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5" yWindow="-105" windowWidth="21825" windowHeight="14025" tabRatio="834"/>
  </bookViews>
  <sheets>
    <sheet name="Disclaimer"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SSA-1099" sheetId="40" r:id="rId10"/>
    <sheet name="1040" sheetId="2" r:id="rId11"/>
    <sheet name="Sch. 1" sheetId="78" r:id="rId12"/>
    <sheet name="Sch. 2" sheetId="79" r:id="rId13"/>
    <sheet name="Sch. 3" sheetId="80" r:id="rId14"/>
    <sheet name="Sch. 4" sheetId="81" r:id="rId15"/>
    <sheet name="Sch. 5" sheetId="82" r:id="rId16"/>
    <sheet name="Sch. 6" sheetId="83" r:id="rId17"/>
    <sheet name="Line 4 (Annuity)" sheetId="13" r:id="rId18"/>
    <sheet name="Line 5 (SS Bene)" sheetId="14" r:id="rId19"/>
    <sheet name="Line 8 (SD Depnts)" sheetId="65" r:id="rId20"/>
    <sheet name="Earned Inc Calc" sheetId="67" r:id="rId21"/>
    <sheet name="Line 9 (QBID)" sheetId="85" r:id="rId22"/>
    <sheet name="QBID (Unofficial)" sheetId="64" r:id="rId23"/>
    <sheet name="Sch 1, Line 10 (SALT)" sheetId="12" r:id="rId24"/>
    <sheet name="Line 11a (QDCG Tax)" sheetId="28" r:id="rId25"/>
    <sheet name="Line 12a (CTC)" sheetId="46" r:id="rId26"/>
    <sheet name="Line 17a (EIC)" sheetId="60" r:id="rId27"/>
    <sheet name="Sch. 1, Line 32 (IRA)" sheetId="15" r:id="rId28"/>
    <sheet name="Line 33 (Stu Loan)" sheetId="63" r:id="rId29"/>
    <sheet name="Sch. A" sheetId="3" r:id="rId30"/>
    <sheet name="Sch. B" sheetId="4" r:id="rId31"/>
    <sheet name="Sch. C" sheetId="5" r:id="rId32"/>
    <sheet name="Sch. D" sheetId="6" r:id="rId33"/>
    <sheet name="Sch. D WS" sheetId="37" r:id="rId34"/>
    <sheet name="Sch. E" sheetId="84" r:id="rId35"/>
    <sheet name="Sch. F" sheetId="56" r:id="rId36"/>
    <sheet name="Sch. R" sheetId="86" r:id="rId37"/>
    <sheet name="Sch. SE" sheetId="23" r:id="rId38"/>
    <sheet name="1116" sheetId="74" r:id="rId39"/>
    <sheet name="2210" sheetId="68" r:id="rId40"/>
    <sheet name="2441" sheetId="59" r:id="rId41"/>
    <sheet name="2555" sheetId="62" r:id="rId42"/>
    <sheet name="6251" sheetId="33" r:id="rId43"/>
    <sheet name="8283" sheetId="73" r:id="rId44"/>
    <sheet name="8812" sheetId="76" r:id="rId45"/>
    <sheet name="8889" sheetId="71" r:id="rId46"/>
    <sheet name="8949A" sheetId="43" r:id="rId47"/>
    <sheet name="8949B" sheetId="49" r:id="rId48"/>
    <sheet name="8949C" sheetId="50" r:id="rId49"/>
    <sheet name="8949D" sheetId="88" r:id="rId50"/>
    <sheet name="8959" sheetId="52" r:id="rId51"/>
    <sheet name="8960" sheetId="53" r:id="rId52"/>
    <sheet name="8962" sheetId="58" r:id="rId53"/>
    <sheet name="EIC Table" sheetId="61" r:id="rId54"/>
    <sheet name="Tax Table" sheetId="36" r:id="rId55"/>
    <sheet name="Changes" sheetId="55" r:id="rId56"/>
  </sheets>
  <definedNames>
    <definedName name="Additional_Income">'Sch. 1'!$AC$24</definedName>
    <definedName name="AdditionalCTC">'8812'!$AL$62</definedName>
    <definedName name="Address">'1040'!$B$14</definedName>
    <definedName name="Adj_Gross_Inc">'1040'!$AB$42</definedName>
    <definedName name="AdjustToIncome">'Sch. 1'!$AC$40</definedName>
    <definedName name="AgPMT_Disaster">'1099-G'!$H$38</definedName>
    <definedName name="AgPMT_Other">'1099-G'!$H$39</definedName>
    <definedName name="Alaska">'1040'!$BB$6</definedName>
    <definedName name="AlimonyPaid">'Sch. 1'!$W$35</definedName>
    <definedName name="AlimonyRcvd">'Sch. 1'!$AC$12</definedName>
    <definedName name="AltMinTaxInc">'6251'!$M$38</definedName>
    <definedName name="AMT">'6251'!$M$62</definedName>
    <definedName name="AMTExemption">'6251'!$AC$178</definedName>
    <definedName name="AMTExemptionFlag">'6251'!$AG$49</definedName>
    <definedName name="Apt_No.">'1040'!$V$14</definedName>
    <definedName name="BadBirthdate_Spouse">'1040'!$AY$69</definedName>
    <definedName name="BadBirthdate_Yours">'1040'!$AY$54</definedName>
    <definedName name="BadDeathDate">'1040'!$BF$68</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Table'!$U$18</definedName>
    <definedName name="BASE_B2">'Tax Table'!$U$19</definedName>
    <definedName name="BASE_B3">'Tax Table'!$U$20</definedName>
    <definedName name="BASE_B4">'Tax Table'!$U$21</definedName>
    <definedName name="BASE_B5">'Tax Table'!$U$22</definedName>
    <definedName name="BASE_B6">'Tax Table'!$U$23</definedName>
    <definedName name="BASE_B7">'Tax Table'!$U$24</definedName>
    <definedName name="BASE_C1">'Tax Table'!$U$28</definedName>
    <definedName name="BASE_C2">'Tax Table'!$U$29</definedName>
    <definedName name="BASE_C3">'Tax Table'!$U$30</definedName>
    <definedName name="BASE_C4">'Tax Table'!$U$31</definedName>
    <definedName name="BASE_C5">'Tax Table'!$U$32</definedName>
    <definedName name="BASE_C6">'Tax Table'!$U$33</definedName>
    <definedName name="BASE_C7">'Tax Table'!$U$34</definedName>
    <definedName name="BASE_D1">'Tax Table'!$U$39</definedName>
    <definedName name="BASE_D2">'Tax Table'!$U$40</definedName>
    <definedName name="BASE_D3">'Tax Table'!$U$41</definedName>
    <definedName name="BASE_D4">'Tax Table'!$U$42</definedName>
    <definedName name="BASE_D5">'Tax Table'!$U$43</definedName>
    <definedName name="BASE_D6">'Tax Table'!$U$44</definedName>
    <definedName name="BASE_D7">'Tax Table'!$U$45</definedName>
    <definedName name="BeginningOfTaxYear">'1040'!$AW$2</definedName>
    <definedName name="Birthday_Needed">'1040'!$AW$65</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Table'!$T$18</definedName>
    <definedName name="BOTT_B2">'Tax Table'!$T$19</definedName>
    <definedName name="BOTT_B3">'Tax Table'!$T$20</definedName>
    <definedName name="BOTT_B4">'Tax Table'!$T$21</definedName>
    <definedName name="BOTT_B5">'Tax Table'!$T$22</definedName>
    <definedName name="BOTT_B6">'Tax Table'!$T$23</definedName>
    <definedName name="BOTT_B7">'Tax Table'!$T$24</definedName>
    <definedName name="BOTT_C1">'Tax Table'!$T$28</definedName>
    <definedName name="BOTT_C2">'Tax Table'!$T$29</definedName>
    <definedName name="BOTT_C3">'Tax Table'!$T$30</definedName>
    <definedName name="BOTT_C4">'Tax Table'!$T$31</definedName>
    <definedName name="BOTT_C5">'Tax Table'!$T$32</definedName>
    <definedName name="BOTT_C6">'Tax Table'!$T$33</definedName>
    <definedName name="BOTT_C7">'Tax Table'!$T$34</definedName>
    <definedName name="BOTT_D1">'Tax Table'!$T$39</definedName>
    <definedName name="BOTT_D2">'Tax Table'!$T$40</definedName>
    <definedName name="BOTT_D3">'Tax Table'!$T$41</definedName>
    <definedName name="BOTT_D4">'Tax Table'!$T$42</definedName>
    <definedName name="BOTT_D5">'Tax Table'!$T$43</definedName>
    <definedName name="BOTT_D6">'Tax Table'!$T$44</definedName>
    <definedName name="BOTT_D7">'Tax Table'!$T$45</definedName>
    <definedName name="Business_Profit">'Sch. C'!$Y$56</definedName>
    <definedName name="BusinessIncomeLoss">'Sch. 1'!$AC$13</definedName>
    <definedName name="Cap_Gain">'Sch. D'!$S$94</definedName>
    <definedName name="CapitalGains">'Sch. 1'!$AC$14</definedName>
    <definedName name="Care_Expenses">'Sch. 3'!$AC$11</definedName>
    <definedName name="CertainBusinessExp">'Sch. 1'!$W$27</definedName>
    <definedName name="CGTW">'Line 11a (QDCG Tax)'!$C$7</definedName>
    <definedName name="CGTW_Line1">'Line 11a (QDCG Tax)'!$L$26</definedName>
    <definedName name="CGTW_Line15_HOH">'Line 11a (QDCG Tax)'!$N$53</definedName>
    <definedName name="CGTW_Line15_MFJQW">'Line 11a (QDCG Tax)'!$N$52</definedName>
    <definedName name="CGTW_Line15_MFS">'Line 11a (QDCG Tax)'!$N$51</definedName>
    <definedName name="CGTW_Line15_Single">'Line 11a (QDCG Tax)'!$N$50</definedName>
    <definedName name="CGTW_Line20_PCT">'Line 11a (QDCG Tax)'!$N$57</definedName>
    <definedName name="CGTW_Line23_PCT">'Line 11a (QDCG Tax)'!$N$60</definedName>
    <definedName name="CGTW_Line5">'Line 11a (QDCG Tax)'!$J$36</definedName>
    <definedName name="CGTW_Line7">'Line 11a (QDCG Tax)'!$L$38</definedName>
    <definedName name="CGTW_Line8_HOH">'Line 11a (QDCG Tax)'!$N$42</definedName>
    <definedName name="CGTW_Line8_MFJQW">'Line 11a (QDCG Tax)'!$N$41</definedName>
    <definedName name="CGTW_Line8_SMFS">'Line 11a (QDCG Tax)'!$N$40</definedName>
    <definedName name="CGTW_Tax">'Line 11a (QDCG Tax)'!$N$72</definedName>
    <definedName name="Child_Tax_Credit">'Line 12a (CTC)'!$Q$118</definedName>
    <definedName name="ChildCareCredit">'2441'!$O$61</definedName>
    <definedName name="ChildUnder24">'6251'!$O$41</definedName>
    <definedName name="City_State_Zip">'1040'!$B$16</definedName>
    <definedName name="CTC_WS_Line12">'Line 12a (CTC)'!$K$95</definedName>
    <definedName name="CTC_WS_Line8">'Line 12a (CTC)'!$Q$74</definedName>
    <definedName name="CTWC_NotQualified">'Line 12a (CTC)'!$A$70</definedName>
    <definedName name="DaysInTaxYear">'1040'!$AZ$2</definedName>
    <definedName name="Deduction">'1040'!$AI$44</definedName>
    <definedName name="Deductions">'1040'!$AB$43</definedName>
    <definedName name="Dependent_Care">'2441'!$O$100</definedName>
    <definedName name="DependentCount">'1040'!$AK$24</definedName>
    <definedName name="DependentSPOUSE">'1040'!$F$11</definedName>
    <definedName name="DependentYOU">'1040'!$F$8</definedName>
    <definedName name="DependQualNumber">'8812'!$Z$21</definedName>
    <definedName name="DFC">'Line 17a (EIC)'!$N$192</definedName>
    <definedName name="Dividend_Inc">'Sch. B'!$I$54</definedName>
    <definedName name="Dotted_Line36">'Sch. 1'!$T$69</definedName>
    <definedName name="DPAD">'Sch. 1'!$AI$67</definedName>
    <definedName name="Draft">'1040'!$AY$1</definedName>
    <definedName name="Dual_Status_Alien">'1040'!$F$12</definedName>
    <definedName name="Earned_Income">'Earned Inc Calc'!$J$65</definedName>
    <definedName name="EarnedIncomeCredit">'Line 17a (EIC)'!$O$447</definedName>
    <definedName name="EarnedIncomeWSB">'Line 17a (EIC)'!$O$378</definedName>
    <definedName name="Education">'Sch. 3'!$AC$12</definedName>
    <definedName name="EducatorExpenses">'Sch. 1'!$W$25</definedName>
    <definedName name="EIC">'1040'!$M$53</definedName>
    <definedName name="EIC_Check">'Line 17a (EIC)'!$A$35</definedName>
    <definedName name="EIC_EarnedIncome">'Line 17a (EIC)'!$K$227</definedName>
    <definedName name="EIC_Line2_No">'Line 17a (EIC)'!$H$26</definedName>
    <definedName name="EIC_No">'Line 17a (EIC)'!$N$1</definedName>
    <definedName name="EIC_Step3_Line3_Yes">'Line 17a (EIC)'!$B$124</definedName>
    <definedName name="EIC_Step4_Line3_No">'Line 17a (EIC)'!$H$148</definedName>
    <definedName name="EIC_Step4_Line5_Yes">'Line 17a (EIC)'!$B$163</definedName>
    <definedName name="EIC_WSA_Part3">'Line 17a (EIC)'!$L$308</definedName>
    <definedName name="EIC_WSB_Part7">'Line 17a (EIC)'!$O$443</definedName>
    <definedName name="EICNumQualChild">'Line 17a (EIC)'!$B$105</definedName>
    <definedName name="EmployerCountSpouse">'W-2s'!$I$56</definedName>
    <definedName name="EmployerCountYou">'W-2s'!$I$26</definedName>
    <definedName name="EndOfTaxYear">'1040'!$AY$2</definedName>
    <definedName name="EstimatedTaxPayments">'Sch. 5'!$AC$11</definedName>
    <definedName name="ExcessSSTax">'Sch. 5'!$AC$17</definedName>
    <definedName name="Exempt_Interest_DIV" localSheetId="6">'1099-G'!#REF!</definedName>
    <definedName name="Exempt_Interest_DIV">'1099-DIV'!$H$104</definedName>
    <definedName name="F1040_Line10">'Sch. 1'!$AC$11</definedName>
    <definedName name="F1099G_FedTaxWH">'1099-G'!$H$35</definedName>
    <definedName name="F1099G_MktGain">'1099-G'!$H$41</definedName>
    <definedName name="F1099G_StateTaxWH">'1099-G'!$H$44</definedName>
    <definedName name="F1099G_TaxGrants">'1099-G'!$H$37</definedName>
    <definedName name="F1099R_CodeDTaxes">'1099-R'!$E$71</definedName>
    <definedName name="F2555_Line45">'2555'!$AE$184</definedName>
    <definedName name="F6251_Needed">'6251'!$P$2</definedName>
    <definedName name="F6251_PIII">'6251'!$R$53</definedName>
    <definedName name="F8889_Line1">'8889'!$Q$13</definedName>
    <definedName name="F8889_Line13">'8889'!$K$157</definedName>
    <definedName name="F8889_Line16">'8889'!$K$160</definedName>
    <definedName name="F8889_Line17b">'8889'!$K$163</definedName>
    <definedName name="F8889_Line20">'8889'!$M$160</definedName>
    <definedName name="F8889_Line21">'8889'!$M$163</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Tax">'8959'!$M$54</definedName>
    <definedName name="F8959_WH">'8959'!$M$68</definedName>
    <definedName name="F8960_Applicable">'8960'!$Q$2</definedName>
    <definedName name="F8960_Tax">'8960'!$N$48</definedName>
    <definedName name="FarmIncomeLoss">'Sch. 1'!$AC$19</definedName>
    <definedName name="FarmProfitNet">'Sch. F'!$Y$54</definedName>
    <definedName name="FedFuelTaxCredit">'Sch. 5'!$AC$18</definedName>
    <definedName name="FedTaxWithheld">'1040'!$AB$52</definedName>
    <definedName name="FEI_Tax_Worksheet">'Line 11a (QDCG Tax)'!$N$76</definedName>
    <definedName name="FEI_TW_Line2c">'Line 11a (QDCG Tax)'!$N$85</definedName>
    <definedName name="FEI_TW_Line3">'Line 11a (QDCG Tax)'!$N$88</definedName>
    <definedName name="File_Head">'1040'!$T$5</definedName>
    <definedName name="File_Marr_Joint">'1040'!$H$5</definedName>
    <definedName name="File_Marr_Sep">'1040'!$N$5</definedName>
    <definedName name="File_Qual_Widow">'1040'!$Z$5</definedName>
    <definedName name="File_Single">'1040'!$D$5</definedName>
    <definedName name="File8960">'8960'!$Q$3</definedName>
    <definedName name="FilingScheduleD">'Line 11a (QDCG Tax)'!$J$28</definedName>
    <definedName name="FilingStatusError">'1040'!$AI$7</definedName>
    <definedName name="FirstTimeHBRepay">'Sch. 4'!$G$15</definedName>
    <definedName name="Foreign_Tax_Credit">'Sch. 3'!$AC$10</definedName>
    <definedName name="ForeignEarnedIncome">'2555'!$AE$130</definedName>
    <definedName name="ForeignHousingDeduction">'2555'!$AE$198</definedName>
    <definedName name="ForeignHousingExclusion">'2555'!$AE$184</definedName>
    <definedName name="ForeignIncExclusion">'2555'!$AE$175</definedName>
    <definedName name="ForeignTaxCredit_1">'1116'!$AL$133</definedName>
    <definedName name="ForeignTaxCredit_2">'1116'!$AL$259</definedName>
    <definedName name="ForeignTaxCredit_3">'1116'!$AL$385</definedName>
    <definedName name="ForeignTaxPaid">'1116'!$AO$8</definedName>
    <definedName name="ForeignTaxPaid_DIV" localSheetId="6">'1099-G'!$H$43</definedName>
    <definedName name="ForeignTaxPaid_DIV">'1099-DIV'!$H$100</definedName>
    <definedName name="ForeignTaxPaid_INT">'1099-INT'!$I$71</definedName>
    <definedName name="ForeignTaxPaid_INT_DIV" localSheetId="6">'1099-G'!$I$31</definedName>
    <definedName name="ForeignTaxPaid_INT_DIV">'1099-DIV'!$I$89</definedName>
    <definedName name="ForeignTaxThreshold">'1116'!$AQ$8</definedName>
    <definedName name="Form1116_Not_Reqd">'1116'!$A$2</definedName>
    <definedName name="Form1116_Required">'1116'!$A$2</definedName>
    <definedName name="Form2555_Used">'2555'!$AE$164</definedName>
    <definedName name="Form4952_Line4e">'Sch. D WS'!$J$78</definedName>
    <definedName name="Form4952_Line4g">'Sch. D WS'!$J$77</definedName>
    <definedName name="Form8863">'1040'!$H$54</definedName>
    <definedName name="Form8960_Threshhold">'8960'!$N$45</definedName>
    <definedName name="Gambling_Loss">'Sch. A'!$O$60</definedName>
    <definedName name="Hawaii">'1040'!$BC$6</definedName>
    <definedName name="HouseholdEmpTaxes">'Sch. 4'!$AC$14</definedName>
    <definedName name="HSA_Deduct">'Sch. 1'!$W$28</definedName>
    <definedName name="IncomeLimit">'QBID (Unofficial)'!$G$49</definedName>
    <definedName name="Interest_Inc">'Sch. B'!$I$31</definedName>
    <definedName name="InvExpDIV" localSheetId="6">'1099-G'!$H$42</definedName>
    <definedName name="InvExpDIV">'1099-DIV'!$H$99</definedName>
    <definedName name="InvExpINT">'1099-INT'!$I$70</definedName>
    <definedName name="IRA_Deduction">'Sch. 1, Line 32 (IRA)'!$L$105</definedName>
    <definedName name="IRA_Fed_Tax_WH">'1099-R'!$D$58</definedName>
    <definedName name="IRA_Gross">'1099-R'!$D$54</definedName>
    <definedName name="IRA_Pension_Taxable">'1040'!$AB$38</definedName>
    <definedName name="IRA_Taxable">'1099-R'!$D$55</definedName>
    <definedName name="IRA_Taxable_Spouse">'1099-R'!$M$30</definedName>
    <definedName name="IRA_Taxable_You">'1099-R'!$M$5</definedName>
    <definedName name="IRADeduct">'Sch. 1'!$W$36</definedName>
    <definedName name="IRAs_Pension_Annuit">'1040'!$N$38</definedName>
    <definedName name="Item_Deduct_Wks_L9">'Sch. A'!$AG$109</definedName>
    <definedName name="ItemizeAnyway">'Sch. A'!$B$66</definedName>
    <definedName name="ItemizedDeduct">'1040'!$AX$34</definedName>
    <definedName name="LeapYear">'1040'!$AX$2</definedName>
    <definedName name="Line33_NOT" localSheetId="21">'Line 9 (QBID)'!#REF!</definedName>
    <definedName name="Line33_NOT">'Line 33 (Stu Loan)'!$L$9</definedName>
    <definedName name="LivedApart">'1040'!$AO$6</definedName>
    <definedName name="LivedApartAnswered">'1040'!$AO$5</definedName>
    <definedName name="LocalTaxIRA">'1099-R'!$D$70</definedName>
    <definedName name="LocalTaxPA">'1099-R'!$E$70</definedName>
    <definedName name="LocalTaxW2">'W-2s'!$D$84</definedName>
    <definedName name="MarketDiscount">'1099-INT'!$I$76</definedName>
    <definedName name="MaxSSTax">'W-2s'!$L$1</definedName>
    <definedName name="MaxSSTaxEarnings">'W-2s'!$G$1</definedName>
    <definedName name="MedCare_Tax_Withheld">'W-2s'!$D$67</definedName>
    <definedName name="MedCare_wages">'W-2s'!$D$66</definedName>
    <definedName name="ModAdjGrossInc">'8960'!$AC$66</definedName>
    <definedName name="MovExp_ArmedForces">'Sch. 1'!$W$30</definedName>
    <definedName name="Name_1st_Sp">'1040'!$B$10</definedName>
    <definedName name="Name_1st_Yours">'1040'!$B$7</definedName>
    <definedName name="Name_Last_Sp">'1040'!$L$10</definedName>
    <definedName name="Name_Last_Yours">'1040'!$L$7</definedName>
    <definedName name="Names">'1040'!$AL$8</definedName>
    <definedName name="NameSpouse">'1040'!$AM$9</definedName>
    <definedName name="NameYours">'1040'!$AL$9</definedName>
    <definedName name="Needs_SALT">'Sch 1, Line 10 (SALT)'!$L$48</definedName>
    <definedName name="NoColor">'1040'!$AO$2</definedName>
    <definedName name="NoEICredit">'Line 17a (EIC)'!$A$1</definedName>
    <definedName name="NonQualAnnuity">'1099-R'!$E$61</definedName>
    <definedName name="NoOnLine66a">'Line 17a (EIC)'!$B$1</definedName>
    <definedName name="NoSSN">'1040'!$AO$3</definedName>
    <definedName name="NOT_MFJ">'1040'!$AZ$67</definedName>
    <definedName name="NoTaxCombatPay">'Line 17a (EIC)'!$N$202</definedName>
    <definedName name="NumFileStatusBoxes">'1040'!$AI$6</definedName>
    <definedName name="OrdinaryDividends">'1040'!$AB$37</definedName>
    <definedName name="OtherGainsLosses">'Sch. 1'!$AC$15</definedName>
    <definedName name="OtherIncome">'Sch. 1'!$AC$22</definedName>
    <definedName name="Over_65_or_Blind">'1040'!$AT$14</definedName>
    <definedName name="Overpaid">'1040'!$AB$56</definedName>
    <definedName name="PA_Fed_Tax_WH">'1099-R'!$E$58</definedName>
    <definedName name="PA_Gross">'1099-R'!$E$54</definedName>
    <definedName name="PA_Taxable">'1099-R'!$E$55</definedName>
    <definedName name="PA_Taxable_Spouse">'1099-R'!$N$30</definedName>
    <definedName name="PA_Taxable_You">'1099-R'!$N$5</definedName>
    <definedName name="Penalty4EW">'1099-INT'!$I$66</definedName>
    <definedName name="PenaltyEarlyWithdraw">'Sch. 1'!$W$34</definedName>
    <definedName name="Pension_taxable">'Line 4 (Annuity)'!$L$61</definedName>
    <definedName name="Pension_total">'1099-R'!$I$54</definedName>
    <definedName name="PhaseOut_PCT">'QBID (Unofficial)'!$G$68</definedName>
    <definedName name="PhaseOutThreshold">'QBID (Unofficial)'!$G$60</definedName>
    <definedName name="_xlnm.Print_Area" localSheetId="10">'1040'!$B$3:$AG$63</definedName>
    <definedName name="_xlnm.Print_Area" localSheetId="5">'1099-DIV'!$A$1:$J$109</definedName>
    <definedName name="_xlnm.Print_Area" localSheetId="6">'1099-G'!$A$1:$J$45</definedName>
    <definedName name="_xlnm.Print_Area" localSheetId="4">'1099-INT'!$A$1:$J$83</definedName>
    <definedName name="_xlnm.Print_Area" localSheetId="7">'1099-MISC'!$B$2:$N$44</definedName>
    <definedName name="_xlnm.Print_Area" localSheetId="8">'1099-R'!$A$1:$O$72</definedName>
    <definedName name="_xlnm.Print_Area" localSheetId="38">'1116'!$B$10:$AO$386</definedName>
    <definedName name="_xlnm.Print_Area" localSheetId="39">'2210'!$B$6:$W$269</definedName>
    <definedName name="_xlnm.Print_Area" localSheetId="40">'2441'!$B$3:$P$154</definedName>
    <definedName name="_xlnm.Print_Area" localSheetId="41">'2555'!$B$2:$AJ$199</definedName>
    <definedName name="_xlnm.Print_Area" localSheetId="42">'6251'!$B$4:$M$126</definedName>
    <definedName name="_xlnm.Print_Area" localSheetId="43">'8283'!$B$2:$AO$133</definedName>
    <definedName name="_xlnm.Print_Area" localSheetId="44">'8812'!$B$2:$AP$118</definedName>
    <definedName name="_xlnm.Print_Area" localSheetId="45">'8889'!$B$4:$M$148</definedName>
    <definedName name="_xlnm.Print_Area" localSheetId="46">'8949A'!$B$4:$AF$122</definedName>
    <definedName name="_xlnm.Print_Area" localSheetId="47">'8949B'!$B$4:$AF$122</definedName>
    <definedName name="_xlnm.Print_Area" localSheetId="48">'8949C'!$B$4:$AF$122</definedName>
    <definedName name="_xlnm.Print_Area" localSheetId="49">'8949D'!$B$4:$AF$122</definedName>
    <definedName name="_xlnm.Print_Area" localSheetId="50">'8959'!$B$8:$M$69</definedName>
    <definedName name="_xlnm.Print_Area" localSheetId="51">'8960'!$B$5:$N$62</definedName>
    <definedName name="_xlnm.Print_Area" localSheetId="52">'8962'!$B$4:$AJ$127</definedName>
    <definedName name="_xlnm.Print_Area" localSheetId="0">Disclaimer!$B$2:$K$64</definedName>
    <definedName name="_xlnm.Print_Area" localSheetId="20">'Earned Inc Calc'!$B$2:$K$72</definedName>
    <definedName name="_xlnm.Print_Area" localSheetId="2">Instructions!$A:$L</definedName>
    <definedName name="_xlnm.Print_Area" localSheetId="24">'Line 11a (QDCG Tax)'!$B$17:$O$120</definedName>
    <definedName name="_xlnm.Print_Area" localSheetId="25">'Line 12a (CTC)'!$B$1:$T$238</definedName>
    <definedName name="_xlnm.Print_Area" localSheetId="26">'Line 17a (EIC)'!$A$1:$Y$454</definedName>
    <definedName name="_xlnm.Print_Area" localSheetId="28">'Line 33 (Stu Loan)'!$B$2:$M$37</definedName>
    <definedName name="_xlnm.Print_Area" localSheetId="17">'Line 4 (Annuity)'!$B$32:$M$93</definedName>
    <definedName name="_xlnm.Print_Area" localSheetId="18">'Line 5 (SS Bene)'!$B$2:$K$57</definedName>
    <definedName name="_xlnm.Print_Area" localSheetId="19">'Line 8 (SD Depnts)'!$B$2:$O$33</definedName>
    <definedName name="_xlnm.Print_Area" localSheetId="21">'Line 9 (QBID)'!$B$2:$J$35</definedName>
    <definedName name="_xlnm.Print_Area" localSheetId="22">'QBID (Unofficial)'!$B$2:$L$133</definedName>
    <definedName name="_xlnm.Print_Area" localSheetId="23">'Sch 1, Line 10 (SALT)'!$B$22:$M$54</definedName>
    <definedName name="_xlnm.Print_Area" localSheetId="11">'Sch. 1'!$B$2:$AG$41</definedName>
    <definedName name="_xlnm.Print_Area" localSheetId="27">'Sch. 1, Line 32 (IRA)'!$B$2:$T$106</definedName>
    <definedName name="_xlnm.Print_Area" localSheetId="12">'Sch. 2'!$B$2:$AG$15</definedName>
    <definedName name="_xlnm.Print_Area" localSheetId="13">'Sch. 3'!$B$2:$AG$18</definedName>
    <definedName name="_xlnm.Print_Area" localSheetId="14">'Sch. 4'!$B$2:$AG$24</definedName>
    <definedName name="_xlnm.Print_Area" localSheetId="15">'Sch. 5'!$B$2:$AG$22</definedName>
    <definedName name="_xlnm.Print_Area" localSheetId="16">'Sch. 6'!$B$2:$AG$15</definedName>
    <definedName name="_xlnm.Print_Area" localSheetId="29">'Sch. A'!$B$10:$O$67</definedName>
    <definedName name="_xlnm.Print_Area" localSheetId="30">'Sch. B'!$B$2:$O$71</definedName>
    <definedName name="_xlnm.Print_Area" localSheetId="31">'Sch. C'!$B$2:$U$229</definedName>
    <definedName name="_xlnm.Print_Area" localSheetId="32">'Sch. D'!$B$2:$P$101</definedName>
    <definedName name="_xlnm.Print_Area" localSheetId="33">'Sch. D WS'!$B$1:$Q$138</definedName>
    <definedName name="_xlnm.Print_Area" localSheetId="34">'Sch. E'!$B$2:$AO$257</definedName>
    <definedName name="_xlnm.Print_Area" localSheetId="35">'Sch. F'!$B$3:$AB$120</definedName>
    <definedName name="_xlnm.Print_Area" localSheetId="36">'Sch. R'!$B$13:$AB$128</definedName>
    <definedName name="_xlnm.Print_Area" localSheetId="37">'Sch. SE'!$B$2:$X$239</definedName>
    <definedName name="_xlnm.Print_Area" localSheetId="9">'SSA-1099'!$A$1:$K$35</definedName>
    <definedName name="_xlnm.Print_Area" localSheetId="1">'Table of Contents'!$B$2:$C$63</definedName>
    <definedName name="_xlnm.Print_Area" localSheetId="54">'Tax Table'!$B$1:$G$2063</definedName>
    <definedName name="_xlnm.Print_Area" localSheetId="3">'W-2s'!$A$1:$M$84</definedName>
    <definedName name="_xlnm.Print_Titles" localSheetId="54">'Tax Table'!$1:$1</definedName>
    <definedName name="PTC_Excess">'8962'!$AE$76</definedName>
    <definedName name="PTC_ExcessAdv">'Sch. 2'!$AC$12</definedName>
    <definedName name="PTC_Net">'8962'!$AE$71</definedName>
    <definedName name="PTCNet">'Sch. 5'!$AC$15</definedName>
    <definedName name="Pub_972">'Line 12a (CTC)'!$D$13</definedName>
    <definedName name="QBI">'QBID (Unofficial)'!$G$30</definedName>
    <definedName name="QBI_Deduction">'QBID (Unofficial)'!$H$132</definedName>
    <definedName name="QBI_PCT">'QBID (Unofficial)'!$I$30</definedName>
    <definedName name="QBI_SimpleWS">'Line 9 (QBID)'!$J$8</definedName>
    <definedName name="QBID_Simplified">'Line 9 (QBID)'!$I$31</definedName>
    <definedName name="Qual_Child_Count">'1040'!$AK$23</definedName>
    <definedName name="Qualified_Dividends">'1040'!$N$37</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Table'!$S$18</definedName>
    <definedName name="RATE_B2">'Tax Table'!$S$19</definedName>
    <definedName name="RATE_B3">'Tax Table'!$S$20</definedName>
    <definedName name="RATE_B4">'Tax Table'!$S$21</definedName>
    <definedName name="RATE_B5">'Tax Table'!$S$22</definedName>
    <definedName name="RATE_B6">'Tax Table'!$S$23</definedName>
    <definedName name="RATE_B7">'Tax Table'!$S$24</definedName>
    <definedName name="RATE_C1">'Tax Table'!$S$28</definedName>
    <definedName name="RATE_C2">'Tax Table'!$S$29</definedName>
    <definedName name="RATE_C3">'Tax Table'!$S$30</definedName>
    <definedName name="RATE_C4">'Tax Table'!$S$31</definedName>
    <definedName name="RATE_C5">'Tax Table'!$S$32</definedName>
    <definedName name="RATE_C6">'Tax Table'!$S$33</definedName>
    <definedName name="RATE_C7">'Tax Table'!$S$34</definedName>
    <definedName name="RATE_D1">'Tax Table'!$S$39</definedName>
    <definedName name="RATE_D2">'Tax Table'!$S$40</definedName>
    <definedName name="RATE_D3">'Tax Table'!$S$41</definedName>
    <definedName name="RATE_D4">'Tax Table'!$S$42</definedName>
    <definedName name="RATE_D5">'Tax Table'!$S$43</definedName>
    <definedName name="RATE_D6">'Tax Table'!$S$44</definedName>
    <definedName name="RATE_D7">'Tax Table'!$S$45</definedName>
    <definedName name="Retirement_Savings">'Sch. 3'!$AC$13</definedName>
    <definedName name="RevDateTime">Changes!$F$1</definedName>
    <definedName name="RRTA_Compensation">'W-2s'!$D$79</definedName>
    <definedName name="RRTA_TaxWH">'W-2s'!$D$80</definedName>
    <definedName name="RTAApayments">'1099-G'!$H$36</definedName>
    <definedName name="SALT_Refund">'1099-G'!$H$33</definedName>
    <definedName name="SchA_Filed">'Sch. A'!$Q$10</definedName>
    <definedName name="SchC_ProfitLoss1">'Sch. C'!$T$56</definedName>
    <definedName name="SchC_ProfitLoss2">'Sch. C'!$T$170</definedName>
    <definedName name="SchC_Sp_StatEmp_Inc">'Sch. C'!$Y$138</definedName>
    <definedName name="SchC_StatutoryEmp_1">'Sch. C'!$Q$23</definedName>
    <definedName name="SchC_StatutoryEmp_2">'Sch. C'!$Q$137</definedName>
    <definedName name="SchD_Line1516_Gains">'Line 11a (QDCG Tax)'!$R$10</definedName>
    <definedName name="SchD_NotReqd">'Sch. 1'!$AI$14</definedName>
    <definedName name="SchDLine15">'Sch. D'!$N$50</definedName>
    <definedName name="SchDLine16">'Sch. D'!$N$58</definedName>
    <definedName name="SchDLine18">'Sch. D'!$N$73</definedName>
    <definedName name="SchDLine19">'Sch. D'!$N$76</definedName>
    <definedName name="SchDTW_Line1">'Sch. D WS'!$P$73</definedName>
    <definedName name="SchDTW_Line15">'Sch. D WS'!$L$90</definedName>
    <definedName name="SchDTW_Line19">'Sch. D WS'!$N$96</definedName>
    <definedName name="SchDTW_Line24">'Sch. D WS'!$L$104</definedName>
    <definedName name="SchDTW_Line29Rate">'Sch. D WS'!$R$111</definedName>
    <definedName name="SchDTW_Line32Rate">'Sch. D WS'!$R$115</definedName>
    <definedName name="SchDTW_Line38Rate">'Sch. D WS'!$R$122</definedName>
    <definedName name="SchDTW_Line41Rate">'Sch. D WS'!$R$126</definedName>
    <definedName name="SchDTW_Line45">'Sch. D WS'!$P$134</definedName>
    <definedName name="SchDTW_Used">'Sch. D WS'!$W$62</definedName>
    <definedName name="SchE_IncomeLoss">'Sch. 1'!$AC$18</definedName>
    <definedName name="SchE1_Line26">'Sch. E'!$AJ$61</definedName>
    <definedName name="SchE2_Completed">'Sch. E'!$AV$120</definedName>
    <definedName name="SchE2_Line32">'Sch. E'!$AH$94</definedName>
    <definedName name="SchE2_Line37">'Sch. E'!$AJ$111</definedName>
    <definedName name="SchE2_Line39">'Sch. E'!$AJ$117</definedName>
    <definedName name="SchE2_Line40">'Sch. E'!$AJ$119</definedName>
    <definedName name="SchE2_Line41">'Sch. E'!$AJ$120</definedName>
    <definedName name="Schedule2">'Sch. 2'!$AC$14</definedName>
    <definedName name="Schedule3">'Sch. 3'!$AC$17</definedName>
    <definedName name="Schedule4">'Sch. 4'!$AC$23</definedName>
    <definedName name="Schedule5">'Sch. 5'!$AC$21</definedName>
    <definedName name="ScheduleE1">'Sch. E'!$AV$121</definedName>
    <definedName name="ScheduleE2">'Sch. E'!$AV$249</definedName>
    <definedName name="ScheduleF_PartIII">'Sch. F'!$Y$93</definedName>
    <definedName name="SchF_SchSE_1">'Sch. F'!$AF$57</definedName>
    <definedName name="SchF_SchSE_2">'Sch. F'!$AF$60</definedName>
    <definedName name="SchR_Line22">'Sch. R'!$Y$127</definedName>
    <definedName name="SchRQualify">'Sch. R'!$R$12</definedName>
    <definedName name="SD_Head">'1040'!$C$50</definedName>
    <definedName name="SD_Inc_Married">'1040'!$AP$51</definedName>
    <definedName name="SD_Inc_Single">'1040'!$AO$51</definedName>
    <definedName name="SD_MFJW">'1040'!$C$47</definedName>
    <definedName name="SD_Single">'1040'!$C$43</definedName>
    <definedName name="SE_Deduct">'Sch. 1'!$W$31</definedName>
    <definedName name="SE_Deduction1">'Sch. SE'!$R$120</definedName>
    <definedName name="SE_Deduction2">'Sch. SE'!$R$239</definedName>
    <definedName name="SE_Tax1">'Sch. SE'!$J$120</definedName>
    <definedName name="SE_Tax2">'Sch. SE'!$J$239</definedName>
    <definedName name="SectA_a3">'Tax Table'!$J$9</definedName>
    <definedName name="SectA_a4">'Tax Table'!$J$10</definedName>
    <definedName name="SectA_a5">'Tax Table'!$J$11</definedName>
    <definedName name="SectA_a6">'Tax Table'!$J$12</definedName>
    <definedName name="SectA_b4">'Tax Table'!$K$10</definedName>
    <definedName name="SectA_b5">'Tax Table'!$K$11</definedName>
    <definedName name="SectA_b6">'Tax Table'!$K$12</definedName>
    <definedName name="SectA_b7">'Tax Table'!$K$13</definedName>
    <definedName name="SectA_d4">'Tax Table'!$L$10</definedName>
    <definedName name="SectA_d5">'Tax Table'!$L$11</definedName>
    <definedName name="SectA_d6">'Tax Table'!$L$12</definedName>
    <definedName name="SectA_d7">'Tax Table'!$L$13</definedName>
    <definedName name="SectB_a2">'Tax Table'!$J$19</definedName>
    <definedName name="SectB_a3">'Tax Table'!$J$20</definedName>
    <definedName name="SectB_a4">'Tax Table'!$J$21</definedName>
    <definedName name="SectB_a5">'Tax Table'!$J$22</definedName>
    <definedName name="SectB_a6">'Tax Table'!$J$23</definedName>
    <definedName name="SectB_b3">'Tax Table'!$K$20</definedName>
    <definedName name="SectB_b4">'Tax Table'!$K$21</definedName>
    <definedName name="SectB_b5">'Tax Table'!$K$22</definedName>
    <definedName name="SectB_b6">'Tax Table'!$K$23</definedName>
    <definedName name="SectB_b7">'Tax Table'!$K$24</definedName>
    <definedName name="SectB_d3">'Tax Table'!$L$20</definedName>
    <definedName name="SectB_d4">'Tax Table'!$L$21</definedName>
    <definedName name="SectB_d5">'Tax Table'!$L$22</definedName>
    <definedName name="SectB_d6">'Tax Table'!$L$23</definedName>
    <definedName name="SectB_d7">'Tax Table'!$L$24</definedName>
    <definedName name="SectC_a2">'Tax Table'!$J$30</definedName>
    <definedName name="SectC_a3">'Tax Table'!$J$31</definedName>
    <definedName name="SectC_a4">'Tax Table'!$J$32</definedName>
    <definedName name="SectC_a5">'Tax Table'!$J$33</definedName>
    <definedName name="SectC_b3">'Tax Table'!$K$31</definedName>
    <definedName name="SectC_b4">'Tax Table'!$K$32</definedName>
    <definedName name="SectC_b5">'Tax Table'!$K$33</definedName>
    <definedName name="SectC_b6">'Tax Table'!$K$34</definedName>
    <definedName name="SectC_d3">'Tax Table'!$L$31</definedName>
    <definedName name="SectC_d4">'Tax Table'!$L$32</definedName>
    <definedName name="SectC_d5">'Tax Table'!$L$33</definedName>
    <definedName name="SectC_d6">'Tax Table'!$L$34</definedName>
    <definedName name="SectD_a2">'Tax Table'!$J$40</definedName>
    <definedName name="SectD_a3">'Tax Table'!$J$41</definedName>
    <definedName name="SectD_a4">'Tax Table'!$J$42</definedName>
    <definedName name="SectD_a5">'Tax Table'!$J$43</definedName>
    <definedName name="SectD_a6">'Tax Table'!$J$44</definedName>
    <definedName name="SectD_b3">'Tax Table'!$K$41</definedName>
    <definedName name="SectD_b4">'Tax Table'!$K$42</definedName>
    <definedName name="SectD_b5">'Tax Table'!$K$43</definedName>
    <definedName name="SectD_b6">'Tax Table'!$K$44</definedName>
    <definedName name="SectD_b7">'Tax Table'!$K$45</definedName>
    <definedName name="SectD_d3">'Tax Table'!$L$41</definedName>
    <definedName name="SectD_d4">'Tax Table'!$L$42</definedName>
    <definedName name="SectD_d5">'Tax Table'!$L$43</definedName>
    <definedName name="SectD_d6">'Tax Table'!$L$44</definedName>
    <definedName name="SectD_d7">'Tax Table'!$L$45</definedName>
    <definedName name="SEHealthInsDeduct">'Sch. 1'!$W$33</definedName>
    <definedName name="SelfEmploymentTax">'Sch. 4'!$AC$10</definedName>
    <definedName name="SEP_Plan_Deduct">'Sch. 1'!$W$32</definedName>
    <definedName name="ShortMethod">'2210'!$W$82</definedName>
    <definedName name="Skip2141">'Sch. D WS'!$S$97</definedName>
    <definedName name="Skip3141">'Sch. D WS'!$S$112</definedName>
    <definedName name="Skip3338">'Sch. D WS'!$S$115</definedName>
    <definedName name="Skip3941">'Sch. D WS'!$S$122</definedName>
    <definedName name="SocSecBenefits">'1040'!$N$39</definedName>
    <definedName name="SocSecBenefits_Taxable">'1040'!$AB$39</definedName>
    <definedName name="sp_blind">'1040'!$B$12</definedName>
    <definedName name="sp_over_64">'1040'!$O$11</definedName>
    <definedName name="SpaceUsed_8949A">'8949A'!$AH$29</definedName>
    <definedName name="SpaceUsed_8949A_LT">'8949A'!$AH$82</definedName>
    <definedName name="SpaceUsed_8949A_ST">'8949A'!$AH$29</definedName>
    <definedName name="SpaceUsed_8949B_LT">'8949B'!$AH$82</definedName>
    <definedName name="SpaceUsed_8949B_ST">'8949B'!$AH$29</definedName>
    <definedName name="SpaceUsed_8949C_LT" localSheetId="49">'8949D'!$AH$82</definedName>
    <definedName name="SpaceUsed_8949C_LT">'8949C'!$AH$82</definedName>
    <definedName name="SpaceUsed_8949C_ST" localSheetId="49">'8949D'!$AH$29</definedName>
    <definedName name="SpaceUsed_8949C_ST">'8949C'!$AH$29</definedName>
    <definedName name="Spouse">'1040'!$AP$7</definedName>
    <definedName name="SpouseAge">'1040'!$AX$72</definedName>
    <definedName name="SpouseAgeDecimal">'1040'!$AX$71</definedName>
    <definedName name="SpouseBirthDate">'1040'!$AX$67</definedName>
    <definedName name="SpouseBirthDay">'1040'!$AM$14</definedName>
    <definedName name="SpouseBirthMonth">'1040'!$AL$14</definedName>
    <definedName name="SpouseBirthYear">'1040'!$AN$14</definedName>
    <definedName name="SpouseDeathDate">'1040'!$BF$67</definedName>
    <definedName name="SpouseDeathDay">'1040'!$AM$16</definedName>
    <definedName name="SpouseDeathMonth">'1040'!$AL$16</definedName>
    <definedName name="SpouseDeathYear">'1040'!$AN$16</definedName>
    <definedName name="SpouseDeceased">'1040'!$AJ$14</definedName>
    <definedName name="SpouseIs65">'1040'!$BB$71</definedName>
    <definedName name="SpouseIs70Half">'1040'!$BB$70</definedName>
    <definedName name="SS_Spouse">'1040'!$Y$10</definedName>
    <definedName name="SS_Yours">'1040'!$Y$7</definedName>
    <definedName name="SSTaxRate">'W-2s'!$I$1</definedName>
    <definedName name="Standard">'1040'!$AW$36</definedName>
    <definedName name="state">'1040'!$O$35</definedName>
    <definedName name="State_Local_Tax_Refund">'Sch 1, Line 10 (SALT)'!$L$53</definedName>
    <definedName name="StateLocalTaxesPaid">'Sch. A'!$S$25</definedName>
    <definedName name="StateTax_DIV" localSheetId="6">'1099-G'!#REF!</definedName>
    <definedName name="StateTax_DIV">'1099-DIV'!$H$108</definedName>
    <definedName name="StateTax_INT">'1099-INT'!$I$83</definedName>
    <definedName name="StateTaxIRA">'1099-R'!$D$67</definedName>
    <definedName name="StateTaxPA">'1099-R'!$E$67</definedName>
    <definedName name="StateTaxW2">'W-2s'!$D$82</definedName>
    <definedName name="Std_Ded_Wrks_For_Dep">'Line 8 (SD Depnts)'!$N$29</definedName>
    <definedName name="StdDeduct">'1040'!$AY$34</definedName>
    <definedName name="StudentLoanIntDeduct">'Sch. 1'!$W$37</definedName>
    <definedName name="Tax">'1040'!$AB$47</definedName>
    <definedName name="Tax_FEI_TW">'Line 11a (QDCG Tax)'!$N$100</definedName>
    <definedName name="Tax_SS_Benefits">'Line 5 (SS Bene)'!$J$53</definedName>
    <definedName name="Tax1040_Line11a">'1040'!$H$46</definedName>
    <definedName name="Taxable_Inc">'1040'!$AB$45</definedName>
    <definedName name="TaxableInterest">'1040'!$AB$36</definedName>
    <definedName name="TaxDay">'Sch. 1, Line 32 (IRA)'!$X$96</definedName>
    <definedName name="TaxExemptInt">'1040'!$N$36</definedName>
    <definedName name="TaxExemptInterest">'1099-INT'!$I$73</definedName>
    <definedName name="TaxFamilySize">'1040'!$AN$23</definedName>
    <definedName name="TaxPenalty">'1040'!$V$62</definedName>
    <definedName name="TaxYear">'1040'!$Q$3</definedName>
    <definedName name="TaxYear2">'1040'!$Q$3</definedName>
    <definedName name="Tot_Exemptions">'1040'!$AN$23</definedName>
    <definedName name="Tot_Item_Deduct">'Sch. A'!$O$64</definedName>
    <definedName name="Tot_Payments">'1040'!$AB$55</definedName>
    <definedName name="Tot_Tax">'1040'!$AB$51</definedName>
    <definedName name="Total_Income">'1040'!$AB$40</definedName>
    <definedName name="TotalSocSecBenefits">'SSA-1099'!$G$21</definedName>
    <definedName name="UnemployComp">'1099-G'!$H$32</definedName>
    <definedName name="UnEmploymentComp">'Sch. 1'!$AC$20</definedName>
    <definedName name="W2_Other">'W-2s'!$D$78</definedName>
    <definedName name="W2_SS_Tax_Excess">'W-2s'!$J$65</definedName>
    <definedName name="W2_SS_Tax_Withheld">'W-2s'!$D$65</definedName>
    <definedName name="W2_SS_Wages">'W-2s'!$D$64</definedName>
    <definedName name="W2_Tax_Withheld">'W-2s'!$D$63</definedName>
    <definedName name="W2_Wages">'W-2s'!$D$62</definedName>
    <definedName name="W2_Wages_Spouse">'W-2s'!$I$33</definedName>
    <definedName name="W2_Wages_You">'W-2s'!$I$3</definedName>
    <definedName name="WageCapitalComponent">'QBID (Unofficial)'!$G$41</definedName>
    <definedName name="Wages">'1040'!$AB$35</definedName>
    <definedName name="you_blind">'1040'!$Z$8</definedName>
    <definedName name="you_over_64">'1040'!$N$8</definedName>
    <definedName name="You_Owe">'1040'!$AB$61</definedName>
    <definedName name="YouR65">'1040'!$BB$56</definedName>
    <definedName name="YouR70Half">'1040'!$BB$55</definedName>
    <definedName name="YourAge">'1040'!$AX$57</definedName>
    <definedName name="YourAgeDecimal">'1040'!$AX$56</definedName>
    <definedName name="YourBirthDate">'1040'!$AX$52</definedName>
    <definedName name="YourBirthDay">'1040'!$AM$12</definedName>
    <definedName name="YourBirthMonth">'1040'!$AL$12</definedName>
    <definedName name="YourBirthYear">'1040'!$AN$12</definedName>
    <definedName name="Yourself">'1040'!$AP$6</definedName>
  </definedNames>
  <calcPr calcId="145621"/>
</workbook>
</file>

<file path=xl/calcChain.xml><?xml version="1.0" encoding="utf-8"?>
<calcChain xmlns="http://schemas.openxmlformats.org/spreadsheetml/2006/main">
  <c r="AC22" i="78" l="1"/>
  <c r="AM329" i="74" l="1"/>
  <c r="AM328" i="74"/>
  <c r="AM327" i="74"/>
  <c r="AM203" i="74"/>
  <c r="AM202" i="74"/>
  <c r="AM201" i="74"/>
  <c r="AM77" i="74"/>
  <c r="AM76" i="74"/>
  <c r="AM75" i="74"/>
  <c r="F1" i="55" l="1"/>
  <c r="AB124" i="23"/>
  <c r="AB5" i="23"/>
  <c r="C1" i="2" l="1"/>
  <c r="C2" i="2"/>
  <c r="E1" i="51"/>
  <c r="W268" i="68" l="1"/>
  <c r="G249" i="68"/>
  <c r="AR154" i="84" l="1"/>
  <c r="AR153" i="84"/>
  <c r="AR150" i="84"/>
  <c r="AR149" i="84"/>
  <c r="AR148" i="84"/>
  <c r="AR22" i="84"/>
  <c r="AR21" i="84"/>
  <c r="AR20" i="84"/>
  <c r="AR23" i="84" l="1"/>
  <c r="AR25" i="84" s="1"/>
  <c r="AR151" i="84"/>
  <c r="Y136" i="5"/>
  <c r="Y137" i="5" s="1"/>
  <c r="Y22" i="5"/>
  <c r="Y23" i="5" s="1"/>
  <c r="O368" i="60"/>
  <c r="AO3" i="2"/>
  <c r="AB8" i="78" s="1"/>
  <c r="AR26" i="84" l="1"/>
  <c r="N15" i="3"/>
  <c r="AA268" i="74"/>
  <c r="Y138" i="5"/>
  <c r="V11" i="43"/>
  <c r="V11" i="49"/>
  <c r="V11" i="50"/>
  <c r="V11" i="88"/>
  <c r="K14" i="52"/>
  <c r="H9" i="4"/>
  <c r="S11" i="68"/>
  <c r="N9" i="59"/>
  <c r="AB8" i="81"/>
  <c r="L11" i="53"/>
  <c r="L8" i="6"/>
  <c r="AB8" i="79"/>
  <c r="AG8" i="84"/>
  <c r="N119" i="59"/>
  <c r="AB8" i="80"/>
  <c r="AG136" i="84"/>
  <c r="Y9" i="62"/>
  <c r="T19" i="86"/>
  <c r="K10" i="33"/>
  <c r="AB8" i="82"/>
  <c r="AA16" i="74"/>
  <c r="AJ9" i="76"/>
  <c r="AB8" i="83"/>
  <c r="AA142" i="74"/>
  <c r="L9" i="71"/>
  <c r="Y10" i="58"/>
  <c r="AF166" i="23"/>
  <c r="AI14" i="2" l="1"/>
  <c r="AI13" i="2"/>
  <c r="AI12" i="2"/>
  <c r="AI11" i="2"/>
  <c r="K89" i="46" l="1"/>
  <c r="K88" i="46" l="1"/>
  <c r="Y9" i="2" l="1"/>
  <c r="AA5" i="2"/>
  <c r="AP6" i="2" l="1"/>
  <c r="M13" i="15" s="1"/>
  <c r="AP7" i="2"/>
  <c r="R14" i="15" s="1"/>
  <c r="H72" i="68"/>
  <c r="Z5" i="1" l="1"/>
  <c r="AI14" i="78" l="1"/>
  <c r="AE166" i="62" l="1"/>
  <c r="A329" i="74" l="1"/>
  <c r="A328" i="74"/>
  <c r="A327" i="74"/>
  <c r="A330" i="74" s="1"/>
  <c r="A203" i="74"/>
  <c r="A202" i="74"/>
  <c r="A201" i="74"/>
  <c r="A77" i="74"/>
  <c r="A76" i="74"/>
  <c r="A75" i="74"/>
  <c r="A78" i="74" l="1"/>
  <c r="A204" i="74"/>
  <c r="Z23" i="1"/>
  <c r="Z7" i="1"/>
  <c r="Z4" i="1"/>
  <c r="Z8" i="1" l="1"/>
  <c r="U35" i="88"/>
  <c r="Q35" i="88"/>
  <c r="M35" i="88"/>
  <c r="AI35" i="88" s="1"/>
  <c r="J35" i="88"/>
  <c r="AU35" i="88" s="1"/>
  <c r="B35" i="88"/>
  <c r="AX40" i="6"/>
  <c r="AX38" i="6"/>
  <c r="AX20" i="6"/>
  <c r="AX18" i="6"/>
  <c r="AS40" i="6"/>
  <c r="AS38" i="6"/>
  <c r="AS20" i="6"/>
  <c r="AS18" i="6"/>
  <c r="AN40" i="6"/>
  <c r="AN38" i="6"/>
  <c r="AN20" i="6"/>
  <c r="AN18" i="6"/>
  <c r="AI40" i="6"/>
  <c r="AI38" i="6"/>
  <c r="AI20" i="6"/>
  <c r="AI18" i="6"/>
  <c r="AH40" i="6"/>
  <c r="AH38" i="6"/>
  <c r="AH36" i="6"/>
  <c r="AH18" i="6"/>
  <c r="AH16" i="6"/>
  <c r="AC40" i="6"/>
  <c r="AC38" i="6"/>
  <c r="AC20" i="6"/>
  <c r="AC18" i="6"/>
  <c r="AF122" i="88"/>
  <c r="AA115" i="88"/>
  <c r="Y115" i="88"/>
  <c r="U115" i="88"/>
  <c r="Q115" i="88"/>
  <c r="AC115" i="88" s="1"/>
  <c r="M115" i="88"/>
  <c r="J115" i="88"/>
  <c r="AG115" i="88" s="1"/>
  <c r="B115" i="88"/>
  <c r="AT114" i="88"/>
  <c r="AS114" i="88"/>
  <c r="AA114" i="88"/>
  <c r="Y114" i="88"/>
  <c r="U114" i="88"/>
  <c r="Q114" i="88"/>
  <c r="M114" i="88"/>
  <c r="J114" i="88"/>
  <c r="AU114" i="88" s="1"/>
  <c r="B114" i="88"/>
  <c r="AA113" i="88"/>
  <c r="Y113" i="88"/>
  <c r="U113" i="88"/>
  <c r="Q113" i="88"/>
  <c r="AC113" i="88" s="1"/>
  <c r="M113" i="88"/>
  <c r="AW113" i="88" s="1"/>
  <c r="J113" i="88"/>
  <c r="AS113" i="88" s="1"/>
  <c r="B113" i="88"/>
  <c r="AA112" i="88"/>
  <c r="Y112" i="88"/>
  <c r="U112" i="88"/>
  <c r="Q112" i="88"/>
  <c r="M112" i="88"/>
  <c r="AX112" i="88" s="1"/>
  <c r="J112" i="88"/>
  <c r="AT112" i="88" s="1"/>
  <c r="B112" i="88"/>
  <c r="AA111" i="88"/>
  <c r="Y111" i="88"/>
  <c r="A111" i="88" s="1"/>
  <c r="U111" i="88"/>
  <c r="Q111" i="88"/>
  <c r="AC111" i="88" s="1"/>
  <c r="M111" i="88"/>
  <c r="AW111" i="88" s="1"/>
  <c r="J111" i="88"/>
  <c r="AS111" i="88" s="1"/>
  <c r="B111" i="88"/>
  <c r="AA110" i="88"/>
  <c r="Y110" i="88"/>
  <c r="U110" i="88"/>
  <c r="Q110" i="88"/>
  <c r="M110" i="88"/>
  <c r="J110" i="88"/>
  <c r="AT110" i="88" s="1"/>
  <c r="B110" i="88"/>
  <c r="AA109" i="88"/>
  <c r="Y109" i="88"/>
  <c r="U109" i="88"/>
  <c r="Q109" i="88"/>
  <c r="AC109" i="88" s="1"/>
  <c r="A109" i="88" s="1"/>
  <c r="M109" i="88"/>
  <c r="AW109" i="88" s="1"/>
  <c r="J109" i="88"/>
  <c r="AS109" i="88" s="1"/>
  <c r="B109" i="88"/>
  <c r="AT108" i="88"/>
  <c r="AS108" i="88"/>
  <c r="AA108" i="88"/>
  <c r="Y108" i="88"/>
  <c r="U108" i="88"/>
  <c r="Q108" i="88"/>
  <c r="M108" i="88"/>
  <c r="AX108" i="88" s="1"/>
  <c r="J108" i="88"/>
  <c r="AU108" i="88" s="1"/>
  <c r="B108" i="88"/>
  <c r="AA107" i="88"/>
  <c r="Y107" i="88"/>
  <c r="U107" i="88"/>
  <c r="Q107" i="88"/>
  <c r="AC107" i="88" s="1"/>
  <c r="M107" i="88"/>
  <c r="AW107" i="88" s="1"/>
  <c r="J107" i="88"/>
  <c r="AG107" i="88" s="1"/>
  <c r="B107" i="88"/>
  <c r="AA106" i="88"/>
  <c r="Y106" i="88"/>
  <c r="U106" i="88"/>
  <c r="Q106" i="88"/>
  <c r="M106" i="88"/>
  <c r="J106" i="88"/>
  <c r="AT106" i="88" s="1"/>
  <c r="B106" i="88"/>
  <c r="AS105" i="88"/>
  <c r="AA105" i="88"/>
  <c r="Y105" i="88"/>
  <c r="U105" i="88"/>
  <c r="Q105" i="88"/>
  <c r="AC105" i="88" s="1"/>
  <c r="A105" i="88" s="1"/>
  <c r="M105" i="88"/>
  <c r="AW105" i="88" s="1"/>
  <c r="J105" i="88"/>
  <c r="B105" i="88"/>
  <c r="AA104" i="88"/>
  <c r="Y104" i="88"/>
  <c r="U104" i="88"/>
  <c r="Q104" i="88"/>
  <c r="M104" i="88"/>
  <c r="AX104" i="88" s="1"/>
  <c r="J104" i="88"/>
  <c r="AU104" i="88" s="1"/>
  <c r="B104" i="88"/>
  <c r="AS103" i="88"/>
  <c r="AA103" i="88"/>
  <c r="Y103" i="88"/>
  <c r="U103" i="88"/>
  <c r="Q103" i="88"/>
  <c r="AC103" i="88" s="1"/>
  <c r="A103" i="88" s="1"/>
  <c r="M103" i="88"/>
  <c r="AW103" i="88" s="1"/>
  <c r="J103" i="88"/>
  <c r="B103" i="88"/>
  <c r="AW102" i="88"/>
  <c r="AA102" i="88"/>
  <c r="Y102" i="88"/>
  <c r="U102" i="88"/>
  <c r="Q102" i="88"/>
  <c r="M102" i="88"/>
  <c r="AY102" i="88" s="1"/>
  <c r="J102" i="88"/>
  <c r="AG102" i="88" s="1"/>
  <c r="B102" i="88"/>
  <c r="AA101" i="88"/>
  <c r="Y101" i="88"/>
  <c r="U101" i="88"/>
  <c r="A101" i="88" s="1"/>
  <c r="Q101" i="88"/>
  <c r="AC101" i="88" s="1"/>
  <c r="M101" i="88"/>
  <c r="J101" i="88"/>
  <c r="AS101" i="88" s="1"/>
  <c r="B101" i="88"/>
  <c r="AU100" i="88"/>
  <c r="AS100" i="88"/>
  <c r="AA100" i="88"/>
  <c r="Y100" i="88"/>
  <c r="U100" i="88"/>
  <c r="Q100" i="88"/>
  <c r="M100" i="88"/>
  <c r="AY100" i="88" s="1"/>
  <c r="J100" i="88"/>
  <c r="B100" i="88"/>
  <c r="AA99" i="88"/>
  <c r="Y99" i="88"/>
  <c r="U99" i="88"/>
  <c r="Q99" i="88"/>
  <c r="AC99" i="88" s="1"/>
  <c r="M99" i="88"/>
  <c r="AX99" i="88" s="1"/>
  <c r="J99" i="88"/>
  <c r="B99" i="88"/>
  <c r="AW98" i="88"/>
  <c r="AA98" i="88"/>
  <c r="Y98" i="88"/>
  <c r="U98" i="88"/>
  <c r="Q98" i="88"/>
  <c r="AC98" i="88" s="1"/>
  <c r="M98" i="88"/>
  <c r="AY98" i="88" s="1"/>
  <c r="J98" i="88"/>
  <c r="B98" i="88"/>
  <c r="AX97" i="88"/>
  <c r="AA97" i="88"/>
  <c r="Y97" i="88"/>
  <c r="U97" i="88"/>
  <c r="Q97" i="88"/>
  <c r="AC97" i="88" s="1"/>
  <c r="M97" i="88"/>
  <c r="AW97" i="88" s="1"/>
  <c r="J97" i="88"/>
  <c r="AG97" i="88" s="1"/>
  <c r="B97" i="88"/>
  <c r="AA96" i="88"/>
  <c r="Y96" i="88"/>
  <c r="U96" i="88"/>
  <c r="Q96" i="88"/>
  <c r="M96" i="88"/>
  <c r="AY96" i="88" s="1"/>
  <c r="J96" i="88"/>
  <c r="AS96" i="88" s="1"/>
  <c r="B96" i="88"/>
  <c r="AY95" i="88"/>
  <c r="AW95" i="88"/>
  <c r="AA95" i="88"/>
  <c r="Y95" i="88"/>
  <c r="U95" i="88"/>
  <c r="Q95" i="88"/>
  <c r="AC95" i="88" s="1"/>
  <c r="M95" i="88"/>
  <c r="AX95" i="88" s="1"/>
  <c r="J95" i="88"/>
  <c r="AG95" i="88" s="1"/>
  <c r="B95" i="88"/>
  <c r="AW94" i="88"/>
  <c r="AA94" i="88"/>
  <c r="Y94" i="88"/>
  <c r="U94" i="88"/>
  <c r="Q94" i="88"/>
  <c r="M94" i="88"/>
  <c r="AY94" i="88" s="1"/>
  <c r="J94" i="88"/>
  <c r="AG94" i="88" s="1"/>
  <c r="B94" i="88"/>
  <c r="AS93" i="88"/>
  <c r="AA93" i="88"/>
  <c r="Y93" i="88"/>
  <c r="U93" i="88"/>
  <c r="Q93" i="88"/>
  <c r="AC93" i="88" s="1"/>
  <c r="A93" i="88" s="1"/>
  <c r="M93" i="88"/>
  <c r="AY93" i="88" s="1"/>
  <c r="J93" i="88"/>
  <c r="B93" i="88"/>
  <c r="AA92" i="88"/>
  <c r="Y92" i="88"/>
  <c r="U92" i="88"/>
  <c r="Q92" i="88"/>
  <c r="M92" i="88"/>
  <c r="AY92" i="88" s="1"/>
  <c r="J92" i="88"/>
  <c r="AU92" i="88" s="1"/>
  <c r="B92" i="88"/>
  <c r="AX91" i="88"/>
  <c r="AW91" i="88"/>
  <c r="AA91" i="88"/>
  <c r="Y91" i="88"/>
  <c r="U91" i="88"/>
  <c r="Q91" i="88"/>
  <c r="AC91" i="88" s="1"/>
  <c r="A91" i="88" s="1"/>
  <c r="M91" i="88"/>
  <c r="AY91" i="88" s="1"/>
  <c r="J91" i="88"/>
  <c r="AG91" i="88" s="1"/>
  <c r="B91" i="88"/>
  <c r="AA90" i="88"/>
  <c r="Y90" i="88"/>
  <c r="U90" i="88"/>
  <c r="Q90" i="88"/>
  <c r="AC90" i="88" s="1"/>
  <c r="M90" i="88"/>
  <c r="AY90" i="88" s="1"/>
  <c r="J90" i="88"/>
  <c r="B90" i="88"/>
  <c r="AA89" i="88"/>
  <c r="Y89" i="88"/>
  <c r="U89" i="88"/>
  <c r="Q89" i="88"/>
  <c r="AC89" i="88" s="1"/>
  <c r="M89" i="88"/>
  <c r="AY89" i="88" s="1"/>
  <c r="J89" i="88"/>
  <c r="AG89" i="88" s="1"/>
  <c r="B89" i="88"/>
  <c r="AU88" i="88"/>
  <c r="AS88" i="88"/>
  <c r="AA88" i="88"/>
  <c r="Y88" i="88"/>
  <c r="U88" i="88"/>
  <c r="Q88" i="88"/>
  <c r="M88" i="88"/>
  <c r="AY88" i="88" s="1"/>
  <c r="J88" i="88"/>
  <c r="B88" i="88"/>
  <c r="AH82" i="88"/>
  <c r="B82" i="88"/>
  <c r="B80" i="88"/>
  <c r="B78" i="88"/>
  <c r="A82" i="88" s="1"/>
  <c r="V64" i="88"/>
  <c r="B62" i="88"/>
  <c r="AF61" i="88"/>
  <c r="AS54" i="88"/>
  <c r="AA54" i="88"/>
  <c r="Y54" i="88"/>
  <c r="U54" i="88"/>
  <c r="Q54" i="88"/>
  <c r="AC54" i="88" s="1"/>
  <c r="M54" i="88"/>
  <c r="AY54" i="88" s="1"/>
  <c r="J54" i="88"/>
  <c r="B54" i="88"/>
  <c r="AA53" i="88"/>
  <c r="Y53" i="88"/>
  <c r="U53" i="88"/>
  <c r="Q53" i="88"/>
  <c r="M53" i="88"/>
  <c r="AY53" i="88" s="1"/>
  <c r="J53" i="88"/>
  <c r="AU53" i="88" s="1"/>
  <c r="B53" i="88"/>
  <c r="AA52" i="88"/>
  <c r="Y52" i="88"/>
  <c r="U52" i="88"/>
  <c r="AC52" i="88" s="1"/>
  <c r="A52" i="88" s="1"/>
  <c r="Q52" i="88"/>
  <c r="M52" i="88"/>
  <c r="AY52" i="88" s="1"/>
  <c r="J52" i="88"/>
  <c r="B52" i="88"/>
  <c r="AA51" i="88"/>
  <c r="Y51" i="88"/>
  <c r="U51" i="88"/>
  <c r="Q51" i="88"/>
  <c r="AC51" i="88" s="1"/>
  <c r="M51" i="88"/>
  <c r="AY51" i="88" s="1"/>
  <c r="J51" i="88"/>
  <c r="B51" i="88"/>
  <c r="AA50" i="88"/>
  <c r="Y50" i="88"/>
  <c r="U50" i="88"/>
  <c r="Q50" i="88"/>
  <c r="AC50" i="88" s="1"/>
  <c r="M50" i="88"/>
  <c r="AY50" i="88" s="1"/>
  <c r="J50" i="88"/>
  <c r="B50" i="88"/>
  <c r="AA49" i="88"/>
  <c r="Y49" i="88"/>
  <c r="U49" i="88"/>
  <c r="Q49" i="88"/>
  <c r="M49" i="88"/>
  <c r="AY49" i="88" s="1"/>
  <c r="J49" i="88"/>
  <c r="AU49" i="88" s="1"/>
  <c r="B49" i="88"/>
  <c r="AA48" i="88"/>
  <c r="Y48" i="88"/>
  <c r="U48" i="88"/>
  <c r="Q48" i="88"/>
  <c r="M48" i="88"/>
  <c r="AX48" i="88" s="1"/>
  <c r="J48" i="88"/>
  <c r="B48" i="88"/>
  <c r="AA47" i="88"/>
  <c r="Y47" i="88"/>
  <c r="U47" i="88"/>
  <c r="Q47" i="88"/>
  <c r="AC47" i="88" s="1"/>
  <c r="M47" i="88"/>
  <c r="AY47" i="88" s="1"/>
  <c r="J47" i="88"/>
  <c r="B47" i="88"/>
  <c r="AS46" i="88"/>
  <c r="AA46" i="88"/>
  <c r="Y46" i="88"/>
  <c r="U46" i="88"/>
  <c r="Q46" i="88"/>
  <c r="AC46" i="88" s="1"/>
  <c r="A46" i="88" s="1"/>
  <c r="M46" i="88"/>
  <c r="J46" i="88"/>
  <c r="B46" i="88"/>
  <c r="AA45" i="88"/>
  <c r="Y45" i="88"/>
  <c r="U45" i="88"/>
  <c r="Q45" i="88"/>
  <c r="M45" i="88"/>
  <c r="AY45" i="88" s="1"/>
  <c r="J45" i="88"/>
  <c r="AU45" i="88" s="1"/>
  <c r="B45" i="88"/>
  <c r="AY44" i="88"/>
  <c r="AA44" i="88"/>
  <c r="Y44" i="88"/>
  <c r="U44" i="88"/>
  <c r="Q44" i="88"/>
  <c r="M44" i="88"/>
  <c r="AX44" i="88" s="1"/>
  <c r="J44" i="88"/>
  <c r="B44" i="88"/>
  <c r="AA43" i="88"/>
  <c r="Y43" i="88"/>
  <c r="U43" i="88"/>
  <c r="Q43" i="88"/>
  <c r="M43" i="88"/>
  <c r="AY43" i="88" s="1"/>
  <c r="J43" i="88"/>
  <c r="B43" i="88"/>
  <c r="AA42" i="88"/>
  <c r="Y42" i="88"/>
  <c r="U42" i="88"/>
  <c r="Q42" i="88"/>
  <c r="AC42" i="88" s="1"/>
  <c r="A42" i="88" s="1"/>
  <c r="M42" i="88"/>
  <c r="AW42" i="88" s="1"/>
  <c r="J42" i="88"/>
  <c r="AS42" i="88" s="1"/>
  <c r="B42" i="88"/>
  <c r="AU41" i="88"/>
  <c r="AS41" i="88"/>
  <c r="AA41" i="88"/>
  <c r="Y41" i="88"/>
  <c r="U41" i="88"/>
  <c r="Q41" i="88"/>
  <c r="M41" i="88"/>
  <c r="AY41" i="88" s="1"/>
  <c r="J41" i="88"/>
  <c r="B41" i="88"/>
  <c r="AS40" i="88"/>
  <c r="AA40" i="88"/>
  <c r="Y40" i="88"/>
  <c r="U40" i="88"/>
  <c r="Q40" i="88"/>
  <c r="M40" i="88"/>
  <c r="AY40" i="88" s="1"/>
  <c r="J40" i="88"/>
  <c r="AT40" i="88" s="1"/>
  <c r="B40" i="88"/>
  <c r="AS39" i="88"/>
  <c r="AA39" i="88"/>
  <c r="Y39" i="88"/>
  <c r="U39" i="88"/>
  <c r="Q39" i="88"/>
  <c r="AC39" i="88" s="1"/>
  <c r="M39" i="88"/>
  <c r="J39" i="88"/>
  <c r="B39" i="88"/>
  <c r="AS38" i="88"/>
  <c r="AA38" i="88"/>
  <c r="Y38" i="88"/>
  <c r="U38" i="88"/>
  <c r="Q38" i="88"/>
  <c r="M38" i="88"/>
  <c r="AY38" i="88" s="1"/>
  <c r="J38" i="88"/>
  <c r="AT38" i="88" s="1"/>
  <c r="B38" i="88"/>
  <c r="AA37" i="88"/>
  <c r="Y37" i="88"/>
  <c r="U37" i="88"/>
  <c r="Q37" i="88"/>
  <c r="AC37" i="88" s="1"/>
  <c r="M37" i="88"/>
  <c r="J37" i="88"/>
  <c r="AU37" i="88" s="1"/>
  <c r="B37" i="88"/>
  <c r="AA36" i="88"/>
  <c r="Y36" i="88"/>
  <c r="U36" i="88"/>
  <c r="Q36" i="88"/>
  <c r="M36" i="88"/>
  <c r="AY36" i="88" s="1"/>
  <c r="J36" i="88"/>
  <c r="AT36" i="88" s="1"/>
  <c r="B36" i="88"/>
  <c r="AS35" i="88"/>
  <c r="AA35" i="88"/>
  <c r="Y35" i="88"/>
  <c r="AH29" i="88"/>
  <c r="B29" i="88"/>
  <c r="B27" i="88"/>
  <c r="B25" i="88"/>
  <c r="AB5" i="88"/>
  <c r="A115" i="88" l="1"/>
  <c r="A107" i="88"/>
  <c r="A113" i="88"/>
  <c r="A89" i="88"/>
  <c r="AS89" i="88"/>
  <c r="A97" i="88"/>
  <c r="AY107" i="88"/>
  <c r="AU110" i="88"/>
  <c r="AU112" i="88"/>
  <c r="AX89" i="88"/>
  <c r="AI90" i="88"/>
  <c r="A95" i="88"/>
  <c r="AU96" i="88"/>
  <c r="AX98" i="88"/>
  <c r="AI101" i="88"/>
  <c r="AS104" i="88"/>
  <c r="AG109" i="88"/>
  <c r="AY99" i="88"/>
  <c r="AU106" i="88"/>
  <c r="AC44" i="88"/>
  <c r="A44" i="88" s="1"/>
  <c r="AW44" i="88"/>
  <c r="AC48" i="88"/>
  <c r="AX88" i="88"/>
  <c r="AW90" i="88"/>
  <c r="AS92" i="88"/>
  <c r="AX93" i="88"/>
  <c r="AC94" i="88"/>
  <c r="AI94" i="88"/>
  <c r="AX96" i="88"/>
  <c r="AG98" i="88"/>
  <c r="AW99" i="88"/>
  <c r="AT104" i="88"/>
  <c r="AG105" i="88"/>
  <c r="AY105" i="88"/>
  <c r="AS106" i="88"/>
  <c r="AS110" i="88"/>
  <c r="AS112" i="88"/>
  <c r="AG90" i="88"/>
  <c r="AX90" i="88"/>
  <c r="AS97" i="88"/>
  <c r="BA97" i="88" s="1"/>
  <c r="AG99" i="88"/>
  <c r="A99" i="88"/>
  <c r="AC102" i="88"/>
  <c r="AX107" i="88"/>
  <c r="AG113" i="88"/>
  <c r="AY113" i="88"/>
  <c r="AW47" i="88"/>
  <c r="AW48" i="88"/>
  <c r="AI51" i="88"/>
  <c r="AY48" i="88"/>
  <c r="AX49" i="88"/>
  <c r="AW51" i="88"/>
  <c r="AI43" i="88"/>
  <c r="AI46" i="88"/>
  <c r="AI48" i="88"/>
  <c r="AX51" i="88"/>
  <c r="AC36" i="88"/>
  <c r="A50" i="88"/>
  <c r="AS50" i="88"/>
  <c r="AX36" i="88"/>
  <c r="AC38" i="88"/>
  <c r="AT39" i="88"/>
  <c r="AX50" i="88"/>
  <c r="AS37" i="88"/>
  <c r="AI39" i="88"/>
  <c r="AU39" i="88"/>
  <c r="AX42" i="88"/>
  <c r="AS49" i="88"/>
  <c r="AT37" i="88"/>
  <c r="AI37" i="88"/>
  <c r="A39" i="88"/>
  <c r="AU40" i="88"/>
  <c r="AW43" i="88"/>
  <c r="AW52" i="88"/>
  <c r="AX52" i="88"/>
  <c r="A54" i="88"/>
  <c r="AU36" i="88"/>
  <c r="AX40" i="88"/>
  <c r="AU38" i="88"/>
  <c r="AS45" i="88"/>
  <c r="AS53" i="88"/>
  <c r="AS36" i="88"/>
  <c r="AX38" i="88"/>
  <c r="AC40" i="88"/>
  <c r="AX41" i="88"/>
  <c r="AC43" i="88"/>
  <c r="A43" i="88" s="1"/>
  <c r="A48" i="88"/>
  <c r="AC35" i="88"/>
  <c r="A35" i="88" s="1"/>
  <c r="AT35" i="88"/>
  <c r="R82" i="88"/>
  <c r="A29" i="88"/>
  <c r="R29" i="88"/>
  <c r="A37" i="88"/>
  <c r="BA42" i="88"/>
  <c r="AW35" i="88"/>
  <c r="AI36" i="88"/>
  <c r="AW37" i="88"/>
  <c r="AI38" i="88"/>
  <c r="AW39" i="88"/>
  <c r="AI40" i="88"/>
  <c r="AY42" i="88"/>
  <c r="AX43" i="88"/>
  <c r="AC45" i="88"/>
  <c r="A45" i="88" s="1"/>
  <c r="AW45" i="88"/>
  <c r="AW46" i="88"/>
  <c r="AU47" i="88"/>
  <c r="AS48" i="88"/>
  <c r="AT49" i="88"/>
  <c r="AU50" i="88"/>
  <c r="AT50" i="88"/>
  <c r="AI50" i="88"/>
  <c r="AS51" i="88"/>
  <c r="AI53" i="88"/>
  <c r="AG88" i="88"/>
  <c r="AT88" i="88"/>
  <c r="AU89" i="88"/>
  <c r="AT89" i="88"/>
  <c r="AI89" i="88"/>
  <c r="AS90" i="88"/>
  <c r="AI92" i="88"/>
  <c r="AY97" i="88"/>
  <c r="A98" i="88"/>
  <c r="AC100" i="88"/>
  <c r="AW100" i="88"/>
  <c r="AW101" i="88"/>
  <c r="AU102" i="88"/>
  <c r="AX103" i="88"/>
  <c r="AC104" i="88"/>
  <c r="A104" i="88" s="1"/>
  <c r="BA105" i="88"/>
  <c r="AU109" i="88"/>
  <c r="AT109" i="88"/>
  <c r="AI109" i="88"/>
  <c r="AG110" i="88"/>
  <c r="AX111" i="88"/>
  <c r="AC112" i="88"/>
  <c r="A112" i="88" s="1"/>
  <c r="BA113" i="88"/>
  <c r="AI104" i="88"/>
  <c r="AY104" i="88"/>
  <c r="AW104" i="88"/>
  <c r="AI112" i="88"/>
  <c r="AY112" i="88"/>
  <c r="AW112" i="88"/>
  <c r="AX35" i="88"/>
  <c r="AX37" i="88"/>
  <c r="AX39" i="88"/>
  <c r="AX45" i="88"/>
  <c r="AX46" i="88"/>
  <c r="AT51" i="88"/>
  <c r="AU52" i="88"/>
  <c r="AT52" i="88"/>
  <c r="AI52" i="88"/>
  <c r="AT90" i="88"/>
  <c r="AU91" i="88"/>
  <c r="AT91" i="88"/>
  <c r="AI91" i="88"/>
  <c r="AG93" i="88"/>
  <c r="A100" i="88"/>
  <c r="AX100" i="88"/>
  <c r="AX101" i="88"/>
  <c r="AY103" i="88"/>
  <c r="AI110" i="88"/>
  <c r="AY110" i="88"/>
  <c r="AW110" i="88"/>
  <c r="AY111" i="88"/>
  <c r="AU115" i="88"/>
  <c r="AT115" i="88"/>
  <c r="AI115" i="88"/>
  <c r="AT102" i="88"/>
  <c r="AY35" i="88"/>
  <c r="AY37" i="88"/>
  <c r="AY39" i="88"/>
  <c r="AI41" i="88"/>
  <c r="AY46" i="88"/>
  <c r="A47" i="88"/>
  <c r="AX47" i="88"/>
  <c r="AC49" i="88"/>
  <c r="AW49" i="88"/>
  <c r="AW50" i="88"/>
  <c r="AU51" i="88"/>
  <c r="AS52" i="88"/>
  <c r="BB52" i="88" s="1"/>
  <c r="AT53" i="88"/>
  <c r="AU54" i="88"/>
  <c r="AT54" i="88"/>
  <c r="AI54" i="88"/>
  <c r="AC88" i="88"/>
  <c r="AW88" i="88"/>
  <c r="AW89" i="88"/>
  <c r="AU90" i="88"/>
  <c r="AS91" i="88"/>
  <c r="BB91" i="88" s="1"/>
  <c r="AG92" i="88"/>
  <c r="AT92" i="88"/>
  <c r="AU93" i="88"/>
  <c r="AT93" i="88"/>
  <c r="AI93" i="88"/>
  <c r="AS94" i="88"/>
  <c r="AI96" i="88"/>
  <c r="AY101" i="88"/>
  <c r="A102" i="88"/>
  <c r="AX102" i="88"/>
  <c r="BA103" i="88"/>
  <c r="AU107" i="88"/>
  <c r="AT107" i="88"/>
  <c r="AI107" i="88"/>
  <c r="AG108" i="88"/>
  <c r="AX109" i="88"/>
  <c r="BC109" i="88" s="1"/>
  <c r="AC110" i="88"/>
  <c r="AX110" i="88"/>
  <c r="BA111" i="88"/>
  <c r="AX115" i="88"/>
  <c r="AW115" i="88"/>
  <c r="AS115" i="88"/>
  <c r="A49" i="88"/>
  <c r="BA51" i="88"/>
  <c r="AG51" i="88" s="1"/>
  <c r="A88" i="88"/>
  <c r="BA90" i="88"/>
  <c r="AT94" i="88"/>
  <c r="AU95" i="88"/>
  <c r="AT95" i="88"/>
  <c r="AI95" i="88"/>
  <c r="AI98" i="88"/>
  <c r="AS107" i="88"/>
  <c r="BB107" i="88" s="1"/>
  <c r="AI108" i="88"/>
  <c r="AY108" i="88"/>
  <c r="AW108" i="88"/>
  <c r="AY109" i="88"/>
  <c r="A110" i="88"/>
  <c r="AY115" i="88"/>
  <c r="AU48" i="88"/>
  <c r="AT48" i="88"/>
  <c r="BB48" i="88" s="1"/>
  <c r="BA98" i="88"/>
  <c r="AW36" i="88"/>
  <c r="AW38" i="88"/>
  <c r="AW40" i="88"/>
  <c r="AT41" i="88"/>
  <c r="AU42" i="88"/>
  <c r="AT42" i="88"/>
  <c r="AI42" i="88"/>
  <c r="AS43" i="88"/>
  <c r="AI45" i="88"/>
  <c r="BA48" i="88"/>
  <c r="A51" i="88"/>
  <c r="AC53" i="88"/>
  <c r="AW53" i="88"/>
  <c r="AW54" i="88"/>
  <c r="A90" i="88"/>
  <c r="AC92" i="88"/>
  <c r="AW92" i="88"/>
  <c r="AW93" i="88"/>
  <c r="AU94" i="88"/>
  <c r="AS95" i="88"/>
  <c r="AG96" i="88"/>
  <c r="AT96" i="88"/>
  <c r="AU97" i="88"/>
  <c r="AT97" i="88"/>
  <c r="AI97" i="88"/>
  <c r="AS98" i="88"/>
  <c r="AI100" i="88"/>
  <c r="AU105" i="88"/>
  <c r="AT105" i="88"/>
  <c r="AI105" i="88"/>
  <c r="AG106" i="88"/>
  <c r="AC108" i="88"/>
  <c r="A108" i="88" s="1"/>
  <c r="BA109" i="88"/>
  <c r="AU113" i="88"/>
  <c r="AT113" i="88"/>
  <c r="AI113" i="88"/>
  <c r="AG114" i="88"/>
  <c r="AT47" i="88"/>
  <c r="AT43" i="88"/>
  <c r="AU44" i="88"/>
  <c r="AT44" i="88"/>
  <c r="AI44" i="88"/>
  <c r="AI47" i="88"/>
  <c r="BB51" i="88"/>
  <c r="A53" i="88"/>
  <c r="AX53" i="88"/>
  <c r="AX54" i="88"/>
  <c r="BB90" i="88"/>
  <c r="A92" i="88"/>
  <c r="AX92" i="88"/>
  <c r="BA94" i="88"/>
  <c r="AT98" i="88"/>
  <c r="AU99" i="88"/>
  <c r="AT99" i="88"/>
  <c r="AI99" i="88"/>
  <c r="AG101" i="88"/>
  <c r="AI102" i="88"/>
  <c r="AG103" i="88"/>
  <c r="AI106" i="88"/>
  <c r="AY106" i="88"/>
  <c r="AW106" i="88"/>
  <c r="BB109" i="88"/>
  <c r="AG111" i="88"/>
  <c r="AI114" i="88"/>
  <c r="AY114" i="88"/>
  <c r="AW114" i="88"/>
  <c r="A36" i="88"/>
  <c r="A38" i="88"/>
  <c r="A40" i="88"/>
  <c r="AC41" i="88"/>
  <c r="A41" i="88" s="1"/>
  <c r="AW41" i="88"/>
  <c r="AU43" i="88"/>
  <c r="AS44" i="88"/>
  <c r="AT45" i="88"/>
  <c r="AU46" i="88"/>
  <c r="AT46" i="88"/>
  <c r="AS47" i="88"/>
  <c r="BA47" i="88" s="1"/>
  <c r="AI49" i="88"/>
  <c r="BC51" i="88"/>
  <c r="AI88" i="88"/>
  <c r="BC90" i="88"/>
  <c r="A94" i="88"/>
  <c r="AX94" i="88"/>
  <c r="AC96" i="88"/>
  <c r="A96" i="88" s="1"/>
  <c r="AW96" i="88"/>
  <c r="AU98" i="88"/>
  <c r="AS99" i="88"/>
  <c r="BB99" i="88" s="1"/>
  <c r="AG100" i="88"/>
  <c r="AT100" i="88"/>
  <c r="AU101" i="88"/>
  <c r="AT101" i="88"/>
  <c r="AS102" i="88"/>
  <c r="BA102" i="88" s="1"/>
  <c r="AU103" i="88"/>
  <c r="AT103" i="88"/>
  <c r="BB103" i="88" s="1"/>
  <c r="AI103" i="88"/>
  <c r="AG104" i="88"/>
  <c r="AX105" i="88"/>
  <c r="AC106" i="88"/>
  <c r="A106" i="88" s="1"/>
  <c r="AX106" i="88"/>
  <c r="AU111" i="88"/>
  <c r="AT111" i="88"/>
  <c r="BB111" i="88" s="1"/>
  <c r="AI111" i="88"/>
  <c r="AG112" i="88"/>
  <c r="AX113" i="88"/>
  <c r="BB113" i="88" s="1"/>
  <c r="AC114" i="88"/>
  <c r="A114" i="88" s="1"/>
  <c r="AX114" i="88"/>
  <c r="BC97" i="88" l="1"/>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AG69"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AC16" i="6" s="1"/>
  <c r="BB106" i="88"/>
  <c r="BA106" i="88"/>
  <c r="BC106" i="88"/>
  <c r="BA96" i="88"/>
  <c r="BC96" i="88"/>
  <c r="BB96" i="88"/>
  <c r="BA41" i="88"/>
  <c r="BC41" i="88"/>
  <c r="BB41" i="88"/>
  <c r="BA93" i="88"/>
  <c r="BC93" i="88"/>
  <c r="BB93" i="88"/>
  <c r="BC102" i="88"/>
  <c r="A116" i="88"/>
  <c r="AC36"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M37" i="59"/>
  <c r="AG50" i="88" l="1"/>
  <c r="AG37" i="88"/>
  <c r="AG43" i="88"/>
  <c r="AG38" i="88"/>
  <c r="AG53" i="88"/>
  <c r="AG49" i="88"/>
  <c r="AG41" i="88"/>
  <c r="AG46" i="88"/>
  <c r="AG42" i="88"/>
  <c r="Q55" i="88"/>
  <c r="AI16" i="6" s="1"/>
  <c r="AC55" i="88"/>
  <c r="AX16" i="6" s="1"/>
  <c r="AA55" i="88"/>
  <c r="AS16" i="6" s="1"/>
  <c r="U55" i="88"/>
  <c r="AN16" i="6" s="1"/>
  <c r="AA116" i="88"/>
  <c r="AS36" i="6" s="1"/>
  <c r="U116" i="88"/>
  <c r="AN36" i="6" s="1"/>
  <c r="Q116" i="88"/>
  <c r="AI36" i="6" s="1"/>
  <c r="AC116" i="88"/>
  <c r="AX36" i="6" s="1"/>
  <c r="O28" i="3"/>
  <c r="O27" i="3"/>
  <c r="AG16" i="88" l="1"/>
  <c r="C32" i="40"/>
  <c r="D32" i="40"/>
  <c r="D31" i="40"/>
  <c r="H39" i="87" l="1"/>
  <c r="H44" i="87" l="1"/>
  <c r="AG35" i="3" s="1"/>
  <c r="AG38" i="3" s="1"/>
  <c r="H43" i="87"/>
  <c r="H35" i="87"/>
  <c r="H36" i="87"/>
  <c r="H37" i="87"/>
  <c r="AL26" i="78" s="1"/>
  <c r="H38" i="87"/>
  <c r="Q28" i="56" s="1"/>
  <c r="Y28" i="56" s="1"/>
  <c r="H40" i="87"/>
  <c r="H41" i="87"/>
  <c r="Q24" i="56" s="1"/>
  <c r="Y24" i="56" s="1"/>
  <c r="H33" i="87"/>
  <c r="H32" i="87"/>
  <c r="H27" i="87"/>
  <c r="G27" i="87"/>
  <c r="F27" i="87"/>
  <c r="E27" i="87"/>
  <c r="D27" i="87"/>
  <c r="I17" i="87"/>
  <c r="L26" i="12" l="1"/>
  <c r="AC20" i="78"/>
  <c r="AL23" i="78"/>
  <c r="S47" i="3"/>
  <c r="S43" i="3" s="1"/>
  <c r="V47" i="3"/>
  <c r="V45" i="3"/>
  <c r="U47" i="3"/>
  <c r="U45" i="3"/>
  <c r="M114" i="71" l="1"/>
  <c r="AX57" i="2" l="1"/>
  <c r="O73" i="59" l="1"/>
  <c r="I41" i="69" l="1"/>
  <c r="I12" i="69"/>
  <c r="I72" i="70"/>
  <c r="I44" i="70"/>
  <c r="I16" i="70"/>
  <c r="AQ8" i="74" l="1"/>
  <c r="Z38" i="2" l="1"/>
  <c r="V10" i="53" l="1"/>
  <c r="V9" i="53"/>
  <c r="V8" i="53"/>
  <c r="U6" i="53"/>
  <c r="F39" i="13" l="1"/>
  <c r="V12" i="3" l="1"/>
  <c r="AH85" i="68" l="1"/>
  <c r="AH83" i="68"/>
  <c r="AA19" i="68"/>
  <c r="D189" i="68" l="1"/>
  <c r="B214" i="68" l="1"/>
  <c r="W73" i="68" l="1"/>
  <c r="B63" i="68"/>
  <c r="B61" i="68"/>
  <c r="B59" i="68"/>
  <c r="AA59" i="68"/>
  <c r="Z20" i="68"/>
  <c r="Z12" i="68"/>
  <c r="Z9" i="68"/>
  <c r="AH86" i="68"/>
  <c r="AC19" i="68"/>
  <c r="P172" i="68" l="1"/>
  <c r="V162" i="68"/>
  <c r="T162" i="68"/>
  <c r="R162" i="68"/>
  <c r="P162" i="68"/>
  <c r="V172" i="68"/>
  <c r="T172" i="68"/>
  <c r="R172" i="68"/>
  <c r="AO257" i="84"/>
  <c r="AJ245" i="84"/>
  <c r="Y236" i="84"/>
  <c r="F236" i="84"/>
  <c r="AK238" i="84" s="1"/>
  <c r="AH235" i="84"/>
  <c r="O235" i="84"/>
  <c r="Z219" i="84"/>
  <c r="S219" i="84"/>
  <c r="F219" i="84"/>
  <c r="AH218" i="84"/>
  <c r="K218" i="84"/>
  <c r="AO190" i="84"/>
  <c r="AD182" i="84"/>
  <c r="AD181" i="84"/>
  <c r="BB178" i="84"/>
  <c r="AZ178" i="84"/>
  <c r="AJ173" i="84"/>
  <c r="AJ176" i="84" s="1"/>
  <c r="BD176" i="84" s="1"/>
  <c r="BD179" i="84" s="1"/>
  <c r="AD173" i="84"/>
  <c r="AD176" i="84" s="1"/>
  <c r="V173" i="84"/>
  <c r="AJ157" i="84"/>
  <c r="BE150" i="84" s="1"/>
  <c r="AD157" i="84"/>
  <c r="BE149" i="84" s="1"/>
  <c r="V157" i="84"/>
  <c r="BE148" i="84" s="1"/>
  <c r="BB154" i="84"/>
  <c r="BA154" i="84"/>
  <c r="AZ154" i="84"/>
  <c r="BB152" i="84"/>
  <c r="BA152" i="84"/>
  <c r="AZ152" i="84"/>
  <c r="BB151" i="84"/>
  <c r="BA151" i="84"/>
  <c r="AZ151" i="84"/>
  <c r="D140" i="84"/>
  <c r="H132" i="84"/>
  <c r="AI131" i="84"/>
  <c r="AJ237" i="84" l="1"/>
  <c r="AD183" i="84"/>
  <c r="AH220" i="84"/>
  <c r="BD178" i="84"/>
  <c r="BC152" i="84"/>
  <c r="AD180" i="84" s="1"/>
  <c r="BE151" i="84"/>
  <c r="I151" i="84" s="1"/>
  <c r="AI221" i="84"/>
  <c r="BB176" i="84"/>
  <c r="BB179" i="84" s="1"/>
  <c r="AE178" i="84"/>
  <c r="BB177" i="84" s="1"/>
  <c r="BA176" i="84"/>
  <c r="AJ239" i="84"/>
  <c r="AH222" i="84"/>
  <c r="BC151" i="84"/>
  <c r="AD179" i="84" s="1"/>
  <c r="AK178" i="84"/>
  <c r="BD177" i="84" s="1"/>
  <c r="BC176" i="84"/>
  <c r="V176" i="84"/>
  <c r="AY176" i="84" l="1"/>
  <c r="AJ184" i="84" s="1"/>
  <c r="W178" i="84"/>
  <c r="AZ176" i="84"/>
  <c r="AZ179" i="84" s="1"/>
  <c r="D117" i="68"/>
  <c r="U103" i="68"/>
  <c r="AZ177" i="84" l="1"/>
  <c r="AK186" i="84" s="1"/>
  <c r="P183" i="68"/>
  <c r="T183" i="68"/>
  <c r="R183" i="68"/>
  <c r="AJ189" i="84" l="1"/>
  <c r="AJ248" i="84" s="1"/>
  <c r="AV248" i="84" s="1"/>
  <c r="AV249" i="84" s="1"/>
  <c r="AK185" i="84"/>
  <c r="W117" i="33"/>
  <c r="V89" i="33"/>
  <c r="AG87" i="33"/>
  <c r="W88" i="33"/>
  <c r="AN21" i="81" l="1"/>
  <c r="AL26" i="81"/>
  <c r="S11" i="46"/>
  <c r="E11" i="46"/>
  <c r="B79" i="46" l="1"/>
  <c r="O51" i="46"/>
  <c r="G51" i="46"/>
  <c r="G209" i="46" l="1"/>
  <c r="E207" i="46"/>
  <c r="E162" i="46"/>
  <c r="E159" i="46"/>
  <c r="E151" i="46"/>
  <c r="J144" i="46"/>
  <c r="E97" i="46"/>
  <c r="C60" i="53" l="1"/>
  <c r="C47" i="53"/>
  <c r="E62" i="30" l="1"/>
  <c r="D62" i="30"/>
  <c r="E50" i="30"/>
  <c r="F50" i="30"/>
  <c r="G50" i="30"/>
  <c r="H50" i="30"/>
  <c r="I50" i="30"/>
  <c r="J50" i="30"/>
  <c r="K50" i="30"/>
  <c r="L50" i="30"/>
  <c r="D50" i="30"/>
  <c r="E25" i="30"/>
  <c r="F25" i="30"/>
  <c r="G25" i="30"/>
  <c r="H25" i="30"/>
  <c r="I25" i="30"/>
  <c r="J25" i="30"/>
  <c r="K25" i="30"/>
  <c r="L25" i="30"/>
  <c r="D25" i="30"/>
  <c r="N50" i="30" l="1"/>
  <c r="N25" i="30"/>
  <c r="E71" i="30" s="1"/>
  <c r="E7" i="37" l="1"/>
  <c r="E8" i="37"/>
  <c r="N31" i="30" l="1"/>
  <c r="M31" i="30"/>
  <c r="N6" i="30"/>
  <c r="M6" i="30"/>
  <c r="E56" i="30"/>
  <c r="D56" i="30"/>
  <c r="X56" i="30"/>
  <c r="W56" i="30"/>
  <c r="V56" i="30"/>
  <c r="U56" i="30"/>
  <c r="T56" i="30"/>
  <c r="S56" i="30"/>
  <c r="R56" i="30"/>
  <c r="Q56" i="30"/>
  <c r="P56" i="30"/>
  <c r="X31" i="30"/>
  <c r="W31" i="30"/>
  <c r="V31" i="30"/>
  <c r="U31" i="30"/>
  <c r="T31" i="30"/>
  <c r="S31" i="30"/>
  <c r="R31" i="30"/>
  <c r="Q31" i="30"/>
  <c r="P31" i="30"/>
  <c r="X6" i="30"/>
  <c r="W6" i="30"/>
  <c r="V6" i="30"/>
  <c r="U6" i="30"/>
  <c r="T6" i="30"/>
  <c r="S6" i="30"/>
  <c r="R6" i="30"/>
  <c r="Q6" i="30"/>
  <c r="P6" i="30"/>
  <c r="D25" i="64" l="1"/>
  <c r="C31" i="40" l="1"/>
  <c r="V28" i="3" l="1"/>
  <c r="V29" i="3"/>
  <c r="R91" i="59" l="1"/>
  <c r="C72" i="59"/>
  <c r="R73" i="59"/>
  <c r="R72" i="59"/>
  <c r="R71" i="59"/>
  <c r="E108" i="59"/>
  <c r="R90" i="59"/>
  <c r="C91" i="59"/>
  <c r="C75" i="59"/>
  <c r="J65" i="59"/>
  <c r="AD303" i="74"/>
  <c r="W303" i="74"/>
  <c r="P303" i="74"/>
  <c r="AD177" i="74"/>
  <c r="W177" i="74"/>
  <c r="P177" i="74"/>
  <c r="AD51" i="74"/>
  <c r="W51" i="74"/>
  <c r="P51" i="74"/>
  <c r="AB141" i="33" l="1"/>
  <c r="W141" i="33"/>
  <c r="D194" i="62"/>
  <c r="T191" i="62"/>
  <c r="AI131" i="62"/>
  <c r="W129" i="62"/>
  <c r="Y81" i="56" l="1"/>
  <c r="G30" i="40" l="1"/>
  <c r="AE193" i="23" l="1"/>
  <c r="AE202" i="23"/>
  <c r="AE80" i="23"/>
  <c r="AE71" i="23"/>
  <c r="H31" i="4"/>
  <c r="K36" i="63"/>
  <c r="D321" i="60"/>
  <c r="D364" i="60"/>
  <c r="D291" i="60"/>
  <c r="A261" i="60"/>
  <c r="D159" i="60"/>
  <c r="D109" i="60"/>
  <c r="C25" i="85" l="1"/>
  <c r="C21" i="85"/>
  <c r="C7" i="85"/>
  <c r="D49" i="14"/>
  <c r="F32" i="14"/>
  <c r="AI67" i="78"/>
  <c r="AF12" i="83"/>
  <c r="T110" i="86" l="1"/>
  <c r="C123" i="86"/>
  <c r="AB128"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4" i="86"/>
  <c r="AB75" i="86"/>
  <c r="X14" i="86"/>
  <c r="AA31" i="86" l="1"/>
  <c r="E8" i="86"/>
  <c r="E10" i="86"/>
  <c r="R8" i="86"/>
  <c r="AH44" i="68"/>
  <c r="Q52" i="43" l="1"/>
  <c r="AL6" i="80" l="1"/>
  <c r="P51" i="6" l="1"/>
  <c r="P101" i="6"/>
  <c r="C40" i="52"/>
  <c r="E50" i="3" l="1"/>
  <c r="U48" i="6" l="1"/>
  <c r="U47" i="6"/>
  <c r="U46" i="6"/>
  <c r="U26" i="6"/>
  <c r="U25" i="6"/>
  <c r="U24" i="6"/>
  <c r="C14" i="37"/>
  <c r="AD22" i="71" l="1"/>
  <c r="AD94" i="71"/>
  <c r="AD113" i="71" s="1"/>
  <c r="AJ94" i="71" l="1"/>
  <c r="AJ22" i="71"/>
  <c r="AD23" i="71" l="1"/>
  <c r="U30" i="71"/>
  <c r="U101" i="71"/>
  <c r="AD95" i="71"/>
  <c r="AD46" i="71"/>
  <c r="D28" i="60"/>
  <c r="D27" i="60"/>
  <c r="A26" i="60"/>
  <c r="AD47" i="71" l="1"/>
  <c r="AD24" i="71"/>
  <c r="AD25" i="71" s="1"/>
  <c r="AD26" i="71" s="1"/>
  <c r="AD27" i="71" s="1"/>
  <c r="AD28" i="71" s="1"/>
  <c r="AD29" i="71" s="1"/>
  <c r="AD30" i="71" s="1"/>
  <c r="AD31" i="71" s="1"/>
  <c r="AD32" i="71" s="1"/>
  <c r="AD33" i="71" s="1"/>
  <c r="AD96" i="71"/>
  <c r="AD97" i="71" s="1"/>
  <c r="AD98" i="71" s="1"/>
  <c r="AD99" i="71" s="1"/>
  <c r="AD100" i="71" s="1"/>
  <c r="AD101" i="71" s="1"/>
  <c r="AD102" i="71" s="1"/>
  <c r="AD103" i="71" s="1"/>
  <c r="AD104" i="71" s="1"/>
  <c r="AD105" i="71" s="1"/>
  <c r="AD114" i="71"/>
  <c r="AI114" i="71" s="1"/>
  <c r="X112" i="71"/>
  <c r="AD48" i="71" l="1"/>
  <c r="AI113" i="71"/>
  <c r="AD49" i="71" l="1"/>
  <c r="AB41" i="71"/>
  <c r="K56" i="71"/>
  <c r="AD117" i="71" l="1"/>
  <c r="AD50" i="71"/>
  <c r="V101" i="71"/>
  <c r="V30" i="71"/>
  <c r="AD120" i="71"/>
  <c r="X45" i="71"/>
  <c r="Q7" i="71"/>
  <c r="L82" i="71" s="1"/>
  <c r="U5" i="71"/>
  <c r="T5" i="71"/>
  <c r="E2" i="71" s="1"/>
  <c r="AD118" i="71" l="1"/>
  <c r="AD51" i="71"/>
  <c r="AD121" i="71"/>
  <c r="Q8" i="71"/>
  <c r="AD119" i="71" l="1"/>
  <c r="AD52" i="71"/>
  <c r="AD53" i="71" l="1"/>
  <c r="C22" i="71"/>
  <c r="AD54" i="71" l="1"/>
  <c r="Z95" i="71"/>
  <c r="Z96" i="71" s="1"/>
  <c r="Z97" i="71" s="1"/>
  <c r="Z98" i="71" s="1"/>
  <c r="Z99" i="71" s="1"/>
  <c r="Z100" i="71" s="1"/>
  <c r="Z101" i="71" s="1"/>
  <c r="Z102" i="71" s="1"/>
  <c r="Z103" i="71" s="1"/>
  <c r="Z104" i="71" s="1"/>
  <c r="Z105" i="71" s="1"/>
  <c r="Z23" i="71"/>
  <c r="Z24" i="71" s="1"/>
  <c r="Z25" i="71" s="1"/>
  <c r="Z26" i="71" s="1"/>
  <c r="Z27" i="71" s="1"/>
  <c r="Z28" i="71" s="1"/>
  <c r="Z29" i="71" s="1"/>
  <c r="Z30" i="71" s="1"/>
  <c r="Z31" i="71" s="1"/>
  <c r="Z32" i="71" s="1"/>
  <c r="Z33" i="71" s="1"/>
  <c r="AD55" i="71" l="1"/>
  <c r="P95" i="71"/>
  <c r="AD57" i="71" l="1"/>
  <c r="AD56" i="71"/>
  <c r="C95" i="71"/>
  <c r="AA88" i="43"/>
  <c r="Y88" i="43"/>
  <c r="U88" i="43"/>
  <c r="Q88" i="43"/>
  <c r="AC88" i="43" s="1"/>
  <c r="M88" i="43"/>
  <c r="J88" i="43"/>
  <c r="B88" i="43"/>
  <c r="H116" i="46" l="1"/>
  <c r="B18" i="46"/>
  <c r="B232" i="23" l="1"/>
  <c r="B113" i="23"/>
  <c r="J129" i="5"/>
  <c r="G129" i="5"/>
  <c r="C17" i="5"/>
  <c r="J15" i="5"/>
  <c r="G15" i="5"/>
  <c r="AE21" i="76" l="1"/>
  <c r="D131" i="60" l="1"/>
  <c r="D120" i="60"/>
  <c r="M101" i="60"/>
  <c r="M96" i="60"/>
  <c r="D100" i="60"/>
  <c r="D99" i="60"/>
  <c r="D103" i="60"/>
  <c r="D24" i="60"/>
  <c r="D19" i="60"/>
  <c r="D16" i="60"/>
  <c r="D13" i="60"/>
  <c r="D10" i="60"/>
  <c r="V173" i="28" l="1"/>
  <c r="V172" i="28"/>
  <c r="V166" i="28"/>
  <c r="V165" i="28"/>
  <c r="Y160" i="28"/>
  <c r="V160" i="28" s="1"/>
  <c r="Y157" i="28"/>
  <c r="V157" i="28" s="1"/>
  <c r="Y152" i="28"/>
  <c r="Y151" i="28"/>
  <c r="V151" i="28" s="1"/>
  <c r="Y148" i="28"/>
  <c r="V148" i="28" s="1"/>
  <c r="X123" i="28"/>
  <c r="X122" i="28"/>
  <c r="AB103" i="37"/>
  <c r="Y124" i="37"/>
  <c r="Y123" i="37"/>
  <c r="Y117" i="37"/>
  <c r="Y116" i="37"/>
  <c r="AB111" i="37"/>
  <c r="Y111" i="37" s="1"/>
  <c r="AB108" i="37"/>
  <c r="Y108" i="37" s="1"/>
  <c r="AB102" i="37"/>
  <c r="Y102" i="37" s="1"/>
  <c r="AB99" i="37"/>
  <c r="Y99" i="37" s="1"/>
  <c r="W54" i="33"/>
  <c r="V50" i="33"/>
  <c r="V46" i="33"/>
  <c r="I19" i="63"/>
  <c r="I17" i="63"/>
  <c r="X127" i="28" l="1"/>
  <c r="X124" i="28"/>
  <c r="X139" i="37"/>
  <c r="X138" i="37"/>
  <c r="X132" i="37"/>
  <c r="X131" i="37"/>
  <c r="AA74" i="37"/>
  <c r="AA73" i="37"/>
  <c r="I77" i="37"/>
  <c r="W71" i="37"/>
  <c r="AA75" i="37" l="1"/>
  <c r="AA78" i="37"/>
  <c r="X20" i="28" l="1"/>
  <c r="AO16" i="2" l="1"/>
  <c r="BF65" i="2"/>
  <c r="BF66" i="2" s="1"/>
  <c r="AJ15" i="2"/>
  <c r="BE69" i="2"/>
  <c r="BF69" i="2" s="1"/>
  <c r="BF67" i="2" s="1"/>
  <c r="AT13" i="2"/>
  <c r="AT11" i="2"/>
  <c r="AK7" i="2"/>
  <c r="AC101" i="68"/>
  <c r="AB101" i="68" s="1"/>
  <c r="BF5" i="2"/>
  <c r="BF4" i="2"/>
  <c r="BF3" i="2"/>
  <c r="BE5" i="2"/>
  <c r="BE4" i="2"/>
  <c r="BE3" i="2"/>
  <c r="BD5" i="2"/>
  <c r="BD4" i="2"/>
  <c r="BD3" i="2"/>
  <c r="BF6" i="2" l="1"/>
  <c r="BE6" i="2"/>
  <c r="BD6" i="2"/>
  <c r="AF4" i="3"/>
  <c r="AB3" i="3"/>
  <c r="AD6" i="3"/>
  <c r="V14" i="3"/>
  <c r="AC12" i="3"/>
  <c r="AC10" i="3"/>
  <c r="AC8" i="3"/>
  <c r="AF12" i="3"/>
  <c r="AF10" i="3"/>
  <c r="AF8" i="3"/>
  <c r="AG6" i="3"/>
  <c r="E29" i="3"/>
  <c r="BF68" i="2" l="1"/>
  <c r="AL17" i="2" s="1"/>
  <c r="BE7" i="2"/>
  <c r="AE100" i="68" s="1"/>
  <c r="D52" i="4"/>
  <c r="D51" i="4"/>
  <c r="D50" i="4"/>
  <c r="D48" i="4"/>
  <c r="D47" i="4"/>
  <c r="D46" i="4"/>
  <c r="D45" i="4"/>
  <c r="D44" i="4"/>
  <c r="D43" i="4"/>
  <c r="D42" i="4"/>
  <c r="D41" i="4"/>
  <c r="D40" i="4"/>
  <c r="D39" i="4"/>
  <c r="D38" i="4"/>
  <c r="D36" i="4"/>
  <c r="E113" i="70"/>
  <c r="F113" i="70"/>
  <c r="G113" i="70"/>
  <c r="D113" i="70"/>
  <c r="D49" i="4" s="1"/>
  <c r="E85" i="70"/>
  <c r="F85" i="70"/>
  <c r="G85" i="70"/>
  <c r="H85" i="70"/>
  <c r="D85" i="70"/>
  <c r="E57" i="70"/>
  <c r="F57" i="70"/>
  <c r="G57" i="70"/>
  <c r="H57" i="70"/>
  <c r="D57" i="70"/>
  <c r="F29" i="70"/>
  <c r="G29" i="70"/>
  <c r="D37" i="4" s="1"/>
  <c r="H29" i="70"/>
  <c r="D29" i="70"/>
  <c r="D34" i="4" s="1"/>
  <c r="Z95" i="68" l="1"/>
  <c r="Z94" i="68"/>
  <c r="AB100" i="68"/>
  <c r="AK22" i="2"/>
  <c r="AK21" i="2"/>
  <c r="H56" i="1" l="1"/>
  <c r="G56" i="1"/>
  <c r="F56" i="1"/>
  <c r="E56" i="1"/>
  <c r="D56" i="1"/>
  <c r="C56" i="1"/>
  <c r="E26" i="1"/>
  <c r="F26" i="1"/>
  <c r="G26" i="1"/>
  <c r="H26" i="1"/>
  <c r="I56" i="1" l="1"/>
  <c r="L1" i="1"/>
  <c r="Z6" i="1" s="1"/>
  <c r="S18" i="59" l="1"/>
  <c r="O11" i="59" s="1"/>
  <c r="P11" i="59"/>
  <c r="C98" i="15" l="1"/>
  <c r="AX44" i="2"/>
  <c r="AX43" i="2"/>
  <c r="D72" i="15"/>
  <c r="D73" i="15"/>
  <c r="D70" i="15"/>
  <c r="D69" i="15"/>
  <c r="D68" i="15"/>
  <c r="G55" i="15"/>
  <c r="G54" i="15"/>
  <c r="G45" i="15"/>
  <c r="G46" i="15"/>
  <c r="AI49" i="78"/>
  <c r="AJ49" i="78" s="1"/>
  <c r="AJ67" i="78" l="1"/>
  <c r="AJ58" i="78"/>
  <c r="AJ51" i="78"/>
  <c r="AI46" i="78"/>
  <c r="AJ46" i="78" s="1"/>
  <c r="AI63" i="78"/>
  <c r="AJ63" i="78" s="1"/>
  <c r="AI60" i="78"/>
  <c r="AJ60" i="78" s="1"/>
  <c r="AI58" i="78"/>
  <c r="AI56" i="78"/>
  <c r="AJ56" i="78" s="1"/>
  <c r="AI54" i="78"/>
  <c r="AJ54" i="78" s="1"/>
  <c r="AI51" i="78"/>
  <c r="AI47" i="78"/>
  <c r="AJ47" i="78" s="1"/>
  <c r="AI45" i="78"/>
  <c r="I67" i="78"/>
  <c r="AJ45" i="78" l="1"/>
  <c r="AJ68" i="78" s="1"/>
  <c r="M40" i="78" s="1"/>
  <c r="T69" i="78"/>
  <c r="AI26" i="2"/>
  <c r="AI27" i="2"/>
  <c r="E65" i="46" l="1"/>
  <c r="AH20" i="2"/>
  <c r="AH21" i="2"/>
  <c r="AH22" i="2"/>
  <c r="AH19" i="2"/>
  <c r="AK24" i="2" s="1"/>
  <c r="K29" i="46" s="1"/>
  <c r="AI20" i="2"/>
  <c r="AI21" i="2"/>
  <c r="AI22" i="2"/>
  <c r="AI19" i="2"/>
  <c r="AK23" i="2" l="1"/>
  <c r="N6" i="60" s="1"/>
  <c r="U10" i="46"/>
  <c r="U12" i="46"/>
  <c r="U9" i="46"/>
  <c r="L29" i="46"/>
  <c r="L26" i="46"/>
  <c r="D28" i="46"/>
  <c r="D25" i="46"/>
  <c r="G52" i="46"/>
  <c r="Q10" i="46" l="1"/>
  <c r="Q12" i="46"/>
  <c r="Q9" i="46"/>
  <c r="Q11" i="46"/>
  <c r="G144" i="46"/>
  <c r="X109" i="28"/>
  <c r="X108" i="28"/>
  <c r="V105" i="28"/>
  <c r="X101" i="28"/>
  <c r="X100" i="28"/>
  <c r="V98" i="28"/>
  <c r="J4" i="85"/>
  <c r="J6" i="85"/>
  <c r="B2" i="85"/>
  <c r="I7" i="85"/>
  <c r="I25" i="65"/>
  <c r="M21" i="65"/>
  <c r="M17" i="65"/>
  <c r="G15" i="65"/>
  <c r="E13" i="65"/>
  <c r="A13" i="65" s="1"/>
  <c r="E9" i="65"/>
  <c r="A9" i="65" s="1"/>
  <c r="H11" i="65"/>
  <c r="H7" i="65"/>
  <c r="E41" i="14"/>
  <c r="I17" i="14"/>
  <c r="O8" i="14"/>
  <c r="O7" i="14"/>
  <c r="O6" i="14"/>
  <c r="O5" i="14"/>
  <c r="E7" i="14"/>
  <c r="H98" i="70"/>
  <c r="J5" i="85" s="1"/>
  <c r="B5" i="85" s="1"/>
  <c r="V67" i="28" l="1"/>
  <c r="V66" i="28"/>
  <c r="V60" i="28"/>
  <c r="V59" i="28"/>
  <c r="V88" i="28"/>
  <c r="V87" i="28"/>
  <c r="U84" i="28"/>
  <c r="V82" i="28"/>
  <c r="V81" i="28"/>
  <c r="U78" i="28"/>
  <c r="X19" i="28"/>
  <c r="X12" i="28"/>
  <c r="X11" i="28"/>
  <c r="C30" i="40" l="1"/>
  <c r="C29" i="40"/>
  <c r="D17" i="40"/>
  <c r="C17" i="40"/>
  <c r="BW157" i="68"/>
  <c r="BQ157" i="68"/>
  <c r="BW156" i="68"/>
  <c r="BQ156" i="68"/>
  <c r="BW145" i="68"/>
  <c r="BQ145" i="68"/>
  <c r="BW144" i="68"/>
  <c r="BQ144" i="68"/>
  <c r="BW139" i="68"/>
  <c r="BQ139" i="68"/>
  <c r="BW138" i="68"/>
  <c r="BQ138" i="68"/>
  <c r="BW205" i="68"/>
  <c r="BQ205" i="68"/>
  <c r="BW204" i="68"/>
  <c r="BQ204" i="68"/>
  <c r="BW199" i="68"/>
  <c r="BW198" i="68"/>
  <c r="BQ199" i="68"/>
  <c r="BQ198" i="68"/>
  <c r="BW211" i="68"/>
  <c r="BW210" i="68"/>
  <c r="BQ211" i="68"/>
  <c r="BQ210" i="68"/>
  <c r="BW151" i="68"/>
  <c r="BW150" i="68"/>
  <c r="BQ151" i="68"/>
  <c r="BQ150" i="68"/>
  <c r="BW193" i="68"/>
  <c r="BW192" i="68"/>
  <c r="BQ193" i="68"/>
  <c r="BQ192" i="68"/>
  <c r="BW187" i="68"/>
  <c r="BW186" i="68"/>
  <c r="BQ187" i="68"/>
  <c r="BQ186" i="68"/>
  <c r="BW181" i="68"/>
  <c r="BW180" i="68"/>
  <c r="BW175" i="68"/>
  <c r="BW174" i="68"/>
  <c r="BW169" i="68"/>
  <c r="BW168" i="68"/>
  <c r="BW163" i="68"/>
  <c r="BW162" i="68"/>
  <c r="BQ181" i="68"/>
  <c r="BQ180" i="68"/>
  <c r="BQ175" i="68"/>
  <c r="BQ174" i="68"/>
  <c r="BQ169" i="68"/>
  <c r="BQ168" i="68"/>
  <c r="BQ163" i="68"/>
  <c r="BQ162" i="68"/>
  <c r="AZ326" i="68"/>
  <c r="AY326" i="68"/>
  <c r="AX326" i="68"/>
  <c r="AW326" i="68"/>
  <c r="AK195" i="68"/>
  <c r="AM195" i="68"/>
  <c r="AO195" i="68"/>
  <c r="AQ195" i="68"/>
  <c r="AX319" i="68" s="1"/>
  <c r="AW312" i="68"/>
  <c r="AZ315" i="68"/>
  <c r="AY315" i="68"/>
  <c r="AX315" i="68"/>
  <c r="AW315" i="68"/>
  <c r="AZ312" i="68"/>
  <c r="AY312" i="68"/>
  <c r="AX312" i="68"/>
  <c r="AZ310" i="68"/>
  <c r="AY310" i="68"/>
  <c r="AX310" i="68"/>
  <c r="AW310" i="68"/>
  <c r="K26" i="46" l="1"/>
  <c r="Q25" i="46" s="1"/>
  <c r="Q28" i="46"/>
  <c r="AO197" i="68"/>
  <c r="AY319" i="68"/>
  <c r="AQ197" i="68"/>
  <c r="AZ319" i="68"/>
  <c r="AK197" i="68"/>
  <c r="AW319" i="68"/>
  <c r="AM197" i="68"/>
  <c r="O33" i="46" l="1"/>
  <c r="AI263" i="68"/>
  <c r="AC259" i="68"/>
  <c r="AQ252" i="68"/>
  <c r="AQ253" i="68" s="1"/>
  <c r="AO252" i="68"/>
  <c r="AO253" i="68" s="1"/>
  <c r="AM252" i="68"/>
  <c r="AM253" i="68" s="1"/>
  <c r="AK252" i="68"/>
  <c r="AK253" i="68" s="1"/>
  <c r="AB238" i="68"/>
  <c r="AP244" i="68"/>
  <c r="AN244" i="68"/>
  <c r="AL244" i="68"/>
  <c r="AJ244" i="68"/>
  <c r="AC225" i="68"/>
  <c r="AC224" i="68"/>
  <c r="AC218" i="68"/>
  <c r="AC217" i="68"/>
  <c r="AQ255" i="68" l="1"/>
  <c r="AZ309" i="68" s="1"/>
  <c r="BV202" i="68"/>
  <c r="AK255" i="68"/>
  <c r="BV208" i="68" s="1"/>
  <c r="BP196" i="68"/>
  <c r="AM255" i="68"/>
  <c r="BP208" i="68" s="1"/>
  <c r="BV196" i="68"/>
  <c r="AO255" i="68"/>
  <c r="AY309" i="68" s="1"/>
  <c r="BP202" i="68"/>
  <c r="AC214" i="68"/>
  <c r="AC197" i="68"/>
  <c r="AC199" i="68"/>
  <c r="AC196" i="68"/>
  <c r="AQ188" i="68"/>
  <c r="AO188" i="68"/>
  <c r="AM188" i="68"/>
  <c r="AK188" i="68"/>
  <c r="AQ166" i="68"/>
  <c r="AO166" i="68"/>
  <c r="AM166" i="68"/>
  <c r="AK166" i="68"/>
  <c r="AQ178" i="68"/>
  <c r="AQ179" i="68" s="1"/>
  <c r="AO178" i="68"/>
  <c r="AO179" i="68" s="1"/>
  <c r="AM178" i="68"/>
  <c r="AM179" i="68" s="1"/>
  <c r="AK178" i="68"/>
  <c r="AK179" i="68" s="1"/>
  <c r="AB152" i="68"/>
  <c r="AX309" i="68" l="1"/>
  <c r="BR203" i="68"/>
  <c r="BT203" i="68"/>
  <c r="BQ203" i="68"/>
  <c r="BS203" i="68"/>
  <c r="BQ197" i="68"/>
  <c r="BS197" i="68"/>
  <c r="BT197" i="68"/>
  <c r="BR197" i="68"/>
  <c r="BV172" i="68"/>
  <c r="BP142" i="68"/>
  <c r="BZ209" i="68"/>
  <c r="BW209" i="68"/>
  <c r="BY209" i="68"/>
  <c r="BX209" i="68"/>
  <c r="AW309" i="68"/>
  <c r="BW197" i="68"/>
  <c r="BX197" i="68"/>
  <c r="BV199" i="68" s="1"/>
  <c r="BY197" i="68"/>
  <c r="BZ197" i="68"/>
  <c r="BY203" i="68"/>
  <c r="BZ203" i="68"/>
  <c r="BW203" i="68"/>
  <c r="BX203" i="68"/>
  <c r="BV205" i="68" s="1"/>
  <c r="BV166" i="68"/>
  <c r="BV136" i="68"/>
  <c r="BQ209" i="68"/>
  <c r="BR209" i="68"/>
  <c r="BS209" i="68"/>
  <c r="BT209" i="68"/>
  <c r="BV142" i="68"/>
  <c r="BV178" i="68"/>
  <c r="AM189" i="68"/>
  <c r="AX316" i="68"/>
  <c r="AQ189" i="68"/>
  <c r="AZ316" i="68"/>
  <c r="AK189" i="68"/>
  <c r="AW316" i="68"/>
  <c r="AO189" i="68"/>
  <c r="AY316" i="68"/>
  <c r="AW311" i="68"/>
  <c r="AW313" i="68"/>
  <c r="AY311" i="68"/>
  <c r="AY313" i="68"/>
  <c r="AZ313" i="68"/>
  <c r="AZ311" i="68"/>
  <c r="AX311" i="68"/>
  <c r="AX313" i="68"/>
  <c r="AM167" i="68"/>
  <c r="AK167" i="68"/>
  <c r="AK181" i="68" s="1"/>
  <c r="AO167" i="68"/>
  <c r="AO181" i="68" s="1"/>
  <c r="AQ167" i="68"/>
  <c r="AQ181" i="68" s="1"/>
  <c r="V8" i="36"/>
  <c r="V45" i="36"/>
  <c r="V44" i="36"/>
  <c r="V43" i="36"/>
  <c r="V42" i="36"/>
  <c r="V41" i="36"/>
  <c r="V40" i="36"/>
  <c r="V34" i="36"/>
  <c r="V33" i="36"/>
  <c r="V32" i="36"/>
  <c r="V31" i="36"/>
  <c r="V30" i="36"/>
  <c r="V29" i="36"/>
  <c r="V24" i="36"/>
  <c r="V23" i="36"/>
  <c r="V22" i="36"/>
  <c r="V21" i="36"/>
  <c r="V20" i="36"/>
  <c r="V19" i="36"/>
  <c r="V13" i="36"/>
  <c r="V12" i="36"/>
  <c r="V11" i="36"/>
  <c r="V10" i="36"/>
  <c r="V9" i="36"/>
  <c r="BP211" i="68" l="1"/>
  <c r="BV211" i="68"/>
  <c r="BP205" i="68"/>
  <c r="BP199" i="68"/>
  <c r="AO191" i="68"/>
  <c r="AK191" i="68"/>
  <c r="AM181" i="68"/>
  <c r="AM191" i="68" s="1"/>
  <c r="AZ314" i="68"/>
  <c r="AZ317" i="68" s="1"/>
  <c r="BP136" i="68"/>
  <c r="BV160" i="68"/>
  <c r="BW137" i="68"/>
  <c r="BZ137" i="68"/>
  <c r="BX137" i="68"/>
  <c r="BV139" i="68" s="1"/>
  <c r="BY137" i="68"/>
  <c r="BR143" i="68"/>
  <c r="BQ143" i="68"/>
  <c r="BS143" i="68"/>
  <c r="BT143" i="68"/>
  <c r="BY143" i="68"/>
  <c r="BX143" i="68"/>
  <c r="BZ143" i="68"/>
  <c r="BW143" i="68"/>
  <c r="AQ191" i="68"/>
  <c r="BW179" i="68"/>
  <c r="BY179" i="68"/>
  <c r="BX179" i="68"/>
  <c r="BZ179" i="68"/>
  <c r="BW167" i="68"/>
  <c r="BX167" i="68"/>
  <c r="BY167" i="68"/>
  <c r="BZ167" i="68"/>
  <c r="BX173" i="68"/>
  <c r="BY173" i="68"/>
  <c r="BW173" i="68"/>
  <c r="BZ173" i="68"/>
  <c r="AY314" i="68"/>
  <c r="AY317" i="68" s="1"/>
  <c r="AX314" i="68"/>
  <c r="AX317" i="68" s="1"/>
  <c r="AW314" i="68"/>
  <c r="AW317" i="68" s="1"/>
  <c r="AR127" i="74"/>
  <c r="AR126" i="74"/>
  <c r="AR123" i="74"/>
  <c r="AR379" i="74"/>
  <c r="AR378" i="74"/>
  <c r="AR377" i="74"/>
  <c r="AR375" i="74"/>
  <c r="AR253" i="74"/>
  <c r="AR251" i="74"/>
  <c r="AR249" i="74"/>
  <c r="AL343" i="74"/>
  <c r="AL342" i="74"/>
  <c r="AL217" i="74"/>
  <c r="AL216" i="74"/>
  <c r="C323" i="74"/>
  <c r="B282" i="74"/>
  <c r="W274" i="74"/>
  <c r="K274" i="74"/>
  <c r="C274" i="74"/>
  <c r="AI272" i="74"/>
  <c r="W272" i="74"/>
  <c r="K272" i="74"/>
  <c r="C272" i="74"/>
  <c r="B156" i="74"/>
  <c r="W148" i="74"/>
  <c r="K148" i="74"/>
  <c r="C148" i="74"/>
  <c r="AI146" i="74"/>
  <c r="W146" i="74"/>
  <c r="K146" i="74"/>
  <c r="C146" i="74"/>
  <c r="AL91" i="74"/>
  <c r="AL90" i="74"/>
  <c r="AI20" i="74"/>
  <c r="W22" i="74"/>
  <c r="W20" i="74"/>
  <c r="K22" i="74"/>
  <c r="K20" i="74"/>
  <c r="BV169" i="68" l="1"/>
  <c r="BV175" i="68"/>
  <c r="BV145" i="68"/>
  <c r="BP145" i="68"/>
  <c r="BV181" i="68"/>
  <c r="BX161" i="68"/>
  <c r="BZ161" i="68"/>
  <c r="BW161" i="68"/>
  <c r="BY161" i="68"/>
  <c r="BQ137" i="68"/>
  <c r="BR137" i="68"/>
  <c r="BT137" i="68"/>
  <c r="BS137" i="68"/>
  <c r="AX318" i="68"/>
  <c r="BP166" i="68" s="1"/>
  <c r="AX323" i="68"/>
  <c r="AX320" i="68"/>
  <c r="AW318" i="68"/>
  <c r="AW323" i="68"/>
  <c r="AW320" i="68"/>
  <c r="AY318" i="68"/>
  <c r="BP172" i="68" s="1"/>
  <c r="AY320" i="68"/>
  <c r="AY323" i="68"/>
  <c r="AZ318" i="68"/>
  <c r="BP178" i="68" s="1"/>
  <c r="AZ323" i="68"/>
  <c r="AZ320" i="68"/>
  <c r="AO146" i="74"/>
  <c r="AO272" i="74"/>
  <c r="S19" i="59"/>
  <c r="AL187" i="74" l="1"/>
  <c r="A271" i="74"/>
  <c r="AO275" i="74"/>
  <c r="BP139" i="68"/>
  <c r="BV163" i="68"/>
  <c r="AL162" i="74"/>
  <c r="AO149" i="74"/>
  <c r="AW321" i="68"/>
  <c r="AW322" i="68" s="1"/>
  <c r="AW324" i="68" s="1"/>
  <c r="AW325" i="68" s="1"/>
  <c r="BP160" i="68"/>
  <c r="BS179" i="68"/>
  <c r="BT179" i="68"/>
  <c r="BR179" i="68"/>
  <c r="BQ179" i="68"/>
  <c r="BQ173" i="68"/>
  <c r="BR173" i="68"/>
  <c r="BT173" i="68"/>
  <c r="BS173" i="68"/>
  <c r="BR167" i="68"/>
  <c r="BS167" i="68"/>
  <c r="BT167" i="68"/>
  <c r="BQ167" i="68"/>
  <c r="AZ321" i="68"/>
  <c r="AZ322" i="68" s="1"/>
  <c r="AZ324" i="68" s="1"/>
  <c r="AZ325" i="68" s="1"/>
  <c r="AY321" i="68"/>
  <c r="AY322" i="68" s="1"/>
  <c r="AY324" i="68" s="1"/>
  <c r="AY325" i="68" s="1"/>
  <c r="AX321" i="68"/>
  <c r="AX322" i="68" s="1"/>
  <c r="AX324" i="68" s="1"/>
  <c r="AX325" i="68" s="1"/>
  <c r="AL288" i="74"/>
  <c r="AL313" i="74"/>
  <c r="V16" i="28"/>
  <c r="N54" i="28"/>
  <c r="V9" i="28"/>
  <c r="BP175" i="68" l="1"/>
  <c r="BP181" i="68"/>
  <c r="AL188" i="74"/>
  <c r="BP169" i="68"/>
  <c r="BS161" i="68"/>
  <c r="BT161" i="68"/>
  <c r="BR161" i="68"/>
  <c r="BQ161" i="68"/>
  <c r="AL314" i="74"/>
  <c r="BP163" i="68" l="1"/>
  <c r="AF60" i="56"/>
  <c r="AE56" i="56"/>
  <c r="AF57" i="56" s="1"/>
  <c r="S112" i="23"/>
  <c r="S231" i="23"/>
  <c r="AI208" i="23"/>
  <c r="U125" i="23" l="1"/>
  <c r="AK117" i="76" l="1"/>
  <c r="AK112" i="76"/>
  <c r="AK110" i="76"/>
  <c r="AK107" i="76"/>
  <c r="AK105" i="76"/>
  <c r="AK103" i="76"/>
  <c r="AK101" i="76"/>
  <c r="AK98" i="76"/>
  <c r="AK96" i="76"/>
  <c r="AK89" i="76"/>
  <c r="AK84" i="76"/>
  <c r="AK82" i="76"/>
  <c r="AK80" i="76"/>
  <c r="AK78" i="76"/>
  <c r="AK76" i="76"/>
  <c r="AK74" i="76"/>
  <c r="U6" i="23"/>
  <c r="AC174" i="23"/>
  <c r="AC173" i="23"/>
  <c r="AC172" i="23"/>
  <c r="AC170" i="23"/>
  <c r="D207" i="23" s="1"/>
  <c r="X239" i="23"/>
  <c r="V234" i="23"/>
  <c r="B233" i="23"/>
  <c r="Z231" i="23"/>
  <c r="Z230" i="23"/>
  <c r="Z229" i="23"/>
  <c r="R229" i="23"/>
  <c r="B227" i="23"/>
  <c r="D223" i="23"/>
  <c r="D219" i="23"/>
  <c r="J218" i="23"/>
  <c r="AE215" i="23"/>
  <c r="AE214" i="23"/>
  <c r="D210" i="23"/>
  <c r="AJ208" i="23"/>
  <c r="AK208" i="23" s="1"/>
  <c r="AE207" i="23"/>
  <c r="D203" i="23"/>
  <c r="B181" i="23"/>
  <c r="X180" i="23"/>
  <c r="D178" i="23"/>
  <c r="S172" i="23"/>
  <c r="AC171" i="23"/>
  <c r="P136" i="23" s="1"/>
  <c r="H170" i="23"/>
  <c r="I168" i="23"/>
  <c r="V165" i="23"/>
  <c r="V164" i="23"/>
  <c r="V163" i="23"/>
  <c r="C148" i="23"/>
  <c r="G131" i="23"/>
  <c r="U182" i="23"/>
  <c r="C124" i="23"/>
  <c r="U122" i="23"/>
  <c r="U229" i="5"/>
  <c r="T228" i="5"/>
  <c r="T159" i="5" s="1"/>
  <c r="T161" i="5" s="1"/>
  <c r="Y216" i="5"/>
  <c r="W216" i="5" s="1"/>
  <c r="Y214" i="5"/>
  <c r="W214" i="5" s="1"/>
  <c r="Y212" i="5"/>
  <c r="W212" i="5" s="1"/>
  <c r="Y210" i="5"/>
  <c r="W210" i="5" s="1"/>
  <c r="C207" i="5"/>
  <c r="T195" i="5"/>
  <c r="T200" i="5" s="1"/>
  <c r="T140" i="5" s="1"/>
  <c r="U178" i="5"/>
  <c r="B178" i="5"/>
  <c r="U177" i="5"/>
  <c r="Y173" i="5"/>
  <c r="H156" i="5"/>
  <c r="H155" i="5"/>
  <c r="H153" i="5"/>
  <c r="S150" i="5"/>
  <c r="H150" i="5"/>
  <c r="H149" i="5"/>
  <c r="H148" i="5"/>
  <c r="H147" i="5"/>
  <c r="S146" i="5"/>
  <c r="S145" i="5"/>
  <c r="H145" i="5"/>
  <c r="T139" i="5"/>
  <c r="C133" i="5"/>
  <c r="C132" i="5"/>
  <c r="C131" i="5"/>
  <c r="R117" i="5"/>
  <c r="T141" i="5" l="1"/>
  <c r="T143" i="5" s="1"/>
  <c r="T162" i="5" s="1"/>
  <c r="T170" i="5" s="1"/>
  <c r="D168" i="23"/>
  <c r="E175" i="23"/>
  <c r="D200" i="23"/>
  <c r="E173" i="23"/>
  <c r="V210" i="23"/>
  <c r="D213" i="23" s="1"/>
  <c r="Y208" i="5"/>
  <c r="W208" i="5" s="1"/>
  <c r="AE198" i="23" l="1"/>
  <c r="AE166" i="23"/>
  <c r="Y171" i="5"/>
  <c r="Y172" i="5" s="1"/>
  <c r="AE210" i="23"/>
  <c r="K34" i="33"/>
  <c r="AC52" i="23" l="1"/>
  <c r="V91" i="23" s="1"/>
  <c r="D88" i="23"/>
  <c r="D81" i="23"/>
  <c r="D49" i="23"/>
  <c r="D84" i="23"/>
  <c r="H51" i="23"/>
  <c r="I49" i="23"/>
  <c r="AE96" i="23"/>
  <c r="AE95" i="23"/>
  <c r="AE88" i="23"/>
  <c r="AE43" i="23"/>
  <c r="E54" i="23" l="1"/>
  <c r="P17" i="23"/>
  <c r="E56" i="23"/>
  <c r="U11" i="46" l="1"/>
  <c r="U3" i="46" s="1"/>
  <c r="V152" i="68"/>
  <c r="T152" i="68"/>
  <c r="R152" i="68"/>
  <c r="P152" i="68"/>
  <c r="K256" i="68"/>
  <c r="K255" i="68"/>
  <c r="K246" i="68"/>
  <c r="K245" i="68"/>
  <c r="K236" i="68"/>
  <c r="K235" i="68"/>
  <c r="K226" i="68"/>
  <c r="K225" i="68"/>
  <c r="V114" i="68"/>
  <c r="V216" i="68" s="1"/>
  <c r="T114" i="68"/>
  <c r="T216" i="68" s="1"/>
  <c r="R114" i="68"/>
  <c r="R216" i="68" s="1"/>
  <c r="P114" i="68"/>
  <c r="P216" i="68" s="1"/>
  <c r="F60" i="2" l="1"/>
  <c r="K60" i="2"/>
  <c r="P29" i="33" l="1"/>
  <c r="C120" i="33" l="1"/>
  <c r="C116" i="33"/>
  <c r="C112" i="33"/>
  <c r="C38" i="33" l="1"/>
  <c r="L35" i="33"/>
  <c r="L34" i="33"/>
  <c r="L33" i="33"/>
  <c r="L32" i="33"/>
  <c r="L31" i="33"/>
  <c r="L30" i="33"/>
  <c r="L29" i="33"/>
  <c r="L28" i="33"/>
  <c r="L27" i="33"/>
  <c r="L26" i="33"/>
  <c r="L25" i="33"/>
  <c r="L24" i="33"/>
  <c r="L23" i="33"/>
  <c r="L22" i="33"/>
  <c r="L21" i="33"/>
  <c r="L20" i="33"/>
  <c r="L19" i="33"/>
  <c r="L18" i="33"/>
  <c r="L17" i="33"/>
  <c r="L16" i="33"/>
  <c r="L14" i="33" l="1"/>
  <c r="E145" i="71"/>
  <c r="B134" i="71"/>
  <c r="C130" i="71"/>
  <c r="C98" i="71"/>
  <c r="C97" i="71"/>
  <c r="C92" i="71"/>
  <c r="C89" i="71"/>
  <c r="E72" i="71"/>
  <c r="C57" i="71"/>
  <c r="AA37" i="2" l="1"/>
  <c r="AA36" i="2"/>
  <c r="AO2" i="2" l="1"/>
  <c r="E28" i="85" s="1"/>
  <c r="AY1" i="2"/>
  <c r="AI25" i="2"/>
  <c r="AK6" i="2"/>
  <c r="AK5" i="2"/>
  <c r="W28" i="15"/>
  <c r="Y28" i="15"/>
  <c r="O9" i="14"/>
  <c r="AO5" i="2"/>
  <c r="W27" i="15"/>
  <c r="W26" i="15"/>
  <c r="W25" i="15"/>
  <c r="W24" i="15"/>
  <c r="AO6" i="2"/>
  <c r="AC34" i="78" l="1"/>
  <c r="G12" i="78"/>
  <c r="AA12" i="78"/>
  <c r="L6" i="2"/>
  <c r="O4" i="14"/>
  <c r="W23" i="15"/>
  <c r="M28" i="40"/>
  <c r="AC36" i="78"/>
  <c r="AC35" i="78"/>
  <c r="E27" i="85"/>
  <c r="X28" i="15"/>
  <c r="P9" i="14"/>
  <c r="D36" i="68" l="1"/>
  <c r="C132" i="64" l="1"/>
  <c r="AM42" i="2"/>
  <c r="N15" i="65" l="1"/>
  <c r="N14" i="65"/>
  <c r="D27" i="65" s="1"/>
  <c r="AI17" i="2" l="1"/>
  <c r="AA48" i="2" l="1"/>
  <c r="D41" i="2"/>
  <c r="AA42" i="2" s="1"/>
  <c r="AJ20" i="2" l="1"/>
  <c r="AJ21" i="2"/>
  <c r="AJ22" i="2"/>
  <c r="AI3" i="2"/>
  <c r="AI5" i="2"/>
  <c r="M19" i="82" l="1"/>
  <c r="Z11" i="81" l="1"/>
  <c r="W11" i="81"/>
  <c r="O71" i="4" l="1"/>
  <c r="N64" i="3"/>
  <c r="O56" i="3"/>
  <c r="M47" i="3"/>
  <c r="O50" i="3" s="1"/>
  <c r="E38" i="3"/>
  <c r="D18" i="3"/>
  <c r="AJ117" i="84" l="1"/>
  <c r="AH107" i="84"/>
  <c r="Y108" i="84"/>
  <c r="O107" i="84"/>
  <c r="F108" i="84"/>
  <c r="F91" i="84"/>
  <c r="K90" i="84"/>
  <c r="AH92" i="84" s="1"/>
  <c r="S91" i="84"/>
  <c r="Z91" i="84"/>
  <c r="AH90" i="84"/>
  <c r="AJ45" i="84"/>
  <c r="AJ48" i="84" s="1"/>
  <c r="BD48" i="84" s="1"/>
  <c r="BD51" i="84" s="1"/>
  <c r="AD45" i="84"/>
  <c r="AD48" i="84" s="1"/>
  <c r="AE50" i="84" s="1"/>
  <c r="BB49" i="84" s="1"/>
  <c r="AD54" i="84"/>
  <c r="AD53" i="84"/>
  <c r="V45" i="84"/>
  <c r="BB26" i="84"/>
  <c r="BA26" i="84"/>
  <c r="AZ26" i="84"/>
  <c r="V29" i="84"/>
  <c r="AJ29" i="84"/>
  <c r="BE22" i="84" s="1"/>
  <c r="AD29" i="84"/>
  <c r="BE21" i="84" s="1"/>
  <c r="BB24" i="84"/>
  <c r="BB23" i="84"/>
  <c r="BA24" i="84"/>
  <c r="BA23" i="84"/>
  <c r="AZ24" i="84"/>
  <c r="AZ23" i="84"/>
  <c r="AO129" i="84"/>
  <c r="H4" i="84"/>
  <c r="AO62" i="84"/>
  <c r="D12" i="84"/>
  <c r="AI3" i="84"/>
  <c r="V48" i="84" l="1"/>
  <c r="W50" i="84" s="1"/>
  <c r="AZ49" i="84" s="1"/>
  <c r="AD55" i="84"/>
  <c r="G157" i="84"/>
  <c r="AI93" i="84"/>
  <c r="AH94" i="84" s="1"/>
  <c r="AJ109" i="84"/>
  <c r="AK110" i="84"/>
  <c r="AK50" i="84"/>
  <c r="BD49" i="84" s="1"/>
  <c r="BD50" i="84"/>
  <c r="BC48" i="84"/>
  <c r="G29" i="84"/>
  <c r="BC24" i="84"/>
  <c r="AD52" i="84" s="1"/>
  <c r="BC23" i="84"/>
  <c r="AD51" i="84" s="1"/>
  <c r="AJ111" i="84" l="1"/>
  <c r="AY48" i="84"/>
  <c r="AZ48" i="84"/>
  <c r="BA48" i="84"/>
  <c r="AJ56" i="84" s="1"/>
  <c r="BB48" i="84"/>
  <c r="AM35" i="2"/>
  <c r="AZ51" i="84" l="1"/>
  <c r="AZ50" i="84"/>
  <c r="BB51" i="84"/>
  <c r="BB50" i="84"/>
  <c r="AK58" i="84" s="1"/>
  <c r="AL8" i="2"/>
  <c r="C2" i="87" l="1"/>
  <c r="C28" i="87"/>
  <c r="B64" i="88"/>
  <c r="B11" i="88"/>
  <c r="B136" i="84"/>
  <c r="AR192" i="84" s="1"/>
  <c r="AQ193" i="84" s="1"/>
  <c r="B11" i="68"/>
  <c r="B19" i="86"/>
  <c r="B15" i="3"/>
  <c r="B8" i="84"/>
  <c r="AR64" i="84" s="1"/>
  <c r="AQ65" i="84" s="1"/>
  <c r="AJ19" i="2"/>
  <c r="AK57" i="84" l="1"/>
  <c r="AJ61" i="84"/>
  <c r="G29" i="15"/>
  <c r="AL21" i="2"/>
  <c r="AL20" i="2" s="1"/>
  <c r="AI1" i="2"/>
  <c r="AI4" i="2"/>
  <c r="AI2" i="2"/>
  <c r="AY2" i="2"/>
  <c r="AF63" i="2"/>
  <c r="AA57" i="2"/>
  <c r="AA56" i="2"/>
  <c r="T62" i="2"/>
  <c r="T60" i="2"/>
  <c r="AA55" i="2"/>
  <c r="AA52" i="2"/>
  <c r="AA51" i="2"/>
  <c r="AJ120" i="84" l="1"/>
  <c r="AV120" i="84" s="1"/>
  <c r="I7" i="64" s="1"/>
  <c r="BA70" i="2"/>
  <c r="BA55" i="2"/>
  <c r="BA71" i="2"/>
  <c r="BA56" i="2"/>
  <c r="AI6" i="2"/>
  <c r="AI7" i="2" s="1"/>
  <c r="AA50" i="2"/>
  <c r="AA49" i="2"/>
  <c r="AA45" i="2"/>
  <c r="AA44" i="2"/>
  <c r="AA43" i="2"/>
  <c r="AV121" i="84" l="1"/>
  <c r="AC18" i="78" s="1"/>
  <c r="AN23" i="2"/>
  <c r="AE17" i="58" s="1"/>
  <c r="AF126" i="23"/>
  <c r="AF7" i="23"/>
  <c r="E3" i="2"/>
  <c r="AI8" i="2"/>
  <c r="AZ67" i="2"/>
  <c r="D38" i="2"/>
  <c r="M37" i="2"/>
  <c r="M36" i="2"/>
  <c r="D39" i="2" l="1"/>
  <c r="AA39" i="2" s="1"/>
  <c r="AA38" i="2"/>
  <c r="AL4" i="2"/>
  <c r="Y4" i="2"/>
  <c r="M38" i="2"/>
  <c r="M39" i="2"/>
  <c r="AI35" i="78"/>
  <c r="Q17" i="33"/>
  <c r="AI12" i="78"/>
  <c r="AG15" i="83" l="1"/>
  <c r="AB3" i="83"/>
  <c r="G11" i="82"/>
  <c r="AG22" i="82"/>
  <c r="AB3" i="82"/>
  <c r="AG24" i="81"/>
  <c r="AB3" i="81"/>
  <c r="AG18" i="80" l="1"/>
  <c r="AB3" i="80"/>
  <c r="AG15" i="79"/>
  <c r="AB3" i="79"/>
  <c r="AG41" i="78" l="1"/>
  <c r="AB3" i="78"/>
  <c r="AP68" i="76" l="1"/>
  <c r="E35" i="76"/>
  <c r="C34" i="76"/>
  <c r="G32" i="76"/>
  <c r="C29" i="76"/>
  <c r="C115" i="64" l="1"/>
  <c r="C129" i="64"/>
  <c r="I40" i="64"/>
  <c r="I39" i="64"/>
  <c r="H39" i="64"/>
  <c r="C79" i="64"/>
  <c r="I70" i="64"/>
  <c r="G70" i="64"/>
  <c r="F70" i="64"/>
  <c r="C38" i="64"/>
  <c r="I73" i="64"/>
  <c r="I41" i="64" l="1"/>
  <c r="G41" i="64" s="1"/>
  <c r="I30" i="64" l="1"/>
  <c r="C90" i="64"/>
  <c r="I34" i="64"/>
  <c r="I33" i="64"/>
  <c r="I32" i="64"/>
  <c r="H34" i="64"/>
  <c r="H33" i="64"/>
  <c r="H32" i="64"/>
  <c r="H30" i="64"/>
  <c r="D59" i="64" l="1"/>
  <c r="D48" i="64"/>
  <c r="I12" i="64"/>
  <c r="I13" i="64" s="1"/>
  <c r="K9" i="64"/>
  <c r="R64" i="33" l="1"/>
  <c r="O22" i="3"/>
  <c r="U40" i="36"/>
  <c r="U41" i="36" s="1"/>
  <c r="U42" i="36" s="1"/>
  <c r="U43" i="36" s="1"/>
  <c r="U44" i="36" s="1"/>
  <c r="U45" i="36" s="1"/>
  <c r="U29" i="36"/>
  <c r="U30" i="36" s="1"/>
  <c r="U31" i="36" s="1"/>
  <c r="U32" i="36" s="1"/>
  <c r="U33" i="36" s="1"/>
  <c r="U34" i="36" s="1"/>
  <c r="U19" i="36"/>
  <c r="U20" i="36" s="1"/>
  <c r="U21" i="36" s="1"/>
  <c r="U22" i="36" s="1"/>
  <c r="U23" i="36" s="1"/>
  <c r="U24" i="36" s="1"/>
  <c r="U8" i="36"/>
  <c r="U9" i="36" s="1"/>
  <c r="U10" i="36" s="1"/>
  <c r="U11" i="36" s="1"/>
  <c r="U12" i="36" s="1"/>
  <c r="U13" i="36" s="1"/>
  <c r="AM137" i="68" l="1"/>
  <c r="AM123" i="68"/>
  <c r="AM117" i="68"/>
  <c r="AJ3" i="76" l="1"/>
  <c r="N59" i="3" l="1"/>
  <c r="I52" i="4" l="1"/>
  <c r="I51" i="4"/>
  <c r="I50" i="4"/>
  <c r="I49" i="4"/>
  <c r="I48" i="4"/>
  <c r="I47" i="4"/>
  <c r="I46" i="4"/>
  <c r="I45" i="4"/>
  <c r="I44" i="4"/>
  <c r="H96" i="70" l="1"/>
  <c r="H108" i="70"/>
  <c r="H105" i="70"/>
  <c r="H104" i="70"/>
  <c r="H103" i="70"/>
  <c r="H102" i="70"/>
  <c r="H100" i="70"/>
  <c r="I101" i="70" s="1"/>
  <c r="H99" i="70"/>
  <c r="H97" i="70"/>
  <c r="H95" i="70"/>
  <c r="H94" i="70"/>
  <c r="H93" i="70" l="1"/>
  <c r="H92" i="70"/>
  <c r="N46" i="6" s="1"/>
  <c r="H91" i="70"/>
  <c r="N37" i="2" s="1"/>
  <c r="H90" i="70"/>
  <c r="H113" i="70" s="1"/>
  <c r="H84" i="70"/>
  <c r="G84" i="70"/>
  <c r="F84" i="70"/>
  <c r="E84" i="70"/>
  <c r="D84" i="70"/>
  <c r="H83" i="70"/>
  <c r="G83" i="70"/>
  <c r="F83" i="70"/>
  <c r="E83" i="70"/>
  <c r="D83" i="70"/>
  <c r="H82" i="70"/>
  <c r="G82" i="70"/>
  <c r="F82" i="70"/>
  <c r="E82" i="70"/>
  <c r="D82" i="70"/>
  <c r="X121" i="28" l="1"/>
  <c r="X125" i="28" s="1"/>
  <c r="AA72" i="37"/>
  <c r="AA76" i="37" s="1"/>
  <c r="Z62" i="37"/>
  <c r="V92" i="28"/>
  <c r="R50" i="33"/>
  <c r="V3" i="28"/>
  <c r="Q57" i="59"/>
  <c r="K28" i="59"/>
  <c r="R28" i="59"/>
  <c r="C36" i="59"/>
  <c r="C105" i="59"/>
  <c r="J35" i="59"/>
  <c r="M89" i="59"/>
  <c r="I55" i="1" l="1"/>
  <c r="I54" i="1"/>
  <c r="I53" i="1"/>
  <c r="I52" i="1"/>
  <c r="I51" i="1"/>
  <c r="I50" i="1"/>
  <c r="I49" i="1"/>
  <c r="I48" i="1"/>
  <c r="I47" i="1"/>
  <c r="I46" i="1"/>
  <c r="I45" i="1"/>
  <c r="I44" i="1"/>
  <c r="I43" i="1"/>
  <c r="I42" i="1"/>
  <c r="I41" i="1"/>
  <c r="I40" i="1"/>
  <c r="I39" i="1"/>
  <c r="I38" i="1"/>
  <c r="I37" i="1"/>
  <c r="I36" i="1"/>
  <c r="I35" i="1"/>
  <c r="I34" i="1"/>
  <c r="I33" i="1"/>
  <c r="I25" i="1"/>
  <c r="I24" i="1"/>
  <c r="I23" i="1"/>
  <c r="I22" i="1"/>
  <c r="I21" i="1"/>
  <c r="I20" i="1"/>
  <c r="I19" i="1"/>
  <c r="I18" i="1"/>
  <c r="I17" i="1"/>
  <c r="I16" i="1"/>
  <c r="I15" i="1"/>
  <c r="I14" i="1"/>
  <c r="I13" i="1"/>
  <c r="I12" i="1"/>
  <c r="I11" i="1"/>
  <c r="I10" i="1"/>
  <c r="I9" i="1"/>
  <c r="I8" i="1"/>
  <c r="I7" i="1"/>
  <c r="I5" i="1"/>
  <c r="I4" i="1"/>
  <c r="I3" i="1"/>
  <c r="H58" i="1"/>
  <c r="H57" i="1"/>
  <c r="H28" i="1"/>
  <c r="H27" i="1"/>
  <c r="G58" i="1"/>
  <c r="G57" i="1"/>
  <c r="G28" i="1"/>
  <c r="G27" i="1"/>
  <c r="C59" i="1" l="1"/>
  <c r="J36" i="1"/>
  <c r="U8" i="37"/>
  <c r="U7" i="37"/>
  <c r="S24" i="71" l="1"/>
  <c r="S22" i="71"/>
  <c r="U101" i="68" l="1"/>
  <c r="I104" i="68" l="1"/>
  <c r="J101" i="68"/>
  <c r="K100" i="68"/>
  <c r="Q21" i="53" l="1"/>
  <c r="P21" i="53"/>
  <c r="N21" i="53" s="1"/>
  <c r="D24" i="30"/>
  <c r="N36" i="30"/>
  <c r="M36" i="30"/>
  <c r="L49" i="30"/>
  <c r="K49" i="30"/>
  <c r="J49" i="30"/>
  <c r="I49" i="30"/>
  <c r="H49" i="30"/>
  <c r="G49" i="30"/>
  <c r="F49" i="30"/>
  <c r="E49" i="30"/>
  <c r="D49" i="30"/>
  <c r="L24" i="30"/>
  <c r="K24" i="30"/>
  <c r="J24" i="30"/>
  <c r="I24" i="30"/>
  <c r="H24" i="30"/>
  <c r="G24" i="30"/>
  <c r="F24" i="30"/>
  <c r="E24" i="30"/>
  <c r="N49" i="30" l="1"/>
  <c r="N19" i="53"/>
  <c r="N20" i="53"/>
  <c r="N18" i="53"/>
  <c r="N24" i="30"/>
  <c r="H85" i="69"/>
  <c r="I27" i="4" s="1"/>
  <c r="G85" i="69"/>
  <c r="I26" i="4" s="1"/>
  <c r="F85" i="69"/>
  <c r="I25" i="4" s="1"/>
  <c r="E85" i="69"/>
  <c r="I24" i="4" s="1"/>
  <c r="D85" i="69"/>
  <c r="I23" i="4" s="1"/>
  <c r="H55" i="69"/>
  <c r="I22" i="4" s="1"/>
  <c r="G55" i="69"/>
  <c r="I21" i="4" s="1"/>
  <c r="F55" i="69"/>
  <c r="I20" i="4" s="1"/>
  <c r="E55" i="69"/>
  <c r="I19" i="4" s="1"/>
  <c r="D55" i="69"/>
  <c r="I18" i="4" s="1"/>
  <c r="H26" i="69"/>
  <c r="I17" i="4" s="1"/>
  <c r="G26" i="69"/>
  <c r="I16" i="4" s="1"/>
  <c r="F26" i="69"/>
  <c r="I15" i="4" s="1"/>
  <c r="E26" i="69"/>
  <c r="I14" i="4" s="1"/>
  <c r="D26" i="69"/>
  <c r="I13" i="4" s="1"/>
  <c r="E61" i="30" l="1"/>
  <c r="I43" i="4" l="1"/>
  <c r="I42" i="4"/>
  <c r="I41" i="4"/>
  <c r="I40" i="4"/>
  <c r="I39" i="4"/>
  <c r="I38" i="4"/>
  <c r="I37" i="4"/>
  <c r="I36" i="4"/>
  <c r="I35" i="4"/>
  <c r="I34" i="4"/>
  <c r="E110" i="70" l="1"/>
  <c r="F110" i="70"/>
  <c r="G110" i="70"/>
  <c r="E111" i="70"/>
  <c r="F111" i="70"/>
  <c r="G111" i="70"/>
  <c r="E112" i="70"/>
  <c r="F112" i="70"/>
  <c r="G112" i="70"/>
  <c r="D112" i="70"/>
  <c r="D111" i="70"/>
  <c r="D110" i="70"/>
  <c r="E54" i="70"/>
  <c r="F54" i="70"/>
  <c r="G54" i="70"/>
  <c r="H54" i="70"/>
  <c r="E55" i="70"/>
  <c r="F55" i="70"/>
  <c r="G55" i="70"/>
  <c r="H55" i="70"/>
  <c r="E56" i="70"/>
  <c r="F56" i="70"/>
  <c r="G56" i="70"/>
  <c r="H56" i="70"/>
  <c r="D56" i="70"/>
  <c r="D55" i="70"/>
  <c r="D54" i="70"/>
  <c r="E26" i="70"/>
  <c r="F26" i="70"/>
  <c r="G26" i="70"/>
  <c r="H26" i="70"/>
  <c r="E27" i="70"/>
  <c r="F27" i="70"/>
  <c r="G27" i="70"/>
  <c r="H27" i="70"/>
  <c r="E28" i="70"/>
  <c r="F28" i="70"/>
  <c r="G28" i="70"/>
  <c r="H28" i="70"/>
  <c r="D28" i="70"/>
  <c r="D27" i="70"/>
  <c r="D26"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15" i="4" s="1"/>
  <c r="G27" i="69"/>
  <c r="H27" i="69"/>
  <c r="E28" i="69"/>
  <c r="F28" i="69"/>
  <c r="G28" i="69"/>
  <c r="H28" i="69"/>
  <c r="E29" i="69"/>
  <c r="F29" i="69"/>
  <c r="G29" i="69"/>
  <c r="H29" i="69"/>
  <c r="D29" i="69"/>
  <c r="D28" i="69"/>
  <c r="D27" i="69"/>
  <c r="E29" i="70" l="1"/>
  <c r="D35" i="4" s="1"/>
  <c r="AE155" i="62"/>
  <c r="AE153" i="62"/>
  <c r="N14" i="6" l="1"/>
  <c r="N34" i="6"/>
  <c r="M20" i="71" l="1"/>
  <c r="H101" i="70" l="1"/>
  <c r="H106" i="70"/>
  <c r="I80" i="69"/>
  <c r="I81" i="69"/>
  <c r="I78" i="69"/>
  <c r="I77" i="69"/>
  <c r="I75" i="69"/>
  <c r="I67" i="69"/>
  <c r="I83" i="69"/>
  <c r="I76" i="69"/>
  <c r="I74" i="69"/>
  <c r="I73" i="69"/>
  <c r="N36" i="2" s="1"/>
  <c r="I71" i="69"/>
  <c r="I70" i="69"/>
  <c r="I69" i="69"/>
  <c r="I66" i="69"/>
  <c r="W34" i="78" s="1"/>
  <c r="I65" i="69"/>
  <c r="E48" i="60" l="1"/>
  <c r="I25" i="40"/>
  <c r="I31" i="87"/>
  <c r="J72" i="69"/>
  <c r="I89" i="70"/>
  <c r="E30" i="69"/>
  <c r="D14" i="4" s="1"/>
  <c r="G89" i="69"/>
  <c r="D26" i="4" s="1"/>
  <c r="H89" i="69"/>
  <c r="D27" i="4" s="1"/>
  <c r="G30" i="69"/>
  <c r="D16" i="4" s="1"/>
  <c r="E89" i="69"/>
  <c r="D24" i="4" s="1"/>
  <c r="H30" i="69"/>
  <c r="D17" i="4" s="1"/>
  <c r="F30" i="69"/>
  <c r="D30" i="69"/>
  <c r="D13" i="4" s="1"/>
  <c r="D89" i="69"/>
  <c r="D23" i="4" s="1"/>
  <c r="D59" i="69"/>
  <c r="D18" i="4" s="1"/>
  <c r="F89" i="69"/>
  <c r="D25" i="4" s="1"/>
  <c r="H59" i="69"/>
  <c r="D22" i="4" s="1"/>
  <c r="G59" i="69"/>
  <c r="D21" i="4" s="1"/>
  <c r="F59" i="69"/>
  <c r="D20" i="4" s="1"/>
  <c r="E59" i="69"/>
  <c r="D19" i="4" s="1"/>
  <c r="P1" i="52" l="1"/>
  <c r="B60" i="1" l="1"/>
  <c r="B30" i="1"/>
  <c r="AW13" i="2" l="1"/>
  <c r="P11" i="2" s="1"/>
  <c r="AD306" i="74" l="1"/>
  <c r="W306" i="74"/>
  <c r="P306" i="74"/>
  <c r="AD180" i="74"/>
  <c r="W180" i="74"/>
  <c r="P180" i="74"/>
  <c r="AD54" i="74"/>
  <c r="W54" i="74"/>
  <c r="P54" i="74"/>
  <c r="AO331" i="74"/>
  <c r="C321" i="74"/>
  <c r="C319" i="74"/>
  <c r="AO205" i="74"/>
  <c r="C195" i="74"/>
  <c r="C193" i="74"/>
  <c r="AM78" i="74" l="1"/>
  <c r="AM204" i="74"/>
  <c r="AM330" i="74"/>
  <c r="AO386" i="74"/>
  <c r="B333" i="74"/>
  <c r="AI263" i="74"/>
  <c r="C22" i="74"/>
  <c r="C20" i="74"/>
  <c r="AO260" i="74"/>
  <c r="B207" i="74"/>
  <c r="AI137" i="74"/>
  <c r="C69" i="74"/>
  <c r="C67" i="74"/>
  <c r="A8" i="74" l="1"/>
  <c r="AO8" i="74"/>
  <c r="A273" i="74"/>
  <c r="AB210" i="74"/>
  <c r="AB215" i="74" s="1"/>
  <c r="AL221" i="74" s="1"/>
  <c r="A147" i="74"/>
  <c r="AB336" i="74"/>
  <c r="AB341" i="74" s="1"/>
  <c r="AL347" i="74" s="1"/>
  <c r="AB84" i="74"/>
  <c r="B72" i="74"/>
  <c r="AO20" i="74"/>
  <c r="P307" i="74"/>
  <c r="P313" i="74" s="1"/>
  <c r="W307" i="74"/>
  <c r="W313" i="74" s="1"/>
  <c r="AD181" i="74"/>
  <c r="AD187" i="74" s="1"/>
  <c r="AD307" i="74"/>
  <c r="AD313" i="74" s="1"/>
  <c r="P181" i="74"/>
  <c r="P187" i="74" s="1"/>
  <c r="W181" i="74"/>
  <c r="W187" i="74" s="1"/>
  <c r="AQ36" i="74" l="1"/>
  <c r="AQ75" i="74"/>
  <c r="AL36" i="74"/>
  <c r="AQ21" i="74"/>
  <c r="AQ15" i="74"/>
  <c r="AQ13" i="74"/>
  <c r="A21" i="74"/>
  <c r="A4" i="74"/>
  <c r="AO23" i="74"/>
  <c r="J64" i="69"/>
  <c r="AQ14" i="74"/>
  <c r="AQ11" i="74"/>
  <c r="B8" i="74"/>
  <c r="AG8" i="74"/>
  <c r="AL119" i="74"/>
  <c r="AL61" i="74"/>
  <c r="AL245" i="74"/>
  <c r="AQ18" i="74"/>
  <c r="AL371" i="74"/>
  <c r="AB350" i="74"/>
  <c r="AB356" i="74" s="1"/>
  <c r="AB357" i="74" s="1"/>
  <c r="AQ356" i="74" s="1"/>
  <c r="AB224" i="74"/>
  <c r="AB230" i="74" s="1"/>
  <c r="AB231" i="74" s="1"/>
  <c r="AQ230" i="74" s="1"/>
  <c r="AO134" i="74"/>
  <c r="B81" i="74"/>
  <c r="AQ10" i="74" l="1"/>
  <c r="B4" i="74"/>
  <c r="AL62" i="74"/>
  <c r="AB89" i="74"/>
  <c r="AL95" i="74" s="1"/>
  <c r="AO79" i="74"/>
  <c r="AD55" i="74"/>
  <c r="W55" i="74"/>
  <c r="P55" i="74"/>
  <c r="AI11" i="74"/>
  <c r="A2" i="74" l="1"/>
  <c r="B2" i="74" s="1"/>
  <c r="AD61" i="74"/>
  <c r="W61" i="74"/>
  <c r="P61" i="74"/>
  <c r="AL10" i="80" l="1"/>
  <c r="AB98" i="74"/>
  <c r="AB104" i="74" s="1"/>
  <c r="AB105" i="74" s="1"/>
  <c r="B15" i="12"/>
  <c r="AQ104" i="74" l="1"/>
  <c r="AL125" i="73"/>
  <c r="AK125" i="73"/>
  <c r="AK124" i="73" s="1"/>
  <c r="AM13" i="58" l="1"/>
  <c r="AJ15" i="58" s="1"/>
  <c r="G21" i="33" l="1"/>
  <c r="D19" i="3"/>
  <c r="C20" i="40" l="1"/>
  <c r="AA55" i="56"/>
  <c r="X55" i="56"/>
  <c r="D317" i="60"/>
  <c r="D11" i="63"/>
  <c r="M4" i="15"/>
  <c r="E5" i="15"/>
  <c r="L84" i="13"/>
  <c r="M16" i="13"/>
  <c r="O16" i="13"/>
  <c r="B13" i="12"/>
  <c r="AB55" i="56" l="1"/>
  <c r="V95" i="71"/>
  <c r="AB95" i="71"/>
  <c r="X93" i="71"/>
  <c r="AI22" i="71"/>
  <c r="AB23" i="71"/>
  <c r="AB24" i="71" s="1"/>
  <c r="AB25" i="71" s="1"/>
  <c r="AB26" i="71" s="1"/>
  <c r="AB27" i="71" s="1"/>
  <c r="AB28" i="71" s="1"/>
  <c r="AB29" i="71" s="1"/>
  <c r="K96" i="71"/>
  <c r="C24" i="71"/>
  <c r="K23" i="71"/>
  <c r="X21" i="71"/>
  <c r="C16" i="71"/>
  <c r="AB30" i="71" l="1"/>
  <c r="AB31" i="71" s="1"/>
  <c r="AB32" i="71" s="1"/>
  <c r="AB33" i="71" s="1"/>
  <c r="AJ29" i="71"/>
  <c r="AB96" i="71"/>
  <c r="AJ95" i="71"/>
  <c r="AJ23" i="71"/>
  <c r="AK22" i="71"/>
  <c r="AI94" i="71"/>
  <c r="C35" i="59"/>
  <c r="AB97" i="71" l="1"/>
  <c r="AJ96" i="71"/>
  <c r="AJ24" i="71"/>
  <c r="AD115" i="71"/>
  <c r="AK23" i="71"/>
  <c r="AI95" i="71"/>
  <c r="AI23" i="71"/>
  <c r="AB98" i="71" l="1"/>
  <c r="AJ97" i="71"/>
  <c r="AL7" i="80"/>
  <c r="AJ25" i="71"/>
  <c r="AI115" i="71"/>
  <c r="AD116" i="71"/>
  <c r="AK24" i="71"/>
  <c r="AI96" i="71"/>
  <c r="AI24" i="71"/>
  <c r="AB11" i="68"/>
  <c r="AB99" i="71" l="1"/>
  <c r="AJ98" i="71"/>
  <c r="AJ26" i="71"/>
  <c r="AK25" i="71"/>
  <c r="AI97" i="71"/>
  <c r="AI25" i="71"/>
  <c r="R65" i="33"/>
  <c r="R61" i="33"/>
  <c r="AB100" i="71" l="1"/>
  <c r="AJ99" i="71"/>
  <c r="AJ27" i="71"/>
  <c r="AK26" i="71"/>
  <c r="AI98" i="71"/>
  <c r="AI26" i="71"/>
  <c r="AH89" i="68"/>
  <c r="AH91" i="68"/>
  <c r="AH92" i="68"/>
  <c r="AH93" i="68"/>
  <c r="AH94" i="68"/>
  <c r="AB101" i="71" l="1"/>
  <c r="AJ100" i="71"/>
  <c r="AJ28" i="71"/>
  <c r="AK27" i="71"/>
  <c r="AI99" i="71"/>
  <c r="AI27" i="71"/>
  <c r="D28" i="37"/>
  <c r="C4" i="37"/>
  <c r="AB102" i="71" l="1"/>
  <c r="AJ101" i="71"/>
  <c r="AJ30" i="71"/>
  <c r="AK28" i="71"/>
  <c r="AI100" i="71"/>
  <c r="AI28" i="71"/>
  <c r="J44" i="68"/>
  <c r="N40" i="68"/>
  <c r="AB103" i="71" l="1"/>
  <c r="AJ102" i="71"/>
  <c r="AJ31" i="71"/>
  <c r="AI101" i="71"/>
  <c r="AI29" i="71"/>
  <c r="C151" i="68"/>
  <c r="AB104" i="71" l="1"/>
  <c r="AJ103" i="71"/>
  <c r="AJ33" i="71"/>
  <c r="AJ32" i="71"/>
  <c r="AK29" i="71"/>
  <c r="AD122" i="71"/>
  <c r="AK30" i="71"/>
  <c r="AI102" i="71"/>
  <c r="AI30" i="71"/>
  <c r="AB105" i="71" l="1"/>
  <c r="AJ105" i="71" s="1"/>
  <c r="AJ104" i="71"/>
  <c r="AD123" i="71"/>
  <c r="AK31" i="71"/>
  <c r="AI103" i="71"/>
  <c r="AI31" i="71"/>
  <c r="AD124" i="71" l="1"/>
  <c r="AI104" i="71"/>
  <c r="AI32" i="71"/>
  <c r="K45" i="36"/>
  <c r="K44" i="36"/>
  <c r="K43" i="36"/>
  <c r="K42" i="36"/>
  <c r="K41" i="36"/>
  <c r="J44" i="36"/>
  <c r="J43" i="36"/>
  <c r="J42" i="36"/>
  <c r="J41" i="36"/>
  <c r="O45" i="36"/>
  <c r="N45" i="36"/>
  <c r="O44" i="36"/>
  <c r="N44" i="36"/>
  <c r="O43" i="36"/>
  <c r="N43" i="36"/>
  <c r="O42" i="36"/>
  <c r="N42" i="36"/>
  <c r="O41" i="36"/>
  <c r="N41" i="36"/>
  <c r="J33" i="36"/>
  <c r="J32" i="36"/>
  <c r="J31" i="36"/>
  <c r="K34" i="36"/>
  <c r="K33" i="36"/>
  <c r="K32" i="36"/>
  <c r="K31" i="36"/>
  <c r="O34" i="36"/>
  <c r="N34" i="36"/>
  <c r="O33" i="36"/>
  <c r="N33" i="36"/>
  <c r="O32" i="36"/>
  <c r="N32" i="36"/>
  <c r="O31" i="36"/>
  <c r="N31" i="36"/>
  <c r="AK32" i="71" l="1"/>
  <c r="AI105" i="71"/>
  <c r="AI106" i="71" s="1"/>
  <c r="AI107" i="71" s="1"/>
  <c r="AJ34" i="71"/>
  <c r="AI33" i="71"/>
  <c r="P44" i="36"/>
  <c r="L44" i="36" s="1"/>
  <c r="P41" i="36"/>
  <c r="L41" i="36" s="1"/>
  <c r="P45" i="36"/>
  <c r="L45" i="36" s="1"/>
  <c r="P31" i="36"/>
  <c r="L31" i="36" s="1"/>
  <c r="P42" i="36"/>
  <c r="L42" i="36" s="1"/>
  <c r="P32" i="36"/>
  <c r="L32" i="36" s="1"/>
  <c r="P43" i="36"/>
  <c r="L43" i="36" s="1"/>
  <c r="P33" i="36"/>
  <c r="L33" i="36" s="1"/>
  <c r="K24" i="36"/>
  <c r="K23" i="36"/>
  <c r="K22" i="36"/>
  <c r="K21" i="36"/>
  <c r="K20" i="36"/>
  <c r="J23" i="36"/>
  <c r="J22" i="36"/>
  <c r="J21" i="36"/>
  <c r="J20" i="36"/>
  <c r="P34" i="36"/>
  <c r="L34" i="36" s="1"/>
  <c r="O24" i="36"/>
  <c r="O23" i="36"/>
  <c r="O22" i="36"/>
  <c r="O21" i="36"/>
  <c r="O20" i="36"/>
  <c r="N24" i="36"/>
  <c r="N23" i="36"/>
  <c r="N22" i="36"/>
  <c r="N21" i="36"/>
  <c r="N20" i="36"/>
  <c r="J12" i="36"/>
  <c r="J11" i="36"/>
  <c r="J10" i="36"/>
  <c r="K13" i="36"/>
  <c r="K12" i="36"/>
  <c r="K11" i="36"/>
  <c r="K10" i="36"/>
  <c r="O13" i="36"/>
  <c r="O12" i="36"/>
  <c r="O11" i="36"/>
  <c r="O10" i="36"/>
  <c r="O9" i="36"/>
  <c r="N9" i="36"/>
  <c r="N13" i="36"/>
  <c r="N12" i="36"/>
  <c r="N10" i="36"/>
  <c r="N11" i="36"/>
  <c r="AJ106" i="71" l="1"/>
  <c r="AJ107" i="71" s="1"/>
  <c r="AK33" i="71"/>
  <c r="AK34" i="71" s="1"/>
  <c r="AJ35" i="71"/>
  <c r="AI34" i="71"/>
  <c r="P20" i="36"/>
  <c r="L20" i="36" s="1"/>
  <c r="P23" i="36"/>
  <c r="L23" i="36" s="1"/>
  <c r="P22" i="36"/>
  <c r="L22" i="36" s="1"/>
  <c r="P24" i="36"/>
  <c r="L24" i="36" s="1"/>
  <c r="P11" i="36"/>
  <c r="L11" i="36" s="1"/>
  <c r="P12" i="36"/>
  <c r="L12" i="36" s="1"/>
  <c r="P13" i="36"/>
  <c r="L13" i="36" s="1"/>
  <c r="P21" i="36"/>
  <c r="L21" i="36" s="1"/>
  <c r="P9" i="36"/>
  <c r="P10" i="36"/>
  <c r="L10" i="36" s="1"/>
  <c r="E58" i="1"/>
  <c r="D58" i="1"/>
  <c r="C58" i="1"/>
  <c r="B58" i="1"/>
  <c r="F58" i="1"/>
  <c r="E28" i="1"/>
  <c r="D28" i="1"/>
  <c r="C28" i="1"/>
  <c r="F28" i="1"/>
  <c r="B28" i="1"/>
  <c r="C4" i="52"/>
  <c r="F57" i="1"/>
  <c r="E57" i="1"/>
  <c r="D57" i="1"/>
  <c r="C57" i="1"/>
  <c r="B57" i="1"/>
  <c r="B27" i="1"/>
  <c r="D27" i="1"/>
  <c r="E27" i="1"/>
  <c r="F27" i="1"/>
  <c r="C27" i="1"/>
  <c r="C3" i="52"/>
  <c r="AI35" i="71" l="1"/>
  <c r="I57" i="1"/>
  <c r="P3" i="52" s="1"/>
  <c r="B3" i="52" s="1"/>
  <c r="I58" i="1"/>
  <c r="C79" i="1"/>
  <c r="D79" i="1" s="1"/>
  <c r="P4" i="52" s="1"/>
  <c r="C80" i="1"/>
  <c r="D80" i="1" s="1"/>
  <c r="Y53" i="56"/>
  <c r="Y21" i="56"/>
  <c r="C15" i="56"/>
  <c r="Y102" i="5" l="1"/>
  <c r="W102" i="5" s="1"/>
  <c r="Y100" i="5"/>
  <c r="W100" i="5" s="1"/>
  <c r="Y98" i="5"/>
  <c r="W98" i="5" s="1"/>
  <c r="Y96" i="5"/>
  <c r="W96" i="5" s="1"/>
  <c r="Y59" i="5"/>
  <c r="Y94" i="5" l="1"/>
  <c r="W94" i="5" s="1"/>
  <c r="AK9" i="2" l="1"/>
  <c r="AK14" i="2" l="1"/>
  <c r="AK17" i="2"/>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AK16" i="2" l="1"/>
  <c r="AW16" i="2"/>
  <c r="AW15" i="2"/>
  <c r="G2061" i="36"/>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BW202" i="68" l="1"/>
  <c r="BQ196" i="68"/>
  <c r="BW208" i="68"/>
  <c r="BQ202" i="68"/>
  <c r="BW196" i="68"/>
  <c r="BQ208" i="68"/>
  <c r="BW136" i="68"/>
  <c r="BW166" i="68"/>
  <c r="BQ142" i="68"/>
  <c r="BW142" i="68"/>
  <c r="BW178" i="68"/>
  <c r="BW172" i="68"/>
  <c r="BW160" i="68"/>
  <c r="BQ136" i="68"/>
  <c r="BQ166" i="68"/>
  <c r="BQ178" i="68"/>
  <c r="BQ172" i="68"/>
  <c r="BQ160" i="68"/>
  <c r="BX208" i="68"/>
  <c r="BV210" i="68" s="1"/>
  <c r="BZ211" i="68" s="1"/>
  <c r="BX196" i="68"/>
  <c r="BR196" i="68"/>
  <c r="BR202" i="68"/>
  <c r="BR208" i="68"/>
  <c r="BX202" i="68"/>
  <c r="BV204" i="68" s="1"/>
  <c r="BZ205" i="68" s="1"/>
  <c r="AQ266" i="68" s="1"/>
  <c r="BX142" i="68"/>
  <c r="BX136" i="68"/>
  <c r="BX178" i="68"/>
  <c r="BV180" i="68" s="1"/>
  <c r="BZ181" i="68" s="1"/>
  <c r="BR142" i="68"/>
  <c r="BP144" i="68" s="1"/>
  <c r="BT145" i="68" s="1"/>
  <c r="AY329" i="68" s="1"/>
  <c r="BX166" i="68"/>
  <c r="BX172" i="68"/>
  <c r="BX160" i="68"/>
  <c r="BV162" i="68" s="1"/>
  <c r="BZ163" i="68" s="1"/>
  <c r="BR136" i="68"/>
  <c r="BP138" i="68" s="1"/>
  <c r="BT139" i="68" s="1"/>
  <c r="AW329" i="68" s="1"/>
  <c r="BR172" i="68"/>
  <c r="BP174" i="68" s="1"/>
  <c r="BT175" i="68" s="1"/>
  <c r="AY327" i="68" s="1"/>
  <c r="AY328" i="68" s="1"/>
  <c r="BR166" i="68"/>
  <c r="BR178" i="68"/>
  <c r="BR160" i="68"/>
  <c r="BY208" i="68"/>
  <c r="BS208" i="68"/>
  <c r="BS202" i="68"/>
  <c r="BY202" i="68"/>
  <c r="BS196" i="68"/>
  <c r="BY196" i="68"/>
  <c r="BY142" i="68"/>
  <c r="BY178" i="68"/>
  <c r="BY166" i="68"/>
  <c r="BY172" i="68"/>
  <c r="BY136" i="68"/>
  <c r="BS142" i="68"/>
  <c r="BY160" i="68"/>
  <c r="BS136" i="68"/>
  <c r="BS172" i="68"/>
  <c r="BS178" i="68"/>
  <c r="BS166" i="68"/>
  <c r="BS160" i="68"/>
  <c r="BZ208" i="68"/>
  <c r="BZ196" i="68"/>
  <c r="BZ202" i="68"/>
  <c r="BT208" i="68"/>
  <c r="BT202" i="68"/>
  <c r="BT196" i="68"/>
  <c r="BT142" i="68"/>
  <c r="BZ166" i="68"/>
  <c r="BZ172" i="68"/>
  <c r="BZ136" i="68"/>
  <c r="BZ142" i="68"/>
  <c r="BZ178" i="68"/>
  <c r="BZ160" i="68"/>
  <c r="BT136" i="68"/>
  <c r="BT178" i="68"/>
  <c r="BT166" i="68"/>
  <c r="BT172" i="68"/>
  <c r="BT160" i="68"/>
  <c r="M73" i="6"/>
  <c r="BP162" i="68" l="1"/>
  <c r="BT163" i="68" s="1"/>
  <c r="AW327" i="68" s="1"/>
  <c r="AW328" i="68" s="1"/>
  <c r="AW330" i="68" s="1"/>
  <c r="AK261" i="68" s="1"/>
  <c r="BV198" i="68"/>
  <c r="BZ199" i="68" s="1"/>
  <c r="AM266" i="68" s="1"/>
  <c r="BP210" i="68"/>
  <c r="BT211" i="68" s="1"/>
  <c r="BP168" i="68"/>
  <c r="BT169" i="68" s="1"/>
  <c r="AX327" i="68" s="1"/>
  <c r="AX328" i="68" s="1"/>
  <c r="BV138" i="68"/>
  <c r="BZ139" i="68" s="1"/>
  <c r="AX329" i="68" s="1"/>
  <c r="BV144" i="68"/>
  <c r="BZ145" i="68" s="1"/>
  <c r="AZ329" i="68" s="1"/>
  <c r="BP198" i="68"/>
  <c r="BT199" i="68" s="1"/>
  <c r="AK266" i="68" s="1"/>
  <c r="BP180" i="68"/>
  <c r="BT181" i="68" s="1"/>
  <c r="AZ327" i="68" s="1"/>
  <c r="AZ328" i="68" s="1"/>
  <c r="BV174" i="68"/>
  <c r="BZ175" i="68" s="1"/>
  <c r="BP204" i="68"/>
  <c r="BT205" i="68" s="1"/>
  <c r="AO266" i="68" s="1"/>
  <c r="BV168" i="68"/>
  <c r="BZ169" i="68" s="1"/>
  <c r="AY330" i="68"/>
  <c r="AO261" i="68" s="1"/>
  <c r="Z8" i="68"/>
  <c r="Z7" i="68"/>
  <c r="H80" i="68"/>
  <c r="AX330" i="68" l="1"/>
  <c r="AM261" i="68" s="1"/>
  <c r="AM269" i="68" s="1"/>
  <c r="AO269" i="68"/>
  <c r="AK269" i="68"/>
  <c r="AZ330" i="68"/>
  <c r="AQ261" i="68" s="1"/>
  <c r="AQ269" i="68" s="1"/>
  <c r="V46" i="23"/>
  <c r="V44" i="23"/>
  <c r="V45" i="23"/>
  <c r="B114" i="23" l="1"/>
  <c r="E16" i="65" l="1"/>
  <c r="E17" i="65"/>
  <c r="Q129" i="71" l="1"/>
  <c r="Q128" i="71"/>
  <c r="Q127" i="71"/>
  <c r="M148" i="71" l="1"/>
  <c r="L147" i="71"/>
  <c r="M144" i="71"/>
  <c r="L144" i="71"/>
  <c r="L141" i="71"/>
  <c r="L139" i="71"/>
  <c r="M133" i="71"/>
  <c r="K129" i="71"/>
  <c r="C129" i="71"/>
  <c r="C128" i="71"/>
  <c r="L126" i="71"/>
  <c r="L123" i="71"/>
  <c r="M122" i="71"/>
  <c r="M126" i="71" s="1"/>
  <c r="M132" i="71" s="1"/>
  <c r="L118" i="71"/>
  <c r="C118" i="71"/>
  <c r="L114" i="71"/>
  <c r="L112" i="71"/>
  <c r="M111" i="71"/>
  <c r="L111" i="71"/>
  <c r="M110" i="71"/>
  <c r="J110" i="71"/>
  <c r="M109" i="71"/>
  <c r="J109" i="71"/>
  <c r="C109" i="71"/>
  <c r="L108" i="71"/>
  <c r="L107" i="71"/>
  <c r="C106" i="71"/>
  <c r="C105" i="71"/>
  <c r="L104" i="71"/>
  <c r="C103" i="71"/>
  <c r="L101" i="71"/>
  <c r="L100" i="71"/>
  <c r="C100" i="71"/>
  <c r="L97" i="71"/>
  <c r="J95" i="71"/>
  <c r="L94" i="71"/>
  <c r="P90" i="71"/>
  <c r="P88" i="71"/>
  <c r="L78" i="71"/>
  <c r="M71" i="71"/>
  <c r="M160" i="71" s="1"/>
  <c r="Q56" i="71"/>
  <c r="Q55" i="71"/>
  <c r="Q54" i="71"/>
  <c r="C55" i="71"/>
  <c r="C56" i="71"/>
  <c r="B61" i="71"/>
  <c r="M49" i="71"/>
  <c r="M53" i="71" s="1"/>
  <c r="J22" i="71"/>
  <c r="C36" i="71"/>
  <c r="C33" i="71"/>
  <c r="C32" i="71"/>
  <c r="C30" i="71"/>
  <c r="C27" i="71"/>
  <c r="C25" i="71"/>
  <c r="C19" i="71"/>
  <c r="C45" i="71"/>
  <c r="M38" i="71"/>
  <c r="M75" i="71"/>
  <c r="L74" i="71"/>
  <c r="L71" i="71"/>
  <c r="L68" i="71"/>
  <c r="L66" i="71"/>
  <c r="M60" i="71"/>
  <c r="L53" i="71"/>
  <c r="L50" i="71"/>
  <c r="L45" i="71"/>
  <c r="L39" i="71"/>
  <c r="L38" i="71"/>
  <c r="J37" i="71"/>
  <c r="J36" i="71"/>
  <c r="M37" i="71"/>
  <c r="M36" i="71"/>
  <c r="L35" i="71"/>
  <c r="L34" i="71"/>
  <c r="L31" i="71"/>
  <c r="P17" i="71"/>
  <c r="P15" i="71"/>
  <c r="L28" i="71"/>
  <c r="L27" i="71"/>
  <c r="L24" i="71"/>
  <c r="L21" i="71"/>
  <c r="L41" i="71"/>
  <c r="L5" i="71"/>
  <c r="M59" i="71" l="1"/>
  <c r="K163" i="71" s="1"/>
  <c r="K160" i="71"/>
  <c r="AL24" i="78" s="1"/>
  <c r="M74" i="71"/>
  <c r="P86" i="71"/>
  <c r="M147" i="71"/>
  <c r="P13" i="71"/>
  <c r="U9" i="59"/>
  <c r="U8" i="59"/>
  <c r="U7" i="59"/>
  <c r="Q86" i="71" l="1"/>
  <c r="P160" i="71"/>
  <c r="M163" i="71"/>
  <c r="P19" i="81" s="1"/>
  <c r="H19" i="81"/>
  <c r="Q88" i="71"/>
  <c r="Q15" i="71"/>
  <c r="Q13" i="71"/>
  <c r="P163" i="71" l="1"/>
  <c r="AH46" i="68"/>
  <c r="AB6" i="68"/>
  <c r="B66" i="3"/>
  <c r="P47" i="37" l="1"/>
  <c r="M22" i="33" l="1"/>
  <c r="H107" i="70"/>
  <c r="I82" i="69"/>
  <c r="I79" i="69"/>
  <c r="I72" i="69"/>
  <c r="BC68" i="2" l="1"/>
  <c r="BC53" i="2"/>
  <c r="AQ136" i="68" l="1"/>
  <c r="AO136" i="68"/>
  <c r="AQ137" i="68"/>
  <c r="AO137" i="68"/>
  <c r="AK137" i="68"/>
  <c r="W301" i="68"/>
  <c r="W302" i="68"/>
  <c r="W305" i="68"/>
  <c r="W306" i="68"/>
  <c r="W307" i="68"/>
  <c r="W308" i="68"/>
  <c r="W309" i="68"/>
  <c r="W310" i="68"/>
  <c r="W311" i="68"/>
  <c r="W312" i="68"/>
  <c r="W314" i="68"/>
  <c r="W316" i="68"/>
  <c r="W317" i="68"/>
  <c r="W318" i="68"/>
  <c r="W319" i="68"/>
  <c r="W320" i="68"/>
  <c r="W321" i="68"/>
  <c r="W322" i="68"/>
  <c r="W323" i="68"/>
  <c r="W324" i="68"/>
  <c r="W325" i="68"/>
  <c r="W326" i="68"/>
  <c r="W327" i="68"/>
  <c r="W328" i="68"/>
  <c r="W329" i="68"/>
  <c r="W330" i="68"/>
  <c r="W331" i="68"/>
  <c r="W332" i="68"/>
  <c r="AQ122" i="68" l="1"/>
  <c r="AO122" i="68"/>
  <c r="AQ123" i="68"/>
  <c r="AO123" i="68"/>
  <c r="AK123" i="68"/>
  <c r="Y327" i="68" l="1"/>
  <c r="Y328" i="68"/>
  <c r="Y329" i="68"/>
  <c r="Y330" i="68"/>
  <c r="Y331" i="68"/>
  <c r="Y332" i="68"/>
  <c r="Y279" i="68"/>
  <c r="Y75" i="68" l="1"/>
  <c r="Y74" i="68"/>
  <c r="Y73" i="68"/>
  <c r="Y72" i="68"/>
  <c r="Y71" i="68"/>
  <c r="AB25" i="68"/>
  <c r="Y280" i="68" l="1"/>
  <c r="Y78" i="68"/>
  <c r="U278" i="68"/>
  <c r="AQ117" i="68"/>
  <c r="AO117" i="68"/>
  <c r="AM116" i="68"/>
  <c r="AK116" i="68"/>
  <c r="AK117" i="68"/>
  <c r="AC7" i="68"/>
  <c r="Z30" i="68" l="1"/>
  <c r="AA23" i="68"/>
  <c r="AC37" i="68"/>
  <c r="AM136" i="68"/>
  <c r="AM122" i="68"/>
  <c r="AK136" i="68"/>
  <c r="AK122" i="68"/>
  <c r="U279" i="68"/>
  <c r="Y281" i="68"/>
  <c r="AB23" i="68"/>
  <c r="S272" i="68"/>
  <c r="U280" i="68" l="1"/>
  <c r="Y282" i="68"/>
  <c r="S274" i="68"/>
  <c r="U281" i="68" l="1"/>
  <c r="U282" i="68" s="1"/>
  <c r="W294" i="68"/>
  <c r="Y283" i="68"/>
  <c r="U283" i="68"/>
  <c r="O279" i="68"/>
  <c r="O280" i="68"/>
  <c r="O281" i="68"/>
  <c r="O282" i="68"/>
  <c r="O283" i="68"/>
  <c r="O284" i="68"/>
  <c r="O285" i="68"/>
  <c r="O286" i="68"/>
  <c r="O287" i="68"/>
  <c r="O288" i="68"/>
  <c r="O289" i="68"/>
  <c r="O290" i="68"/>
  <c r="O291" i="68"/>
  <c r="O292" i="68"/>
  <c r="O293" i="68"/>
  <c r="O294" i="68"/>
  <c r="O295" i="68"/>
  <c r="O296" i="68"/>
  <c r="O297" i="68"/>
  <c r="O298" i="68"/>
  <c r="O299" i="68"/>
  <c r="O300" i="68"/>
  <c r="O301" i="68"/>
  <c r="O302" i="68"/>
  <c r="O303" i="68"/>
  <c r="O304" i="68"/>
  <c r="O305" i="68"/>
  <c r="O306" i="68"/>
  <c r="O307" i="68"/>
  <c r="O308" i="68"/>
  <c r="O309" i="68"/>
  <c r="O310" i="68"/>
  <c r="O311" i="68"/>
  <c r="O312" i="68"/>
  <c r="O313" i="68"/>
  <c r="O314" i="68"/>
  <c r="O315" i="68"/>
  <c r="O316" i="68"/>
  <c r="O317" i="68"/>
  <c r="O318" i="68"/>
  <c r="O319" i="68"/>
  <c r="O320" i="68"/>
  <c r="O321" i="68"/>
  <c r="O322" i="68"/>
  <c r="O323" i="68"/>
  <c r="O324" i="68"/>
  <c r="O325" i="68"/>
  <c r="O326" i="68"/>
  <c r="O327" i="68"/>
  <c r="O328" i="68"/>
  <c r="O329" i="68"/>
  <c r="O330" i="68"/>
  <c r="O331" i="68"/>
  <c r="O332" i="68"/>
  <c r="O278" i="68"/>
  <c r="V255" i="68"/>
  <c r="BY278" i="68" s="1"/>
  <c r="T235" i="68"/>
  <c r="BV278" i="68" s="1"/>
  <c r="T245" i="68"/>
  <c r="R235" i="68"/>
  <c r="BS278" i="68" s="1"/>
  <c r="T255" i="68"/>
  <c r="BX278" i="68" s="1"/>
  <c r="Y284" i="68" l="1"/>
  <c r="U284" i="68"/>
  <c r="F244" i="68"/>
  <c r="F254" i="68"/>
  <c r="F234" i="68"/>
  <c r="F224" i="68"/>
  <c r="G229" i="68"/>
  <c r="P245" i="68"/>
  <c r="R245" i="68"/>
  <c r="P255" i="68"/>
  <c r="R255" i="68"/>
  <c r="BU278" i="68" s="1"/>
  <c r="P235" i="68"/>
  <c r="R225" i="68"/>
  <c r="BR278" i="68" s="1"/>
  <c r="BP279" i="68" l="1"/>
  <c r="BP283" i="68"/>
  <c r="BP282" i="68"/>
  <c r="BP284" i="68"/>
  <c r="BQ278" i="68"/>
  <c r="BQ280" i="68"/>
  <c r="BQ284" i="68"/>
  <c r="BQ279" i="68"/>
  <c r="BQ281" i="68"/>
  <c r="BQ283" i="68"/>
  <c r="BQ331" i="68"/>
  <c r="BQ329" i="68"/>
  <c r="BQ327" i="68"/>
  <c r="BQ325" i="68"/>
  <c r="BQ323" i="68"/>
  <c r="BQ321" i="68"/>
  <c r="BQ319" i="68"/>
  <c r="BQ317" i="68"/>
  <c r="BQ315" i="68"/>
  <c r="BQ313" i="68"/>
  <c r="BQ303" i="68"/>
  <c r="BQ301" i="68"/>
  <c r="BQ299" i="68"/>
  <c r="BQ297" i="68"/>
  <c r="BQ295" i="68"/>
  <c r="BQ293" i="68"/>
  <c r="BQ291" i="68"/>
  <c r="BQ289" i="68"/>
  <c r="BQ287" i="68"/>
  <c r="BQ285" i="68"/>
  <c r="BQ332" i="68"/>
  <c r="BQ330" i="68"/>
  <c r="BQ328" i="68"/>
  <c r="BQ326" i="68"/>
  <c r="BQ324" i="68"/>
  <c r="BQ322" i="68"/>
  <c r="BQ320" i="68"/>
  <c r="BQ318" i="68"/>
  <c r="BQ316" i="68"/>
  <c r="BQ314" i="68"/>
  <c r="BQ312" i="68"/>
  <c r="BQ302" i="68"/>
  <c r="BQ300" i="68"/>
  <c r="BQ298" i="68"/>
  <c r="BQ296" i="68"/>
  <c r="BQ294" i="68"/>
  <c r="BQ292" i="68"/>
  <c r="BQ290" i="68"/>
  <c r="BQ288" i="68"/>
  <c r="BQ286" i="68"/>
  <c r="BO282" i="68"/>
  <c r="BO278" i="68"/>
  <c r="BO331" i="68"/>
  <c r="BO329" i="68"/>
  <c r="BO327" i="68"/>
  <c r="BO325" i="68"/>
  <c r="BO323" i="68"/>
  <c r="BO321" i="68"/>
  <c r="BO319" i="68"/>
  <c r="BO317" i="68"/>
  <c r="BO315" i="68"/>
  <c r="BO313" i="68"/>
  <c r="BO311" i="68"/>
  <c r="BO309" i="68"/>
  <c r="BO307" i="68"/>
  <c r="BO305" i="68"/>
  <c r="BO303" i="68"/>
  <c r="BO301" i="68"/>
  <c r="BO299" i="68"/>
  <c r="BO289" i="68"/>
  <c r="BO287" i="68"/>
  <c r="BO285" i="68"/>
  <c r="BO283" i="68"/>
  <c r="BO281" i="68"/>
  <c r="BO332" i="68"/>
  <c r="BO330" i="68"/>
  <c r="BO328" i="68"/>
  <c r="BO326" i="68"/>
  <c r="BO324" i="68"/>
  <c r="BO322" i="68"/>
  <c r="BO320" i="68"/>
  <c r="BO318" i="68"/>
  <c r="BO316" i="68"/>
  <c r="BO314" i="68"/>
  <c r="BO312" i="68"/>
  <c r="BO310" i="68"/>
  <c r="BO308" i="68"/>
  <c r="BO306" i="68"/>
  <c r="BO304" i="68"/>
  <c r="BO302" i="68"/>
  <c r="BO300" i="68"/>
  <c r="BO298" i="68"/>
  <c r="BO290" i="68"/>
  <c r="BO288" i="68"/>
  <c r="BO286" i="68"/>
  <c r="BO284" i="68"/>
  <c r="BP331" i="68"/>
  <c r="BP329" i="68"/>
  <c r="BP327" i="68"/>
  <c r="BP325" i="68"/>
  <c r="BP323" i="68"/>
  <c r="BP321" i="68"/>
  <c r="BP319" i="68"/>
  <c r="BP317" i="68"/>
  <c r="BP315" i="68"/>
  <c r="BP313" i="68"/>
  <c r="BP311" i="68"/>
  <c r="BP309" i="68"/>
  <c r="BP307" i="68"/>
  <c r="BP305" i="68"/>
  <c r="BP295" i="68"/>
  <c r="BP293" i="68"/>
  <c r="BP291" i="68"/>
  <c r="BP289" i="68"/>
  <c r="BP287" i="68"/>
  <c r="BP285" i="68"/>
  <c r="BP332" i="68"/>
  <c r="BP330" i="68"/>
  <c r="BP328" i="68"/>
  <c r="BP326" i="68"/>
  <c r="BP324" i="68"/>
  <c r="BP322" i="68"/>
  <c r="BP320" i="68"/>
  <c r="BP318" i="68"/>
  <c r="BP316" i="68"/>
  <c r="BP314" i="68"/>
  <c r="BP312" i="68"/>
  <c r="BP310" i="68"/>
  <c r="BP308" i="68"/>
  <c r="BP306" i="68"/>
  <c r="BP304" i="68"/>
  <c r="BP296" i="68"/>
  <c r="BP294" i="68"/>
  <c r="BP292" i="68"/>
  <c r="BP290" i="68"/>
  <c r="BP288" i="68"/>
  <c r="BP286" i="68"/>
  <c r="W279" i="68"/>
  <c r="W280" i="68"/>
  <c r="W281" i="68"/>
  <c r="W283" i="68"/>
  <c r="W278" i="68"/>
  <c r="W286" i="68"/>
  <c r="W290" i="68"/>
  <c r="W292" i="68"/>
  <c r="W296" i="68"/>
  <c r="Y285" i="68"/>
  <c r="U285" i="68"/>
  <c r="AH87" i="68"/>
  <c r="E65" i="68"/>
  <c r="AH84" i="68"/>
  <c r="AH81" i="68"/>
  <c r="AH32" i="68"/>
  <c r="X47" i="30"/>
  <c r="X45" i="30"/>
  <c r="X44" i="30"/>
  <c r="X43" i="30"/>
  <c r="X42" i="30"/>
  <c r="X41" i="30"/>
  <c r="X40" i="30"/>
  <c r="X39" i="30"/>
  <c r="X38" i="30"/>
  <c r="X37" i="30"/>
  <c r="X35" i="30"/>
  <c r="X34" i="30"/>
  <c r="X33" i="30"/>
  <c r="X32" i="30"/>
  <c r="X30" i="30"/>
  <c r="X29" i="30"/>
  <c r="X22" i="30"/>
  <c r="X20" i="30"/>
  <c r="X19" i="30"/>
  <c r="X18" i="30"/>
  <c r="X17" i="30"/>
  <c r="X16" i="30"/>
  <c r="X15" i="30"/>
  <c r="X14" i="30"/>
  <c r="X13" i="30"/>
  <c r="X12" i="30"/>
  <c r="X10" i="30"/>
  <c r="X9" i="30"/>
  <c r="X8" i="30"/>
  <c r="X7" i="30"/>
  <c r="X5" i="30"/>
  <c r="X4" i="30"/>
  <c r="W47" i="30"/>
  <c r="W45" i="30"/>
  <c r="W44" i="30"/>
  <c r="W43" i="30"/>
  <c r="W42" i="30"/>
  <c r="W41" i="30"/>
  <c r="W40" i="30"/>
  <c r="W39" i="30"/>
  <c r="W38" i="30"/>
  <c r="W37" i="30"/>
  <c r="W35" i="30"/>
  <c r="W34" i="30"/>
  <c r="W33" i="30"/>
  <c r="W32" i="30"/>
  <c r="W30" i="30"/>
  <c r="W29" i="30"/>
  <c r="W22" i="30"/>
  <c r="W20" i="30"/>
  <c r="W19" i="30"/>
  <c r="W18" i="30"/>
  <c r="W17" i="30"/>
  <c r="W16" i="30"/>
  <c r="W15" i="30"/>
  <c r="W14" i="30"/>
  <c r="W13" i="30"/>
  <c r="W12" i="30"/>
  <c r="W10" i="30"/>
  <c r="W9" i="30"/>
  <c r="W8" i="30"/>
  <c r="W7" i="30"/>
  <c r="W5" i="30"/>
  <c r="W4" i="30"/>
  <c r="W297" i="68" l="1"/>
  <c r="V202" i="68"/>
  <c r="V204" i="68" s="1"/>
  <c r="T202" i="68"/>
  <c r="T204" i="68" s="1"/>
  <c r="R202" i="68"/>
  <c r="R204" i="68" s="1"/>
  <c r="P202" i="68"/>
  <c r="P204" i="68" s="1"/>
  <c r="V206" i="68"/>
  <c r="T206" i="68"/>
  <c r="R206" i="68"/>
  <c r="P206" i="68"/>
  <c r="Y286" i="68"/>
  <c r="U286" i="68"/>
  <c r="P157" i="68"/>
  <c r="R157" i="68"/>
  <c r="T157" i="68"/>
  <c r="V157" i="68"/>
  <c r="P207" i="68" l="1"/>
  <c r="P175" i="68" s="1"/>
  <c r="R207" i="68"/>
  <c r="T207" i="68"/>
  <c r="T175" i="68" s="1"/>
  <c r="V207" i="68"/>
  <c r="W298" i="68"/>
  <c r="Y287" i="68"/>
  <c r="U287" i="68"/>
  <c r="R175" i="68"/>
  <c r="G239" i="68"/>
  <c r="G259" i="68"/>
  <c r="W299" i="68" l="1"/>
  <c r="V175" i="68"/>
  <c r="Y288" i="68"/>
  <c r="U288" i="68"/>
  <c r="Y289" i="68" l="1"/>
  <c r="U289" i="68"/>
  <c r="AP159" i="68"/>
  <c r="AN159" i="68"/>
  <c r="AL159" i="68"/>
  <c r="AJ159" i="68"/>
  <c r="Y290" i="68" l="1"/>
  <c r="U290" i="68"/>
  <c r="Y291" i="68" l="1"/>
  <c r="U291" i="68"/>
  <c r="V151" i="68"/>
  <c r="T151" i="68"/>
  <c r="R151" i="68"/>
  <c r="P151" i="68"/>
  <c r="Y292" i="68" l="1"/>
  <c r="U292" i="68"/>
  <c r="Y293" i="68" l="1"/>
  <c r="U293" i="68"/>
  <c r="Y294" i="68" l="1"/>
  <c r="U294" i="68"/>
  <c r="Y295" i="68" l="1"/>
  <c r="U295" i="68"/>
  <c r="Y296" i="68" l="1"/>
  <c r="U296" i="68"/>
  <c r="P225" i="68"/>
  <c r="W80" i="68"/>
  <c r="C14" i="68"/>
  <c r="BN332" i="68" l="1"/>
  <c r="BN330" i="68"/>
  <c r="BN328" i="68"/>
  <c r="BN326" i="68"/>
  <c r="BN324" i="68"/>
  <c r="BN322" i="68"/>
  <c r="BN320" i="68"/>
  <c r="BN318" i="68"/>
  <c r="BN316" i="68"/>
  <c r="BN314" i="68"/>
  <c r="BN312" i="68"/>
  <c r="BN310" i="68"/>
  <c r="BN308" i="68"/>
  <c r="BN306" i="68"/>
  <c r="BN304" i="68"/>
  <c r="BN302" i="68"/>
  <c r="BN300" i="68"/>
  <c r="BN298" i="68"/>
  <c r="BN296" i="68"/>
  <c r="BN294" i="68"/>
  <c r="BN292" i="68"/>
  <c r="BN284" i="68"/>
  <c r="BN282" i="68"/>
  <c r="BN280" i="68"/>
  <c r="BN278" i="68"/>
  <c r="BN331" i="68"/>
  <c r="BN329" i="68"/>
  <c r="BN327" i="68"/>
  <c r="BN325" i="68"/>
  <c r="BN323" i="68"/>
  <c r="BN321" i="68"/>
  <c r="BN319" i="68"/>
  <c r="BN317" i="68"/>
  <c r="BN315" i="68"/>
  <c r="BN313" i="68"/>
  <c r="BN311" i="68"/>
  <c r="BN309" i="68"/>
  <c r="BN307" i="68"/>
  <c r="BN305" i="68"/>
  <c r="BN303" i="68"/>
  <c r="BN301" i="68"/>
  <c r="BN299" i="68"/>
  <c r="BN297" i="68"/>
  <c r="BN295" i="68"/>
  <c r="BN293" i="68"/>
  <c r="BN291" i="68"/>
  <c r="BN283" i="68"/>
  <c r="BN281" i="68"/>
  <c r="W82" i="68"/>
  <c r="S91" i="68" s="1"/>
  <c r="Y297" i="68"/>
  <c r="U297" i="68"/>
  <c r="D42" i="68"/>
  <c r="Z140" i="68" l="1"/>
  <c r="P124" i="68"/>
  <c r="R124" i="68" s="1"/>
  <c r="T124" i="68" s="1"/>
  <c r="G148" i="68"/>
  <c r="Y298" i="68"/>
  <c r="U298" i="68"/>
  <c r="Y299" i="68" l="1"/>
  <c r="U299" i="68"/>
  <c r="Y300" i="68" l="1"/>
  <c r="U300" i="68"/>
  <c r="W208" i="68"/>
  <c r="C148" i="68"/>
  <c r="W147" i="68"/>
  <c r="C110" i="68"/>
  <c r="D98" i="68"/>
  <c r="O104" i="68"/>
  <c r="W109" i="68"/>
  <c r="C68" i="68"/>
  <c r="C9" i="68"/>
  <c r="W67" i="68"/>
  <c r="T7" i="68"/>
  <c r="U301" i="68" l="1"/>
  <c r="Y301" i="68"/>
  <c r="Z93" i="68"/>
  <c r="S100" i="68" s="1"/>
  <c r="U102" i="68" s="1"/>
  <c r="U302" i="68" l="1"/>
  <c r="Y302" i="68"/>
  <c r="U303" i="68" l="1"/>
  <c r="U304" i="68" s="1"/>
  <c r="V124" i="68" s="1"/>
  <c r="Y303" i="68"/>
  <c r="U305" i="68" l="1"/>
  <c r="U306" i="68" s="1"/>
  <c r="U314" i="68"/>
  <c r="Y304" i="68"/>
  <c r="U307" i="68" l="1"/>
  <c r="U315" i="68"/>
  <c r="Y305" i="68"/>
  <c r="C23" i="13"/>
  <c r="U316" i="68" l="1"/>
  <c r="U308" i="68"/>
  <c r="Y306" i="68"/>
  <c r="U309" i="68" l="1"/>
  <c r="U317" i="68"/>
  <c r="Y307" i="68"/>
  <c r="Q20" i="15"/>
  <c r="U318" i="68" l="1"/>
  <c r="U310" i="68"/>
  <c r="Y308" i="68"/>
  <c r="U319" i="68" l="1"/>
  <c r="U311" i="68"/>
  <c r="Y309" i="68"/>
  <c r="V22" i="13"/>
  <c r="U312" i="68" l="1"/>
  <c r="U320" i="68"/>
  <c r="Y310" i="68"/>
  <c r="Y312" i="68"/>
  <c r="B6" i="3"/>
  <c r="V25" i="3"/>
  <c r="U321" i="68" l="1"/>
  <c r="U313" i="68"/>
  <c r="Y311" i="68"/>
  <c r="Y313" i="68"/>
  <c r="V16" i="13"/>
  <c r="C66" i="13"/>
  <c r="C17" i="13"/>
  <c r="C19" i="13"/>
  <c r="U322" i="68" l="1"/>
  <c r="Y314" i="68"/>
  <c r="P11" i="13"/>
  <c r="P12" i="13"/>
  <c r="C64" i="13"/>
  <c r="J93" i="13"/>
  <c r="O22" i="13"/>
  <c r="M22" i="13"/>
  <c r="V19" i="13"/>
  <c r="R29" i="13" s="1"/>
  <c r="K52" i="13"/>
  <c r="U323" i="68" l="1"/>
  <c r="Y315" i="68"/>
  <c r="P32" i="13"/>
  <c r="R46" i="12"/>
  <c r="R45" i="12"/>
  <c r="U324" i="68" l="1"/>
  <c r="Y316" i="68"/>
  <c r="U325" i="68" l="1"/>
  <c r="Y317" i="68"/>
  <c r="U326" i="68" l="1"/>
  <c r="Y318" i="68"/>
  <c r="U327" i="68" l="1"/>
  <c r="Y319" i="68"/>
  <c r="AX62" i="2"/>
  <c r="U328" i="68" l="1"/>
  <c r="Y320" i="68"/>
  <c r="U329" i="68" l="1"/>
  <c r="Y321" i="68"/>
  <c r="AW14" i="2"/>
  <c r="AW12" i="2"/>
  <c r="U330" i="68" l="1"/>
  <c r="Y322" i="68"/>
  <c r="AW11" i="2"/>
  <c r="O8" i="2" s="1"/>
  <c r="AW69" i="2"/>
  <c r="AX69" i="2" s="1"/>
  <c r="AW54" i="2"/>
  <c r="AX54" i="2" s="1"/>
  <c r="AX53" i="2" s="1"/>
  <c r="AX72" i="2"/>
  <c r="BD69" i="2"/>
  <c r="BD70" i="2" s="1"/>
  <c r="AW68" i="2"/>
  <c r="BB58" i="2"/>
  <c r="AI108" i="71"/>
  <c r="BD54" i="2"/>
  <c r="BD55" i="2" s="1"/>
  <c r="AW53" i="2"/>
  <c r="AX68" i="2" l="1"/>
  <c r="AY69" i="2" s="1"/>
  <c r="AY54" i="2"/>
  <c r="BB56" i="2" s="1"/>
  <c r="S96" i="71"/>
  <c r="V96" i="71" s="1"/>
  <c r="AJ108" i="71"/>
  <c r="M107" i="71" s="1"/>
  <c r="S25" i="71"/>
  <c r="AG10" i="3"/>
  <c r="AG12" i="3" s="1"/>
  <c r="AD10" i="3"/>
  <c r="AD12" i="3" s="1"/>
  <c r="AW65" i="2"/>
  <c r="AJ36" i="71"/>
  <c r="M34" i="71" s="1"/>
  <c r="AI36" i="71"/>
  <c r="X36" i="71"/>
  <c r="U331" i="68"/>
  <c r="AK10" i="2"/>
  <c r="Y323" i="68"/>
  <c r="AX52" i="2"/>
  <c r="AX67" i="2"/>
  <c r="O11" i="2" l="1"/>
  <c r="AT12" i="2" s="1"/>
  <c r="F4" i="86"/>
  <c r="AA52" i="86"/>
  <c r="AA29" i="86"/>
  <c r="B114" i="86" s="1"/>
  <c r="AA49" i="86"/>
  <c r="I4" i="86"/>
  <c r="I12" i="86" s="1"/>
  <c r="BB71" i="2"/>
  <c r="BB70" i="2"/>
  <c r="U96" i="71"/>
  <c r="AF95" i="71" s="1"/>
  <c r="AF114" i="71" s="1"/>
  <c r="AJ114" i="71" s="1"/>
  <c r="AK114" i="71" s="1"/>
  <c r="T96" i="71"/>
  <c r="V25" i="71"/>
  <c r="T25" i="71"/>
  <c r="U25" i="71"/>
  <c r="AG14" i="3"/>
  <c r="AG18" i="3" s="1"/>
  <c r="M17" i="3" s="1"/>
  <c r="Q18" i="15"/>
  <c r="AB46" i="2"/>
  <c r="AE34" i="2"/>
  <c r="N8" i="2"/>
  <c r="U332" i="68"/>
  <c r="Y324" i="68"/>
  <c r="AZ54" i="2"/>
  <c r="BB55" i="2"/>
  <c r="L19" i="15" s="1"/>
  <c r="AX11" i="2" l="1"/>
  <c r="AL13" i="2" s="1"/>
  <c r="P4" i="86"/>
  <c r="AA40" i="86" s="1"/>
  <c r="J4" i="86"/>
  <c r="AA34" i="86"/>
  <c r="E3" i="86"/>
  <c r="B80" i="86"/>
  <c r="B116" i="86"/>
  <c r="AF96" i="71"/>
  <c r="AF115" i="71" s="1"/>
  <c r="AJ115" i="71" s="1"/>
  <c r="AK115" i="71" s="1"/>
  <c r="AF94" i="71"/>
  <c r="AF113" i="71" s="1"/>
  <c r="AJ113" i="71" s="1"/>
  <c r="AK113" i="71" s="1"/>
  <c r="AF97" i="71"/>
  <c r="AF116" i="71" s="1"/>
  <c r="AJ116" i="71" s="1"/>
  <c r="AK116" i="71" s="1"/>
  <c r="AF98" i="71"/>
  <c r="AF117" i="71" s="1"/>
  <c r="AJ117" i="71" s="1"/>
  <c r="AK117" i="71" s="1"/>
  <c r="AF99" i="71"/>
  <c r="AF118" i="71" s="1"/>
  <c r="AJ118" i="71" s="1"/>
  <c r="AK118" i="71" s="1"/>
  <c r="AF100" i="71"/>
  <c r="AF119" i="71" s="1"/>
  <c r="AJ119" i="71" s="1"/>
  <c r="AK119" i="71" s="1"/>
  <c r="AF101" i="71"/>
  <c r="AF120" i="71" s="1"/>
  <c r="AJ120" i="71" s="1"/>
  <c r="AK120" i="71" s="1"/>
  <c r="AF102" i="71"/>
  <c r="AF121" i="71" s="1"/>
  <c r="AJ121" i="71" s="1"/>
  <c r="AF103" i="71"/>
  <c r="AF122" i="71" s="1"/>
  <c r="AJ122" i="71" s="1"/>
  <c r="AF104" i="71"/>
  <c r="AF123" i="71" s="1"/>
  <c r="AJ123" i="71" s="1"/>
  <c r="AF105" i="71"/>
  <c r="AF124" i="71" s="1"/>
  <c r="AJ124" i="71" s="1"/>
  <c r="AF28" i="71"/>
  <c r="AF30" i="71"/>
  <c r="AF32" i="71"/>
  <c r="AF31" i="71"/>
  <c r="AF29" i="71"/>
  <c r="AF33" i="71"/>
  <c r="AF23" i="71"/>
  <c r="AF24" i="71"/>
  <c r="AF25" i="71"/>
  <c r="AF26" i="71"/>
  <c r="AF27" i="71"/>
  <c r="AF22" i="71"/>
  <c r="E7" i="65"/>
  <c r="A7" i="65" s="1"/>
  <c r="AT10" i="2"/>
  <c r="AK8" i="2"/>
  <c r="E11" i="65"/>
  <c r="A11" i="65" s="1"/>
  <c r="AI9" i="2"/>
  <c r="Y325" i="68"/>
  <c r="Y326" i="68"/>
  <c r="R20" i="15"/>
  <c r="AX55" i="2"/>
  <c r="V66" i="3"/>
  <c r="AA37" i="86" l="1"/>
  <c r="R4" i="86"/>
  <c r="P12" i="86"/>
  <c r="R12" i="86" s="1"/>
  <c r="E6" i="86"/>
  <c r="AK121" i="71"/>
  <c r="AK124" i="71"/>
  <c r="AK123" i="71"/>
  <c r="AJ125" i="71"/>
  <c r="AJ126" i="71" s="1"/>
  <c r="AK122" i="71"/>
  <c r="AF55" i="71"/>
  <c r="AF51" i="71"/>
  <c r="AF56" i="71"/>
  <c r="AF50" i="71"/>
  <c r="AF54" i="71"/>
  <c r="AF49" i="71"/>
  <c r="AF52" i="71"/>
  <c r="AF53" i="71"/>
  <c r="AF46" i="71"/>
  <c r="AF47" i="71"/>
  <c r="AF48" i="71"/>
  <c r="AI48" i="71" s="1"/>
  <c r="AF57" i="71"/>
  <c r="AF34" i="71"/>
  <c r="AF35" i="71" s="1"/>
  <c r="M24" i="71" s="1"/>
  <c r="M28" i="71" s="1"/>
  <c r="AT14" i="2"/>
  <c r="AO41" i="2" s="1"/>
  <c r="N10" i="65"/>
  <c r="Y278" i="68"/>
  <c r="T273" i="68" s="1"/>
  <c r="D104" i="23"/>
  <c r="D100" i="23"/>
  <c r="J99" i="23"/>
  <c r="D59" i="23"/>
  <c r="AA46" i="86" l="1"/>
  <c r="B54" i="86" s="1"/>
  <c r="AA43" i="86"/>
  <c r="B89" i="86" s="1"/>
  <c r="B91" i="86"/>
  <c r="B92" i="86"/>
  <c r="AJ53" i="71"/>
  <c r="AK53" i="71" s="1"/>
  <c r="AI53" i="71"/>
  <c r="AJ47" i="71"/>
  <c r="AK47" i="71" s="1"/>
  <c r="AI47" i="71"/>
  <c r="AJ46" i="71"/>
  <c r="AK46" i="71" s="1"/>
  <c r="AI46" i="71"/>
  <c r="AJ52" i="71"/>
  <c r="AK52" i="71" s="1"/>
  <c r="AI52" i="71"/>
  <c r="AJ49" i="71"/>
  <c r="AK49" i="71" s="1"/>
  <c r="AI49" i="71"/>
  <c r="AJ51" i="71"/>
  <c r="AK51" i="71" s="1"/>
  <c r="AI51" i="71"/>
  <c r="AJ50" i="71"/>
  <c r="AK50" i="71" s="1"/>
  <c r="AI50" i="71"/>
  <c r="AK125" i="71"/>
  <c r="AI54" i="71"/>
  <c r="AJ54" i="71"/>
  <c r="AK54" i="71" s="1"/>
  <c r="AI57" i="71"/>
  <c r="AJ57" i="71"/>
  <c r="AK57" i="71" s="1"/>
  <c r="AI56" i="71"/>
  <c r="AJ56" i="71"/>
  <c r="AK56" i="71" s="1"/>
  <c r="AI55" i="71"/>
  <c r="AJ55" i="71"/>
  <c r="AK55" i="71" s="1"/>
  <c r="AF58" i="71"/>
  <c r="AF59" i="71" s="1"/>
  <c r="AJ48" i="71"/>
  <c r="AK48" i="71" s="1"/>
  <c r="B78" i="86" l="1"/>
  <c r="B84" i="86"/>
  <c r="B115" i="86"/>
  <c r="O115" i="86" s="1"/>
  <c r="B79" i="86"/>
  <c r="Y91" i="86"/>
  <c r="B93" i="86"/>
  <c r="AI58" i="71"/>
  <c r="AI59" i="71" s="1"/>
  <c r="AJ58" i="71"/>
  <c r="AJ59" i="71" s="1"/>
  <c r="V106" i="71" s="1"/>
  <c r="AK58" i="71"/>
  <c r="K218" i="60"/>
  <c r="K207" i="60"/>
  <c r="K202" i="60"/>
  <c r="K192" i="60"/>
  <c r="K186" i="60"/>
  <c r="J40" i="67"/>
  <c r="V35" i="71" l="1"/>
  <c r="V107" i="71"/>
  <c r="V36" i="71" s="1"/>
  <c r="U35" i="71"/>
  <c r="V28" i="71"/>
  <c r="T33" i="71" s="1"/>
  <c r="U33" i="71" s="1"/>
  <c r="U104" i="71" s="1"/>
  <c r="O116" i="86"/>
  <c r="Y79" i="86"/>
  <c r="Y98" i="86" s="1"/>
  <c r="S47" i="12"/>
  <c r="T103" i="71" l="1"/>
  <c r="T32" i="71"/>
  <c r="U32" i="71" s="1"/>
  <c r="U103" i="71" s="1"/>
  <c r="T104" i="71"/>
  <c r="V104" i="71" s="1"/>
  <c r="V33" i="71" s="1"/>
  <c r="U106" i="71"/>
  <c r="U36" i="71"/>
  <c r="U107" i="71" s="1"/>
  <c r="V108" i="71" s="1"/>
  <c r="U37" i="71"/>
  <c r="W139" i="33"/>
  <c r="V103" i="71" l="1"/>
  <c r="M104" i="71" s="1"/>
  <c r="U108" i="71"/>
  <c r="U38" i="71"/>
  <c r="U109" i="71" s="1"/>
  <c r="V37" i="71"/>
  <c r="V109" i="71"/>
  <c r="V38" i="71" s="1"/>
  <c r="M31" i="71"/>
  <c r="M35" i="71" s="1"/>
  <c r="M39" i="71" s="1"/>
  <c r="M41" i="71" s="1"/>
  <c r="M42" i="71" s="1"/>
  <c r="O43" i="71" s="1"/>
  <c r="E453" i="60"/>
  <c r="E61" i="28"/>
  <c r="E58" i="28"/>
  <c r="D66" i="15"/>
  <c r="D51" i="14"/>
  <c r="E35" i="14"/>
  <c r="O44" i="71" l="1"/>
  <c r="O45" i="71"/>
  <c r="W142" i="33"/>
  <c r="W138" i="33"/>
  <c r="W104" i="33"/>
  <c r="W101" i="33"/>
  <c r="W100" i="33"/>
  <c r="W99" i="33"/>
  <c r="W94" i="33"/>
  <c r="W93" i="33"/>
  <c r="AB144" i="33"/>
  <c r="V144" i="33"/>
  <c r="AB143" i="33"/>
  <c r="V141" i="33"/>
  <c r="AB136" i="33"/>
  <c r="V131" i="33"/>
  <c r="AB130" i="33"/>
  <c r="V130" i="33"/>
  <c r="AB129" i="33"/>
  <c r="Z128" i="33"/>
  <c r="Z126" i="33"/>
  <c r="V125" i="33"/>
  <c r="AB124" i="33"/>
  <c r="V124" i="33"/>
  <c r="AB115" i="33"/>
  <c r="AB113" i="33"/>
  <c r="AB112" i="33"/>
  <c r="AB111" i="33"/>
  <c r="AB109" i="33"/>
  <c r="AB104" i="33"/>
  <c r="Z103" i="33"/>
  <c r="Z101" i="33"/>
  <c r="Z97" i="33"/>
  <c r="AB95" i="33"/>
  <c r="AA82" i="33"/>
  <c r="AA79" i="33"/>
  <c r="Y79" i="33"/>
  <c r="AA76" i="33"/>
  <c r="Y75" i="33"/>
  <c r="AA73" i="33"/>
  <c r="Y73" i="33"/>
  <c r="AA83" i="33" l="1"/>
  <c r="R41" i="33" s="1"/>
  <c r="W110" i="33" l="1"/>
  <c r="P41" i="33"/>
  <c r="P7" i="37" l="1"/>
  <c r="S8" i="37"/>
  <c r="S10" i="37"/>
  <c r="S11" i="37"/>
  <c r="S9" i="37"/>
  <c r="U5" i="37"/>
  <c r="U4" i="37"/>
  <c r="V8" i="37"/>
  <c r="V4" i="37"/>
  <c r="P27" i="37"/>
  <c r="P21" i="37"/>
  <c r="C11" i="37"/>
  <c r="S6" i="37"/>
  <c r="S7" i="37"/>
  <c r="S4" i="37"/>
  <c r="S5" i="37"/>
  <c r="D32" i="37"/>
  <c r="D29" i="37"/>
  <c r="D27" i="37"/>
  <c r="D25" i="37"/>
  <c r="D23" i="37"/>
  <c r="D22" i="37"/>
  <c r="D21" i="37"/>
  <c r="D18" i="37"/>
  <c r="D16" i="37"/>
  <c r="D126" i="37"/>
  <c r="D122" i="37"/>
  <c r="D115" i="37"/>
  <c r="D111" i="37"/>
  <c r="V7" i="37" l="1"/>
  <c r="V3" i="37"/>
  <c r="V9" i="37" l="1"/>
  <c r="N29" i="37" l="1"/>
  <c r="N23" i="37"/>
  <c r="U10" i="37"/>
  <c r="AF9" i="37"/>
  <c r="P18" i="37"/>
  <c r="N18" i="37" s="1"/>
  <c r="P22" i="37"/>
  <c r="P17" i="37"/>
  <c r="N21" i="37"/>
  <c r="N27" i="37"/>
  <c r="P28" i="37"/>
  <c r="V55" i="3"/>
  <c r="C51" i="52"/>
  <c r="C60" i="52"/>
  <c r="C27" i="52"/>
  <c r="M124" i="33"/>
  <c r="P19" i="37" l="1"/>
  <c r="N20" i="37" s="1"/>
  <c r="W152" i="62"/>
  <c r="AW2" i="2"/>
  <c r="AZ2" i="2" s="1"/>
  <c r="AX2" i="2" s="1"/>
  <c r="AV19" i="84" l="1"/>
  <c r="AW149" i="84" s="1"/>
  <c r="AV147" i="84"/>
  <c r="AV150" i="84"/>
  <c r="AV149" i="84"/>
  <c r="AV148" i="84"/>
  <c r="P24" i="37"/>
  <c r="P26" i="37" s="1"/>
  <c r="O25" i="6" s="1"/>
  <c r="N30" i="37"/>
  <c r="P31" i="37" s="1"/>
  <c r="P33" i="37" s="1"/>
  <c r="O47" i="6" s="1"/>
  <c r="AV21" i="84"/>
  <c r="AV20" i="84"/>
  <c r="AW22" i="84"/>
  <c r="AW20" i="84"/>
  <c r="AV22" i="84"/>
  <c r="AW21" i="84"/>
  <c r="V63" i="3"/>
  <c r="O48" i="6" l="1"/>
  <c r="O26" i="6"/>
  <c r="AW148" i="84"/>
  <c r="AW150" i="84"/>
  <c r="AD151" i="84"/>
  <c r="AD23" i="84"/>
  <c r="E170" i="62" l="1"/>
  <c r="AX56" i="2"/>
  <c r="AM172" i="62" l="1"/>
  <c r="W168" i="62"/>
  <c r="D153" i="62"/>
  <c r="D10" i="63" l="1"/>
  <c r="D28" i="65"/>
  <c r="D22" i="65"/>
  <c r="D21" i="65"/>
  <c r="D20" i="65"/>
  <c r="L4" i="65"/>
  <c r="N28" i="65" s="1"/>
  <c r="K33" i="63"/>
  <c r="K31" i="63"/>
  <c r="D30" i="63"/>
  <c r="I28" i="63"/>
  <c r="D23" i="63"/>
  <c r="I22" i="63"/>
  <c r="D22" i="63"/>
  <c r="I13" i="63"/>
  <c r="K12" i="63"/>
  <c r="K11" i="63"/>
  <c r="G8" i="63"/>
  <c r="J4" i="65" l="1"/>
  <c r="N21" i="65"/>
  <c r="V47" i="30" l="1"/>
  <c r="V45" i="30"/>
  <c r="V44" i="30"/>
  <c r="V43" i="30"/>
  <c r="V42" i="30"/>
  <c r="V41" i="30"/>
  <c r="V40" i="30"/>
  <c r="V39" i="30"/>
  <c r="V38" i="30"/>
  <c r="V37" i="30"/>
  <c r="V35" i="30"/>
  <c r="V34" i="30"/>
  <c r="V33" i="30"/>
  <c r="V32" i="30"/>
  <c r="V30" i="30"/>
  <c r="V29" i="30"/>
  <c r="V22" i="30"/>
  <c r="V20" i="30"/>
  <c r="V19" i="30"/>
  <c r="V18" i="30"/>
  <c r="V17" i="30"/>
  <c r="V16" i="30"/>
  <c r="V15" i="30"/>
  <c r="V14" i="30"/>
  <c r="V13" i="30"/>
  <c r="V12" i="30"/>
  <c r="V10" i="30"/>
  <c r="V9" i="30"/>
  <c r="V8" i="30"/>
  <c r="V7" i="30"/>
  <c r="V5" i="30"/>
  <c r="V4" i="30"/>
  <c r="U47" i="30"/>
  <c r="U45" i="30"/>
  <c r="U44" i="30"/>
  <c r="U43" i="30"/>
  <c r="U42" i="30"/>
  <c r="U41" i="30"/>
  <c r="U40" i="30"/>
  <c r="U39" i="30"/>
  <c r="U38" i="30"/>
  <c r="U37" i="30"/>
  <c r="U35" i="30"/>
  <c r="U34" i="30"/>
  <c r="U33" i="30"/>
  <c r="U32" i="30"/>
  <c r="U30" i="30"/>
  <c r="U29" i="30"/>
  <c r="U22" i="30"/>
  <c r="U20" i="30"/>
  <c r="U19" i="30"/>
  <c r="U18" i="30"/>
  <c r="U17" i="30"/>
  <c r="U16" i="30"/>
  <c r="U15" i="30"/>
  <c r="U14" i="30"/>
  <c r="U13" i="30"/>
  <c r="U12" i="30"/>
  <c r="U10" i="30"/>
  <c r="U9" i="30"/>
  <c r="U8" i="30"/>
  <c r="U7" i="30"/>
  <c r="U5" i="30"/>
  <c r="U4" i="30"/>
  <c r="T47" i="30"/>
  <c r="T45" i="30"/>
  <c r="T44" i="30"/>
  <c r="T43" i="30"/>
  <c r="T42" i="30"/>
  <c r="T41" i="30"/>
  <c r="T40" i="30"/>
  <c r="T39" i="30"/>
  <c r="T38" i="30"/>
  <c r="T37" i="30"/>
  <c r="T35" i="30"/>
  <c r="T34" i="30"/>
  <c r="T33" i="30"/>
  <c r="T32" i="30"/>
  <c r="T30" i="30"/>
  <c r="T29" i="30"/>
  <c r="T22" i="30"/>
  <c r="T20" i="30"/>
  <c r="T19" i="30"/>
  <c r="T18" i="30"/>
  <c r="T17" i="30"/>
  <c r="T16" i="30"/>
  <c r="T15" i="30"/>
  <c r="T14" i="30"/>
  <c r="T13" i="30"/>
  <c r="T12" i="30"/>
  <c r="T10" i="30"/>
  <c r="T9" i="30"/>
  <c r="T8" i="30"/>
  <c r="T7" i="30"/>
  <c r="T5" i="30"/>
  <c r="T4" i="30"/>
  <c r="X53" i="3" l="1"/>
  <c r="W61" i="3"/>
  <c r="W60" i="3"/>
  <c r="W59" i="3"/>
  <c r="W58" i="3"/>
  <c r="E68" i="30" l="1"/>
  <c r="X85" i="62" l="1"/>
  <c r="X86" i="62"/>
  <c r="X87" i="62"/>
  <c r="X84" i="62"/>
  <c r="J59" i="62"/>
  <c r="J60" i="62"/>
  <c r="J61" i="62"/>
  <c r="J58" i="62"/>
  <c r="AA59" i="62"/>
  <c r="AA60" i="62"/>
  <c r="AA61" i="62"/>
  <c r="AA58" i="62"/>
  <c r="V115" i="23" l="1"/>
  <c r="Z237" i="23" l="1"/>
  <c r="Z202" i="23"/>
  <c r="Z236" i="23"/>
  <c r="Z200" i="23"/>
  <c r="Z235" i="23"/>
  <c r="S66" i="15"/>
  <c r="S65" i="15"/>
  <c r="BC3" i="2" l="1"/>
  <c r="BB3" i="2"/>
  <c r="BC4" i="2"/>
  <c r="AE150" i="62" l="1"/>
  <c r="D141" i="62"/>
  <c r="P30" i="33"/>
  <c r="P31" i="33"/>
  <c r="P34" i="33"/>
  <c r="AH158" i="62" l="1"/>
  <c r="AE160" i="62"/>
  <c r="AH171" i="62"/>
  <c r="AE161" i="62" l="1"/>
  <c r="AE173" i="62"/>
  <c r="AA60" i="53"/>
  <c r="B104" i="37"/>
  <c r="B103" i="37"/>
  <c r="B105" i="37"/>
  <c r="B106" i="37"/>
  <c r="B92" i="37"/>
  <c r="B91" i="37"/>
  <c r="B90" i="37"/>
  <c r="R41" i="12" l="1"/>
  <c r="B26" i="60" l="1"/>
  <c r="D294" i="60" l="1"/>
  <c r="D248" i="60"/>
  <c r="D245" i="60"/>
  <c r="D242" i="60"/>
  <c r="D239" i="60"/>
  <c r="D426" i="60"/>
  <c r="D429" i="60"/>
  <c r="D393" i="60"/>
  <c r="D390" i="60"/>
  <c r="D387" i="60"/>
  <c r="D384" i="60"/>
  <c r="H111" i="60"/>
  <c r="B115" i="60" s="1"/>
  <c r="B111" i="60"/>
  <c r="J80" i="60"/>
  <c r="H115" i="60" l="1"/>
  <c r="D15" i="14"/>
  <c r="B14" i="12"/>
  <c r="X94" i="15"/>
  <c r="Y94" i="15" s="1"/>
  <c r="X96" i="15" s="1"/>
  <c r="C97" i="15" s="1"/>
  <c r="A118" i="60" l="1"/>
  <c r="C20" i="71"/>
  <c r="C93" i="71"/>
  <c r="D192" i="62"/>
  <c r="D96" i="62"/>
  <c r="B98" i="62"/>
  <c r="E169" i="62"/>
  <c r="E171" i="62"/>
  <c r="AJ199" i="62"/>
  <c r="D151" i="62"/>
  <c r="B132" i="62"/>
  <c r="AE122" i="62"/>
  <c r="AE126" i="62" s="1"/>
  <c r="B92" i="62"/>
  <c r="B73" i="62"/>
  <c r="AJ72" i="62"/>
  <c r="AC3" i="62"/>
  <c r="AE130" i="62" l="1"/>
  <c r="G253" i="60"/>
  <c r="G234" i="60"/>
  <c r="AE188" i="62" l="1"/>
  <c r="AE137" i="62"/>
  <c r="AE174" i="62" s="1"/>
  <c r="B35" i="60"/>
  <c r="B230" i="60"/>
  <c r="K209" i="60"/>
  <c r="D168" i="60"/>
  <c r="D157" i="60"/>
  <c r="AE175" i="62" l="1"/>
  <c r="D152" i="60"/>
  <c r="D144" i="60"/>
  <c r="D139" i="60"/>
  <c r="D138" i="60"/>
  <c r="D136" i="60"/>
  <c r="D118" i="60"/>
  <c r="D113" i="60"/>
  <c r="D94" i="60"/>
  <c r="D92" i="60"/>
  <c r="D7" i="60"/>
  <c r="N11" i="60"/>
  <c r="B323" i="60"/>
  <c r="D71" i="60"/>
  <c r="D66" i="60"/>
  <c r="D57" i="60"/>
  <c r="D37" i="60"/>
  <c r="N20" i="60"/>
  <c r="N17" i="60"/>
  <c r="N14" i="60"/>
  <c r="K343" i="60" l="1"/>
  <c r="O378" i="60"/>
  <c r="O376" i="60"/>
  <c r="AE179" i="62"/>
  <c r="AE189" i="62" s="1"/>
  <c r="AE190" i="62" s="1"/>
  <c r="AE198" i="62" s="1"/>
  <c r="AA57" i="53"/>
  <c r="B386" i="60"/>
  <c r="A113" i="60"/>
  <c r="AQ58" i="58"/>
  <c r="AE184" i="62" l="1"/>
  <c r="H124" i="60"/>
  <c r="A124" i="60"/>
  <c r="B124" i="60"/>
  <c r="H129" i="60"/>
  <c r="B78" i="58"/>
  <c r="AJ27" i="58"/>
  <c r="AM15" i="58"/>
  <c r="O41" i="46" l="1"/>
  <c r="N1" i="60"/>
  <c r="B154" i="60"/>
  <c r="A168" i="60" s="1"/>
  <c r="AL25" i="78"/>
  <c r="Q22" i="78" s="1"/>
  <c r="AE164" i="62"/>
  <c r="S4" i="46" s="1"/>
  <c r="AU34" i="58"/>
  <c r="H154" i="60"/>
  <c r="A157" i="60" l="1"/>
  <c r="D13" i="46"/>
  <c r="E2" i="46" s="1"/>
  <c r="AS12" i="76"/>
  <c r="R48" i="33"/>
  <c r="AS11" i="76"/>
  <c r="AL13" i="76"/>
  <c r="B171" i="60"/>
  <c r="H171" i="60" l="1"/>
  <c r="N54" i="37" l="1"/>
  <c r="B108" i="23" l="1"/>
  <c r="O35" i="59" l="1"/>
  <c r="AL68" i="58" l="1"/>
  <c r="AE68" i="58" s="1"/>
  <c r="O82" i="59" l="1"/>
  <c r="N92" i="59" l="1"/>
  <c r="Q34" i="59"/>
  <c r="Q33" i="59"/>
  <c r="C37" i="59" l="1"/>
  <c r="C112" i="59" l="1"/>
  <c r="N100" i="59"/>
  <c r="N97" i="59"/>
  <c r="L93" i="59" l="1"/>
  <c r="L89" i="59"/>
  <c r="N73" i="59"/>
  <c r="C70" i="59"/>
  <c r="N71" i="59"/>
  <c r="Q154" i="59" l="1"/>
  <c r="Q153" i="59"/>
  <c r="Q152" i="59"/>
  <c r="Q151" i="59"/>
  <c r="Q150" i="59"/>
  <c r="Q149" i="59"/>
  <c r="Q148" i="59"/>
  <c r="Q147" i="59"/>
  <c r="B143" i="59"/>
  <c r="B124" i="59"/>
  <c r="O115" i="59"/>
  <c r="O113" i="59"/>
  <c r="N112" i="59"/>
  <c r="N110" i="59"/>
  <c r="N108" i="59"/>
  <c r="N106" i="59"/>
  <c r="N105" i="59"/>
  <c r="N95" i="59"/>
  <c r="L87" i="59"/>
  <c r="L83" i="59"/>
  <c r="L77" i="59"/>
  <c r="L76" i="59"/>
  <c r="L75" i="59"/>
  <c r="N72" i="59"/>
  <c r="N69" i="59"/>
  <c r="B63" i="59"/>
  <c r="O62" i="59"/>
  <c r="N61" i="59"/>
  <c r="N57" i="59"/>
  <c r="C56" i="59"/>
  <c r="K54" i="59"/>
  <c r="N51" i="59"/>
  <c r="F49" i="59"/>
  <c r="F50" i="59" s="1"/>
  <c r="G48" i="59"/>
  <c r="G47" i="59"/>
  <c r="L42" i="59"/>
  <c r="N41" i="59"/>
  <c r="N40" i="59"/>
  <c r="N38" i="59"/>
  <c r="N37" i="59"/>
  <c r="O31" i="59"/>
  <c r="O4" i="59"/>
  <c r="O145" i="59" s="1"/>
  <c r="Q36" i="59" l="1"/>
  <c r="G49" i="59"/>
  <c r="G50" i="59"/>
  <c r="F51" i="59"/>
  <c r="BC5" i="2"/>
  <c r="BC6" i="2" s="1"/>
  <c r="BB5" i="2"/>
  <c r="O36" i="59" l="1"/>
  <c r="O105" i="59"/>
  <c r="G51" i="59"/>
  <c r="F52" i="59"/>
  <c r="F53" i="59" l="1"/>
  <c r="G52" i="59"/>
  <c r="BB4" i="2"/>
  <c r="BB6" i="2" s="1"/>
  <c r="AU29" i="58"/>
  <c r="B2" i="58" l="1"/>
  <c r="AM2" i="58" s="1"/>
  <c r="L2" i="58"/>
  <c r="AO2" i="58" s="1"/>
  <c r="V2" i="58"/>
  <c r="AP2" i="58" s="1"/>
  <c r="F54" i="59"/>
  <c r="G53" i="59"/>
  <c r="AJ127" i="58"/>
  <c r="AJ77" i="58"/>
  <c r="J47" i="59" l="1"/>
  <c r="G54" i="59"/>
  <c r="AL2" i="58"/>
  <c r="AC5" i="58"/>
  <c r="Z43" i="58" l="1"/>
  <c r="Z40" i="58"/>
  <c r="W25" i="58"/>
  <c r="J48" i="59"/>
  <c r="K47" i="59"/>
  <c r="S25" i="58"/>
  <c r="O25" i="58"/>
  <c r="R2" i="58"/>
  <c r="K48" i="59" l="1"/>
  <c r="J49" i="59"/>
  <c r="K49" i="59" l="1"/>
  <c r="J50" i="59"/>
  <c r="D102" i="33"/>
  <c r="D101" i="33"/>
  <c r="D100" i="33"/>
  <c r="D99" i="33"/>
  <c r="K50" i="59" l="1"/>
  <c r="J51" i="59"/>
  <c r="J52" i="59" l="1"/>
  <c r="K51" i="59"/>
  <c r="J53" i="59" l="1"/>
  <c r="K52" i="59"/>
  <c r="J54" i="59" l="1"/>
  <c r="K53" i="59"/>
  <c r="K23" i="53"/>
  <c r="AG59" i="33" l="1"/>
  <c r="AC25" i="33"/>
  <c r="V27" i="33"/>
  <c r="V26" i="33"/>
  <c r="V25" i="33"/>
  <c r="V38" i="33"/>
  <c r="V37" i="33"/>
  <c r="V36" i="33"/>
  <c r="B109" i="33"/>
  <c r="M42" i="37"/>
  <c r="W16" i="15"/>
  <c r="L49" i="15"/>
  <c r="L37" i="12"/>
  <c r="P27" i="12"/>
  <c r="C19" i="12"/>
  <c r="C20" i="12"/>
  <c r="C18" i="12"/>
  <c r="B17" i="12"/>
  <c r="B16" i="12"/>
  <c r="L26" i="15" l="1"/>
  <c r="L25" i="15" s="1"/>
  <c r="Q26" i="15"/>
  <c r="L108" i="33" l="1"/>
  <c r="C14" i="56" l="1"/>
  <c r="T88" i="56" l="1"/>
  <c r="B32" i="56"/>
  <c r="B31" i="56"/>
  <c r="B30" i="56"/>
  <c r="C29" i="56" l="1"/>
  <c r="C28" i="56"/>
  <c r="AB120" i="56"/>
  <c r="Y92" i="56"/>
  <c r="Z69" i="56"/>
  <c r="B61" i="56"/>
  <c r="AB60" i="56"/>
  <c r="I48" i="56"/>
  <c r="I47" i="56"/>
  <c r="I45" i="56"/>
  <c r="I44" i="56"/>
  <c r="I43" i="56"/>
  <c r="I41" i="56"/>
  <c r="I36" i="56"/>
  <c r="V29" i="56"/>
  <c r="B27" i="56"/>
  <c r="B22" i="56"/>
  <c r="Y93" i="56" l="1"/>
  <c r="Y33" i="56" s="1"/>
  <c r="Y54" i="56" s="1"/>
  <c r="AF56" i="56" s="1"/>
  <c r="Y94" i="56"/>
  <c r="Z67" i="56"/>
  <c r="AB61" i="56"/>
  <c r="I46" i="56"/>
  <c r="I39" i="56"/>
  <c r="I38" i="56"/>
  <c r="X4" i="56"/>
  <c r="AE41" i="23" l="1"/>
  <c r="AF58" i="56"/>
  <c r="AE160" i="23"/>
  <c r="AE69" i="23"/>
  <c r="AE191" i="23"/>
  <c r="AD56" i="56"/>
  <c r="AC19" i="78"/>
  <c r="J58" i="67" s="1"/>
  <c r="I8" i="64"/>
  <c r="K8" i="64" s="1"/>
  <c r="L27" i="12"/>
  <c r="AW37" i="2" l="1"/>
  <c r="AR45" i="2"/>
  <c r="AQ45" i="2"/>
  <c r="AP45" i="2"/>
  <c r="AO45" i="2"/>
  <c r="AQ49" i="2" l="1"/>
  <c r="AQ46" i="2"/>
  <c r="AQ47" i="2"/>
  <c r="AQ48" i="2"/>
  <c r="AP47" i="2"/>
  <c r="AP48" i="2"/>
  <c r="AP49" i="2"/>
  <c r="AP46" i="2"/>
  <c r="AR47" i="2"/>
  <c r="AR46" i="2"/>
  <c r="AO46" i="2"/>
  <c r="AO47" i="2"/>
  <c r="AH82" i="50" l="1"/>
  <c r="AH29" i="50"/>
  <c r="AH82" i="49"/>
  <c r="AH29" i="49"/>
  <c r="AH82" i="43"/>
  <c r="AH29" i="43"/>
  <c r="M48" i="52" l="1"/>
  <c r="P6" i="52" s="1"/>
  <c r="M25" i="52"/>
  <c r="M36" i="52"/>
  <c r="N45" i="53"/>
  <c r="G3" i="53" s="1"/>
  <c r="C5" i="52" l="1"/>
  <c r="C6" i="52"/>
  <c r="B6" i="52"/>
  <c r="AC61" i="53"/>
  <c r="K55" i="53" l="1"/>
  <c r="K50" i="53"/>
  <c r="M48" i="53"/>
  <c r="M46" i="53"/>
  <c r="K45" i="53"/>
  <c r="K44" i="53"/>
  <c r="K43" i="53"/>
  <c r="M41" i="53"/>
  <c r="M38" i="53"/>
  <c r="M37" i="53"/>
  <c r="K33" i="53"/>
  <c r="M31" i="53"/>
  <c r="M30" i="53"/>
  <c r="M29" i="53"/>
  <c r="K27" i="53"/>
  <c r="K25" i="53"/>
  <c r="K21" i="53"/>
  <c r="M17" i="53"/>
  <c r="M16" i="53"/>
  <c r="M15" i="53"/>
  <c r="N62" i="53"/>
  <c r="M61" i="53"/>
  <c r="M59" i="53"/>
  <c r="K19" i="53"/>
  <c r="M6" i="53"/>
  <c r="L68" i="52" l="1"/>
  <c r="L65" i="52"/>
  <c r="L63" i="52"/>
  <c r="J61" i="52"/>
  <c r="J59" i="52"/>
  <c r="J58" i="52"/>
  <c r="L54" i="52"/>
  <c r="L51" i="52"/>
  <c r="L49" i="52"/>
  <c r="J48" i="52"/>
  <c r="J44" i="52"/>
  <c r="L41" i="52"/>
  <c r="L39" i="52"/>
  <c r="J38" i="52"/>
  <c r="J37" i="52"/>
  <c r="J36" i="52"/>
  <c r="J32" i="52"/>
  <c r="L28" i="52"/>
  <c r="L26" i="52"/>
  <c r="J25" i="52"/>
  <c r="J21" i="52"/>
  <c r="J20" i="52"/>
  <c r="J19" i="52"/>
  <c r="J18" i="52"/>
  <c r="M69" i="52"/>
  <c r="L9" i="52"/>
  <c r="L90" i="37" l="1"/>
  <c r="M114" i="37"/>
  <c r="K112" i="37"/>
  <c r="O111" i="37"/>
  <c r="M110" i="37"/>
  <c r="K109" i="37"/>
  <c r="K108" i="37"/>
  <c r="K107" i="37"/>
  <c r="V14" i="6"/>
  <c r="U14" i="6"/>
  <c r="V34" i="6"/>
  <c r="U34" i="6"/>
  <c r="L104" i="37"/>
  <c r="E104" i="37"/>
  <c r="E103" i="37"/>
  <c r="E106" i="37"/>
  <c r="K105" i="37"/>
  <c r="E105" i="37"/>
  <c r="AA85" i="37" l="1"/>
  <c r="X134" i="28"/>
  <c r="B35" i="43"/>
  <c r="I28" i="4" l="1"/>
  <c r="E181" i="46" l="1"/>
  <c r="Q78" i="46"/>
  <c r="B130" i="46"/>
  <c r="N43" i="28"/>
  <c r="K60" i="28"/>
  <c r="K59" i="28"/>
  <c r="K57" i="28"/>
  <c r="K56" i="28"/>
  <c r="K55" i="28"/>
  <c r="K54" i="28"/>
  <c r="E51" i="28"/>
  <c r="E50" i="28"/>
  <c r="E40" i="28"/>
  <c r="E53" i="28"/>
  <c r="E52" i="28"/>
  <c r="B12" i="12"/>
  <c r="B11" i="12"/>
  <c r="B10" i="12"/>
  <c r="B9" i="12"/>
  <c r="B7" i="12"/>
  <c r="B6" i="12"/>
  <c r="B4" i="12"/>
  <c r="B3" i="12"/>
  <c r="D91" i="23" l="1"/>
  <c r="H44" i="33"/>
  <c r="H43" i="33"/>
  <c r="H42" i="33"/>
  <c r="M122" i="33" l="1"/>
  <c r="P28" i="33" l="1"/>
  <c r="P26" i="33"/>
  <c r="P25" i="33"/>
  <c r="P23" i="33"/>
  <c r="C40" i="33"/>
  <c r="S47" i="37" l="1"/>
  <c r="U115" i="5"/>
  <c r="I4" i="4" l="1"/>
  <c r="J35" i="49" l="1"/>
  <c r="AS35" i="49" s="1"/>
  <c r="Y62" i="37"/>
  <c r="S115" i="37" l="1"/>
  <c r="AW40" i="6" l="1"/>
  <c r="AV40" i="6"/>
  <c r="AU40" i="6"/>
  <c r="AW38" i="6"/>
  <c r="AW36" i="6"/>
  <c r="AV36" i="6"/>
  <c r="AV20" i="6"/>
  <c r="AW18" i="6"/>
  <c r="AU18" i="6"/>
  <c r="AW16" i="6"/>
  <c r="AB40" i="6"/>
  <c r="AB38" i="6"/>
  <c r="AB36" i="6"/>
  <c r="AA40" i="6"/>
  <c r="AA36" i="6"/>
  <c r="Z40" i="6"/>
  <c r="AA20" i="6"/>
  <c r="AB18" i="6"/>
  <c r="Z18" i="6"/>
  <c r="AB16" i="6"/>
  <c r="N39" i="6" l="1"/>
  <c r="AD40" i="6"/>
  <c r="AY88" i="43"/>
  <c r="AW88" i="43"/>
  <c r="AX88" i="43"/>
  <c r="AT88" i="43"/>
  <c r="AU88" i="43"/>
  <c r="AS88" i="43"/>
  <c r="K40" i="6" l="1"/>
  <c r="H40" i="6"/>
  <c r="J40" i="6"/>
  <c r="BC88" i="43"/>
  <c r="BB88" i="43"/>
  <c r="BA88" i="43"/>
  <c r="AG88" i="43" s="1"/>
  <c r="N40" i="6" l="1"/>
  <c r="AQ40" i="6"/>
  <c r="AP40" i="6"/>
  <c r="AL40" i="6"/>
  <c r="AK40" i="6"/>
  <c r="AG40" i="6"/>
  <c r="AF40" i="6"/>
  <c r="H39" i="6" s="1"/>
  <c r="AR38" i="6"/>
  <c r="AM38" i="6"/>
  <c r="AR36" i="6"/>
  <c r="AQ36" i="6"/>
  <c r="AM36" i="6"/>
  <c r="AL36" i="6"/>
  <c r="AG36" i="6"/>
  <c r="AR18" i="6"/>
  <c r="AR16" i="6"/>
  <c r="AQ20" i="6"/>
  <c r="AP18" i="6"/>
  <c r="AM18" i="6"/>
  <c r="AM16" i="6"/>
  <c r="AL20" i="6"/>
  <c r="AK18" i="6"/>
  <c r="AG20" i="6"/>
  <c r="AF18"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90" i="46" l="1"/>
  <c r="D103" i="46"/>
  <c r="N226" i="46"/>
  <c r="L226" i="46"/>
  <c r="N227" i="46"/>
  <c r="L227" i="46"/>
  <c r="E108" i="46"/>
  <c r="E106" i="46"/>
  <c r="D102" i="46"/>
  <c r="T10" i="46"/>
  <c r="Q192" i="46"/>
  <c r="U136" i="46" l="1"/>
  <c r="U137" i="46"/>
  <c r="D29" i="15"/>
  <c r="C30" i="12" l="1"/>
  <c r="AF122" i="50" l="1"/>
  <c r="AA115" i="50"/>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V64" i="50"/>
  <c r="B62" i="50"/>
  <c r="AF61"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AB5" i="50"/>
  <c r="AF122" i="49"/>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V64" i="49"/>
  <c r="B62" i="49"/>
  <c r="AF61"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B35" i="49"/>
  <c r="AB5" i="49"/>
  <c r="M35" i="43"/>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U35" i="43"/>
  <c r="AC35" i="43" s="1"/>
  <c r="V64" i="43"/>
  <c r="AI49" i="43" l="1"/>
  <c r="A45" i="43"/>
  <c r="AI53" i="43"/>
  <c r="AC51" i="49"/>
  <c r="A51" i="49" s="1"/>
  <c r="AC97" i="50"/>
  <c r="A97" i="50" s="1"/>
  <c r="AC109" i="50"/>
  <c r="A109" i="50" s="1"/>
  <c r="AC110" i="50"/>
  <c r="A110" i="50" s="1"/>
  <c r="AC42" i="49"/>
  <c r="A42" i="49" s="1"/>
  <c r="AC50" i="49"/>
  <c r="A50" i="49" s="1"/>
  <c r="AG96" i="49"/>
  <c r="AC98" i="49"/>
  <c r="A98" i="49" s="1"/>
  <c r="AC106" i="49"/>
  <c r="A106" i="49" s="1"/>
  <c r="AC110" i="49"/>
  <c r="A110" i="49" s="1"/>
  <c r="AC36" i="50"/>
  <c r="A36" i="50" s="1"/>
  <c r="AC52" i="50"/>
  <c r="A52" i="50" s="1"/>
  <c r="AC36" i="49"/>
  <c r="A36" i="49" s="1"/>
  <c r="AC44" i="49"/>
  <c r="A44" i="49" s="1"/>
  <c r="AC52" i="49"/>
  <c r="A52" i="49" s="1"/>
  <c r="AC92" i="49"/>
  <c r="A92" i="49" s="1"/>
  <c r="AC96" i="49"/>
  <c r="A96" i="49" s="1"/>
  <c r="AC115" i="50"/>
  <c r="A115" i="50" s="1"/>
  <c r="AC104" i="49"/>
  <c r="A104" i="49" s="1"/>
  <c r="AC108" i="43"/>
  <c r="A108" i="43" s="1"/>
  <c r="AC46" i="50"/>
  <c r="A46" i="50" s="1"/>
  <c r="AC90" i="50"/>
  <c r="A90" i="50" s="1"/>
  <c r="AC106" i="50"/>
  <c r="A106" i="50" s="1"/>
  <c r="AC38" i="43"/>
  <c r="A39" i="43"/>
  <c r="A41" i="43"/>
  <c r="AC107" i="43"/>
  <c r="A107" i="43" s="1"/>
  <c r="AC42" i="50"/>
  <c r="A42" i="50" s="1"/>
  <c r="AC43" i="50"/>
  <c r="A43" i="50" s="1"/>
  <c r="AC99" i="50"/>
  <c r="A99" i="50" s="1"/>
  <c r="AC45" i="50"/>
  <c r="A45" i="50" s="1"/>
  <c r="A54" i="43"/>
  <c r="AI41" i="43"/>
  <c r="AC43" i="49"/>
  <c r="A43" i="49" s="1"/>
  <c r="AC96" i="50"/>
  <c r="A96" i="50" s="1"/>
  <c r="AC100" i="50"/>
  <c r="A100" i="50" s="1"/>
  <c r="A36" i="43"/>
  <c r="AC44" i="43"/>
  <c r="AC48" i="43"/>
  <c r="A49" i="43"/>
  <c r="AC52" i="43"/>
  <c r="A53" i="43"/>
  <c r="AC89" i="43"/>
  <c r="A89" i="43" s="1"/>
  <c r="AC97" i="43"/>
  <c r="A97" i="43" s="1"/>
  <c r="AC99" i="43"/>
  <c r="A99" i="43" s="1"/>
  <c r="AC39" i="49"/>
  <c r="A39" i="49" s="1"/>
  <c r="AC91" i="49"/>
  <c r="A91" i="49" s="1"/>
  <c r="AC111" i="49"/>
  <c r="A111" i="49" s="1"/>
  <c r="AC115" i="49"/>
  <c r="A115" i="49" s="1"/>
  <c r="A37" i="43"/>
  <c r="AI39" i="43"/>
  <c r="AC40" i="43"/>
  <c r="A43" i="43"/>
  <c r="AC46" i="43"/>
  <c r="A47" i="43"/>
  <c r="A52" i="43"/>
  <c r="AC54" i="43"/>
  <c r="AC94" i="43"/>
  <c r="A94" i="43" s="1"/>
  <c r="AC96" i="43"/>
  <c r="A96" i="43" s="1"/>
  <c r="AC47" i="49"/>
  <c r="A47" i="49" s="1"/>
  <c r="AC89" i="49"/>
  <c r="A89" i="49" s="1"/>
  <c r="AC109" i="49"/>
  <c r="A109" i="49" s="1"/>
  <c r="AC113" i="49"/>
  <c r="A113" i="49" s="1"/>
  <c r="AC39" i="50"/>
  <c r="A39" i="50" s="1"/>
  <c r="AC48" i="50"/>
  <c r="A48" i="50" s="1"/>
  <c r="AC49" i="50"/>
  <c r="A49" i="50" s="1"/>
  <c r="AC93" i="50"/>
  <c r="A93" i="50" s="1"/>
  <c r="AC94" i="50"/>
  <c r="A94" i="50" s="1"/>
  <c r="AC103" i="50"/>
  <c r="A103" i="50" s="1"/>
  <c r="AC112" i="50"/>
  <c r="A112" i="50" s="1"/>
  <c r="AC113" i="50"/>
  <c r="A113" i="50" s="1"/>
  <c r="A51" i="43"/>
  <c r="AC92" i="43"/>
  <c r="A92" i="43" s="1"/>
  <c r="AC101" i="43"/>
  <c r="A101" i="43" s="1"/>
  <c r="AC105" i="43"/>
  <c r="A105" i="43" s="1"/>
  <c r="AC110" i="43"/>
  <c r="A110" i="43" s="1"/>
  <c r="AC112" i="43"/>
  <c r="A112" i="43" s="1"/>
  <c r="AC40" i="49"/>
  <c r="A40" i="49" s="1"/>
  <c r="AC41" i="49"/>
  <c r="A41" i="49" s="1"/>
  <c r="AC48" i="49"/>
  <c r="A48" i="49" s="1"/>
  <c r="AC49" i="49"/>
  <c r="A49" i="49" s="1"/>
  <c r="AG90" i="49"/>
  <c r="AU90" i="49"/>
  <c r="AS90" i="49"/>
  <c r="AT90" i="49"/>
  <c r="AI91" i="49"/>
  <c r="AW91" i="49"/>
  <c r="AX91" i="49"/>
  <c r="AY91" i="49"/>
  <c r="AY92" i="49"/>
  <c r="AW92" i="49"/>
  <c r="AX92" i="49"/>
  <c r="AC93" i="49"/>
  <c r="A93" i="49" s="1"/>
  <c r="AC94" i="49"/>
  <c r="A94" i="49" s="1"/>
  <c r="AC95" i="49"/>
  <c r="A95" i="49" s="1"/>
  <c r="AC99" i="49"/>
  <c r="A99" i="49" s="1"/>
  <c r="AS101" i="49"/>
  <c r="AT101" i="49"/>
  <c r="AG101" i="49"/>
  <c r="AU101" i="49"/>
  <c r="AI102" i="49"/>
  <c r="AT102" i="49"/>
  <c r="AU102" i="49"/>
  <c r="AS102" i="49"/>
  <c r="AG102" i="49"/>
  <c r="AG103" i="49"/>
  <c r="AS103" i="49"/>
  <c r="AU103" i="49"/>
  <c r="AT103" i="49"/>
  <c r="AX104" i="49"/>
  <c r="AY104" i="49"/>
  <c r="AW104" i="49"/>
  <c r="AC105" i="49"/>
  <c r="A105" i="49" s="1"/>
  <c r="AG107" i="49"/>
  <c r="AT107" i="49"/>
  <c r="AU107" i="49"/>
  <c r="AS107" i="49"/>
  <c r="AI108" i="49"/>
  <c r="AG108" i="49"/>
  <c r="AT108" i="49"/>
  <c r="AS108" i="49"/>
  <c r="AU108" i="49"/>
  <c r="AI109" i="49"/>
  <c r="AY109" i="49"/>
  <c r="AW109" i="49"/>
  <c r="AX109" i="49"/>
  <c r="AW110" i="49"/>
  <c r="AY110" i="49"/>
  <c r="AX110" i="49"/>
  <c r="AI111" i="49"/>
  <c r="AY111" i="49"/>
  <c r="AW111" i="49"/>
  <c r="AX111" i="49"/>
  <c r="AC112" i="49"/>
  <c r="A112" i="49" s="1"/>
  <c r="AT114" i="49"/>
  <c r="AG114" i="49"/>
  <c r="AS114" i="49"/>
  <c r="AU114" i="49"/>
  <c r="AI115" i="49"/>
  <c r="AX115" i="49"/>
  <c r="AW115" i="49"/>
  <c r="AY115" i="49"/>
  <c r="AT37" i="50"/>
  <c r="AU37" i="50"/>
  <c r="AS37" i="50"/>
  <c r="AI38" i="50"/>
  <c r="AT38" i="50"/>
  <c r="AU38" i="50"/>
  <c r="AS38" i="50"/>
  <c r="AI39" i="50"/>
  <c r="AY39" i="50"/>
  <c r="AW39" i="50"/>
  <c r="AX39" i="50"/>
  <c r="AC40" i="50"/>
  <c r="A40" i="50" s="1"/>
  <c r="AC41" i="50"/>
  <c r="A41" i="50" s="1"/>
  <c r="AU44" i="50"/>
  <c r="AS44" i="50"/>
  <c r="AT44" i="50"/>
  <c r="AI45" i="50"/>
  <c r="AW45" i="50"/>
  <c r="AY45" i="50"/>
  <c r="AX45" i="50"/>
  <c r="AW46" i="50"/>
  <c r="AY46" i="50"/>
  <c r="AX46" i="50"/>
  <c r="AC47" i="50"/>
  <c r="A47" i="50" s="1"/>
  <c r="AS50" i="50"/>
  <c r="AU50" i="50"/>
  <c r="AT50" i="50"/>
  <c r="AI51" i="50"/>
  <c r="AU51" i="50"/>
  <c r="AS51" i="50"/>
  <c r="AT51" i="50"/>
  <c r="AI52" i="50"/>
  <c r="AY52" i="50"/>
  <c r="AX52" i="50"/>
  <c r="AW52" i="50"/>
  <c r="AC53" i="50"/>
  <c r="A53" i="50" s="1"/>
  <c r="AC54" i="50"/>
  <c r="A54" i="50" s="1"/>
  <c r="AU88" i="50"/>
  <c r="AT88" i="50"/>
  <c r="AS88" i="50"/>
  <c r="AG88" i="50"/>
  <c r="AI89" i="50"/>
  <c r="AU89" i="50"/>
  <c r="AT89" i="50"/>
  <c r="AS89" i="50"/>
  <c r="AG89" i="50"/>
  <c r="AI90" i="50"/>
  <c r="AY90" i="50"/>
  <c r="AX90" i="50"/>
  <c r="AW90" i="50"/>
  <c r="AC91" i="50"/>
  <c r="A91" i="50" s="1"/>
  <c r="AC92" i="50"/>
  <c r="A92" i="50" s="1"/>
  <c r="AS95" i="50"/>
  <c r="AU95" i="50"/>
  <c r="AT95" i="50"/>
  <c r="AG95" i="50"/>
  <c r="AI96" i="50"/>
  <c r="AX96" i="50"/>
  <c r="AW96" i="50"/>
  <c r="AY96" i="50"/>
  <c r="AY97" i="50"/>
  <c r="AX97" i="50"/>
  <c r="AW97" i="50"/>
  <c r="AC98" i="50"/>
  <c r="A98" i="50" s="1"/>
  <c r="AT101" i="50"/>
  <c r="AS101" i="50"/>
  <c r="AU101" i="50"/>
  <c r="AG101" i="50"/>
  <c r="AI102" i="50"/>
  <c r="AU102" i="50"/>
  <c r="AT102" i="50"/>
  <c r="AS102" i="50"/>
  <c r="AG102" i="50"/>
  <c r="AI103" i="50"/>
  <c r="AY103" i="50"/>
  <c r="AX103" i="50"/>
  <c r="AW103" i="50"/>
  <c r="AC104" i="50"/>
  <c r="A104" i="50" s="1"/>
  <c r="AC105" i="50"/>
  <c r="A105" i="50" s="1"/>
  <c r="AI107" i="50"/>
  <c r="AU107" i="50"/>
  <c r="AT107" i="50"/>
  <c r="AS107" i="50"/>
  <c r="AG107" i="50"/>
  <c r="AI108" i="50"/>
  <c r="AT108" i="50"/>
  <c r="AS108" i="50"/>
  <c r="AU108" i="50"/>
  <c r="AG108" i="50"/>
  <c r="AI109" i="50"/>
  <c r="AW109" i="50"/>
  <c r="AY109" i="50"/>
  <c r="AX109" i="50"/>
  <c r="AX110" i="50"/>
  <c r="AW110" i="50"/>
  <c r="AY110" i="50"/>
  <c r="AC111" i="50"/>
  <c r="A111" i="50" s="1"/>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C37" i="43"/>
  <c r="A38" i="43"/>
  <c r="AC43" i="43"/>
  <c r="A44" i="43"/>
  <c r="AC47" i="43"/>
  <c r="A48" i="43"/>
  <c r="AC91" i="43"/>
  <c r="A91" i="43" s="1"/>
  <c r="AC100" i="43"/>
  <c r="A100" i="43" s="1"/>
  <c r="AC102" i="43"/>
  <c r="A102" i="43" s="1"/>
  <c r="AC113" i="43"/>
  <c r="A113" i="43" s="1"/>
  <c r="AC115" i="43"/>
  <c r="A115" i="43" s="1"/>
  <c r="AC38" i="49"/>
  <c r="A38" i="49" s="1"/>
  <c r="AC45" i="49"/>
  <c r="A45" i="49" s="1"/>
  <c r="AC46" i="49"/>
  <c r="A46" i="49" s="1"/>
  <c r="AC53" i="49"/>
  <c r="A53" i="49" s="1"/>
  <c r="AC54" i="49"/>
  <c r="A54" i="49" s="1"/>
  <c r="AU88" i="49"/>
  <c r="AG88" i="49"/>
  <c r="AS88" i="49"/>
  <c r="AT88" i="49"/>
  <c r="AY89" i="49"/>
  <c r="AW89" i="49"/>
  <c r="AX89" i="49"/>
  <c r="AC90" i="49"/>
  <c r="A90" i="49" s="1"/>
  <c r="AS93" i="49"/>
  <c r="AT93" i="49"/>
  <c r="AG93" i="49"/>
  <c r="AU93" i="49"/>
  <c r="AI94" i="49"/>
  <c r="AS94" i="49"/>
  <c r="AG94" i="49"/>
  <c r="AT94" i="49"/>
  <c r="AU94" i="49"/>
  <c r="AU95" i="49"/>
  <c r="AG95" i="49"/>
  <c r="AS95" i="49"/>
  <c r="AT95" i="49"/>
  <c r="AC97" i="49"/>
  <c r="A97" i="49" s="1"/>
  <c r="AC101" i="49"/>
  <c r="A101" i="49" s="1"/>
  <c r="AC102" i="49"/>
  <c r="A102" i="49" s="1"/>
  <c r="AC103" i="49"/>
  <c r="A103" i="49" s="1"/>
  <c r="AI105" i="49"/>
  <c r="AS105" i="49"/>
  <c r="AG105" i="49"/>
  <c r="AU105" i="49"/>
  <c r="AT105" i="49"/>
  <c r="AI106" i="49"/>
  <c r="AW106" i="49"/>
  <c r="AX106" i="49"/>
  <c r="AY106" i="49"/>
  <c r="AC107" i="49"/>
  <c r="A107" i="49" s="1"/>
  <c r="AC108" i="49"/>
  <c r="A108" i="49" s="1"/>
  <c r="AG112" i="49"/>
  <c r="AT112" i="49"/>
  <c r="AS112" i="49"/>
  <c r="AU112" i="49"/>
  <c r="AY113" i="49"/>
  <c r="AW113" i="49"/>
  <c r="AX113" i="49"/>
  <c r="AC114" i="49"/>
  <c r="A114" i="49" s="1"/>
  <c r="AI35" i="50"/>
  <c r="AU35" i="50"/>
  <c r="AS35" i="50"/>
  <c r="AT35" i="50"/>
  <c r="AX36" i="50"/>
  <c r="AY36" i="50"/>
  <c r="AW36" i="50"/>
  <c r="AC37" i="50"/>
  <c r="A37" i="50" s="1"/>
  <c r="AC38" i="50"/>
  <c r="A38" i="50" s="1"/>
  <c r="AI40" i="50"/>
  <c r="AU40" i="50"/>
  <c r="AS40" i="50"/>
  <c r="AT40" i="50"/>
  <c r="AI41" i="50"/>
  <c r="AS41" i="50"/>
  <c r="AU41" i="50"/>
  <c r="AT41" i="50"/>
  <c r="AI42" i="50"/>
  <c r="AX42" i="50"/>
  <c r="AY42" i="50"/>
  <c r="AW42" i="50"/>
  <c r="AX43" i="50"/>
  <c r="AY43" i="50"/>
  <c r="AW43" i="50"/>
  <c r="AC44" i="50"/>
  <c r="A44" i="50" s="1"/>
  <c r="AT47" i="50"/>
  <c r="AU47" i="50"/>
  <c r="AS47" i="50"/>
  <c r="AX48" i="50"/>
  <c r="AY48" i="50"/>
  <c r="AW48" i="50"/>
  <c r="AX49" i="50"/>
  <c r="AY49" i="50"/>
  <c r="AW49" i="50"/>
  <c r="AC50" i="50"/>
  <c r="A50" i="50" s="1"/>
  <c r="AC51" i="50"/>
  <c r="A51" i="50" s="1"/>
  <c r="AU53" i="50"/>
  <c r="AT53" i="50"/>
  <c r="AS53" i="50"/>
  <c r="AI54" i="50"/>
  <c r="AU54" i="50"/>
  <c r="AT54" i="50"/>
  <c r="AS54" i="50"/>
  <c r="AC88" i="50"/>
  <c r="A88" i="50" s="1"/>
  <c r="AC89" i="50"/>
  <c r="A89" i="50" s="1"/>
  <c r="AU91" i="50"/>
  <c r="AT91" i="50"/>
  <c r="AS91" i="50"/>
  <c r="AG91" i="50"/>
  <c r="AI92" i="50"/>
  <c r="AT92" i="50"/>
  <c r="AS92" i="50"/>
  <c r="AU92" i="50"/>
  <c r="AG92" i="50"/>
  <c r="AI93" i="50"/>
  <c r="AW93" i="50"/>
  <c r="AY93" i="50"/>
  <c r="AX93" i="50"/>
  <c r="AX94" i="50"/>
  <c r="AW94" i="50"/>
  <c r="AY94" i="50"/>
  <c r="AC95" i="50"/>
  <c r="A95" i="50" s="1"/>
  <c r="AU98" i="50"/>
  <c r="AT98" i="50"/>
  <c r="AS98" i="50"/>
  <c r="AG98" i="50"/>
  <c r="AY99" i="50"/>
  <c r="AX99" i="50"/>
  <c r="AW99" i="50"/>
  <c r="AW100" i="50"/>
  <c r="AY100" i="50"/>
  <c r="AX100" i="50"/>
  <c r="AC101" i="50"/>
  <c r="A101" i="50" s="1"/>
  <c r="AC102" i="50"/>
  <c r="A102" i="50" s="1"/>
  <c r="AU104" i="50"/>
  <c r="AT104" i="50"/>
  <c r="AS104" i="50"/>
  <c r="AG104" i="50"/>
  <c r="AI105" i="50"/>
  <c r="AU105" i="50"/>
  <c r="AT105" i="50"/>
  <c r="AS105" i="50"/>
  <c r="AG105" i="50"/>
  <c r="AI106" i="50"/>
  <c r="AY106" i="50"/>
  <c r="AX106" i="50"/>
  <c r="AW106" i="50"/>
  <c r="AC107" i="50"/>
  <c r="A107" i="50" s="1"/>
  <c r="AC108" i="50"/>
  <c r="A108" i="50" s="1"/>
  <c r="AS111" i="50"/>
  <c r="AU111" i="50"/>
  <c r="AT111" i="50"/>
  <c r="AG111" i="50"/>
  <c r="AX112" i="50"/>
  <c r="AW112" i="50"/>
  <c r="AY112" i="50"/>
  <c r="AY113" i="50"/>
  <c r="AX113" i="50"/>
  <c r="AW113" i="50"/>
  <c r="AC114" i="50"/>
  <c r="A114" i="50" s="1"/>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C37" i="49"/>
  <c r="A37" i="49" s="1"/>
  <c r="AC100" i="49"/>
  <c r="A100" i="49" s="1"/>
  <c r="AC51" i="43"/>
  <c r="AI36" i="43"/>
  <c r="AX47" i="43"/>
  <c r="AW47" i="43"/>
  <c r="AY47" i="43"/>
  <c r="AU92" i="43"/>
  <c r="AS92" i="43"/>
  <c r="AT92" i="43"/>
  <c r="AG92" i="43"/>
  <c r="AI46" i="43"/>
  <c r="AX46" i="43"/>
  <c r="AW46" i="43"/>
  <c r="AY46" i="43"/>
  <c r="AG99" i="43"/>
  <c r="AU99" i="43"/>
  <c r="AT99" i="43"/>
  <c r="AS99" i="43"/>
  <c r="AX45" i="43"/>
  <c r="AW45" i="43"/>
  <c r="AY45" i="43"/>
  <c r="AG114" i="43"/>
  <c r="AT114" i="43"/>
  <c r="AU114" i="43"/>
  <c r="AS114" i="43"/>
  <c r="AG106" i="43"/>
  <c r="AU106" i="43"/>
  <c r="AT106" i="43"/>
  <c r="AS106" i="43"/>
  <c r="AS98" i="43"/>
  <c r="AU98" i="43"/>
  <c r="AG98" i="43"/>
  <c r="AT98" i="43"/>
  <c r="AT90" i="43"/>
  <c r="AS90" i="43"/>
  <c r="AG90" i="43"/>
  <c r="AU90" i="43"/>
  <c r="AU37" i="43"/>
  <c r="AT37" i="43"/>
  <c r="AS37" i="43"/>
  <c r="AI38" i="43"/>
  <c r="AY38" i="43"/>
  <c r="AX38" i="43"/>
  <c r="AW38" i="43"/>
  <c r="AC39" i="43"/>
  <c r="A40" i="43"/>
  <c r="AT43" i="43"/>
  <c r="AS43" i="43"/>
  <c r="AU43" i="43"/>
  <c r="AI44" i="43"/>
  <c r="AW44" i="43"/>
  <c r="AY44" i="43"/>
  <c r="AX44" i="43"/>
  <c r="AC45" i="43"/>
  <c r="A46" i="43"/>
  <c r="AU51" i="43"/>
  <c r="AS51" i="43"/>
  <c r="AT51" i="43"/>
  <c r="AI52" i="43"/>
  <c r="AY52" i="43"/>
  <c r="AX52" i="43"/>
  <c r="AW52" i="43"/>
  <c r="AC53" i="43"/>
  <c r="AI89" i="43"/>
  <c r="AX89" i="43"/>
  <c r="AY89" i="43"/>
  <c r="AW89" i="43"/>
  <c r="AC90" i="43"/>
  <c r="A90" i="43" s="1"/>
  <c r="AC95" i="43"/>
  <c r="A95" i="43" s="1"/>
  <c r="AI100" i="43"/>
  <c r="AX100" i="43"/>
  <c r="AY100" i="43"/>
  <c r="AW100" i="43"/>
  <c r="AI105" i="43"/>
  <c r="AW105" i="43"/>
  <c r="AY105" i="43"/>
  <c r="AX105" i="43"/>
  <c r="AC106" i="43"/>
  <c r="A106" i="43" s="1"/>
  <c r="AC111" i="43"/>
  <c r="A111" i="43" s="1"/>
  <c r="AU113" i="43"/>
  <c r="AG113" i="43"/>
  <c r="AT113" i="43"/>
  <c r="AS113" i="43"/>
  <c r="AS105" i="43"/>
  <c r="AU105" i="43"/>
  <c r="AT105" i="43"/>
  <c r="AG105" i="43"/>
  <c r="AT97" i="43"/>
  <c r="AS97" i="43"/>
  <c r="AG97" i="43"/>
  <c r="AU97" i="43"/>
  <c r="AU89" i="43"/>
  <c r="AG89" i="43"/>
  <c r="AS89" i="43"/>
  <c r="AT89" i="43"/>
  <c r="AI102" i="43"/>
  <c r="AY102" i="43"/>
  <c r="AX102" i="43"/>
  <c r="AW102" i="43"/>
  <c r="AI107" i="43"/>
  <c r="AX107" i="43"/>
  <c r="AY107" i="43"/>
  <c r="AW107" i="43"/>
  <c r="AT108" i="43"/>
  <c r="AS108" i="43"/>
  <c r="AG108" i="43"/>
  <c r="AU108" i="43"/>
  <c r="AI40" i="43"/>
  <c r="AW40" i="43"/>
  <c r="AY40" i="43"/>
  <c r="AX40" i="43"/>
  <c r="AT53" i="43"/>
  <c r="AU53" i="43"/>
  <c r="AS53" i="43"/>
  <c r="AG91" i="43"/>
  <c r="AU91" i="43"/>
  <c r="AS91" i="43"/>
  <c r="AT91" i="43"/>
  <c r="AS44" i="43"/>
  <c r="AU44" i="43"/>
  <c r="AT44" i="43"/>
  <c r="AU52" i="43"/>
  <c r="AS52" i="43"/>
  <c r="AT52" i="43"/>
  <c r="AI90" i="43"/>
  <c r="AY90" i="43"/>
  <c r="AX90" i="43"/>
  <c r="AW90" i="43"/>
  <c r="AX111" i="43"/>
  <c r="AW111" i="43"/>
  <c r="AY111" i="43"/>
  <c r="AT36" i="43"/>
  <c r="AS36" i="43"/>
  <c r="AU36" i="43"/>
  <c r="AU104" i="43"/>
  <c r="AG104" i="43"/>
  <c r="AT104" i="43"/>
  <c r="AS104" i="43"/>
  <c r="AU49" i="43"/>
  <c r="AT49" i="43"/>
  <c r="AS49" i="43"/>
  <c r="AI50" i="43"/>
  <c r="AY50" i="43"/>
  <c r="AX50" i="43"/>
  <c r="AW50" i="43"/>
  <c r="AX93" i="43"/>
  <c r="AY93" i="43"/>
  <c r="AW93" i="43"/>
  <c r="AX104" i="43"/>
  <c r="AY104" i="43"/>
  <c r="AW104" i="43"/>
  <c r="AW109" i="43"/>
  <c r="AY109" i="43"/>
  <c r="AX109" i="43"/>
  <c r="AT111" i="43"/>
  <c r="AU111" i="43"/>
  <c r="AS111" i="43"/>
  <c r="AG111" i="43"/>
  <c r="AU103" i="43"/>
  <c r="AT103" i="43"/>
  <c r="AS103" i="43"/>
  <c r="AG103" i="43"/>
  <c r="AS95" i="43"/>
  <c r="AG95" i="43"/>
  <c r="AU95" i="43"/>
  <c r="AT95" i="43"/>
  <c r="AY35" i="43"/>
  <c r="AX35" i="43"/>
  <c r="AW35" i="43"/>
  <c r="AU46" i="43"/>
  <c r="AT46" i="43"/>
  <c r="AS46" i="43"/>
  <c r="AU54" i="43"/>
  <c r="AT54" i="43"/>
  <c r="AS54" i="43"/>
  <c r="AT45" i="43"/>
  <c r="AU45" i="43"/>
  <c r="AS45" i="43"/>
  <c r="AI101" i="43"/>
  <c r="AW101" i="43"/>
  <c r="AY101" i="43"/>
  <c r="AX101" i="43"/>
  <c r="AT115" i="43"/>
  <c r="AG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G112" i="43"/>
  <c r="AU112" i="43"/>
  <c r="AS112" i="43"/>
  <c r="AI35" i="43"/>
  <c r="AU35" i="43"/>
  <c r="AT35" i="43"/>
  <c r="AS35" i="43"/>
  <c r="AI43" i="43"/>
  <c r="AC36" i="43"/>
  <c r="AC42" i="43"/>
  <c r="AU48" i="43"/>
  <c r="AS48" i="43"/>
  <c r="AT48" i="43"/>
  <c r="AX49" i="43"/>
  <c r="AY49" i="43"/>
  <c r="AW49" i="43"/>
  <c r="AC50" i="43"/>
  <c r="AU41" i="43"/>
  <c r="AS41" i="43"/>
  <c r="AT41" i="43"/>
  <c r="AC93" i="43"/>
  <c r="A93" i="43" s="1"/>
  <c r="AW98" i="43"/>
  <c r="AY98" i="43"/>
  <c r="AX98" i="43"/>
  <c r="AY103" i="43"/>
  <c r="AX103" i="43"/>
  <c r="AW103" i="43"/>
  <c r="AC104" i="43"/>
  <c r="A104" i="43" s="1"/>
  <c r="AC109" i="43"/>
  <c r="A109" i="43" s="1"/>
  <c r="AX114" i="43"/>
  <c r="AY114" i="43"/>
  <c r="AW114" i="43"/>
  <c r="AT110" i="43"/>
  <c r="AG110" i="43"/>
  <c r="AU110" i="43"/>
  <c r="AS110" i="43"/>
  <c r="AU102" i="43"/>
  <c r="AT102" i="43"/>
  <c r="AG102" i="43"/>
  <c r="AS102" i="43"/>
  <c r="AS94" i="43"/>
  <c r="AG94" i="43"/>
  <c r="AT94" i="43"/>
  <c r="AU94" i="43"/>
  <c r="AU40" i="43"/>
  <c r="AS40" i="43"/>
  <c r="AT40" i="43"/>
  <c r="AI91" i="43"/>
  <c r="AW91" i="43"/>
  <c r="AY91" i="43"/>
  <c r="AX91" i="43"/>
  <c r="AU100" i="43"/>
  <c r="AS100" i="43"/>
  <c r="AG100" i="43"/>
  <c r="AT100" i="43"/>
  <c r="AI47" i="43"/>
  <c r="AU39" i="43"/>
  <c r="AT39" i="43"/>
  <c r="AS39" i="43"/>
  <c r="AI54" i="43"/>
  <c r="AW54" i="43"/>
  <c r="AY54" i="43"/>
  <c r="AX54" i="43"/>
  <c r="AY96" i="43"/>
  <c r="AX96" i="43"/>
  <c r="AW96" i="43"/>
  <c r="AX112" i="43"/>
  <c r="AW112" i="43"/>
  <c r="AY112" i="43"/>
  <c r="AG107" i="43"/>
  <c r="AT107" i="43"/>
  <c r="AU107" i="43"/>
  <c r="AS107" i="43"/>
  <c r="AY39" i="43"/>
  <c r="AX39" i="43"/>
  <c r="AW39" i="43"/>
  <c r="AY53" i="43"/>
  <c r="AW53" i="43"/>
  <c r="AX53" i="43"/>
  <c r="AY95" i="43"/>
  <c r="AX95" i="43"/>
  <c r="AW95" i="43"/>
  <c r="AU42" i="43"/>
  <c r="AS42" i="43"/>
  <c r="AT42" i="43"/>
  <c r="AT50" i="43"/>
  <c r="AS50" i="43"/>
  <c r="AU50" i="43"/>
  <c r="AW115" i="43"/>
  <c r="AY115" i="43"/>
  <c r="AX115" i="43"/>
  <c r="AS96" i="43"/>
  <c r="AG96" i="43"/>
  <c r="AU96" i="43"/>
  <c r="AT96" i="43"/>
  <c r="AX36" i="43"/>
  <c r="AY36" i="43"/>
  <c r="AW36" i="43"/>
  <c r="AI42" i="43"/>
  <c r="AX42" i="43"/>
  <c r="AY42" i="43"/>
  <c r="AW42" i="43"/>
  <c r="AI45" i="43"/>
  <c r="AC41" i="43"/>
  <c r="A42" i="43"/>
  <c r="AT47" i="43"/>
  <c r="AU47" i="43"/>
  <c r="AS47" i="43"/>
  <c r="AI48" i="43"/>
  <c r="AY48" i="43"/>
  <c r="AX48" i="43"/>
  <c r="AW48" i="43"/>
  <c r="AC49" i="43"/>
  <c r="A50" i="43"/>
  <c r="AY41" i="43"/>
  <c r="AX41" i="43"/>
  <c r="AW41" i="43"/>
  <c r="AI92" i="43"/>
  <c r="AY92" i="43"/>
  <c r="AX92" i="43"/>
  <c r="AW92" i="43"/>
  <c r="AI97" i="43"/>
  <c r="AY97" i="43"/>
  <c r="AX97" i="43"/>
  <c r="AW97" i="43"/>
  <c r="AC98" i="43"/>
  <c r="A98" i="43" s="1"/>
  <c r="AC103" i="43"/>
  <c r="A103" i="43" s="1"/>
  <c r="AI108" i="43"/>
  <c r="AW108" i="43"/>
  <c r="AY108" i="43"/>
  <c r="AX108" i="43"/>
  <c r="AI113" i="43"/>
  <c r="AY113" i="43"/>
  <c r="AX113" i="43"/>
  <c r="AW113" i="43"/>
  <c r="AC114" i="43"/>
  <c r="A114" i="43" s="1"/>
  <c r="AU109" i="43"/>
  <c r="AS109" i="43"/>
  <c r="AT109" i="43"/>
  <c r="AG109" i="43"/>
  <c r="AT101" i="43"/>
  <c r="AS101" i="43"/>
  <c r="AU101" i="43"/>
  <c r="AG101" i="43"/>
  <c r="AU93" i="43"/>
  <c r="AT93" i="43"/>
  <c r="AG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C35" i="50"/>
  <c r="A35" i="50" s="1"/>
  <c r="AC35" i="49"/>
  <c r="A35" i="49" s="1"/>
  <c r="AC88" i="49"/>
  <c r="A88" i="49" s="1"/>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Q116" i="50" s="1"/>
  <c r="A55" i="50"/>
  <c r="A55" i="49"/>
  <c r="BA88" i="49"/>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BC39" i="43"/>
  <c r="BC49" i="43"/>
  <c r="BA49" i="43"/>
  <c r="BB49" i="43"/>
  <c r="BB43" i="43"/>
  <c r="BA43" i="43"/>
  <c r="BC90" i="43"/>
  <c r="BA90" i="43"/>
  <c r="BB90" i="43"/>
  <c r="BB102" i="43"/>
  <c r="BA102" i="43"/>
  <c r="BC113" i="43"/>
  <c r="BA113" i="43"/>
  <c r="BB113" i="43"/>
  <c r="BB95" i="43"/>
  <c r="BA95" i="43"/>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AG35" i="43" s="1"/>
  <c r="BC44" i="43"/>
  <c r="BC47" i="43"/>
  <c r="BC96" i="43"/>
  <c r="BA53" i="43"/>
  <c r="BB53" i="43"/>
  <c r="BC102" i="43"/>
  <c r="BC114" i="43"/>
  <c r="BA114" i="43"/>
  <c r="BB114" i="43"/>
  <c r="BA101" i="43"/>
  <c r="BB101" i="43"/>
  <c r="BA109" i="43"/>
  <c r="BB109" i="43"/>
  <c r="BC50" i="43"/>
  <c r="BA50" i="43"/>
  <c r="BB50" i="43"/>
  <c r="BC104" i="43"/>
  <c r="BC51" i="43"/>
  <c r="BB45" i="43"/>
  <c r="BA45" i="43"/>
  <c r="AG45" i="43" s="1"/>
  <c r="BB46" i="43"/>
  <c r="BA46" i="43"/>
  <c r="AG46" i="43" s="1"/>
  <c r="BA47" i="43"/>
  <c r="AG47" i="43" s="1"/>
  <c r="BA36" i="43"/>
  <c r="AG36" i="43" s="1"/>
  <c r="BB36" i="43"/>
  <c r="BB39" i="43"/>
  <c r="BA93" i="43"/>
  <c r="BB93" i="43"/>
  <c r="BC92" i="43"/>
  <c r="BB41" i="43"/>
  <c r="BA41" i="43"/>
  <c r="BC41" i="43"/>
  <c r="BC42" i="43"/>
  <c r="BA42" i="43"/>
  <c r="AG42" i="43" s="1"/>
  <c r="BB42" i="43"/>
  <c r="BB103" i="43"/>
  <c r="BA103" i="43"/>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AG40" i="43" s="1"/>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AG35" i="49" s="1"/>
  <c r="AR40" i="6"/>
  <c r="K39" i="6" s="1"/>
  <c r="AM40" i="6"/>
  <c r="J39" i="6" s="1"/>
  <c r="AV38" i="6"/>
  <c r="AQ38" i="6"/>
  <c r="AL38" i="6"/>
  <c r="AG38" i="6"/>
  <c r="AG69" i="50"/>
  <c r="N77" i="6"/>
  <c r="M28" i="6"/>
  <c r="M50" i="6"/>
  <c r="M42" i="6"/>
  <c r="M44" i="6"/>
  <c r="AG42" i="50" l="1"/>
  <c r="AG41" i="50"/>
  <c r="AG36" i="50"/>
  <c r="AG38" i="50"/>
  <c r="AG37" i="50"/>
  <c r="AG39" i="50"/>
  <c r="AG40" i="50"/>
  <c r="AG54" i="50"/>
  <c r="AG52" i="50"/>
  <c r="AG49" i="50"/>
  <c r="AG50" i="50"/>
  <c r="AG53" i="50"/>
  <c r="AG44" i="50"/>
  <c r="AC55" i="50"/>
  <c r="AW20" i="6" s="1"/>
  <c r="AB20" i="6"/>
  <c r="AA55" i="50"/>
  <c r="AR20" i="6" s="1"/>
  <c r="AG35" i="50"/>
  <c r="AG41" i="49"/>
  <c r="AG53" i="49"/>
  <c r="AG54" i="49"/>
  <c r="AG46" i="49"/>
  <c r="AG39" i="49"/>
  <c r="AG44" i="49"/>
  <c r="AG42" i="49"/>
  <c r="AG50" i="49"/>
  <c r="AG48" i="49"/>
  <c r="AA55" i="49"/>
  <c r="AA18" i="6"/>
  <c r="AD18" i="6" s="1"/>
  <c r="AG50" i="43"/>
  <c r="AG43" i="43"/>
  <c r="AG41" i="43"/>
  <c r="AG49" i="43"/>
  <c r="AG39" i="43"/>
  <c r="AG48" i="43"/>
  <c r="AG38" i="43"/>
  <c r="AG53" i="43"/>
  <c r="AG52" i="43"/>
  <c r="AG54" i="43"/>
  <c r="AG44" i="43"/>
  <c r="AA16" i="6"/>
  <c r="U116" i="50"/>
  <c r="AA116" i="50"/>
  <c r="AC116" i="50"/>
  <c r="U55" i="49"/>
  <c r="AL16" i="6" s="1"/>
  <c r="Q55" i="49"/>
  <c r="AG16" i="6" s="1"/>
  <c r="AC55" i="49"/>
  <c r="Q55" i="50"/>
  <c r="AH20" i="6" s="1"/>
  <c r="U55" i="50"/>
  <c r="AM20" i="6" s="1"/>
  <c r="AA38" i="6"/>
  <c r="AA116" i="49"/>
  <c r="Q116" i="49"/>
  <c r="U116" i="49"/>
  <c r="AC116" i="49"/>
  <c r="AQ18" i="6"/>
  <c r="K17" i="6" s="1"/>
  <c r="AQ16" i="6"/>
  <c r="AG37" i="49"/>
  <c r="AG51" i="43"/>
  <c r="AG100" i="49"/>
  <c r="AG69" i="49" s="1"/>
  <c r="AG47" i="49"/>
  <c r="AG16" i="50" l="1"/>
  <c r="AL18" i="6"/>
  <c r="J17" i="6" s="1"/>
  <c r="J18" i="6" s="1"/>
  <c r="AV16" i="6"/>
  <c r="AV18" i="6"/>
  <c r="N17" i="6" s="1"/>
  <c r="K18" i="6"/>
  <c r="AG18" i="6"/>
  <c r="H17" i="6" s="1"/>
  <c r="H18" i="6" s="1"/>
  <c r="AG16" i="49"/>
  <c r="N18" i="6" l="1"/>
  <c r="T25" i="5"/>
  <c r="J18" i="14" l="1"/>
  <c r="C63" i="15" l="1"/>
  <c r="C64" i="15"/>
  <c r="N18" i="30" l="1"/>
  <c r="M18" i="30"/>
  <c r="N43" i="30"/>
  <c r="M43" i="30"/>
  <c r="N11" i="30"/>
  <c r="M11" i="30"/>
  <c r="D61" i="30"/>
  <c r="S41" i="30"/>
  <c r="R41" i="30"/>
  <c r="Q41" i="30"/>
  <c r="P41" i="30"/>
  <c r="S40" i="30"/>
  <c r="R40" i="30"/>
  <c r="Q40" i="30"/>
  <c r="P40" i="30"/>
  <c r="S32" i="30"/>
  <c r="R32" i="30"/>
  <c r="Q32" i="30"/>
  <c r="P32" i="30"/>
  <c r="S16" i="30"/>
  <c r="R16" i="30"/>
  <c r="Q16" i="30"/>
  <c r="P16" i="30"/>
  <c r="S15" i="30"/>
  <c r="R15" i="30"/>
  <c r="Q15" i="30"/>
  <c r="P15" i="30"/>
  <c r="S7" i="30"/>
  <c r="R7" i="30"/>
  <c r="Q7" i="30"/>
  <c r="P7" i="30"/>
  <c r="T114" i="5"/>
  <c r="T45" i="5" s="1"/>
  <c r="T47" i="5" s="1"/>
  <c r="E9" i="46"/>
  <c r="B238" i="46"/>
  <c r="P232" i="46"/>
  <c r="H155" i="46"/>
  <c r="B131" i="46"/>
  <c r="D101" i="46"/>
  <c r="D46" i="46"/>
  <c r="Q41" i="46"/>
  <c r="P41" i="46"/>
  <c r="L228" i="46"/>
  <c r="T9" i="46"/>
  <c r="E47" i="15"/>
  <c r="D26" i="15"/>
  <c r="D25" i="15"/>
  <c r="D24" i="15"/>
  <c r="D23" i="15"/>
  <c r="D28" i="15"/>
  <c r="E33" i="14"/>
  <c r="L39" i="12"/>
  <c r="L38" i="12"/>
  <c r="M126" i="33"/>
  <c r="AF122" i="43"/>
  <c r="AF61" i="43"/>
  <c r="S53" i="23"/>
  <c r="R110" i="23"/>
  <c r="G12" i="23"/>
  <c r="M89" i="6"/>
  <c r="M76" i="6"/>
  <c r="M58" i="6"/>
  <c r="M46" i="6"/>
  <c r="M48" i="6"/>
  <c r="A35" i="43"/>
  <c r="AB5" i="43"/>
  <c r="H42" i="5"/>
  <c r="H41" i="5"/>
  <c r="H39" i="5"/>
  <c r="H36" i="5"/>
  <c r="H35" i="5"/>
  <c r="C18" i="5"/>
  <c r="C19" i="5"/>
  <c r="C56" i="4"/>
  <c r="D58" i="4"/>
  <c r="D55" i="4"/>
  <c r="O67" i="3"/>
  <c r="D32" i="4"/>
  <c r="AA35" i="2"/>
  <c r="AG33" i="2"/>
  <c r="B34" i="2"/>
  <c r="P4" i="30"/>
  <c r="Q4" i="30"/>
  <c r="R4" i="30"/>
  <c r="S4" i="30"/>
  <c r="P5" i="30"/>
  <c r="Q5" i="30"/>
  <c r="R5" i="30"/>
  <c r="S5" i="30"/>
  <c r="P8" i="30"/>
  <c r="Q8" i="30"/>
  <c r="R8" i="30"/>
  <c r="S8" i="30"/>
  <c r="P9" i="30"/>
  <c r="Q9" i="30"/>
  <c r="R9" i="30"/>
  <c r="S9" i="30"/>
  <c r="P10" i="30"/>
  <c r="Q10" i="30"/>
  <c r="R10" i="30"/>
  <c r="S10" i="30"/>
  <c r="P12" i="30"/>
  <c r="Q12" i="30"/>
  <c r="R12" i="30"/>
  <c r="S12" i="30"/>
  <c r="P13" i="30"/>
  <c r="Q13" i="30"/>
  <c r="R13" i="30"/>
  <c r="S13" i="30"/>
  <c r="P14" i="30"/>
  <c r="Q14" i="30"/>
  <c r="R14" i="30"/>
  <c r="S14" i="30"/>
  <c r="P17" i="30"/>
  <c r="Q17" i="30"/>
  <c r="R17" i="30"/>
  <c r="S17" i="30"/>
  <c r="P18" i="30"/>
  <c r="Q18" i="30"/>
  <c r="R18" i="30"/>
  <c r="S18" i="30"/>
  <c r="P19" i="30"/>
  <c r="Q19" i="30"/>
  <c r="R19" i="30"/>
  <c r="S19" i="30"/>
  <c r="P20" i="30"/>
  <c r="Q20" i="30"/>
  <c r="R20" i="30"/>
  <c r="S20" i="30"/>
  <c r="M21" i="30"/>
  <c r="N21" i="30"/>
  <c r="P22" i="30"/>
  <c r="Q22" i="30"/>
  <c r="R22" i="30"/>
  <c r="S22" i="30"/>
  <c r="P29" i="30"/>
  <c r="Q29" i="30"/>
  <c r="R29" i="30"/>
  <c r="S29" i="30"/>
  <c r="P30" i="30"/>
  <c r="Q30" i="30"/>
  <c r="R30" i="30"/>
  <c r="S30" i="30"/>
  <c r="P33" i="30"/>
  <c r="Q33" i="30"/>
  <c r="R33" i="30"/>
  <c r="S33" i="30"/>
  <c r="P34" i="30"/>
  <c r="Q34" i="30"/>
  <c r="R34" i="30"/>
  <c r="S34" i="30"/>
  <c r="P35" i="30"/>
  <c r="Q35" i="30"/>
  <c r="R35" i="30"/>
  <c r="S35" i="30"/>
  <c r="P37" i="30"/>
  <c r="Q37" i="30"/>
  <c r="R37" i="30"/>
  <c r="S37" i="30"/>
  <c r="P38" i="30"/>
  <c r="Q38" i="30"/>
  <c r="R38" i="30"/>
  <c r="S38" i="30"/>
  <c r="P39" i="30"/>
  <c r="Q39" i="30"/>
  <c r="R39" i="30"/>
  <c r="S39" i="30"/>
  <c r="P42" i="30"/>
  <c r="Q42" i="30"/>
  <c r="R42" i="30"/>
  <c r="S42" i="30"/>
  <c r="P43" i="30"/>
  <c r="Q43" i="30"/>
  <c r="R43" i="30"/>
  <c r="S43" i="30"/>
  <c r="P44" i="30"/>
  <c r="Q44" i="30"/>
  <c r="R44" i="30"/>
  <c r="S44" i="30"/>
  <c r="P45" i="30"/>
  <c r="Q45" i="30"/>
  <c r="R45" i="30"/>
  <c r="S45" i="30"/>
  <c r="M46" i="30"/>
  <c r="N46" i="30"/>
  <c r="P47" i="30"/>
  <c r="Q47" i="30"/>
  <c r="R47" i="30"/>
  <c r="S47" i="30"/>
  <c r="D68" i="30"/>
  <c r="D71" i="30"/>
  <c r="L5" i="33"/>
  <c r="M63" i="33"/>
  <c r="B65" i="33"/>
  <c r="D86" i="33"/>
  <c r="D87" i="33"/>
  <c r="D88" i="33"/>
  <c r="C26" i="12"/>
  <c r="C27" i="12"/>
  <c r="P26" i="12"/>
  <c r="E29" i="12"/>
  <c r="O29" i="12"/>
  <c r="C33" i="12"/>
  <c r="O31" i="12"/>
  <c r="D34" i="12"/>
  <c r="D35" i="12"/>
  <c r="O33" i="12"/>
  <c r="D36" i="12"/>
  <c r="O35" i="12"/>
  <c r="C38" i="12"/>
  <c r="O37" i="12"/>
  <c r="E41" i="12"/>
  <c r="E42" i="12"/>
  <c r="C24" i="13"/>
  <c r="D27" i="13"/>
  <c r="D29" i="13"/>
  <c r="B41" i="13"/>
  <c r="J66" i="13"/>
  <c r="K67" i="13"/>
  <c r="G75" i="13"/>
  <c r="J75" i="13"/>
  <c r="D78" i="13"/>
  <c r="D79" i="13"/>
  <c r="D80" i="13"/>
  <c r="D81" i="13"/>
  <c r="D82" i="13"/>
  <c r="G83" i="13"/>
  <c r="J83" i="13"/>
  <c r="D88" i="13"/>
  <c r="D89" i="13"/>
  <c r="D90" i="13"/>
  <c r="D91" i="13"/>
  <c r="D92" i="13"/>
  <c r="I15" i="14"/>
  <c r="I18" i="14"/>
  <c r="I19" i="14"/>
  <c r="I22" i="14"/>
  <c r="I27" i="14"/>
  <c r="E30" i="14"/>
  <c r="I33" i="14"/>
  <c r="I42" i="14"/>
  <c r="D43" i="14"/>
  <c r="H44" i="14"/>
  <c r="I44" i="14"/>
  <c r="I53" i="14"/>
  <c r="E55" i="14"/>
  <c r="E3" i="15"/>
  <c r="G9" i="15"/>
  <c r="D18" i="15"/>
  <c r="D19" i="15"/>
  <c r="P21" i="15"/>
  <c r="P22" i="15"/>
  <c r="AA23" i="15"/>
  <c r="AA24" i="15"/>
  <c r="AA25" i="15"/>
  <c r="AA26" i="15"/>
  <c r="AA27" i="15"/>
  <c r="E42" i="15"/>
  <c r="G44" i="15"/>
  <c r="E49" i="15"/>
  <c r="Q49" i="15"/>
  <c r="G53" i="15"/>
  <c r="D65" i="15"/>
  <c r="D67" i="15"/>
  <c r="H78" i="15"/>
  <c r="H88" i="15"/>
  <c r="H89" i="15"/>
  <c r="G91" i="15"/>
  <c r="G92" i="15"/>
  <c r="G93" i="15"/>
  <c r="Q95" i="15"/>
  <c r="L99" i="15"/>
  <c r="Q99" i="15"/>
  <c r="K26" i="28"/>
  <c r="K37" i="28"/>
  <c r="K38" i="28"/>
  <c r="E41" i="28"/>
  <c r="E42" i="28"/>
  <c r="K44" i="28"/>
  <c r="K45" i="28"/>
  <c r="K46" i="28"/>
  <c r="K47" i="28"/>
  <c r="K48" i="28"/>
  <c r="M64" i="28"/>
  <c r="M65" i="28"/>
  <c r="M68" i="28"/>
  <c r="M72" i="28"/>
  <c r="N11" i="3"/>
  <c r="N50" i="3"/>
  <c r="L52" i="3"/>
  <c r="L54" i="3"/>
  <c r="L55" i="3"/>
  <c r="D56" i="3"/>
  <c r="N56" i="3"/>
  <c r="N62" i="3"/>
  <c r="I31" i="4"/>
  <c r="AB36" i="2" s="1"/>
  <c r="I54" i="4"/>
  <c r="AB37" i="2" s="1"/>
  <c r="D68" i="4"/>
  <c r="R3" i="5"/>
  <c r="H31" i="5"/>
  <c r="S31" i="5"/>
  <c r="S32" i="5"/>
  <c r="H33" i="5"/>
  <c r="H34" i="5"/>
  <c r="S36" i="5"/>
  <c r="U63" i="5"/>
  <c r="B64" i="5"/>
  <c r="U64" i="5"/>
  <c r="T81" i="5"/>
  <c r="T86" i="5" s="1"/>
  <c r="T26" i="5" s="1"/>
  <c r="C93" i="5"/>
  <c r="M3" i="6"/>
  <c r="B22" i="6"/>
  <c r="M22" i="6" s="1"/>
  <c r="B23" i="6"/>
  <c r="M24" i="6" s="1"/>
  <c r="B25" i="6"/>
  <c r="M26" i="6" s="1"/>
  <c r="B53" i="6"/>
  <c r="S93" i="6"/>
  <c r="D90" i="6"/>
  <c r="S49" i="37"/>
  <c r="M48" i="37"/>
  <c r="S51" i="37"/>
  <c r="M51" i="37"/>
  <c r="N51" i="37"/>
  <c r="S52" i="37"/>
  <c r="S53" i="37"/>
  <c r="M54" i="37"/>
  <c r="M55" i="37"/>
  <c r="M57" i="37"/>
  <c r="O73" i="37"/>
  <c r="K75" i="37"/>
  <c r="I78" i="37"/>
  <c r="K79" i="37"/>
  <c r="M80" i="37"/>
  <c r="K81" i="37"/>
  <c r="K82" i="37"/>
  <c r="M83" i="37"/>
  <c r="K84" i="37"/>
  <c r="M85" i="37"/>
  <c r="K86" i="37"/>
  <c r="O87" i="37"/>
  <c r="O88" i="37"/>
  <c r="E90" i="37"/>
  <c r="E91" i="37"/>
  <c r="K91" i="37"/>
  <c r="E92" i="37"/>
  <c r="M93" i="37"/>
  <c r="K94" i="37"/>
  <c r="K95" i="37"/>
  <c r="M96" i="37"/>
  <c r="M97" i="37"/>
  <c r="K99" i="37"/>
  <c r="K100" i="37"/>
  <c r="M101" i="37"/>
  <c r="O115" i="37"/>
  <c r="K117" i="37"/>
  <c r="I118" i="37"/>
  <c r="I119" i="37"/>
  <c r="K120" i="37"/>
  <c r="M121" i="37"/>
  <c r="O122" i="37"/>
  <c r="M124" i="37"/>
  <c r="M125" i="37"/>
  <c r="O126" i="37"/>
  <c r="O128" i="37"/>
  <c r="O129" i="37"/>
  <c r="O131" i="37"/>
  <c r="O134" i="37"/>
  <c r="U3" i="23"/>
  <c r="C5" i="23"/>
  <c r="C29" i="23"/>
  <c r="X61" i="23"/>
  <c r="B62" i="23"/>
  <c r="Z110" i="23"/>
  <c r="Z111" i="23"/>
  <c r="Z112" i="23"/>
  <c r="Z81" i="23"/>
  <c r="X120" i="23"/>
  <c r="C3" i="40"/>
  <c r="C4" i="40"/>
  <c r="C5" i="40"/>
  <c r="D5" i="40"/>
  <c r="C8" i="40"/>
  <c r="C9" i="40"/>
  <c r="C10" i="40"/>
  <c r="D10" i="40"/>
  <c r="D104" i="46"/>
  <c r="T12" i="46"/>
  <c r="L229" i="46"/>
  <c r="N229" i="46"/>
  <c r="T11" i="46"/>
  <c r="N228" i="46"/>
  <c r="E50" i="60" l="1"/>
  <c r="E49" i="60"/>
  <c r="AK34" i="2"/>
  <c r="AI34" i="2" s="1"/>
  <c r="C26" i="1"/>
  <c r="G32" i="4"/>
  <c r="G55" i="4"/>
  <c r="G21" i="40"/>
  <c r="I22" i="40" s="1"/>
  <c r="M45" i="30"/>
  <c r="N45" i="30" s="1"/>
  <c r="M44" i="30"/>
  <c r="N44" i="30" s="1"/>
  <c r="M42" i="30"/>
  <c r="N42" i="30" s="1"/>
  <c r="M39" i="30"/>
  <c r="N39" i="30" s="1"/>
  <c r="M38" i="30"/>
  <c r="N38" i="30" s="1"/>
  <c r="M37" i="30"/>
  <c r="N37" i="30" s="1"/>
  <c r="M35" i="30"/>
  <c r="N35" i="30" s="1"/>
  <c r="M34" i="30"/>
  <c r="N34" i="30" s="1"/>
  <c r="M33" i="30"/>
  <c r="N33" i="30" s="1"/>
  <c r="M30" i="30"/>
  <c r="N30" i="30" s="1"/>
  <c r="M29" i="30"/>
  <c r="N29" i="30" s="1"/>
  <c r="M32" i="30"/>
  <c r="N32" i="30" s="1"/>
  <c r="M47" i="30"/>
  <c r="M22" i="30"/>
  <c r="M19" i="30"/>
  <c r="N19" i="30" s="1"/>
  <c r="M17" i="30"/>
  <c r="N17" i="30" s="1"/>
  <c r="M13" i="30"/>
  <c r="N13" i="30" s="1"/>
  <c r="M10" i="30"/>
  <c r="N10" i="30" s="1"/>
  <c r="M8" i="30"/>
  <c r="N8" i="30" s="1"/>
  <c r="M15" i="30"/>
  <c r="N15" i="30" s="1"/>
  <c r="M41" i="30"/>
  <c r="N41" i="30" s="1"/>
  <c r="M20" i="30"/>
  <c r="N20" i="30" s="1"/>
  <c r="M14" i="30"/>
  <c r="N14" i="30" s="1"/>
  <c r="M12" i="30"/>
  <c r="N12" i="30" s="1"/>
  <c r="M9" i="30"/>
  <c r="N9" i="30" s="1"/>
  <c r="M5" i="30"/>
  <c r="M7" i="30"/>
  <c r="N7" i="30" s="1"/>
  <c r="M16" i="30"/>
  <c r="N16" i="30" s="1"/>
  <c r="M40" i="30"/>
  <c r="N40" i="30" s="1"/>
  <c r="M4" i="30"/>
  <c r="N4" i="30" s="1"/>
  <c r="C81" i="1"/>
  <c r="D81" i="1" s="1"/>
  <c r="C75" i="1"/>
  <c r="D75" i="1" s="1"/>
  <c r="C67" i="1"/>
  <c r="D67" i="1" s="1"/>
  <c r="C76" i="1"/>
  <c r="D76" i="1" s="1"/>
  <c r="C84" i="1"/>
  <c r="D84" i="1" s="1"/>
  <c r="C78" i="1"/>
  <c r="D78" i="1" s="1"/>
  <c r="C74" i="1"/>
  <c r="D74" i="1" s="1"/>
  <c r="C70" i="1"/>
  <c r="D70" i="1" s="1"/>
  <c r="AI89" i="23"/>
  <c r="C83" i="1"/>
  <c r="D83" i="1" s="1"/>
  <c r="C77" i="1"/>
  <c r="D77" i="1" s="1"/>
  <c r="C73" i="1"/>
  <c r="D73" i="1" s="1"/>
  <c r="C69" i="1"/>
  <c r="D69" i="1" s="1"/>
  <c r="C72" i="1"/>
  <c r="D72" i="1" s="1"/>
  <c r="C68" i="1"/>
  <c r="D68" i="1" s="1"/>
  <c r="AJ89" i="23"/>
  <c r="C64" i="1"/>
  <c r="D64" i="1" s="1"/>
  <c r="C71" i="1"/>
  <c r="D71" i="1" s="1"/>
  <c r="O69" i="59" s="1"/>
  <c r="C82" i="1"/>
  <c r="D82" i="1" s="1"/>
  <c r="C66" i="1"/>
  <c r="D66" i="1" s="1"/>
  <c r="C62" i="1"/>
  <c r="D62" i="1" s="1"/>
  <c r="C63" i="1"/>
  <c r="D63" i="1" s="1"/>
  <c r="L83" i="13"/>
  <c r="Q64" i="15"/>
  <c r="L64" i="15"/>
  <c r="O38" i="12"/>
  <c r="L48" i="12" s="1"/>
  <c r="Z116" i="23"/>
  <c r="Z83" i="23"/>
  <c r="Z118" i="23"/>
  <c r="Z117" i="23"/>
  <c r="T27" i="5"/>
  <c r="T29" i="5" s="1"/>
  <c r="T48" i="5" s="1"/>
  <c r="T56" i="5" s="1"/>
  <c r="L94" i="15"/>
  <c r="AG16" i="43"/>
  <c r="A116" i="43"/>
  <c r="A55" i="43"/>
  <c r="T3" i="46"/>
  <c r="I33" i="87" l="1"/>
  <c r="I7" i="87"/>
  <c r="I34" i="87"/>
  <c r="I8" i="87"/>
  <c r="AE76" i="23"/>
  <c r="AE47" i="23"/>
  <c r="J49" i="13"/>
  <c r="J50" i="13" s="1"/>
  <c r="J53" i="13" s="1"/>
  <c r="J56" i="13" s="1"/>
  <c r="L57" i="13" s="1"/>
  <c r="L61" i="13" s="1"/>
  <c r="AE77" i="23"/>
  <c r="AE78" i="23" s="1"/>
  <c r="AE85" i="23" s="1"/>
  <c r="AC85" i="23" s="1"/>
  <c r="Q55" i="43"/>
  <c r="AF16" i="6" s="1"/>
  <c r="H15" i="6" s="1"/>
  <c r="Z16" i="6"/>
  <c r="AD16" i="6" s="1"/>
  <c r="Q144" i="46"/>
  <c r="E172" i="46" s="1"/>
  <c r="D55" i="30"/>
  <c r="N5" i="30"/>
  <c r="E55" i="30" s="1"/>
  <c r="D26" i="1"/>
  <c r="I26" i="1" s="1"/>
  <c r="AK89" i="23"/>
  <c r="Y57" i="5"/>
  <c r="Y56" i="5"/>
  <c r="I6" i="1"/>
  <c r="D94" i="23"/>
  <c r="AE91" i="23"/>
  <c r="AC116" i="43"/>
  <c r="AU36" i="6" s="1"/>
  <c r="N35" i="6" s="1"/>
  <c r="Z36" i="6"/>
  <c r="AD36" i="6" s="1"/>
  <c r="Z21" i="76"/>
  <c r="O38" i="59"/>
  <c r="G14" i="14"/>
  <c r="M77" i="59"/>
  <c r="Z20" i="6"/>
  <c r="AD20" i="6" s="1"/>
  <c r="U55" i="43"/>
  <c r="AC55" i="43"/>
  <c r="AU16" i="6" s="1"/>
  <c r="N15" i="6" s="1"/>
  <c r="AA55" i="43"/>
  <c r="Z38" i="6"/>
  <c r="AD38" i="6" s="1"/>
  <c r="U116" i="43"/>
  <c r="Q116" i="43"/>
  <c r="AA116" i="43"/>
  <c r="D57" i="30"/>
  <c r="D59" i="30"/>
  <c r="D72" i="30"/>
  <c r="J35" i="12"/>
  <c r="AZ69" i="2"/>
  <c r="AX13" i="2" s="1"/>
  <c r="E64" i="30"/>
  <c r="D64" i="30"/>
  <c r="E70" i="30"/>
  <c r="D70" i="30"/>
  <c r="E57" i="30"/>
  <c r="N47" i="30"/>
  <c r="D54" i="30"/>
  <c r="E54" i="30"/>
  <c r="I54" i="30" s="1"/>
  <c r="D58" i="30"/>
  <c r="E58" i="30"/>
  <c r="E65" i="30"/>
  <c r="D65" i="30"/>
  <c r="D60" i="30"/>
  <c r="E60" i="30"/>
  <c r="D67" i="30"/>
  <c r="O21" i="3" s="1"/>
  <c r="E67" i="30"/>
  <c r="D69" i="30"/>
  <c r="E69" i="30"/>
  <c r="E66" i="30"/>
  <c r="D66" i="30"/>
  <c r="L9" i="63"/>
  <c r="J17" i="63" s="1"/>
  <c r="E63" i="30"/>
  <c r="N22" i="30"/>
  <c r="D63" i="30"/>
  <c r="O28" i="12"/>
  <c r="E155" i="46"/>
  <c r="E59" i="30"/>
  <c r="AU38" i="6"/>
  <c r="N37" i="6" s="1"/>
  <c r="AU20" i="6"/>
  <c r="N19" i="6" s="1"/>
  <c r="AF20" i="6"/>
  <c r="H19" i="6" s="1"/>
  <c r="E153" i="46"/>
  <c r="O154" i="46" s="1"/>
  <c r="Q4" i="46"/>
  <c r="AG69" i="43"/>
  <c r="I6" i="64" l="1"/>
  <c r="K6" i="64" s="1"/>
  <c r="R352" i="60"/>
  <c r="J6" i="1"/>
  <c r="J65" i="1" s="1"/>
  <c r="AE94" i="23"/>
  <c r="AE97" i="23" s="1"/>
  <c r="AE98" i="23" s="1"/>
  <c r="AE89" i="23"/>
  <c r="AE100" i="23" s="1"/>
  <c r="M82" i="59"/>
  <c r="M83" i="59"/>
  <c r="E164" i="46"/>
  <c r="AK19" i="2"/>
  <c r="G2" i="46"/>
  <c r="AE50" i="23"/>
  <c r="AE57" i="23" s="1"/>
  <c r="N39" i="2"/>
  <c r="AB38" i="2"/>
  <c r="C65" i="1"/>
  <c r="D65" i="1" s="1"/>
  <c r="C29" i="1"/>
  <c r="AC13" i="78"/>
  <c r="J56" i="67" s="1"/>
  <c r="W172" i="5"/>
  <c r="W174" i="5"/>
  <c r="W173" i="5"/>
  <c r="AW34" i="2"/>
  <c r="AC17" i="82"/>
  <c r="J38" i="6"/>
  <c r="K38" i="6"/>
  <c r="H38" i="6"/>
  <c r="H20" i="6"/>
  <c r="J15" i="14"/>
  <c r="C41" i="12"/>
  <c r="C39" i="12"/>
  <c r="U63" i="23"/>
  <c r="W60" i="5"/>
  <c r="W59" i="5"/>
  <c r="Y58" i="5"/>
  <c r="W58" i="5"/>
  <c r="E72" i="30"/>
  <c r="L67" i="13"/>
  <c r="L70" i="13" s="1"/>
  <c r="D40" i="12"/>
  <c r="AL15" i="2"/>
  <c r="AX70" i="2"/>
  <c r="AX71" i="2" s="1"/>
  <c r="M76" i="59"/>
  <c r="O110" i="59"/>
  <c r="O92" i="59"/>
  <c r="J24" i="59"/>
  <c r="J22" i="63"/>
  <c r="AA40" i="2"/>
  <c r="AK16" i="6"/>
  <c r="AK20" i="6"/>
  <c r="J19" i="6" s="1"/>
  <c r="J20" i="6" s="1"/>
  <c r="AP16" i="6"/>
  <c r="AP20" i="6"/>
  <c r="K19" i="6" s="1"/>
  <c r="K20" i="6" s="1"/>
  <c r="AK36" i="6"/>
  <c r="AK38" i="6"/>
  <c r="J37" i="6" s="1"/>
  <c r="AP38" i="6"/>
  <c r="K37" i="6" s="1"/>
  <c r="AP36" i="6"/>
  <c r="AF36" i="6"/>
  <c r="AF38" i="6"/>
  <c r="H37" i="6" s="1"/>
  <c r="H16" i="6"/>
  <c r="Q159" i="46"/>
  <c r="D165" i="46" l="1"/>
  <c r="Q228" i="46" s="1"/>
  <c r="J36" i="6"/>
  <c r="J35" i="6"/>
  <c r="K36" i="6"/>
  <c r="K35" i="6"/>
  <c r="H36" i="6"/>
  <c r="H35" i="6"/>
  <c r="K15" i="6"/>
  <c r="K16" i="6" s="1"/>
  <c r="J15" i="6"/>
  <c r="J16" i="6" s="1"/>
  <c r="O25" i="3"/>
  <c r="M25" i="3" s="1"/>
  <c r="O26" i="3" s="1"/>
  <c r="M28" i="3" s="1"/>
  <c r="S25" i="3"/>
  <c r="Q202" i="46"/>
  <c r="Q199" i="46"/>
  <c r="Q210" i="46"/>
  <c r="D169" i="46"/>
  <c r="N38" i="2"/>
  <c r="AI41" i="2" s="1"/>
  <c r="AI35" i="2"/>
  <c r="O357" i="60"/>
  <c r="O354" i="60"/>
  <c r="N20" i="6"/>
  <c r="N38" i="6"/>
  <c r="M87" i="59"/>
  <c r="L44" i="12"/>
  <c r="J42" i="12"/>
  <c r="J45" i="12" s="1"/>
  <c r="C49" i="12" s="1"/>
  <c r="C51" i="12" s="1"/>
  <c r="M93" i="59"/>
  <c r="Q19" i="15"/>
  <c r="S16" i="15"/>
  <c r="N36" i="6" l="1"/>
  <c r="N16" i="6"/>
  <c r="N28" i="6" s="1"/>
  <c r="N55" i="37" s="1"/>
  <c r="N57" i="37" s="1"/>
  <c r="Q205" i="46"/>
  <c r="N50" i="6"/>
  <c r="M30" i="3"/>
  <c r="O33" i="3" s="1"/>
  <c r="AM25" i="58"/>
  <c r="Q25" i="15"/>
  <c r="L51" i="12"/>
  <c r="L53" i="12" s="1"/>
  <c r="O95" i="59"/>
  <c r="O97" i="59"/>
  <c r="O100" i="59" s="1"/>
  <c r="AA62" i="37" l="1"/>
  <c r="T35" i="2"/>
  <c r="N58" i="6"/>
  <c r="AE170" i="68" s="1"/>
  <c r="AC11" i="78"/>
  <c r="AM26" i="58"/>
  <c r="AM24" i="58"/>
  <c r="AE25" i="58" s="1"/>
  <c r="O106" i="59"/>
  <c r="O108" i="59" s="1"/>
  <c r="O112" i="59" s="1"/>
  <c r="B389" i="60"/>
  <c r="B383" i="60"/>
  <c r="AC175" i="68" l="1"/>
  <c r="AC171" i="68"/>
  <c r="J28" i="28"/>
  <c r="R10" i="28"/>
  <c r="R51" i="33" s="1"/>
  <c r="W67" i="37"/>
  <c r="S67" i="37" s="1"/>
  <c r="AA77" i="37"/>
  <c r="AA79" i="37" s="1"/>
  <c r="AA80" i="37" s="1"/>
  <c r="X126" i="28"/>
  <c r="X128" i="28" s="1"/>
  <c r="AB62" i="37"/>
  <c r="AC134" i="33"/>
  <c r="A64" i="6"/>
  <c r="A60" i="6"/>
  <c r="A62" i="6"/>
  <c r="AC19" i="33"/>
  <c r="M17" i="33"/>
  <c r="K17" i="33" s="1"/>
  <c r="O37" i="59"/>
  <c r="AS57" i="58"/>
  <c r="AC14" i="78" l="1"/>
  <c r="R9" i="28" s="1"/>
  <c r="C9" i="28" s="1"/>
  <c r="O90" i="6"/>
  <c r="O89" i="6" s="1"/>
  <c r="C68" i="6"/>
  <c r="N73" i="6" s="1"/>
  <c r="W68" i="37"/>
  <c r="S68" i="37" s="1"/>
  <c r="W61" i="37"/>
  <c r="S65" i="37" s="1"/>
  <c r="X129" i="28"/>
  <c r="C10" i="28"/>
  <c r="C70" i="6"/>
  <c r="C16" i="65"/>
  <c r="N17" i="65" s="1"/>
  <c r="AT58" i="58"/>
  <c r="R49" i="33" l="1"/>
  <c r="I28" i="85"/>
  <c r="R3" i="28"/>
  <c r="R5" i="28"/>
  <c r="S94" i="6"/>
  <c r="E51" i="60"/>
  <c r="Z34" i="53"/>
  <c r="C99" i="6"/>
  <c r="C96" i="6"/>
  <c r="C83" i="6"/>
  <c r="AB109" i="37"/>
  <c r="X130" i="28"/>
  <c r="X131" i="28" s="1"/>
  <c r="X132" i="28" s="1"/>
  <c r="Y158" i="28"/>
  <c r="C79" i="6"/>
  <c r="C3" i="28"/>
  <c r="AA81" i="37"/>
  <c r="AA82" i="37" s="1"/>
  <c r="AA83" i="37" s="1"/>
  <c r="X62" i="37"/>
  <c r="W60" i="37" s="1"/>
  <c r="S122" i="37"/>
  <c r="V4" i="28" l="1"/>
  <c r="V93" i="28"/>
  <c r="V94" i="28" s="1"/>
  <c r="AC132" i="33"/>
  <c r="E53" i="60"/>
  <c r="H59" i="60" s="1"/>
  <c r="R52" i="33"/>
  <c r="S63" i="37"/>
  <c r="B59" i="60" l="1"/>
  <c r="H63" i="60" s="1"/>
  <c r="B37" i="33" l="1"/>
  <c r="L36" i="33"/>
  <c r="B40" i="33" l="1"/>
  <c r="L45" i="33" s="1"/>
  <c r="L38" i="33"/>
  <c r="B46" i="33" l="1"/>
  <c r="L47" i="33" l="1"/>
  <c r="B48" i="33"/>
  <c r="D54" i="33" l="1"/>
  <c r="E53" i="33"/>
  <c r="C69" i="33"/>
  <c r="L52" i="33"/>
  <c r="B56" i="33"/>
  <c r="L56" i="33" l="1"/>
  <c r="C57" i="33" s="1"/>
  <c r="B57" i="33"/>
  <c r="B58" i="33" l="1"/>
  <c r="L61" i="33" s="1"/>
  <c r="L57" i="33"/>
  <c r="B62" i="33" l="1"/>
  <c r="L62" i="33" l="1"/>
  <c r="B69" i="33"/>
  <c r="C123" i="33" s="1"/>
  <c r="C122" i="33" l="1"/>
  <c r="B71" i="33"/>
  <c r="L74" i="33" s="1"/>
  <c r="L70" i="33"/>
  <c r="B75" i="33" l="1"/>
  <c r="L76" i="33" s="1"/>
  <c r="B77" i="33" l="1"/>
  <c r="L80" i="33" s="1"/>
  <c r="B81" i="33" l="1"/>
  <c r="L81" i="33" l="1"/>
  <c r="C82" i="33" s="1"/>
  <c r="B82" i="33"/>
  <c r="B83" i="33" l="1"/>
  <c r="L82" i="33"/>
  <c r="C84" i="33" s="1"/>
  <c r="H83" i="33" l="1"/>
  <c r="C83" i="33"/>
  <c r="L84" i="33"/>
  <c r="B85" i="33"/>
  <c r="L87" i="33" s="1"/>
  <c r="B89"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N26" i="65" l="1"/>
  <c r="N29" i="65" s="1"/>
  <c r="AW36" i="2" s="1"/>
  <c r="P165" i="68" s="1"/>
  <c r="V166" i="68" l="1"/>
  <c r="V167" i="68" s="1"/>
  <c r="T166" i="68"/>
  <c r="T167" i="68" s="1"/>
  <c r="R166" i="68"/>
  <c r="R167" i="68" s="1"/>
  <c r="P166" i="68"/>
  <c r="P167" i="68" s="1"/>
  <c r="V169" i="68" l="1"/>
  <c r="V170" i="68" s="1"/>
  <c r="V173" i="68" s="1"/>
  <c r="AQ161" i="68" s="1"/>
  <c r="T169" i="68"/>
  <c r="T170" i="68" s="1"/>
  <c r="T173" i="68" s="1"/>
  <c r="R169" i="68"/>
  <c r="R170" i="68" s="1"/>
  <c r="R173" i="68" s="1"/>
  <c r="P169" i="68"/>
  <c r="P170" i="68" s="1"/>
  <c r="P173" i="68" s="1"/>
  <c r="AL9" i="2"/>
  <c r="B126" i="23" l="1"/>
  <c r="B183" i="23" s="1"/>
  <c r="B10" i="71"/>
  <c r="BV154" i="68"/>
  <c r="BZ154" i="68" s="1"/>
  <c r="AQ208" i="68"/>
  <c r="AQ242" i="68"/>
  <c r="AQ246" i="68"/>
  <c r="AO161" i="68"/>
  <c r="AO226" i="68" s="1"/>
  <c r="AO246" i="68"/>
  <c r="AO242" i="68"/>
  <c r="AM161" i="68"/>
  <c r="AM226" i="68" s="1"/>
  <c r="AM242" i="68"/>
  <c r="AM246" i="68"/>
  <c r="B7" i="23"/>
  <c r="C2" i="30"/>
  <c r="B2" i="1"/>
  <c r="C2" i="40"/>
  <c r="AM9" i="2"/>
  <c r="B83" i="71" s="1"/>
  <c r="BW155" i="68" l="1"/>
  <c r="BW154" i="68"/>
  <c r="BX154" i="68"/>
  <c r="BX155" i="68"/>
  <c r="BY155" i="68"/>
  <c r="BZ155" i="68"/>
  <c r="BY154" i="68"/>
  <c r="AM202" i="68"/>
  <c r="BV148" i="68"/>
  <c r="AO202" i="68"/>
  <c r="BP154" i="68"/>
  <c r="AQ193" i="68"/>
  <c r="BV190" i="68" s="1"/>
  <c r="BZ191" i="68" s="1"/>
  <c r="AQ202" i="68"/>
  <c r="AO208" i="68"/>
  <c r="AO193" i="68"/>
  <c r="BP190" i="68" s="1"/>
  <c r="BT190" i="68" s="1"/>
  <c r="AM193" i="68"/>
  <c r="BV184" i="68" s="1"/>
  <c r="BY184" i="68" s="1"/>
  <c r="AM208" i="68"/>
  <c r="C61" i="69"/>
  <c r="C31" i="69"/>
  <c r="C2" i="69"/>
  <c r="C27" i="30"/>
  <c r="B32" i="1"/>
  <c r="C7" i="40"/>
  <c r="B64" i="23"/>
  <c r="BV156" i="68" l="1"/>
  <c r="BV157" i="68"/>
  <c r="BS154" i="68"/>
  <c r="BQ155" i="68"/>
  <c r="BT154" i="68"/>
  <c r="BR154" i="68"/>
  <c r="BT155" i="68"/>
  <c r="BR155" i="68"/>
  <c r="BQ154" i="68"/>
  <c r="BS155" i="68"/>
  <c r="BW149" i="68"/>
  <c r="BX148" i="68"/>
  <c r="BY149" i="68"/>
  <c r="BZ149" i="68"/>
  <c r="BZ148" i="68"/>
  <c r="BX149" i="68"/>
  <c r="BW148" i="68"/>
  <c r="BY148" i="68"/>
  <c r="BZ190" i="68"/>
  <c r="BX190" i="68"/>
  <c r="BY190" i="68"/>
  <c r="BY191" i="68"/>
  <c r="BX191" i="68"/>
  <c r="AQ204" i="68"/>
  <c r="AQ206" i="68" s="1"/>
  <c r="AQ210" i="68" s="1"/>
  <c r="AQ212" i="68" s="1"/>
  <c r="AQ214" i="68" s="1"/>
  <c r="BW191" i="68"/>
  <c r="BR191" i="68"/>
  <c r="BQ191" i="68"/>
  <c r="BT191" i="68"/>
  <c r="BR190" i="68"/>
  <c r="BS190" i="68"/>
  <c r="AO204" i="68"/>
  <c r="AO206" i="68" s="1"/>
  <c r="AO210" i="68" s="1"/>
  <c r="AO212" i="68" s="1"/>
  <c r="AO214" i="68" s="1"/>
  <c r="BW190" i="68"/>
  <c r="AM204" i="68"/>
  <c r="AM206" i="68" s="1"/>
  <c r="AM210" i="68" s="1"/>
  <c r="AM212" i="68" s="1"/>
  <c r="AM214" i="68" s="1"/>
  <c r="BZ184" i="68"/>
  <c r="BX185" i="68"/>
  <c r="BW184" i="68"/>
  <c r="BX184" i="68"/>
  <c r="BY185" i="68"/>
  <c r="BQ190" i="68"/>
  <c r="BZ185" i="68"/>
  <c r="BW185" i="68"/>
  <c r="BS191" i="68"/>
  <c r="BZ157" i="68"/>
  <c r="AQ226" i="68" s="1"/>
  <c r="AK161" i="68"/>
  <c r="BV187" i="68" l="1"/>
  <c r="BP157" i="68"/>
  <c r="BP148" i="68"/>
  <c r="BS149" i="68" s="1"/>
  <c r="BV151" i="68"/>
  <c r="BP156" i="68"/>
  <c r="BV150" i="68"/>
  <c r="BP192" i="68"/>
  <c r="BT193" i="68" s="1"/>
  <c r="AO219" i="68" s="1"/>
  <c r="BV193" i="68"/>
  <c r="BV192" i="68"/>
  <c r="BZ193" i="68" s="1"/>
  <c r="AQ219" i="68" s="1"/>
  <c r="AQ221" i="68" s="1"/>
  <c r="AQ231" i="68" s="1"/>
  <c r="V174" i="68" s="1"/>
  <c r="BP193" i="68"/>
  <c r="BV186" i="68"/>
  <c r="BZ187" i="68" s="1"/>
  <c r="AM219" i="68" s="1"/>
  <c r="AK208" i="68"/>
  <c r="AK193" i="68"/>
  <c r="BP184" i="68" s="1"/>
  <c r="AK202" i="68"/>
  <c r="AK242" i="68"/>
  <c r="AI242" i="68" s="1"/>
  <c r="AK246" i="68"/>
  <c r="BT149" i="68" l="1"/>
  <c r="BQ148" i="68"/>
  <c r="BQ149" i="68"/>
  <c r="BS148" i="68"/>
  <c r="BR149" i="68"/>
  <c r="BR148" i="68"/>
  <c r="BT148" i="68"/>
  <c r="BT157" i="68"/>
  <c r="V179" i="68"/>
  <c r="V182" i="68" s="1"/>
  <c r="BZ151" i="68"/>
  <c r="BS185" i="68"/>
  <c r="BS184" i="68"/>
  <c r="BR185" i="68"/>
  <c r="BT184" i="68"/>
  <c r="BQ184" i="68"/>
  <c r="BT185" i="68"/>
  <c r="BQ185" i="68"/>
  <c r="BR184" i="68"/>
  <c r="AM221" i="68"/>
  <c r="AM231" i="68" s="1"/>
  <c r="R174" i="68" s="1"/>
  <c r="R179" i="68" s="1"/>
  <c r="R182" i="68" s="1"/>
  <c r="AO221" i="68"/>
  <c r="AO231" i="68" s="1"/>
  <c r="T174" i="68" s="1"/>
  <c r="T179" i="68" s="1"/>
  <c r="T182" i="68" s="1"/>
  <c r="AK204" i="68"/>
  <c r="AK206" i="68" s="1"/>
  <c r="AK210" i="68" s="1"/>
  <c r="AK212" i="68" s="1"/>
  <c r="AK214" i="68" s="1"/>
  <c r="BP150" i="68" l="1"/>
  <c r="BP151" i="68"/>
  <c r="BT151" i="68" s="1"/>
  <c r="AK226" i="68" s="1"/>
  <c r="BP186" i="68"/>
  <c r="BP187" i="68"/>
  <c r="W282" i="68"/>
  <c r="W285" i="68"/>
  <c r="BT187" i="68" l="1"/>
  <c r="AK219" i="68" s="1"/>
  <c r="AK221" i="68" l="1"/>
  <c r="AK231" i="68" s="1"/>
  <c r="P174" i="68" s="1"/>
  <c r="P179" i="68" s="1"/>
  <c r="P182" i="68" s="1"/>
  <c r="S123" i="68"/>
  <c r="W123" i="68"/>
  <c r="U123" i="68" l="1"/>
  <c r="AC133" i="33" l="1"/>
  <c r="AC135" i="33" s="1"/>
  <c r="AC62" i="37"/>
  <c r="R8" i="28"/>
  <c r="C7" i="28" s="1"/>
  <c r="Y91" i="28" l="1"/>
  <c r="Y2" i="28"/>
  <c r="C8" i="28"/>
  <c r="R53" i="33"/>
  <c r="J31" i="28" l="1"/>
  <c r="D32" i="28"/>
  <c r="D29" i="28"/>
  <c r="M76" i="33"/>
  <c r="O110" i="33" s="1"/>
  <c r="P68" i="33"/>
  <c r="M101" i="33"/>
  <c r="M87" i="33"/>
  <c r="P67" i="33"/>
  <c r="V5" i="28"/>
  <c r="L41" i="28"/>
  <c r="J27" i="28"/>
  <c r="L52" i="28"/>
  <c r="O117" i="33" l="1"/>
  <c r="J33" i="28"/>
  <c r="J36" i="28" l="1"/>
  <c r="L37" i="28" s="1"/>
  <c r="W288" i="68"/>
  <c r="W287" i="68"/>
  <c r="W293" i="68"/>
  <c r="W303" i="68"/>
  <c r="W315" i="68"/>
  <c r="W300" i="68"/>
  <c r="W313" i="68"/>
  <c r="V95" i="28" l="1"/>
  <c r="V96" i="28" s="1"/>
  <c r="V6" i="28"/>
  <c r="V7" i="28" s="1"/>
  <c r="B4" i="52"/>
  <c r="R184" i="68" l="1"/>
  <c r="T184" i="68"/>
  <c r="P184" i="68"/>
  <c r="P188" i="68" s="1"/>
  <c r="V184" i="68"/>
  <c r="W291" i="68" l="1"/>
  <c r="B68" i="60" l="1"/>
  <c r="B78" i="60" s="1"/>
  <c r="AC24" i="78" l="1"/>
  <c r="I10" i="64"/>
  <c r="K7" i="64"/>
  <c r="U40" i="2" l="1"/>
  <c r="D13" i="64"/>
  <c r="D10" i="64"/>
  <c r="I23" i="64"/>
  <c r="G60" i="64" l="1"/>
  <c r="H66" i="64" s="1"/>
  <c r="G49" i="64"/>
  <c r="H55" i="64" s="1"/>
  <c r="B238" i="60" l="1"/>
  <c r="M239" i="60" s="1"/>
  <c r="L239" i="60" s="1"/>
  <c r="B72" i="73" l="1"/>
  <c r="C30" i="70"/>
  <c r="B9" i="59"/>
  <c r="B14" i="52"/>
  <c r="B9" i="76"/>
  <c r="B11" i="43"/>
  <c r="B8" i="82"/>
  <c r="C58" i="70"/>
  <c r="B8" i="79"/>
  <c r="B9" i="4"/>
  <c r="B11" i="50"/>
  <c r="B8" i="6"/>
  <c r="B8" i="81"/>
  <c r="B10" i="58"/>
  <c r="B64" i="50"/>
  <c r="B16" i="74"/>
  <c r="B268" i="74"/>
  <c r="B11" i="53"/>
  <c r="B8" i="78"/>
  <c r="B8" i="73"/>
  <c r="B9" i="62"/>
  <c r="B142" i="74"/>
  <c r="B64" i="43"/>
  <c r="B8" i="80"/>
  <c r="B11" i="49"/>
  <c r="B119" i="59"/>
  <c r="C86" i="70"/>
  <c r="B8" i="83"/>
  <c r="C2" i="70"/>
  <c r="B64" i="49"/>
  <c r="B10" i="33"/>
  <c r="BE20" i="84"/>
  <c r="BE23" i="84" s="1"/>
  <c r="I23" i="84" s="1"/>
  <c r="J39" i="2" l="1"/>
  <c r="H37" i="14"/>
  <c r="C17" i="65" l="1"/>
  <c r="O336" i="60"/>
  <c r="O340" i="60" s="1"/>
  <c r="AN404" i="60" l="1"/>
  <c r="AN405" i="60" s="1"/>
  <c r="AN407" i="60" s="1"/>
  <c r="B392" i="60"/>
  <c r="J13" i="63"/>
  <c r="J19" i="63" s="1"/>
  <c r="J24" i="63" s="1"/>
  <c r="B398" i="60" l="1"/>
  <c r="B395" i="60"/>
  <c r="AR406" i="60"/>
  <c r="AT406" i="60"/>
  <c r="AS406" i="60"/>
  <c r="AU406" i="60"/>
  <c r="AV406" i="60"/>
  <c r="AP406" i="60"/>
  <c r="AQ406" i="60"/>
  <c r="AO406" i="60"/>
  <c r="C28" i="63"/>
  <c r="C26" i="63"/>
  <c r="AP408" i="60" l="1"/>
  <c r="AN408" i="60" s="1"/>
  <c r="AR408" i="60"/>
  <c r="AT408" i="60"/>
  <c r="AV408" i="60"/>
  <c r="M403" i="60"/>
  <c r="O406" i="60" s="1"/>
  <c r="M412" i="60"/>
  <c r="B416" i="60" s="1"/>
  <c r="L33" i="63"/>
  <c r="L36" i="63" s="1"/>
  <c r="W37" i="78" s="1"/>
  <c r="L31" i="63"/>
  <c r="J28" i="63"/>
  <c r="B428" i="60" l="1"/>
  <c r="L429" i="60" s="1"/>
  <c r="B431" i="60"/>
  <c r="B433" i="60"/>
  <c r="O436" i="60" s="1"/>
  <c r="O443" i="60" s="1"/>
  <c r="B425" i="60"/>
  <c r="L426" i="60" s="1"/>
  <c r="AN431" i="60"/>
  <c r="AN432" i="60" s="1"/>
  <c r="AN434" i="60" s="1"/>
  <c r="M429" i="60"/>
  <c r="M426" i="60"/>
  <c r="B418" i="60"/>
  <c r="G32" i="63"/>
  <c r="H32" i="63"/>
  <c r="AR433" i="60" l="1"/>
  <c r="AQ433" i="60"/>
  <c r="AS433" i="60"/>
  <c r="AU433" i="60"/>
  <c r="AO433" i="60"/>
  <c r="AT433" i="60"/>
  <c r="AV433" i="60"/>
  <c r="AP433" i="60"/>
  <c r="AT435" i="60" l="1"/>
  <c r="AV435" i="60"/>
  <c r="AP435" i="60"/>
  <c r="AN435" i="60" s="1"/>
  <c r="AR435" i="60"/>
  <c r="BH43" i="58" l="1"/>
  <c r="X20" i="58" s="1"/>
  <c r="AR380" i="74" l="1"/>
  <c r="AR374" i="74"/>
  <c r="AR252" i="74"/>
  <c r="AR22" i="74" l="1"/>
  <c r="AR29" i="74" l="1"/>
  <c r="AR28" i="74"/>
  <c r="AR128" i="74" l="1"/>
  <c r="AR254" i="74"/>
  <c r="AR30" i="74" l="1"/>
  <c r="AI124" i="71" l="1"/>
  <c r="AI121" i="71"/>
  <c r="AI117" i="71"/>
  <c r="AI123" i="71"/>
  <c r="AI122" i="71"/>
  <c r="AI120" i="71"/>
  <c r="AI119" i="71" l="1"/>
  <c r="AI116" i="71"/>
  <c r="AI118" i="71"/>
  <c r="AI125" i="71" l="1"/>
  <c r="AI126" i="71" s="1"/>
  <c r="AF125" i="71"/>
  <c r="AF126" i="71" s="1"/>
  <c r="AF106" i="71"/>
  <c r="AF107" i="71" s="1"/>
  <c r="M97" i="71" s="1"/>
  <c r="M101" i="71" s="1"/>
  <c r="V32" i="71" l="1"/>
  <c r="M108" i="71"/>
  <c r="M112" i="71" s="1"/>
  <c r="M115" i="71" s="1"/>
  <c r="K157" i="71" l="1"/>
  <c r="W28" i="78" s="1"/>
  <c r="O116" i="71"/>
  <c r="O117" i="71"/>
  <c r="O118" i="71"/>
  <c r="AE199" i="23" l="1"/>
  <c r="AE200" i="23" s="1"/>
  <c r="AE204" i="23" s="1"/>
  <c r="AC204" i="23" s="1"/>
  <c r="AE213" i="23" s="1"/>
  <c r="AE208" i="23" l="1"/>
  <c r="AE219" i="23" s="1"/>
  <c r="AE216" i="23"/>
  <c r="AE217" i="23" s="1"/>
  <c r="AE218" i="23" s="1"/>
  <c r="AE221" i="23" s="1"/>
  <c r="M130" i="23" l="1"/>
  <c r="E211" i="46" l="1"/>
  <c r="E209" i="46"/>
  <c r="AB233" i="74" l="1"/>
  <c r="AL236" i="74" s="1"/>
  <c r="AB359" i="74"/>
  <c r="AL362" i="74" s="1"/>
  <c r="AL366" i="74" l="1"/>
  <c r="AL369" i="74" s="1"/>
  <c r="AL372" i="74" s="1"/>
  <c r="AR376" i="74" s="1"/>
  <c r="AL240" i="74"/>
  <c r="AL243" i="74" s="1"/>
  <c r="AL246" i="74" s="1"/>
  <c r="AR250" i="74" l="1"/>
  <c r="AR248" i="74"/>
  <c r="AR122" i="74"/>
  <c r="AR125" i="74"/>
  <c r="AR26" i="74" s="1"/>
  <c r="AR19" i="74" l="1"/>
  <c r="B65" i="68" l="1"/>
  <c r="W284" i="68" l="1"/>
  <c r="W289" i="68" l="1"/>
  <c r="W295" i="68" l="1"/>
  <c r="BN286" i="68" l="1"/>
  <c r="BN288" i="68"/>
  <c r="BN290" i="68"/>
  <c r="BN289" i="68"/>
  <c r="BN285" i="68"/>
  <c r="BO291" i="68"/>
  <c r="BO293" i="68"/>
  <c r="BO292" i="68"/>
  <c r="BP303" i="68"/>
  <c r="BO297" i="68"/>
  <c r="BN287" i="68"/>
  <c r="BP302" i="68"/>
  <c r="BP298" i="68"/>
  <c r="BP297" i="68"/>
  <c r="BQ306" i="68"/>
  <c r="BQ308" i="68"/>
  <c r="BQ310" i="68"/>
  <c r="BQ309" i="68"/>
  <c r="BQ305" i="68"/>
  <c r="BO294" i="68"/>
  <c r="BO296" i="68"/>
  <c r="BQ307" i="68"/>
  <c r="BO295" i="68"/>
  <c r="BP300" i="68"/>
  <c r="BQ304" i="68"/>
  <c r="BP301" i="68"/>
  <c r="BP299" i="68"/>
  <c r="BQ311" i="68" l="1"/>
  <c r="W304" i="68"/>
  <c r="AB35" i="2" l="1"/>
  <c r="I78" i="15"/>
  <c r="I89" i="15" s="1"/>
  <c r="M24" i="40" l="1"/>
  <c r="I24" i="40" s="1"/>
  <c r="I26" i="40" s="1"/>
  <c r="I28" i="40" s="1"/>
  <c r="M23" i="40"/>
  <c r="J17" i="14"/>
  <c r="J19" i="14" s="1"/>
  <c r="J13" i="67"/>
  <c r="J42" i="67" s="1"/>
  <c r="J60" i="67" s="1"/>
  <c r="C39" i="15" l="1"/>
  <c r="C37" i="15"/>
  <c r="H133" i="60"/>
  <c r="B141" i="60" s="1"/>
  <c r="B133" i="60"/>
  <c r="B241" i="60"/>
  <c r="D153" i="60" l="1"/>
  <c r="H141" i="60"/>
  <c r="AO1" i="60" s="1"/>
  <c r="B244" i="60"/>
  <c r="B247" i="60" s="1"/>
  <c r="L242" i="60"/>
  <c r="M242" i="60"/>
  <c r="L245" i="60" l="1"/>
  <c r="M245" i="60"/>
  <c r="M248" i="60" l="1"/>
  <c r="L248" i="60" l="1"/>
  <c r="H250" i="60"/>
  <c r="B250" i="60"/>
  <c r="AB107" i="74" l="1"/>
  <c r="AL110" i="74" s="1"/>
  <c r="M53" i="2" l="1"/>
  <c r="AL114" i="74" l="1"/>
  <c r="AL117" i="74" s="1"/>
  <c r="AL120" i="74" s="1"/>
  <c r="AR124" i="74" l="1"/>
  <c r="AR24" i="74" s="1"/>
  <c r="AL247" i="74"/>
  <c r="AL373" i="74"/>
  <c r="AL121" i="74"/>
  <c r="AL133" i="74" s="1"/>
  <c r="AL130" i="74"/>
  <c r="AB125" i="74" l="1"/>
  <c r="AB128" i="74"/>
  <c r="AB123" i="74"/>
  <c r="AB126" i="74"/>
  <c r="AL129" i="74"/>
  <c r="AB127" i="74"/>
  <c r="AB122" i="74"/>
  <c r="AB124" i="74"/>
  <c r="AB378" i="74"/>
  <c r="AB380" i="74"/>
  <c r="AL382" i="74"/>
  <c r="AL385" i="74"/>
  <c r="AB375" i="74"/>
  <c r="AB377" i="74"/>
  <c r="AL381" i="74"/>
  <c r="AB379" i="74"/>
  <c r="AB376" i="74"/>
  <c r="AB374" i="74"/>
  <c r="AB252" i="74"/>
  <c r="AL259" i="74"/>
  <c r="AB250" i="74"/>
  <c r="AB254" i="74"/>
  <c r="AB251" i="74"/>
  <c r="AB248" i="74"/>
  <c r="AB253" i="74"/>
  <c r="AL256" i="74"/>
  <c r="AB249" i="74"/>
  <c r="AL255" i="74"/>
  <c r="BB129" i="74"/>
  <c r="BB130" i="74"/>
  <c r="AC10" i="80" l="1"/>
  <c r="K86" i="46" s="1"/>
  <c r="BB382" i="74"/>
  <c r="BB381" i="74"/>
  <c r="BB255" i="74"/>
  <c r="BB256" i="74"/>
  <c r="M56" i="33" l="1"/>
  <c r="Y76" i="59"/>
  <c r="AP1" i="60" l="1"/>
  <c r="I33" i="15"/>
  <c r="AE99" i="23"/>
  <c r="AE101" i="23" s="1"/>
  <c r="AC34" i="23" l="1"/>
  <c r="AE34" i="23"/>
  <c r="P34" i="23" s="1"/>
  <c r="AB24" i="23" l="1"/>
  <c r="C34" i="23"/>
  <c r="M11" i="23" s="1"/>
  <c r="M155" i="23" l="1"/>
  <c r="E36" i="23"/>
  <c r="Z34" i="23"/>
  <c r="M36" i="23"/>
  <c r="V36" i="23"/>
  <c r="V79" i="23" l="1"/>
  <c r="Z78" i="23"/>
  <c r="Z77" i="23"/>
  <c r="Z76" i="23"/>
  <c r="Z75" i="23"/>
  <c r="Z46" i="23"/>
  <c r="Z45" i="23"/>
  <c r="Z44" i="23"/>
  <c r="Z43" i="23"/>
  <c r="V47" i="23"/>
  <c r="Z86" i="23"/>
  <c r="Z88" i="23"/>
  <c r="Z87" i="23"/>
  <c r="V74" i="23"/>
  <c r="V83" i="23"/>
  <c r="O334" i="60" s="1"/>
  <c r="V72" i="23"/>
  <c r="V88" i="23"/>
  <c r="V41" i="23"/>
  <c r="V48" i="23" l="1"/>
  <c r="V50" i="23" s="1"/>
  <c r="R30" i="52" s="1"/>
  <c r="V80" i="23"/>
  <c r="V196" i="23"/>
  <c r="V75" i="23"/>
  <c r="V77" i="23"/>
  <c r="V195" i="23"/>
  <c r="V76" i="23"/>
  <c r="V194" i="23"/>
  <c r="V56" i="23" l="1"/>
  <c r="O332" i="60"/>
  <c r="Z55" i="23"/>
  <c r="V81" i="23"/>
  <c r="V84" i="23" s="1"/>
  <c r="V57" i="23"/>
  <c r="V85" i="23"/>
  <c r="Z85" i="23" s="1"/>
  <c r="Q60" i="23" l="1"/>
  <c r="Y85" i="23"/>
  <c r="V96" i="23" l="1"/>
  <c r="V94" i="23"/>
  <c r="V93" i="23"/>
  <c r="V89" i="23"/>
  <c r="Q94" i="23"/>
  <c r="V97" i="23" s="1"/>
  <c r="V98" i="23" s="1"/>
  <c r="V99" i="23" s="1"/>
  <c r="V95" i="23"/>
  <c r="R31" i="52" l="1"/>
  <c r="V100" i="23"/>
  <c r="V102" i="23" s="1"/>
  <c r="J120" i="23" l="1"/>
  <c r="Q105" i="23"/>
  <c r="R120" i="23" s="1"/>
  <c r="V91" i="28" l="1"/>
  <c r="V2" i="28"/>
  <c r="L26" i="28"/>
  <c r="L54" i="28" l="1"/>
  <c r="L43" i="28"/>
  <c r="L46" i="28"/>
  <c r="U64" i="28"/>
  <c r="L38" i="28"/>
  <c r="M108" i="33" s="1"/>
  <c r="W9" i="28"/>
  <c r="V8" i="28"/>
  <c r="V17" i="28"/>
  <c r="V10" i="28"/>
  <c r="V13" i="28"/>
  <c r="M74" i="33"/>
  <c r="M80" i="33" s="1"/>
  <c r="W98" i="28"/>
  <c r="V99" i="28"/>
  <c r="V102" i="28"/>
  <c r="V97" i="28"/>
  <c r="V106" i="28"/>
  <c r="Y9" i="28" l="1"/>
  <c r="AA9" i="28"/>
  <c r="AA10" i="28"/>
  <c r="X9" i="28"/>
  <c r="X10" i="28"/>
  <c r="Z9" i="28"/>
  <c r="Z10" i="28"/>
  <c r="Y10" i="28"/>
  <c r="AA99" i="28"/>
  <c r="X98" i="28"/>
  <c r="Z99" i="28"/>
  <c r="X99" i="28"/>
  <c r="Z98" i="28"/>
  <c r="AA98" i="28"/>
  <c r="Y99" i="28"/>
  <c r="Y98" i="28"/>
  <c r="L44" i="28"/>
  <c r="L45" i="28" s="1"/>
  <c r="U57" i="28"/>
  <c r="V65" i="28"/>
  <c r="W64" i="28"/>
  <c r="Y65" i="28"/>
  <c r="V64" i="28"/>
  <c r="Y64" i="28"/>
  <c r="X65" i="28"/>
  <c r="X64" i="28"/>
  <c r="W65" i="28"/>
  <c r="V11" i="28"/>
  <c r="V12" i="28" s="1"/>
  <c r="W17" i="28"/>
  <c r="W106" i="28"/>
  <c r="V100" i="28"/>
  <c r="V101" i="28" s="1"/>
  <c r="M109" i="33"/>
  <c r="M110" i="33" s="1"/>
  <c r="W101" i="28" l="1"/>
  <c r="AA101" i="28" s="1"/>
  <c r="V116" i="28" s="1"/>
  <c r="U66" i="28"/>
  <c r="W12" i="28"/>
  <c r="AA12" i="28" s="1"/>
  <c r="V27" i="28" s="1"/>
  <c r="W11" i="28"/>
  <c r="U67" i="28"/>
  <c r="Y67" i="28" s="1"/>
  <c r="N68" i="28" s="1"/>
  <c r="W100" i="28"/>
  <c r="V103" i="28"/>
  <c r="V104" i="28" s="1"/>
  <c r="V107" i="28"/>
  <c r="V108" i="28" s="1"/>
  <c r="X107" i="28"/>
  <c r="AA107" i="28"/>
  <c r="Z107" i="28"/>
  <c r="Y107" i="28"/>
  <c r="Y106" i="28"/>
  <c r="Z106" i="28"/>
  <c r="AA106" i="28"/>
  <c r="X106" i="28"/>
  <c r="X18" i="28"/>
  <c r="AA18" i="28"/>
  <c r="Y18" i="28"/>
  <c r="AA17" i="28"/>
  <c r="Z17" i="28"/>
  <c r="Y17" i="28"/>
  <c r="Z18" i="28"/>
  <c r="X17" i="28"/>
  <c r="V14" i="28"/>
  <c r="V15" i="28" s="1"/>
  <c r="V20" i="28" s="1"/>
  <c r="V21" i="28" s="1"/>
  <c r="V18" i="28"/>
  <c r="V19" i="28" s="1"/>
  <c r="W57" i="28"/>
  <c r="X58" i="28"/>
  <c r="V57" i="28"/>
  <c r="Y57" i="28"/>
  <c r="W58" i="28"/>
  <c r="Y58" i="28"/>
  <c r="X57" i="28"/>
  <c r="V58" i="28"/>
  <c r="L55" i="28"/>
  <c r="L56" i="28" s="1"/>
  <c r="L47" i="28"/>
  <c r="L48" i="28" s="1"/>
  <c r="M95" i="33"/>
  <c r="M96" i="33" s="1"/>
  <c r="M123" i="33" l="1"/>
  <c r="M81" i="33"/>
  <c r="M82" i="33" s="1"/>
  <c r="W19" i="28"/>
  <c r="AA20" i="28" s="1"/>
  <c r="V25" i="28" s="1"/>
  <c r="W108" i="28"/>
  <c r="W109" i="28"/>
  <c r="U60" i="28"/>
  <c r="U59" i="28"/>
  <c r="W20" i="28"/>
  <c r="L57" i="28"/>
  <c r="N58" i="28" s="1"/>
  <c r="V22" i="28"/>
  <c r="V23" i="28" s="1"/>
  <c r="V24" i="28" s="1"/>
  <c r="V109" i="28"/>
  <c r="M84" i="33"/>
  <c r="AK75" i="33"/>
  <c r="M97" i="33"/>
  <c r="M111" i="33" s="1"/>
  <c r="M112" i="33" s="1"/>
  <c r="AA109" i="28" l="1"/>
  <c r="V114" i="28" s="1"/>
  <c r="V26" i="28"/>
  <c r="V28" i="28" s="1"/>
  <c r="Y60" i="28"/>
  <c r="N64" i="28" s="1"/>
  <c r="L59" i="28"/>
  <c r="L60" i="28" s="1"/>
  <c r="N61" i="28" s="1"/>
  <c r="N65" i="28" s="1"/>
  <c r="N72" i="28" s="1"/>
  <c r="V110" i="28"/>
  <c r="V111" i="28"/>
  <c r="V112" i="28" s="1"/>
  <c r="V113" i="28" s="1"/>
  <c r="M113" i="33"/>
  <c r="O114" i="33" s="1"/>
  <c r="V115" i="28" l="1"/>
  <c r="V117" i="28" s="1"/>
  <c r="P117" i="33"/>
  <c r="M115" i="33"/>
  <c r="M116" i="33" s="1"/>
  <c r="M118" i="33"/>
  <c r="M119" i="33" s="1"/>
  <c r="M120" i="33" s="1"/>
  <c r="P114" i="33"/>
  <c r="M121" i="33" l="1"/>
  <c r="M125" i="33" s="1"/>
  <c r="P189" i="68" l="1"/>
  <c r="P192" i="68" s="1"/>
  <c r="P194" i="68" s="1"/>
  <c r="V189" i="68"/>
  <c r="R189" i="68"/>
  <c r="T189" i="68"/>
  <c r="R191" i="68" l="1"/>
  <c r="R192" i="68" s="1"/>
  <c r="R187" i="68"/>
  <c r="R188" i="68" s="1"/>
  <c r="D50" i="68"/>
  <c r="D48" i="68"/>
  <c r="R194" i="68" l="1"/>
  <c r="W50" i="68"/>
  <c r="AE48" i="68"/>
  <c r="AE54" i="68" s="1"/>
  <c r="T191" i="68" l="1"/>
  <c r="T192" i="68" s="1"/>
  <c r="T187" i="68"/>
  <c r="T188" i="68" s="1"/>
  <c r="AE58" i="68"/>
  <c r="AE65" i="68" s="1"/>
  <c r="AE51" i="68"/>
  <c r="W51" i="68"/>
  <c r="B51" i="68" s="1"/>
  <c r="L119" i="68"/>
  <c r="T194" i="68" l="1"/>
  <c r="V191" i="68" s="1"/>
  <c r="V192" i="68" s="1"/>
  <c r="V187" i="68"/>
  <c r="V188" i="68" s="1"/>
  <c r="AB69" i="68"/>
  <c r="B58" i="68" s="1"/>
  <c r="D126" i="68"/>
  <c r="D125" i="68"/>
  <c r="D57" i="68" l="1"/>
  <c r="B57" i="68" s="1"/>
  <c r="V194" i="68"/>
  <c r="W54" i="68" l="1"/>
  <c r="B52" i="68" s="1"/>
  <c r="B66" i="68"/>
  <c r="Z57" i="68" l="1"/>
  <c r="AA38" i="68"/>
  <c r="BW278" i="68" l="1"/>
  <c r="BT278" i="68"/>
  <c r="BP278" i="68"/>
  <c r="BP281" i="68" l="1"/>
  <c r="BQ282" i="68"/>
  <c r="BQ333" i="68" s="1"/>
  <c r="P263" i="68" s="1"/>
  <c r="P259" i="68" s="1"/>
  <c r="BP280" i="68"/>
  <c r="BO280" i="68"/>
  <c r="BO279" i="68"/>
  <c r="BN279" i="68"/>
  <c r="BN333" i="68" s="1"/>
  <c r="P233" i="68" s="1"/>
  <c r="P229" i="68" s="1"/>
  <c r="BP333" i="68" l="1"/>
  <c r="P253" i="68" s="1"/>
  <c r="P249" i="68" s="1"/>
  <c r="BO333" i="68"/>
  <c r="P243" i="68" s="1"/>
  <c r="P239" i="68" s="1"/>
  <c r="J53" i="14"/>
  <c r="AB39" i="2" s="1"/>
  <c r="L37" i="15"/>
  <c r="L67" i="15" s="1"/>
  <c r="Q37" i="15"/>
  <c r="Q67" i="15" s="1"/>
  <c r="Q140" i="46"/>
  <c r="D173" i="46" s="1"/>
  <c r="O108" i="33"/>
  <c r="M94" i="33"/>
  <c r="M103" i="33"/>
  <c r="L47" i="15"/>
  <c r="Q48" i="15"/>
  <c r="L30" i="15"/>
  <c r="Q47" i="15"/>
  <c r="Q62" i="15" s="1"/>
  <c r="Q34" i="15"/>
  <c r="L34" i="15"/>
  <c r="O190" i="46" l="1"/>
  <c r="O180" i="46"/>
  <c r="O185" i="46"/>
  <c r="O196" i="46"/>
  <c r="L61" i="15"/>
  <c r="Q61" i="15" s="1"/>
  <c r="L62" i="15"/>
  <c r="G95" i="15"/>
  <c r="AU39" i="58"/>
  <c r="AB40" i="2"/>
  <c r="L102" i="15" l="1"/>
  <c r="Q102" i="15"/>
  <c r="L105" i="15" l="1"/>
  <c r="W36" i="78" s="1"/>
  <c r="O43" i="59" l="1"/>
  <c r="O40" i="59" s="1"/>
  <c r="O41" i="59" s="1"/>
  <c r="AE162" i="23"/>
  <c r="AE167" i="23" s="1"/>
  <c r="AE169" i="23" s="1"/>
  <c r="AE176" i="23" s="1"/>
  <c r="AE153" i="23" l="1"/>
  <c r="P153" i="23" s="1"/>
  <c r="AC153" i="23"/>
  <c r="C153" i="23" l="1"/>
  <c r="AB143" i="23"/>
  <c r="V155" i="23"/>
  <c r="V198" i="23" l="1"/>
  <c r="Z194" i="23"/>
  <c r="Z197" i="23"/>
  <c r="Z196" i="23"/>
  <c r="Z195" i="23"/>
  <c r="V207" i="23"/>
  <c r="V202" i="23"/>
  <c r="V203" i="23"/>
  <c r="V191" i="23"/>
  <c r="Z204" i="23"/>
  <c r="V218" i="23" s="1"/>
  <c r="V200" i="23"/>
  <c r="V193" i="23"/>
  <c r="V199" i="23"/>
  <c r="V204" i="23"/>
  <c r="Y204" i="23" s="1"/>
  <c r="Z153" i="23"/>
  <c r="E155" i="23"/>
  <c r="V219" i="23" l="1"/>
  <c r="V221" i="23"/>
  <c r="V214" i="23"/>
  <c r="AE203" i="23"/>
  <c r="Z205" i="23" s="1"/>
  <c r="V217" i="23"/>
  <c r="V208" i="23"/>
  <c r="R33" i="52" s="1"/>
  <c r="Z165" i="23"/>
  <c r="Z164" i="23"/>
  <c r="Z163" i="23"/>
  <c r="Z162" i="23"/>
  <c r="V166" i="23"/>
  <c r="V216" i="23"/>
  <c r="V160" i="23"/>
  <c r="Q213" i="23"/>
  <c r="V213" i="23"/>
  <c r="V212" i="23"/>
  <c r="V215" i="23"/>
  <c r="Q224" i="23"/>
  <c r="Z206" i="23" l="1"/>
  <c r="Z207" i="23"/>
  <c r="V167" i="23"/>
  <c r="V169" i="23" s="1"/>
  <c r="I12" i="85" s="1"/>
  <c r="I11" i="85" l="1"/>
  <c r="I13" i="85"/>
  <c r="I14" i="85"/>
  <c r="V175" i="23"/>
  <c r="Q179" i="23" s="1"/>
  <c r="Z174" i="23"/>
  <c r="R32" i="52"/>
  <c r="K31" i="52" s="1"/>
  <c r="P8" i="52" s="1"/>
  <c r="P5" i="52" s="1"/>
  <c r="V176" i="23"/>
  <c r="B5" i="52" l="1"/>
  <c r="P7" i="52"/>
  <c r="I15" i="85"/>
  <c r="R239" i="23"/>
  <c r="J239" i="23"/>
  <c r="AC10" i="81" s="1"/>
  <c r="O338" i="60" l="1"/>
  <c r="W31" i="78"/>
  <c r="L11" i="85"/>
  <c r="L10" i="85"/>
  <c r="M65" i="52"/>
  <c r="K44" i="52"/>
  <c r="K18" i="52"/>
  <c r="K32" i="52"/>
  <c r="K58" i="52"/>
  <c r="M26" i="52" l="1"/>
  <c r="K25" i="52"/>
  <c r="K59" i="52"/>
  <c r="K61" i="52" s="1"/>
  <c r="M63" i="52" s="1"/>
  <c r="K21" i="52"/>
  <c r="M38" i="52" s="1"/>
  <c r="J62" i="67"/>
  <c r="J65" i="67" s="1"/>
  <c r="AC40" i="78"/>
  <c r="AB42" i="2" s="1"/>
  <c r="J22" i="14"/>
  <c r="M51" i="52"/>
  <c r="K48" i="52"/>
  <c r="M49" i="52"/>
  <c r="K38" i="52"/>
  <c r="K36" i="52"/>
  <c r="M39" i="52"/>
  <c r="K37" i="52"/>
  <c r="M41" i="52"/>
  <c r="AL88" i="76" s="1"/>
  <c r="M42" i="59" l="1"/>
  <c r="Q51" i="59" s="1"/>
  <c r="O51" i="59" s="1"/>
  <c r="O112" i="86"/>
  <c r="O118" i="86" s="1"/>
  <c r="T119" i="86" s="1"/>
  <c r="Y120" i="86" s="1"/>
  <c r="M28" i="52"/>
  <c r="M54" i="52" s="1"/>
  <c r="B18" i="60"/>
  <c r="M19" i="60" s="1"/>
  <c r="B9" i="60"/>
  <c r="M10" i="60" s="1"/>
  <c r="E34" i="51"/>
  <c r="Y53" i="3"/>
  <c r="AN298" i="60"/>
  <c r="AN299" i="60" s="1"/>
  <c r="AN301" i="60" s="1"/>
  <c r="AB43" i="2"/>
  <c r="AA53" i="3"/>
  <c r="AC53" i="53"/>
  <c r="AC66" i="53" s="1"/>
  <c r="AV25" i="58"/>
  <c r="AV43" i="58" s="1"/>
  <c r="X19" i="58" s="1"/>
  <c r="AE22" i="58" s="1"/>
  <c r="AT56" i="58" s="1"/>
  <c r="Z53" i="3"/>
  <c r="B15" i="60"/>
  <c r="M16" i="60" s="1"/>
  <c r="G19" i="64"/>
  <c r="I19" i="64" s="1"/>
  <c r="J18" i="3"/>
  <c r="O36" i="46"/>
  <c r="O46" i="46" s="1"/>
  <c r="B12" i="60"/>
  <c r="M13" i="60" s="1"/>
  <c r="D25" i="14"/>
  <c r="D27" i="14"/>
  <c r="O57" i="59" l="1"/>
  <c r="Y121" i="86"/>
  <c r="Y122" i="86"/>
  <c r="Y123" i="86" s="1"/>
  <c r="E57" i="46"/>
  <c r="E59" i="46"/>
  <c r="AD53" i="3"/>
  <c r="J7" i="85"/>
  <c r="G21" i="64"/>
  <c r="I21" i="64" s="1"/>
  <c r="I24" i="64" s="1"/>
  <c r="M19" i="3"/>
  <c r="O20" i="3" s="1"/>
  <c r="O64" i="3" s="1"/>
  <c r="AR300" i="60"/>
  <c r="AS300" i="60"/>
  <c r="AT300" i="60"/>
  <c r="AU300" i="60"/>
  <c r="AQ300" i="60"/>
  <c r="AP300" i="60"/>
  <c r="AV300" i="60"/>
  <c r="AO300" i="60"/>
  <c r="AU60" i="58"/>
  <c r="AT60" i="58" s="1"/>
  <c r="AE27" i="58" s="1"/>
  <c r="B21" i="60"/>
  <c r="H21" i="60"/>
  <c r="J33" i="14"/>
  <c r="J51" i="14"/>
  <c r="J27" i="14"/>
  <c r="Q2" i="53"/>
  <c r="D3" i="53"/>
  <c r="AL17" i="81"/>
  <c r="M68" i="52"/>
  <c r="AI55" i="2" s="1"/>
  <c r="D42" i="14" l="1"/>
  <c r="AP302" i="60"/>
  <c r="AN302" i="60" s="1"/>
  <c r="D39" i="14"/>
  <c r="K53" i="64"/>
  <c r="I25" i="64"/>
  <c r="I68" i="64"/>
  <c r="H68" i="64"/>
  <c r="K64" i="64"/>
  <c r="I49" i="64"/>
  <c r="F66" i="64"/>
  <c r="F55" i="64"/>
  <c r="D31" i="58"/>
  <c r="AE34" i="58" s="1"/>
  <c r="D29" i="58"/>
  <c r="AR71" i="58"/>
  <c r="AS71" i="58"/>
  <c r="AR302" i="60"/>
  <c r="AV302" i="60"/>
  <c r="AT302" i="60"/>
  <c r="AX36" i="2"/>
  <c r="Q10" i="3"/>
  <c r="AI53" i="2"/>
  <c r="AI54" i="2"/>
  <c r="AB52" i="2"/>
  <c r="B31" i="60"/>
  <c r="A257" i="60" s="1"/>
  <c r="H257" i="60" s="1"/>
  <c r="B265" i="60" s="1"/>
  <c r="B7" i="85"/>
  <c r="D1" i="64"/>
  <c r="J8" i="85"/>
  <c r="G4" i="85"/>
  <c r="AN17" i="81"/>
  <c r="K18" i="81"/>
  <c r="H31" i="60"/>
  <c r="H35" i="60"/>
  <c r="O55" i="3"/>
  <c r="O51" i="3"/>
  <c r="O54" i="3"/>
  <c r="O52" i="3"/>
  <c r="Q55" i="3"/>
  <c r="O53" i="3"/>
  <c r="U8" i="53"/>
  <c r="U9" i="53"/>
  <c r="U10" i="53"/>
  <c r="AI40" i="2"/>
  <c r="L3" i="53"/>
  <c r="Q3" i="53"/>
  <c r="J42" i="14"/>
  <c r="AS60" i="58"/>
  <c r="AP62" i="58"/>
  <c r="AP63" i="58"/>
  <c r="Q65" i="46"/>
  <c r="O58" i="46"/>
  <c r="J44" i="14" l="1"/>
  <c r="J45" i="14" s="1"/>
  <c r="J49" i="14" s="1"/>
  <c r="G68" i="64"/>
  <c r="D118" i="64" s="1"/>
  <c r="C76" i="64"/>
  <c r="C66" i="64"/>
  <c r="H104" i="64" s="1"/>
  <c r="K73" i="64"/>
  <c r="C55" i="64"/>
  <c r="C53" i="64"/>
  <c r="M37" i="58"/>
  <c r="AE37" i="58" s="1"/>
  <c r="A35" i="60"/>
  <c r="L58" i="53"/>
  <c r="N59" i="53" s="1"/>
  <c r="N61" i="53" s="1"/>
  <c r="L44" i="53"/>
  <c r="L45" i="53"/>
  <c r="N46" i="53"/>
  <c r="N48" i="53" s="1"/>
  <c r="AA62" i="58"/>
  <c r="V58" i="58"/>
  <c r="AA58" i="58"/>
  <c r="Q50" i="58"/>
  <c r="V56" i="58"/>
  <c r="V57" i="58"/>
  <c r="V63" i="58"/>
  <c r="V55" i="58"/>
  <c r="AA55" i="58"/>
  <c r="AA57" i="58"/>
  <c r="AA60" i="58"/>
  <c r="AA63" i="58"/>
  <c r="V62" i="58"/>
  <c r="V65" i="58"/>
  <c r="V66" i="58"/>
  <c r="AA56" i="58"/>
  <c r="AA66" i="58"/>
  <c r="AA64" i="58"/>
  <c r="V59" i="58"/>
  <c r="AA59" i="58"/>
  <c r="AA50" i="58"/>
  <c r="V64" i="58"/>
  <c r="AA61" i="58"/>
  <c r="V50" i="58"/>
  <c r="AA65" i="58"/>
  <c r="V60" i="58"/>
  <c r="V61" i="58"/>
  <c r="L308" i="60"/>
  <c r="O447" i="60" s="1"/>
  <c r="K269" i="60"/>
  <c r="B282" i="60"/>
  <c r="L271" i="60"/>
  <c r="B1" i="60" s="1"/>
  <c r="A178" i="60"/>
  <c r="K182" i="60" s="1"/>
  <c r="K211" i="60" s="1"/>
  <c r="K227" i="60" s="1"/>
  <c r="AN271" i="60" s="1"/>
  <c r="AN272" i="60" s="1"/>
  <c r="AN274" i="60" s="1"/>
  <c r="G27" i="85"/>
  <c r="G16" i="85"/>
  <c r="J20" i="85"/>
  <c r="G28" i="85"/>
  <c r="N15" i="53"/>
  <c r="N36" i="53"/>
  <c r="N41" i="53"/>
  <c r="L50" i="53" s="1"/>
  <c r="N17" i="53"/>
  <c r="L19" i="53"/>
  <c r="N38" i="53"/>
  <c r="N31" i="53"/>
  <c r="N22" i="53"/>
  <c r="L43" i="53"/>
  <c r="N16" i="53"/>
  <c r="L23" i="53"/>
  <c r="N28" i="53"/>
  <c r="E75" i="46"/>
  <c r="E70" i="46"/>
  <c r="L34" i="53"/>
  <c r="Z39" i="53"/>
  <c r="Z42" i="53"/>
  <c r="Z31" i="53"/>
  <c r="Z30" i="53"/>
  <c r="Z36" i="53"/>
  <c r="Z33" i="53"/>
  <c r="Z45" i="53"/>
  <c r="AX34" i="2"/>
  <c r="AI44" i="2" s="1"/>
  <c r="P10" i="33" s="1"/>
  <c r="U10" i="33"/>
  <c r="U13" i="33"/>
  <c r="Z35" i="53"/>
  <c r="Z32" i="53"/>
  <c r="J46" i="14" l="1"/>
  <c r="J47" i="14" s="1"/>
  <c r="J48" i="14" s="1"/>
  <c r="J50" i="14" s="1"/>
  <c r="D122" i="64"/>
  <c r="D97" i="64"/>
  <c r="D120" i="64"/>
  <c r="D74" i="64"/>
  <c r="H129" i="64"/>
  <c r="B129" i="64" s="1"/>
  <c r="H111" i="64"/>
  <c r="G106" i="64"/>
  <c r="B104" i="64"/>
  <c r="G109" i="64"/>
  <c r="C64" i="64"/>
  <c r="H79" i="64"/>
  <c r="AL67" i="58"/>
  <c r="AE67" i="58" s="1"/>
  <c r="AB70" i="58" s="1"/>
  <c r="AL18" i="81"/>
  <c r="Q54" i="53"/>
  <c r="Q53" i="53"/>
  <c r="Q52" i="53"/>
  <c r="L275" i="60"/>
  <c r="Z54" i="2" s="1"/>
  <c r="B284" i="60"/>
  <c r="K278" i="60"/>
  <c r="A1" i="60"/>
  <c r="AP273" i="60"/>
  <c r="AU273" i="60"/>
  <c r="AS273" i="60"/>
  <c r="AT273" i="60"/>
  <c r="AR273" i="60"/>
  <c r="AV273" i="60"/>
  <c r="AO273" i="60"/>
  <c r="AQ273" i="60"/>
  <c r="AC13" i="33"/>
  <c r="AC15" i="33"/>
  <c r="AC10" i="33"/>
  <c r="AY34" i="2"/>
  <c r="AN41" i="2"/>
  <c r="M16" i="33"/>
  <c r="I20" i="85"/>
  <c r="I21" i="85" s="1"/>
  <c r="I24" i="85"/>
  <c r="J24" i="85"/>
  <c r="Q107" i="46"/>
  <c r="K95" i="46"/>
  <c r="Q82" i="46"/>
  <c r="Q112" i="46" s="1"/>
  <c r="AL19" i="76"/>
  <c r="Q74" i="46"/>
  <c r="A70" i="46"/>
  <c r="H70" i="46"/>
  <c r="AL15" i="76"/>
  <c r="AV275" i="60" l="1"/>
  <c r="AE70" i="58"/>
  <c r="AE73" i="58" s="1"/>
  <c r="AE71" i="58"/>
  <c r="AC15" i="82" s="1"/>
  <c r="AC21" i="82" s="1"/>
  <c r="M54" i="2" s="1"/>
  <c r="AT275" i="60"/>
  <c r="H115" i="64"/>
  <c r="H90" i="64"/>
  <c r="H109" i="64"/>
  <c r="I112" i="64" s="1"/>
  <c r="H83" i="64"/>
  <c r="I87" i="64"/>
  <c r="B79" i="64"/>
  <c r="H86" i="64"/>
  <c r="G81" i="64"/>
  <c r="G83" i="64"/>
  <c r="AL20" i="76"/>
  <c r="AV20" i="76" s="1"/>
  <c r="C32" i="76" s="1"/>
  <c r="AR275" i="60"/>
  <c r="AE74" i="58"/>
  <c r="AP275" i="60"/>
  <c r="AN275" i="60" s="1"/>
  <c r="AE76" i="58"/>
  <c r="AC12" i="79" s="1"/>
  <c r="Q18" i="81"/>
  <c r="AC19" i="81" s="1"/>
  <c r="AC23" i="81" s="1"/>
  <c r="AN18" i="81"/>
  <c r="AN26" i="81" s="1"/>
  <c r="I34" i="85"/>
  <c r="I32" i="85"/>
  <c r="I25" i="85"/>
  <c r="I26" i="85" s="1"/>
  <c r="G29" i="85"/>
  <c r="I30" i="85" s="1"/>
  <c r="A61" i="60"/>
  <c r="AN1" i="60"/>
  <c r="C1" i="60" s="1"/>
  <c r="M294" i="60"/>
  <c r="M291" i="60"/>
  <c r="E116" i="46"/>
  <c r="E118" i="46"/>
  <c r="Q98" i="46"/>
  <c r="L301" i="60"/>
  <c r="B296" i="60"/>
  <c r="B290" i="60"/>
  <c r="L291" i="60" s="1"/>
  <c r="B293" i="60"/>
  <c r="L294" i="60" s="1"/>
  <c r="B298" i="60"/>
  <c r="H132" i="64" l="1"/>
  <c r="Q118" i="46"/>
  <c r="M48" i="2" s="1"/>
  <c r="C30" i="76"/>
  <c r="C39" i="76"/>
  <c r="AS40" i="76" s="1"/>
  <c r="AL22" i="76"/>
  <c r="AV22" i="76" s="1"/>
  <c r="C36" i="76"/>
  <c r="AE37" i="76" s="1"/>
  <c r="H97" i="64"/>
  <c r="G97" i="64"/>
  <c r="G95" i="64"/>
  <c r="H100" i="64"/>
  <c r="I101" i="64"/>
  <c r="I97" i="64"/>
  <c r="B90" i="64"/>
  <c r="G93" i="64"/>
  <c r="I122" i="64"/>
  <c r="B115" i="64"/>
  <c r="H122" i="64"/>
  <c r="G122" i="64"/>
  <c r="G120" i="64"/>
  <c r="G118" i="64"/>
  <c r="I126" i="64"/>
  <c r="H125" i="64"/>
  <c r="AB50" i="2"/>
  <c r="U38" i="68"/>
  <c r="I31" i="85"/>
  <c r="AB44" i="2" s="1"/>
  <c r="AD35" i="76" l="1"/>
  <c r="AB45" i="2"/>
  <c r="AC17" i="33"/>
  <c r="AC22" i="33" s="1"/>
  <c r="AE26" i="76"/>
  <c r="AS36" i="76"/>
  <c r="AE31" i="76"/>
  <c r="AL25" i="76"/>
  <c r="AL34" i="76"/>
  <c r="U33" i="33" l="1"/>
  <c r="U31" i="33"/>
  <c r="E35" i="51"/>
  <c r="N76" i="28"/>
  <c r="N37" i="51"/>
  <c r="N35" i="51"/>
  <c r="E40" i="51" s="1"/>
  <c r="AD62" i="37"/>
  <c r="W69" i="37" s="1"/>
  <c r="M14" i="33"/>
  <c r="P36" i="33" s="1"/>
  <c r="N36" i="51"/>
  <c r="AW41" i="2"/>
  <c r="N34" i="51"/>
  <c r="AV34" i="76"/>
  <c r="AE41" i="76"/>
  <c r="AE40" i="76"/>
  <c r="S69" i="37" l="1"/>
  <c r="W70" i="37"/>
  <c r="W62" i="37" s="1"/>
  <c r="AI51" i="2" s="1"/>
  <c r="N85" i="28"/>
  <c r="U85" i="28" s="1"/>
  <c r="N87" i="28"/>
  <c r="N88" i="28" s="1"/>
  <c r="U79" i="28" s="1"/>
  <c r="N79" i="28"/>
  <c r="N97" i="28"/>
  <c r="N82" i="28"/>
  <c r="N77" i="28"/>
  <c r="N100" i="28"/>
  <c r="C5" i="28"/>
  <c r="M38" i="33"/>
  <c r="P37" i="33"/>
  <c r="M37" i="33" s="1"/>
  <c r="AY41" i="2"/>
  <c r="AY42" i="2"/>
  <c r="BA41" i="2"/>
  <c r="AX42" i="2"/>
  <c r="AZ41" i="2"/>
  <c r="AZ42" i="2"/>
  <c r="BA42" i="2"/>
  <c r="AX41" i="2"/>
  <c r="AC37" i="33"/>
  <c r="U44" i="33" s="1"/>
  <c r="AC33" i="33"/>
  <c r="AL80" i="76"/>
  <c r="AL101" i="76"/>
  <c r="AE57" i="76"/>
  <c r="AL84" i="76"/>
  <c r="AL78" i="76"/>
  <c r="AL58" i="76"/>
  <c r="AL112" i="76"/>
  <c r="AL103" i="76"/>
  <c r="AL74" i="76"/>
  <c r="AE49" i="76"/>
  <c r="AL76" i="76"/>
  <c r="AL59" i="76"/>
  <c r="AL82" i="76"/>
  <c r="AL83" i="76" s="1"/>
  <c r="AE45" i="76"/>
  <c r="AL89" i="76"/>
  <c r="AE54" i="76"/>
  <c r="AL117" i="76"/>
  <c r="AS37" i="76"/>
  <c r="AV62" i="76"/>
  <c r="AL62" i="76" s="1"/>
  <c r="U42" i="33" l="1"/>
  <c r="AW44" i="2"/>
  <c r="AW43" i="2"/>
  <c r="BA44" i="2" s="1"/>
  <c r="M45" i="33"/>
  <c r="R54" i="33" s="1"/>
  <c r="AG49" i="33"/>
  <c r="AG88" i="33"/>
  <c r="W80" i="28"/>
  <c r="W79" i="28"/>
  <c r="Y80" i="28"/>
  <c r="Y79" i="28"/>
  <c r="V79" i="28"/>
  <c r="X79" i="28"/>
  <c r="V80" i="28"/>
  <c r="X80" i="28"/>
  <c r="V86" i="28"/>
  <c r="Y85" i="28"/>
  <c r="W85" i="28"/>
  <c r="X86" i="28"/>
  <c r="V85" i="28"/>
  <c r="W86" i="28"/>
  <c r="Y86" i="28"/>
  <c r="X85" i="28"/>
  <c r="H46" i="2"/>
  <c r="N83" i="37"/>
  <c r="L79" i="37"/>
  <c r="N93" i="37"/>
  <c r="L99" i="37"/>
  <c r="S62" i="37"/>
  <c r="P134" i="37"/>
  <c r="L82" i="37"/>
  <c r="N80" i="37"/>
  <c r="P88" i="37"/>
  <c r="L100" i="37"/>
  <c r="P129" i="37"/>
  <c r="N97" i="37"/>
  <c r="P97" i="37" s="1"/>
  <c r="L95" i="37"/>
  <c r="N96" i="37"/>
  <c r="W129" i="37" s="1"/>
  <c r="P87" i="37"/>
  <c r="AA70" i="37"/>
  <c r="AA71" i="37" s="1"/>
  <c r="P128" i="37"/>
  <c r="S98" i="37"/>
  <c r="R89" i="33"/>
  <c r="R90" i="33" s="1"/>
  <c r="L91" i="37"/>
  <c r="L81" i="37"/>
  <c r="L86" i="37"/>
  <c r="P73" i="37"/>
  <c r="L94" i="37"/>
  <c r="P131" i="37"/>
  <c r="N85" i="37"/>
  <c r="L84" i="37"/>
  <c r="X119" i="28"/>
  <c r="L75" i="37"/>
  <c r="R53" i="2"/>
  <c r="AB54" i="2" s="1"/>
  <c r="AB55" i="2" s="1"/>
  <c r="U39" i="68"/>
  <c r="AL61" i="76"/>
  <c r="AE60" i="76"/>
  <c r="AC42" i="33" l="1"/>
  <c r="AC44" i="33"/>
  <c r="AC46" i="33" s="1"/>
  <c r="AC48" i="33" s="1"/>
  <c r="U87" i="28"/>
  <c r="U81" i="28"/>
  <c r="Y82" i="28" s="1"/>
  <c r="M47" i="33"/>
  <c r="AC122" i="33" s="1"/>
  <c r="U82" i="28"/>
  <c r="U88" i="28"/>
  <c r="Y88" i="28" s="1"/>
  <c r="R46" i="33"/>
  <c r="P46" i="33" s="1"/>
  <c r="M61" i="33"/>
  <c r="M52" i="33"/>
  <c r="M93" i="33"/>
  <c r="P92" i="33"/>
  <c r="P91" i="33"/>
  <c r="AA129" i="37"/>
  <c r="Z129" i="37"/>
  <c r="AA130" i="37"/>
  <c r="Y129" i="37"/>
  <c r="X129" i="37"/>
  <c r="Z130" i="37"/>
  <c r="Y130" i="37"/>
  <c r="X130" i="37"/>
  <c r="AA86" i="37"/>
  <c r="AB91" i="37" s="1"/>
  <c r="AA91" i="37"/>
  <c r="X121" i="37"/>
  <c r="AA88" i="37"/>
  <c r="AA84" i="37"/>
  <c r="S97" i="37"/>
  <c r="W136" i="37"/>
  <c r="X120" i="28"/>
  <c r="X174" i="28"/>
  <c r="Z174" i="28" s="1"/>
  <c r="AA101" i="33"/>
  <c r="V92" i="33"/>
  <c r="AC95" i="33"/>
  <c r="AC113" i="33"/>
  <c r="AA97" i="33"/>
  <c r="E37" i="51"/>
  <c r="S39" i="68"/>
  <c r="U54" i="33" l="1"/>
  <c r="U52" i="33"/>
  <c r="M70" i="33"/>
  <c r="M57" i="33"/>
  <c r="M62" i="33" s="1"/>
  <c r="AC11" i="79" s="1"/>
  <c r="AC14" i="79" s="1"/>
  <c r="W131" i="37"/>
  <c r="W132" i="37"/>
  <c r="AA132" i="37" s="1"/>
  <c r="AA118" i="28"/>
  <c r="AA103" i="33"/>
  <c r="AC104" i="33" s="1"/>
  <c r="AC109" i="33" s="1"/>
  <c r="AC115" i="33" s="1"/>
  <c r="AA126" i="33"/>
  <c r="AC129" i="33" s="1"/>
  <c r="AC124" i="33"/>
  <c r="AC136" i="33"/>
  <c r="AC143" i="33"/>
  <c r="AC130" i="33"/>
  <c r="AE143" i="33"/>
  <c r="AE144" i="33"/>
  <c r="AE136" i="33"/>
  <c r="AE137" i="33"/>
  <c r="X135" i="28"/>
  <c r="Y140" i="28" s="1"/>
  <c r="U170" i="28"/>
  <c r="X137" i="28"/>
  <c r="X140" i="28"/>
  <c r="X133" i="28"/>
  <c r="Z122" i="37"/>
  <c r="Y122" i="37"/>
  <c r="AB122" i="37"/>
  <c r="Z121" i="37"/>
  <c r="Y121" i="37"/>
  <c r="AA122" i="37"/>
  <c r="AB121" i="37"/>
  <c r="AA121" i="37"/>
  <c r="AA94" i="37"/>
  <c r="AA95" i="37" s="1"/>
  <c r="Y83" i="28"/>
  <c r="L112" i="37"/>
  <c r="N101" i="37"/>
  <c r="S112" i="37"/>
  <c r="P122" i="37" s="1"/>
  <c r="L108" i="37"/>
  <c r="L105" i="37"/>
  <c r="S113" i="37"/>
  <c r="P111" i="37"/>
  <c r="N110" i="37"/>
  <c r="L107" i="37"/>
  <c r="L109" i="37"/>
  <c r="X136" i="37"/>
  <c r="X137" i="37"/>
  <c r="AA137" i="37"/>
  <c r="AA136" i="37"/>
  <c r="Y137" i="37"/>
  <c r="Z136" i="37"/>
  <c r="Y136" i="37"/>
  <c r="Z137" i="37"/>
  <c r="N93" i="28"/>
  <c r="AA87" i="37"/>
  <c r="M53" i="33" l="1"/>
  <c r="AC54" i="33"/>
  <c r="N90" i="28"/>
  <c r="P53" i="33"/>
  <c r="M54" i="33"/>
  <c r="W138" i="37"/>
  <c r="W139" i="37"/>
  <c r="AA139" i="37" s="1"/>
  <c r="X124" i="37"/>
  <c r="AB124" i="37" s="1"/>
  <c r="AA119" i="37" s="1"/>
  <c r="X123" i="37"/>
  <c r="X136" i="28"/>
  <c r="X139" i="28" s="1"/>
  <c r="AC144" i="33"/>
  <c r="Z47" i="2"/>
  <c r="AB47" i="2"/>
  <c r="P115" i="37"/>
  <c r="N124" i="37"/>
  <c r="J118" i="37"/>
  <c r="AA89" i="37"/>
  <c r="AA90" i="37"/>
  <c r="AA92" i="37" s="1"/>
  <c r="AA93" i="37" s="1"/>
  <c r="N125" i="37"/>
  <c r="N121" i="37"/>
  <c r="S123" i="37"/>
  <c r="P126" i="37"/>
  <c r="S116" i="37"/>
  <c r="W171" i="28"/>
  <c r="Y171" i="28"/>
  <c r="V171" i="28"/>
  <c r="X171" i="28"/>
  <c r="V170" i="28"/>
  <c r="W170" i="28"/>
  <c r="X170" i="28"/>
  <c r="Y170" i="28"/>
  <c r="N114" i="37"/>
  <c r="J119" i="37"/>
  <c r="L117" i="37"/>
  <c r="L120" i="37"/>
  <c r="X143" i="28"/>
  <c r="X144" i="28" s="1"/>
  <c r="AC58" i="33" l="1"/>
  <c r="AD133" i="86"/>
  <c r="U64" i="33"/>
  <c r="U62" i="33"/>
  <c r="P2" i="33" s="1"/>
  <c r="M2" i="33" s="1"/>
  <c r="X138" i="28"/>
  <c r="U163" i="28" s="1"/>
  <c r="V163" i="28" s="1"/>
  <c r="X141" i="28"/>
  <c r="X142" i="28" s="1"/>
  <c r="U173" i="28"/>
  <c r="Y173" i="28" s="1"/>
  <c r="X168" i="28" s="1"/>
  <c r="U172" i="28"/>
  <c r="Y74" i="59"/>
  <c r="Y79" i="59" s="1"/>
  <c r="M59" i="59" s="1"/>
  <c r="X114" i="37"/>
  <c r="AA96" i="37"/>
  <c r="AA97" i="37" s="1"/>
  <c r="AA98" i="37" s="1"/>
  <c r="W164" i="28" l="1"/>
  <c r="X164" i="28"/>
  <c r="X163" i="28"/>
  <c r="V164" i="28"/>
  <c r="U166" i="28" s="1"/>
  <c r="Y163" i="28"/>
  <c r="Y164" i="28"/>
  <c r="W163" i="28"/>
  <c r="U165" i="28" s="1"/>
  <c r="Y166" i="28" s="1"/>
  <c r="X161" i="28" s="1"/>
  <c r="X145" i="28"/>
  <c r="X146" i="28" s="1"/>
  <c r="X147" i="28" s="1"/>
  <c r="O60" i="59"/>
  <c r="O61" i="59" s="1"/>
  <c r="AC11" i="80" s="1"/>
  <c r="AD134" i="86" s="1"/>
  <c r="AD136" i="86" s="1"/>
  <c r="AD137" i="86" s="1"/>
  <c r="M58" i="59"/>
  <c r="AA99" i="37"/>
  <c r="AA100" i="37"/>
  <c r="AB100" i="37" s="1"/>
  <c r="AA114" i="37"/>
  <c r="AA115" i="37"/>
  <c r="Y115" i="37"/>
  <c r="Z114" i="37"/>
  <c r="AB115" i="37"/>
  <c r="AB114" i="37"/>
  <c r="Y114" i="37"/>
  <c r="Z115" i="37"/>
  <c r="Y124" i="86" l="1"/>
  <c r="Y127" i="86" s="1"/>
  <c r="D2" i="86"/>
  <c r="X117" i="37"/>
  <c r="X148" i="28"/>
  <c r="X149" i="28"/>
  <c r="Y149" i="28" s="1"/>
  <c r="X160" i="28" s="1"/>
  <c r="AC17" i="80"/>
  <c r="K87" i="46"/>
  <c r="X116" i="37"/>
  <c r="AB117" i="37" s="1"/>
  <c r="AA112" i="37" s="1"/>
  <c r="AA110" i="37"/>
  <c r="AA109" i="37"/>
  <c r="AA101" i="37"/>
  <c r="AA102" i="37" s="1"/>
  <c r="AA103" i="37"/>
  <c r="AA104" i="37"/>
  <c r="AA105" i="37"/>
  <c r="AA111" i="37"/>
  <c r="AA108" i="37"/>
  <c r="AA107" i="37"/>
  <c r="AA106" i="37"/>
  <c r="K93" i="46" l="1"/>
  <c r="V16" i="80"/>
  <c r="T16" i="80"/>
  <c r="X157" i="28"/>
  <c r="X156" i="28"/>
  <c r="X153" i="28"/>
  <c r="X158" i="28"/>
  <c r="X155" i="28"/>
  <c r="X152" i="28"/>
  <c r="X159" i="28"/>
  <c r="X154" i="28"/>
  <c r="X150" i="28"/>
  <c r="X151" i="28" s="1"/>
  <c r="Z48" i="2"/>
  <c r="AB48" i="2"/>
  <c r="AB49" i="2" s="1"/>
  <c r="AA118" i="37"/>
  <c r="AA125" i="37" s="1"/>
  <c r="X167" i="28" l="1"/>
  <c r="AB51" i="2"/>
  <c r="U36" i="68"/>
  <c r="U41" i="68" s="1"/>
  <c r="V42" i="68" s="1"/>
  <c r="U43" i="68" l="1"/>
  <c r="S89" i="68" s="1"/>
  <c r="U93" i="68" s="1"/>
  <c r="S42" i="68"/>
  <c r="U44" i="68"/>
  <c r="U47" i="68" s="1"/>
  <c r="U45" i="68" s="1"/>
  <c r="S67" i="68" s="1"/>
  <c r="AB56" i="2"/>
  <c r="E36" i="51"/>
  <c r="C2" i="68" l="1"/>
  <c r="U46" i="68"/>
  <c r="V118" i="68" s="1"/>
  <c r="B38" i="51"/>
  <c r="G38" i="51"/>
  <c r="AB57" i="2"/>
  <c r="V60" i="2" s="1"/>
  <c r="AI63" i="2" s="1"/>
  <c r="U87" i="68" l="1"/>
  <c r="U96" i="68" s="1"/>
  <c r="U98" i="68" s="1"/>
  <c r="R118" i="68"/>
  <c r="W47" i="68"/>
  <c r="T118" i="68"/>
  <c r="P118" i="68"/>
  <c r="AB59" i="2"/>
  <c r="AB58" i="2"/>
  <c r="AB60" i="2"/>
  <c r="P121" i="68" l="1"/>
  <c r="V129" i="68" s="1"/>
  <c r="U104" i="68"/>
  <c r="U108" i="68" s="1"/>
  <c r="R131" i="68" l="1"/>
  <c r="R133" i="68" s="1"/>
  <c r="P133" i="68"/>
  <c r="V128" i="68"/>
  <c r="V131" i="68"/>
  <c r="V133" i="68" s="1"/>
  <c r="V141" i="68"/>
  <c r="P138" i="68"/>
  <c r="P217" i="68" s="1"/>
  <c r="R138" i="68"/>
  <c r="R217" i="68" s="1"/>
  <c r="T129" i="68"/>
  <c r="P141" i="68"/>
  <c r="T141" i="68"/>
  <c r="R128" i="68"/>
  <c r="R129" i="68"/>
  <c r="R141" i="68"/>
  <c r="T135" i="68"/>
  <c r="V138" i="68"/>
  <c r="V217" i="68" s="1"/>
  <c r="R135" i="68"/>
  <c r="T131" i="68"/>
  <c r="T133" i="68" s="1"/>
  <c r="T138" i="68"/>
  <c r="T217" i="68" s="1"/>
  <c r="T128" i="68"/>
  <c r="U146" i="68"/>
  <c r="V62" i="2" s="1"/>
  <c r="AB61" i="2" s="1"/>
  <c r="BU287" i="68" l="1"/>
  <c r="BY310" i="68"/>
  <c r="BX327" i="68"/>
  <c r="BW285" i="68"/>
  <c r="BR330" i="68"/>
  <c r="BR314" i="68"/>
  <c r="BU322" i="68"/>
  <c r="BT299" i="68"/>
  <c r="BS304" i="68"/>
  <c r="BX297" i="68"/>
  <c r="BW325" i="68"/>
  <c r="BU295" i="68"/>
  <c r="BW281" i="68"/>
  <c r="BV299" i="68"/>
  <c r="BW308" i="68"/>
  <c r="BW289" i="68"/>
  <c r="BR289" i="68"/>
  <c r="BS289" i="68"/>
  <c r="BX317" i="68"/>
  <c r="BX290" i="68"/>
  <c r="BT331" i="68"/>
  <c r="BU325" i="68"/>
  <c r="BT322" i="68"/>
  <c r="BU324" i="68"/>
  <c r="BV318" i="68"/>
  <c r="BY295" i="68"/>
  <c r="BW329" i="68"/>
  <c r="BY325" i="68"/>
  <c r="BS302" i="68"/>
  <c r="BV320" i="68"/>
  <c r="BW310" i="68"/>
  <c r="BU306" i="68"/>
  <c r="BT290" i="68"/>
  <c r="BR309" i="68"/>
  <c r="BU301" i="68"/>
  <c r="BU284" i="68"/>
  <c r="BT317" i="68"/>
  <c r="BV288" i="68"/>
  <c r="BT314" i="68"/>
  <c r="BY289" i="68"/>
  <c r="BV328" i="68"/>
  <c r="BR297" i="68"/>
  <c r="BR301" i="68"/>
  <c r="BY312" i="68"/>
  <c r="BX330" i="68"/>
  <c r="BV313" i="68"/>
  <c r="BS279" i="68"/>
  <c r="BY292" i="68"/>
  <c r="BV290" i="68"/>
  <c r="BR284" i="68"/>
  <c r="BU285" i="68"/>
  <c r="BW303" i="68"/>
  <c r="BT313" i="68"/>
  <c r="BT323" i="68"/>
  <c r="BX324" i="68"/>
  <c r="BX291" i="68"/>
  <c r="BR295" i="68"/>
  <c r="BT294" i="68"/>
  <c r="BR290" i="68"/>
  <c r="BV307" i="68"/>
  <c r="BY301" i="68"/>
  <c r="BS317" i="68"/>
  <c r="BY318" i="68"/>
  <c r="BX316" i="68"/>
  <c r="BV321" i="68"/>
  <c r="BY281" i="68"/>
  <c r="BY315" i="68"/>
  <c r="BU321" i="68"/>
  <c r="BW307" i="68"/>
  <c r="BT307" i="68"/>
  <c r="BT279" i="68"/>
  <c r="BU314" i="68"/>
  <c r="BW330" i="68"/>
  <c r="BX323" i="68"/>
  <c r="BV315" i="68"/>
  <c r="BS313" i="68"/>
  <c r="BY316" i="68"/>
  <c r="BU309" i="68"/>
  <c r="BU310" i="68"/>
  <c r="BS322" i="68"/>
  <c r="BW293" i="68"/>
  <c r="P220" i="68"/>
  <c r="P219" i="68" s="1"/>
  <c r="P218" i="68" s="1"/>
  <c r="Q258" i="68" s="1"/>
  <c r="BX315" i="68"/>
  <c r="BT309" i="68"/>
  <c r="BT302" i="68"/>
  <c r="BX280" i="68"/>
  <c r="BU286" i="68"/>
  <c r="BY321" i="68"/>
  <c r="BU316" i="68"/>
  <c r="BX294" i="68"/>
  <c r="V220" i="68"/>
  <c r="V219" i="68" s="1"/>
  <c r="V218" i="68" s="1"/>
  <c r="W258" i="68" s="1"/>
  <c r="BX329" i="68"/>
  <c r="BV287" i="68"/>
  <c r="BY324" i="68"/>
  <c r="BU280" i="68"/>
  <c r="BS296" i="68"/>
  <c r="BS303" i="68"/>
  <c r="BR279" i="68"/>
  <c r="BX313" i="68"/>
  <c r="BX299" i="68"/>
  <c r="BS284" i="68"/>
  <c r="BV314" i="68"/>
  <c r="BU320" i="68"/>
  <c r="BX325" i="68"/>
  <c r="BY304" i="68"/>
  <c r="BU318" i="68"/>
  <c r="BY299" i="68"/>
  <c r="BY319" i="68"/>
  <c r="BV293" i="68"/>
  <c r="BU282" i="68"/>
  <c r="BR283" i="68"/>
  <c r="E38" i="51"/>
  <c r="AI58" i="2"/>
  <c r="AK58" i="2" s="1"/>
  <c r="BY314" i="68"/>
  <c r="BV300" i="68"/>
  <c r="BY313" i="68"/>
  <c r="BU312" i="68"/>
  <c r="BT297" i="68"/>
  <c r="BV305" i="68"/>
  <c r="BY329" i="68"/>
  <c r="BW324" i="68"/>
  <c r="BV301" i="68"/>
  <c r="BX310" i="68"/>
  <c r="BT310" i="68"/>
  <c r="BV309" i="68"/>
  <c r="BV308" i="68"/>
  <c r="BW301" i="68"/>
  <c r="BU288" i="68"/>
  <c r="BT298" i="68"/>
  <c r="BV281" i="68"/>
  <c r="BW305" i="68"/>
  <c r="BT324" i="68"/>
  <c r="BY303" i="68"/>
  <c r="BR286" i="68"/>
  <c r="BV283" i="68"/>
  <c r="BS291" i="68"/>
  <c r="BX305" i="68"/>
  <c r="BW320" i="68"/>
  <c r="BS301" i="68"/>
  <c r="BT304" i="68"/>
  <c r="BR331" i="68"/>
  <c r="BY297" i="68"/>
  <c r="R220" i="68"/>
  <c r="R219" i="68" s="1"/>
  <c r="R218" i="68" s="1"/>
  <c r="BY317" i="68"/>
  <c r="BU329" i="68"/>
  <c r="BR327" i="68"/>
  <c r="BX292" i="68"/>
  <c r="BT311" i="68"/>
  <c r="BU319" i="68"/>
  <c r="BS309" i="68"/>
  <c r="BX328" i="68"/>
  <c r="BS298" i="68"/>
  <c r="BV312" i="68"/>
  <c r="BX332" i="68"/>
  <c r="BU279" i="68"/>
  <c r="BY309" i="68"/>
  <c r="BT296" i="68"/>
  <c r="BV286" i="68"/>
  <c r="BT325" i="68"/>
  <c r="BW296" i="68"/>
  <c r="BY294" i="68"/>
  <c r="BR287" i="68"/>
  <c r="BV292" i="68"/>
  <c r="BW321" i="68"/>
  <c r="BX281" i="68"/>
  <c r="BR315" i="68"/>
  <c r="BS326" i="68"/>
  <c r="BR306" i="68"/>
  <c r="BR302" i="68"/>
  <c r="BS295" i="68"/>
  <c r="BS325" i="68"/>
  <c r="BU297" i="68"/>
  <c r="BT327" i="68"/>
  <c r="BV282" i="68"/>
  <c r="BS332" i="68"/>
  <c r="BW332" i="68"/>
  <c r="BU332" i="68"/>
  <c r="BT285" i="68"/>
  <c r="BX320" i="68"/>
  <c r="BS283" i="68"/>
  <c r="BY322" i="68"/>
  <c r="BS293" i="68"/>
  <c r="BY330" i="68"/>
  <c r="BR328" i="68"/>
  <c r="BS318" i="68"/>
  <c r="BR311" i="68"/>
  <c r="BY296" i="68"/>
  <c r="BX283" i="68"/>
  <c r="BW327" i="68"/>
  <c r="BW279" i="68"/>
  <c r="BT308" i="68"/>
  <c r="BS286" i="68"/>
  <c r="BR285" i="68"/>
  <c r="BR281" i="68"/>
  <c r="BT288" i="68"/>
  <c r="BW323" i="68"/>
  <c r="BX306" i="68"/>
  <c r="BV279" i="68"/>
  <c r="BV306" i="68"/>
  <c r="BU305" i="68"/>
  <c r="BT295" i="68"/>
  <c r="BU281" i="68"/>
  <c r="BX321" i="68"/>
  <c r="BV332" i="68"/>
  <c r="BT330" i="68"/>
  <c r="BT315" i="68"/>
  <c r="BV317" i="68"/>
  <c r="BW295" i="68"/>
  <c r="BT282" i="68"/>
  <c r="BV319" i="68"/>
  <c r="BX298" i="68"/>
  <c r="BW298" i="68"/>
  <c r="BU311" i="68"/>
  <c r="BW294" i="68"/>
  <c r="BT287" i="68"/>
  <c r="BV327" i="68"/>
  <c r="BV284" i="68"/>
  <c r="BT292" i="68"/>
  <c r="BR282" i="68"/>
  <c r="BS323" i="68"/>
  <c r="BU330" i="68"/>
  <c r="BX322" i="68"/>
  <c r="BT301" i="68"/>
  <c r="BR321" i="68"/>
  <c r="BS330" i="68"/>
  <c r="BT316" i="68"/>
  <c r="BT280" i="68"/>
  <c r="BR325" i="68"/>
  <c r="BW306" i="68"/>
  <c r="BU317" i="68"/>
  <c r="BU289" i="68"/>
  <c r="BW317" i="68"/>
  <c r="BS329" i="68"/>
  <c r="BY286" i="68"/>
  <c r="T220" i="68"/>
  <c r="T219" i="68" s="1"/>
  <c r="T218" i="68" s="1"/>
  <c r="BR305" i="68"/>
  <c r="BX307" i="68"/>
  <c r="BV298" i="68"/>
  <c r="BV311" i="68"/>
  <c r="BX303" i="68"/>
  <c r="BV296" i="68"/>
  <c r="BS299" i="68"/>
  <c r="BY293" i="68"/>
  <c r="BW309" i="68"/>
  <c r="BY291" i="68"/>
  <c r="BU291" i="68"/>
  <c r="BU308" i="68"/>
  <c r="BR332" i="68"/>
  <c r="BU327" i="68"/>
  <c r="BT329" i="68"/>
  <c r="BT332" i="68"/>
  <c r="BV303" i="68"/>
  <c r="BR316" i="68"/>
  <c r="BR322" i="68"/>
  <c r="BS306" i="68"/>
  <c r="BU315" i="68"/>
  <c r="BW314" i="68"/>
  <c r="BW284" i="68"/>
  <c r="BU326" i="68"/>
  <c r="BT284" i="68"/>
  <c r="BT318" i="68"/>
  <c r="BW322" i="68"/>
  <c r="BR280" i="68"/>
  <c r="BU307" i="68"/>
  <c r="BW316" i="68"/>
  <c r="BV331" i="68"/>
  <c r="BS282" i="68"/>
  <c r="BW300" i="68"/>
  <c r="BU331" i="68"/>
  <c r="BY328" i="68"/>
  <c r="BS314" i="68"/>
  <c r="BY283" i="68"/>
  <c r="BY332" i="68"/>
  <c r="BU304" i="68"/>
  <c r="BT293" i="68"/>
  <c r="BV294" i="68"/>
  <c r="BR292" i="68"/>
  <c r="BR323" i="68"/>
  <c r="BW326" i="68"/>
  <c r="BX319" i="68"/>
  <c r="BW292" i="68"/>
  <c r="BS328" i="68"/>
  <c r="BU303" i="68"/>
  <c r="BV326" i="68"/>
  <c r="BW313" i="68"/>
  <c r="BX301" i="68"/>
  <c r="BT328" i="68"/>
  <c r="BS297" i="68"/>
  <c r="BX326" i="68"/>
  <c r="BY302" i="68"/>
  <c r="BX308" i="68"/>
  <c r="BW287" i="68"/>
  <c r="BW297" i="68"/>
  <c r="BT321" i="68"/>
  <c r="BV325" i="68"/>
  <c r="BR329" i="68"/>
  <c r="BS307" i="68"/>
  <c r="BY327" i="68"/>
  <c r="BS290" i="68"/>
  <c r="BY285" i="68"/>
  <c r="BW302" i="68"/>
  <c r="BS331" i="68"/>
  <c r="BS285" i="68"/>
  <c r="BY287" i="68"/>
  <c r="BR288" i="68"/>
  <c r="BR310" i="68"/>
  <c r="BV280" i="68"/>
  <c r="BT303" i="68"/>
  <c r="BS319" i="68"/>
  <c r="BV310" i="68"/>
  <c r="BT306" i="68"/>
  <c r="BY320" i="68"/>
  <c r="BW328" i="68"/>
  <c r="BV295" i="68"/>
  <c r="BR320" i="68"/>
  <c r="BR294" i="68"/>
  <c r="BV330" i="68"/>
  <c r="BW315" i="68"/>
  <c r="BV289" i="68"/>
  <c r="BT326" i="68"/>
  <c r="BY331" i="68"/>
  <c r="BR296" i="68"/>
  <c r="BR293" i="68"/>
  <c r="BT305" i="68"/>
  <c r="BY284" i="68"/>
  <c r="BS311" i="68"/>
  <c r="BR324" i="68"/>
  <c r="BX311" i="68"/>
  <c r="BR312" i="68"/>
  <c r="BR317" i="68"/>
  <c r="BS288" i="68"/>
  <c r="BY306" i="68"/>
  <c r="BV297" i="68"/>
  <c r="BT281" i="68"/>
  <c r="BY323" i="68"/>
  <c r="BY305" i="68"/>
  <c r="BX331" i="68"/>
  <c r="BR313" i="68"/>
  <c r="BX285" i="68"/>
  <c r="BU294" i="68"/>
  <c r="BT286" i="68"/>
  <c r="BV329" i="68"/>
  <c r="BX282" i="68"/>
  <c r="BY282" i="68"/>
  <c r="BS316" i="68"/>
  <c r="BS324" i="68"/>
  <c r="BU296" i="68"/>
  <c r="BR299" i="68"/>
  <c r="BS294" i="68"/>
  <c r="BV322" i="68"/>
  <c r="BV323" i="68"/>
  <c r="BW282" i="68"/>
  <c r="BY311" i="68"/>
  <c r="BY280" i="68"/>
  <c r="BU328" i="68"/>
  <c r="BS305" i="68"/>
  <c r="BX289" i="68"/>
  <c r="BX318" i="68"/>
  <c r="BX287" i="68"/>
  <c r="BU283" i="68"/>
  <c r="BV285" i="68"/>
  <c r="BX295" i="68"/>
  <c r="BU313" i="68"/>
  <c r="BT319" i="68"/>
  <c r="BX300" i="68"/>
  <c r="BU299" i="68"/>
  <c r="BS312" i="68"/>
  <c r="BS321" i="68"/>
  <c r="BY300" i="68"/>
  <c r="BX279" i="68"/>
  <c r="BY288" i="68"/>
  <c r="BR303" i="68"/>
  <c r="BY308" i="68"/>
  <c r="BV316" i="68"/>
  <c r="BX304" i="68"/>
  <c r="BT300" i="68"/>
  <c r="BX284" i="68"/>
  <c r="BS327" i="68"/>
  <c r="BS292" i="68"/>
  <c r="BS300" i="68"/>
  <c r="BW283" i="68"/>
  <c r="BX286" i="68"/>
  <c r="BT312" i="68"/>
  <c r="BU292" i="68"/>
  <c r="BX314" i="68"/>
  <c r="BU323" i="68"/>
  <c r="BR308" i="68"/>
  <c r="BX309" i="68"/>
  <c r="BS280" i="68"/>
  <c r="BW280" i="68"/>
  <c r="BS310" i="68"/>
  <c r="F62" i="2"/>
  <c r="BX302" i="68"/>
  <c r="BW290" i="68"/>
  <c r="BY298" i="68"/>
  <c r="BW288" i="68"/>
  <c r="BW291" i="68"/>
  <c r="BW299" i="68"/>
  <c r="BY290" i="68"/>
  <c r="BR300" i="68"/>
  <c r="BR318" i="68"/>
  <c r="BW286" i="68"/>
  <c r="BW311" i="68"/>
  <c r="BU293" i="68"/>
  <c r="BR319" i="68"/>
  <c r="BS281" i="68"/>
  <c r="BT291" i="68"/>
  <c r="BU290" i="68"/>
  <c r="BU298" i="68"/>
  <c r="BT289" i="68"/>
  <c r="BR307" i="68"/>
  <c r="BT320" i="68"/>
  <c r="BU300" i="68"/>
  <c r="BS315" i="68"/>
  <c r="BT283" i="68"/>
  <c r="BR326" i="68"/>
  <c r="BR291" i="68"/>
  <c r="BU302" i="68"/>
  <c r="BS287" i="68"/>
  <c r="BS320" i="68"/>
  <c r="BR304" i="68"/>
  <c r="BS308" i="68"/>
  <c r="BR298" i="68"/>
  <c r="BV291" i="68"/>
  <c r="BV302" i="68"/>
  <c r="BX288" i="68"/>
  <c r="BV324" i="68"/>
  <c r="BX293" i="68"/>
  <c r="BY326" i="68"/>
  <c r="BW319" i="68"/>
  <c r="BY307" i="68"/>
  <c r="BX296" i="68"/>
  <c r="BY279" i="68"/>
  <c r="BW312" i="68"/>
  <c r="BW304" i="68"/>
  <c r="BX312" i="68"/>
  <c r="BW318" i="68"/>
  <c r="BW331" i="68"/>
  <c r="BV304" i="68"/>
  <c r="Q228" i="68" l="1"/>
  <c r="Q238" i="68"/>
  <c r="Q248" i="68"/>
  <c r="V222" i="68"/>
  <c r="V223" i="68" s="1"/>
  <c r="AI62" i="2"/>
  <c r="U248" i="68"/>
  <c r="U238" i="68"/>
  <c r="S228" i="68"/>
  <c r="S238" i="68"/>
  <c r="S248" i="68"/>
  <c r="S258" i="68"/>
  <c r="U258" i="68"/>
  <c r="BT333" i="68"/>
  <c r="R253" i="68" s="1"/>
  <c r="R249" i="68" s="1"/>
  <c r="BY333" i="68"/>
  <c r="V263" i="68" s="1"/>
  <c r="V259" i="68" s="1"/>
  <c r="BS333" i="68"/>
  <c r="R243" i="68" s="1"/>
  <c r="R239" i="68" s="1"/>
  <c r="BR333" i="68"/>
  <c r="R233" i="68" s="1"/>
  <c r="R229" i="68" s="1"/>
  <c r="BU333" i="68"/>
  <c r="R263" i="68" s="1"/>
  <c r="R259" i="68" s="1"/>
  <c r="BX333" i="68"/>
  <c r="T263" i="68" s="1"/>
  <c r="T259" i="68" s="1"/>
  <c r="BV333" i="68"/>
  <c r="T243" i="68" s="1"/>
  <c r="T239" i="68" s="1"/>
  <c r="BW333" i="68"/>
  <c r="T253" i="68" s="1"/>
  <c r="T249" i="68" s="1"/>
  <c r="AI59" i="2"/>
  <c r="AI60" i="2"/>
  <c r="AI61" i="2"/>
  <c r="P222" i="68" l="1"/>
  <c r="P223" i="68" s="1"/>
  <c r="T222" i="68"/>
  <c r="T223" i="68" s="1"/>
  <c r="R222" i="68"/>
  <c r="R223" i="68" s="1"/>
  <c r="V265" i="68"/>
</calcChain>
</file>

<file path=xl/sharedStrings.xml><?xml version="1.0" encoding="utf-8"?>
<sst xmlns="http://schemas.openxmlformats.org/spreadsheetml/2006/main" count="10539" uniqueCount="5109">
  <si>
    <t>2.</t>
  </si>
  <si>
    <t>3.</t>
  </si>
  <si>
    <t>deduction, check here</t>
  </si>
  <si>
    <t xml:space="preserve">     enter on line 3 …</t>
  </si>
  <si>
    <r>
      <t>Next.</t>
    </r>
    <r>
      <rPr>
        <sz val="10"/>
        <rFont val="Arial"/>
        <family val="2"/>
      </rPr>
      <t xml:space="preserve"> If you checked “No” on line 1a (and “No” on line 1b if married filing jointly), </t>
    </r>
  </si>
  <si>
    <t>Otherwise, go to line 2.</t>
  </si>
  <si>
    <t>that applies to you.</t>
  </si>
  <si>
    <r>
      <t>Subtract line 5 from line 2 in each column.</t>
    </r>
    <r>
      <rPr>
        <sz val="10"/>
        <rFont val="Arial"/>
        <family val="2"/>
      </rPr>
      <t xml:space="preserve">  Follow the instruction below</t>
    </r>
  </si>
  <si>
    <t>If single, head of household, or married filing separately, and the</t>
  </si>
  <si>
    <t>line 7 for that column and go to line 8.</t>
  </si>
  <si>
    <t>1099-DIV or</t>
  </si>
  <si>
    <r>
      <t xml:space="preserve">Enter the </t>
    </r>
    <r>
      <rPr>
        <b/>
        <sz val="9"/>
        <rFont val="Arial"/>
        <family val="2"/>
      </rPr>
      <t>smaller</t>
    </r>
    <r>
      <rPr>
        <sz val="9"/>
        <rFont val="Arial"/>
        <family val="2"/>
      </rPr>
      <t xml:space="preserve"> of line 15 or 16 of</t>
    </r>
  </si>
  <si>
    <t>Subtract line 5 from line 4.  If zero or less, enter -0-</t>
  </si>
  <si>
    <t>Subtract line 6 from line 1.  If zero or less, enter -0-</t>
  </si>
  <si>
    <t>1a</t>
  </si>
  <si>
    <t>1a.</t>
  </si>
  <si>
    <t>1b.</t>
  </si>
  <si>
    <t>1b</t>
  </si>
  <si>
    <t>THEN enter on line 3. . .</t>
  </si>
  <si>
    <t>Taxes You</t>
  </si>
  <si>
    <r>
      <t xml:space="preserve">Is  your  </t>
    </r>
    <r>
      <rPr>
        <b/>
        <sz val="10"/>
        <rFont val="Arial"/>
        <family val="2"/>
      </rPr>
      <t>earned income*</t>
    </r>
    <r>
      <rPr>
        <sz val="10"/>
        <rFont val="Arial"/>
        <family val="2"/>
      </rPr>
      <t xml:space="preserve"> </t>
    </r>
  </si>
  <si>
    <r>
      <t>No.</t>
    </r>
    <r>
      <rPr>
        <sz val="10"/>
        <rFont val="Arial"/>
        <family val="2"/>
      </rPr>
      <t xml:space="preserve"> Skip lines 18 through 21, and go to line 22.</t>
    </r>
  </si>
  <si>
    <t>Some investment is not</t>
  </si>
  <si>
    <t>at risk.</t>
  </si>
  <si>
    <r>
      <t xml:space="preserve">Are lines 18 and 19 </t>
    </r>
    <r>
      <rPr>
        <b/>
        <sz val="10"/>
        <rFont val="Arial"/>
        <family val="2"/>
      </rPr>
      <t>both</t>
    </r>
    <r>
      <rPr>
        <sz val="10"/>
        <rFont val="Arial"/>
        <family val="2"/>
      </rPr>
      <t xml:space="preserve"> zero or blank?</t>
    </r>
  </si>
  <si>
    <t>Spouses IRA</t>
  </si>
  <si>
    <t>Repairs and maintenance</t>
  </si>
  <si>
    <t>Single, head of household, qualifying widow(er), or married filing</t>
  </si>
  <si>
    <r>
      <t>l</t>
    </r>
    <r>
      <rPr>
        <sz val="10"/>
        <rFont val="Arial"/>
        <family val="2"/>
      </rPr>
      <t xml:space="preserve"> </t>
    </r>
  </si>
  <si>
    <t>Enter the total of any collectibles gain reported to you on:</t>
  </si>
  <si>
    <t>Note:</t>
  </si>
  <si>
    <t>Subtract line 10 from line 1. If zero or less, enter -0-</t>
  </si>
  <si>
    <t xml:space="preserve"> .   .   .   .   .   .   .   .   .   .   .   .   .   .   .   .   .   .   .   .   .   .   .   .   .   .   .   .   .   .   .   .   .   .   .   .   .   .   .   .</t>
  </si>
  <si>
    <t>dividends shown</t>
  </si>
  <si>
    <t>on that form.</t>
  </si>
  <si>
    <t>5.</t>
  </si>
  <si>
    <t>enter the result on line 16. Then go to line 17</t>
  </si>
  <si>
    <t>Income</t>
  </si>
  <si>
    <t>a</t>
  </si>
  <si>
    <t>8a</t>
  </si>
  <si>
    <t>8b</t>
  </si>
  <si>
    <t>State distribution</t>
  </si>
  <si>
    <t>Amount</t>
  </si>
  <si>
    <r>
      <t xml:space="preserve">Add the amounts on line 1   </t>
    </r>
    <r>
      <rPr>
        <b/>
        <sz val="9"/>
        <rFont val="Arial"/>
        <family val="2"/>
      </rPr>
      <t>.   .   .   .   .   .   .   .   .   .   .   .   .   .   .   .   .   .   .   .   .   .   .   .   .   .   .   .   .   .   .   .   .   .   .   .</t>
    </r>
  </si>
  <si>
    <t>Expenses</t>
  </si>
  <si>
    <t>7b</t>
  </si>
  <si>
    <r>
      <t xml:space="preserve">If you are married filing separately and you </t>
    </r>
    <r>
      <rPr>
        <b/>
        <sz val="10"/>
        <rFont val="Arial"/>
        <family val="2"/>
      </rPr>
      <t>lived apart</t>
    </r>
    <r>
      <rPr>
        <sz val="10"/>
        <rFont val="Arial"/>
        <family val="2"/>
      </rPr>
      <t xml:space="preserve"> from your spouse for all of</t>
    </r>
  </si>
  <si>
    <t>Schedule K-1 (Form 1041)</t>
  </si>
  <si>
    <t>Ö</t>
  </si>
  <si>
    <t>Claimed as dependent by someone else</t>
  </si>
  <si>
    <r>
      <t xml:space="preserve">If you are a minister, member of a religious order, or Christian Science practitioner </t>
    </r>
    <r>
      <rPr>
        <b/>
        <sz val="10"/>
        <rFont val="Arial"/>
        <family val="2"/>
      </rPr>
      <t>and</t>
    </r>
    <r>
      <rPr>
        <sz val="10"/>
        <rFont val="Arial"/>
        <family val="2"/>
      </rPr>
      <t xml:space="preserve"> you filed Form 4361, but you</t>
    </r>
  </si>
  <si>
    <t xml:space="preserve">  Tax Computation Using Maximum Capital Gains Rates</t>
  </si>
  <si>
    <t>List name of payer</t>
  </si>
  <si>
    <r>
      <t>Advertising</t>
    </r>
    <r>
      <rPr>
        <b/>
        <sz val="10"/>
        <rFont val="Arial"/>
        <family val="2"/>
      </rPr>
      <t xml:space="preserve"> .   .   .   .   .   .   .   .   .   .   .   .   .   .   .   .   .   .   .   .   .</t>
    </r>
  </si>
  <si>
    <t>b</t>
  </si>
  <si>
    <t>c</t>
  </si>
  <si>
    <t>Download Form 1040 from IRS</t>
  </si>
  <si>
    <r>
      <t>Other</t>
    </r>
    <r>
      <rPr>
        <b/>
        <sz val="10"/>
        <rFont val="Arial"/>
        <family val="2"/>
      </rPr>
      <t xml:space="preserve"> .   .   .   .   .   .   .   .   .   .   .   .   .   .   .   .</t>
    </r>
  </si>
  <si>
    <t>Part I</t>
  </si>
  <si>
    <t>Maximum amount of combined wages and self-employment earnings subject to social security</t>
  </si>
  <si>
    <t>Simplified Method</t>
  </si>
  <si>
    <t>39a</t>
  </si>
  <si>
    <t>Last year's amount</t>
  </si>
  <si>
    <t>Name(s) shown on return</t>
  </si>
  <si>
    <t>List name of payer. If any interest is from a seller-financed mortgage and the</t>
  </si>
  <si>
    <t>(See instructions</t>
  </si>
  <si>
    <t>Attach Form 8815</t>
  </si>
  <si>
    <t>H</t>
  </si>
  <si>
    <t>24b</t>
  </si>
  <si>
    <t>Subtract line 5 from line 1. If zero or less, enter -0-.</t>
  </si>
  <si>
    <t>Download Form 1040 Schedule D Instructions</t>
  </si>
  <si>
    <t>Download Form 1040 Schedule C</t>
  </si>
  <si>
    <t xml:space="preserve">Keep for Your Records          </t>
  </si>
  <si>
    <t>Combine lines 7 and 15 and enter the result.</t>
  </si>
  <si>
    <t>payer and enter</t>
  </si>
  <si>
    <t>6.</t>
  </si>
  <si>
    <t>7.</t>
  </si>
  <si>
    <t>Single</t>
  </si>
  <si>
    <t>Filing Status</t>
  </si>
  <si>
    <r>
      <t xml:space="preserve">Enter the </t>
    </r>
    <r>
      <rPr>
        <b/>
        <sz val="10"/>
        <rFont val="Arial"/>
        <family val="2"/>
      </rPr>
      <t>smaller</t>
    </r>
    <r>
      <rPr>
        <sz val="10"/>
        <rFont val="Arial"/>
        <family val="2"/>
      </rPr>
      <t xml:space="preserve"> of line 15 or line 16 of Schedule D</t>
    </r>
  </si>
  <si>
    <t>11a.</t>
  </si>
  <si>
    <t>11b.</t>
  </si>
  <si>
    <t>12a.</t>
  </si>
  <si>
    <t>12b.</t>
  </si>
  <si>
    <t>Nontaxable combat pay.</t>
  </si>
  <si>
    <t>All others:</t>
  </si>
  <si>
    <t>The loss on line 16 or</t>
  </si>
  <si>
    <t>Refund</t>
  </si>
  <si>
    <t>Add lines 6 and 9</t>
  </si>
  <si>
    <t>But Less Than</t>
  </si>
  <si>
    <t>Enter your cost in the plan at the annuity starting date</t>
  </si>
  <si>
    <t>Subtract line 10 from line 9. If zero or less, enter -0- .</t>
  </si>
  <si>
    <t>Enter age</t>
  </si>
  <si>
    <t>at annuity</t>
  </si>
  <si>
    <t xml:space="preserve">  OMB No. 1545-0074</t>
  </si>
  <si>
    <r>
      <t>l</t>
    </r>
    <r>
      <rPr>
        <sz val="10"/>
        <rFont val="Arial"/>
        <family val="2"/>
      </rPr>
      <t xml:space="preserve">  The loss on line 16 or</t>
    </r>
  </si>
  <si>
    <r>
      <t>l</t>
    </r>
    <r>
      <rPr>
        <sz val="10"/>
        <rFont val="Arial"/>
        <family val="2"/>
      </rPr>
      <t xml:space="preserve">  ($3,000), or if married filing separately, ($1,500)  </t>
    </r>
  </si>
  <si>
    <r>
      <t xml:space="preserve">Sequence No. </t>
    </r>
    <r>
      <rPr>
        <b/>
        <sz val="10"/>
        <rFont val="Arial"/>
        <family val="2"/>
      </rPr>
      <t>07</t>
    </r>
  </si>
  <si>
    <t>Name(s) shown on Form 1040</t>
  </si>
  <si>
    <t>Your social security number</t>
  </si>
  <si>
    <t>Manual</t>
  </si>
  <si>
    <t>Override</t>
  </si>
  <si>
    <t>d</t>
  </si>
  <si>
    <r>
      <t xml:space="preserve">Column </t>
    </r>
    <r>
      <rPr>
        <b/>
        <sz val="10"/>
        <rFont val="Wingdings"/>
        <charset val="2"/>
      </rPr>
      <t>ê</t>
    </r>
  </si>
  <si>
    <t xml:space="preserve">.   .   .   .   .   .   .   .   .   .   .   .   .   .   .   .   .   .   .   .   .   .   . </t>
  </si>
  <si>
    <t>Enter your long-term capital loss carryovers from Schedule D, line 14, and Schedule K-1 (Form 1041),</t>
  </si>
  <si>
    <t>Subtract line 15 from line 14</t>
  </si>
  <si>
    <t>8c</t>
  </si>
  <si>
    <t>4c</t>
  </si>
  <si>
    <t>4b</t>
  </si>
  <si>
    <t>Net unrealized appreciation in employer's securities</t>
  </si>
  <si>
    <t>Enter as a positive amount.</t>
  </si>
  <si>
    <t>6</t>
  </si>
  <si>
    <t>7</t>
  </si>
  <si>
    <t>8</t>
  </si>
  <si>
    <t>9</t>
  </si>
  <si>
    <t>10</t>
  </si>
  <si>
    <t>Part 2</t>
  </si>
  <si>
    <t>Exercise of incentive stock options (excess of AMT income over regular tax income)</t>
  </si>
  <si>
    <t>Sign</t>
  </si>
  <si>
    <t>Here</t>
  </si>
  <si>
    <t>Joint return?</t>
  </si>
  <si>
    <t>Your signature</t>
  </si>
  <si>
    <t>Date</t>
  </si>
  <si>
    <t>Your occupation</t>
  </si>
  <si>
    <t>Spouse's occupation</t>
  </si>
  <si>
    <r>
      <t>Carryover from prior year</t>
    </r>
    <r>
      <rPr>
        <b/>
        <sz val="9"/>
        <rFont val="Arial"/>
        <family val="2"/>
      </rPr>
      <t xml:space="preserve">   .   .   .   .   .   .   .   .   .   .   .   .   .   .   .   .   .   .   .   .   .   .   .   .   .   .   .   .   .   .   .   .   .   .   .   .   .   .</t>
    </r>
  </si>
  <si>
    <t>Add lines 2 and 3</t>
  </si>
  <si>
    <t>4a</t>
  </si>
  <si>
    <t>Savings</t>
  </si>
  <si>
    <t>Part II</t>
  </si>
  <si>
    <t xml:space="preserve">Before you begin: </t>
  </si>
  <si>
    <t>h</t>
  </si>
  <si>
    <t xml:space="preserve">    47  a</t>
  </si>
  <si>
    <t>Medical</t>
  </si>
  <si>
    <t>Part V</t>
  </si>
  <si>
    <t>If you elect one or both of the optional methods, enter the total of lines 15 and 17 here</t>
  </si>
  <si>
    <t>Net profit or (loss) from Schedule C, line 31; Schedule C-EZ, line 3; Schedule K-1 (Form 1065),</t>
  </si>
  <si>
    <r>
      <t>Form</t>
    </r>
    <r>
      <rPr>
        <sz val="10"/>
        <rFont val="Arial"/>
        <family val="2"/>
      </rPr>
      <t xml:space="preserve"> </t>
    </r>
    <r>
      <rPr>
        <b/>
        <sz val="10"/>
        <rFont val="Arial"/>
        <family val="2"/>
      </rPr>
      <t>6251</t>
    </r>
  </si>
  <si>
    <t>Dental</t>
  </si>
  <si>
    <t>Form 1099-DIV, box 2d;</t>
  </si>
  <si>
    <t>Form 2439, box 1d; and</t>
  </si>
  <si>
    <r>
      <t>Self-employment tax.</t>
    </r>
    <r>
      <rPr>
        <sz val="10"/>
        <rFont val="Arial"/>
        <family val="2"/>
      </rPr>
      <t xml:space="preserve"> If the amount on line 4 is:</t>
    </r>
  </si>
  <si>
    <t>32a</t>
  </si>
  <si>
    <t>Pub. 525 to figure if any of your refund is taxable.</t>
  </si>
  <si>
    <t>Cash</t>
  </si>
  <si>
    <t>Accrual</t>
  </si>
  <si>
    <t>G</t>
  </si>
  <si>
    <t>.   .   .</t>
  </si>
  <si>
    <t>Notice 703</t>
  </si>
  <si>
    <t>Read This To See If Your Social Security Benefits May Be Taxable</t>
  </si>
  <si>
    <t>Is the amount on line 8 less than the amount on line 7?</t>
  </si>
  <si>
    <t>Interest from specified private activity bonds exempt from the regular tax</t>
  </si>
  <si>
    <t>Alternative tax net operating loss deduction</t>
  </si>
  <si>
    <t>enter on line 3 …</t>
  </si>
  <si>
    <t>District of Columbia first-time homebuyer credit, Form 8859</t>
  </si>
  <si>
    <r>
      <t xml:space="preserve"> </t>
    </r>
    <r>
      <rPr>
        <sz val="8"/>
        <rFont val="Wingdings"/>
        <charset val="2"/>
      </rPr>
      <t>l</t>
    </r>
  </si>
  <si>
    <t>.   .   .   .   .   .   .   .   .   .   .   .   .   .   .   .   .   .   .</t>
  </si>
  <si>
    <t xml:space="preserve">  Social security number (SSN)</t>
  </si>
  <si>
    <t>A</t>
  </si>
  <si>
    <t>C</t>
  </si>
  <si>
    <t>Was the total of your wages and tips subject to social security</t>
  </si>
  <si>
    <t>a. The payments are from a qualified employee plan, a qualified employee annuity, or a tax-sheltered annuity.</t>
  </si>
  <si>
    <t>this is your (and your spouse’s if filing jointly) net earnings from</t>
  </si>
  <si>
    <t>Phone no.</t>
  </si>
  <si>
    <t>1</t>
  </si>
  <si>
    <t>2</t>
  </si>
  <si>
    <t>3</t>
  </si>
  <si>
    <t>4</t>
  </si>
  <si>
    <t>OMB No. 1545-0074</t>
  </si>
  <si>
    <t>Did you receive church employee income reported on Form</t>
  </si>
  <si>
    <t xml:space="preserve">    Yes</t>
  </si>
  <si>
    <t xml:space="preserve">   No</t>
  </si>
  <si>
    <r>
      <t xml:space="preserve">   </t>
    </r>
    <r>
      <rPr>
        <b/>
        <sz val="11"/>
        <rFont val="Arial"/>
        <family val="2"/>
      </rPr>
      <t>Information on Your Vehicle.</t>
    </r>
    <r>
      <rPr>
        <sz val="11"/>
        <rFont val="Arial"/>
        <family val="2"/>
      </rPr>
      <t xml:space="preserve">  </t>
    </r>
    <r>
      <rPr>
        <sz val="10"/>
        <rFont val="Arial"/>
        <family val="2"/>
      </rPr>
      <t xml:space="preserve">Complete this part </t>
    </r>
    <r>
      <rPr>
        <b/>
        <sz val="10"/>
        <rFont val="Arial"/>
        <family val="2"/>
      </rPr>
      <t>only</t>
    </r>
    <r>
      <rPr>
        <sz val="10"/>
        <rFont val="Arial"/>
        <family val="2"/>
      </rPr>
      <t xml:space="preserve"> if you are claiming car or truck expenses on line 9</t>
    </r>
  </si>
  <si>
    <t>Download Form 1040 Schedule B</t>
  </si>
  <si>
    <t>Routing number</t>
  </si>
  <si>
    <t>Checking</t>
  </si>
  <si>
    <t>Account number</t>
  </si>
  <si>
    <t xml:space="preserve"> .   .   .   .   .   .   .   .   .   .   .   .   . </t>
  </si>
  <si>
    <t xml:space="preserve">  Yes.</t>
  </si>
  <si>
    <t>Download Form 1040 General Instructions from IRS</t>
  </si>
  <si>
    <t>Cat. No. 11358Z</t>
  </si>
  <si>
    <r>
      <t xml:space="preserve">Page </t>
    </r>
    <r>
      <rPr>
        <b/>
        <sz val="12"/>
        <rFont val="Arial"/>
        <family val="2"/>
      </rPr>
      <t>2</t>
    </r>
  </si>
  <si>
    <t>Section B—Long Schedule SE</t>
  </si>
  <si>
    <t xml:space="preserve">   Self-Employment Tax</t>
  </si>
  <si>
    <r>
      <t>Section A—Short Schedule SE.         Caution.</t>
    </r>
    <r>
      <rPr>
        <sz val="14"/>
        <rFont val="Arial"/>
        <family val="2"/>
      </rPr>
      <t xml:space="preserve"> </t>
    </r>
    <r>
      <rPr>
        <sz val="11"/>
        <rFont val="Arial"/>
        <family val="2"/>
      </rPr>
      <t>Read above to see if you can use Short Schedule SE.</t>
    </r>
  </si>
  <si>
    <t>SCHEDULE SE</t>
  </si>
  <si>
    <t>Self-Employment Tax</t>
  </si>
  <si>
    <t>Wages, tips, other compensation</t>
  </si>
  <si>
    <t>Federal income tax withheld</t>
  </si>
  <si>
    <t xml:space="preserve"> .   .   .   .   .   .   .   .   .   .   .   .   .   .   .   .   .   .   .   .   .   .   .   .   .   .   . </t>
  </si>
  <si>
    <t>Your percentage of total distribution</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</si>
  <si>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</si>
  <si>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 xml:space="preserve"> Yes.</t>
  </si>
  <si>
    <t xml:space="preserve">  Apt. no.</t>
  </si>
  <si>
    <t xml:space="preserve">   Last name</t>
  </si>
  <si>
    <t>24a</t>
  </si>
  <si>
    <t>You must use the Simplified Method if either of the following applies.</t>
  </si>
  <si>
    <t>Annuity Starting Date</t>
  </si>
  <si>
    <r>
      <t xml:space="preserve">Enter the </t>
    </r>
    <r>
      <rPr>
        <b/>
        <sz val="10"/>
        <rFont val="Arial"/>
        <family val="2"/>
      </rPr>
      <t>smaller</t>
    </r>
    <r>
      <rPr>
        <sz val="10"/>
        <rFont val="Arial"/>
        <family val="2"/>
      </rPr>
      <t xml:space="preserve"> of line 9 or line 10</t>
    </r>
  </si>
  <si>
    <t>Keep for Your Records</t>
  </si>
  <si>
    <t>(Form 1040)</t>
  </si>
  <si>
    <t>Department of the Treasury</t>
  </si>
  <si>
    <t>Attachment</t>
  </si>
  <si>
    <t xml:space="preserve">Net short-term gain or (loss) from partnerships, S corporations, estates, and trusts from </t>
  </si>
  <si>
    <t xml:space="preserve">  No.</t>
  </si>
  <si>
    <r>
      <t xml:space="preserve">Enter the </t>
    </r>
    <r>
      <rPr>
        <b/>
        <sz val="10"/>
        <rFont val="Arial"/>
        <family val="2"/>
      </rPr>
      <t>smaller</t>
    </r>
    <r>
      <rPr>
        <sz val="10"/>
        <rFont val="Arial"/>
        <family val="2"/>
      </rPr>
      <t xml:space="preserve"> of line 9 or line 11</t>
    </r>
  </si>
  <si>
    <r>
      <t xml:space="preserve">Yes. </t>
    </r>
    <r>
      <rPr>
        <sz val="10"/>
        <rFont val="Arial"/>
        <family val="2"/>
      </rPr>
      <t>Go to line 18.</t>
    </r>
  </si>
  <si>
    <t>Estates and trusts (amount from Schedule K-1 (Form 1041), box 12, code A)</t>
  </si>
  <si>
    <t>State income tax withheld</t>
  </si>
  <si>
    <t>Multiply lines 6a and 6b by the percentage below that applies to you. If the</t>
  </si>
  <si>
    <t>result is not a multiple of $10, increase it to the next multiple of $10 (for</t>
  </si>
  <si>
    <t>Investment interest expense (difference between regular tax and AMT)</t>
  </si>
  <si>
    <t>Depletion (difference between regular tax and AMT)</t>
  </si>
  <si>
    <t>Enter the amount shown below for your filing status.</t>
  </si>
  <si>
    <t>16.</t>
  </si>
  <si>
    <r>
      <t>h</t>
    </r>
    <r>
      <rPr>
        <sz val="10"/>
        <rFont val="Arial"/>
        <family val="2"/>
      </rPr>
      <t xml:space="preserve">  You are filing Schedule D and Schedule D, lines 15 and 16, are both more than zero.</t>
    </r>
  </si>
  <si>
    <t>If you have to file Schedule D and Schedule D, line 18 or 19, is more than zero,</t>
  </si>
  <si>
    <t>Affected Sheet</t>
  </si>
  <si>
    <t>Changes Made</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</si>
  <si>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</si>
  <si>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Are you using one of the optional methods to figure your net</t>
  </si>
  <si>
    <t>Supplies (not included in Part III)</t>
  </si>
  <si>
    <t>Cat. No. 13600G</t>
  </si>
  <si>
    <r>
      <t>Net profit or (loss).</t>
    </r>
    <r>
      <rPr>
        <sz val="9"/>
        <rFont val="Arial"/>
        <family val="2"/>
      </rPr>
      <t xml:space="preserve">  Subtract line 30 from line 29.</t>
    </r>
  </si>
  <si>
    <t>Page</t>
  </si>
  <si>
    <t>Was your annuity starting date before 1987?</t>
  </si>
  <si>
    <t xml:space="preserve">       You will need this number when you fill out this worksheet next year</t>
  </si>
  <si>
    <t>5</t>
  </si>
  <si>
    <t>Employer #4</t>
  </si>
  <si>
    <t>Total</t>
  </si>
  <si>
    <t>Excess</t>
  </si>
  <si>
    <t>8.</t>
  </si>
  <si>
    <t>9.</t>
  </si>
  <si>
    <t>Keep for your records.</t>
  </si>
  <si>
    <t>If married filing jointly, was your spouse covered by a retirement plan?</t>
  </si>
  <si>
    <t>Enter the earned income you (and your spouse if filing jointly)</t>
  </si>
  <si>
    <t>received as a self-employed individual or a partner. Generally,</t>
  </si>
  <si>
    <t>.   .   .   .   .   .   .   .   .   .   .   .   .   .   .   .   .   .   .   .   .   .   .   .   .</t>
  </si>
  <si>
    <t>name as the</t>
  </si>
  <si>
    <t>the ordinary</t>
  </si>
  <si>
    <t>Disposition of property (difference between AMT and regular tax gain or loss)</t>
  </si>
  <si>
    <t>Before you begin:</t>
  </si>
  <si>
    <t>Annuity starting date</t>
  </si>
  <si>
    <t>16a</t>
  </si>
  <si>
    <t>16b</t>
  </si>
  <si>
    <t>20a</t>
  </si>
  <si>
    <t>20b</t>
  </si>
  <si>
    <t>12</t>
  </si>
  <si>
    <t>list the firm's</t>
  </si>
  <si>
    <t>Local tax withheld</t>
  </si>
  <si>
    <t>Name of locality</t>
  </si>
  <si>
    <t>Local distribution</t>
  </si>
  <si>
    <t>Total Distributions</t>
  </si>
  <si>
    <t>Subtract line 12 from line 10</t>
  </si>
  <si>
    <t>Subtract line 13 from line 1. If zero or less, enter -0-</t>
  </si>
  <si>
    <t>.   .   .   .   .   .   .   .   .   .   .   .   .   .   .   .   .   .   .   .</t>
  </si>
  <si>
    <t>Internal Revenue Service (99)</t>
  </si>
  <si>
    <t>Other (attach explanation)</t>
  </si>
  <si>
    <t>http://www.excel1040.com</t>
  </si>
  <si>
    <t>you, complete lines 7 through 10.</t>
  </si>
  <si>
    <t>Is the amount on line 6 less than the amount on line 5?</t>
  </si>
  <si>
    <t>If you are:</t>
  </si>
  <si>
    <t>.   .   .   .   .   .   .   .   .   .   .   .   .   .   .</t>
  </si>
  <si>
    <t>Enter tax from</t>
  </si>
  <si>
    <t>Did you report any wages on Form 8919, Uncollected Social</t>
  </si>
  <si>
    <t>Security and Medicare Tax on Wages?</t>
  </si>
  <si>
    <t>Otherwise, go to line 3.</t>
  </si>
  <si>
    <r>
      <t xml:space="preserve">Enter the </t>
    </r>
    <r>
      <rPr>
        <b/>
        <sz val="10"/>
        <rFont val="Arial"/>
        <family val="2"/>
      </rPr>
      <t>smaller</t>
    </r>
    <r>
      <rPr>
        <sz val="10"/>
        <rFont val="Arial"/>
        <family val="2"/>
      </rPr>
      <t xml:space="preserve"> of line 9 above or Schedule D, line 19</t>
    </r>
  </si>
  <si>
    <t>6a.</t>
  </si>
  <si>
    <t>Employer #2</t>
  </si>
  <si>
    <t>Employer #3</t>
  </si>
  <si>
    <t>Applicable?</t>
  </si>
  <si>
    <t>Your annuity starting date is the later of the first day of:</t>
  </si>
  <si>
    <t>or</t>
  </si>
  <si>
    <t xml:space="preserve"> .   .   .   .   .   .   .   .   .   .   .   .   .   .   .   .   .   .   .   .   .   .   .   .   .   .   .   .   .   .   .   .   .   .   .   .   .   .</t>
  </si>
  <si>
    <t>Download Form 6251</t>
  </si>
  <si>
    <t>Download Form 6251 Instructions</t>
  </si>
  <si>
    <t>instructions on</t>
  </si>
  <si>
    <t>.   .   .   .   .   .   .   .   .   .   .   .   .   .   .   .</t>
  </si>
  <si>
    <t>Long-Term Capital Gains and Losses</t>
  </si>
  <si>
    <t>Your IRA</t>
  </si>
  <si>
    <t>SCHEDULE B</t>
  </si>
  <si>
    <t>Interest and Ordinary Dividends</t>
  </si>
  <si>
    <t xml:space="preserve">  .   .   .   .   .   .   .   .   .   .   .   .   .   .   .   .   .   .   .   .   .   .   .   .   .   . </t>
  </si>
  <si>
    <t xml:space="preserve">Excludable interest on series EE and I U.S. savings bonds issued after 1989. </t>
  </si>
  <si>
    <t xml:space="preserve">  .   .   .   .   .   .   .   .   .   .</t>
  </si>
  <si>
    <t>Form 1040 -- Line 32</t>
  </si>
  <si>
    <t>State and Local Income Tax Refund Worksheet -- Line 10</t>
  </si>
  <si>
    <t xml:space="preserve"> Summary</t>
  </si>
  <si>
    <t>Employee benefit programs</t>
  </si>
  <si>
    <r>
      <t>(other than on line 19)</t>
    </r>
    <r>
      <rPr>
        <b/>
        <sz val="10"/>
        <rFont val="Arial"/>
        <family val="2"/>
      </rPr>
      <t xml:space="preserve">   .   .   .   .   .   .   .   .   .</t>
    </r>
  </si>
  <si>
    <r>
      <t>Insurance (other than health)</t>
    </r>
    <r>
      <rPr>
        <b/>
        <sz val="10"/>
        <rFont val="Arial"/>
        <family val="2"/>
      </rPr>
      <t>.   .   .   .   .   .   .</t>
    </r>
  </si>
  <si>
    <t>Theft Losses</t>
  </si>
  <si>
    <t>Interest:</t>
  </si>
  <si>
    <t>If Schedule D, line 7, is a (loss), enter that (loss) here. Otherwise, enter -0-</t>
  </si>
  <si>
    <t>Combine lines 1 through 6. If zero or less, enter -0-. If more than zero, also enter this amount on</t>
  </si>
  <si>
    <t>Schedule D, line 18</t>
  </si>
  <si>
    <r>
      <t>Caution:</t>
    </r>
    <r>
      <rPr>
        <sz val="9"/>
        <rFont val="Arial"/>
        <family val="2"/>
      </rPr>
      <t xml:space="preserve"> Do not include expenses reimbursed or paid by others.</t>
    </r>
  </si>
  <si>
    <t>and</t>
  </si>
  <si>
    <t>7a</t>
  </si>
  <si>
    <t>Paid</t>
  </si>
  <si>
    <t>Enter the total of your (and your spouse’s if filing jointly):</t>
  </si>
  <si>
    <t>for your records.</t>
  </si>
  <si>
    <t>Information from Form SSA-1099, Social Security Benefit Statement</t>
  </si>
  <si>
    <t>Voluntary Federal income Tax Withheld</t>
  </si>
  <si>
    <t>Status:</t>
  </si>
  <si>
    <t>Yes</t>
  </si>
  <si>
    <t>No</t>
  </si>
  <si>
    <t>Married filing separately</t>
  </si>
  <si>
    <t>Head of household</t>
  </si>
  <si>
    <t>Alternative Minimum Tax—Individuals</t>
  </si>
  <si>
    <t xml:space="preserve">.   .   .   .   .   .   .   .   .   .   .   .   .   .   . </t>
  </si>
  <si>
    <t>Standard</t>
  </si>
  <si>
    <t xml:space="preserve"> No.</t>
  </si>
  <si>
    <t>Form 4563 (exclusion of income for residents of American Samoa)</t>
  </si>
  <si>
    <t xml:space="preserve">No </t>
  </si>
  <si>
    <t>Add lines 8 and 9</t>
  </si>
  <si>
    <r>
      <t>stop here</t>
    </r>
    <r>
      <rPr>
        <i/>
        <sz val="10"/>
        <rFont val="Arial"/>
        <family val="2"/>
      </rPr>
      <t xml:space="preserve"> and </t>
    </r>
  </si>
  <si>
    <t>Taxable amount</t>
  </si>
  <si>
    <t>Payer #1</t>
  </si>
  <si>
    <t>Payer #2</t>
  </si>
  <si>
    <t>Payer #3</t>
  </si>
  <si>
    <t>Married filing separately and you lived with your spouse at any time</t>
  </si>
  <si>
    <t>9a</t>
  </si>
  <si>
    <t>9b</t>
  </si>
  <si>
    <t>Your percentage of  total distribution</t>
  </si>
  <si>
    <t>B</t>
  </si>
  <si>
    <t>Enter any tax-exempt interest such as interest on municipal bonds</t>
  </si>
  <si>
    <t>D</t>
  </si>
  <si>
    <t>Form 2555 or 2555-EZ (relating to foreign earned income)</t>
  </si>
  <si>
    <t>Form</t>
  </si>
  <si>
    <t>self-employment if your personal services were a material</t>
  </si>
  <si>
    <t>Are you a minister, member of a religious order, or Christian</t>
  </si>
  <si>
    <t>tax on other earnings?</t>
  </si>
  <si>
    <t xml:space="preserve">   Income</t>
  </si>
  <si>
    <t>1.</t>
  </si>
  <si>
    <t>10.</t>
  </si>
  <si>
    <t>11.</t>
  </si>
  <si>
    <t>12.</t>
  </si>
  <si>
    <t>Subtract line 6 from line 2.</t>
  </si>
  <si>
    <t xml:space="preserve">.   .   .   .   .   .   .   .   .   .   .   .   .   .   .   .   .   .   .   .   .   .   .   .   .   .   . </t>
  </si>
  <si>
    <t>Divide line 2 by the number on line 3</t>
  </si>
  <si>
    <t xml:space="preserve">      Attachment</t>
  </si>
  <si>
    <t>Is the amount on line 5 less than the amount on line 2?</t>
  </si>
  <si>
    <t>All investment at risk.</t>
  </si>
  <si>
    <t>32b</t>
  </si>
  <si>
    <t>If your filing status is MFS</t>
  </si>
  <si>
    <t>Mining costs (difference between regular tax and AMT)</t>
  </si>
  <si>
    <t>NOTE:  Check every calculation carefully!!!</t>
  </si>
  <si>
    <t>Social security wages</t>
  </si>
  <si>
    <t>Social security tax withheld</t>
  </si>
  <si>
    <t>Medicare wages and tips</t>
  </si>
  <si>
    <t>Medicare tax withheld</t>
  </si>
  <si>
    <t>Casualty and</t>
  </si>
  <si>
    <r>
      <t xml:space="preserve">Page   </t>
    </r>
    <r>
      <rPr>
        <b/>
        <sz val="10"/>
        <rFont val="Arial"/>
        <family val="2"/>
      </rPr>
      <t>2</t>
    </r>
  </si>
  <si>
    <t>PART III</t>
  </si>
  <si>
    <t>Car and truck expenses</t>
  </si>
  <si>
    <t>Other business property</t>
  </si>
  <si>
    <t>Note.</t>
  </si>
  <si>
    <t>®</t>
  </si>
  <si>
    <t>Vehicles, machinery and equipment</t>
  </si>
  <si>
    <t>.   .   .   .   .   .   .   .   .   .   .   .   .   .   .   .   .   .   .   .   .   .</t>
  </si>
  <si>
    <t>Part III</t>
  </si>
  <si>
    <t>Download Form 1040 Schedule D</t>
  </si>
  <si>
    <t>Schedule K-1 from a partnership, S corporation, estate, or trust.</t>
  </si>
  <si>
    <t>State/payer's state no.</t>
  </si>
  <si>
    <r>
      <t xml:space="preserve">on earnings from these sources, </t>
    </r>
    <r>
      <rPr>
        <b/>
        <sz val="8"/>
        <rFont val="Arial"/>
        <family val="2"/>
      </rPr>
      <t>but</t>
    </r>
    <r>
      <rPr>
        <sz val="8"/>
        <rFont val="Arial"/>
        <family val="2"/>
      </rPr>
      <t xml:space="preserve"> you owe self-employment</t>
    </r>
  </si>
  <si>
    <t>Social security benefits</t>
  </si>
  <si>
    <t xml:space="preserve">Part I </t>
  </si>
  <si>
    <t xml:space="preserve">complete this </t>
  </si>
  <si>
    <t>worksheet anyway.</t>
  </si>
  <si>
    <t>Check here to</t>
  </si>
  <si>
    <t>.   .   .   .   .   .   .   .</t>
  </si>
  <si>
    <t>Enter the amount shown below that applies to you.</t>
  </si>
  <si>
    <r>
      <t xml:space="preserve">Single, head of household, or married filing separately and you </t>
    </r>
    <r>
      <rPr>
        <b/>
        <sz val="10"/>
        <rFont val="Arial"/>
        <family val="2"/>
      </rPr>
      <t>lived apart</t>
    </r>
  </si>
  <si>
    <t>covered by a plan</t>
  </si>
  <si>
    <t>Keep a copy</t>
  </si>
  <si>
    <t>Gifts to</t>
  </si>
  <si>
    <t>Charity</t>
  </si>
  <si>
    <r>
      <t>STOP</t>
    </r>
    <r>
      <rPr>
        <sz val="10"/>
        <rFont val="Arial"/>
        <family val="2"/>
      </rPr>
      <t xml:space="preserve">   None of your refund is taxable.</t>
    </r>
  </si>
  <si>
    <t>Alimony paid</t>
  </si>
  <si>
    <t>The number</t>
  </si>
  <si>
    <t>of months</t>
  </si>
  <si>
    <t>more than 12.</t>
  </si>
  <si>
    <t>l</t>
  </si>
  <si>
    <t>2a</t>
  </si>
  <si>
    <t>2b</t>
  </si>
  <si>
    <t>Table 2 For Line 3 Above</t>
  </si>
  <si>
    <t>Total social security</t>
  </si>
  <si>
    <t>wages and tips</t>
  </si>
  <si>
    <t>Business name.  If no separate business name, leave blank.</t>
  </si>
  <si>
    <t>20.</t>
  </si>
  <si>
    <t>21.</t>
  </si>
  <si>
    <t>22.</t>
  </si>
  <si>
    <t>23.</t>
  </si>
  <si>
    <t>24.</t>
  </si>
  <si>
    <t>25.</t>
  </si>
  <si>
    <t>26.</t>
  </si>
  <si>
    <t>27.</t>
  </si>
  <si>
    <t>32.</t>
  </si>
  <si>
    <t>33.</t>
  </si>
  <si>
    <t>Enter:</t>
  </si>
  <si>
    <r>
      <t xml:space="preserve">Mortgage (paid to banks, etc.) </t>
    </r>
    <r>
      <rPr>
        <b/>
        <sz val="10"/>
        <rFont val="Arial"/>
        <family val="2"/>
      </rPr>
      <t xml:space="preserve">  .   .   .   .   .   .</t>
    </r>
  </si>
  <si>
    <t>Ordinary</t>
  </si>
  <si>
    <t>Dividends</t>
  </si>
  <si>
    <t>Worksheet</t>
  </si>
  <si>
    <t>2555 or 2555-EZ (relating to foreign earned income), enter the amount from</t>
  </si>
  <si>
    <t>Are you filing Schedule D?*</t>
  </si>
  <si>
    <t>SCHEDULE C</t>
  </si>
  <si>
    <t>Profit or Loss from Business</t>
  </si>
  <si>
    <t>(Sole Proprietorship)</t>
  </si>
  <si>
    <t>Name of Proprietor</t>
  </si>
  <si>
    <t>Single, HOH, MFS</t>
  </si>
  <si>
    <t>MFJ, QWidow(er)</t>
  </si>
  <si>
    <t>P</t>
  </si>
  <si>
    <t>Payer #4</t>
  </si>
  <si>
    <t>5a</t>
  </si>
  <si>
    <t>5b</t>
  </si>
  <si>
    <t>E</t>
  </si>
  <si>
    <t>City, town or post office, state, and ZIP code</t>
  </si>
  <si>
    <t>F</t>
  </si>
  <si>
    <t xml:space="preserve">.   .   .   .   .   .   .   .   .   .   .   .   .   .   .   .   .   . </t>
  </si>
  <si>
    <t>Depreciation on assets placed in service after 1986 (difference between regular tax and AMT)</t>
  </si>
  <si>
    <t>Part 1</t>
  </si>
  <si>
    <r>
      <t>worksheet last year, enter the amount from line 10 of last year’s worksheet.</t>
    </r>
    <r>
      <rPr>
        <b/>
        <sz val="9"/>
        <rFont val="Arial"/>
        <family val="2"/>
      </rPr>
      <t xml:space="preserve">   .    .    .</t>
    </r>
  </si>
  <si>
    <t>Add lines 8a, 8b, and 8c</t>
  </si>
  <si>
    <t>8d</t>
  </si>
  <si>
    <t>Unreported tips subject to social security tax (from Form 4137, line 10)</t>
  </si>
  <si>
    <t>Wages subject to social security tax (from Form 8919, line 10)</t>
  </si>
  <si>
    <t>Itemized Deductions</t>
  </si>
  <si>
    <t>SCHEDULE A</t>
  </si>
  <si>
    <t xml:space="preserve">       or</t>
  </si>
  <si>
    <t xml:space="preserve"> Yes</t>
  </si>
  <si>
    <t xml:space="preserve"> No</t>
  </si>
  <si>
    <t>(above)</t>
  </si>
  <si>
    <r>
      <t>and</t>
    </r>
    <r>
      <rPr>
        <sz val="10"/>
        <rFont val="Arial"/>
        <family val="2"/>
      </rPr>
      <t xml:space="preserve"> </t>
    </r>
    <r>
      <rPr>
        <b/>
        <sz val="10"/>
        <rFont val="Arial"/>
        <family val="2"/>
      </rPr>
      <t>both</t>
    </r>
    <r>
      <rPr>
        <sz val="10"/>
        <rFont val="Arial"/>
        <family val="2"/>
      </rPr>
      <t xml:space="preserve"> of the following apply.</t>
    </r>
  </si>
  <si>
    <t>If "Yes", is the evidence written?</t>
  </si>
  <si>
    <r>
      <t xml:space="preserve">Science practitioner who received IRS approval </t>
    </r>
    <r>
      <rPr>
        <b/>
        <sz val="8"/>
        <rFont val="Arial"/>
        <family val="2"/>
      </rPr>
      <t>not</t>
    </r>
    <r>
      <rPr>
        <sz val="8"/>
        <rFont val="Arial"/>
        <family val="2"/>
      </rPr>
      <t xml:space="preserve"> to be taxed</t>
    </r>
  </si>
  <si>
    <t>1065), box 14, code A</t>
  </si>
  <si>
    <t>Download Form 1040 Schedule A</t>
  </si>
  <si>
    <t>Download Form 1040 Schedule A Instructions</t>
  </si>
  <si>
    <t xml:space="preserve"> </t>
  </si>
  <si>
    <t>Interest</t>
  </si>
  <si>
    <r>
      <t xml:space="preserve">Form 4972 here </t>
    </r>
    <r>
      <rPr>
        <sz val="8"/>
        <rFont val="Symbol"/>
        <family val="1"/>
        <charset val="2"/>
      </rPr>
      <t>¯</t>
    </r>
  </si>
  <si>
    <t>b. On your annuity starting date, either:</t>
  </si>
  <si>
    <t>If you do not have to file Schedule D and you received capital gain distributions, be sure</t>
  </si>
  <si>
    <t>P/A</t>
  </si>
  <si>
    <t>.   .   .   .   .   .   .   .   .</t>
  </si>
  <si>
    <t>May I Use Short Schedule SE or Must I Use Long Schedule SE?</t>
  </si>
  <si>
    <t>Internal Revenue Service</t>
  </si>
  <si>
    <t>Form W-2</t>
  </si>
  <si>
    <t>Download Form 1040 Schedule SE</t>
  </si>
  <si>
    <t>Download Form 1040 Schedule SE Instructions</t>
  </si>
  <si>
    <r>
      <t xml:space="preserve">Page </t>
    </r>
    <r>
      <rPr>
        <sz val="9"/>
        <rFont val="Arial"/>
        <family val="2"/>
      </rPr>
      <t xml:space="preserve"> </t>
    </r>
    <r>
      <rPr>
        <b/>
        <sz val="10"/>
        <rFont val="Arial"/>
        <family val="2"/>
      </rPr>
      <t>2</t>
    </r>
  </si>
  <si>
    <t>4.</t>
  </si>
  <si>
    <t>SCHEDULE D</t>
  </si>
  <si>
    <t>Capital Gains and Losses</t>
  </si>
  <si>
    <t>Other</t>
  </si>
  <si>
    <t>CGTW_Line1</t>
  </si>
  <si>
    <r>
      <t xml:space="preserve">Enter the amount from Form 4952, line 4e* </t>
    </r>
    <r>
      <rPr>
        <b/>
        <sz val="10"/>
        <rFont val="Arial"/>
        <family val="2"/>
      </rPr>
      <t>.   .   .   .   .   .   .   .   .   .</t>
    </r>
  </si>
  <si>
    <t>Subtract line 5 from line 2. If zero or less, enter -0-**</t>
  </si>
  <si>
    <t>Subtract line 8 from line 7. If zero or less, enter -0-**</t>
  </si>
  <si>
    <t>Add lines 18 and 19 of Schedule D**</t>
  </si>
  <si>
    <t>.   .   .   .   .   .   .   .   .   .   .   .   .   .   .   .   .   .   .   .   .   .   .   .</t>
  </si>
  <si>
    <t>6b.</t>
  </si>
  <si>
    <t>IRA</t>
  </si>
  <si>
    <t>Total Pension / Annunities</t>
  </si>
  <si>
    <r>
      <t xml:space="preserve">Override </t>
    </r>
    <r>
      <rPr>
        <b/>
        <sz val="10"/>
        <rFont val="Wingdings"/>
        <charset val="2"/>
      </rPr>
      <t>ê</t>
    </r>
  </si>
  <si>
    <t>Cat. No. 11320B</t>
  </si>
  <si>
    <t>nondeductible IRA contributions, see Form 8606.</t>
  </si>
  <si>
    <t>Enter the amount shown below for the filing status</t>
  </si>
  <si>
    <t>No.</t>
  </si>
  <si>
    <t>Enter -0-.</t>
  </si>
  <si>
    <t>Yes.</t>
  </si>
  <si>
    <t>Qualifying widow(er)</t>
  </si>
  <si>
    <r>
      <t xml:space="preserve"> </t>
    </r>
    <r>
      <rPr>
        <b/>
        <sz val="9"/>
        <rFont val="Arial"/>
        <family val="2"/>
      </rPr>
      <t xml:space="preserve"> a</t>
    </r>
    <r>
      <rPr>
        <sz val="9"/>
        <rFont val="Arial"/>
        <family val="2"/>
      </rPr>
      <t xml:space="preserve">   </t>
    </r>
    <r>
      <rPr>
        <sz val="8"/>
        <rFont val="Arial"/>
        <family val="2"/>
      </rPr>
      <t>Business</t>
    </r>
  </si>
  <si>
    <t>starting date</t>
  </si>
  <si>
    <r>
      <t xml:space="preserve">widow(er), or married filing separately and you </t>
    </r>
    <r>
      <rPr>
        <b/>
        <sz val="10"/>
        <rFont val="Arial"/>
        <family val="2"/>
      </rPr>
      <t>lived apart</t>
    </r>
    <r>
      <rPr>
        <sz val="10"/>
        <rFont val="Arial"/>
        <family val="2"/>
      </rPr>
      <t xml:space="preserve"> from your spouse for all of</t>
    </r>
  </si>
  <si>
    <t>Are you excluding income from Puerto Rico or are you filing any of the following forms?</t>
  </si>
  <si>
    <t xml:space="preserve">· </t>
  </si>
  <si>
    <t>Total employee contributions</t>
  </si>
  <si>
    <t>State tax withheld</t>
  </si>
  <si>
    <t>28% Rate Gain Worksheet — Line 18</t>
  </si>
  <si>
    <r>
      <t>box 11, code C</t>
    </r>
    <r>
      <rPr>
        <b/>
        <sz val="10"/>
        <rFont val="Arial"/>
        <family val="2"/>
      </rPr>
      <t xml:space="preserve"> .   .   .   .   .   .   .   .   .   .   .   .   .   .   .   .   .   .   .   .   .   .   .   .   .   .   .   .   .   .   .   .   .   .   .   .   .   .   .   .   .   .   .   .   .   .   .</t>
    </r>
  </si>
  <si>
    <t>Long-term contracts (difference between AMT and regular tax income)</t>
  </si>
  <si>
    <t xml:space="preserve">Circulation costs (difference between regular tax and AMT) </t>
  </si>
  <si>
    <t xml:space="preserve">Loss limitations (difference between AMT and regular tax income or loss) </t>
  </si>
  <si>
    <t>Depreciation and section 179</t>
  </si>
  <si>
    <r>
      <t xml:space="preserve">value closing inventory       </t>
    </r>
    <r>
      <rPr>
        <b/>
        <sz val="9"/>
        <rFont val="Arial"/>
        <family val="2"/>
      </rPr>
      <t>a</t>
    </r>
  </si>
  <si>
    <r>
      <t xml:space="preserve">or railroad retirement (tier 1) tax </t>
    </r>
    <r>
      <rPr>
        <b/>
        <sz val="8"/>
        <rFont val="Arial"/>
        <family val="2"/>
      </rPr>
      <t>plus</t>
    </r>
    <r>
      <rPr>
        <sz val="8"/>
        <rFont val="Arial"/>
        <family val="2"/>
      </rPr>
      <t xml:space="preserve"> your net earnings from</t>
    </r>
  </si>
  <si>
    <t>box 14, code A (other than farming); and Schedule K-1 (Form 1065-B), box 9, code J1.</t>
  </si>
  <si>
    <t xml:space="preserve">.   .   .   .   .   .   .   .   .   .   .   .   .   .   .   .   .   .   .   .   .   .   .   . </t>
  </si>
  <si>
    <t xml:space="preserve"> .   .   .   .   .   .   .   .   .   .   .   .   .   .   .   .   .   .   .   .   .   .   .   .   .   .   .   .   . </t>
  </si>
  <si>
    <r>
      <t xml:space="preserve">  </t>
    </r>
    <r>
      <rPr>
        <b/>
        <sz val="9"/>
        <rFont val="Marlett"/>
        <charset val="2"/>
      </rPr>
      <t>4</t>
    </r>
    <r>
      <rPr>
        <b/>
        <sz val="9"/>
        <rFont val="Arial"/>
        <family val="2"/>
      </rPr>
      <t xml:space="preserve">  Attach to Form 1040 or Form 1040NR.</t>
    </r>
  </si>
  <si>
    <t>Name(s) shown on Form 1040 or Form 1040NR</t>
  </si>
  <si>
    <t>If you elect to itemize deductions even though they are less than your standard</t>
  </si>
  <si>
    <t>6a</t>
  </si>
  <si>
    <t>13.</t>
  </si>
  <si>
    <t>14.</t>
  </si>
  <si>
    <t>15.</t>
  </si>
  <si>
    <t>Deductions</t>
  </si>
  <si>
    <t>Research and experimental costs (difference between regular tax and AMT)</t>
  </si>
  <si>
    <t>use the Schedule D Tax Worksheet on page D-10 of the Instructions for Schedule D to figure your tax.</t>
  </si>
  <si>
    <t>after</t>
  </si>
  <si>
    <t>before</t>
  </si>
  <si>
    <t>Method(s) used to</t>
  </si>
  <si>
    <t>Cost</t>
  </si>
  <si>
    <t>Lower cost or market</t>
  </si>
  <si>
    <t>Table 1 For Line 3 Above</t>
  </si>
  <si>
    <t>AND your annuity starting date was----</t>
  </si>
  <si>
    <t xml:space="preserve"> (used to figure investment interest expense deduction)</t>
  </si>
  <si>
    <t>If your filing status is MFJ or QW</t>
  </si>
  <si>
    <t>.   .   .   .   .   .   .   .   .   .</t>
  </si>
  <si>
    <r>
      <t>Note.</t>
    </r>
    <r>
      <rPr>
        <sz val="10"/>
        <rFont val="Arial"/>
        <family val="2"/>
      </rPr>
      <t xml:space="preserve"> When figuring which amount is smaller, treat both amounts as positive numbers.</t>
    </r>
  </si>
  <si>
    <r>
      <t>Page</t>
    </r>
    <r>
      <rPr>
        <sz val="9"/>
        <rFont val="Arial"/>
        <family val="2"/>
      </rPr>
      <t xml:space="preserve"> </t>
    </r>
    <r>
      <rPr>
        <sz val="12"/>
        <rFont val="Arial"/>
        <family val="2"/>
      </rPr>
      <t xml:space="preserve"> </t>
    </r>
    <r>
      <rPr>
        <b/>
        <sz val="12"/>
        <rFont val="Arial"/>
        <family val="2"/>
      </rPr>
      <t>2</t>
    </r>
  </si>
  <si>
    <t>Short-Term Capital Gains and Losses</t>
  </si>
  <si>
    <t>Foreign</t>
  </si>
  <si>
    <t>instructions for</t>
  </si>
  <si>
    <t>Form 1040,</t>
  </si>
  <si>
    <t>received a Form</t>
  </si>
  <si>
    <t>substitute</t>
  </si>
  <si>
    <t>statement from</t>
  </si>
  <si>
    <t>a brokerage firm,</t>
  </si>
  <si>
    <t xml:space="preserve">.   .   .   .   .   .   .   .   .   .   .   .   .   .   .   .   .   .   . </t>
  </si>
  <si>
    <t>If married filing jointly or qualifying widow(er), and the result is</t>
  </si>
  <si>
    <t>a person who was not covered by a retirement plan), enter the</t>
  </si>
  <si>
    <t>applicable amount below on line 7 for that column and go to</t>
  </si>
  <si>
    <t>line 8.</t>
  </si>
  <si>
    <t>If you received social security retirement or disability benefits, enter the amount of Conservation Reserve</t>
  </si>
  <si>
    <t>Itemized</t>
  </si>
  <si>
    <t>MFS</t>
  </si>
  <si>
    <t>Your first name and initial</t>
  </si>
  <si>
    <t>Last name</t>
  </si>
  <si>
    <t>Enter number of months for which</t>
  </si>
  <si>
    <t>this year's payments were made.</t>
  </si>
  <si>
    <r>
      <t xml:space="preserve">Name of person with </t>
    </r>
    <r>
      <rPr>
        <b/>
        <sz val="9"/>
        <rFont val="Arial"/>
        <family val="2"/>
      </rPr>
      <t>self-employment</t>
    </r>
    <r>
      <rPr>
        <sz val="9"/>
        <rFont val="Arial"/>
        <family val="2"/>
      </rPr>
      <t xml:space="preserve"> income (as shown on Form 1040)</t>
    </r>
  </si>
  <si>
    <t>Enter this amount on</t>
  </si>
  <si>
    <t>At Least</t>
  </si>
  <si>
    <t>Married filing jointly</t>
  </si>
  <si>
    <t>TOTALs</t>
  </si>
  <si>
    <t>.   .   .   .   .   .   .   .   .   .   .   .   .   .   .   .   .   .   .   .   .   .   .   .   .   .   .   .   .   .   .   .   .   .   .   .</t>
  </si>
  <si>
    <t>Did you receive tips subject to social security or Medicare tax</t>
  </si>
  <si>
    <t>Other adjustments, including income-based related adjustments</t>
  </si>
  <si>
    <t>Intangible drilling costs preference</t>
  </si>
  <si>
    <t>Income from certain installment sales before January 1, 1987</t>
  </si>
  <si>
    <t>Part IV</t>
  </si>
  <si>
    <t>Gross distribution</t>
  </si>
  <si>
    <r>
      <t xml:space="preserve">had $400 or more of </t>
    </r>
    <r>
      <rPr>
        <b/>
        <sz val="10"/>
        <rFont val="Arial"/>
        <family val="2"/>
      </rPr>
      <t>other</t>
    </r>
    <r>
      <rPr>
        <sz val="10"/>
        <rFont val="Arial"/>
        <family val="2"/>
      </rPr>
      <t xml:space="preserve"> net earnings from self-employment, check here and continue with Part I</t>
    </r>
  </si>
  <si>
    <t>Schedule D Tax Worksheet</t>
  </si>
  <si>
    <t>Attachment Sequence No.</t>
  </si>
  <si>
    <t>Subtract line 3 from line 2. If zero or less,</t>
  </si>
  <si>
    <t>Are you claiming any of the following credits?</t>
  </si>
  <si>
    <t>Maximum income for optional methods</t>
  </si>
  <si>
    <t>include this amount on line 4b above</t>
  </si>
  <si>
    <t>Total          IRAs</t>
  </si>
  <si>
    <t>Total      Pension / Annunities</t>
  </si>
  <si>
    <t>Code</t>
  </si>
  <si>
    <t>Q</t>
  </si>
  <si>
    <t>17.</t>
  </si>
  <si>
    <t>18.</t>
  </si>
  <si>
    <t>19.</t>
  </si>
  <si>
    <t>Married filing          separately</t>
  </si>
  <si>
    <r>
      <t xml:space="preserve">Enter the </t>
    </r>
    <r>
      <rPr>
        <b/>
        <sz val="10"/>
        <rFont val="Arial"/>
        <family val="2"/>
      </rPr>
      <t>smaller</t>
    </r>
    <r>
      <rPr>
        <sz val="10"/>
        <rFont val="Arial"/>
        <family val="2"/>
      </rPr>
      <t xml:space="preserve"> of line 3 or line 4</t>
    </r>
  </si>
  <si>
    <t>For Paperwork Reduction Act Notice, see your tax return instructions.</t>
  </si>
  <si>
    <t>instructions.</t>
  </si>
  <si>
    <t>Home address (number and street). If you have a P.O. box, see instructions.</t>
  </si>
  <si>
    <t>Qualified dividends</t>
  </si>
  <si>
    <t>7a.</t>
  </si>
  <si>
    <t>7b.</t>
  </si>
  <si>
    <t>Part of your social security benefits may be taxable.</t>
  </si>
  <si>
    <r>
      <t xml:space="preserve">Depletion  </t>
    </r>
    <r>
      <rPr>
        <b/>
        <sz val="10"/>
        <rFont val="Arial"/>
        <family val="2"/>
      </rPr>
      <t xml:space="preserve">  .   .   .   .   .   .   .   .   .   .   .   .   .</t>
    </r>
  </si>
  <si>
    <t>Taxes and licenses</t>
  </si>
  <si>
    <t>Schedules(s) K-1</t>
  </si>
  <si>
    <t>Local income tax withheld</t>
  </si>
  <si>
    <t>Enter the amount, if any, recovered tax free in years after 1986. If you completed this</t>
  </si>
  <si>
    <t>Subtract line 4 from line 3. If zero or less, enter -0-</t>
  </si>
  <si>
    <t>Self-employed health insurance deduction</t>
  </si>
  <si>
    <t>IRA deduction</t>
  </si>
  <si>
    <t>For Disclosure, Privacy Act, and Paperwork Reduction Act Notice, see separate instructions.</t>
  </si>
  <si>
    <t>Social Security Tips</t>
  </si>
  <si>
    <t>Allocated Tips</t>
  </si>
  <si>
    <t>Advance EIC payment</t>
  </si>
  <si>
    <t>Dependent Care Benefits</t>
  </si>
  <si>
    <t>Nonqualified plans</t>
  </si>
  <si>
    <t>See instructions for box 12</t>
  </si>
  <si>
    <t>12a</t>
  </si>
  <si>
    <t>12b</t>
  </si>
  <si>
    <t>12c</t>
  </si>
  <si>
    <t>12d</t>
  </si>
  <si>
    <t>Stat Emp / Retire / 3rd Party Sick</t>
  </si>
  <si>
    <t xml:space="preserve">State wages, tips, etc. </t>
  </si>
  <si>
    <t>Local wages, tips, etc.</t>
  </si>
  <si>
    <t>Federal income tax withheld from Forms W-2 and 1099</t>
  </si>
  <si>
    <t xml:space="preserve">  .   .   .   .   .   .   .   .   .  </t>
  </si>
  <si>
    <r>
      <t>4</t>
    </r>
    <r>
      <rPr>
        <b/>
        <sz val="9"/>
        <rFont val="Arial"/>
        <family val="2"/>
      </rPr>
      <t xml:space="preserve">c </t>
    </r>
    <r>
      <rPr>
        <sz val="9"/>
        <rFont val="Arial"/>
        <family val="2"/>
      </rPr>
      <t>Type:</t>
    </r>
  </si>
  <si>
    <t xml:space="preserve">  No</t>
  </si>
  <si>
    <t>Do you want to allow another person to discuss this return with the IRS (see instructions)?</t>
  </si>
  <si>
    <t>Designee's name</t>
  </si>
  <si>
    <t>Print/Type preparer’s name</t>
  </si>
  <si>
    <t>Preparer’s signature</t>
  </si>
  <si>
    <t>PTIN</t>
  </si>
  <si>
    <t>Firm's EIN</t>
  </si>
  <si>
    <t>Firm’s name</t>
  </si>
  <si>
    <t>Wages, salaries, tips, etc. Attach Form(s) W-2</t>
  </si>
  <si>
    <t xml:space="preserve">.   .   .   .   .  </t>
  </si>
  <si>
    <t>Medical and dental expenses (see instructions)</t>
  </si>
  <si>
    <t>Gifts by cash or check.  If you made any gift of $250 or more</t>
  </si>
  <si>
    <r>
      <t xml:space="preserve">see instructions  </t>
    </r>
    <r>
      <rPr>
        <b/>
        <sz val="9"/>
        <rFont val="Arial"/>
        <family val="2"/>
      </rPr>
      <t>.   .   .   .   .   .   .   .   .   .   .   .   .   .   .   .   .   .   .   .</t>
    </r>
  </si>
  <si>
    <t>Other than by cash or check. If any gift of $250 or more, see</t>
  </si>
  <si>
    <r>
      <t xml:space="preserve">instructions. You </t>
    </r>
    <r>
      <rPr>
        <b/>
        <sz val="9"/>
        <rFont val="Arial"/>
        <family val="2"/>
      </rPr>
      <t>must</t>
    </r>
    <r>
      <rPr>
        <sz val="9"/>
        <rFont val="Arial"/>
        <family val="2"/>
      </rPr>
      <t xml:space="preserve"> attach Form 8283 if over $500 </t>
    </r>
    <r>
      <rPr>
        <b/>
        <sz val="9"/>
        <rFont val="Arial"/>
        <family val="2"/>
      </rPr>
      <t>.   .   .   .   .</t>
    </r>
  </si>
  <si>
    <t>see instructions.</t>
  </si>
  <si>
    <t>Section B</t>
  </si>
  <si>
    <t>Section C</t>
  </si>
  <si>
    <t>Section D</t>
  </si>
  <si>
    <t>If you have a loss, check the box that describes your investment in this activity (see instructions).</t>
  </si>
  <si>
    <t xml:space="preserve">   Cost of Goods Sold  (see instructions)</t>
  </si>
  <si>
    <t>MFJ or QW</t>
  </si>
  <si>
    <t>Cat. No. 11338H</t>
  </si>
  <si>
    <t>line 22.</t>
  </si>
  <si>
    <r>
      <t xml:space="preserve">No. </t>
    </r>
    <r>
      <rPr>
        <sz val="10"/>
        <rFont val="Arial"/>
        <family val="2"/>
      </rPr>
      <t>Complete the rest of Form 1040 or Form 1040NR.</t>
    </r>
  </si>
  <si>
    <r>
      <t>stop</t>
    </r>
    <r>
      <rPr>
        <sz val="10"/>
        <rFont val="Arial"/>
        <family val="2"/>
      </rPr>
      <t xml:space="preserve">; you do not owe self-employment tax. </t>
    </r>
  </si>
  <si>
    <r>
      <t xml:space="preserve">Enter your </t>
    </r>
    <r>
      <rPr>
        <b/>
        <sz val="10"/>
        <rFont val="Arial"/>
        <family val="2"/>
      </rPr>
      <t>church employee income</t>
    </r>
    <r>
      <rPr>
        <sz val="10"/>
        <rFont val="Arial"/>
        <family val="2"/>
      </rPr>
      <t xml:space="preserve"> from Form W-2. See</t>
    </r>
  </si>
  <si>
    <t>Add lines 4c and 5b</t>
  </si>
  <si>
    <t>Total social security wages and tips (total of boxes 3 and 7 on</t>
  </si>
  <si>
    <t xml:space="preserve">.   .   .   .   .   .   .   . </t>
  </si>
  <si>
    <t>Form(s) W-2) and railroad retirement (tier 1) compensation.</t>
  </si>
  <si>
    <t>Railroad retirement (tier 1) compensation</t>
  </si>
  <si>
    <t>.   .   .   .   .   .   .   .   .   .   .   .   .   .   .   .   .   .   .   .   .   .   .   .   .   .   .   .   .</t>
  </si>
  <si>
    <t>.   .   .   .   .   .   .   .   .   .   .   .   .   .   .   .   .   .   .   .   .   .   .   .   .   .   .   .</t>
  </si>
  <si>
    <t xml:space="preserve"> .   .   .   .   .   .</t>
  </si>
  <si>
    <t xml:space="preserve"> .   .   .   .   .   .   . </t>
  </si>
  <si>
    <t xml:space="preserve"> .   .   .   .   .   .   .   .   .   .   .   .   .   .   .   .   .   . </t>
  </si>
  <si>
    <t xml:space="preserve"> .   .   .   .   .   .   .   .   .   .   .   .   .   .   .   .   . </t>
  </si>
  <si>
    <t xml:space="preserve">.   .   .   .   .   . </t>
  </si>
  <si>
    <t xml:space="preserve">.   .   .   .   .   .   .   .   .   .   .   .   .   .   .   .   .   .   .   .   .   .   .   .   .   .   .   .   .   .   . </t>
  </si>
  <si>
    <t xml:space="preserve">  .   .   .   .   .   .   .   . </t>
  </si>
  <si>
    <t>Enter your alternative minimum taxable income</t>
  </si>
  <si>
    <t>separately</t>
  </si>
  <si>
    <t>any death benefit exclusion that you are entitled to (up to $5,000) in the amount entered on line 2 below.</t>
  </si>
  <si>
    <r>
      <t xml:space="preserve">If you are the beneficiary of a deceased employee or former employee who died </t>
    </r>
    <r>
      <rPr>
        <b/>
        <sz val="10"/>
        <rFont val="Arial"/>
        <family val="2"/>
      </rPr>
      <t>before</t>
    </r>
    <r>
      <rPr>
        <sz val="10"/>
        <rFont val="Arial"/>
        <family val="2"/>
      </rPr>
      <t xml:space="preserve"> August 21, 1996, include</t>
    </r>
  </si>
  <si>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</si>
  <si>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Enter the </t>
    </r>
    <r>
      <rPr>
        <b/>
        <sz val="9"/>
        <rFont val="Arial"/>
        <family val="2"/>
      </rPr>
      <t>smaller</t>
    </r>
    <r>
      <rPr>
        <sz val="9"/>
        <rFont val="Arial"/>
        <family val="2"/>
      </rPr>
      <t xml:space="preserve"> of line 5 or line 7</t>
    </r>
  </si>
  <si>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</si>
  <si>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t>Combine lines 2, 3, and 4</t>
  </si>
  <si>
    <t xml:space="preserve">No.  Stop.  </t>
  </si>
  <si>
    <t>None of your IRA contributions are deductible. For details on</t>
  </si>
  <si>
    <t xml:space="preserve">Nontaxable combat pay. This amount should be </t>
  </si>
  <si>
    <t>reported in box 12 of Form W-2 with code Q</t>
  </si>
  <si>
    <t>Enter the smaller of line 1 or line 8</t>
  </si>
  <si>
    <t>Enter the smaller of line 7 or line 9</t>
  </si>
  <si>
    <t>Subtract line 10 from line 9. This amount is taxed at 0%</t>
  </si>
  <si>
    <t>Figure the tax on the amount on line 7. If the amount on line 7 is less than $100,000, use the Tax</t>
  </si>
  <si>
    <t>Table to figure this tax. If the amount on line 7 is $100,000 or more, use the Tax Computation</t>
  </si>
  <si>
    <t>Figure the tax on the amount on line 1. If the amount on line 1 is less than $100,000, use the Tax</t>
  </si>
  <si>
    <t>Table to figure this tax. If the amount on line 1 is $100,000 or more, use the Tax Computation</t>
  </si>
  <si>
    <r>
      <t xml:space="preserve">Manual
Override
</t>
    </r>
    <r>
      <rPr>
        <b/>
        <sz val="10"/>
        <rFont val="Wingdings"/>
        <charset val="2"/>
      </rPr>
      <t>ê</t>
    </r>
  </si>
  <si>
    <t>*If applicable, enter instead the smaller amount you entered on the dotted line next to line 4e of Form 4952.</t>
  </si>
  <si>
    <t>**If you are filing Form 2555 or 2555-EZ, see the footnote in the Foreign Earned Income Tax Worksheet in the Instructions for</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</si>
  <si>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</si>
  <si>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</si>
  <si>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 xml:space="preserve"> .   .   .   .   .   .   .   .   .   .   .   .   .   .   .   .   .   .   .   .   .   .   .   .   .   .   .   . </t>
  </si>
  <si>
    <t>Enter the larger of line 17 or line 18</t>
  </si>
  <si>
    <t>Subtract line 17 from line 16. This amount is taxed at 0%.</t>
  </si>
  <si>
    <r>
      <t xml:space="preserve">Enter the </t>
    </r>
    <r>
      <rPr>
        <b/>
        <sz val="10"/>
        <rFont val="Arial"/>
        <family val="2"/>
      </rPr>
      <t>smaller</t>
    </r>
    <r>
      <rPr>
        <sz val="10"/>
        <rFont val="Arial"/>
        <family val="2"/>
      </rPr>
      <t xml:space="preserve"> of line 1 or line 13 </t>
    </r>
  </si>
  <si>
    <t>Enter the amount from line 20 (if line 20 is blank, enter -0-)</t>
  </si>
  <si>
    <t>Subtract line 22 from line 21. If zero or less, enter -0-</t>
  </si>
  <si>
    <t xml:space="preserve">.   .   .   .   .   .   .   .   .   . </t>
  </si>
  <si>
    <t>Add lines 10 and 19</t>
  </si>
  <si>
    <t>Enter the amount from line 1 above</t>
  </si>
  <si>
    <t xml:space="preserve">.   .   .   .   .   .   .   .   .   .   .   .   .   .   .   .   .   .   .   .   .   .   .   .   .   .   .   .   .   .   .   .   .   .   .  </t>
  </si>
  <si>
    <t>SchDTW_Line19</t>
  </si>
  <si>
    <t>SchDTW_Line1</t>
  </si>
  <si>
    <t>↓  Income Tax Override</t>
  </si>
  <si>
    <t>calculated using:</t>
  </si>
  <si>
    <t>Your deduction is being</t>
  </si>
  <si>
    <t xml:space="preserve">.   .   .   .   .   .   .   .   .   .   .   .   .   .   .   .   .   .   .   . </t>
  </si>
  <si>
    <t xml:space="preserve">.   .   .   .   .   .   .   .   .   .   .   .   .   .   .   .   . </t>
  </si>
  <si>
    <t xml:space="preserve"> .   .   .   .   .   .   .   .   .   . </t>
  </si>
  <si>
    <t xml:space="preserve">.   .   .   .   .   .   .   .   .   .   .   .   .   . </t>
  </si>
  <si>
    <t xml:space="preserve">.   .   .   .   .   .   .   .   .   .   .   .   . </t>
  </si>
  <si>
    <t xml:space="preserve">.   .   .   .   .   .   .   .   .   .   .   . </t>
  </si>
  <si>
    <t xml:space="preserve">.   .   .   .   .   .   . </t>
  </si>
  <si>
    <t>Download Form 1040 Schedule C Instructions</t>
  </si>
  <si>
    <t xml:space="preserve">.   .   .   .   .   .   .   .   .   .   .   .   .   .   .   .   .   .   .   .   .   .   .   .   .   .   .   .   .   .   .   .   .   .   . </t>
  </si>
  <si>
    <r>
      <t>Enter</t>
    </r>
    <r>
      <rPr>
        <sz val="9"/>
        <rFont val="Arial"/>
        <family val="2"/>
      </rPr>
      <t>:</t>
    </r>
  </si>
  <si>
    <t>Enter the amount from line 11</t>
  </si>
  <si>
    <t xml:space="preserve">.    .    .    .    .    .    .    .    .    .    .    .    .    .    .    .    . </t>
  </si>
  <si>
    <t xml:space="preserve"> .    .    .    .    .    .    .    .    .    .    .    .    .    .    .    .    . </t>
  </si>
  <si>
    <t xml:space="preserve"> .    .    .    .    .    .    .    . </t>
  </si>
  <si>
    <t xml:space="preserve"> .    .    .    .    .    .    .    .    .    .    .    . </t>
  </si>
  <si>
    <t xml:space="preserve"> .    .    .    .    .    .    .    .    .    .    .    .    . </t>
  </si>
  <si>
    <t xml:space="preserve">   .    .    .    .    .    .    .    .    .    .    .    .    .    .    .    .    .    .    .    .    .    .    .    .    .    .    .    .    .    .    .    .    .    . </t>
  </si>
  <si>
    <t>Foreign country name</t>
  </si>
  <si>
    <t>Foreign postal code</t>
  </si>
  <si>
    <t>Deduction for --</t>
  </si>
  <si>
    <t>Married filing jointly or qualifying widow(er)</t>
  </si>
  <si>
    <t>See instructions.</t>
  </si>
  <si>
    <r>
      <t xml:space="preserve">Use the worksheet </t>
    </r>
    <r>
      <rPr>
        <b/>
        <sz val="10"/>
        <rFont val="Arial"/>
        <family val="2"/>
      </rPr>
      <t>only</t>
    </r>
    <r>
      <rPr>
        <sz val="10"/>
        <rFont val="Arial"/>
        <family val="2"/>
      </rPr>
      <t xml:space="preserve"> if someone can claim you, or your spouse, if filing jointly, as a dependent.</t>
    </r>
  </si>
  <si>
    <t>Standard deduction.</t>
  </si>
  <si>
    <t>c.</t>
  </si>
  <si>
    <t>a.</t>
  </si>
  <si>
    <t>b.</t>
  </si>
  <si>
    <t>•</t>
  </si>
  <si>
    <t>Cat. No. 17145C</t>
  </si>
  <si>
    <t>account (such as a bank account, securities account, or brokerage account) located in a foreign</t>
  </si>
  <si>
    <t>country? See instructions</t>
  </si>
  <si>
    <t xml:space="preserve"> .   .   .   .   .   .   .   .   .   .   .   .   .   .   .   .   .   .   .   .   .   .   .   .   .   .   .   .   .   .   .   .   .   .   .   .   .   .   </t>
  </si>
  <si>
    <t>financial account is located</t>
  </si>
  <si>
    <t>Cat. No. 17146N</t>
  </si>
  <si>
    <r>
      <t xml:space="preserve">account; or </t>
    </r>
    <r>
      <rPr>
        <b/>
        <sz val="9"/>
        <rFont val="Arial"/>
        <family val="2"/>
      </rPr>
      <t>(c)</t>
    </r>
    <r>
      <rPr>
        <sz val="9"/>
        <rFont val="Arial"/>
        <family val="2"/>
      </rPr>
      <t xml:space="preserve"> received a distribution from, or were a grantor of, or a transferor to, a foreign trust.</t>
    </r>
  </si>
  <si>
    <t>Attach to Form 1040, 1040NR, or 1041; partnerships generally must file Form 1065.</t>
  </si>
  <si>
    <t>B  Enter code from instructions</t>
  </si>
  <si>
    <t>Other (specify)</t>
  </si>
  <si>
    <t>I</t>
  </si>
  <si>
    <t>J</t>
  </si>
  <si>
    <t>If "Yes," did you or will you file all required Forms 1099?</t>
  </si>
  <si>
    <t xml:space="preserve">.   .   .   .   .   .   .   .   .   .   .   .   .   .   .   .   .   .   .   .   .  </t>
  </si>
  <si>
    <t>Cost of goods sold  (from line 42)</t>
  </si>
  <si>
    <t>Legal and professional services</t>
  </si>
  <si>
    <t xml:space="preserve">   .   .   .   .   .   .   .   .</t>
  </si>
  <si>
    <t>Rent or lease (see instructions):</t>
  </si>
  <si>
    <t>Other expenses (from line 48)</t>
  </si>
  <si>
    <t>Reserved for future use</t>
  </si>
  <si>
    <t>27a</t>
  </si>
  <si>
    <t>27b</t>
  </si>
  <si>
    <t>Contract labor (see instructions)</t>
  </si>
  <si>
    <t>Was there any change in determining quantities, cost or valuations between opening and closing inventory?</t>
  </si>
  <si>
    <t>Was your vehicle available for use during off-duty hours?</t>
  </si>
  <si>
    <t xml:space="preserve">Cat. No. 11334P   </t>
  </si>
  <si>
    <r>
      <t xml:space="preserve">   </t>
    </r>
    <r>
      <rPr>
        <b/>
        <sz val="11"/>
        <rFont val="Arial"/>
        <family val="2"/>
      </rPr>
      <t>Other expenses.</t>
    </r>
    <r>
      <rPr>
        <sz val="11"/>
        <rFont val="Arial"/>
        <family val="2"/>
      </rPr>
      <t xml:space="preserve"> </t>
    </r>
    <r>
      <rPr>
        <sz val="12"/>
        <rFont val="Arial"/>
        <family val="2"/>
      </rPr>
      <t xml:space="preserve"> List below business expenses not included on lines 8-26 or line 30.</t>
    </r>
  </si>
  <si>
    <r>
      <rPr>
        <sz val="8"/>
        <rFont val="Arial"/>
        <family val="2"/>
      </rPr>
      <t>Form</t>
    </r>
    <r>
      <rPr>
        <sz val="10"/>
        <rFont val="Arial"/>
        <family val="2"/>
      </rPr>
      <t xml:space="preserve"> </t>
    </r>
    <r>
      <rPr>
        <b/>
        <sz val="26"/>
        <rFont val="Arial"/>
        <family val="2"/>
      </rPr>
      <t>8949</t>
    </r>
  </si>
  <si>
    <t>Sales and Other Dispositions of Capital Assets</t>
  </si>
  <si>
    <r>
      <rPr>
        <b/>
        <sz val="8"/>
        <rFont val="Arial"/>
        <family val="2"/>
      </rPr>
      <t>(a)</t>
    </r>
    <r>
      <rPr>
        <sz val="8"/>
        <rFont val="Arial"/>
        <family val="2"/>
      </rPr>
      <t xml:space="preserve">
Description of property
(Example: 100 sh. XYZ Co.)</t>
    </r>
  </si>
  <si>
    <t>Cat. No. 37768Z</t>
  </si>
  <si>
    <r>
      <t xml:space="preserve">Page </t>
    </r>
    <r>
      <rPr>
        <b/>
        <sz val="12"/>
        <rFont val="Arial"/>
        <family val="2"/>
      </rPr>
      <t>2</t>
    </r>
  </si>
  <si>
    <r>
      <t xml:space="preserve">Attachment Sequence No. </t>
    </r>
    <r>
      <rPr>
        <b/>
        <sz val="12"/>
        <rFont val="Arial"/>
        <family val="2"/>
      </rPr>
      <t>12A</t>
    </r>
  </si>
  <si>
    <t>.   .   .   .   .   .   .   .   .   .   .   .   .   .   .   .   .   .   .   .   .   .   .   .   .   .   .</t>
  </si>
  <si>
    <t>Capital gain distributions. See the instructions</t>
  </si>
  <si>
    <t xml:space="preserve"> .   .   .   .   .   . </t>
  </si>
  <si>
    <t>earnings (see instructions)?</t>
  </si>
  <si>
    <t>Net farm profit or (loss) from Schedule F, line 34, and farm partnerships, Schedule K-1 (Form</t>
  </si>
  <si>
    <t>Ministers and members of religious orders, see instructions for types of income to report on</t>
  </si>
  <si>
    <t>this line.  See instructions for other income to report</t>
  </si>
  <si>
    <t xml:space="preserve">Combine lines 1a, 1b, and 2. </t>
  </si>
  <si>
    <t xml:space="preserve"> .   .   .   .   .   .   .   .   .   .   .   .   .   .   .   .   .   .   .   .   .   . </t>
  </si>
  <si>
    <t xml:space="preserve">   .   .   .   .   .   .   .   .   .   .   .   .   .   .</t>
  </si>
  <si>
    <t xml:space="preserve">.   .   .   .   .   .   .   .   . </t>
  </si>
  <si>
    <t>Net farm profit or (loss) from Schedule F, line 34, and farm partnerships, Schedule K-1 (Form 1065),</t>
  </si>
  <si>
    <r>
      <t xml:space="preserve">box 14, code A. </t>
    </r>
    <r>
      <rPr>
        <b/>
        <sz val="10"/>
        <rFont val="Arial"/>
        <family val="2"/>
      </rPr>
      <t>Note.</t>
    </r>
    <r>
      <rPr>
        <sz val="10"/>
        <rFont val="Arial"/>
        <family val="2"/>
      </rPr>
      <t xml:space="preserve"> Skip lines 1a and 1b if you use the farm optional method (see instructions)</t>
    </r>
  </si>
  <si>
    <t>.   .</t>
  </si>
  <si>
    <r>
      <rPr>
        <b/>
        <sz val="9"/>
        <rFont val="Arial"/>
        <family val="2"/>
      </rPr>
      <t>Note.</t>
    </r>
    <r>
      <rPr>
        <sz val="9"/>
        <rFont val="Arial"/>
        <family val="2"/>
      </rPr>
      <t xml:space="preserve"> If line 4a is less than $400 due to Conservation Reserve Program payments on line 1b, see instructions.</t>
    </r>
  </si>
  <si>
    <t>instructions for definition of church employee income</t>
  </si>
  <si>
    <t xml:space="preserve"> .   . </t>
  </si>
  <si>
    <r>
      <t xml:space="preserve">Social security number of person
with </t>
    </r>
    <r>
      <rPr>
        <b/>
        <sz val="9"/>
        <rFont val="Arial"/>
        <family val="2"/>
      </rPr>
      <t>self-employment</t>
    </r>
    <r>
      <rPr>
        <sz val="9"/>
        <rFont val="Arial"/>
        <family val="2"/>
      </rPr>
      <t xml:space="preserve"> income</t>
    </r>
  </si>
  <si>
    <t>You may use Short Schedule SE below</t>
  </si>
  <si>
    <t xml:space="preserve">   You must use Long Schedule SE on page 2</t>
  </si>
  <si>
    <t>Also</t>
  </si>
  <si>
    <t>Combine lines 1a, 1b, and 2.</t>
  </si>
  <si>
    <t xml:space="preserve">.   .   .   .   .   .   .   .   .   .   .   .   .   .   .   .   .   .   .   .   .   .   .   .   .   .   .  </t>
  </si>
  <si>
    <r>
      <t xml:space="preserve">Override  </t>
    </r>
    <r>
      <rPr>
        <b/>
        <sz val="10"/>
        <rFont val="Wingdings"/>
        <charset val="2"/>
      </rPr>
      <t>è</t>
    </r>
  </si>
  <si>
    <r>
      <rPr>
        <sz val="8"/>
        <rFont val="Arial"/>
        <family val="2"/>
      </rPr>
      <t xml:space="preserve">Form </t>
    </r>
    <r>
      <rPr>
        <b/>
        <sz val="12"/>
        <rFont val="Arial"/>
        <family val="2"/>
      </rPr>
      <t>8949</t>
    </r>
  </si>
  <si>
    <t xml:space="preserve"> .   .   .   .   .   .   .   .   .   .   .   .   .   .   .   .   .   .   .   .   .   .   .   .   .   .   .   .   .   . </t>
  </si>
  <si>
    <t xml:space="preserve">.   .   .   .   .   .   .   .   .   .   .   .   .   .   .   .   .   .   .   .   .   .   .   .   .   . </t>
  </si>
  <si>
    <t xml:space="preserve">.   .   .   .   .   .   .   .   .   .   .   .   .   .   .   .   .   .   .   .   .   .   .   .   .   .   .   .   . </t>
  </si>
  <si>
    <t xml:space="preserve"> .   .   .   .   .   .   .   .   .   .   .   .   .   . </t>
  </si>
  <si>
    <t xml:space="preserve"> .   .   .   .   .   .   .   .   .   .   .   .   .   .   .   .   .   .   .   .   .   .</t>
  </si>
  <si>
    <t>status was single or head of household).</t>
  </si>
  <si>
    <t>Multiply line 4 by the number of months for which this year’s payments were made. If your</t>
  </si>
  <si>
    <t>Otherwise, go to line 6</t>
  </si>
  <si>
    <r>
      <t xml:space="preserve">Form 1099-R. If you are a retired public safety officer, see </t>
    </r>
    <r>
      <rPr>
        <i/>
        <sz val="9"/>
        <rFont val="Arial"/>
        <family val="2"/>
      </rPr>
      <t>Insurance Premiums for Retired Public Safety Officers</t>
    </r>
  </si>
  <si>
    <t>IF the age at annuity starting</t>
  </si>
  <si>
    <t>date was …</t>
  </si>
  <si>
    <t>IF the combined ages at annuity</t>
  </si>
  <si>
    <t xml:space="preserve"> starting date were . . .</t>
  </si>
  <si>
    <t xml:space="preserve"> .   .   .   .   .   .   .   .   .   .   .   .   .   .   .   .   .   .   .   .</t>
  </si>
  <si>
    <t xml:space="preserve">.   .   .   .   .   .   .   .   .   .   .   .   .   .   .   .   .   .  </t>
  </si>
  <si>
    <t>skip lines 2 through 6, enter the applicable amount below on line 7a (and line 7b if</t>
  </si>
  <si>
    <t>applicable), and go to line 8.</t>
  </si>
  <si>
    <t>Subtract line 4 from line 3. If married filing jointly, enter the result in both columns</t>
  </si>
  <si>
    <t xml:space="preserve"> .   .   .   .   .   .   .   .  </t>
  </si>
  <si>
    <t>Otherwise, go to line 7.</t>
  </si>
  <si>
    <t>Wages, salaries, tips, etc. Generally, this is the</t>
  </si>
  <si>
    <t>amount reported in box 1 of Form W-2. Exceptions</t>
  </si>
  <si>
    <t>line 3 of the Foreign Earned Income Tax Worksheet</t>
  </si>
  <si>
    <t xml:space="preserve"> .    .    .    .    .    .    .    .    .    .    . </t>
  </si>
  <si>
    <t>Enter the smaller of line 1 or line 6</t>
  </si>
  <si>
    <t>Subtract line 13 from line 12</t>
  </si>
  <si>
    <t>* If you are filing Form 2555 or 2555-EZ, see the footnote in the Foreign Earned Income Tax Worksheet before completing this line.</t>
  </si>
  <si>
    <t>NOTICE !</t>
  </si>
  <si>
    <r>
      <t>1040 Filers.</t>
    </r>
    <r>
      <rPr>
        <sz val="10"/>
        <rFont val="Arial"/>
        <family val="2"/>
      </rPr>
      <t xml:space="preserve">  Enter the total of any—</t>
    </r>
  </si>
  <si>
    <t>Exclusion of income from Puerto Rico, and</t>
  </si>
  <si>
    <t>Amounts from Form 2555, lines 45 and 50;</t>
  </si>
  <si>
    <t>Enter the amount shown below for your</t>
  </si>
  <si>
    <t>filing status.</t>
  </si>
  <si>
    <t>Is the amount on line 4 more than the amount on line 5?</t>
  </si>
  <si>
    <t xml:space="preserve">  If the result is not a multiple of $1,000,</t>
  </si>
  <si>
    <t xml:space="preserve"> No. </t>
  </si>
  <si>
    <t xml:space="preserve">+ </t>
  </si>
  <si>
    <t>Enter the total.</t>
  </si>
  <si>
    <t>Mortgage interest credit, Form 8396</t>
  </si>
  <si>
    <t>11</t>
  </si>
  <si>
    <t>to figure the amount to enter here.</t>
  </si>
  <si>
    <t>13</t>
  </si>
  <si>
    <r>
      <t xml:space="preserve">Before you begin: </t>
    </r>
    <r>
      <rPr>
        <sz val="12"/>
        <rFont val="Arial"/>
        <family val="2"/>
      </rPr>
      <t xml:space="preserve"> </t>
    </r>
    <r>
      <rPr>
        <sz val="12"/>
        <rFont val="Wingdings"/>
        <charset val="2"/>
      </rPr>
      <t>ü</t>
    </r>
  </si>
  <si>
    <t>Enter the result.</t>
  </si>
  <si>
    <t>If married filing</t>
  </si>
  <si>
    <t>jointly, include your</t>
  </si>
  <si>
    <t>Social security taxes from box 4, and</t>
  </si>
  <si>
    <t>spouse's amounts</t>
  </si>
  <si>
    <t>Medicare taxes from box 6.</t>
  </si>
  <si>
    <t>with yours when</t>
  </si>
  <si>
    <t>Page 6</t>
  </si>
  <si>
    <t>`</t>
  </si>
  <si>
    <t xml:space="preserve">  Enter the total of the amounts from—</t>
  </si>
  <si>
    <t>14</t>
  </si>
  <si>
    <t>15</t>
  </si>
  <si>
    <t>Page 7</t>
  </si>
  <si>
    <t>This worksheet will work in place of the simplified worksheets in the 1040 instructions.</t>
  </si>
  <si>
    <r>
      <rPr>
        <b/>
        <sz val="10"/>
        <rFont val="Arial"/>
        <family val="2"/>
      </rPr>
      <t>Schedule R</t>
    </r>
    <r>
      <rPr>
        <sz val="10"/>
        <rFont val="Arial"/>
        <family val="2"/>
      </rPr>
      <t>, line 22</t>
    </r>
  </si>
  <si>
    <t>Enter your earned income from the Earned Income</t>
  </si>
  <si>
    <r>
      <rPr>
        <b/>
        <sz val="10"/>
        <rFont val="Arial"/>
        <family val="2"/>
      </rPr>
      <t>Next,</t>
    </r>
    <r>
      <rPr>
        <sz val="10"/>
        <rFont val="Arial"/>
        <family val="2"/>
      </rPr>
      <t xml:space="preserve"> figure the amount of any of the following credits that you are claiming.</t>
    </r>
  </si>
  <si>
    <t>Supplemental Income and Loss</t>
  </si>
  <si>
    <t>Income or Loss From Rental Real Estate and Royalties</t>
  </si>
  <si>
    <t>Expenses:</t>
  </si>
  <si>
    <t>Advertising</t>
  </si>
  <si>
    <t>Cleaning and maintenance</t>
  </si>
  <si>
    <t>Commissions</t>
  </si>
  <si>
    <t>Insurance</t>
  </si>
  <si>
    <t>Legal and other professional fees</t>
  </si>
  <si>
    <t>Management fees</t>
  </si>
  <si>
    <t>Repairs</t>
  </si>
  <si>
    <t>Supplies</t>
  </si>
  <si>
    <t>Taxes</t>
  </si>
  <si>
    <t>Utilities</t>
  </si>
  <si>
    <t>Depreciation expense or depletion</t>
  </si>
  <si>
    <t>Line 22</t>
  </si>
  <si>
    <t>Cat. No. 11344L</t>
  </si>
  <si>
    <t>Passive Income and Loss</t>
  </si>
  <si>
    <t>Nonpassive Income and Loss</t>
  </si>
  <si>
    <t>If “Yes,” did you or will you file all required Forms 1099?</t>
  </si>
  <si>
    <t>QJV</t>
  </si>
  <si>
    <t>Personal Use Days</t>
  </si>
  <si>
    <t>Type of Property:</t>
  </si>
  <si>
    <t>Auto and travel (see instructions)</t>
  </si>
  <si>
    <t>Mortgage interest paid to banks, etc. (see instructions)</t>
  </si>
  <si>
    <t>Total expenses. Add lines 5 through 19</t>
  </si>
  <si>
    <t>23a</t>
  </si>
  <si>
    <t>23b</t>
  </si>
  <si>
    <t>Total of all amounts reported on line 4 for all royalty properties</t>
  </si>
  <si>
    <t>Total of all amounts reported on line 12 for all properties</t>
  </si>
  <si>
    <t>Total of all amounts reported on line 18 for all properties</t>
  </si>
  <si>
    <t>Total of all amounts reported on line 20 for all properties</t>
  </si>
  <si>
    <t>23c</t>
  </si>
  <si>
    <t>23d</t>
  </si>
  <si>
    <t>23e</t>
  </si>
  <si>
    <t xml:space="preserve">.   .   .   . </t>
  </si>
  <si>
    <t xml:space="preserve">.   .   .   .   .   .   .   .   .   .   . </t>
  </si>
  <si>
    <t>Gains</t>
  </si>
  <si>
    <t>Losses</t>
  </si>
  <si>
    <t>Royalty losses</t>
  </si>
  <si>
    <t>Line 21</t>
  </si>
  <si>
    <t>Rental Real Estate Losses</t>
  </si>
  <si>
    <t>Capital gain (not included in box 2a)</t>
  </si>
  <si>
    <t>Employee contributions / Insurance premiums / 
Designated Roth IRA contributions</t>
  </si>
  <si>
    <t>Amount allocable to IRR within 5 years</t>
  </si>
  <si>
    <t>1st year of desig. Roth contrib.</t>
  </si>
  <si>
    <r>
      <t xml:space="preserve">  Only </t>
    </r>
    <r>
      <rPr>
        <b/>
        <sz val="10"/>
        <color indexed="10"/>
        <rFont val="Arial"/>
        <family val="2"/>
      </rPr>
      <t>bolded</t>
    </r>
    <r>
      <rPr>
        <sz val="10"/>
        <color indexed="10"/>
        <rFont val="Arial"/>
        <family val="2"/>
      </rPr>
      <t xml:space="preserve"> amounts are used in this spreadsheet.</t>
    </r>
  </si>
  <si>
    <t>---</t>
  </si>
  <si>
    <t>Check here to hide red formatting.   &gt;</t>
  </si>
  <si>
    <t>(a)
Description of property
(Example: 100 sh. XYZ Co.)</t>
  </si>
  <si>
    <r>
      <t xml:space="preserve">      </t>
    </r>
    <r>
      <rPr>
        <b/>
        <sz val="8"/>
        <rFont val="Marlett"/>
        <charset val="2"/>
      </rPr>
      <t>4</t>
    </r>
    <r>
      <rPr>
        <b/>
        <sz val="8"/>
        <rFont val="Arial"/>
        <family val="2"/>
      </rPr>
      <t xml:space="preserve"> Attach to Form 1040A or 1040.</t>
    </r>
  </si>
  <si>
    <t>received a Form 1099-INT, Form 1099-OID, or substitute
statement from a brokerage firm, 
list the firm’s 
name as the 
payer and enter 
the total interest shown on that 
form.</t>
  </si>
  <si>
    <t>Gross receipts or sales. See instructions for line 1 and check the box if this income was reported to you on</t>
  </si>
  <si>
    <t>Form W-2 and the “Statutory employee” box on that form was checked</t>
  </si>
  <si>
    <t>Subtract line 2 from line 1</t>
  </si>
  <si>
    <r>
      <t xml:space="preserve">   </t>
    </r>
    <r>
      <rPr>
        <b/>
        <sz val="11"/>
        <rFont val="Arial"/>
        <family val="2"/>
      </rPr>
      <t>Expenses</t>
    </r>
  </si>
  <si>
    <r>
      <t>(see instructions)</t>
    </r>
    <r>
      <rPr>
        <b/>
        <sz val="10"/>
        <rFont val="Arial"/>
        <family val="2"/>
      </rPr>
      <t xml:space="preserve">  .   .   .   .   .   .   .   .   .   .   .   .</t>
    </r>
  </si>
  <si>
    <t xml:space="preserve">.   .   .   .   . </t>
  </si>
  <si>
    <t xml:space="preserve"> .   .   .   .   .   .   .   .   . </t>
  </si>
  <si>
    <t>Travel</t>
  </si>
  <si>
    <t>Net long-term gain or (loss) from partnerships, S corporations, estates, and trusts from Schedules(s) K-1</t>
  </si>
  <si>
    <t>21 and 22 below.</t>
  </si>
  <si>
    <t>and 22 below.</t>
  </si>
  <si>
    <t>complete a separate Form 8949, page 1, for each applicable box. If you have more short-term transactions than will fit on this page</t>
  </si>
  <si>
    <t>for one or more of the boxes, complete as many forms with the same box checked as you need.</t>
  </si>
  <si>
    <t>If more than one box applies for your short-term transactions,</t>
  </si>
  <si>
    <t xml:space="preserve"> Check only one box. </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</si>
  <si>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</si>
  <si>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</si>
  <si>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</si>
  <si>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</si>
  <si>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t>(b)
Date acquired
(Mo., day, yr.)</t>
  </si>
  <si>
    <r>
      <rPr>
        <b/>
        <sz val="8"/>
        <rFont val="Arial"/>
        <family val="2"/>
      </rPr>
      <t>(c)</t>
    </r>
    <r>
      <rPr>
        <sz val="8"/>
        <rFont val="Arial"/>
        <family val="2"/>
      </rPr>
      <t xml:space="preserve">
Date sold
(Mo., day, yr.)</t>
    </r>
  </si>
  <si>
    <r>
      <rPr>
        <b/>
        <sz val="8"/>
        <rFont val="Arial"/>
        <family val="2"/>
      </rPr>
      <t>(d)</t>
    </r>
    <r>
      <rPr>
        <sz val="8"/>
        <rFont val="Arial"/>
        <family val="2"/>
      </rPr>
      <t xml:space="preserve">
Proceeds 
(sales price) 
(see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</si>
  <si>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</si>
  <si>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r>
      <rPr>
        <b/>
        <sz val="8"/>
        <rFont val="Arial"/>
        <family val="2"/>
      </rPr>
      <t xml:space="preserve">(g) </t>
    </r>
    <r>
      <rPr>
        <sz val="8"/>
        <rFont val="Arial"/>
        <family val="2"/>
      </rPr>
      <t xml:space="preserve">
Amount of 
adjustment</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</si>
  <si>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</si>
  <si>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</si>
  <si>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t>Social security number or taxpayer identification number</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</si>
  <si>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</si>
  <si>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</si>
  <si>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</si>
  <si>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</si>
  <si>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t>(f) 
Code(s) from 
instructions</t>
  </si>
  <si>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</si>
  <si>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t xml:space="preserve">   .   .   .   .   .   .   .   .   .   .   .   .   .   . </t>
  </si>
  <si>
    <t>Education credits from Form 8863, line 19</t>
  </si>
  <si>
    <t xml:space="preserve">.   .   .   .   .   .   .   .   .   .   .   .   .   </t>
  </si>
  <si>
    <t xml:space="preserve">     Keep for Your Records                </t>
  </si>
  <si>
    <t xml:space="preserve">did not have earned income that was more than half of your support.  </t>
  </si>
  <si>
    <t xml:space="preserve">You were a full-time student over age 18 and   </t>
  </si>
  <si>
    <t xml:space="preserve">None of the above apply.   </t>
  </si>
  <si>
    <t>Check all that apply to Form 6251 being completed for child under 24.</t>
  </si>
  <si>
    <t>Alternative minimum tax foreign tax credit (see instructions)</t>
  </si>
  <si>
    <t>2555-EZ, see instructions for the amount to enter</t>
  </si>
  <si>
    <t>Physical address of each property (street, city, state, ZIP code)</t>
  </si>
  <si>
    <t>Rents received</t>
  </si>
  <si>
    <t>Total of all amounts reported on line 3 for all rental properties</t>
  </si>
  <si>
    <t>farming and fishing income reported on Form 4835, line 7; Schedule K-1</t>
  </si>
  <si>
    <t>line 2 on line 6, and go to line 7.</t>
  </si>
  <si>
    <t>Add lines 3 and 4</t>
  </si>
  <si>
    <t>Subtract line 5 from line 2</t>
  </si>
  <si>
    <t xml:space="preserve">Alimony and separate maintenance payments </t>
  </si>
  <si>
    <t xml:space="preserve">  .   .   .   .   .   .   .   .   .   .   .   .   .   .   .   .   .   .   .   .</t>
  </si>
  <si>
    <t xml:space="preserve"> .    .    .    .    .    .    .    .    .    .    .    .    .    .    .    .    .    .    .    .    .    .    .    .    .    .  </t>
  </si>
  <si>
    <t xml:space="preserve">   .    .    .    .    .    .    .    .    .    .    .    .    .    .    .    .    .    . </t>
  </si>
  <si>
    <t xml:space="preserve">  .    .    .    .    .    .    .    .    .    .    .    .    .    .    .    . </t>
  </si>
  <si>
    <t xml:space="preserve"> .    .    .    .    .    .    .    .    .    . </t>
  </si>
  <si>
    <t>↑  General Sales Tax</t>
  </si>
  <si>
    <r>
      <rPr>
        <b/>
        <sz val="10"/>
        <rFont val="Arial"/>
        <family val="2"/>
      </rPr>
      <t>Form 8936</t>
    </r>
    <r>
      <rPr>
        <sz val="10"/>
        <rFont val="Arial"/>
        <family val="2"/>
      </rPr>
      <t>, line 23</t>
    </r>
  </si>
  <si>
    <t>Adoption credit, Form 8839.</t>
  </si>
  <si>
    <t>Form 8396, line 9, and</t>
  </si>
  <si>
    <r>
      <t>Note.</t>
    </r>
    <r>
      <rPr>
        <sz val="10"/>
        <rFont val="Arial"/>
        <family val="2"/>
      </rPr>
      <t xml:space="preserve">  Use this flowchart </t>
    </r>
    <r>
      <rPr>
        <b/>
        <sz val="10"/>
        <rFont val="Arial"/>
        <family val="2"/>
      </rPr>
      <t>only if</t>
    </r>
    <r>
      <rPr>
        <sz val="10"/>
        <rFont val="Arial"/>
        <family val="2"/>
      </rPr>
      <t xml:space="preserve"> you must file Schedule SE. If unsure, see </t>
    </r>
    <r>
      <rPr>
        <i/>
        <sz val="10"/>
        <rFont val="Arial"/>
        <family val="2"/>
      </rPr>
      <t>Who Must File Schedule SE</t>
    </r>
    <r>
      <rPr>
        <sz val="10"/>
        <rFont val="Arial"/>
        <family val="2"/>
      </rPr>
      <t>, in the instructions.</t>
    </r>
  </si>
  <si>
    <t>(h) 
Gain or (loss). 
Subtract column (e) 
from column (d) and 
combine the result 
with column (g)</t>
  </si>
  <si>
    <t>F8949A</t>
  </si>
  <si>
    <t>F8949B</t>
  </si>
  <si>
    <t>F8949C</t>
  </si>
  <si>
    <t>(d)</t>
  </si>
  <si>
    <t>(e)</t>
  </si>
  <si>
    <t>(g)</t>
  </si>
  <si>
    <t>(h)</t>
  </si>
  <si>
    <t>(Applicability)</t>
  </si>
  <si>
    <t>Form 1040</t>
  </si>
  <si>
    <t>for the person with self-employment income listed above.</t>
  </si>
  <si>
    <t xml:space="preserve">  Yourself</t>
  </si>
  <si>
    <r>
      <t>When did you place your vehicle in service for business purposes?   (month,day,year)</t>
    </r>
    <r>
      <rPr>
        <sz val="10"/>
        <rFont val="Arial"/>
        <family val="2"/>
      </rPr>
      <t/>
    </r>
  </si>
  <si>
    <t>Before This Month (Last Year)</t>
  </si>
  <si>
    <t>Before This Day and Month (Last Year)</t>
  </si>
  <si>
    <t>Schedule D</t>
  </si>
  <si>
    <t>Line 18 &gt; 0</t>
  </si>
  <si>
    <t>Line 19 &gt; 0</t>
  </si>
  <si>
    <t>Line 15 &lt;= 0</t>
  </si>
  <si>
    <t>Line 9b = 0</t>
  </si>
  <si>
    <t>Line 16 &lt;= 0</t>
  </si>
  <si>
    <t>&gt;</t>
  </si>
  <si>
    <t>Calendar Year is SAME</t>
  </si>
  <si>
    <t>Less than One Year</t>
  </si>
  <si>
    <t xml:space="preserve">   Attachment</t>
  </si>
  <si>
    <t>If “Yes,” are you required to file FinCEN Form 114, Report of Foreign Bank and Financial</t>
  </si>
  <si>
    <t>If you are required to file FinCEN Form 114, enter the name of the foreign country where the</t>
  </si>
  <si>
    <t>Use Form 8949 to list your transactions for lines 1b, 2, 3, 8b, 9, and 10.</t>
  </si>
  <si>
    <t>Attach to Form 1040 or Form 1040NR.</t>
  </si>
  <si>
    <t>.   .   .   .   .   .   .</t>
  </si>
  <si>
    <t xml:space="preserve"> .   .   .   .   .   .   .   .   .   .   .   .   .   .  </t>
  </si>
  <si>
    <t>Returns and allowances</t>
  </si>
  <si>
    <t>Expenses for business use of your home. Do not report these expenses elsewhere. Attach Form 8829</t>
  </si>
  <si>
    <t>unless using the simplified method (see instructions).</t>
  </si>
  <si>
    <t>and (b) the part of your home used for business:</t>
  </si>
  <si>
    <r>
      <rPr>
        <b/>
        <sz val="10"/>
        <rFont val="Arial"/>
        <family val="2"/>
      </rPr>
      <t>Simplified method filers only:</t>
    </r>
    <r>
      <rPr>
        <sz val="10"/>
        <rFont val="Arial"/>
        <family val="2"/>
      </rPr>
      <t xml:space="preserve"> enter the total square footage of: (a) your home:</t>
    </r>
  </si>
  <si>
    <t>Use the Simplified Method Worksheet in the instructions to figure the amount to enter on line 30</t>
  </si>
  <si>
    <t>Over</t>
  </si>
  <si>
    <t>CGTW_Line7</t>
  </si>
  <si>
    <t xml:space="preserve">No. </t>
  </si>
  <si>
    <t>Taxable Income</t>
  </si>
  <si>
    <t>If your filing status is married filing</t>
  </si>
  <si>
    <t>excess of the amount on line 28 over</t>
  </si>
  <si>
    <t>Amount added</t>
  </si>
  <si>
    <t>IF your filing status is . . .</t>
  </si>
  <si>
    <t>Single or head of household</t>
  </si>
  <si>
    <t>For Married Filing Separately Only</t>
  </si>
  <si>
    <t xml:space="preserve">.   .   .   .   .   .   .   .   .   .   .   .   .   .   .   . </t>
  </si>
  <si>
    <t>.   .   .   .   .   .   .   .   .   .   .   .</t>
  </si>
  <si>
    <r>
      <rPr>
        <b/>
        <i/>
        <sz val="10"/>
        <rFont val="Arial"/>
        <family val="2"/>
      </rPr>
      <t>Before you begin:</t>
    </r>
    <r>
      <rPr>
        <i/>
        <sz val="10"/>
        <rFont val="Arial"/>
        <family val="2"/>
      </rPr>
      <t xml:space="preserve"> </t>
    </r>
  </si>
  <si>
    <t>To determine if you must file Schedule SE, see the instructions.</t>
  </si>
  <si>
    <t>Deduction for one-half of self-employment tax.</t>
  </si>
  <si>
    <r>
      <t xml:space="preserve">this line. See instructions for other income to report. </t>
    </r>
    <r>
      <rPr>
        <b/>
        <sz val="10"/>
        <rFont val="Arial"/>
        <family val="2"/>
      </rPr>
      <t>Note.</t>
    </r>
    <r>
      <rPr>
        <sz val="10"/>
        <rFont val="Arial"/>
        <family val="2"/>
      </rPr>
      <t xml:space="preserve"> Skip this line if you use the nonfarm</t>
    </r>
  </si>
  <si>
    <t>optional method (see instructions)</t>
  </si>
  <si>
    <t xml:space="preserve">.   .   .   .   .   .   .   .   .   .   .   .   .   .   .   .   .   .   .   .   .   .   .   .   .  </t>
  </si>
  <si>
    <t>For Line 8a, only enter the total social security wages and tips</t>
  </si>
  <si>
    <t>Important:</t>
  </si>
  <si>
    <t>◄◄</t>
  </si>
  <si>
    <t xml:space="preserve">    credit claimed in an earlier year.</t>
  </si>
  <si>
    <t xml:space="preserve">    qualified dividends in certain situations.</t>
  </si>
  <si>
    <t>of last year’s worksheet on line 4 below (even if the amount of your pension or annuity has changed).</t>
  </si>
  <si>
    <r>
      <t>Note.</t>
    </r>
    <r>
      <rPr>
        <sz val="9"/>
        <rFont val="Arial"/>
        <family val="2"/>
      </rPr>
      <t xml:space="preserve"> If you completed this worksheet last year, skip line 3 and enter the amount from line 4</t>
    </r>
  </si>
  <si>
    <t>Enter the smaller of line 1 or line 15</t>
  </si>
  <si>
    <t>Add lines 7 and 11</t>
  </si>
  <si>
    <t>Subtract line 17 from line 16. If zero or less, enter -0-</t>
  </si>
  <si>
    <t>Enter the smaller of line 14 or line 18</t>
  </si>
  <si>
    <t>Add lines 11 and 19</t>
  </si>
  <si>
    <t>Subtract line 21 from line 12</t>
  </si>
  <si>
    <t>Add lines 20, 23, and 24</t>
  </si>
  <si>
    <t xml:space="preserve">.    .    .    .    .    .    .    .    .    .    .    .    .    .    .    .    .    .    .    .    .    .    .    .    .    .    .    . </t>
  </si>
  <si>
    <t xml:space="preserve">   .    .    .    .    .    .    .    .    .    .    .    .    .    .    .    .    .    .    .    .    .    .    .    .    .    .    .    .    .    .    .    .    . </t>
  </si>
  <si>
    <t>Form 8910; Form 8936; or Schedule R.</t>
  </si>
  <si>
    <t>Residential energy efficient property credit, Form 5695, Part I.</t>
  </si>
  <si>
    <t>If your employer withheld or you paid Additional Medicare Tax or Tier 1 RRTA</t>
  </si>
  <si>
    <t>taxes, use the Additional Medicare Tax and RRTA Tax</t>
  </si>
  <si>
    <t>the total of the following amounts from Form(s) W-2:</t>
  </si>
  <si>
    <t>Form 8839, line 16, and</t>
  </si>
  <si>
    <t>Form 5695, line 15, and</t>
  </si>
  <si>
    <t xml:space="preserve">Form 8859, line 3. </t>
  </si>
  <si>
    <t>reported to the IRS and for which no adjustments or codes are required. Enter the total directly on</t>
  </si>
  <si>
    <t xml:space="preserve">to the IRS and for which no adjustments or codes are required. Enter the total directly on Schedule D, line 8a; 
</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</si>
  <si>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</si>
  <si>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r>
      <t>Enter</t>
    </r>
    <r>
      <rPr>
        <sz val="10"/>
        <rFont val="Arial"/>
        <family val="2"/>
      </rPr>
      <t>:</t>
    </r>
  </si>
  <si>
    <t>Enter the smaller of line 1 or line 24</t>
  </si>
  <si>
    <t>Add lines 19 and 20</t>
  </si>
  <si>
    <t>Subtract line 26 from line 25. If zero or less, enter -0-</t>
  </si>
  <si>
    <t>Add lines 22 and 28</t>
  </si>
  <si>
    <t>If lines 1 and 30 are the same, skip lines 31 through 41 and go to line 42. Otherwise, go to line 31.</t>
  </si>
  <si>
    <t>Subtract line 36 from line 33. If zero or less, enter -0-</t>
  </si>
  <si>
    <t>Subtract line 35 from line 34. If zero or less, enter -0-</t>
  </si>
  <si>
    <t>If Schedule D, line 19, is zero or blank, skip lines 33 through 38 and go to line 39. Otherwise, go to line 33.</t>
  </si>
  <si>
    <t>Subtract line 30 from line 21</t>
  </si>
  <si>
    <t>Add lines 19, 20, 28, 31, and 37</t>
  </si>
  <si>
    <t>39.</t>
  </si>
  <si>
    <t>Subtract line 39 from line 1</t>
  </si>
  <si>
    <t>40.</t>
  </si>
  <si>
    <t>41.</t>
  </si>
  <si>
    <t>42.</t>
  </si>
  <si>
    <t>43.</t>
  </si>
  <si>
    <t>44.</t>
  </si>
  <si>
    <t>45.</t>
  </si>
  <si>
    <t>If lines 1 and 16 are the same, skip lines 21 through 41 and go to line 42. Otherwise, go to line 21.</t>
  </si>
  <si>
    <t>If Schedule D, line 18, is zero or blank, skip lines 39 through 41 and go to line 42. Otherwise, go to line 39.</t>
  </si>
  <si>
    <t>Add lines 29, 32, 38, 41, and 42</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</si>
  <si>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43 or line 44. Also</t>
    </r>
  </si>
  <si>
    <r>
      <t xml:space="preserve">Form </t>
    </r>
    <r>
      <rPr>
        <b/>
        <sz val="11"/>
        <rFont val="Arial"/>
        <family val="2"/>
      </rPr>
      <t>1040</t>
    </r>
  </si>
  <si>
    <t>Schedule D. If either line 15 or line 16 is</t>
  </si>
  <si>
    <t>blank or a loss, enter -0-.</t>
  </si>
  <si>
    <t>Additional Medicare Tax</t>
  </si>
  <si>
    <r>
      <t>4</t>
    </r>
    <r>
      <rPr>
        <b/>
        <sz val="9"/>
        <rFont val="Arial"/>
        <family val="2"/>
      </rPr>
      <t xml:space="preserve">  Attach to Form 1040, 1040NR, 1040-PR, or 1040-SS.</t>
    </r>
  </si>
  <si>
    <t xml:space="preserve">  Additional Medicare Tax on Medicare Wages </t>
  </si>
  <si>
    <t>Medicare wages and tips from Form W-2, box 5. If you have</t>
  </si>
  <si>
    <t>more than one Form W-2, enter the total of the amounts</t>
  </si>
  <si>
    <t>Unreported tips from Form 4137, line 6</t>
  </si>
  <si>
    <t xml:space="preserve"> .   .   .   .   .   .   .   .   .   .   .   .   .   .   .   . </t>
  </si>
  <si>
    <t>Wages from Form 8919, line 6</t>
  </si>
  <si>
    <t>Add lines 1 through 3</t>
  </si>
  <si>
    <t>Enter the following amount for your filing status:</t>
  </si>
  <si>
    <t>Single, Head of household, or Qualifying widow(er)</t>
  </si>
  <si>
    <t>Subtract line 5 from line 4. If the result is zero or less, enter -0-</t>
  </si>
  <si>
    <t>go to Part II</t>
  </si>
  <si>
    <t xml:space="preserve">     Additional Medicare Tax on Self-Employment Income</t>
  </si>
  <si>
    <t>Self-employment income from Schedule SE (Form 1040),</t>
  </si>
  <si>
    <t>Section A, line 4, or Section B, line 6. If you had a loss, enter</t>
  </si>
  <si>
    <t>-0- (Form 1040-PR and Form 1040-SS filers, see instructions.)</t>
  </si>
  <si>
    <t xml:space="preserve"> .   .   .   .   . </t>
  </si>
  <si>
    <t>Enter the amount from line 4</t>
  </si>
  <si>
    <t>Subtract line 10 from line 9. If zero or less, enter -0-</t>
  </si>
  <si>
    <t>Subtract line 11 from line 8. If the result is zero or less, enter -0-</t>
  </si>
  <si>
    <t>here and go to Part III</t>
  </si>
  <si>
    <t xml:space="preserve">     Additional Medicare Tax on Railroad Retirement Tax Act (RRTA) Compensation</t>
  </si>
  <si>
    <t>Railroad retirement (RRTA) compensation and tips from</t>
  </si>
  <si>
    <t>Form(s) W-2, box 14 (see instructions)</t>
  </si>
  <si>
    <t>Subtract line 15 from line 14. If the result is zero or less, enter -0-</t>
  </si>
  <si>
    <t>Additional Medicare Tax on railroad retirement (RRTA) compensation. Multiply line 16 by</t>
  </si>
  <si>
    <t xml:space="preserve">     Total Additional Medicare Tax</t>
  </si>
  <si>
    <t xml:space="preserve">    Withholding Reconciliation</t>
  </si>
  <si>
    <t>from box 6</t>
  </si>
  <si>
    <t>Enter the amount from line 1</t>
  </si>
  <si>
    <t>Medicare tax withholding on Medicare wages</t>
  </si>
  <si>
    <t>Additional Medicare Tax withholding on railroad retirement (RRTA) compensation from Form</t>
  </si>
  <si>
    <t>W-2, box 14 (see instructions)</t>
  </si>
  <si>
    <r>
      <t>Form</t>
    </r>
    <r>
      <rPr>
        <sz val="10"/>
        <rFont val="Arial"/>
        <family val="2"/>
      </rPr>
      <t xml:space="preserve"> </t>
    </r>
    <r>
      <rPr>
        <b/>
        <sz val="10"/>
        <rFont val="Arial"/>
        <family val="2"/>
      </rPr>
      <t>8959</t>
    </r>
  </si>
  <si>
    <t>Cat. No. 59475X</t>
  </si>
  <si>
    <t>Download Form 8959</t>
  </si>
  <si>
    <t>Download Form 8959 Instructions</t>
  </si>
  <si>
    <t>Net Investment Income Tax—</t>
  </si>
  <si>
    <t>Individuals, Estates, and Trusts</t>
  </si>
  <si>
    <r>
      <t xml:space="preserve">Sequence No. </t>
    </r>
    <r>
      <rPr>
        <b/>
        <sz val="11"/>
        <rFont val="Arial"/>
        <family val="2"/>
      </rPr>
      <t>72</t>
    </r>
  </si>
  <si>
    <t xml:space="preserve"> Investment Income</t>
  </si>
  <si>
    <t>Section 6013(g) election (see instructions)</t>
  </si>
  <si>
    <t>Regulations section 1.1411-10(g) election (see instructions)</t>
  </si>
  <si>
    <t>Rental real estate, royalties, partnerships, S corporations, trusts,</t>
  </si>
  <si>
    <t>Adjustment for net income or loss derived in the ordinary course of</t>
  </si>
  <si>
    <t>a non-section 1411 trade or business (see instructions)</t>
  </si>
  <si>
    <t>Combine lines 4a and 4b</t>
  </si>
  <si>
    <t>Net gain or loss from disposition of property that is not subject to</t>
  </si>
  <si>
    <t>net investment income tax (see instructions)</t>
  </si>
  <si>
    <t>Adjustment from disposition of partnership interest or S corporation</t>
  </si>
  <si>
    <t>Combine lines 5a through 5c</t>
  </si>
  <si>
    <t>Changes to investment income for certain CFCs and PFICs (see instructions)</t>
  </si>
  <si>
    <t>Other modifications to investment income (see instructions)</t>
  </si>
  <si>
    <t>Total investment income. Combine lines 1, 2, 3, 4c, 5d, 6, and 7</t>
  </si>
  <si>
    <t>5d</t>
  </si>
  <si>
    <t xml:space="preserve">     Investment Expenses Allocable to Investment Income and Modifications</t>
  </si>
  <si>
    <t>Investment interest expenses (see instructions)</t>
  </si>
  <si>
    <t xml:space="preserve"> .   .   .   .   .   .   .   .   .   .   .   . </t>
  </si>
  <si>
    <t>Miscellaneous investment expenses (see instructions)</t>
  </si>
  <si>
    <t>9d</t>
  </si>
  <si>
    <t>9c</t>
  </si>
  <si>
    <t>Add lines 9a, 9b, and 9c</t>
  </si>
  <si>
    <t>Additional modifications (see instructions)</t>
  </si>
  <si>
    <t>Total deductions and modifications. Add lines 9d and 10</t>
  </si>
  <si>
    <t xml:space="preserve">     Tax Computation</t>
  </si>
  <si>
    <t>Individuals:</t>
  </si>
  <si>
    <t>Modified adjusted gross income (see instructions)</t>
  </si>
  <si>
    <t>Threshold based on filing status (see instructions)</t>
  </si>
  <si>
    <t>Subtract line 14 from line 13. If zero or less, enter -0-</t>
  </si>
  <si>
    <t>Enter the smaller of line 12 or line 15</t>
  </si>
  <si>
    <t>Estates and Trusts:</t>
  </si>
  <si>
    <t>18a</t>
  </si>
  <si>
    <t>Net investment income (line 12 above)</t>
  </si>
  <si>
    <t>Deductions for distributions of net investment income and</t>
  </si>
  <si>
    <t>deductions under section 642(c) (see instructions)</t>
  </si>
  <si>
    <t>18b</t>
  </si>
  <si>
    <t>18c</t>
  </si>
  <si>
    <t>Undistributed net investment income. Subtract line 18b from 18a (see</t>
  </si>
  <si>
    <t>instructions)</t>
  </si>
  <si>
    <t>19a</t>
  </si>
  <si>
    <t>19b</t>
  </si>
  <si>
    <t>19c</t>
  </si>
  <si>
    <t>Adjusted gross income (see instructions)</t>
  </si>
  <si>
    <t>Highest tax bracket for estates and trusts for the year (see</t>
  </si>
  <si>
    <t>Enter the smaller of line 18c or line 19c</t>
  </si>
  <si>
    <r>
      <t>Form</t>
    </r>
    <r>
      <rPr>
        <sz val="10"/>
        <rFont val="Arial"/>
        <family val="2"/>
      </rPr>
      <t xml:space="preserve"> </t>
    </r>
    <r>
      <rPr>
        <b/>
        <sz val="10"/>
        <rFont val="Arial"/>
        <family val="2"/>
      </rPr>
      <t>8960</t>
    </r>
  </si>
  <si>
    <t>Cat. No. 59474M</t>
  </si>
  <si>
    <t>Net investment income. Subtract Part II, line 11 from Part I, line 8. Individuals complete lines 13–17.</t>
  </si>
  <si>
    <t>Estates and trusts complete lines 18a–21. If zero or less, enter -0-</t>
  </si>
  <si>
    <t>Line 13 — MAGI Worksheet</t>
  </si>
  <si>
    <t>1. Enter your Adjusted Gross Income</t>
  </si>
  <si>
    <t>2. Foreign Earned Income Exclusion:</t>
  </si>
  <si>
    <t>Line 42 of Form 2555)</t>
  </si>
  <si>
    <t>2555 allocable to your Foreign Earned Income</t>
  </si>
  <si>
    <t>(a)</t>
  </si>
  <si>
    <t>Enter your Foreign Earned Income Exclusion (from</t>
  </si>
  <si>
    <t>(b)</t>
  </si>
  <si>
    <t>Enter the deductions reported on Line 44 of Form</t>
  </si>
  <si>
    <t>Exclusion</t>
  </si>
  <si>
    <t>(c)</t>
  </si>
  <si>
    <t>3. Adjustments for Certain CFCs and Certain PFICs</t>
  </si>
  <si>
    <t>Combine Lines 2(a) and 2(b)</t>
  </si>
  <si>
    <t>4. Enter the sum of Line 1, Line 2(c), and Line 3. (Enter this amount on Form 8960,</t>
  </si>
  <si>
    <t xml:space="preserve">    Line 13.)</t>
  </si>
  <si>
    <t>(</t>
  </si>
  <si>
    <t>)</t>
  </si>
  <si>
    <t>Download Form 8960</t>
  </si>
  <si>
    <t xml:space="preserve">.   .   .   .   .   .   .   .   .   .   .   .   .   .   .   .   .   .   .   .   .   . </t>
  </si>
  <si>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</si>
  <si>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t xml:space="preserve">.   .   .   .   .   .   .   .   .   .   .   .   .   .   .   .   .   .   .   .   .   .   .   .   .   .   .   .   .   . </t>
  </si>
  <si>
    <t>Profit or Loss from Farming</t>
  </si>
  <si>
    <t>Department of the Treasury
Internal Revenue Service  (99)</t>
  </si>
  <si>
    <t>SCHEDULE F
(Form 1040)</t>
  </si>
  <si>
    <t>Name of proprietor</t>
  </si>
  <si>
    <t>Principal crop or activity</t>
  </si>
  <si>
    <r>
      <rPr>
        <b/>
        <sz val="10"/>
        <rFont val="Arial"/>
        <family val="2"/>
      </rPr>
      <t>C</t>
    </r>
    <r>
      <rPr>
        <sz val="9"/>
        <rFont val="Arial"/>
        <family val="2"/>
      </rPr>
      <t xml:space="preserve">  Accounting method:</t>
    </r>
  </si>
  <si>
    <t>Accural</t>
  </si>
  <si>
    <t>Complete Parts I and II (Accrual method. Complete Parts II and III, and Part I, line 9.)</t>
  </si>
  <si>
    <t>Sales of livestock and other resale items (see instructions)</t>
  </si>
  <si>
    <t>Cost or other basis of livestock or other items reported on line 1a</t>
  </si>
  <si>
    <t>Subtract line 1b from line 1a</t>
  </si>
  <si>
    <t>Sales of livestock, produce, grains, and other products you raised</t>
  </si>
  <si>
    <t>3a</t>
  </si>
  <si>
    <t>Cooperative distributions (Form(s) 1099-PATR)</t>
  </si>
  <si>
    <t>3b</t>
  </si>
  <si>
    <t>1c</t>
  </si>
  <si>
    <t>Agricultural program payments (see instructions)</t>
  </si>
  <si>
    <t>Commodity Credit Corporation (CCC) loans reported under election</t>
  </si>
  <si>
    <t>CCC loans forfeited</t>
  </si>
  <si>
    <t>Crop insurance proceeds and federal crop disaster payments (see instructions)</t>
  </si>
  <si>
    <t>6b</t>
  </si>
  <si>
    <r>
      <rPr>
        <b/>
        <sz val="9"/>
        <rFont val="Arial"/>
        <family val="2"/>
      </rPr>
      <t>6d</t>
    </r>
    <r>
      <rPr>
        <sz val="9"/>
        <rFont val="Arial"/>
        <family val="2"/>
      </rPr>
      <t xml:space="preserve">  Amount deferred from</t>
    </r>
  </si>
  <si>
    <t>6d</t>
  </si>
  <si>
    <t>Custom hire (machine work) income</t>
  </si>
  <si>
    <t>5c</t>
  </si>
  <si>
    <t>Other income, including federal and state gasoline or fuel tax credit or refund (see instructions)</t>
  </si>
  <si>
    <t xml:space="preserve">.   .   .   .   .   .   .   .   .   .   .   </t>
  </si>
  <si>
    <t>Car and truck expenses (see</t>
  </si>
  <si>
    <t>Chemicals</t>
  </si>
  <si>
    <t>Conservation expenses (see instructions)</t>
  </si>
  <si>
    <t>Custom hire (machine work)</t>
  </si>
  <si>
    <t>expense (see instructions)</t>
  </si>
  <si>
    <t>other than on line 23</t>
  </si>
  <si>
    <t>Feed</t>
  </si>
  <si>
    <t>Fertilizers and lime</t>
  </si>
  <si>
    <t>Freight and trucking</t>
  </si>
  <si>
    <t>Gasoline, fuel, and oil</t>
  </si>
  <si>
    <t>Insurance (other than health)</t>
  </si>
  <si>
    <t>21a</t>
  </si>
  <si>
    <t>21b</t>
  </si>
  <si>
    <t>Labor hired (less employment credits)</t>
  </si>
  <si>
    <t>Pension and profit-sharing plans</t>
  </si>
  <si>
    <t>Vehicles, machinery, equipment</t>
  </si>
  <si>
    <t>Other (land, animals, etc.)</t>
  </si>
  <si>
    <t>Seeds and plants</t>
  </si>
  <si>
    <t>Storage and warehousing</t>
  </si>
  <si>
    <t>Veterinary, breeding, and medicine</t>
  </si>
  <si>
    <t>Other expenses (specify):</t>
  </si>
  <si>
    <t>e</t>
  </si>
  <si>
    <t>f</t>
  </si>
  <si>
    <t>32c</t>
  </si>
  <si>
    <t>32d</t>
  </si>
  <si>
    <t>32e</t>
  </si>
  <si>
    <t>32f</t>
  </si>
  <si>
    <t>If a profit, stop here and see instructions for where to report. If a loss, complete lines 35 and 36.</t>
  </si>
  <si>
    <t>Check the box that describes your investment in this activity and see instructions for where to report your loss.</t>
  </si>
  <si>
    <t>All investment is at risk.</t>
  </si>
  <si>
    <t>Some investment is not at risk.</t>
  </si>
  <si>
    <t>Cat. No. 11346H</t>
  </si>
  <si>
    <t xml:space="preserve">.   .   .   .   .   .   .   .   .   .   .   .   .   .   .   </t>
  </si>
  <si>
    <t>Sales of livestock, produce, grains, and other products (see instructions)</t>
  </si>
  <si>
    <t>38a</t>
  </si>
  <si>
    <t>38b</t>
  </si>
  <si>
    <t>Agricultural program payments</t>
  </si>
  <si>
    <t>39b</t>
  </si>
  <si>
    <t>40a</t>
  </si>
  <si>
    <t>Commodity Credit Corporation (CCC) loans:</t>
  </si>
  <si>
    <t>CCC loans reported under election</t>
  </si>
  <si>
    <t>40b</t>
  </si>
  <si>
    <t>40c</t>
  </si>
  <si>
    <t>Crop insurance proceeds</t>
  </si>
  <si>
    <t>Other income (see instructions)</t>
  </si>
  <si>
    <t>Add amounts in the right column for lines 37 through 43 (lines 37, 38b, 39b, 40a, 40c, 41, 42, and 43)</t>
  </si>
  <si>
    <t>Inventory of livestock, produce, grains, and other products at beginning of</t>
  </si>
  <si>
    <t>the year. Do not include sales reported on Form 4797</t>
  </si>
  <si>
    <t>Cost of livestock, produce, grains, and other products purchased during the</t>
  </si>
  <si>
    <t>year</t>
  </si>
  <si>
    <t>Add lines 45 and 46</t>
  </si>
  <si>
    <t>Inventory of livestock, produce, grains, and other products at end of year</t>
  </si>
  <si>
    <t>Cost of livestock, produce, grains, and other products sold. Subtract line 48 from line 47*</t>
  </si>
  <si>
    <r>
      <rPr>
        <b/>
        <sz val="9"/>
        <rFont val="Arial"/>
        <family val="2"/>
      </rPr>
      <t>Gross income.</t>
    </r>
    <r>
      <rPr>
        <sz val="9"/>
        <rFont val="Arial"/>
        <family val="2"/>
      </rPr>
      <t xml:space="preserve"> Subtract line 49 from line 44. Enter the result here and on Part I, line 9</t>
    </r>
  </si>
  <si>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</si>
  <si>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</si>
  <si>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Download Form 1040 Schedule F</t>
  </si>
  <si>
    <t>Download Form 1040 Schedule F Instructions</t>
  </si>
  <si>
    <t xml:space="preserve">  Principal Agricultural Activity Codes</t>
  </si>
  <si>
    <t>Do not file Schedule F (Form 1040) to report the</t>
  </si>
  <si>
    <t>following.</t>
  </si>
  <si>
    <t>• Income from providing agricultural services such as</t>
  </si>
  <si>
    <t>soil preparation, veterinary, farm labor, horticultural, or</t>
  </si>
  <si>
    <t>management for a fee or on a contract basis. Instead file</t>
  </si>
  <si>
    <t>Schedule C (Form 1040) or Schedule C-EZ (Form 1040).</t>
  </si>
  <si>
    <t>• Income from breeding, raising, or caring for dogs, cats, or</t>
  </si>
  <si>
    <t>other pet animals. Instead file Schedule C (Form 1040) or</t>
  </si>
  <si>
    <t>Schedule C-EZ (Form 1040).</t>
  </si>
  <si>
    <t>• Sales of livestock held for draft, breeding, sport, or dairy</t>
  </si>
  <si>
    <t>purposes. Instead file Form 4797.</t>
  </si>
  <si>
    <t>These codes for the Principal Agricultural Activity classify</t>
  </si>
  <si>
    <t>farms by their primary activity to facilitate the administration of</t>
  </si>
  <si>
    <t>the Internal Revenue Code. These six-digit codes are based on</t>
  </si>
  <si>
    <t>the North American Industry Classification System (NAICS).</t>
  </si>
  <si>
    <t>Select the code that best identifies your primary farming</t>
  </si>
  <si>
    <t>activity and enter the six-digit number on line B.</t>
  </si>
  <si>
    <t>Crop Production</t>
  </si>
  <si>
    <t>Oilseed and grain farming</t>
  </si>
  <si>
    <t>Vegetable and melon farming</t>
  </si>
  <si>
    <t>Fruit and tree nut farming</t>
  </si>
  <si>
    <t>Animal Production</t>
  </si>
  <si>
    <t>Forestry and Logging</t>
  </si>
  <si>
    <t>timber tracts)</t>
  </si>
  <si>
    <t>Greenhouse, nursery, and floriculture production</t>
  </si>
  <si>
    <t>Other crop farming</t>
  </si>
  <si>
    <t>Beef cattle ranching and farming</t>
  </si>
  <si>
    <t>Cattle feedlots</t>
  </si>
  <si>
    <t>Dairy cattle and milk production</t>
  </si>
  <si>
    <t>Hog and pig farming</t>
  </si>
  <si>
    <t>Poultry and egg production</t>
  </si>
  <si>
    <t>Sheep and goat farming</t>
  </si>
  <si>
    <t>Aquaculture</t>
  </si>
  <si>
    <t>Other animal production</t>
  </si>
  <si>
    <t xml:space="preserve">.   .   .   .   .   .   .   .   .   .   .   .   .   .   .   .   .   .   .   </t>
  </si>
  <si>
    <t xml:space="preserve"> .   .   .   .   .   .   .   .   .   .   . </t>
  </si>
  <si>
    <t>Farm Expenses—Cash and Accrual Method.</t>
  </si>
  <si>
    <t>Farm Income—Cash Method.</t>
  </si>
  <si>
    <r>
      <t xml:space="preserve">   Farm Income — Accrual Method</t>
    </r>
    <r>
      <rPr>
        <sz val="10"/>
        <rFont val="Arial"/>
        <family val="2"/>
      </rPr>
      <t xml:space="preserve"> (see instructions).</t>
    </r>
  </si>
  <si>
    <r>
      <rPr>
        <b/>
        <sz val="10"/>
        <rFont val="Arial"/>
        <family val="2"/>
      </rPr>
      <t>B</t>
    </r>
    <r>
      <rPr>
        <b/>
        <sz val="9"/>
        <rFont val="Arial"/>
        <family val="2"/>
      </rPr>
      <t xml:space="preserve">  Enter code from Part IV</t>
    </r>
  </si>
  <si>
    <r>
      <t xml:space="preserve">instructions). Also attach </t>
    </r>
    <r>
      <rPr>
        <b/>
        <sz val="10"/>
        <rFont val="Arial"/>
        <family val="2"/>
      </rPr>
      <t>Form 4562</t>
    </r>
  </si>
  <si>
    <t xml:space="preserve">.   . </t>
  </si>
  <si>
    <t xml:space="preserve">   .   .   .   .   .   .   .   .   .   .   .   .   .   .   .   .   .   . </t>
  </si>
  <si>
    <t xml:space="preserve">.   .   .   .   .   .   .   .   .   .   .   .   .   .   .   .   .   .   .   .   .   .   .   .   .   .   .   .   .   .   .   .   .   .   </t>
  </si>
  <si>
    <t xml:space="preserve">.   .   .   .   </t>
  </si>
  <si>
    <t xml:space="preserve">.   .   .   .   .   .   .   .   .   .   .   .   .   .   .   .   .   .   .   .   .   .   .   .   .   .   .   .   .   .   .   .   .   .   .   .   </t>
  </si>
  <si>
    <t xml:space="preserve">.   .   .   .   .   .   .   .   .   .   .   .   .   .   .   .   .   </t>
  </si>
  <si>
    <t xml:space="preserve"> .   .   .   .   .</t>
  </si>
  <si>
    <t>Principal business or profession, including product or service (see instructions)</t>
  </si>
  <si>
    <r>
      <t xml:space="preserve">Enter expenses for business use of your home </t>
    </r>
    <r>
      <rPr>
        <b/>
        <sz val="10"/>
        <rFont val="Arial"/>
        <family val="2"/>
      </rPr>
      <t>only</t>
    </r>
    <r>
      <rPr>
        <sz val="10"/>
        <rFont val="Arial"/>
        <family val="2"/>
      </rPr>
      <t xml:space="preserve"> on line 30.</t>
    </r>
  </si>
  <si>
    <r>
      <t>Total expenses</t>
    </r>
    <r>
      <rPr>
        <sz val="9"/>
        <rFont val="Arial"/>
        <family val="2"/>
      </rPr>
      <t xml:space="preserve"> before expenses for business use of home.  Add lines 8 through 27a</t>
    </r>
  </si>
  <si>
    <t>Tentative profit (loss).  Subtract line 28 from line 7</t>
  </si>
  <si>
    <t xml:space="preserve">.   .   .   .   .   .   .   .   .   .   .   .   .   .   .   .   .   .   .   .   .   .   .   .   .   .   .   .   .   .   .  </t>
  </si>
  <si>
    <r>
      <t xml:space="preserve">(If you checked the box on line 1, see instructions). Estates and trusts, enter on </t>
    </r>
    <r>
      <rPr>
        <b/>
        <sz val="9"/>
        <rFont val="Arial"/>
        <family val="2"/>
      </rPr>
      <t>Form 1041, line 3</t>
    </r>
    <r>
      <rPr>
        <sz val="9"/>
        <rFont val="Arial"/>
        <family val="2"/>
      </rPr>
      <t>.</t>
    </r>
  </si>
  <si>
    <r>
      <t xml:space="preserve">• If you checked 32b, you </t>
    </r>
    <r>
      <rPr>
        <b/>
        <sz val="9"/>
        <rFont val="Arial"/>
        <family val="2"/>
      </rPr>
      <t>must</t>
    </r>
    <r>
      <rPr>
        <sz val="9"/>
        <rFont val="Arial"/>
        <family val="2"/>
      </rPr>
      <t xml:space="preserve"> attach </t>
    </r>
    <r>
      <rPr>
        <b/>
        <sz val="9"/>
        <rFont val="Arial"/>
        <family val="2"/>
      </rPr>
      <t>Form 6198</t>
    </r>
    <r>
      <rPr>
        <sz val="9"/>
        <rFont val="Arial"/>
        <family val="2"/>
      </rPr>
      <t>. Your loss may be limited.</t>
    </r>
  </si>
  <si>
    <r>
      <t xml:space="preserve">• If a loss, you </t>
    </r>
    <r>
      <rPr>
        <b/>
        <sz val="9"/>
        <rFont val="Arial"/>
        <family val="2"/>
      </rPr>
      <t>must</t>
    </r>
    <r>
      <rPr>
        <sz val="9"/>
        <rFont val="Arial"/>
        <family val="2"/>
      </rPr>
      <t xml:space="preserve"> go to line 32.</t>
    </r>
  </si>
  <si>
    <t>For Paperwork Reduction Act Notice, see the separate instructions.</t>
  </si>
  <si>
    <t>Are you reporting any loss not allowed in a prior year due to the at-risk, excess farm loss, or basis limitations, a prior year</t>
  </si>
  <si>
    <t>unallowed loss from a passive activity (if that loss was not reported on Form 8582), or unreimbursed partnership expenses? If</t>
  </si>
  <si>
    <t>Accounts (FBAR), to report that financial interest or signature authority? See FinCEN Form 114</t>
  </si>
  <si>
    <t>and its instructions for filing requirements and exceptions to those requirements</t>
  </si>
  <si>
    <t xml:space="preserve">.   .   .   .   .   .   .   .   .   .   .   .   </t>
  </si>
  <si>
    <t>File with your Schedule D to list your transactions for lines 1b, 2, 3, 8b, 9, and 10 of Schedule D.</t>
  </si>
  <si>
    <t xml:space="preserve">.   .   .   .   .   .   .   .   .   .   .   .   .   .   .   .   .   .   .   .   </t>
  </si>
  <si>
    <t xml:space="preserve">.   .   .   .   .   .   .   .   .   .   .   .   .   .   .   .   .   .   .   .   .   .   .   .   .   .   .   .   .   .   .   .   .   </t>
  </si>
  <si>
    <t xml:space="preserve">.   .   .   .   .   .   .   .   .   .   .   .   .   .   .   .   .   .   </t>
  </si>
  <si>
    <t>Enter the amount from line 6 of the Qualified Dividends and Capital Gain Tax Worksheet in the instructions</t>
  </si>
  <si>
    <t>you are filing Form 2555 or 2555-EZ, see instructions for the amount to enter</t>
  </si>
  <si>
    <t>If you did not complete a Schedule D Tax Worksheet for the regular tax or the AMT, enter the amount</t>
  </si>
  <si>
    <t>10 of the Schedule D Tax Worksheet (as refigured for the AMT, if necessary). If you are filing Form 2555 or</t>
  </si>
  <si>
    <t>Enter the amount from line 7 of the Qualified Dividends and Capital Gain Tax Worksheet in the instructions</t>
  </si>
  <si>
    <t>are filing Form 2555 or 2555-EZ, see instructions for the amount to enter</t>
  </si>
  <si>
    <t xml:space="preserve">.   .   .   .   .   .   .   .   .   .   .   .   .   .   .   .   .   .   .   .   .   .   .   .   . </t>
  </si>
  <si>
    <t xml:space="preserve">.   .   .   .   .   .   .   .   .   .   .   .   .   .   .  </t>
  </si>
  <si>
    <t>Health care: individual responsibility (see instructions)</t>
  </si>
  <si>
    <t>If filing Form 4952 (used to figure investment</t>
  </si>
  <si>
    <t>interest expense deduction), enter any amount from</t>
  </si>
  <si>
    <r>
      <t xml:space="preserve">line 4g of that form. Otherwise, enter -0- </t>
    </r>
    <r>
      <rPr>
        <b/>
        <sz val="9"/>
        <rFont val="Arial"/>
        <family val="2"/>
      </rPr>
      <t>.    .    .    .    .    .    .    .</t>
    </r>
  </si>
  <si>
    <t>Be sure you have read the 11-item list in the instructions for this line. You may not be able to use this worksheet.</t>
  </si>
  <si>
    <r>
      <t xml:space="preserve">Retirement </t>
    </r>
    <r>
      <rPr>
        <i/>
        <sz val="10"/>
        <rFont val="Arial"/>
        <family val="2"/>
      </rPr>
      <t>Plan?</t>
    </r>
    <r>
      <rPr>
        <sz val="10"/>
        <rFont val="Arial"/>
        <family val="2"/>
      </rPr>
      <t>)?</t>
    </r>
  </si>
  <si>
    <t xml:space="preserve">.   .   .   .   .   .   .   .   .   .   .   .   .   .   .   .   .   .   .   .   .   .   .   .   .   .   </t>
  </si>
  <si>
    <r>
      <t xml:space="preserve">   year, you may be able to reduce the taxable amount. See </t>
    </r>
    <r>
      <rPr>
        <sz val="10"/>
        <rFont val="Arial"/>
        <family val="2"/>
      </rPr>
      <t>Lump-Sum Election</t>
    </r>
    <r>
      <rPr>
        <i/>
        <sz val="10"/>
        <rFont val="Arial"/>
        <family val="2"/>
      </rPr>
      <t xml:space="preserve"> in Pub. 915 for details.</t>
    </r>
  </si>
  <si>
    <t>ü</t>
  </si>
  <si>
    <r>
      <rPr>
        <b/>
        <sz val="10"/>
        <rFont val="Arial"/>
        <family val="2"/>
      </rPr>
      <t xml:space="preserve">1040  filers. </t>
    </r>
    <r>
      <rPr>
        <sz val="10"/>
        <rFont val="Arial"/>
        <family val="2"/>
      </rPr>
      <t xml:space="preserve"> Enter the total of the amounts from</t>
    </r>
  </si>
  <si>
    <t>Enter as a positive number the total of:</t>
  </si>
  <si>
    <t>Any section 1202 exclusion you reported in column (g) of Form 8949,</t>
  </si>
  <si>
    <t>Part II, with code “Q” in column (f), for which you excluded 50% of the gain;</t>
  </si>
  <si>
    <t>2/3 of any section 1202 exclusion you reported in column (g) of Form</t>
  </si>
  <si>
    <t>8949, Part II, with code “Q” in column (f), for which you excluded 60% of the gain; and</t>
  </si>
  <si>
    <t>1/3 of any section 1202 exclusion you reported in column (g) of Form</t>
  </si>
  <si>
    <t>8949, Part II, with code “Q” in column (f), for which you excluded 75% of the gain.</t>
  </si>
  <si>
    <r>
      <t>than zero); Form 6252; Form 6781, Part II; and Form 8824</t>
    </r>
    <r>
      <rPr>
        <b/>
        <sz val="9"/>
        <rFont val="Arial"/>
        <family val="2"/>
      </rPr>
      <t xml:space="preserve">.   .   .   .   .   .   .   .   .   .   .   .   .   .   .   .   .   .   .   .   .   .   .   .   .   </t>
    </r>
  </si>
  <si>
    <t>Enter the total of all collectibles gain or (loss) from Form 4684, line 4 (but only if Form 4684, line 15, is more</t>
  </si>
  <si>
    <t>Enter the amount shown below for your filing status</t>
  </si>
  <si>
    <t>Fill in Form 6251 to see if you owe the alternative minimum tax.</t>
  </si>
  <si>
    <t>Form 6251 instead of using this worksheet.</t>
  </si>
  <si>
    <r>
      <t xml:space="preserve">Tax from Form 4972  </t>
    </r>
    <r>
      <rPr>
        <b/>
        <sz val="10"/>
        <rFont val="Arial"/>
        <family val="2"/>
      </rPr>
      <t>↑</t>
    </r>
  </si>
  <si>
    <t xml:space="preserve">Does Form 6251 need to be completed?    →  </t>
  </si>
  <si>
    <t>Section 6013(h) election (see instructions)</t>
  </si>
  <si>
    <t>Name(s) shown on your tax return</t>
  </si>
  <si>
    <t>Taxable interest (see instructions)</t>
  </si>
  <si>
    <t>Ordinary dividends (see instructions)</t>
  </si>
  <si>
    <t>Annuities (see instructions)</t>
  </si>
  <si>
    <t xml:space="preserve">.   .   .   .   .   .   .   .   .   .   .   .   .   .   .   .   .   .   .   .   .   .   .   .   .   .   .   . </t>
  </si>
  <si>
    <t>etc. (see instructions)</t>
  </si>
  <si>
    <t>Net gain or loss from disposition of property (see instructions)</t>
  </si>
  <si>
    <t>stock (see instructions)</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</si>
  <si>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</si>
  <si>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</si>
  <si>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Adjusted Gross Income</t>
  </si>
  <si>
    <t>Total Tax</t>
  </si>
  <si>
    <t>Total Payments/Credits</t>
  </si>
  <si>
    <t>SUMMARY</t>
  </si>
  <si>
    <t>Single Family Residence</t>
  </si>
  <si>
    <t>Multi-Family Residence</t>
  </si>
  <si>
    <t>Commercial</t>
  </si>
  <si>
    <t>Land</t>
  </si>
  <si>
    <t>Royalties</t>
  </si>
  <si>
    <t>Self-Rental</t>
  </si>
  <si>
    <t>8962</t>
  </si>
  <si>
    <t>Attach to Form 1040, 1040A, or 1040NR.</t>
  </si>
  <si>
    <t>Premium Tax Credit (PTC)</t>
  </si>
  <si>
    <t>Name shown on your return</t>
  </si>
  <si>
    <t>Alaska</t>
  </si>
  <si>
    <t>Hawaii</t>
  </si>
  <si>
    <t>Other 48 states and DC</t>
  </si>
  <si>
    <t>Applicable Figure: Using your line 5 percentage, locate your “applicable figure” on the table in the instructions</t>
  </si>
  <si>
    <t>and continue to line 24.</t>
  </si>
  <si>
    <t>your monthly PTC and continue to line 24.</t>
  </si>
  <si>
    <t>Annual
Calculation</t>
  </si>
  <si>
    <t>Monthly
Calculation</t>
  </si>
  <si>
    <t>January</t>
  </si>
  <si>
    <t>February</t>
  </si>
  <si>
    <t>March</t>
  </si>
  <si>
    <t>April</t>
  </si>
  <si>
    <t>16</t>
  </si>
  <si>
    <t>May</t>
  </si>
  <si>
    <t>17</t>
  </si>
  <si>
    <t>June</t>
  </si>
  <si>
    <t>18</t>
  </si>
  <si>
    <t>July</t>
  </si>
  <si>
    <t>19</t>
  </si>
  <si>
    <t>August</t>
  </si>
  <si>
    <t>20</t>
  </si>
  <si>
    <t>September</t>
  </si>
  <si>
    <t>21</t>
  </si>
  <si>
    <t>October</t>
  </si>
  <si>
    <t>22</t>
  </si>
  <si>
    <t>November</t>
  </si>
  <si>
    <t>23</t>
  </si>
  <si>
    <t>December</t>
  </si>
  <si>
    <t>24</t>
  </si>
  <si>
    <t>25</t>
  </si>
  <si>
    <t>26</t>
  </si>
  <si>
    <t>28</t>
  </si>
  <si>
    <t>29</t>
  </si>
  <si>
    <t>Cat. No. 37784Z</t>
  </si>
  <si>
    <r>
      <rPr>
        <sz val="8"/>
        <rFont val="Arial"/>
        <family val="2"/>
      </rPr>
      <t xml:space="preserve">Form </t>
    </r>
    <r>
      <rPr>
        <b/>
        <sz val="12"/>
        <rFont val="Arial"/>
        <family val="2"/>
      </rPr>
      <t>8962</t>
    </r>
  </si>
  <si>
    <t xml:space="preserve">Sequence No.  </t>
  </si>
  <si>
    <t>Complete the following information for up to four shared policy allocations. See instructions for allocation details.</t>
  </si>
  <si>
    <t>30</t>
  </si>
  <si>
    <t>Policy Number (Form 1095-A, line 2)</t>
  </si>
  <si>
    <t>Allocation start month</t>
  </si>
  <si>
    <t>Allocation stop month</t>
  </si>
  <si>
    <t>Allocation percentage 
applied to monthly 
amounts</t>
  </si>
  <si>
    <t>31</t>
  </si>
  <si>
    <t>32</t>
  </si>
  <si>
    <t>33</t>
  </si>
  <si>
    <t>34</t>
  </si>
  <si>
    <r>
      <t xml:space="preserve">No. </t>
    </r>
    <r>
      <rPr>
        <sz val="10"/>
        <rFont val="Arial"/>
        <family val="2"/>
      </rPr>
      <t xml:space="preserve">  See the instructions to report additional shared policy allocations.</t>
    </r>
  </si>
  <si>
    <t>Alternative family size</t>
  </si>
  <si>
    <t>Alternative start month</t>
  </si>
  <si>
    <t>Alternative stop month</t>
  </si>
  <si>
    <t>Alternative entries 
for your SSN</t>
  </si>
  <si>
    <t>Alternative entries
for your spouse's 
SSN</t>
  </si>
  <si>
    <t>35</t>
  </si>
  <si>
    <t>36</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</si>
  <si>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</si>
  <si>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Enter your adjusted gross income (AGI)* from Form 1040,</t>
  </si>
  <si>
    <r>
      <t xml:space="preserve">Worksheet 1-1. </t>
    </r>
    <r>
      <rPr>
        <b/>
        <sz val="10"/>
        <rFont val="Arial"/>
        <family val="2"/>
      </rPr>
      <t>Taxpayer's Modified AGI—Line 2a</t>
    </r>
  </si>
  <si>
    <r>
      <t xml:space="preserve">Worksheet 1-2. </t>
    </r>
    <r>
      <rPr>
        <b/>
        <sz val="10"/>
        <rFont val="Arial"/>
        <family val="2"/>
      </rPr>
      <t>Dependents' Combined Modified AGI—Line 2b</t>
    </r>
  </si>
  <si>
    <t>Enter any tax-exempt interest for your dependents</t>
  </si>
  <si>
    <t>Enter any amounts for your dependents from</t>
  </si>
  <si>
    <t>Form 2555-EZ, line 18</t>
  </si>
  <si>
    <t xml:space="preserve">Form 2555, lines 45 and 50, and </t>
  </si>
  <si>
    <t>Please check one box to indicate where you live:</t>
  </si>
  <si>
    <t>Contiguous States or D.C.</t>
  </si>
  <si>
    <t>Table 5. Repayment Limitation</t>
  </si>
  <si>
    <t>All others</t>
  </si>
  <si>
    <t>27</t>
  </si>
  <si>
    <t>Line 5 &gt;=</t>
  </si>
  <si>
    <t>Line 5 &lt;</t>
  </si>
  <si>
    <t>Child and Dependent Care Expenses</t>
  </si>
  <si>
    <t xml:space="preserve">Department of the Treasury  </t>
  </si>
  <si>
    <t xml:space="preserve">        Attachment</t>
  </si>
  <si>
    <t>Internal Revenue Service    (99)</t>
  </si>
  <si>
    <r>
      <t xml:space="preserve">   Persons or Organizations Who Provided the Care–</t>
    </r>
    <r>
      <rPr>
        <sz val="12"/>
        <rFont val="Arial"/>
        <family val="2"/>
      </rPr>
      <t xml:space="preserve">You </t>
    </r>
    <r>
      <rPr>
        <b/>
        <sz val="12"/>
        <rFont val="Arial"/>
        <family val="2"/>
      </rPr>
      <t>must</t>
    </r>
    <r>
      <rPr>
        <sz val="12"/>
        <rFont val="Arial"/>
        <family val="2"/>
      </rPr>
      <t xml:space="preserve"> complete this part.</t>
    </r>
  </si>
  <si>
    <t xml:space="preserve">          (a)</t>
  </si>
  <si>
    <t xml:space="preserve"> Care provider's</t>
  </si>
  <si>
    <r>
      <t>(b)</t>
    </r>
    <r>
      <rPr>
        <sz val="8"/>
        <rFont val="Arial"/>
        <family val="2"/>
      </rPr>
      <t xml:space="preserve"> Address</t>
    </r>
  </si>
  <si>
    <r>
      <t>(c)</t>
    </r>
    <r>
      <rPr>
        <sz val="8"/>
        <rFont val="Arial"/>
        <family val="2"/>
      </rPr>
      <t xml:space="preserve"> Identifying number</t>
    </r>
  </si>
  <si>
    <r>
      <t xml:space="preserve">        (d)</t>
    </r>
    <r>
      <rPr>
        <sz val="8"/>
        <rFont val="Arial"/>
        <family val="2"/>
      </rPr>
      <t xml:space="preserve"> Amount paid</t>
    </r>
  </si>
  <si>
    <t>name</t>
  </si>
  <si>
    <t xml:space="preserve">     (number, street, apt. no., city, state, and ZIP code)</t>
  </si>
  <si>
    <t xml:space="preserve">       (SSN or EIN)</t>
  </si>
  <si>
    <t xml:space="preserve">        (see instructions)</t>
  </si>
  <si>
    <t>Complete only Part II below.</t>
  </si>
  <si>
    <t>Did you receive</t>
  </si>
  <si>
    <t xml:space="preserve"> dependent care benefits?</t>
  </si>
  <si>
    <t>Complete Part III on the back next.</t>
  </si>
  <si>
    <t>Caution:</t>
  </si>
  <si>
    <t>Credit for Child and Dependent Care Expenses</t>
  </si>
  <si>
    <r>
      <t xml:space="preserve">Information about your </t>
    </r>
    <r>
      <rPr>
        <b/>
        <sz val="10"/>
        <rFont val="Arial"/>
        <family val="2"/>
      </rPr>
      <t>qualifying person(s).</t>
    </r>
    <r>
      <rPr>
        <sz val="10"/>
        <rFont val="Arial"/>
        <family val="2"/>
      </rPr>
      <t xml:space="preserve">  If you have more than two qualifying persons, see the instructions.</t>
    </r>
  </si>
  <si>
    <r>
      <t>(a)</t>
    </r>
    <r>
      <rPr>
        <sz val="8"/>
        <rFont val="Arial"/>
        <family val="2"/>
      </rPr>
      <t xml:space="preserve"> Qualifying person's name</t>
    </r>
  </si>
  <si>
    <r>
      <t>(c)</t>
    </r>
    <r>
      <rPr>
        <sz val="7"/>
        <rFont val="Arial"/>
        <family val="2"/>
      </rPr>
      <t xml:space="preserve"> </t>
    </r>
    <r>
      <rPr>
        <b/>
        <sz val="7"/>
        <rFont val="Arial"/>
        <family val="2"/>
      </rPr>
      <t>Qualified expenses</t>
    </r>
    <r>
      <rPr>
        <sz val="7"/>
        <rFont val="Arial"/>
        <family val="2"/>
      </rPr>
      <t xml:space="preserve"> you</t>
    </r>
  </si>
  <si>
    <t>First</t>
  </si>
  <si>
    <t>Last</t>
  </si>
  <si>
    <t>the person listed in column (a)</t>
  </si>
  <si>
    <t>Enter on line 8 the decimal amount shown below that applies to the amount on line 7</t>
  </si>
  <si>
    <t>If line 7 is:</t>
  </si>
  <si>
    <t>But not</t>
  </si>
  <si>
    <t>Decimal</t>
  </si>
  <si>
    <t>over</t>
  </si>
  <si>
    <t>amount is</t>
  </si>
  <si>
    <t>the instructions</t>
  </si>
  <si>
    <t>Cat. No. 11862M</t>
  </si>
  <si>
    <r>
      <t xml:space="preserve">Page </t>
    </r>
    <r>
      <rPr>
        <b/>
        <sz val="10"/>
        <rFont val="Arial"/>
        <family val="2"/>
      </rPr>
      <t>2</t>
    </r>
  </si>
  <si>
    <t xml:space="preserve">  Dependent Care Benefits</t>
  </si>
  <si>
    <t>Enter the amount shown below that applies</t>
  </si>
  <si>
    <t>to you.</t>
  </si>
  <si>
    <t xml:space="preserve">     spouse's earned income (if your spouse</t>
  </si>
  <si>
    <t xml:space="preserve">     was a student or was disabled, see the</t>
  </si>
  <si>
    <t xml:space="preserve">     instructions for line 5).</t>
  </si>
  <si>
    <t>To claim the child and dependent care</t>
  </si>
  <si>
    <t>Attachment to:</t>
  </si>
  <si>
    <r>
      <t xml:space="preserve">Persons or Organizations Who Provided the Care -- </t>
    </r>
    <r>
      <rPr>
        <sz val="10"/>
        <rFont val="Arial"/>
        <family val="2"/>
      </rPr>
      <t>(Continued)</t>
    </r>
  </si>
  <si>
    <r>
      <t>Credit for Child and Dependent Care Expenses</t>
    </r>
    <r>
      <rPr>
        <sz val="10"/>
        <rFont val="Arial"/>
        <family val="2"/>
      </rPr>
      <t xml:space="preserve"> -- (Continued)</t>
    </r>
  </si>
  <si>
    <t>Download Form 2441</t>
  </si>
  <si>
    <t>Download Form 2441 Instructions</t>
  </si>
  <si>
    <t>Tax liability limit. Enter the amount from the Credit</t>
  </si>
  <si>
    <t>Limit Worksheet in the instructions</t>
  </si>
  <si>
    <t>Employer #1</t>
  </si>
  <si>
    <t>Enter $5,000 ($2,500 if married filing separately and</t>
  </si>
  <si>
    <t>you were required to enter your spouse’s earned income on line 19)</t>
  </si>
  <si>
    <t>Subtract line 22 from line 15</t>
  </si>
  <si>
    <t>Is any amount on line 12 from your sole proprietorship or partnership?</t>
  </si>
  <si>
    <t>.   .   .   .   .   .   .   .   .   .   .   .   .   .   .   .   .   .   .   .   .   .   .</t>
  </si>
  <si>
    <t xml:space="preserve">   (If you have more than two care providers, see the instructions.)</t>
  </si>
  <si>
    <t xml:space="preserve">    name</t>
  </si>
  <si>
    <r>
      <t xml:space="preserve"> </t>
    </r>
    <r>
      <rPr>
        <b/>
        <sz val="8"/>
        <rFont val="Arial"/>
        <family val="2"/>
      </rPr>
      <t>(b)</t>
    </r>
    <r>
      <rPr>
        <sz val="8"/>
        <rFont val="Arial"/>
        <family val="2"/>
      </rPr>
      <t xml:space="preserve"> Qualifying person's social
security number</t>
    </r>
  </si>
  <si>
    <t>requirements to</t>
  </si>
  <si>
    <t xml:space="preserve">be considered </t>
  </si>
  <si>
    <t>purposes of claiming</t>
  </si>
  <si>
    <t>the credit on</t>
  </si>
  <si>
    <t>Form 2441.</t>
  </si>
  <si>
    <t>as to whether or</t>
  </si>
  <si>
    <t>not you meet the</t>
  </si>
  <si>
    <r>
      <rPr>
        <b/>
        <sz val="10"/>
        <rFont val="Arial"/>
        <family val="2"/>
      </rPr>
      <t>Lines 27 through 31</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</si>
  <si>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t>Enter "IRA" or "P/A" (for Pension/Annuity) &gt;&gt;&gt;</t>
  </si>
  <si>
    <t>Enter "IRA" or "P/A" for (Pension/Annuity) &gt;&gt;&gt;</t>
  </si>
  <si>
    <t>x</t>
  </si>
  <si>
    <r>
      <rPr>
        <b/>
        <sz val="10"/>
        <rFont val="Arial"/>
        <family val="2"/>
      </rPr>
      <t xml:space="preserve">Line 2a </t>
    </r>
    <r>
      <rPr>
        <sz val="10"/>
        <rFont val="Arial"/>
        <family val="2"/>
      </rPr>
      <t xml:space="preserve">Enter your modified AGI on line 2a. Use the worksheet next to figure your modified AGI from your tax return. </t>
    </r>
  </si>
  <si>
    <t xml:space="preserve">  .   .   .   .   .   .   .   .   .   .   .   .   .   .   .   .   .   .   .   .   .   .   .   .   .   .   .   .   . </t>
  </si>
  <si>
    <t>Worksheet used?</t>
  </si>
  <si>
    <r>
      <t>Enter the total of all collectibles gain or (loss) from items you reported on Form 8949, Part II</t>
    </r>
    <r>
      <rPr>
        <b/>
        <sz val="9"/>
        <rFont val="Arial"/>
        <family val="2"/>
      </rPr>
      <t>.   .   .   .   .   .   .   .   .</t>
    </r>
  </si>
  <si>
    <t>Earned income for figuring the credit includes the</t>
  </si>
  <si>
    <t>following amounts.</t>
  </si>
  <si>
    <t>1040A, line 7; or Form 1040NR, line 8; minus any amount:</t>
  </si>
  <si>
    <t>a. Included for a scholarship or fellowship grant that</t>
  </si>
  <si>
    <t>was not reported to you on a Form W-2,</t>
  </si>
  <si>
    <t>b. Also reported on Schedule SE (Form 1040)</t>
  </si>
  <si>
    <t>because you were a member of the clergy or you received</t>
  </si>
  <si>
    <t>$108.28 or more of church employee income,</t>
  </si>
  <si>
    <t>c. Received for work performed while an inmate in a</t>
  </si>
  <si>
    <t>penal institution, or</t>
  </si>
  <si>
    <t>d. Received as a pension or annuity from a</t>
  </si>
  <si>
    <t>nonqualified deferred compensation plan or a</t>
  </si>
  <si>
    <t>nongovernmental section 457(b) plan. This amount may</t>
  </si>
  <si>
    <t>be reported in box 11 of Form W-2. If you received such</t>
  </si>
  <si>
    <t>an amount but box 11 is blank, contact your employer for</t>
  </si>
  <si>
    <t>the amount received as a pension or annuity.</t>
  </si>
  <si>
    <t>any deduction you claim on Form 1040 or Form 1040NR,</t>
  </si>
  <si>
    <t>line 27.</t>
  </si>
  <si>
    <t>If you use either optional method to figure</t>
  </si>
  <si>
    <t>self-employment tax, subtract any deduction you claim on</t>
  </si>
  <si>
    <t>Form 1040 or Form 1040NR, line 27, from the total of the</t>
  </si>
  <si>
    <t>amounts shown on Schedule SE, Section B, lines 3 and</t>
  </si>
  <si>
    <t>4b.</t>
  </si>
  <si>
    <t>If you received church employee income of $108.28 or</t>
  </si>
  <si>
    <t>more, subtract any deduction you claim on Form 1040 or</t>
  </si>
  <si>
    <t>Form 1040NR, line 27, from the total of the amounts</t>
  </si>
  <si>
    <t>shown on Schedule SE, Section B, lines 3, 4b, and 5a.</t>
  </si>
  <si>
    <t>(Form 1040) as a statutory employee, the amount shown</t>
  </si>
  <si>
    <t>on line 1 of the schedule.</t>
  </si>
  <si>
    <t>4. Nontaxable combat pay, if you elect to include it in</t>
  </si>
  <si>
    <t>earned income. However, including this income will only</t>
  </si>
  <si>
    <t>give you a larger credit if your (or your spouse's) other</t>
  </si>
  <si>
    <t>earned income is less than the amount entered on line 3.</t>
  </si>
  <si>
    <t>To make the election, include all of your nontaxable</t>
  </si>
  <si>
    <t>combat pay in the amount you enter on line 4 (line 5 for</t>
  </si>
  <si>
    <t>your spouse if filing jointly).</t>
  </si>
  <si>
    <t>If you are filing jointly and both you and your spouse</t>
  </si>
  <si>
    <t>received nontaxable combat pay, you can each make</t>
  </si>
  <si>
    <t>your own election. (In other words, if one of you makes the</t>
  </si>
  <si>
    <t>election, the other one can also make it but does not have</t>
  </si>
  <si>
    <t>to.) The amount of your nontaxable combat pay should be</t>
  </si>
  <si>
    <t>shown in box 12 of your Form(s) W-2 with code Q.</t>
  </si>
  <si>
    <t>Lines 4 and 5</t>
  </si>
  <si>
    <r>
      <t xml:space="preserve">1. The amount shown on </t>
    </r>
    <r>
      <rPr>
        <b/>
        <sz val="10"/>
        <rFont val="Arial"/>
        <family val="2"/>
      </rPr>
      <t>Form 1040, line 7</t>
    </r>
    <r>
      <rPr>
        <sz val="10"/>
        <rFont val="Arial"/>
        <family val="2"/>
      </rPr>
      <t>; Form</t>
    </r>
  </si>
  <si>
    <r>
      <t xml:space="preserve">2. The amount shown on </t>
    </r>
    <r>
      <rPr>
        <b/>
        <sz val="10"/>
        <rFont val="Arial"/>
        <family val="2"/>
      </rPr>
      <t>Schedule SE, line 3</t>
    </r>
    <r>
      <rPr>
        <sz val="10"/>
        <rFont val="Arial"/>
        <family val="2"/>
      </rPr>
      <t>, minus</t>
    </r>
  </si>
  <si>
    <r>
      <t xml:space="preserve">3. If you are filing </t>
    </r>
    <r>
      <rPr>
        <b/>
        <sz val="10"/>
        <rFont val="Arial"/>
        <family val="2"/>
      </rPr>
      <t>Schedule C</t>
    </r>
    <r>
      <rPr>
        <sz val="10"/>
        <rFont val="Arial"/>
        <family val="2"/>
      </rPr>
      <t xml:space="preserve"> (Form 1040) or C-EZ</t>
    </r>
  </si>
  <si>
    <t>Jan</t>
  </si>
  <si>
    <t>Feb</t>
  </si>
  <si>
    <t>Mar</t>
  </si>
  <si>
    <t>Apr</t>
  </si>
  <si>
    <t>Jun</t>
  </si>
  <si>
    <t>Jul</t>
  </si>
  <si>
    <t>Aug</t>
  </si>
  <si>
    <t>Sep</t>
  </si>
  <si>
    <t>Oct</t>
  </si>
  <si>
    <t>Nov</t>
  </si>
  <si>
    <t>Dec</t>
  </si>
  <si>
    <t>Did you enter 401% on line 5? (See instructions if you entered less than 100%.)</t>
  </si>
  <si>
    <t>how to report your excess advance PTC repayment amount.</t>
  </si>
  <si>
    <t>Monthly contribution amount. Divide line 8a</t>
  </si>
  <si>
    <t>by 12. Round to whole dollar amount.   .   .</t>
  </si>
  <si>
    <t>Annual and Monthly Contribution Amount</t>
  </si>
  <si>
    <t>Premium Tax Credit Claim and Reconciliation of Advance Payment of Premium Tax Credit</t>
  </si>
  <si>
    <t>Are you allocating policy amounts with another taxpayer or do you want to use the alternative calculation for year of marriage (see instructions)?</t>
  </si>
  <si>
    <t>See the instructions to determine if you can use line 11 or must complete lines 12 through 23.</t>
  </si>
  <si>
    <r>
      <rPr>
        <b/>
        <sz val="10"/>
        <rFont val="Arial"/>
        <family val="2"/>
      </rPr>
      <t xml:space="preserve">No. </t>
    </r>
    <r>
      <rPr>
        <sz val="10"/>
        <rFont val="Arial"/>
        <family val="2"/>
      </rPr>
      <t>Continue to lines 12–23. Compute</t>
    </r>
  </si>
  <si>
    <r>
      <rPr>
        <b/>
        <sz val="9"/>
        <rFont val="Arial"/>
        <family val="2"/>
      </rPr>
      <t>(c)</t>
    </r>
    <r>
      <rPr>
        <sz val="9"/>
        <rFont val="Arial"/>
        <family val="2"/>
      </rPr>
      <t xml:space="preserve"> Annual 
contribution amount 
(line 8a)</t>
    </r>
  </si>
  <si>
    <r>
      <rPr>
        <b/>
        <sz val="9"/>
        <rFont val="Arial"/>
        <family val="2"/>
      </rPr>
      <t xml:space="preserve">(b) </t>
    </r>
    <r>
      <rPr>
        <sz val="9"/>
        <rFont val="Arial"/>
        <family val="2"/>
      </rPr>
      <t>Annual applicable 
SLCSP premium 
(Form(s) 1095-A, 
line 33B)</t>
    </r>
  </si>
  <si>
    <t>Total premium tax credit. Enter the amount from line 11(e) or add lines 12(e) through 23(e) and enter the total here</t>
  </si>
  <si>
    <t>Advance payment of PTC. Enter the amount from line 11(f) or add lines 12(f) through 23(f) and enter the total here</t>
  </si>
  <si>
    <t>Repayment of Excess Advance Payment of the Premium Tax Credit</t>
  </si>
  <si>
    <t>Excess advance payment of PTC. If line 25 is greater than line 24, subtract line 24 from line 25. Enter the difference here</t>
  </si>
  <si>
    <t>Repayment limitation (see instructions)</t>
  </si>
  <si>
    <t>SSN of other taxpayer</t>
  </si>
  <si>
    <t>(e) Premium Percentage</t>
  </si>
  <si>
    <t>(f) SLCSP Percentage</t>
  </si>
  <si>
    <t>(g) Advance Payment of the PTC
Percentage</t>
  </si>
  <si>
    <t>Alternative Calculation for Year of Marriage</t>
  </si>
  <si>
    <t>To complete line(s) 35 and/or 36 and compute the amounts for lines 12–23, see the instructions for this Part V.</t>
  </si>
  <si>
    <t>Contiguous</t>
  </si>
  <si>
    <t>X</t>
  </si>
  <si>
    <t>Tables 1-1, 1-2 &amp; 1-3 Federal Poverty Line</t>
  </si>
  <si>
    <t>Amount from Line 4.</t>
  </si>
  <si>
    <t>Is the amount on line 1 more than</t>
  </si>
  <si>
    <t>the amount on Line 3?</t>
  </si>
  <si>
    <t>Worksheet 2 -- Household Income as a Percentage of Poverty Line</t>
  </si>
  <si>
    <t>*Only include your dependents who are required to file an income tax return because their income meets the income tax return filing threshold.</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</si>
  <si>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</si>
  <si>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</si>
  <si>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(d)</t>
    </r>
    <r>
      <rPr>
        <sz val="9"/>
        <rFont val="Arial"/>
        <family val="2"/>
      </rPr>
      <t xml:space="preserve"> Annual maximum 
premium assistance 
(subtract (c) from (b), if
zero or less, enter -0-)</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</si>
  <si>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</si>
  <si>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</si>
  <si>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</si>
  <si>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Annual advance 
payment of PTC 
(Form(s) 1095-A, 
line 33C)</t>
    </r>
  </si>
  <si>
    <r>
      <rPr>
        <b/>
        <sz val="9"/>
        <rFont val="Arial"/>
        <family val="2"/>
      </rPr>
      <t>(f)</t>
    </r>
    <r>
      <rPr>
        <sz val="9"/>
        <rFont val="Arial"/>
        <family val="2"/>
      </rPr>
      <t xml:space="preserve"> Monthly advance payment of PTC (Form(s) 1095-A, 
lines 21–32, 
column C)</t>
    </r>
  </si>
  <si>
    <t>Earned Income Credit (EIC)</t>
  </si>
  <si>
    <t>●</t>
  </si>
  <si>
    <t>Is your filing status married filing separately?</t>
  </si>
  <si>
    <t>Are you filing Form 2555 or 2555-EZ (relating to foreign earned income)?</t>
  </si>
  <si>
    <t>*If line 13 is a loss, enter -0-.</t>
  </si>
  <si>
    <t>Are you filing Form 4797 (relating to sales of business property)?</t>
  </si>
  <si>
    <t xml:space="preserve">You are reporting income or a loss from the rental of </t>
  </si>
  <si>
    <t>A qualifying child for the EIC is a child who is your…</t>
  </si>
  <si>
    <t>(for example, your grandchild, niece, or nephew)</t>
  </si>
  <si>
    <t>&lt;-- Enter number of qualifying children here.</t>
  </si>
  <si>
    <t xml:space="preserve">         Enter “No” on the dotted line</t>
  </si>
  <si>
    <t>Are you filing Schedule SE because you were a member of the clergy or you had church employee income of $108.28 or more?</t>
  </si>
  <si>
    <t>clergy or you had church employee income, or are you filing Schedule C or C-EZ as a statutory employee?</t>
  </si>
  <si>
    <t>No qualifying children,</t>
  </si>
  <si>
    <t>Do you want the IRS to figure the credit for you?</t>
  </si>
  <si>
    <t>No.  Go to Worksheet A.</t>
  </si>
  <si>
    <t>No Qual. Children</t>
  </si>
  <si>
    <t>One Qualifying Child</t>
  </si>
  <si>
    <t>MFJ</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</si>
  <si>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</si>
  <si>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</si>
  <si>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</si>
  <si>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If you have:</t>
  </si>
  <si>
    <r>
      <t>Yes.</t>
    </r>
    <r>
      <rPr>
        <sz val="10"/>
        <rFont val="Arial"/>
        <family val="2"/>
      </rPr>
      <t xml:space="preserve">  Leave line 5 blank; enter the amount from line 2 on line 6.</t>
    </r>
  </si>
  <si>
    <t>Adj_Gross_Inc</t>
  </si>
  <si>
    <t xml:space="preserve">        Look at the amounts on lines 5 and 2.</t>
  </si>
  <si>
    <t>This is your earned income credit.</t>
  </si>
  <si>
    <t>Reminder—</t>
  </si>
  <si>
    <t>If you have a qualifying child, complete and attach Schedule EIC.</t>
  </si>
  <si>
    <t>Complete the parts below (Parts 1 through 3) that apply to you. Then, continue to Part 4.</t>
  </si>
  <si>
    <t>If you are married filing a joint return, include your spouse’s amounts, if any, with yours to figure the amounts to enter in Parts 1 through 3.</t>
  </si>
  <si>
    <t>Enter the amount from Schedule SE, Section A, line 3, or Section B, line 3, whichever applies.</t>
  </si>
  <si>
    <t xml:space="preserve">1a.        </t>
  </si>
  <si>
    <t>Enter any amount from Schedule SE, Section B, line 4b, and line 5a.</t>
  </si>
  <si>
    <t xml:space="preserve">1b.     + </t>
  </si>
  <si>
    <t>Combine lines 1a and 1b.</t>
  </si>
  <si>
    <t xml:space="preserve">1c.     = </t>
  </si>
  <si>
    <t>d.</t>
  </si>
  <si>
    <t>Enter the amount from Schedule SE, Section A, line 6, or Section B, line 13, whichever applies.</t>
  </si>
  <si>
    <t xml:space="preserve">1d.      - </t>
  </si>
  <si>
    <t>e.</t>
  </si>
  <si>
    <t>Subtract line 1d from 1c.</t>
  </si>
  <si>
    <r>
      <t xml:space="preserve">1e.      </t>
    </r>
    <r>
      <rPr>
        <sz val="10"/>
        <rFont val="Arial"/>
        <family val="2"/>
      </rPr>
      <t xml:space="preserve">= </t>
    </r>
  </si>
  <si>
    <t>For example, your net earnings from self-employment were less than $400.</t>
  </si>
  <si>
    <t xml:space="preserve">2a.        </t>
  </si>
  <si>
    <t>farm partnerships, Schedule K-1 (Form 1065), box 14, code A*.</t>
  </si>
  <si>
    <t>Schedule C-EZ, line 3</t>
  </si>
  <si>
    <t>Enter any net profit or (loss) from Schedule C, line 31; Schedule C-EZ,</t>
  </si>
  <si>
    <t xml:space="preserve">2b.     + </t>
  </si>
  <si>
    <t>Schedule K-1 (Form 1065), box 14, code A (other than farming)</t>
  </si>
  <si>
    <t>Schedule K-1 (Form 1065-B), box 9, code J1*.</t>
  </si>
  <si>
    <t>Combine lines 2a and 2b.</t>
  </si>
  <si>
    <t xml:space="preserve">2c.     = </t>
  </si>
  <si>
    <t>your name and social security number on Schedule SE and attach it to your return.</t>
  </si>
  <si>
    <t>Enter the amount from Schedule C, line 1, or Schedule C-EZ, line 1, that</t>
  </si>
  <si>
    <t>you are filing as a statutory employee.</t>
  </si>
  <si>
    <t>we may reduce your credit by the amount of self-employment tax not paid.</t>
  </si>
  <si>
    <t>4a.</t>
  </si>
  <si>
    <t>EarnedIncomeWSB</t>
  </si>
  <si>
    <t>Are the amounts on lines 8 and 6 the same?</t>
  </si>
  <si>
    <t xml:space="preserve">● </t>
  </si>
  <si>
    <t xml:space="preserve">10.      </t>
  </si>
  <si>
    <t>column for your filing status and the number of children</t>
  </si>
  <si>
    <t>Look at the amounts on lines 10 and 7.</t>
  </si>
  <si>
    <t xml:space="preserve">11.      </t>
  </si>
  <si>
    <t>If the Worksheet Amount is:</t>
  </si>
  <si>
    <t>Single, Head of Household, or Qualifying Widow(er)</t>
  </si>
  <si>
    <t>Married Filing Jointly</t>
  </si>
  <si>
    <t>At least</t>
  </si>
  <si>
    <t>But less than</t>
  </si>
  <si>
    <t>No Children</t>
  </si>
  <si>
    <t>One Child</t>
  </si>
  <si>
    <t>3 or more children lived with you,</t>
  </si>
  <si>
    <t>2 children lived with you,</t>
  </si>
  <si>
    <t>1 child lived with you,</t>
  </si>
  <si>
    <t>No children lived with you,</t>
  </si>
  <si>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</si>
  <si>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</si>
  <si>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r>
      <rPr>
        <b/>
        <sz val="10"/>
        <rFont val="Arial"/>
        <family val="2"/>
      </rPr>
      <t>Investment Income</t>
    </r>
    <r>
      <rPr>
        <sz val="10"/>
        <rFont val="Arial"/>
        <family val="2"/>
      </rPr>
      <t xml:space="preserve"> =</t>
    </r>
  </si>
  <si>
    <t>You are filing Form 8814 (relating to election to report child’s interest</t>
  </si>
  <si>
    <t>and dividends on your return).</t>
  </si>
  <si>
    <t>You have income or loss from a passive activity.</t>
  </si>
  <si>
    <t>Error?</t>
  </si>
  <si>
    <t>Vacation / S.T. Rental</t>
  </si>
  <si>
    <r>
      <t xml:space="preserve">You are filing Schedule E.      </t>
    </r>
    <r>
      <rPr>
        <i/>
        <sz val="10"/>
        <rFont val="Arial"/>
        <family val="2"/>
      </rPr>
      <t xml:space="preserve"> (This is automatically completed.)</t>
    </r>
  </si>
  <si>
    <t xml:space="preserve">         in Pub. 596 to see if you</t>
  </si>
  <si>
    <t xml:space="preserve">         can take the credit.</t>
  </si>
  <si>
    <r>
      <t xml:space="preserve">Add the amounts from Form 1040:       </t>
    </r>
    <r>
      <rPr>
        <i/>
        <sz val="10"/>
        <rFont val="Arial"/>
        <family val="2"/>
      </rPr>
      <t>(This is automatically completed.)</t>
    </r>
  </si>
  <si>
    <t>half brother, half sister, or a descendant of any of them</t>
  </si>
  <si>
    <t xml:space="preserve">Son, daughter, stepchild, foster child, brother, sister, stepbrother, stepsister, </t>
  </si>
  <si>
    <t>(or your spouse, if filing jointly),</t>
  </si>
  <si>
    <t>Any age and permanently and totally disabled (defined later)</t>
  </si>
  <si>
    <r>
      <t>and</t>
    </r>
    <r>
      <rPr>
        <sz val="10"/>
        <rFont val="Arial"/>
        <family val="2"/>
      </rPr>
      <t>,</t>
    </r>
  </si>
  <si>
    <t>was …</t>
  </si>
  <si>
    <t>See CAUTIONS and TIP in the instructions.</t>
  </si>
  <si>
    <t xml:space="preserve">         go to Step 5.</t>
  </si>
  <si>
    <t xml:space="preserve">(Check "No" if the other person is not rquired to file, and </t>
  </si>
  <si>
    <t>to claim a refund of withheld income tax or estimated tax</t>
  </si>
  <si>
    <t>paid (see Pub. 596 for examples).)</t>
  </si>
  <si>
    <t>Were you, or your spouse if filing a joint return, at least age</t>
  </si>
  <si>
    <t>you, or your spouse if filing a joint return, were born after</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</si>
  <si>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</si>
  <si>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</si>
  <si>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in the instructions, before you answer.</t>
    </r>
  </si>
  <si>
    <t>Enter "No" on the dotted</t>
  </si>
  <si>
    <t>line next to line 66a.</t>
  </si>
  <si>
    <t>and 6; go to Step 5.</t>
  </si>
  <si>
    <t>tax return?</t>
  </si>
  <si>
    <r>
      <t xml:space="preserve">See </t>
    </r>
    <r>
      <rPr>
        <i/>
        <sz val="10"/>
        <rFont val="Arial"/>
        <family val="2"/>
      </rPr>
      <t>Clergy or Church employees</t>
    </r>
    <r>
      <rPr>
        <sz val="10"/>
        <rFont val="Arial"/>
        <family val="2"/>
      </rPr>
      <t xml:space="preserve">, </t>
    </r>
  </si>
  <si>
    <t>whichever applies.</t>
  </si>
  <si>
    <t>following worksheet.</t>
  </si>
  <si>
    <t>Enter the amount from Form 1040, line 7</t>
  </si>
  <si>
    <t>Enter any amount included on Form 1040, line 7,</t>
  </si>
  <si>
    <t>that is a taxable scholarship or fellowship grant</t>
  </si>
  <si>
    <t>not reported on a Form W-2.</t>
  </si>
  <si>
    <t>that you received for work perform while an</t>
  </si>
  <si>
    <t>inmate in a penal institution.  (Enter "PRI" and</t>
  </si>
  <si>
    <t>the same amount on the dotted line next to Form</t>
  </si>
  <si>
    <t>that you received as a pension or annuity from a</t>
  </si>
  <si>
    <t>nongovernmental section 457 plan. (Enter “DFC”</t>
  </si>
  <si>
    <t>and the same amount on the dotted line next to</t>
  </si>
  <si>
    <t>in box 11 of Form W-2. If you received such an</t>
  </si>
  <si>
    <t>amount but box 11 is blank, contact your</t>
  </si>
  <si>
    <t>employer for the amount received</t>
  </si>
  <si>
    <t>that is a Medicaid waiver payment you exclude</t>
  </si>
  <si>
    <t>from income. (See the instructions for</t>
  </si>
  <si>
    <t>line 21)</t>
  </si>
  <si>
    <t>Add lines 2, 3, 4, and 5.</t>
  </si>
  <si>
    <t xml:space="preserve">Step 5 </t>
  </si>
  <si>
    <t xml:space="preserve">Step 4 </t>
  </si>
  <si>
    <t xml:space="preserve">Step 3 </t>
  </si>
  <si>
    <t>Step 2</t>
  </si>
  <si>
    <t>Step 1</t>
  </si>
  <si>
    <t>Filers Without a Qualifying Child</t>
  </si>
  <si>
    <t>Qualifying Child</t>
  </si>
  <si>
    <t>Investment Income</t>
  </si>
  <si>
    <t>All Filers</t>
  </si>
  <si>
    <t>Subtract line 6 from line 1</t>
  </si>
  <si>
    <t>Enter all of your nontaxable combat pay if you</t>
  </si>
  <si>
    <t>elect to include it in earned income. Also enter</t>
  </si>
  <si>
    <t>Electing to include nontaxable combat</t>
  </si>
  <si>
    <t>pay may increase or decrease your EIC. Figure</t>
  </si>
  <si>
    <t>the credit with and without your nontaxable</t>
  </si>
  <si>
    <t>combat pay before making the election.</t>
  </si>
  <si>
    <t>earned income.</t>
  </si>
  <si>
    <r>
      <t xml:space="preserve">Add lines 7 and 8.  </t>
    </r>
    <r>
      <rPr>
        <b/>
        <sz val="10"/>
        <rFont val="Arial"/>
        <family val="2"/>
      </rPr>
      <t>This is your</t>
    </r>
  </si>
  <si>
    <t>go to Worksheet B.</t>
  </si>
  <si>
    <r>
      <rPr>
        <i/>
        <sz val="10"/>
        <rFont val="Arial"/>
        <family val="2"/>
      </rPr>
      <t>figured by the IRS</t>
    </r>
    <r>
      <rPr>
        <sz val="10"/>
        <rFont val="Arial"/>
        <family val="2"/>
      </rPr>
      <t>, in the instructions.</t>
    </r>
  </si>
  <si>
    <r>
      <t xml:space="preserve">Yes.  See </t>
    </r>
    <r>
      <rPr>
        <i/>
        <sz val="10"/>
        <rFont val="Arial"/>
        <family val="2"/>
      </rPr>
      <t>Credit figured by the IRS.</t>
    </r>
  </si>
  <si>
    <t>How To Figure the Credit</t>
  </si>
  <si>
    <t>Earned Income</t>
  </si>
  <si>
    <t xml:space="preserve">Step 6 </t>
  </si>
  <si>
    <t xml:space="preserve"> - All Filers Using Worksheet A</t>
  </si>
  <si>
    <t>PART 1</t>
  </si>
  <si>
    <t>Use this worksheet only if you answered "No" to Step 5, question 2.</t>
  </si>
  <si>
    <t>Otherwise, use Worksheet B.</t>
  </si>
  <si>
    <t>Enter your earned income from Step 5.</t>
  </si>
  <si>
    <t>Look up the amount on line 1 above in the EIC Table (right after</t>
  </si>
  <si>
    <t>Worksheet B) to find the credit. Be sure you use the correct column</t>
  </si>
  <si>
    <t>for your filing status and the number of children you have. Enter the</t>
  </si>
  <si>
    <t>credit here.</t>
  </si>
  <si>
    <t>EIC_EarnedIncome</t>
  </si>
  <si>
    <t>Three Children+</t>
  </si>
  <si>
    <t>Two Children</t>
  </si>
  <si>
    <t>Two Qualify Children</t>
  </si>
  <si>
    <t>Three Qualify Children</t>
  </si>
  <si>
    <t>- Filers who answered "No" on Line 4.</t>
  </si>
  <si>
    <t>PART 2</t>
  </si>
  <si>
    <t>- Your Earned Income Credit</t>
  </si>
  <si>
    <t>PART 3</t>
  </si>
  <si>
    <r>
      <t>No.</t>
    </r>
    <r>
      <rPr>
        <sz val="10"/>
        <rFont val="Arial"/>
        <family val="2"/>
      </rPr>
      <t xml:space="preserve">   Look up the amount on line 3 in the EIC Table to find the</t>
    </r>
  </si>
  <si>
    <t>M420</t>
  </si>
  <si>
    <t>- Self-Employed, Members of the Clergy, and People With Church Employee Income Filing Schedule SE</t>
  </si>
  <si>
    <t>- Self-Employed NOT Required To File Schedule SE</t>
  </si>
  <si>
    <t>- Statutory Employees Filing Schedule C or C-EZ</t>
  </si>
  <si>
    <t>- All Filers Using Worksheet B</t>
  </si>
  <si>
    <t>PART 4</t>
  </si>
  <si>
    <t>PART 5</t>
  </si>
  <si>
    <t>- Filers Who Answered “No” on Line 9</t>
  </si>
  <si>
    <t>PART 6</t>
  </si>
  <si>
    <t>PART 7</t>
  </si>
  <si>
    <t>credit. Be sure you use the correct column for your filing</t>
  </si>
  <si>
    <t>Enter your total earned income from Part 4, line 4b.</t>
  </si>
  <si>
    <r>
      <t xml:space="preserve">Then, enter the </t>
    </r>
    <r>
      <rPr>
        <b/>
        <sz val="10"/>
        <rFont val="Arial"/>
        <family val="2"/>
      </rPr>
      <t>smaller</t>
    </r>
    <r>
      <rPr>
        <sz val="10"/>
        <rFont val="Arial"/>
        <family val="2"/>
      </rPr>
      <t xml:space="preserve"> amount on line 11.</t>
    </r>
  </si>
  <si>
    <t>If your EIC for a year after 1996 was reduced or disallowed, see</t>
  </si>
  <si>
    <t>Foreign Earned Income</t>
  </si>
  <si>
    <t>2555</t>
  </si>
  <si>
    <t>For Use by U.S. Citizens and Resident Aliens Only</t>
  </si>
  <si>
    <t>Name shown on Form 1040</t>
  </si>
  <si>
    <t>General Information</t>
  </si>
  <si>
    <t>Your foreign address (including country)</t>
  </si>
  <si>
    <t>Employer’s name</t>
  </si>
  <si>
    <t>Employer’s U.S. address</t>
  </si>
  <si>
    <t>Employer’s foreign address</t>
  </si>
  <si>
    <t xml:space="preserve">b </t>
  </si>
  <si>
    <t>Employer is (check
any that apply):</t>
  </si>
  <si>
    <t>4 a</t>
  </si>
  <si>
    <t xml:space="preserve"> A foreign entity</t>
  </si>
  <si>
    <t xml:space="preserve"> A foreign affiliate of a U.S. company</t>
  </si>
  <si>
    <t xml:space="preserve">a </t>
  </si>
  <si>
    <t xml:space="preserve">c </t>
  </si>
  <si>
    <t xml:space="preserve">d </t>
  </si>
  <si>
    <t xml:space="preserve">e </t>
  </si>
  <si>
    <t xml:space="preserve"> Self</t>
  </si>
  <si>
    <t xml:space="preserve"> A U.S. company</t>
  </si>
  <si>
    <t xml:space="preserve"> Other (specify)</t>
  </si>
  <si>
    <t>If you previously filed Form 2555 or Form 2555-EZ, enter the last year you filed the form.</t>
  </si>
  <si>
    <t>6 a</t>
  </si>
  <si>
    <t xml:space="preserve"> and go to line 7.</t>
  </si>
  <si>
    <t>Have you ever revoked either of the exclusions?</t>
  </si>
  <si>
    <t>If you answered “Yes,” enter the type of exclusion and the tax year for which the revocation was effective.</t>
  </si>
  <si>
    <t>Of what country are you a citizen/national?</t>
  </si>
  <si>
    <t>Did you maintain a separate foreign residence for your family because of adverse living conditions at your</t>
  </si>
  <si>
    <t>8 a</t>
  </si>
  <si>
    <t>If “Yes,” enter city and country of the separate foreign residence. Also, enter the number of days during your tax year that you</t>
  </si>
  <si>
    <t>maintained a second household at that address.</t>
  </si>
  <si>
    <t>List your tax home(s) during your tax year and date(s) established.</t>
  </si>
  <si>
    <t>the information asked for, any exclusion or deduction you claim may be disallowed.</t>
  </si>
  <si>
    <t>Taxpayers Qualifying Under Bona Fide Residence 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</si>
  <si>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</si>
  <si>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</si>
  <si>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</si>
  <si>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</si>
  <si>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</si>
  <si>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</si>
  <si>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</si>
  <si>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Did any of your family live with you abroad during any part of the tax year?</t>
  </si>
  <si>
    <t xml:space="preserve">12 a </t>
  </si>
  <si>
    <t>If “Yes,” who and for what period?</t>
  </si>
  <si>
    <t>Have you submitted a statement to the authorities of the foreign country where you claim bona fide</t>
  </si>
  <si>
    <t xml:space="preserve">13 a </t>
  </si>
  <si>
    <t>Are you required to pay income tax to the country where you claim bona fide residence? See instructions</t>
  </si>
  <si>
    <t>this part.</t>
  </si>
  <si>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</si>
  <si>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</si>
  <si>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</si>
  <si>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</si>
  <si>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</si>
  <si>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List any contractual terms or other conditions relating to the length of your employment abroad.</t>
  </si>
  <si>
    <t xml:space="preserve">15 a </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</si>
  <si>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</si>
  <si>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</si>
  <si>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</si>
  <si>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</si>
  <si>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Cat. No. 11900P</t>
  </si>
  <si>
    <r>
      <rPr>
        <sz val="8"/>
        <rFont val="Arial"/>
        <family val="2"/>
      </rPr>
      <t xml:space="preserve">Form </t>
    </r>
    <r>
      <rPr>
        <b/>
        <sz val="12"/>
        <rFont val="Arial"/>
        <family val="2"/>
      </rPr>
      <t>2555</t>
    </r>
  </si>
  <si>
    <t>Taxpayers Qualifying Under Physical Presence Test (see instructions)</t>
  </si>
  <si>
    <t>The physical presence test is based on the 12-month period from</t>
  </si>
  <si>
    <t>through</t>
  </si>
  <si>
    <t>Enter your principal country of employment during your tax year.</t>
  </si>
  <si>
    <t>(a) Name of country 
(including U.S.)</t>
  </si>
  <si>
    <t>(b) Date arrived</t>
  </si>
  <si>
    <t>(c) Date left</t>
  </si>
  <si>
    <t>(d) Full days 
present 
in country</t>
  </si>
  <si>
    <t>(e) Number of 
days in U.S. 
on business</t>
  </si>
  <si>
    <t>(f) Income earned in U.S. 
on business 
(attach computation)</t>
  </si>
  <si>
    <t>All Taxpayers</t>
  </si>
  <si>
    <t>constructively received the income.</t>
  </si>
  <si>
    <t>the service.</t>
  </si>
  <si>
    <t>Amount 
(in U.S. dollars)</t>
  </si>
  <si>
    <t>Total wages, salaries, bonuses, commissions, etc.</t>
  </si>
  <si>
    <t>Allowable share of income for personal services performed (see instructions):</t>
  </si>
  <si>
    <t>In a business (including farming) or profession</t>
  </si>
  <si>
    <t>In a partnership. List partnership’s name and address and type of income.</t>
  </si>
  <si>
    <t xml:space="preserve">20 </t>
  </si>
  <si>
    <t xml:space="preserve">19 </t>
  </si>
  <si>
    <t xml:space="preserve">21 </t>
  </si>
  <si>
    <t>Noncash income (market value of property or facilities furnished by employer—attach statement</t>
  </si>
  <si>
    <t>showing how it was determined):</t>
  </si>
  <si>
    <t>Home (lodging)</t>
  </si>
  <si>
    <t>Meals</t>
  </si>
  <si>
    <t>Car</t>
  </si>
  <si>
    <t>21c</t>
  </si>
  <si>
    <t>Other property or facilities. List type and amount.</t>
  </si>
  <si>
    <t>21d</t>
  </si>
  <si>
    <t>22a</t>
  </si>
  <si>
    <t>22b</t>
  </si>
  <si>
    <t>22c</t>
  </si>
  <si>
    <t>22d</t>
  </si>
  <si>
    <t>Cost of living and overseas differential</t>
  </si>
  <si>
    <t>Allowances, reimbursements, or expenses paid on your behalf for services you performed:</t>
  </si>
  <si>
    <t xml:space="preserve">22 </t>
  </si>
  <si>
    <t>22e</t>
  </si>
  <si>
    <t>Family</t>
  </si>
  <si>
    <t>Education</t>
  </si>
  <si>
    <t>Home leave</t>
  </si>
  <si>
    <t>Quarters</t>
  </si>
  <si>
    <t>For any other purpose. List type and amount.</t>
  </si>
  <si>
    <t xml:space="preserve">f </t>
  </si>
  <si>
    <t>22f</t>
  </si>
  <si>
    <t>Add lines 22a through 22f</t>
  </si>
  <si>
    <t xml:space="preserve">g </t>
  </si>
  <si>
    <t>22g</t>
  </si>
  <si>
    <t xml:space="preserve">23 </t>
  </si>
  <si>
    <t>Other foreign earned income. List type and amount.</t>
  </si>
  <si>
    <t>Add lines 19 through 21d, line 22g, and line 23</t>
  </si>
  <si>
    <t xml:space="preserve">24 </t>
  </si>
  <si>
    <t>Total amount of meals and lodging included on line 24 that is excludable (see instructions)</t>
  </si>
  <si>
    <t xml:space="preserve">25 </t>
  </si>
  <si>
    <t xml:space="preserve">26 </t>
  </si>
  <si>
    <t>Subtract line 25 from line 24. Enter the result here and on line 27 on page 3.</t>
  </si>
  <si>
    <t>foreign earned income.</t>
  </si>
  <si>
    <t xml:space="preserve">27 </t>
  </si>
  <si>
    <t>Enter the amount from line 26</t>
  </si>
  <si>
    <t>Are you claiming the housing exclusion or housing deduction?</t>
  </si>
  <si>
    <t>Taxpayers Claiming the Housing Exclusion and/or Deduction</t>
  </si>
  <si>
    <t>Qualified housing expenses for the tax year (see instructions)</t>
  </si>
  <si>
    <t>Enter location where housing expenses incurred (see instructions)</t>
  </si>
  <si>
    <t xml:space="preserve">29 a </t>
  </si>
  <si>
    <t>Enter limit on housing expenses (see instructions)</t>
  </si>
  <si>
    <t>29b</t>
  </si>
  <si>
    <t>year (see instructions)</t>
  </si>
  <si>
    <t>days</t>
  </si>
  <si>
    <t>any of Part IX</t>
  </si>
  <si>
    <t>Enter employer-provided amounts (see instructions)</t>
  </si>
  <si>
    <t>amount on line 34. Also, complete Part VIII</t>
  </si>
  <si>
    <t>income exclusion, complete Parts VII and VIII before Part IX.</t>
  </si>
  <si>
    <t>Taxpayers Claiming the Foreign Earned Income Exclusion</t>
  </si>
  <si>
    <t>Part VII</t>
  </si>
  <si>
    <t>Maximum foreign earned income exclusion</t>
  </si>
  <si>
    <t>37</t>
  </si>
  <si>
    <t>If you completed Part VI, enter the number from line 31.</t>
  </si>
  <si>
    <t>38</t>
  </si>
  <si>
    <t>All others, enter the number of days in your qualifying period that</t>
  </si>
  <si>
    <t>a decimal (rounded to at least three places).</t>
  </si>
  <si>
    <t>Multiply line 37 by line 39</t>
  </si>
  <si>
    <t>39</t>
  </si>
  <si>
    <t>40</t>
  </si>
  <si>
    <t>Subtract line 36 from line 27</t>
  </si>
  <si>
    <t>41</t>
  </si>
  <si>
    <t>42</t>
  </si>
  <si>
    <t>Part VIII</t>
  </si>
  <si>
    <t>Taxpayers Claiming the Housing Exclusion, Foreign Earned Income Exclusion, or Both</t>
  </si>
  <si>
    <t>Add lines 36 and 42</t>
  </si>
  <si>
    <t>43</t>
  </si>
  <si>
    <t>Deductions allowed in figuring your adjusted gross income (Form 1040, line 37) that are allocable</t>
  </si>
  <si>
    <t>44</t>
  </si>
  <si>
    <t>to the excluded income. See instructions and attach computation</t>
  </si>
  <si>
    <t>45</t>
  </si>
  <si>
    <t>Part IX</t>
  </si>
  <si>
    <r>
      <t>Taxpayers Claiming the Housing Deduction</t>
    </r>
    <r>
      <rPr>
        <sz val="12"/>
        <rFont val="Arial"/>
        <family val="2"/>
      </rPr>
      <t>—Complete this part only if (a) line 33 is more than line 36 and
(b) line 27 is more than line 43.</t>
    </r>
  </si>
  <si>
    <t>Subtract line 36 from line 33</t>
  </si>
  <si>
    <t>Subtract line 43 from line 27</t>
  </si>
  <si>
    <t>46</t>
  </si>
  <si>
    <t>47</t>
  </si>
  <si>
    <t>48</t>
  </si>
  <si>
    <t>figure the amount to enter on line 49. Otherwise, go to line 50.</t>
  </si>
  <si>
    <t>49</t>
  </si>
  <si>
    <t>50</t>
  </si>
  <si>
    <t>Number of days</t>
  </si>
  <si>
    <t>in your tax year.</t>
  </si>
  <si>
    <t xml:space="preserve">.   .   .   .   .   .   .   .   .   .   .   .   .   .   .   .   .   .   .   .   .   .   .   .   .   .   .   .   .   .   .   .   .   . </t>
  </si>
  <si>
    <t xml:space="preserve">.   .   .   .   .   .   .   .   .   .   .   .   .   .   .   .   .   .   .   .   .   .   .   .   .   .   .   .   .   .   .   .   .   .   .   .   .   . </t>
  </si>
  <si>
    <t xml:space="preserve">.   .   .   .   .   .   .   .   .   .   .   .   .   .   .   .   .   .   .   .   .   .   .   .   .   .   .   .   .   .   .   .   .   .   .   .   .   .   .   . </t>
  </si>
  <si>
    <t xml:space="preserve">.   .   .   .   .   .   .   .   .   .   .   .   .   .   .   .   .   .   .   .   .   .   .   .   .   .   .   .   .   .   .   .   . </t>
  </si>
  <si>
    <t xml:space="preserve">.   .   .   .   .   .   .   .   .   .   .   .   .   .   .   .   .   .   .   .   .   .   .   .   .   .   .   .   .   .   .   .   .   .   .   . </t>
  </si>
  <si>
    <t xml:space="preserve">Subtract line 32 from line 30. </t>
  </si>
  <si>
    <t>Use this worksheet if you answered “Yes” to Step 5, question 2.</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</si>
  <si>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</si>
  <si>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</si>
  <si>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r>
      <t>For more details, see Pub. 590-A</t>
    </r>
    <r>
      <rPr>
        <b/>
        <sz val="10"/>
        <rFont val="Arial"/>
        <family val="2"/>
      </rPr>
      <t xml:space="preserve">.   .   .   .   .   .   .   .   .   .   .   .   .   .   .   .   .   .   .   .   .   .   . </t>
    </r>
  </si>
  <si>
    <t>see Pub. 590-A to figure your IRA deduction.</t>
  </si>
  <si>
    <r>
      <rPr>
        <b/>
        <sz val="10"/>
        <rFont val="Arial"/>
        <family val="2"/>
      </rPr>
      <t>smallest</t>
    </r>
    <r>
      <rPr>
        <sz val="10"/>
        <rFont val="Arial"/>
        <family val="2"/>
      </rPr>
      <t xml:space="preserve"> of line 7b, 10, or 11b. This is the most you can deduct. Add the amounts on lines 12a</t>
    </r>
  </si>
  <si>
    <r>
      <t xml:space="preserve">On line 12a, enter the </t>
    </r>
    <r>
      <rPr>
        <b/>
        <sz val="10"/>
        <rFont val="Arial"/>
        <family val="2"/>
      </rPr>
      <t>smallest</t>
    </r>
    <r>
      <rPr>
        <sz val="10"/>
        <rFont val="Arial"/>
        <family val="2"/>
      </rPr>
      <t xml:space="preserve"> of line 7a, 10, or 11a. On line 12b, enter the</t>
    </r>
  </si>
  <si>
    <t>Do not complete the rest of this worksheet.</t>
  </si>
  <si>
    <t xml:space="preserve"> .   .   .   .   .   .   .   .   .   .   .   .   .   .   .   .   .   .   .   .   .   .   .   .   .   .</t>
  </si>
  <si>
    <t>Combine lines 1e, 2c, 3, and 4a.</t>
  </si>
  <si>
    <t>This is your total earned income.</t>
  </si>
  <si>
    <t xml:space="preserve">3 or more qualifying children, </t>
  </si>
  <si>
    <t>2 qualifying children,</t>
  </si>
  <si>
    <t>1 qualifying child,</t>
  </si>
  <si>
    <r>
      <t>Yes.</t>
    </r>
    <r>
      <rPr>
        <sz val="10"/>
        <rFont val="Arial"/>
        <family val="2"/>
      </rPr>
      <t xml:space="preserve">  If you want the IRS to figure your credit, see </t>
    </r>
    <r>
      <rPr>
        <i/>
        <sz val="10"/>
        <rFont val="Arial"/>
        <family val="2"/>
      </rPr>
      <t>Credit figured by the IRS</t>
    </r>
    <r>
      <rPr>
        <sz val="10"/>
        <rFont val="Arial"/>
        <family val="2"/>
      </rPr>
      <t>, earlier.</t>
    </r>
  </si>
  <si>
    <t>1 or more qualifying children,</t>
  </si>
  <si>
    <t>3 or more qualifying children,</t>
  </si>
  <si>
    <t>Schedule C, line 31 (excluding statutory employee income, etc.)</t>
  </si>
  <si>
    <r>
      <t>Gross profit.</t>
    </r>
    <r>
      <rPr>
        <sz val="9"/>
        <rFont val="Arial"/>
        <family val="2"/>
      </rPr>
      <t xml:space="preserve">  Subtract line 4 from line 3</t>
    </r>
  </si>
  <si>
    <t xml:space="preserve">6.  </t>
  </si>
  <si>
    <t xml:space="preserve">7. </t>
  </si>
  <si>
    <t xml:space="preserve">8.  </t>
  </si>
  <si>
    <t xml:space="preserve">4a.   </t>
  </si>
  <si>
    <t xml:space="preserve">4b.   </t>
  </si>
  <si>
    <t xml:space="preserve">3.   </t>
  </si>
  <si>
    <r>
      <t xml:space="preserve">Enter the </t>
    </r>
    <r>
      <rPr>
        <b/>
        <sz val="10"/>
        <rFont val="Arial"/>
        <family val="2"/>
      </rPr>
      <t>smallest</t>
    </r>
    <r>
      <rPr>
        <sz val="10"/>
        <rFont val="Arial"/>
        <family val="2"/>
      </rPr>
      <t xml:space="preserve"> of line 3, 4, or 5</t>
    </r>
  </si>
  <si>
    <t>Enter the amount from your (and your spouse's if filing jointly) Form 2555,</t>
  </si>
  <si>
    <t>lines 45 and 50, or Form 2555-EZ, line 18</t>
  </si>
  <si>
    <t>Enter the total amount of any itemized deductions or exclusions you</t>
  </si>
  <si>
    <t>Subtract line 2b from line 2a. If zero or less, enter -0-</t>
  </si>
  <si>
    <t>Add lines 1 and 2c</t>
  </si>
  <si>
    <t>Tax on the amount on line 3.</t>
  </si>
  <si>
    <t>separately) from the result.</t>
  </si>
  <si>
    <t>married filing separately) from the result</t>
  </si>
  <si>
    <t>Federal poverty line. Enter the federal poverty line amount from Table 1-1, 1-2, or 1-3 (see instr.). Check the appro-</t>
  </si>
  <si>
    <t>priate box for the federal poverty table used.</t>
  </si>
  <si>
    <t>Household income as a percentage of federal poverty line (see instructions)</t>
  </si>
  <si>
    <t xml:space="preserve">.   .   .   .   .   .   .   .   .   .   .   .   .   .  </t>
  </si>
  <si>
    <r>
      <t xml:space="preserve">No. </t>
    </r>
    <r>
      <rPr>
        <sz val="10"/>
        <rFont val="Arial"/>
        <family val="2"/>
      </rPr>
      <t>Continue to line 7.</t>
    </r>
  </si>
  <si>
    <r>
      <rPr>
        <b/>
        <sz val="10"/>
        <rFont val="Arial"/>
        <family val="2"/>
      </rPr>
      <t>Yes.</t>
    </r>
    <r>
      <rPr>
        <sz val="10"/>
        <rFont val="Arial"/>
        <family val="2"/>
      </rPr>
      <t xml:space="preserve"> Continue to line 11. Compute your annual PTC. Skip lines 12–23</t>
    </r>
  </si>
  <si>
    <r>
      <t>No.</t>
    </r>
    <r>
      <rPr>
        <sz val="10"/>
        <rFont val="Arial"/>
        <family val="2"/>
      </rPr>
      <t xml:space="preserve"> Continue to line 10.</t>
    </r>
  </si>
  <si>
    <t>Part VI</t>
  </si>
  <si>
    <r>
      <t xml:space="preserve">Be sure you have read the </t>
    </r>
    <r>
      <rPr>
        <b/>
        <sz val="10"/>
        <rFont val="Arial"/>
        <family val="2"/>
      </rPr>
      <t>Exception</t>
    </r>
    <r>
      <rPr>
        <sz val="10"/>
        <rFont val="Arial"/>
        <family val="2"/>
      </rPr>
      <t xml:space="preserve"> in the instructions for this line to see if you must fill in</t>
    </r>
  </si>
  <si>
    <t>Enter the amount from your (and your spouse's, if filing jointly) Form 2555, lines 45 and 50, or</t>
  </si>
  <si>
    <t>2a.</t>
  </si>
  <si>
    <t>Enter the total amount of any itemized deductions or exclusions you couldn't claim because they are</t>
  </si>
  <si>
    <t>related to excluded income</t>
  </si>
  <si>
    <t>applies. (Do not use a second Foreign Earned Income Tax Worksheet to figure the tax on this</t>
  </si>
  <si>
    <t>line)</t>
  </si>
  <si>
    <t>Tax Table to figure this tax. If the amount on line 2c is $100,000 or more, use the Tax Computation</t>
  </si>
  <si>
    <t>Subtract line 5 from line 4. Enter the result. If zero or less, enter -0-. Also include this amount on</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</si>
  <si>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</si>
  <si>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</si>
  <si>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the result is more than zero, that amount is your capital gain excess.</t>
  </si>
  <si>
    <t>*Enter the amount from line 3 above on line 1 of the Qualified Dividends and Capital Gain Tax Worksheet or Schedule D Tax Worksheet if you</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</si>
  <si>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</si>
  <si>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</si>
  <si>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</si>
  <si>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</si>
  <si>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</si>
  <si>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</si>
  <si>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</si>
  <si>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or line 6 of your Schedule D Tax Worksheet by any of your capital gain excess not used in (1) above.</t>
  </si>
  <si>
    <t>3. Reduce (but not below zero) the amount on your Schedule D (Form 1040), line 18, by your capital gain excess.</t>
  </si>
  <si>
    <t>4. Include your capital gain excess as a loss on line 16 of your Unrecaptured Section 1250 Gain Worksheet in the Instructions for</t>
  </si>
  <si>
    <t>Schedule D (Form 1040).</t>
  </si>
  <si>
    <t>https://www.irs.gov/pub/irs-pdf/f1040sei.pdf</t>
  </si>
  <si>
    <t>Pub. 970 to figure your deduction.</t>
  </si>
  <si>
    <t>Subtract line 3 from line 2</t>
  </si>
  <si>
    <t>Skip lines 6 and 7, enter -0- on line 8, and go to line 9.</t>
  </si>
  <si>
    <t>Subtract line 5 from line 4</t>
  </si>
  <si>
    <t>(rounded to at least three places). If the result is 1.000 or more, enter 1.000</t>
  </si>
  <si>
    <t>Multiply line 1 by line 7</t>
  </si>
  <si>
    <t>Date &amp; Time</t>
  </si>
  <si>
    <t xml:space="preserve">S.E. Tax Deduction = </t>
  </si>
  <si>
    <t xml:space="preserve">Self Employment Tax= </t>
  </si>
  <si>
    <t>400 or 401  .   .   .   .   .   .  leave line 28 blank</t>
  </si>
  <si>
    <t>your adjusted gross income is more than:</t>
  </si>
  <si>
    <t>Reference:</t>
  </si>
  <si>
    <t>IRS Publication 526, Charitable Contributions</t>
  </si>
  <si>
    <t xml:space="preserve"> if married filing separately,</t>
  </si>
  <si>
    <t xml:space="preserve"> if single,</t>
  </si>
  <si>
    <t xml:space="preserve"> if head of household, or</t>
  </si>
  <si>
    <t xml:space="preserve"> if married filing jointly or qualify</t>
  </si>
  <si>
    <t>(Refer to Publication 526)</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</si>
  <si>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</si>
  <si>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For Paperwork Reduction Act Notice, see the Form 1040 instructions.</t>
  </si>
  <si>
    <t>Payer #5</t>
  </si>
  <si>
    <t>Payer #6</t>
  </si>
  <si>
    <t>Payer #7</t>
  </si>
  <si>
    <t>29a</t>
  </si>
  <si>
    <t>Check here to use this worksheet anyway.</t>
  </si>
  <si>
    <t>BadBirthdaySpouse</t>
  </si>
  <si>
    <t>BadBirthday_Yours</t>
  </si>
  <si>
    <t xml:space="preserve">   file Form 4562.</t>
  </si>
  <si>
    <t xml:space="preserve">   and are not required to file Form 4562 for this business. See the instructions for line 13 on instructions to find out if you must</t>
  </si>
  <si>
    <t>70th Birthday --&gt;</t>
  </si>
  <si>
    <t>End of tax year minus 6 months --&gt;</t>
  </si>
  <si>
    <t xml:space="preserve"> do not apply to you.</t>
  </si>
  <si>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</si>
  <si>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</si>
  <si>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t xml:space="preserve">Attach to Form 1040 or Form 1040NR.   </t>
  </si>
  <si>
    <r>
      <t xml:space="preserve">   Optional Methods To Figure Net Earnings </t>
    </r>
    <r>
      <rPr>
        <sz val="11"/>
        <rFont val="Arial"/>
        <family val="2"/>
      </rPr>
      <t>(see instructions)</t>
    </r>
  </si>
  <si>
    <t>From Sch. C, line 31; Sch. C-EZ, line 3; Sch. K-1 (Form 1065), box 14, code A;    
and Sch. K-1 (Form 1065-B), box 9, code J1.</t>
  </si>
  <si>
    <t>From Sch. C, line 7; Sch. C-EZ, line 1; Sch. K-1 (Form 1065), box 14, code C; 
and Sch. K-1 (Form 1065-B), box 9, code J2.</t>
  </si>
  <si>
    <t>Attach to Form 1040. Complete the Foreign Earned Income Tax Worksheet in</t>
  </si>
  <si>
    <t>the Instructions for Form 1040 if you enter an amount on lines 45 or 50.</t>
  </si>
  <si>
    <t>If you didn't previously file Form 2555 or 2555-EZ to claim either of the exclusions, check here</t>
  </si>
  <si>
    <t>residence that you aren't a resident of that country? See instructions</t>
  </si>
  <si>
    <t>Next, complete either Part II or Part III. If an item doesn't apply, enter “NA.” If you don't give</t>
  </si>
  <si>
    <t>If you answered “Yes” to 13a and “No” to 13b, you don't qualify as a bona fide resident. Don't complete the rest of</t>
  </si>
  <si>
    <t>foreign countries that didn't involve travel on or over international waters, or in or over the United States, for 24 hours or more.</t>
  </si>
  <si>
    <t>If the result is zero or less, don't complete the rest of this part or</t>
  </si>
  <si>
    <t>don't enter more than “1.000”</t>
  </si>
  <si>
    <t>Divide line 34 by line 27. Enter the result as a decimal (rounded to at least three places), but</t>
  </si>
  <si>
    <r>
      <rPr>
        <b/>
        <sz val="9"/>
        <rFont val="Marlett"/>
        <charset val="2"/>
      </rPr>
      <t>4</t>
    </r>
    <r>
      <rPr>
        <b/>
        <sz val="9"/>
        <rFont val="Arial"/>
        <family val="2"/>
      </rPr>
      <t xml:space="preserve">  If any line doesn't apply to you, leave it blank. See separate instructions.</t>
    </r>
  </si>
  <si>
    <t>You cannot claim the PTC if your filing status is married filing separately unless you qualify for an exception (see instructions). If you qualify, check the box.</t>
  </si>
  <si>
    <t>Household income. Add the amounts on lines 2a and 2b (see instructions)</t>
  </si>
  <si>
    <r>
      <rPr>
        <b/>
        <sz val="10"/>
        <rFont val="Arial"/>
        <family val="2"/>
      </rPr>
      <t>Yes.</t>
    </r>
    <r>
      <rPr>
        <sz val="10"/>
        <rFont val="Arial"/>
        <family val="2"/>
      </rPr>
      <t xml:space="preserve"> You are not eligible to take the PTC. If advance payment of the PTC was made, see the instructions for</t>
    </r>
  </si>
  <si>
    <t>Annual contribution amt. Multiply line 3 by</t>
  </si>
  <si>
    <t>line 7. Round to nearest whole dollar.</t>
  </si>
  <si>
    <t>Part V, Alternative Calculation for Year of Marriage.</t>
  </si>
  <si>
    <t>Skip to</t>
  </si>
  <si>
    <t xml:space="preserve">Part IV, Allocation of Policy Amounts, or </t>
  </si>
  <si>
    <r>
      <rPr>
        <b/>
        <sz val="9"/>
        <rFont val="Arial"/>
        <family val="2"/>
      </rPr>
      <t>(c)</t>
    </r>
    <r>
      <rPr>
        <sz val="9"/>
        <rFont val="Arial"/>
        <family val="2"/>
      </rPr>
      <t xml:space="preserve"> Monthly contribution amount (amount from line 8b or alternative marriage monthly calculation)</t>
    </r>
  </si>
  <si>
    <t xml:space="preserve"> If line 25 is greater than line 24, leave this line blank and continue to line 27</t>
  </si>
  <si>
    <t>Allocation of Policy Amounts</t>
  </si>
  <si>
    <t>Allocation 1</t>
  </si>
  <si>
    <t>Allocation 2</t>
  </si>
  <si>
    <t>Allocation 3</t>
  </si>
  <si>
    <t>Allocation 4</t>
  </si>
  <si>
    <t>Have you completed all policy amount allocations?</t>
  </si>
  <si>
    <t>allocated policy amounts from Forms 1095-A, if any, to compute a combined total for each month. Enter the combined total for each month on</t>
  </si>
  <si>
    <t>lines 12–23, columns (a), (b), and (f). Compute the amounts for lines 12–23, columns (c)–(e), and continue to line 24.</t>
  </si>
  <si>
    <t>Alternative monthly
contribution amount</t>
  </si>
  <si>
    <t xml:space="preserve">Form 2555 or 2555-EZ (relating to foreign earned income), enter instead the amount from line 3 of the </t>
  </si>
  <si>
    <t>(or Form 1040NR, line 10b)</t>
  </si>
  <si>
    <t>If the amount on line 19 is $100,000 or more, use the Tax Computation Worksheet</t>
  </si>
  <si>
    <r>
      <t xml:space="preserve">Figure the tax on the amount on </t>
    </r>
    <r>
      <rPr>
        <b/>
        <sz val="9"/>
        <rFont val="Arial"/>
        <family val="2"/>
      </rPr>
      <t>line 19</t>
    </r>
    <r>
      <rPr>
        <sz val="9"/>
        <rFont val="Arial"/>
        <family val="2"/>
      </rPr>
      <t>. If the amount on line 19 is less than $100,000, use the Tax Table to figure the tax.</t>
    </r>
  </si>
  <si>
    <t>If the amount on line 1 is $100,000 or more, use the Tax Computation Worksheet</t>
  </si>
  <si>
    <t>don't make an entry for any section 1202 exclusion that is 100% of the gain.</t>
  </si>
  <si>
    <t>Capital Loss Carryover Worksheet—Lines 6 and 14</t>
  </si>
  <si>
    <t xml:space="preserve">.   .   .   .   .   .   .   .   .   .   .   .   .   .   .   .   .   .   .   .   .   .   .   .   .   .   .   .   .   .   .   .   .   .   .   .   .   .   .   .   .   .   .   .   .   .   .   .   .   .   </t>
  </si>
  <si>
    <t>If a loss, enclose the amount in parentheses</t>
  </si>
  <si>
    <t xml:space="preserve">.   .   .   .   .   .   .   .   .   .   .   .   .   .   .   .   .   .   .   .   .   .   .   .   .   .   .   .   .   .   .   .   .   .   .   .   .   .   .   .   </t>
  </si>
  <si>
    <t>Combine lines 1 and 2. If zero or less, enter -0-</t>
  </si>
  <si>
    <t xml:space="preserve"> .   .   .   .   .   .   .   .   .   .   .   .   .   .   .   .   .   .   .   .   .   .   .   .   .   .   .   .   .   .   .   .   .   .   .   .   .   </t>
  </si>
  <si>
    <t xml:space="preserve"> .   .   .   .   .   .   .   .   .   .   .   .   .   .   .   .   .   .   .   .   .   .   .   .   .   .   .   </t>
  </si>
  <si>
    <t xml:space="preserve">  .   .   .   .   .   .   .   .   .   .   .   .   .   .   .   .   .   .   .   .   .   .   .   .   .   .   .   .   .   .   .   .   .   .   </t>
  </si>
  <si>
    <t>Add lines 4 and 6</t>
  </si>
  <si>
    <t xml:space="preserve">.   .   .   .   .   .   .   .   .   .   .   .   .   .   .   .   .   .   .   .   .   .   .   .   .   .   .   .   .   .   .   .   .   .   .   .   .   .   .   .   .   .   .   .   .   .   .   .   .   .   .   </t>
  </si>
  <si>
    <r>
      <t>l</t>
    </r>
    <r>
      <rPr>
        <sz val="9"/>
        <rFont val="Arial"/>
        <family val="2"/>
      </rPr>
      <t xml:space="preserve"> </t>
    </r>
  </si>
  <si>
    <t xml:space="preserve">.   .   .   .   .   .   .   .   .   .   .   .   .   .   .   .   .   .   .   .   .   .   .   .   .   .   .   .   .   .   .   .   </t>
  </si>
  <si>
    <t xml:space="preserve"> If more than zero, also enter this amount on Schedule D, line 6</t>
  </si>
  <si>
    <t>Subtract line 5 from line 4. If zero or less, enter -0-</t>
  </si>
  <si>
    <t>Add lines 10 and 11</t>
  </si>
  <si>
    <t>Subtract line 7 from line 5. If zero or less, enter -0-.</t>
  </si>
  <si>
    <t xml:space="preserve"> If more than zero, also enter this amount on Schedule D, line 14</t>
  </si>
  <si>
    <t>Otherwise, you don't have any carryovers.</t>
  </si>
  <si>
    <t>any capital loss carryover from the joint return can be deducted only on the return of the spouse who actually had the loss.</t>
  </si>
  <si>
    <t>Subtract line 12 from line 9. If zero or less, enter -0-.</t>
  </si>
  <si>
    <t>&lt;---  Line 41 is less than zero.</t>
  </si>
  <si>
    <t>&lt;-- Any entries?</t>
  </si>
  <si>
    <t>Look up the amount on line 6 above in the EIC Table to find</t>
  </si>
  <si>
    <t>the credit. Be sure you use the correct column for your filing status</t>
  </si>
  <si>
    <t>and the number of children you have. Enter the credit here.</t>
  </si>
  <si>
    <t xml:space="preserve">  Before you begin:</t>
  </si>
  <si>
    <t>Bad</t>
  </si>
  <si>
    <t xml:space="preserve">    Earned Income Calculation</t>
  </si>
  <si>
    <t>This is your earned income.</t>
  </si>
  <si>
    <t>Add lines 7, 8, 9, and 10</t>
  </si>
  <si>
    <t>Electing to include nontaxable combat pay may increase or decrease your EIC. Figure the credit with and without your nontaxable combat pay before making the election.</t>
  </si>
  <si>
    <t>Subtract Line 12 from Line 11.</t>
  </si>
  <si>
    <t xml:space="preserve">Information for Lines 2, 3, 4, 5, and 8 are </t>
  </si>
  <si>
    <t>NOTE:</t>
  </si>
  <si>
    <t>Earned Income Credit (See sheet "Line 66").</t>
  </si>
  <si>
    <r>
      <rPr>
        <b/>
        <i/>
        <sz val="9"/>
        <rFont val="Arial"/>
        <family val="2"/>
      </rPr>
      <t>Earned income</t>
    </r>
    <r>
      <rPr>
        <i/>
        <sz val="9"/>
        <rFont val="Arial"/>
        <family val="2"/>
      </rPr>
      <t xml:space="preserve"> includes wages, salaries, tips, professional fees, and other compensation received for personal services you performed. It also includes any taxable scholarship or fellowship grant. Generally, your earned income is the total of the amount(s) you reported on Form 1040, lines 7, 12, and 18, minus the amount, if any, on line 27.   Source: Standard Deducation Worksheet for Dependents -- Line 40.</t>
    </r>
  </si>
  <si>
    <t>Standard Deduction Worksheet for Dependents and</t>
  </si>
  <si>
    <t>Earned Income Credit Worksheet</t>
  </si>
  <si>
    <t>Sources:</t>
  </si>
  <si>
    <t>Information entered into Lines 2, 3, 4, 5 and 8 are used to calculate the</t>
  </si>
  <si>
    <t>More</t>
  </si>
  <si>
    <t>line 2a.</t>
  </si>
  <si>
    <t>Add lines 1 through 4. Enter here and on Form 8962,</t>
  </si>
  <si>
    <t>line 2b</t>
  </si>
  <si>
    <t>Amount from Line 3 of Form 8962.</t>
  </si>
  <si>
    <t>Your deduction may be further limited to 30% or 20% of your adjusted gross income, depending on the type of property you give</t>
  </si>
  <si>
    <t>You</t>
  </si>
  <si>
    <t>Birthdate and age calculator</t>
  </si>
  <si>
    <t xml:space="preserve">  Line 39 ---&gt;</t>
  </si>
  <si>
    <r>
      <t xml:space="preserve">Manual
Overide </t>
    </r>
    <r>
      <rPr>
        <b/>
        <sz val="10"/>
        <rFont val="Wingdings"/>
        <charset val="2"/>
      </rPr>
      <t>ê</t>
    </r>
  </si>
  <si>
    <t>Form 2555-EZ, line 18; and Form 4563, line 15.</t>
  </si>
  <si>
    <t xml:space="preserve">Check here if your spouse itemized </t>
  </si>
  <si>
    <t>cannot be</t>
  </si>
  <si>
    <t>at annuity starting date</t>
  </si>
  <si>
    <t xml:space="preserve">  Check here if you completed this worksheet last year.</t>
  </si>
  <si>
    <t>Were annuity payments for your life</t>
  </si>
  <si>
    <r>
      <rPr>
        <u/>
        <sz val="8"/>
        <rFont val="Arial"/>
        <family val="2"/>
      </rPr>
      <t>and</t>
    </r>
    <r>
      <rPr>
        <sz val="8"/>
        <rFont val="Arial"/>
        <family val="2"/>
      </rPr>
      <t xml:space="preserve"> that of your beneficiary?</t>
    </r>
  </si>
  <si>
    <t>Line 16</t>
  </si>
  <si>
    <t>Important Instructions for use of this Worksheet:</t>
  </si>
  <si>
    <t xml:space="preserve">If your Form 1099-R doesn't show the taxable amount, you must use the General Rule explained in Pub. 939 to figure the </t>
  </si>
  <si>
    <r>
      <t>l</t>
    </r>
    <r>
      <rPr>
        <sz val="8"/>
        <rFont val="Arial"/>
        <family val="2"/>
      </rPr>
      <t xml:space="preserve"> </t>
    </r>
  </si>
  <si>
    <t>a lower taxable amount by using the General Rule or the Simplified Method or if the exclusion for retired public safety officers applies.</t>
  </si>
  <si>
    <t>Spouse</t>
  </si>
  <si>
    <t>W-2 SS Wages and Tips</t>
  </si>
  <si>
    <t>Manual
Override</t>
  </si>
  <si>
    <t>Additional State and Local Income Taxes Paid Worksheet—Line 5</t>
  </si>
  <si>
    <t>local income tax return.  Don't include penalties or interest.</t>
  </si>
  <si>
    <t>(There is no IRS worksheet like this.)</t>
  </si>
  <si>
    <r>
      <t xml:space="preserve">Were you covered by a retirement plan (see </t>
    </r>
    <r>
      <rPr>
        <i/>
        <sz val="10"/>
        <rFont val="Arial"/>
        <family val="2"/>
      </rPr>
      <t>Were You Covered by a</t>
    </r>
  </si>
  <si>
    <r>
      <t xml:space="preserve"> Yes. </t>
    </r>
    <r>
      <rPr>
        <sz val="10"/>
        <rFont val="Arial"/>
        <family val="2"/>
      </rPr>
      <t xml:space="preserve">              STOP</t>
    </r>
  </si>
  <si>
    <t>and the type of organization you give it to. A higher limit applies to certain qualified conservation contributions.</t>
  </si>
  <si>
    <t>These limits are described in detail in Publication 526.</t>
  </si>
  <si>
    <t>Underpayment of Estimated Tax
by Individuals, Estates, and Trusts</t>
  </si>
  <si>
    <t>Attach to Form 1040, 1040A, 1040NR, 1040NR-EZ, or 1041.</t>
  </si>
  <si>
    <t>Name(s) shown on tax return</t>
  </si>
  <si>
    <t>Identifying number</t>
  </si>
  <si>
    <t>Do You Have To File Form 2210?</t>
  </si>
  <si>
    <t>Complete lines 8 and 9 below. Is line 6 equal to or more than line 9?</t>
  </si>
  <si>
    <t>You may owe a penalty. Does any box in Part II below apply?</t>
  </si>
  <si>
    <t>You must figure your penalty.</t>
  </si>
  <si>
    <t>Required Annual Payment</t>
  </si>
  <si>
    <t>Other taxes, including self-employment tax and, if applicable, Additional Medicare Tax and/or Net</t>
  </si>
  <si>
    <t>Investment Income Tax (see instructions)</t>
  </si>
  <si>
    <t>Refundable credits, including the premium tax credit (see instructions)</t>
  </si>
  <si>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</si>
  <si>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</si>
  <si>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Maximum required annual payment based on prior year’s tax (see instructions)</t>
  </si>
  <si>
    <r>
      <rPr>
        <b/>
        <sz val="10"/>
        <rFont val="Arial"/>
        <family val="2"/>
      </rPr>
      <t>Next:</t>
    </r>
    <r>
      <rPr>
        <sz val="10"/>
        <rFont val="Arial"/>
        <family val="2"/>
      </rPr>
      <t xml:space="preserve"> Is line 9 more than line 6?</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</si>
  <si>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</si>
  <si>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</si>
  <si>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</si>
  <si>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or IV as a</t>
  </si>
  <si>
    <r>
      <t xml:space="preserve">worksheet and enter your penalty on your tax return, but </t>
    </r>
    <r>
      <rPr>
        <b/>
        <sz val="10"/>
        <rFont val="Arial"/>
        <family val="2"/>
      </rPr>
      <t>file only page 1 of Form 2210.</t>
    </r>
  </si>
  <si>
    <t xml:space="preserve"> Part II</t>
  </si>
  <si>
    <t xml:space="preserve"> Part I</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</si>
  <si>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</si>
  <si>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</si>
  <si>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</si>
  <si>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</si>
  <si>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</si>
  <si>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r>
      <t xml:space="preserve">Form  </t>
    </r>
    <r>
      <rPr>
        <b/>
        <sz val="11"/>
        <rFont val="Arial"/>
        <family val="2"/>
      </rPr>
      <t>2210</t>
    </r>
  </si>
  <si>
    <t>Cat. No. 11744P</t>
  </si>
  <si>
    <t>For Paperwork Reduction Act Notice, see separate instructions.</t>
  </si>
  <si>
    <r>
      <t xml:space="preserve">You </t>
    </r>
    <r>
      <rPr>
        <b/>
        <sz val="10"/>
        <rFont val="Arial"/>
        <family val="2"/>
      </rPr>
      <t>must</t>
    </r>
    <r>
      <rPr>
        <sz val="10"/>
        <rFont val="Arial"/>
        <family val="2"/>
      </rPr>
      <t xml:space="preserve"> file Form 2210. Does box B, C, or D in Part II apply?</t>
    </r>
  </si>
  <si>
    <r>
      <t xml:space="preserve">You don't owe a penalty. </t>
    </r>
    <r>
      <rPr>
        <b/>
        <sz val="10"/>
        <rFont val="Arial"/>
        <family val="2"/>
      </rPr>
      <t>Don't file Form 2210</t>
    </r>
    <r>
      <rPr>
        <sz val="10"/>
        <rFont val="Arial"/>
        <family val="2"/>
      </rPr>
      <t xml:space="preserve">
(but if box </t>
    </r>
    <r>
      <rPr>
        <b/>
        <sz val="10"/>
        <rFont val="Arial"/>
        <family val="2"/>
      </rPr>
      <t>E</t>
    </r>
    <r>
      <rPr>
        <sz val="10"/>
        <rFont val="Arial"/>
        <family val="2"/>
      </rPr>
      <t xml:space="preserve"> in Part II applies, you must file page 1 of 
Form 2210).</t>
    </r>
  </si>
  <si>
    <r>
      <rPr>
        <b/>
        <sz val="10"/>
        <rFont val="Arial"/>
        <family val="2"/>
      </rPr>
      <t>Don't file Form 2210.</t>
    </r>
    <r>
      <rPr>
        <sz val="10"/>
        <rFont val="Arial"/>
        <family val="2"/>
      </rPr>
      <t xml:space="preserve"> You don't owe a penalty.</t>
    </r>
  </si>
  <si>
    <r>
      <t xml:space="preserve">Page </t>
    </r>
    <r>
      <rPr>
        <b/>
        <sz val="11"/>
        <rFont val="Arial"/>
        <family val="2"/>
      </rPr>
      <t>2</t>
    </r>
  </si>
  <si>
    <t xml:space="preserve"> Part III</t>
  </si>
  <si>
    <t>Short Method</t>
  </si>
  <si>
    <t>Can You Use the</t>
  </si>
  <si>
    <t>Short Method?</t>
  </si>
  <si>
    <t>You can use the short method if:</t>
  </si>
  <si>
    <t>You made no estimated tax payments (or your only payments were withheld</t>
  </si>
  <si>
    <t>You paid the same amount of estimated tax on each of the four payment</t>
  </si>
  <si>
    <t>due dates.</t>
  </si>
  <si>
    <t>Must You Use the</t>
  </si>
  <si>
    <t>Regular Method?</t>
  </si>
  <si>
    <t>You must use the regular method (Part IV) instead of the short method if:</t>
  </si>
  <si>
    <t>You made any estimated tax payments late,</t>
  </si>
  <si>
    <t>You are filing Form 1040NR or 1040NR-EZ and you didn't receive wages as</t>
  </si>
  <si>
    <t>an employee subject to U.S. income tax withholding.</t>
  </si>
  <si>
    <t>larger penalty than the regular method. If the payment was only a few days early, the difference is likely to be small.</t>
  </si>
  <si>
    <t>Enter the amount from Form 2210, line 9</t>
  </si>
  <si>
    <t>Enter the amount, if any, from Form 2210, line 6</t>
  </si>
  <si>
    <t>Add lines 11 and 12</t>
  </si>
  <si>
    <t>amount to enter on line 16.</t>
  </si>
  <si>
    <t>Amount on</t>
  </si>
  <si>
    <t>line 14</t>
  </si>
  <si>
    <t>Number of days paid</t>
  </si>
  <si>
    <t>Don't file Form 2210 unless you checked a box in Part II</t>
  </si>
  <si>
    <r>
      <t xml:space="preserve">You checked box </t>
    </r>
    <r>
      <rPr>
        <b/>
        <sz val="10"/>
        <rFont val="Arial"/>
        <family val="2"/>
      </rPr>
      <t>C</t>
    </r>
    <r>
      <rPr>
        <sz val="10"/>
        <rFont val="Arial"/>
        <family val="2"/>
      </rPr>
      <t xml:space="preserve"> or </t>
    </r>
    <r>
      <rPr>
        <b/>
        <sz val="10"/>
        <rFont val="Arial"/>
        <family val="2"/>
      </rPr>
      <t>D</t>
    </r>
    <r>
      <rPr>
        <sz val="10"/>
        <rFont val="Arial"/>
        <family val="2"/>
      </rPr>
      <t xml:space="preserve"> in Part II, </t>
    </r>
    <r>
      <rPr>
        <b/>
        <sz val="10"/>
        <rFont val="Arial"/>
        <family val="2"/>
      </rPr>
      <t>or</t>
    </r>
  </si>
  <si>
    <r>
      <t xml:space="preserve">federal income tax), </t>
    </r>
    <r>
      <rPr>
        <b/>
        <sz val="10"/>
        <rFont val="Arial"/>
        <family val="2"/>
      </rPr>
      <t>or</t>
    </r>
  </si>
  <si>
    <r>
      <t xml:space="preserve">If the amount on line 14  was paid </t>
    </r>
    <r>
      <rPr>
        <b/>
        <sz val="10"/>
        <rFont val="Arial"/>
        <family val="2"/>
      </rPr>
      <t>on or after</t>
    </r>
    <r>
      <rPr>
        <sz val="10"/>
        <rFont val="Arial"/>
        <family val="2"/>
      </rPr>
      <t xml:space="preserve"> </t>
    </r>
  </si>
  <si>
    <r>
      <t xml:space="preserve">If the amount on line 14 was paid </t>
    </r>
    <r>
      <rPr>
        <b/>
        <sz val="10"/>
        <rFont val="Arial"/>
        <family val="2"/>
      </rPr>
      <t>before</t>
    </r>
  </si>
  <si>
    <t>Date Paid</t>
  </si>
  <si>
    <t xml:space="preserve"> Part IV</t>
  </si>
  <si>
    <t>Regular Method</t>
  </si>
  <si>
    <t>(See the instructions if you are filing Form 1040NR or 1040NR-EZ.)</t>
  </si>
  <si>
    <t>Section A—Figure Your Underpayment</t>
  </si>
  <si>
    <t>Payment Due Dates</t>
  </si>
  <si>
    <r>
      <t xml:space="preserve">Page </t>
    </r>
    <r>
      <rPr>
        <b/>
        <sz val="11"/>
        <rFont val="Arial"/>
        <family val="2"/>
      </rPr>
      <t>3</t>
    </r>
  </si>
  <si>
    <t>each column</t>
  </si>
  <si>
    <t>Estimated tax paid and tax withheld (see the</t>
  </si>
  <si>
    <t>Enter the amount, if any, from line 26 in the previous</t>
  </si>
  <si>
    <t>column</t>
  </si>
  <si>
    <t xml:space="preserve">Subtract line 22 from line 21. If zero or less, enter -0-. </t>
  </si>
  <si>
    <t>For column (a) only, enter the amount from line 19</t>
  </si>
  <si>
    <t>If line 23 is zero, subtract line 21 from line 22.</t>
  </si>
  <si>
    <t>Otherwise, enter -0-</t>
  </si>
  <si>
    <t>line 23, subtract line 23 from line 18. Then go to line</t>
  </si>
  <si>
    <t>subtract line 18 from line 23. Then go to line 20 of</t>
  </si>
  <si>
    <t>the next column</t>
  </si>
  <si>
    <t>instructions.)</t>
  </si>
  <si>
    <r>
      <t xml:space="preserve">Page </t>
    </r>
    <r>
      <rPr>
        <b/>
        <sz val="11"/>
        <rFont val="Arial"/>
        <family val="2"/>
      </rPr>
      <t>4</t>
    </r>
  </si>
  <si>
    <t>Enter the total amount, if any, of estimated tax payments you made</t>
  </si>
  <si>
    <t>If none apply, don't file Form 2210.</t>
  </si>
  <si>
    <r>
      <rPr>
        <b/>
        <sz val="11"/>
        <rFont val="Arial"/>
        <family val="2"/>
      </rPr>
      <t>Reasons for Filing.</t>
    </r>
    <r>
      <rPr>
        <sz val="11"/>
        <rFont val="Arial"/>
        <family val="2"/>
      </rPr>
      <t xml:space="preserve">   </t>
    </r>
    <r>
      <rPr>
        <sz val="10"/>
        <rFont val="Arial"/>
        <family val="2"/>
      </rPr>
      <t>Check applicable boxes.</t>
    </r>
  </si>
  <si>
    <t>Annualized Income Installments</t>
  </si>
  <si>
    <t>Enter your adjusted gross income for each period (see</t>
  </si>
  <si>
    <t>instructions). (Estates and trusts, enter your taxable</t>
  </si>
  <si>
    <t>income without your exemption for each period.)</t>
  </si>
  <si>
    <t>Annualized income. Multiply line 1 by line 2</t>
  </si>
  <si>
    <t>If you itemize, enter itemized deductions for the period shown in</t>
  </si>
  <si>
    <t>In each column, enter the full amount of your standard</t>
  </si>
  <si>
    <t xml:space="preserve">.   .   . </t>
  </si>
  <si>
    <t>Enter other taxes for each payment period</t>
  </si>
  <si>
    <t>and/or Net Investment Income Tax (see instructions)</t>
  </si>
  <si>
    <t>For each period, enter the same type of credits as allowed</t>
  </si>
  <si>
    <t>on Form 2210, Part I, lines 1 and 3 (see instructions)</t>
  </si>
  <si>
    <t>Applicable percentage</t>
  </si>
  <si>
    <t>Subtract line 20 from line 19. If zero or less, enter -0-</t>
  </si>
  <si>
    <t>of that column</t>
  </si>
  <si>
    <t>Annualized Self-Employment Tax</t>
  </si>
  <si>
    <t>Net earnings from self-employment for the period</t>
  </si>
  <si>
    <t>(see instructions)</t>
  </si>
  <si>
    <t>Prorated social security tax limit</t>
  </si>
  <si>
    <t>Enter actual wages for the period subject to social security tax or</t>
  </si>
  <si>
    <t>the 6.2% portion of the 7.65% railroad retirement (tier 1) tax.</t>
  </si>
  <si>
    <t>Form 2210, Part IV, line 18</t>
  </si>
  <si>
    <t>Annualization amounts</t>
  </si>
  <si>
    <t>(Form 1040 and Form 1040 NR filers only)</t>
  </si>
  <si>
    <t xml:space="preserve">Subtract line 6 from line 4. </t>
  </si>
  <si>
    <t>Current year tax. Combine lines 1, 2, and 3.</t>
  </si>
  <si>
    <t>Uncollected social security and Medicare tax or RRTA tax on tips or group-term life insurance (identified as “UT”),</t>
  </si>
  <si>
    <t>Tax on excess golden parachute payments (identified as “EPP”),</t>
  </si>
  <si>
    <t>Excise tax on insider stock compensation from an expatriated corporation (identified as “ISC”),</t>
  </si>
  <si>
    <t>Recapture of federal mortgage subsidy (identified as “FMSR”).</t>
  </si>
  <si>
    <t>*If you are a household employer, include your household employment taxes on line 2 only if you had federal income tax withheld from your income and would be required to make estimated tax payments even if the household employment taxes weren't included</t>
  </si>
  <si>
    <t>Earned income credit.</t>
  </si>
  <si>
    <t>Additional child tax credit.</t>
  </si>
  <si>
    <t>Refundable part of the American opportunity credit (Form 8863, line 8).</t>
  </si>
  <si>
    <t>Credit for federal tax paid on fuels.</t>
  </si>
  <si>
    <t>Health coverage tax credit.</t>
  </si>
  <si>
    <t>Premium tax credit (Form 8962).</t>
  </si>
  <si>
    <t>Credit determined under section 1341(a)(5)(B).</t>
  </si>
  <si>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</si>
  <si>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t>Form 2210.</t>
  </si>
  <si>
    <r>
      <t xml:space="preserve">You request a </t>
    </r>
    <r>
      <rPr>
        <b/>
        <sz val="10"/>
        <rFont val="Arial"/>
        <family val="2"/>
      </rPr>
      <t>waiver</t>
    </r>
    <r>
      <rPr>
        <sz val="10"/>
        <rFont val="Arial"/>
        <family val="2"/>
      </rPr>
      <t xml:space="preserve"> (see instructions) of part of your penalty. You must figure your penalty and waiver amount and file</t>
    </r>
  </si>
  <si>
    <t xml:space="preserve">X        </t>
  </si>
  <si>
    <t>20 of the next column. Otherwise, go to line 26</t>
  </si>
  <si>
    <t>Add the amounts on lines 24 and 25 in the previous</t>
  </si>
  <si>
    <t xml:space="preserve">(c) </t>
  </si>
  <si>
    <t>you will need to make more than one computation for that column.</t>
  </si>
  <si>
    <t>same manner. If multiple estimated tax payments are applied to the underpayment amount in a column of line 1a,</t>
  </si>
  <si>
    <t xml:space="preserve">Complete Rate Period 1 of each column before going to the next column; then go to Rate Periods 2, 3, and 4 in the </t>
  </si>
  <si>
    <t>Worksheet for Form 2210, Part IV, Section B—Figure the Penalty</t>
  </si>
  <si>
    <t>Enter your underpayment from Part IV, Section A, line 25</t>
  </si>
  <si>
    <t>1.b</t>
  </si>
  <si>
    <t xml:space="preserve">1a  </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</si>
  <si>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</si>
  <si>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Computation starting dates for this period</t>
  </si>
  <si>
    <t>Underpayment</t>
  </si>
  <si>
    <t>on line 3</t>
  </si>
  <si>
    <t>on line 1a</t>
  </si>
  <si>
    <t xml:space="preserve">Penalty. Add all amounts on lines 4, 7, 10, and 13 in all columns. Enter the total here and on line 27 of Part </t>
  </si>
  <si>
    <t>IV, Section B</t>
  </si>
  <si>
    <t>-6-</t>
  </si>
  <si>
    <t>Rate Period 1:</t>
  </si>
  <si>
    <t>Rate Period 2:</t>
  </si>
  <si>
    <t>Rate Period 3:</t>
  </si>
  <si>
    <t>Rate Period 4:</t>
  </si>
  <si>
    <t>Download Form 2210 Instructions</t>
  </si>
  <si>
    <t>Download Form 2210</t>
  </si>
  <si>
    <t>Payer #8</t>
  </si>
  <si>
    <t>Payer #9</t>
  </si>
  <si>
    <t xml:space="preserve"> .   .   .   .   .   .   .   . </t>
  </si>
  <si>
    <t xml:space="preserve"> line 8 above is smaller than line 5        </t>
  </si>
  <si>
    <t>DATE</t>
  </si>
  <si>
    <r>
      <t xml:space="preserve">on line 1a was paid   </t>
    </r>
    <r>
      <rPr>
        <b/>
        <sz val="9"/>
        <rFont val="Arial"/>
        <family val="2"/>
      </rPr>
      <t>or</t>
    </r>
  </si>
  <si>
    <t>PYMNT</t>
  </si>
  <si>
    <t>TOTAL</t>
  </si>
  <si>
    <t>AMT.</t>
  </si>
  <si>
    <t>Lines 56, 57, 59 (additional tax on distributions only), 60a*, 60b, and any 
write-ins on line 62 with the exception of:</t>
  </si>
  <si>
    <t>Look-back interest due under section 167(g) (identified as
 “8866”), and under section 460(b) (identified as “8697”),</t>
  </si>
  <si>
    <t>Overrides</t>
  </si>
  <si>
    <t>Head of Household</t>
  </si>
  <si>
    <t>Married Filing Separately</t>
  </si>
  <si>
    <t>Qualifying Widow(er)</t>
  </si>
  <si>
    <r>
      <t xml:space="preserve">Overrides   </t>
    </r>
    <r>
      <rPr>
        <b/>
        <sz val="9"/>
        <rFont val="Symbol"/>
        <family val="1"/>
        <charset val="2"/>
      </rPr>
      <t>®</t>
    </r>
  </si>
  <si>
    <t>PYMT</t>
  </si>
  <si>
    <t>UNDER</t>
  </si>
  <si>
    <t xml:space="preserve">Generally, married persons must file a joint return to claim the credit. </t>
  </si>
  <si>
    <t xml:space="preserve">If your filing status is married filing separately and all of the following apply, </t>
  </si>
  <si>
    <t>you are considered unmarried for purposes of claiming the credit on Form 2441.</t>
  </si>
  <si>
    <t>and below as to</t>
  </si>
  <si>
    <t xml:space="preserve">whether or not you </t>
  </si>
  <si>
    <t>Interest income</t>
  </si>
  <si>
    <t>Early withdrawal penalty</t>
  </si>
  <si>
    <t>Interest on U.S. Savings Bonds &amp; Treas. Obligations</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</si>
  <si>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</si>
  <si>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</si>
  <si>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</si>
  <si>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</si>
  <si>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</si>
  <si>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</si>
  <si>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</si>
  <si>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</si>
  <si>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</si>
  <si>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</si>
  <si>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</si>
  <si>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</si>
  <si>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PAYER's Federal ID number</t>
  </si>
  <si>
    <t>PAYER's name</t>
  </si>
  <si>
    <t>Payer #10</t>
  </si>
  <si>
    <t>Total ordinary dividends</t>
  </si>
  <si>
    <t>2c</t>
  </si>
  <si>
    <t>2d</t>
  </si>
  <si>
    <t>Total capital gain distr.</t>
  </si>
  <si>
    <t>Unrecap. Sec. 1250 gain</t>
  </si>
  <si>
    <t>Section 1202 gain</t>
  </si>
  <si>
    <t>Collectibles (28%) gain</t>
  </si>
  <si>
    <t>Nondividend distributions</t>
  </si>
  <si>
    <t>Cash liquidation distributions</t>
  </si>
  <si>
    <t>Noncash liquidation distributions</t>
  </si>
  <si>
    <t>Exempt-interest dividends</t>
  </si>
  <si>
    <t>Specified private activity bond interest dividends</t>
  </si>
  <si>
    <t>Section A</t>
  </si>
  <si>
    <t>If your filing status is HOH</t>
  </si>
  <si>
    <t xml:space="preserve">You </t>
  </si>
  <si>
    <t>Line 20</t>
  </si>
  <si>
    <t>Married Persons Filing Separately  (See Form 2441 instructions.)</t>
  </si>
  <si>
    <r>
      <t xml:space="preserve">If you meet all the requirements to be treated as unmarried </t>
    </r>
    <r>
      <rPr>
        <u/>
        <sz val="10"/>
        <rFont val="Arial"/>
        <family val="2"/>
      </rPr>
      <t>and</t>
    </r>
    <r>
      <rPr>
        <sz val="10"/>
        <rFont val="Arial"/>
        <family val="2"/>
      </rPr>
      <t xml:space="preserve"> meet items 2</t>
    </r>
  </si>
  <si>
    <t>don't meet all the requirements to be treated as unmarried, you can't take the credit.</t>
  </si>
  <si>
    <t>through 5 listed in the instructions, you can take the credit or the exclusion. If you</t>
  </si>
  <si>
    <t>See instructions for Form 2441.</t>
  </si>
  <si>
    <t>Health Savings Accounts (HSAs)</t>
  </si>
  <si>
    <r>
      <t xml:space="preserve">Social security number of HSA beneficiary. If both spouses have HSAs, see instructions  </t>
    </r>
    <r>
      <rPr>
        <sz val="8"/>
        <rFont val="Marlett"/>
        <charset val="2"/>
      </rPr>
      <t>4</t>
    </r>
  </si>
  <si>
    <t xml:space="preserve"> and both you and your spouse each have separate HSAs, complete a separate Part I for each spouse.</t>
  </si>
  <si>
    <t>Check the box to indicate your coverage under a high-deductible health plan (HDHP) during</t>
  </si>
  <si>
    <t xml:space="preserve"> Self-only</t>
  </si>
  <si>
    <t xml:space="preserve"> Family</t>
  </si>
  <si>
    <t>contributions, contributions through a cafeteria plan, or rollovers (see instructions)</t>
  </si>
  <si>
    <t>8853, lines 1 and 2. If you or your spouse had family coverage under an HDHP at any time</t>
  </si>
  <si>
    <t>Enter the amount from line 5. But if you and your spouse each have separate HSAs and had</t>
  </si>
  <si>
    <t>enter</t>
  </si>
  <si>
    <t>Add lines 6 and 7</t>
  </si>
  <si>
    <t>Qualified HSA funding distributions</t>
  </si>
  <si>
    <t>Add lines 9 and 10</t>
  </si>
  <si>
    <t>Subtract line 11 from line 8. If zero or less, enter -0-</t>
  </si>
  <si>
    <t xml:space="preserve"> .   .   .   .   .   .   .   .   .   .   .   .   .   .   .   .   .   .   .   . </t>
  </si>
  <si>
    <t xml:space="preserve"> a separate Part II for each spouse.</t>
  </si>
  <si>
    <r>
      <t xml:space="preserve"> </t>
    </r>
    <r>
      <rPr>
        <b/>
        <sz val="10"/>
        <rFont val="Arial"/>
        <family val="2"/>
      </rPr>
      <t>HSA Distributions.</t>
    </r>
    <r>
      <rPr>
        <sz val="10"/>
        <rFont val="Arial"/>
        <family val="2"/>
      </rPr>
      <t xml:space="preserve"> If you are filing jointly and both you and your spouse each have separate HSAs, complete</t>
    </r>
  </si>
  <si>
    <r>
      <t xml:space="preserve"> </t>
    </r>
    <r>
      <rPr>
        <b/>
        <sz val="10"/>
        <rFont val="Arial"/>
        <family val="2"/>
      </rPr>
      <t>HSA Contributions and Deduction.</t>
    </r>
    <r>
      <rPr>
        <sz val="10"/>
        <rFont val="Arial"/>
        <family val="2"/>
      </rPr>
      <t xml:space="preserve"> See the instructions before completing this part. If you are filing jointly</t>
    </r>
  </si>
  <si>
    <t>14a</t>
  </si>
  <si>
    <t>14b</t>
  </si>
  <si>
    <t>Distributions included on line 14a that you rolled over to another HSA. Also include any excess</t>
  </si>
  <si>
    <t>contributions (and the earnings on those excess contributions) included on line 14a that were</t>
  </si>
  <si>
    <t>withdrawn by the due date of your return (see instructions)</t>
  </si>
  <si>
    <t>14c</t>
  </si>
  <si>
    <t>Subtract line 14b from line 14a</t>
  </si>
  <si>
    <t>Qualified medical expenses paid using HSA distributions (see instructions)</t>
  </si>
  <si>
    <t>17a</t>
  </si>
  <si>
    <t>17b</t>
  </si>
  <si>
    <t>Cat. No. 37621P</t>
  </si>
  <si>
    <r>
      <t>Form</t>
    </r>
    <r>
      <rPr>
        <sz val="10"/>
        <rFont val="Arial"/>
        <family val="2"/>
      </rPr>
      <t xml:space="preserve"> </t>
    </r>
    <r>
      <rPr>
        <b/>
        <sz val="10"/>
        <rFont val="Arial"/>
        <family val="2"/>
      </rPr>
      <t>8889</t>
    </r>
  </si>
  <si>
    <r>
      <rPr>
        <b/>
        <sz val="10"/>
        <rFont val="Arial"/>
        <family val="2"/>
      </rPr>
      <t xml:space="preserve"> Income and Additional Tax for Failure To Maintain HDHP Coverage</t>
    </r>
    <r>
      <rPr>
        <sz val="10"/>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</si>
  <si>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</si>
  <si>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</si>
  <si>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</si>
  <si>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</si>
  <si>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t xml:space="preserve"> .   .   .   .   .   .   .   .   .   .   .   .   .   .   .   .   .   .   .   .   .   .   .   . </t>
  </si>
  <si>
    <t xml:space="preserve"> .   .   .   .   .   .   .   .   .   .   .   .   .   .   .   .   .   .   .   .   .   .   .   .   .   .   .   .   .  </t>
  </si>
  <si>
    <t>Download Form 8889</t>
  </si>
  <si>
    <t>Download Form 8889 Instructions</t>
  </si>
  <si>
    <r>
      <rPr>
        <b/>
        <sz val="9"/>
        <rFont val="Arial"/>
        <family val="2"/>
      </rPr>
      <t>Do not</t>
    </r>
    <r>
      <rPr>
        <sz val="9"/>
        <rFont val="Arial"/>
        <family val="2"/>
      </rPr>
      <t xml:space="preserve"> include employer</t>
    </r>
  </si>
  <si>
    <t xml:space="preserve">every </t>
  </si>
  <si>
    <r>
      <rPr>
        <b/>
        <sz val="9"/>
        <rFont val="Arial"/>
        <family val="2"/>
      </rPr>
      <t>All others</t>
    </r>
    <r>
      <rPr>
        <sz val="9"/>
        <rFont val="Arial"/>
        <family val="2"/>
      </rPr>
      <t>, see the instructions for the amount to enter</t>
    </r>
  </si>
  <si>
    <t xml:space="preserve"> .   .   .   .   .   .   .   .   .   .   .   .   .   .   .   .   .   .   .   .   .   .   .   .   .   . </t>
  </si>
  <si>
    <t>(see instructions), check here</t>
  </si>
  <si>
    <t xml:space="preserve">.   .   .   .   .   .   .   .   .   .   .  </t>
  </si>
  <si>
    <r>
      <rPr>
        <b/>
        <sz val="9"/>
        <rFont val="Arial"/>
        <family val="2"/>
      </rPr>
      <t>Taxable HSA distributions.</t>
    </r>
    <r>
      <rPr>
        <sz val="9"/>
        <rFont val="Arial"/>
        <family val="2"/>
      </rPr>
      <t xml:space="preserve">   Subtract line 15 from line 14c.  If zero or less, enter -0-.  Also,</t>
    </r>
  </si>
  <si>
    <t>Line 13</t>
  </si>
  <si>
    <t>Line 17b</t>
  </si>
  <si>
    <t>F1040 Line 25</t>
  </si>
  <si>
    <t>F1040 Line 21</t>
  </si>
  <si>
    <t xml:space="preserve">.   .   .   .   .   .   .   .   .   .   .   .   .   .   .   .   .   .   .   .   .   .   .   .   .   .   .   .   .   .   .   .   .   .   .   .   . </t>
  </si>
  <si>
    <t>Used at:</t>
  </si>
  <si>
    <t>But Not</t>
  </si>
  <si>
    <t>But Not Over</t>
  </si>
  <si>
    <t>Sch. B, Line 1</t>
  </si>
  <si>
    <t>Sch. D, Line 13</t>
  </si>
  <si>
    <t>Sch. D. WS, 28% Rate Gain WS, Line 4</t>
  </si>
  <si>
    <t>Excess Soc. Sec. Tax Withheld</t>
  </si>
  <si>
    <t>Excel1040 -- Income Tax Spreadsheet</t>
  </si>
  <si>
    <t>Instructions for Use</t>
  </si>
  <si>
    <t>IMPORTANT NOTES:</t>
  </si>
  <si>
    <t>The purpose of this spreadsheet is to help U.S. taxpayers calculate their own federal income tax returns.</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</si>
  <si>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</si>
  <si>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</si>
  <si>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</si>
  <si>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with IRS forms and instructions.</t>
  </si>
  <si>
    <t>The user must assume full responsibility as to the correctness and appropriateness of any and all amounts</t>
  </si>
  <si>
    <t>It is vitally important that all spreadsheet users promptly report any error(s) they find so that the spreadsheet</t>
  </si>
  <si>
    <t>GENERAL NOTES:</t>
  </si>
  <si>
    <t>Unprotected data entry cells have a light blue fill color.</t>
  </si>
  <si>
    <t>Cells containing calculated amounts are usually protected and have a darker blue fill color.</t>
  </si>
  <si>
    <t>INSTRUCTIONS:</t>
  </si>
  <si>
    <t>Form and worksheet areas are protected.  However, users are able to adjust printing properties.</t>
  </si>
  <si>
    <t>protected.)</t>
  </si>
  <si>
    <t>Begin a careful, line-by-line, review of the sheet labeled '1040'.  If additional information is needed for a</t>
  </si>
  <si>
    <t>information needs to be entered.</t>
  </si>
  <si>
    <t>Otherwise, cell properties could be inadvertently changed.  (e.g. A normally unprotected cell could become</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</si>
  <si>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</si>
  <si>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</si>
  <si>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</si>
  <si>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To check a checkbox, simply type an 'X' (any character will work) in the box and press &lt;Enter&gt;. </t>
  </si>
  <si>
    <t>entered and results produced.  Be sure to use current copies of actual IRS forms and instructions when</t>
  </si>
  <si>
    <t>Review every tab to determine it's applicability to your tax return and make sure each sheet is completed.</t>
  </si>
  <si>
    <t>Recommend printing your return and reviewing the printed copy against actual IRS forms and instructions.</t>
  </si>
  <si>
    <t>Transfer results to an electronic filing service or hard copies of the forms.</t>
  </si>
  <si>
    <r>
      <t xml:space="preserve">Go to </t>
    </r>
    <r>
      <rPr>
        <b/>
        <i/>
        <sz val="8"/>
        <rFont val="Arial"/>
        <family val="2"/>
      </rPr>
      <t>www.irs.gov/ScheduleSE</t>
    </r>
    <r>
      <rPr>
        <b/>
        <sz val="8"/>
        <rFont val="Arial"/>
        <family val="2"/>
      </rPr>
      <t xml:space="preserve"> for instructions and the latest information.</t>
    </r>
  </si>
  <si>
    <r>
      <t xml:space="preserve">Multiply the </t>
    </r>
    <r>
      <rPr>
        <b/>
        <sz val="10"/>
        <rFont val="Arial"/>
        <family val="2"/>
      </rPr>
      <t xml:space="preserve">smaller </t>
    </r>
    <r>
      <rPr>
        <sz val="10"/>
        <rFont val="Arial"/>
        <family val="2"/>
      </rPr>
      <t xml:space="preserve">of line 6 </t>
    </r>
  </si>
  <si>
    <t>or line 9 by</t>
  </si>
  <si>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</si>
  <si>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</si>
  <si>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retirement or disability benefits.</t>
  </si>
  <si>
    <t>Check here if you received social security</t>
  </si>
  <si>
    <t>AJ through AP</t>
  </si>
  <si>
    <t>See columns</t>
  </si>
  <si>
    <t>(See instructions.)</t>
  </si>
  <si>
    <t>foreign trust?  If "Yes," you may have to file Form 3520.  See instructions</t>
  </si>
  <si>
    <t>buyer used the property as a personal residence, see instructions and list this</t>
  </si>
  <si>
    <t>interest first. Also, show that buyer’s social security number and address</t>
  </si>
  <si>
    <t>and the</t>
  </si>
  <si>
    <r>
      <t xml:space="preserve">Go to </t>
    </r>
    <r>
      <rPr>
        <b/>
        <i/>
        <sz val="9"/>
        <rFont val="Arial"/>
        <family val="2"/>
      </rPr>
      <t>www.irs.gov/ScheduleC</t>
    </r>
    <r>
      <rPr>
        <b/>
        <sz val="9"/>
        <rFont val="Arial"/>
        <family val="2"/>
      </rPr>
      <t xml:space="preserve"> for instructions and the latest information.</t>
    </r>
  </si>
  <si>
    <t xml:space="preserve">.   .   .   .   .   .   .  </t>
  </si>
  <si>
    <r>
      <t>Gross income.</t>
    </r>
    <r>
      <rPr>
        <sz val="9"/>
        <rFont val="Arial"/>
        <family val="2"/>
      </rPr>
      <t xml:space="preserve">  Add lines 5 and 6</t>
    </r>
  </si>
  <si>
    <r>
      <t>Total other expenses.</t>
    </r>
    <r>
      <rPr>
        <sz val="9"/>
        <rFont val="Arial"/>
        <family val="2"/>
      </rPr>
      <t xml:space="preserve">   Enter here and on line 27a</t>
    </r>
  </si>
  <si>
    <r>
      <rPr>
        <b/>
        <sz val="7"/>
        <rFont val="Arial"/>
        <family val="2"/>
      </rPr>
      <t>(d)</t>
    </r>
    <r>
      <rPr>
        <sz val="7"/>
        <rFont val="Arial"/>
        <family val="2"/>
      </rPr>
      <t xml:space="preserve"> 
Proceeds 
(sales price)</t>
    </r>
  </si>
  <si>
    <t>amount, if any, from line 7 of that worksheet</t>
  </si>
  <si>
    <t>instructions), enter the amount, if any, from line 18 of that worksheet</t>
  </si>
  <si>
    <t>you answered “Yes,” see instructions before completing this section</t>
  </si>
  <si>
    <t xml:space="preserve">validating the spreadsheet's results. IRS forms and instructions: </t>
  </si>
  <si>
    <t>https://www.irs.gov/downloads/irs-pdf</t>
  </si>
  <si>
    <t>incometaxspreadsheet@gmail.com</t>
  </si>
  <si>
    <t>can be corrected.</t>
  </si>
  <si>
    <t xml:space="preserve">Report errors to: </t>
  </si>
  <si>
    <r>
      <t xml:space="preserve">  Only </t>
    </r>
    <r>
      <rPr>
        <b/>
        <sz val="10"/>
        <color rgb="FFFF0000"/>
        <rFont val="Arial"/>
        <family val="2"/>
      </rPr>
      <t>bolded</t>
    </r>
    <r>
      <rPr>
        <sz val="10"/>
        <color rgb="FFFF0000"/>
        <rFont val="Arial"/>
        <family val="2"/>
      </rPr>
      <t xml:space="preserve"> amounts are used in this spreadsheet.</t>
    </r>
  </si>
  <si>
    <t>Information from Form 1099-INT, Interest Income</t>
  </si>
  <si>
    <t>Information from Form 1099-DIV, Dividends and Distributions</t>
  </si>
  <si>
    <t>Information from Form W-2, Wage and Tax Statement</t>
  </si>
  <si>
    <t>Information from Form 1099-R, Distributions From Pensions, Annuities, Retirement or Profit-Sharing  Plans, IRAs, Insurance Contracts, etc.</t>
  </si>
  <si>
    <r>
      <t xml:space="preserve">If your filing status is </t>
    </r>
    <r>
      <rPr>
        <b/>
        <sz val="11"/>
        <rFont val="Courier New"/>
        <family val="3"/>
      </rPr>
      <t>Single</t>
    </r>
  </si>
  <si>
    <t>Rate</t>
  </si>
  <si>
    <t>10% of Taxable Income</t>
  </si>
  <si>
    <t>10% of taxable income</t>
  </si>
  <si>
    <t>Base amount</t>
  </si>
  <si>
    <t>Bottom of bracket</t>
  </si>
  <si>
    <t>RATE</t>
  </si>
  <si>
    <t>BASE</t>
  </si>
  <si>
    <t>BOTT</t>
  </si>
  <si>
    <t>HOH</t>
  </si>
  <si>
    <t>OFFICIAL TAX RATES</t>
  </si>
  <si>
    <t>Tax Bracket</t>
  </si>
  <si>
    <t>If your Form 1099-R doesn't show the taxable amount, you must use</t>
  </si>
  <si>
    <t>the General Rule explained in Pub. 939 to figure the taxable part to enter on</t>
  </si>
  <si>
    <t>figure the taxable part.  You can ask the IRS to figure the taxable</t>
  </si>
  <si>
    <t>part for you for a $1,000 fee. For details, see Pub. 939.</t>
  </si>
  <si>
    <t>amount of a pension or annuity that is not fully taxable.</t>
  </si>
  <si>
    <t>if you must use that method to figure the taxable part.  You can ask the IRS to figure the taxable for a $1,000 fee.</t>
  </si>
  <si>
    <t>Head-of-H</t>
  </si>
  <si>
    <t>Although some error checking is included, this spreadsheet will not prevent you from making mistakes.</t>
  </si>
  <si>
    <r>
      <t xml:space="preserve">The spreadsheet </t>
    </r>
    <r>
      <rPr>
        <u/>
        <sz val="10"/>
        <rFont val="Arial"/>
        <family val="2"/>
      </rPr>
      <t>attempts</t>
    </r>
    <r>
      <rPr>
        <sz val="10"/>
        <rFont val="Arial"/>
        <family val="2"/>
      </rPr>
      <t xml:space="preserve"> to perform the mechanics of tax preparation (i.e. 'do the math') in accordance</t>
    </r>
  </si>
  <si>
    <t xml:space="preserve">their tax return in order to detect and correct any and all user and spreadsheet errors that might occur. </t>
  </si>
  <si>
    <r>
      <t xml:space="preserve">  </t>
    </r>
    <r>
      <rPr>
        <b/>
        <sz val="9"/>
        <rFont val="Marlett"/>
        <charset val="2"/>
      </rPr>
      <t>4</t>
    </r>
    <r>
      <rPr>
        <b/>
        <sz val="9"/>
        <rFont val="Arial"/>
        <family val="2"/>
      </rPr>
      <t xml:space="preserve">  Go to www.irs.gov/Form8959 for instructions and the latest information.</t>
    </r>
  </si>
  <si>
    <t>(Interest income information will automatically appear on Schedule B, Line 1.)</t>
  </si>
  <si>
    <t>(Dividend income information will automatically appear on Schedule B, Line 5.)</t>
  </si>
  <si>
    <t>Go to www.irs.gov/ScheduleF for instructions and the latest information.</t>
  </si>
  <si>
    <t xml:space="preserve">.   .   .   .   .   .   .   .   .   </t>
  </si>
  <si>
    <t xml:space="preserve">.   .   .   .   .   .   </t>
  </si>
  <si>
    <t xml:space="preserve"> .   .   .   .   .   .   .   .   .   .   .   .   .   .   .   .   .   .   .   .   .   .   .   </t>
  </si>
  <si>
    <t xml:space="preserve">.   .   .   .   .   .   .   .   .   .   .   .   .   .   .   .   .   .   .   .   .   .   .   .   .   .   .   .   .   .   .   </t>
  </si>
  <si>
    <t>Do not include personal or living expenses. See instructions.</t>
  </si>
  <si>
    <t xml:space="preserve">.   .   .   .   .   .   .   .   .   .   .   .   .   .   .   .   .   .   .   .   .   .   .   .   .   </t>
  </si>
  <si>
    <t>from box 5</t>
  </si>
  <si>
    <r>
      <t>Who Must File -</t>
    </r>
    <r>
      <rPr>
        <sz val="10"/>
        <rFont val="Arial"/>
        <family val="2"/>
      </rPr>
      <t xml:space="preserve"> You must file Form 8959 if one or more of the following applies to you:</t>
    </r>
  </si>
  <si>
    <t>Railroad retire (RRTA) compensation</t>
  </si>
  <si>
    <t>RRTA medicare tax withheld (see Form CT-2)</t>
  </si>
  <si>
    <r>
      <t>4</t>
    </r>
    <r>
      <rPr>
        <b/>
        <sz val="9"/>
        <rFont val="Arial"/>
        <family val="2"/>
      </rPr>
      <t xml:space="preserve">  Attach to your tax return.</t>
    </r>
  </si>
  <si>
    <r>
      <rPr>
        <b/>
        <sz val="8"/>
        <rFont val="Marlett"/>
        <charset val="2"/>
      </rPr>
      <t>4</t>
    </r>
    <r>
      <rPr>
        <b/>
        <sz val="8"/>
        <rFont val="Arial"/>
        <family val="2"/>
      </rPr>
      <t xml:space="preserve">  Go to www.irs.gov/Form8960 for instructions and the latest information.</t>
    </r>
  </si>
  <si>
    <t xml:space="preserve">  OMB No. 1545-2227</t>
  </si>
  <si>
    <t>State, local, and foreign income tax (see instructions)</t>
  </si>
  <si>
    <t>Go to www.irs.gov/Form2210 for instructions and the latest information.</t>
  </si>
  <si>
    <r>
      <rPr>
        <b/>
        <sz val="10"/>
        <rFont val="Arial"/>
        <family val="2"/>
      </rPr>
      <t>stop</t>
    </r>
    <r>
      <rPr>
        <sz val="10"/>
        <rFont val="Arial"/>
        <family val="2"/>
      </rPr>
      <t>; you don't owe a penalty.</t>
    </r>
  </si>
  <si>
    <t xml:space="preserve">.   .   .   .   .   .   .   .   .   .   .   .   .   .   .   .   .   .   .   .  </t>
  </si>
  <si>
    <r>
      <rPr>
        <b/>
        <sz val="10"/>
        <rFont val="Arial"/>
        <family val="2"/>
      </rPr>
      <t>stop</t>
    </r>
    <r>
      <rPr>
        <sz val="10"/>
        <rFont val="Arial"/>
        <family val="2"/>
      </rPr>
      <t>; you don't owe a penalty. Don't file Form 2210.</t>
    </r>
  </si>
  <si>
    <t xml:space="preserve">(2) </t>
  </si>
  <si>
    <t xml:space="preserve">(1) </t>
  </si>
  <si>
    <r>
      <t xml:space="preserve">box </t>
    </r>
    <r>
      <rPr>
        <b/>
        <sz val="10"/>
        <rFont val="Arial"/>
        <family val="2"/>
      </rPr>
      <t>E</t>
    </r>
    <r>
      <rPr>
        <sz val="10"/>
        <rFont val="Arial"/>
        <family val="2"/>
      </rPr>
      <t xml:space="preserve"> below applies.</t>
    </r>
  </si>
  <si>
    <r>
      <rPr>
        <b/>
        <sz val="10"/>
        <rFont val="Arial"/>
        <family val="2"/>
      </rPr>
      <t>Total underpayment for year.</t>
    </r>
    <r>
      <rPr>
        <sz val="10"/>
        <rFont val="Arial"/>
        <family val="2"/>
      </rPr>
      <t xml:space="preserve"> Subtract line 13 from line 10. </t>
    </r>
  </si>
  <si>
    <r>
      <t xml:space="preserve">If zero or less, </t>
    </r>
    <r>
      <rPr>
        <b/>
        <sz val="10"/>
        <rFont val="Arial"/>
        <family val="2"/>
      </rPr>
      <t>stop</t>
    </r>
    <r>
      <rPr>
        <sz val="10"/>
        <rFont val="Arial"/>
        <family val="2"/>
      </rPr>
      <t>; you don't owe a</t>
    </r>
  </si>
  <si>
    <r>
      <t xml:space="preserve">penalty. </t>
    </r>
    <r>
      <rPr>
        <b/>
        <sz val="10"/>
        <rFont val="Arial"/>
        <family val="2"/>
      </rPr>
      <t>Don't file Form 2210 unless you checked box E in Part II</t>
    </r>
  </si>
  <si>
    <t>Interest accrued on deferred tax under a section 1294 election for the year of termination (see Form 8621, Part VI, line 24, and Instructions for Form 8621). Also, subtract the amount from Form 8621, line 9c, that has been entered in brackets to the left of Form 1040, line 63.</t>
  </si>
  <si>
    <r>
      <t xml:space="preserve">line 9. However, see </t>
    </r>
    <r>
      <rPr>
        <i/>
        <sz val="10"/>
        <rFont val="Arial"/>
        <family val="2"/>
      </rPr>
      <t>Exceptions to the Penalty</t>
    </r>
    <r>
      <rPr>
        <sz val="10"/>
        <rFont val="Arial"/>
        <family val="2"/>
      </rPr>
      <t>, earlier.</t>
    </r>
  </si>
  <si>
    <t>Qualified small business stock, see instructions</t>
  </si>
  <si>
    <t>Notes</t>
  </si>
  <si>
    <t xml:space="preserve">However, these formula are NOT PROTECTED. </t>
  </si>
  <si>
    <t xml:space="preserve"> latest information.</t>
  </si>
  <si>
    <r>
      <t>4</t>
    </r>
    <r>
      <rPr>
        <b/>
        <sz val="9"/>
        <rFont val="Arial"/>
        <family val="2"/>
      </rPr>
      <t xml:space="preserve">  Go to </t>
    </r>
    <r>
      <rPr>
        <b/>
        <i/>
        <sz val="9"/>
        <rFont val="Arial"/>
        <family val="2"/>
      </rPr>
      <t>www.irs.gov/Form2441</t>
    </r>
    <r>
      <rPr>
        <b/>
        <sz val="9"/>
        <rFont val="Arial"/>
        <family val="2"/>
      </rPr>
      <t xml:space="preserve"> for instructions and the</t>
    </r>
  </si>
  <si>
    <t>Don't</t>
  </si>
  <si>
    <t>Indicate at the top</t>
  </si>
  <si>
    <t>and to the right</t>
  </si>
  <si>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</si>
  <si>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r>
      <t xml:space="preserve"> </t>
    </r>
    <r>
      <rPr>
        <b/>
        <sz val="9"/>
        <rFont val="Arial"/>
        <family val="2"/>
      </rPr>
      <t>All others</t>
    </r>
    <r>
      <rPr>
        <sz val="9"/>
        <rFont val="Arial"/>
        <family val="2"/>
      </rPr>
      <t>, see instructions for the amount to enter</t>
    </r>
  </si>
  <si>
    <t>N</t>
  </si>
  <si>
    <t>Eligible on 1st of Month? (Y/N)</t>
  </si>
  <si>
    <t>Enrolled in Medicare? (Y/N)</t>
  </si>
  <si>
    <t>Self</t>
  </si>
  <si>
    <t>Age</t>
  </si>
  <si>
    <t>&lt;55</t>
  </si>
  <si>
    <t>&gt;=55</t>
  </si>
  <si>
    <t>Total for all months</t>
  </si>
  <si>
    <t>Line 3 Limitation Chart and Worksheet</t>
  </si>
  <si>
    <r>
      <rPr>
        <b/>
        <sz val="8"/>
        <rFont val="Arial"/>
        <family val="2"/>
      </rPr>
      <t>Limitation.</t>
    </r>
    <r>
      <rPr>
        <sz val="8"/>
        <rFont val="Arial"/>
        <family val="2"/>
      </rPr>
      <t xml:space="preserve"> Divide the total by 12.</t>
    </r>
  </si>
  <si>
    <t>Y</t>
  </si>
  <si>
    <r>
      <t xml:space="preserve">Go to </t>
    </r>
    <r>
      <rPr>
        <b/>
        <i/>
        <sz val="8"/>
        <rFont val="Arial"/>
        <family val="2"/>
      </rPr>
      <t>www.irs.gov/Form8949</t>
    </r>
    <r>
      <rPr>
        <b/>
        <sz val="8"/>
        <rFont val="Arial"/>
        <family val="2"/>
      </rPr>
      <t xml:space="preserve"> for instructions and the latest information.</t>
    </r>
  </si>
  <si>
    <t>1  year  or  less</t>
  </si>
  <si>
    <r>
      <t xml:space="preserve">Short-Term. </t>
    </r>
    <r>
      <rPr>
        <sz val="11"/>
        <rFont val="Arial"/>
        <family val="2"/>
      </rPr>
      <t xml:space="preserve">Transactions involving capital assets you  held </t>
    </r>
  </si>
  <si>
    <r>
      <rPr>
        <b/>
        <sz val="11"/>
        <rFont val="Arial"/>
        <family val="2"/>
      </rPr>
      <t>Note.</t>
    </r>
    <r>
      <rPr>
        <sz val="11"/>
        <rFont val="Arial"/>
        <family val="2"/>
      </rPr>
      <t xml:space="preserve"> You may aggregate all short-term transactions reported on Form(s) 1099-B showing basis was</t>
    </r>
  </si>
  <si>
    <t>more  than  1  year</t>
  </si>
  <si>
    <r>
      <t>Long-Term.</t>
    </r>
    <r>
      <rPr>
        <sz val="11"/>
        <rFont val="Arial"/>
        <family val="2"/>
      </rPr>
      <t xml:space="preserve"> Transactions involving capital assets  you  held </t>
    </r>
  </si>
  <si>
    <r>
      <rPr>
        <b/>
        <sz val="11"/>
        <rFont val="Arial"/>
        <family val="2"/>
      </rPr>
      <t>Note.</t>
    </r>
    <r>
      <rPr>
        <sz val="11"/>
        <rFont val="Arial"/>
        <family val="2"/>
      </rPr>
      <t xml:space="preserve"> You may aggregate all long-term transactions reported on Form(s) 1099-B showing basis was reported</t>
    </r>
  </si>
  <si>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</si>
  <si>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t>Enter the total of your dependents' modified AGI (see instructions)</t>
  </si>
  <si>
    <t>Table 2. 
Applicable Figure</t>
  </si>
  <si>
    <r>
      <t xml:space="preserve">Go to </t>
    </r>
    <r>
      <rPr>
        <b/>
        <i/>
        <sz val="9"/>
        <rFont val="Arial"/>
        <family val="2"/>
      </rPr>
      <t>www.irs.gov/Form2555</t>
    </r>
    <r>
      <rPr>
        <b/>
        <sz val="9"/>
        <rFont val="Arial"/>
        <family val="2"/>
      </rPr>
      <t xml:space="preserve"> for instructions and the latest information.</t>
    </r>
  </si>
  <si>
    <r>
      <t xml:space="preserve">If you traveled abroad during the 12-month period entered on line 16, complete columns </t>
    </r>
    <r>
      <rPr>
        <b/>
        <sz val="11"/>
        <rFont val="Arial"/>
        <family val="2"/>
      </rPr>
      <t>(a)–(f)</t>
    </r>
    <r>
      <rPr>
        <sz val="11"/>
        <rFont val="Arial"/>
        <family val="2"/>
      </rPr>
      <t xml:space="preserve"> below. Exclude travel between</t>
    </r>
  </si>
  <si>
    <t>If you have no travel to report during the period, enter “Physically present in a foreign country or countries for the entire 12-month</t>
  </si>
  <si>
    <r>
      <t xml:space="preserve">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</si>
  <si>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</si>
  <si>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Noncash Charitable Contributions</t>
  </si>
  <si>
    <t>Attach to your tax return if you claimed a total deduction</t>
  </si>
  <si>
    <t>of over $500 for all contributed property.</t>
  </si>
  <si>
    <t>OMB No. 1545-0908</t>
  </si>
  <si>
    <t>Name(s) shown on your income tax return</t>
  </si>
  <si>
    <t>groups of similar items) for which you claimed a deduction of $5,000 or less. Also list publicly traded</t>
  </si>
  <si>
    <t>securities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</si>
  <si>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</si>
  <si>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</si>
  <si>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c) Description of donated property
(For a vehicle, enter the year, make, model, and mileage. For securities, enter the company name and the number of shares.)</t>
  </si>
  <si>
    <t>Attachment 
Sequence No.</t>
  </si>
  <si>
    <r>
      <rPr>
        <sz val="10"/>
        <rFont val="Arial"/>
        <family val="2"/>
      </rPr>
      <t xml:space="preserve">
</t>
    </r>
    <r>
      <rPr>
        <b/>
        <sz val="14"/>
        <rFont val="Arial"/>
        <family val="2"/>
      </rPr>
      <t>155</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</si>
  <si>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 (or</t>
    </r>
  </si>
  <si>
    <r>
      <t xml:space="preserve">Information about Form 8283 and its separate instructions is at </t>
    </r>
    <r>
      <rPr>
        <i/>
        <sz val="10"/>
        <rFont val="Arial"/>
        <family val="2"/>
      </rPr>
      <t>www.irs.gov/form8283.</t>
    </r>
  </si>
  <si>
    <t>(b) If donated property is a vehicle (see instructions),
check the box. Also enter the vehicle identification 
number (unless Form 1098-C is attached).</t>
  </si>
  <si>
    <t>Hint:  Use Alt-Enter for carriage return.</t>
  </si>
  <si>
    <r>
      <rPr>
        <b/>
        <sz val="11"/>
        <rFont val="Arial"/>
        <family val="2"/>
      </rPr>
      <t>Note.</t>
    </r>
    <r>
      <rPr>
        <sz val="11"/>
        <rFont val="Arial"/>
        <family val="2"/>
      </rPr>
      <t xml:space="preserve">  </t>
    </r>
  </si>
  <si>
    <t>Figure the amount of your contribution deduction before completing this form. See your tax return instructions.</t>
  </si>
  <si>
    <t>If the amount you claimed as a deduction for an item is $500 or less, you do not have to complete columns (e), (f), and (g).</t>
  </si>
  <si>
    <r>
      <rPr>
        <b/>
        <sz val="8"/>
        <rFont val="Arial"/>
        <family val="2"/>
      </rPr>
      <t>(i)</t>
    </r>
    <r>
      <rPr>
        <sz val="8"/>
        <rFont val="Arial"/>
        <family val="2"/>
      </rPr>
      <t xml:space="preserve"> Method used to determine the fair market value</t>
    </r>
  </si>
  <si>
    <r>
      <rPr>
        <b/>
        <sz val="8"/>
        <rFont val="Arial"/>
        <family val="2"/>
      </rPr>
      <t>(h)</t>
    </r>
    <r>
      <rPr>
        <sz val="8"/>
        <rFont val="Arial"/>
        <family val="2"/>
      </rPr>
      <t xml:space="preserve"> Fair market value 
(see instructions)</t>
    </r>
  </si>
  <si>
    <r>
      <rPr>
        <b/>
        <sz val="8"/>
        <rFont val="Arial"/>
        <family val="2"/>
      </rPr>
      <t>(g)</t>
    </r>
    <r>
      <rPr>
        <sz val="8"/>
        <rFont val="Arial"/>
        <family val="2"/>
      </rPr>
      <t xml:space="preserve"> Donor’s cost or adjusted basis</t>
    </r>
  </si>
  <si>
    <r>
      <rPr>
        <b/>
        <sz val="8"/>
        <rFont val="Arial"/>
        <family val="2"/>
      </rPr>
      <t>(f)</t>
    </r>
    <r>
      <rPr>
        <sz val="8"/>
        <rFont val="Arial"/>
        <family val="2"/>
      </rPr>
      <t xml:space="preserve"> How acquired 
by donor</t>
    </r>
  </si>
  <si>
    <r>
      <rPr>
        <b/>
        <sz val="8"/>
        <rFont val="Arial"/>
        <family val="2"/>
      </rPr>
      <t>(e)</t>
    </r>
    <r>
      <rPr>
        <sz val="8"/>
        <rFont val="Arial"/>
        <family val="2"/>
      </rPr>
      <t xml:space="preserve"> Date acquired 
by donor (mo., yr.)</t>
    </r>
  </si>
  <si>
    <r>
      <rPr>
        <b/>
        <sz val="8"/>
        <rFont val="Arial"/>
        <family val="2"/>
      </rPr>
      <t>(d)</t>
    </r>
    <r>
      <rPr>
        <sz val="8"/>
        <rFont val="Arial"/>
        <family val="2"/>
      </rPr>
      <t xml:space="preserve"> Date of the contribution</t>
    </r>
  </si>
  <si>
    <r>
      <t>Partial Interests and Restricted Use Property</t>
    </r>
    <r>
      <rPr>
        <sz val="12"/>
        <rFont val="Arial"/>
        <family val="2"/>
      </rPr>
      <t>—Complete lines 2a through 2e if you gave less than an</t>
    </r>
  </si>
  <si>
    <t>entire interest in a property listed in Part I. Complete lines 3a through 3c if conditions were placed on a</t>
  </si>
  <si>
    <t>contribution listed in Part I; also attach the required statement (see instructions).</t>
  </si>
  <si>
    <t>Enter the letter from Part I that identifies the property for which you gave less than an entire interest</t>
  </si>
  <si>
    <t>If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</si>
  <si>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</si>
  <si>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</si>
  <si>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</si>
  <si>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</si>
  <si>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</si>
  <si>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</si>
  <si>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above):</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</si>
  <si>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</si>
  <si>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</si>
  <si>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</si>
  <si>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</si>
  <si>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</si>
  <si>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t>
  </si>
  <si>
    <t>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</si>
  <si>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</si>
  <si>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</si>
  <si>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</si>
  <si>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</si>
  <si>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</si>
  <si>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t>Cat. No. 62299J</t>
  </si>
  <si>
    <t>(Rev. 12-2014)</t>
  </si>
  <si>
    <r>
      <t>Form</t>
    </r>
    <r>
      <rPr>
        <b/>
        <sz val="14"/>
        <rFont val="Arial"/>
        <family val="2"/>
      </rPr>
      <t xml:space="preserve"> </t>
    </r>
    <r>
      <rPr>
        <b/>
        <sz val="12"/>
        <rFont val="Arial"/>
        <family val="2"/>
      </rPr>
      <t>8283</t>
    </r>
  </si>
  <si>
    <t>Department of the Treasury Internal Revenue Service</t>
  </si>
  <si>
    <t>(Rev. December 2014)</t>
  </si>
  <si>
    <r>
      <rPr>
        <b/>
        <sz val="13"/>
        <rFont val="Arial"/>
        <family val="2"/>
      </rPr>
      <t>Section A</t>
    </r>
    <r>
      <rPr>
        <sz val="13"/>
        <rFont val="Arial"/>
        <family val="2"/>
      </rPr>
      <t>.</t>
    </r>
  </si>
  <si>
    <t xml:space="preserve">.   .   .   .   .   .   .   .   .   .   .   .   .   .   .   .   .   .   .   .   .   .   .   .   .   .   .   .   .   .   .   .   .   .   .   .   .   .   .   .   . </t>
  </si>
  <si>
    <r>
      <t xml:space="preserve">Be sure you have read the </t>
    </r>
    <r>
      <rPr>
        <i/>
        <sz val="10"/>
        <rFont val="Arial"/>
        <family val="2"/>
      </rPr>
      <t>Exception</t>
    </r>
    <r>
      <rPr>
        <sz val="10"/>
        <rFont val="Arial"/>
        <family val="2"/>
      </rPr>
      <t xml:space="preserve"> above to see if you can use this worksheet instead of</t>
    </r>
  </si>
  <si>
    <r>
      <t xml:space="preserve">Enter the income tax refund from </t>
    </r>
    <r>
      <rPr>
        <b/>
        <sz val="10"/>
        <rFont val="Arial"/>
        <family val="2"/>
      </rPr>
      <t>Form(s) 1099-G</t>
    </r>
    <r>
      <rPr>
        <sz val="10"/>
        <rFont val="Arial"/>
        <family val="2"/>
      </rPr>
      <t xml:space="preserve"> (or similar statement).  But </t>
    </r>
    <r>
      <rPr>
        <b/>
        <sz val="10"/>
        <rFont val="Arial"/>
        <family val="2"/>
      </rPr>
      <t>don't</t>
    </r>
    <r>
      <rPr>
        <sz val="10"/>
        <rFont val="Arial"/>
        <family val="2"/>
      </rPr>
      <t xml:space="preserve"> enter more than</t>
    </r>
  </si>
  <si>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</si>
  <si>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t>worksheet next year. The payments you receive next year will generally be fully taxable</t>
  </si>
  <si>
    <r>
      <rPr>
        <b/>
        <sz val="10"/>
        <rFont val="Arial"/>
        <family val="2"/>
      </rPr>
      <t>Balance of cost to be recovered.</t>
    </r>
    <r>
      <rPr>
        <sz val="10"/>
        <rFont val="Arial"/>
        <family val="2"/>
      </rPr>
      <t xml:space="preserve"> Subtract line 10 from line 2. If zero, you won’t have to complete this</t>
    </r>
  </si>
  <si>
    <r>
      <t xml:space="preserve">as nondeductible contributions.   </t>
    </r>
    <r>
      <rPr>
        <b/>
        <i/>
        <sz val="10"/>
        <rFont val="Arial"/>
        <family val="2"/>
      </rPr>
      <t>Don't</t>
    </r>
    <r>
      <rPr>
        <i/>
        <sz val="10"/>
        <rFont val="Arial"/>
        <family val="2"/>
      </rPr>
      <t xml:space="preserve">  complete  this  worksheet for anyone age 70½ or older at the end of</t>
    </r>
  </si>
  <si>
    <t>Add lines 1 and 2</t>
  </si>
  <si>
    <r>
      <t xml:space="preserve">Portion of Line 21 attributed to tax refund  </t>
    </r>
    <r>
      <rPr>
        <b/>
        <sz val="9"/>
        <rFont val="Arial"/>
        <family val="2"/>
      </rPr>
      <t>↑</t>
    </r>
  </si>
  <si>
    <t xml:space="preserve">        credit. Be sure you use the correct column for your filing</t>
  </si>
  <si>
    <t xml:space="preserve">        here.</t>
  </si>
  <si>
    <t xml:space="preserve">        status and the number of children you have. Enter the credit</t>
  </si>
  <si>
    <r>
      <t xml:space="preserve">Enter the total amount from </t>
    </r>
    <r>
      <rPr>
        <b/>
        <sz val="10"/>
        <rFont val="Arial"/>
        <family val="2"/>
      </rPr>
      <t>box 5</t>
    </r>
    <r>
      <rPr>
        <sz val="10"/>
        <rFont val="Arial"/>
        <family val="2"/>
      </rPr>
      <t xml:space="preserve"> of all your Forms SSA-1099. Include the full</t>
    </r>
  </si>
  <si>
    <t xml:space="preserve">   .   .   .   .   .   .   .   .   .   .   .   .   .   .   .   .   .   .   .   .   .   .   .   .   .   .   .   .   .   .   .   .   .   .   .   .   .   .   .   .   .   .   .   .   .</t>
  </si>
  <si>
    <r>
      <t>earlier years</t>
    </r>
    <r>
      <rPr>
        <b/>
        <sz val="10"/>
        <rFont val="Arial"/>
        <family val="2"/>
      </rPr>
      <t>.   .   .   .   .   .   .   .   .   .   .   .   .   .   .   .   .   .   .   .   .   .   .   .   .   .   .   .   .   .   .   .   .   .   .   .   .   .   .   .   .   .   .   .   .   .</t>
    </r>
  </si>
  <si>
    <r>
      <t xml:space="preserve">Enter one-half of the amount on line A </t>
    </r>
    <r>
      <rPr>
        <b/>
        <sz val="10"/>
        <rFont val="Arial"/>
        <family val="2"/>
      </rPr>
      <t xml:space="preserve"> .   .   .   .   .   .   .   .   .   .   .   .   .   .   .   .   .   .   .   .   .   .   .   .   .   .   .   .   .   .   .   .</t>
    </r>
  </si>
  <si>
    <t>Attach to Form 1040.</t>
  </si>
  <si>
    <t>Subtract line 3 from line 1.  If line 3 is more than line 1, enter -0-</t>
  </si>
  <si>
    <t xml:space="preserve">Other taxes.   List type and amount </t>
  </si>
  <si>
    <t>If you made a 
gift and got a 
benefit for it, 
see instructions.</t>
  </si>
  <si>
    <t>Other--from list in instructions.  List type and amount.</t>
  </si>
  <si>
    <t xml:space="preserve">Gambling, casualty or theft losses   </t>
  </si>
  <si>
    <t>Other income, including federal and state gasoline or fuel tax credit or refund  (see instructions)</t>
  </si>
  <si>
    <t xml:space="preserve"> .   .   .   .   .  </t>
  </si>
  <si>
    <t>Commissions and fees</t>
  </si>
  <si>
    <t xml:space="preserve"> .   .   .   .   .   .   .   .   .  </t>
  </si>
  <si>
    <t>Depreciation and section 179 expense</t>
  </si>
  <si>
    <t>deduction (not included in Part III)</t>
  </si>
  <si>
    <t xml:space="preserve">   .   .   .   .   .   .   .   .   .   .   .   .</t>
  </si>
  <si>
    <t>Office Expense (see instructions)</t>
  </si>
  <si>
    <r>
      <t>b</t>
    </r>
    <r>
      <rPr>
        <sz val="8"/>
        <rFont val="Arial"/>
        <family val="2"/>
      </rPr>
      <t xml:space="preserve"> Commuting (see instructions)</t>
    </r>
  </si>
  <si>
    <t xml:space="preserve">.   .   .    .   .   .   .   .   .   .   .   .   .   .   .   .   .   .   .   .   .    .   .   .   .   .   .   . </t>
  </si>
  <si>
    <t>Department of the Treasury Internal Revenue Service (99)</t>
  </si>
  <si>
    <t>instructions). If you are filing Form 2555 or 2555-EZ, see instructions for the amount to enter</t>
  </si>
  <si>
    <t>Enter the amount from Schedule D (Form 1040), line 19  (as refigured for the AMT, if necessary) (see</t>
  </si>
  <si>
    <r>
      <rPr>
        <b/>
        <sz val="9"/>
        <rFont val="Arial"/>
        <family val="2"/>
      </rPr>
      <t xml:space="preserve">Go to </t>
    </r>
    <r>
      <rPr>
        <b/>
        <i/>
        <sz val="9"/>
        <rFont val="Arial"/>
        <family val="2"/>
      </rPr>
      <t>www.irs.gov/Form6251</t>
    </r>
    <r>
      <rPr>
        <b/>
        <sz val="9"/>
        <rFont val="Arial"/>
        <family val="2"/>
      </rPr>
      <t xml:space="preserve"> for instructions and the latest information.</t>
    </r>
  </si>
  <si>
    <t>https://www.irs.gov/pub/irs-pdf/i6251.pdf</t>
  </si>
  <si>
    <t>couldn't claim because they are related to excluded income</t>
  </si>
  <si>
    <t xml:space="preserve">.   .   .   .   .   .   .   .   .   .   .   .   .   .   .   .   .   .   .   .   . </t>
  </si>
  <si>
    <t>¬</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</si>
  <si>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</si>
  <si>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Form 8283 (Rev. 12-2014)</t>
  </si>
  <si>
    <r>
      <rPr>
        <b/>
        <sz val="13"/>
        <rFont val="Arial"/>
        <family val="2"/>
      </rPr>
      <t>Section B</t>
    </r>
    <r>
      <rPr>
        <sz val="13"/>
        <rFont val="Arial"/>
        <family val="2"/>
      </rPr>
      <t>.</t>
    </r>
  </si>
  <si>
    <t>similar items) for which you claimed a deduction of more than $5,000 per item or group (except contributions of publicly</t>
  </si>
  <si>
    <t>traded securities reported in Section A). Provide a separate form for each property donated unless it is part of a group of</t>
  </si>
  <si>
    <t>similar items. An appraisal is generally required for property listed in Section B. See instructions.</t>
  </si>
  <si>
    <r>
      <rPr>
        <b/>
        <sz val="10"/>
        <rFont val="Arial"/>
        <family val="2"/>
      </rPr>
      <t>Donated Property Over $5,000 (Except Publicly Traded Securities)</t>
    </r>
    <r>
      <rPr>
        <sz val="10"/>
        <rFont val="Arial"/>
        <family val="2"/>
      </rPr>
      <t>—</t>
    </r>
    <r>
      <rPr>
        <sz val="11"/>
        <rFont val="Arial"/>
        <family val="2"/>
      </rPr>
      <t>Complete this section for one item (or one group of</t>
    </r>
  </si>
  <si>
    <r>
      <rPr>
        <b/>
        <sz val="12"/>
        <rFont val="Arial"/>
        <family val="2"/>
      </rPr>
      <t xml:space="preserve">Information on Donated Property </t>
    </r>
    <r>
      <rPr>
        <sz val="12"/>
        <rFont val="Arial"/>
        <family val="2"/>
      </rPr>
      <t>— To be completed by the taxpayer and/or the appraiser.</t>
    </r>
  </si>
  <si>
    <t>Check the box that describes the type of property donated:</t>
  </si>
  <si>
    <t xml:space="preserve"> Art* (contribution of $20,000 or more)</t>
  </si>
  <si>
    <t xml:space="preserve"> Art* (contribution of less than $20,000)</t>
  </si>
  <si>
    <t>g</t>
  </si>
  <si>
    <t>j</t>
  </si>
  <si>
    <t xml:space="preserve"> Other</t>
  </si>
  <si>
    <t xml:space="preserve"> Collectibles**</t>
  </si>
  <si>
    <t xml:space="preserve"> Qualified Conservation Contribution</t>
  </si>
  <si>
    <t xml:space="preserve"> Other Real Estate</t>
  </si>
  <si>
    <t xml:space="preserve"> Intellectual Property</t>
  </si>
  <si>
    <t xml:space="preserve"> Equipment</t>
  </si>
  <si>
    <t xml:space="preserve"> Securities</t>
  </si>
  <si>
    <t>i</t>
  </si>
  <si>
    <t xml:space="preserve"> Vehicles</t>
  </si>
  <si>
    <t>*Art includes paintings, sculptures, watercolors, prints, drawings, ceramics, antiques, decorative arts, textiles, carpets, silver, rare manuscripts, historical memorabilia, and</t>
  </si>
  <si>
    <t>other similar objects.</t>
  </si>
  <si>
    <t>**Collectibles include coins, stamps, books, gems, jewelry, sports memorabilia, dolls, etc., but not art as defined above.</t>
  </si>
  <si>
    <t>(c) Appraised fair
market value</t>
  </si>
  <si>
    <r>
      <rPr>
        <b/>
        <sz val="10"/>
        <rFont val="Arial"/>
        <family val="2"/>
      </rPr>
      <t>(b)</t>
    </r>
    <r>
      <rPr>
        <sz val="10"/>
        <rFont val="Arial"/>
        <family val="2"/>
      </rPr>
      <t xml:space="preserve"> If tangible property was donated, give a brief summary of the overall
physical condition of the property at the time of the gift</t>
    </r>
  </si>
  <si>
    <r>
      <rPr>
        <b/>
        <sz val="9"/>
        <rFont val="Arial"/>
        <family val="2"/>
      </rPr>
      <t>(a)</t>
    </r>
    <r>
      <rPr>
        <sz val="9"/>
        <rFont val="Arial"/>
        <family val="2"/>
      </rPr>
      <t xml:space="preserve"> Description of donated property (if you need
more space, attach a separate statement)</t>
    </r>
  </si>
  <si>
    <r>
      <rPr>
        <b/>
        <sz val="10"/>
        <rFont val="Arial"/>
        <family val="2"/>
      </rPr>
      <t xml:space="preserve">Note. </t>
    </r>
    <r>
      <rPr>
        <sz val="10"/>
        <rFont val="Arial"/>
        <family val="2"/>
      </rPr>
      <t xml:space="preserve"> In certain cases, you must attach a qualified appraisal of the property.  See instructions.</t>
    </r>
  </si>
  <si>
    <t>(d) Date acquired
by donor (mo., yr.)</t>
  </si>
  <si>
    <t>(e) How acquired by donor</t>
  </si>
  <si>
    <t>(f) Donor’s cost or
adjusted basis</t>
  </si>
  <si>
    <t>See instructions</t>
  </si>
  <si>
    <r>
      <rPr>
        <b/>
        <sz val="8"/>
        <rFont val="Arial"/>
        <family val="2"/>
      </rPr>
      <t>(i)</t>
    </r>
    <r>
      <rPr>
        <sz val="8"/>
        <rFont val="Arial"/>
        <family val="2"/>
      </rPr>
      <t xml:space="preserve"> Date of contribution</t>
    </r>
  </si>
  <si>
    <r>
      <rPr>
        <b/>
        <sz val="8"/>
        <rFont val="Arial"/>
        <family val="2"/>
      </rPr>
      <t>(h)</t>
    </r>
    <r>
      <rPr>
        <sz val="8"/>
        <rFont val="Arial"/>
        <family val="2"/>
      </rPr>
      <t xml:space="preserve"> Amount claimed as a
deduction</t>
    </r>
  </si>
  <si>
    <r>
      <rPr>
        <b/>
        <sz val="9"/>
        <rFont val="Arial"/>
        <family val="2"/>
      </rPr>
      <t>(g)</t>
    </r>
    <r>
      <rPr>
        <sz val="9"/>
        <rFont val="Arial"/>
        <family val="2"/>
      </rPr>
      <t xml:space="preserve"> For bargain sales, enter amount received</t>
    </r>
  </si>
  <si>
    <r>
      <t>Taxpayer (Donor) Statement—</t>
    </r>
    <r>
      <rPr>
        <sz val="12"/>
        <rFont val="Arial"/>
        <family val="2"/>
      </rPr>
      <t>List each item included in Part I above that the appraisal identifies as having</t>
    </r>
  </si>
  <si>
    <t>a value of $500 or less. See instructions.</t>
  </si>
  <si>
    <t>I declare that the following item(s) included in Part I above has to the best of my knowledge and belief an appraised value of not more than $500</t>
  </si>
  <si>
    <t>(per item). Enter identifying letter from Part I and describe the specific item. See instructions.</t>
  </si>
  <si>
    <t>Signature of taxpayer (donor)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</si>
  <si>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</si>
  <si>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In addition, I understand that I may be subject to a penalty under section 6695A if I know, or reasonably should know, that my appraisal is to be used in connection with a return or claim for refund and a substantial or gross valuation misstatement results from my appraisal. I affirm that I have not been barred from presenting evidence or testimony by the Office of Professional Responsibility.</t>
  </si>
  <si>
    <t>Sign Here</t>
  </si>
  <si>
    <t>Signature</t>
  </si>
  <si>
    <t>Title</t>
  </si>
  <si>
    <t>Business address (including room or suite no.)</t>
  </si>
  <si>
    <r>
      <t>Donee Acknowledgment—</t>
    </r>
    <r>
      <rPr>
        <sz val="12"/>
        <rFont val="Arial"/>
        <family val="2"/>
      </rPr>
      <t>To be completed by the charitable organization.</t>
    </r>
  </si>
  <si>
    <t>This charitable organization acknowledges that it is a qualified organization under section 170(c) and that it received the donated property as described</t>
  </si>
  <si>
    <t>in Section B, Part I, above on the following date</t>
  </si>
  <si>
    <t>Furthermore, this organization affirms that in the event it sells, exchanges, or otherwise disposes of the property described in Section B, Part I (or any</t>
  </si>
  <si>
    <t>portion thereof) within 3 years after the date of receipt, it will file Form 8282, Donee Information Return, with the IRS and give the donor a copy of that</t>
  </si>
  <si>
    <t>form. This acknowledgment does not represent agreement with the claimed fair market value.</t>
  </si>
  <si>
    <t>Does the organization intend to use the property for an unrelated use?</t>
  </si>
  <si>
    <t>Employer identification number</t>
  </si>
  <si>
    <t>Authorized signature</t>
  </si>
  <si>
    <t>ALL</t>
  </si>
  <si>
    <t>Changes since initial publication</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</si>
  <si>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</si>
  <si>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r>
      <t xml:space="preserve">Form </t>
    </r>
    <r>
      <rPr>
        <b/>
        <sz val="24"/>
        <rFont val="Arial"/>
        <family val="2"/>
      </rPr>
      <t>1116</t>
    </r>
  </si>
  <si>
    <t>Foreign Tax Credit</t>
  </si>
  <si>
    <t>(Individual, Estate, or Trust)</t>
  </si>
  <si>
    <t>Attach to Form 1040, 1040NR, 1041, or 990-T.</t>
  </si>
  <si>
    <t>Name</t>
  </si>
  <si>
    <t>Passive category income</t>
  </si>
  <si>
    <t>Section 901(j) income</t>
  </si>
  <si>
    <t>Lump-sum distributions</t>
  </si>
  <si>
    <t>General category income</t>
  </si>
  <si>
    <t>Certain income re-sourced by treaty</t>
  </si>
  <si>
    <t>Resident of (name of country)</t>
  </si>
  <si>
    <t>If you paid taxes to only one foreign country or U.S. possession, use column A in Part I and line A in Part II. If you paid taxes to</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</si>
  <si>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</si>
  <si>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</si>
  <si>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</si>
  <si>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</si>
  <si>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</si>
  <si>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</si>
  <si>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Foreign Country or U.S. Possession</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</si>
  <si>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</si>
  <si>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</si>
  <si>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</si>
  <si>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</si>
  <si>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</si>
  <si>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10"/>
        <rFont val="Arial"/>
        <family val="2"/>
      </rPr>
      <t>Deductions and losses (Caution:</t>
    </r>
    <r>
      <rPr>
        <sz val="10"/>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</si>
  <si>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</si>
  <si>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</si>
  <si>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t>Other deductions (attach statement)</t>
  </si>
  <si>
    <t>Add lines 3a and 3b</t>
  </si>
  <si>
    <t>Gross foreign source income (see instructions)</t>
  </si>
  <si>
    <t>Gross income from all sources (see instructions)</t>
  </si>
  <si>
    <t>Divide line 3d by line 3e (see instructions)</t>
  </si>
  <si>
    <t>Multiply line 3c by line 3f</t>
  </si>
  <si>
    <t>Other interest expense</t>
  </si>
  <si>
    <t>Home mortgage interest (use the Worksheet for</t>
  </si>
  <si>
    <t>Home Mortgage Interest in the instructions)</t>
  </si>
  <si>
    <t>Losses from foreign sources</t>
  </si>
  <si>
    <t>Add lines 2, 3g, 4a, 4b, and 5</t>
  </si>
  <si>
    <t>Subtract line 6 from line 1a. Enter the result here and on line 15, page 2</t>
  </si>
  <si>
    <t>Accrued</t>
  </si>
  <si>
    <t>or accrued</t>
  </si>
  <si>
    <t>Taxes withheld at source on:</t>
  </si>
  <si>
    <r>
      <t>Form</t>
    </r>
    <r>
      <rPr>
        <b/>
        <sz val="14"/>
        <rFont val="Arial"/>
        <family val="2"/>
      </rPr>
      <t xml:space="preserve"> </t>
    </r>
    <r>
      <rPr>
        <b/>
        <sz val="12"/>
        <rFont val="Arial"/>
        <family val="2"/>
      </rPr>
      <t>1116</t>
    </r>
  </si>
  <si>
    <t>Cat. No. 11440U</t>
  </si>
  <si>
    <t>For Paperwork Reduction Act Notice, see instructions.</t>
  </si>
  <si>
    <t xml:space="preserve"> Paid</t>
  </si>
  <si>
    <t>OMB No. 1545-0121</t>
  </si>
  <si>
    <t>Country</t>
  </si>
  <si>
    <t>Add lines A through C, column (s). Enter the total here and on line 9, page 2</t>
  </si>
  <si>
    <r>
      <rPr>
        <b/>
        <sz val="10"/>
        <rFont val="Arial"/>
        <family val="2"/>
      </rPr>
      <t>more than one</t>
    </r>
    <r>
      <rPr>
        <sz val="10"/>
        <rFont val="Arial"/>
        <family val="2"/>
      </rPr>
      <t xml:space="preserve"> foreign country or U.S. possession, use a separate column and line for each country or possession.</t>
    </r>
  </si>
  <si>
    <r>
      <rPr>
        <b/>
        <sz val="8"/>
        <rFont val="Arial"/>
        <family val="2"/>
      </rPr>
      <t>Identifying number</t>
    </r>
    <r>
      <rPr>
        <sz val="8"/>
        <rFont val="Arial"/>
        <family val="2"/>
      </rPr>
      <t xml:space="preserve"> as shown on page 1 of your tax return</t>
    </r>
  </si>
  <si>
    <t xml:space="preserve">.   .   .   .   .   .   .   .   .   .   .   .   .   .   .   .   .  </t>
  </si>
  <si>
    <t xml:space="preserve"> .   .   .   .   .   .   .   .   .   .   .   .   .   .   .   .   .   .   .   .   .   .   .   .   .   .   .   .   .   .   .   .   .   .   .   .   .   .   .   .   .   . </t>
  </si>
  <si>
    <r>
      <t xml:space="preserve">Form </t>
    </r>
    <r>
      <rPr>
        <b/>
        <sz val="22"/>
        <rFont val="Arial"/>
        <family val="2"/>
      </rPr>
      <t>8283</t>
    </r>
  </si>
  <si>
    <t>Figuring the Credit</t>
  </si>
  <si>
    <t>Enter the amount from line 8. These are your total foreign taxes paid</t>
  </si>
  <si>
    <t>or accrued for the category of income checked above Part I</t>
  </si>
  <si>
    <t>Reduction in foreign taxes (see instructions)</t>
  </si>
  <si>
    <t>Taxes reclassified under high tax kickout (see instructions)</t>
  </si>
  <si>
    <t>Combine lines 11, 12, and 13. This is the total amount of foreign taxes available for credit</t>
  </si>
  <si>
    <t>Enter the amount from line 7. This is your taxable income or (loss) from</t>
  </si>
  <si>
    <t>sources outside the United States (before adjustments) for the category</t>
  </si>
  <si>
    <t>of income checked above Part I (see instructions)</t>
  </si>
  <si>
    <t>Adjustments to line 15 (see instructions)</t>
  </si>
  <si>
    <t>Combine the amounts on lines 15 and 16. This is your net foreign</t>
  </si>
  <si>
    <t>source taxable income. (If the result is zero or less, you have no</t>
  </si>
  <si>
    <t>foreign tax credit for the category of income you checked above</t>
  </si>
  <si>
    <t>Part I. Skip lines 18 through 22. However, if you are filing more than</t>
  </si>
  <si>
    <t>one Form 1116, you must complete line 20.)</t>
  </si>
  <si>
    <t>without the deduction for your exemption</t>
  </si>
  <si>
    <t>Divide line 17 by line 18. If line 17 is more than line 18, enter “1”</t>
  </si>
  <si>
    <t>Multiply line 20 by line 19 (maximum amount of credit)</t>
  </si>
  <si>
    <t>Credit for taxes on passive category income</t>
  </si>
  <si>
    <t>Credit for taxes on general category income</t>
  </si>
  <si>
    <t>Credit for taxes on certain income re-sourced by treaty</t>
  </si>
  <si>
    <t>Credit for taxes on lump-sum distributions</t>
  </si>
  <si>
    <t>Add lines 23 through 26</t>
  </si>
  <si>
    <t>Reduction of credit for international boycott operations. See instructions for line 12</t>
  </si>
  <si>
    <r>
      <t>Form</t>
    </r>
    <r>
      <rPr>
        <b/>
        <sz val="14"/>
        <rFont val="Arial"/>
        <family val="2"/>
      </rPr>
      <t xml:space="preserve"> 1116</t>
    </r>
  </si>
  <si>
    <t>Carryback or carryover (attach detailed computation)</t>
  </si>
  <si>
    <r>
      <rPr>
        <b/>
        <sz val="10"/>
        <rFont val="Arial"/>
        <family val="2"/>
      </rPr>
      <t>Individuals:</t>
    </r>
    <r>
      <rPr>
        <sz val="10"/>
        <rFont val="Arial"/>
        <family val="2"/>
      </rPr>
      <t xml:space="preserve"> Enter the amount from Form 1040, line 41; or Form</t>
    </r>
  </si>
  <si>
    <r>
      <t xml:space="preserve">1040NR, line 39. </t>
    </r>
    <r>
      <rPr>
        <b/>
        <sz val="10"/>
        <rFont val="Arial"/>
        <family val="2"/>
      </rPr>
      <t>Estates and trusts:</t>
    </r>
    <r>
      <rPr>
        <sz val="10"/>
        <rFont val="Arial"/>
        <family val="2"/>
      </rPr>
      <t xml:space="preserve"> Enter your taxable income</t>
    </r>
  </si>
  <si>
    <r>
      <rPr>
        <b/>
        <sz val="10"/>
        <rFont val="Arial"/>
        <family val="2"/>
      </rPr>
      <t>Caution:</t>
    </r>
    <r>
      <rPr>
        <sz val="10"/>
        <rFont val="Arial"/>
        <family val="2"/>
      </rPr>
      <t xml:space="preserve"> If you figured your tax using the lower rates on qualified dividends or capital gains, see</t>
    </r>
  </si>
  <si>
    <r>
      <t xml:space="preserve">Enter the </t>
    </r>
    <r>
      <rPr>
        <b/>
        <sz val="10"/>
        <rFont val="Arial"/>
        <family val="2"/>
      </rPr>
      <t xml:space="preserve">smaller </t>
    </r>
    <r>
      <rPr>
        <sz val="10"/>
        <rFont val="Arial"/>
        <family val="2"/>
      </rPr>
      <t>of line 14 or line 21. If this is the only Form 1116 you are filing, skip lines 23</t>
    </r>
  </si>
  <si>
    <t>In foreign currency</t>
  </si>
  <si>
    <t>In U.S. dollars</t>
  </si>
  <si>
    <t>Foreign taxes paid or accrued</t>
  </si>
  <si>
    <r>
      <t xml:space="preserve">Pro rata share of other deductions </t>
    </r>
    <r>
      <rPr>
        <b/>
        <sz val="9"/>
        <rFont val="Arial"/>
        <family val="2"/>
      </rPr>
      <t>not definitely</t>
    </r>
  </si>
  <si>
    <t>related:</t>
  </si>
  <si>
    <r>
      <t xml:space="preserve">Enter the </t>
    </r>
    <r>
      <rPr>
        <b/>
        <sz val="10"/>
        <rFont val="Arial"/>
        <family val="2"/>
      </rPr>
      <t>smaller</t>
    </r>
    <r>
      <rPr>
        <sz val="10"/>
        <rFont val="Arial"/>
        <family val="2"/>
      </rPr>
      <t xml:space="preserve"> of line 20 or line 27</t>
    </r>
  </si>
  <si>
    <r>
      <t xml:space="preserve">Summary of Credits From Separate Parts III   </t>
    </r>
    <r>
      <rPr>
        <sz val="10"/>
        <rFont val="Arial"/>
        <family val="2"/>
      </rPr>
      <t>(see instructions)</t>
    </r>
  </si>
  <si>
    <t>Check here to use this form.</t>
  </si>
  <si>
    <t>Payer #11</t>
  </si>
  <si>
    <t>Payer #12</t>
  </si>
  <si>
    <t>Payer #13</t>
  </si>
  <si>
    <t>Payer #14</t>
  </si>
  <si>
    <t>Payer #15</t>
  </si>
  <si>
    <t>The lines in Part I, Line 1, include hidden formula to automatically import information from the sheet labeled '1099-INT'.</t>
  </si>
  <si>
    <t>The top 15 full width lines in Part II, Line 5, include hidden formula to automatically import information from the sheet labeled '1099-DIV'.</t>
  </si>
  <si>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</si>
  <si>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II,
line 2, column (g)</t>
    </r>
  </si>
  <si>
    <t>https://www.irs.gov/pub/irs-pdf/i1099msc.pdf</t>
  </si>
  <si>
    <t>https://www.irs.gov/pub/irs-pdf/f1099msc.pdf</t>
  </si>
  <si>
    <t>This form has yet to be implemented.</t>
  </si>
  <si>
    <t>Download and follow IRS instructions for where the information and amounts should be entered.</t>
  </si>
  <si>
    <t>Instructions for Form 1099-MISC (2018) may be downloaded from the IRS:</t>
  </si>
  <si>
    <t>Form 1099-MISC (2018) may be downloaded from the IRS:</t>
  </si>
  <si>
    <t>Standard Deduction Chart</t>
  </si>
  <si>
    <t>If you type in the lines in Step 1, this import feature will no longer work.</t>
  </si>
  <si>
    <t>If you type in these lines in Step 5, this import feature will no longer work.</t>
  </si>
  <si>
    <t>(a) RP-1</t>
  </si>
  <si>
    <t>(a) RP-2</t>
  </si>
  <si>
    <t>(a) RP-3</t>
  </si>
  <si>
    <t>(a) RP-4</t>
  </si>
  <si>
    <t>(b) RP-1</t>
  </si>
  <si>
    <t>(b) RP-2</t>
  </si>
  <si>
    <t>(b) RP-3</t>
  </si>
  <si>
    <t>(b) RP-4</t>
  </si>
  <si>
    <t>(c) RP-2</t>
  </si>
  <si>
    <t>(c) RP-3</t>
  </si>
  <si>
    <t>(c) RP-4</t>
  </si>
  <si>
    <t>(d) RP-4</t>
  </si>
  <si>
    <t>3A</t>
  </si>
  <si>
    <r>
      <t xml:space="preserve">Distribution code(s) </t>
    </r>
    <r>
      <rPr>
        <b/>
        <sz val="10"/>
        <rFont val="Arial"/>
        <family val="2"/>
      </rPr>
      <t>(Code D only)</t>
    </r>
  </si>
  <si>
    <t>Married</t>
  </si>
  <si>
    <t>Single*</t>
  </si>
  <si>
    <t>*Or Married with Self Only Coverage Type</t>
  </si>
  <si>
    <t>Coverage Type?</t>
  </si>
  <si>
    <t>What coverage type did your HDHP provide on the 1st day of the month?</t>
  </si>
  <si>
    <t>&lt;---  Line 21 loss is smaller than Line 16 loss,  OR</t>
  </si>
  <si>
    <t>&lt;---  Line 21 is less than zero,     AND</t>
  </si>
  <si>
    <t>Employer #5</t>
  </si>
  <si>
    <t>Employer #6</t>
  </si>
  <si>
    <t>Month (e.g. '11')</t>
  </si>
  <si>
    <t>Day (e.g. '9')</t>
  </si>
  <si>
    <t>Year (e.g. '1964')</t>
  </si>
  <si>
    <t>Download Form 8960 Instructions</t>
  </si>
  <si>
    <r>
      <t xml:space="preserve"> </t>
    </r>
    <r>
      <rPr>
        <b/>
        <sz val="10"/>
        <rFont val="Arial"/>
        <family val="2"/>
      </rPr>
      <t>Yes.</t>
    </r>
    <r>
      <rPr>
        <sz val="10"/>
        <rFont val="Arial"/>
        <family val="2"/>
      </rPr>
      <t xml:space="preserve">  I meet these requirements to be considered unmarried.</t>
    </r>
  </si>
  <si>
    <t>Payer #16</t>
  </si>
  <si>
    <t>Payer #17</t>
  </si>
  <si>
    <t>Payer #18</t>
  </si>
  <si>
    <t>Payer #19</t>
  </si>
  <si>
    <t>STOP  Don’t complete the rest of this worksheet. You don’t owe alternative</t>
  </si>
  <si>
    <t>STOP  Fill in Form 6251 to see if you owe the alternative minimum tax.</t>
  </si>
  <si>
    <t>Total
IRAs</t>
  </si>
  <si>
    <t>Enter payer's name here.</t>
  </si>
  <si>
    <t>information.</t>
  </si>
  <si>
    <t>SCHEDULE 8812</t>
  </si>
  <si>
    <r>
      <t xml:space="preserve">Go to </t>
    </r>
    <r>
      <rPr>
        <b/>
        <i/>
        <sz val="9"/>
        <rFont val="Arial"/>
        <family val="2"/>
      </rPr>
      <t>www.irs.gov/Schedule8812</t>
    </r>
    <r>
      <rPr>
        <b/>
        <sz val="9"/>
        <rFont val="Arial"/>
        <family val="2"/>
      </rPr>
      <t xml:space="preserve"> for instructions and the latest</t>
    </r>
  </si>
  <si>
    <t>1040 filers:</t>
  </si>
  <si>
    <t>1040NR filers:</t>
  </si>
  <si>
    <t>Earned income (see separate instructions)</t>
  </si>
  <si>
    <t>Nontaxable combat pay (see separate</t>
  </si>
  <si>
    <t>Next.</t>
  </si>
  <si>
    <t>Cat. No. 59761M</t>
  </si>
  <si>
    <t>Certain Filers Who Have Three or More Qualifying Children</t>
  </si>
  <si>
    <t>Withheld social security, Medicare, and Additional Medicare taxes from</t>
  </si>
  <si>
    <t>Form(s) W-2, boxes 4 and 6. If married filing jointly, include your spouse’s</t>
  </si>
  <si>
    <t>amounts with yours. If your employer withheld or you paid Additional</t>
  </si>
  <si>
    <t>Medicare Tax or tier 1 RRTA taxes, see separate instructions</t>
  </si>
  <si>
    <t>Enter the amount from Form 1040NR, line 67.</t>
  </si>
  <si>
    <t>Additional Child Tax Credit</t>
  </si>
  <si>
    <t>This is your additional child tax credit</t>
  </si>
  <si>
    <t>Subtract line 2 from line 1.</t>
  </si>
  <si>
    <t>2018 Tax Computation Worksheet - Line 44</t>
  </si>
  <si>
    <t>o</t>
  </si>
  <si>
    <t>Schedule C</t>
  </si>
  <si>
    <t>Schedule E</t>
  </si>
  <si>
    <t>Schedule F</t>
  </si>
  <si>
    <t>1.  Indicate the type of business:</t>
  </si>
  <si>
    <t>Domestic income?</t>
  </si>
  <si>
    <r>
      <t xml:space="preserve">Ordinary income after deductions and </t>
    </r>
    <r>
      <rPr>
        <u/>
        <sz val="10"/>
        <rFont val="Arial"/>
        <family val="2"/>
      </rPr>
      <t>not</t>
    </r>
    <r>
      <rPr>
        <sz val="10"/>
        <rFont val="Arial"/>
        <family val="2"/>
      </rPr>
      <t xml:space="preserve"> capital gains income.</t>
    </r>
  </si>
  <si>
    <t>Enter the net income of the qualified business after</t>
  </si>
  <si>
    <t>Enter publically traded partnership (PTP) income.</t>
  </si>
  <si>
    <t>Enter qualified real estate investment trust dividends.</t>
  </si>
  <si>
    <t>Enter qualified cooperative (COOP) dividends.</t>
  </si>
  <si>
    <t>4.a</t>
  </si>
  <si>
    <t>4.b</t>
  </si>
  <si>
    <t>4.c</t>
  </si>
  <si>
    <t>4.d</t>
  </si>
  <si>
    <t>Taxable Income  &gt;</t>
  </si>
  <si>
    <t>Pass-through business</t>
  </si>
  <si>
    <t>Yes.    Go to step 10.</t>
  </si>
  <si>
    <t>OR</t>
  </si>
  <si>
    <t>PLUS</t>
  </si>
  <si>
    <t>20% of Other Qualified Income</t>
  </si>
  <si>
    <t>plus</t>
  </si>
  <si>
    <t>30.  Your deduction is:</t>
  </si>
  <si>
    <t>THE LESSER OF</t>
  </si>
  <si>
    <t>Deduction</t>
  </si>
  <si>
    <t>12.a</t>
  </si>
  <si>
    <t>12.b</t>
  </si>
  <si>
    <t>Lesser of 12.a &amp; 12.b</t>
  </si>
  <si>
    <t>12.c</t>
  </si>
  <si>
    <t>12.d</t>
  </si>
  <si>
    <t>(12.c + 12.d)</t>
  </si>
  <si>
    <t>12.e</t>
  </si>
  <si>
    <t>Phaseout Percentage &gt;</t>
  </si>
  <si>
    <t>Phaseout Percentage = (Taxable Income - Phaseout Threshold) / (Taxable Income Limit - Phaseout Threshold)</t>
  </si>
  <si>
    <t>No.      Go to step 30.</t>
  </si>
  <si>
    <t>3.  Taxable income</t>
  </si>
  <si>
    <t>Adjusted Gross Income (3.a)</t>
  </si>
  <si>
    <t>3.a</t>
  </si>
  <si>
    <t>3.b</t>
  </si>
  <si>
    <t>3.c</t>
  </si>
  <si>
    <t>3.d</t>
  </si>
  <si>
    <t>10.  Is this a 'Service Business'?</t>
  </si>
  <si>
    <t>Income Limit</t>
  </si>
  <si>
    <t>Phase-out 
Threshold</t>
  </si>
  <si>
    <t>4.  Qualified Business Income (QBI) &amp; other qualified income</t>
  </si>
  <si>
    <t>20% of QBI  (4.a)</t>
  </si>
  <si>
    <t>(Lines 4.b, 4.c, &amp; 4.d)</t>
  </si>
  <si>
    <t>6.  Taxable Income Limit.</t>
  </si>
  <si>
    <t>8.  Taxable Income Phase-out Threshold</t>
  </si>
  <si>
    <t>7.  Is Taxable Income (3.d) greater than Taxable income limit (6.0)?</t>
  </si>
  <si>
    <t>9.  Is Taxable Income (3.d) greater than Taxable income phase-out threshold (8.0)?</t>
  </si>
  <si>
    <t>Deduction &gt;&gt;&gt;</t>
  </si>
  <si>
    <t>20.a</t>
  </si>
  <si>
    <t>20.b</t>
  </si>
  <si>
    <t>20.c</t>
  </si>
  <si>
    <t>20.d</t>
  </si>
  <si>
    <t>20.e</t>
  </si>
  <si>
    <t>20.f</t>
  </si>
  <si>
    <t xml:space="preserve">Lesser of </t>
  </si>
  <si>
    <t>20.a &amp; 20.d</t>
  </si>
  <si>
    <t>12.g</t>
  </si>
  <si>
    <t>(20.e + 20.f)</t>
  </si>
  <si>
    <t>5.a</t>
  </si>
  <si>
    <t>5.b</t>
  </si>
  <si>
    <t>5.c</t>
  </si>
  <si>
    <r>
      <t xml:space="preserve">Wages attributable to taxpayer </t>
    </r>
    <r>
      <rPr>
        <b/>
        <sz val="10"/>
        <rFont val="Arial"/>
        <family val="2"/>
      </rPr>
      <t xml:space="preserve"> .   .   .   .   .   .   .  &gt;</t>
    </r>
  </si>
  <si>
    <r>
      <t>Capital investment attributable to taxpayer</t>
    </r>
    <r>
      <rPr>
        <b/>
        <sz val="10"/>
        <rFont val="Arial"/>
        <family val="2"/>
      </rPr>
      <t xml:space="preserve">  .   .   .  &gt;</t>
    </r>
  </si>
  <si>
    <t>Wage &amp; Capital Component (WCC) .   .   .   .   . &gt;</t>
  </si>
  <si>
    <t>Wage &amp; Capital Component (5.c)</t>
  </si>
  <si>
    <t>Wage Capital Component (5.c)</t>
  </si>
  <si>
    <t>No.    Go to step 8.</t>
  </si>
  <si>
    <t>40.a</t>
  </si>
  <si>
    <t>40.b</t>
  </si>
  <si>
    <t>40.c</t>
  </si>
  <si>
    <t>40.d</t>
  </si>
  <si>
    <t>40.a &amp; 40.d</t>
  </si>
  <si>
    <t>40.e</t>
  </si>
  <si>
    <t>40.f</t>
  </si>
  <si>
    <t>(40.e + 40.f)</t>
  </si>
  <si>
    <t>40.g</t>
  </si>
  <si>
    <t>30.a</t>
  </si>
  <si>
    <t>30.b</t>
  </si>
  <si>
    <t>30.c</t>
  </si>
  <si>
    <t>(30.a + 30.b)</t>
  </si>
  <si>
    <t>Lessor of</t>
  </si>
  <si>
    <t>30.d</t>
  </si>
  <si>
    <t>(20.b + 20.c)</t>
  </si>
  <si>
    <t>(40.b + 40.c)</t>
  </si>
  <si>
    <r>
      <t xml:space="preserve">all business deductions have been claimed. </t>
    </r>
    <r>
      <rPr>
        <b/>
        <sz val="10"/>
        <rFont val="Arial"/>
        <family val="2"/>
      </rPr>
      <t>(QBI)</t>
    </r>
  </si>
  <si>
    <t>30.e</t>
  </si>
  <si>
    <t>Modified AGI. Enter your modified AGI (see instructions)</t>
  </si>
  <si>
    <t>Enter the amount from line 8 of your Child Tax Credit Worksheet and Other</t>
  </si>
  <si>
    <r>
      <t xml:space="preserve">If zero, </t>
    </r>
    <r>
      <rPr>
        <b/>
        <sz val="10"/>
        <rFont val="Arial"/>
        <family val="2"/>
      </rPr>
      <t>stop here;</t>
    </r>
    <r>
      <rPr>
        <sz val="10"/>
        <rFont val="Arial"/>
        <family val="2"/>
      </rPr>
      <t xml:space="preserve"> you cannot claim this credit.</t>
    </r>
  </si>
  <si>
    <t>Number of qualifying children under 17 with the required social security number:</t>
  </si>
  <si>
    <t>the Child Tax Credit and Credit for Other Dependents Worksheet.</t>
  </si>
  <si>
    <r>
      <t xml:space="preserve">Enter the </t>
    </r>
    <r>
      <rPr>
        <b/>
        <sz val="10"/>
        <rFont val="Arial"/>
        <family val="2"/>
      </rPr>
      <t>smaller</t>
    </r>
    <r>
      <rPr>
        <sz val="10"/>
        <rFont val="Arial"/>
        <family val="2"/>
      </rPr>
      <t xml:space="preserve"> of line 3 and line 4</t>
    </r>
  </si>
  <si>
    <t>Leave line 7 blank and enter -0- on line 8.</t>
  </si>
  <si>
    <t>Subtract line 12 from line 11. If zero or less, enter -0-</t>
  </si>
  <si>
    <r>
      <t>Enter the</t>
    </r>
    <r>
      <rPr>
        <b/>
        <sz val="10"/>
        <rFont val="Arial"/>
        <family val="2"/>
      </rPr>
      <t xml:space="preserve"> larger </t>
    </r>
    <r>
      <rPr>
        <sz val="10"/>
        <rFont val="Arial"/>
        <family val="2"/>
      </rPr>
      <t>of line 8 or line 13</t>
    </r>
  </si>
  <si>
    <t>Additional Income and Adjustments to Income</t>
  </si>
  <si>
    <r>
      <t xml:space="preserve">Go to </t>
    </r>
    <r>
      <rPr>
        <b/>
        <i/>
        <sz val="10"/>
        <rFont val="Arial"/>
        <family val="2"/>
      </rPr>
      <t>www.irs.gov/Form1040</t>
    </r>
    <r>
      <rPr>
        <b/>
        <sz val="10"/>
        <rFont val="Arial"/>
        <family val="2"/>
      </rPr>
      <t xml:space="preserve"> for instructions and the latest information.</t>
    </r>
  </si>
  <si>
    <t>Cat. No. 71479F</t>
  </si>
  <si>
    <t>Reserved</t>
  </si>
  <si>
    <t>1-9b</t>
  </si>
  <si>
    <t>Taxable refunds, credits, or offsets of state and local income taxes</t>
  </si>
  <si>
    <r>
      <t xml:space="preserve">SCHEDULE 1
</t>
    </r>
    <r>
      <rPr>
        <b/>
        <sz val="10"/>
        <rFont val="Arial"/>
        <family val="2"/>
      </rPr>
      <t>(Form 1040)</t>
    </r>
  </si>
  <si>
    <t>15a</t>
  </si>
  <si>
    <t>Combine the amounts in the far right column.  If you don't have any adjustments to</t>
  </si>
  <si>
    <t>Additional</t>
  </si>
  <si>
    <t>Adjustments</t>
  </si>
  <si>
    <t>to Income</t>
  </si>
  <si>
    <t>Educator expenses</t>
  </si>
  <si>
    <t>Certain business expenses of reservists, performing artists,</t>
  </si>
  <si>
    <t>and fee-basis government officials. Attach Form 2106</t>
  </si>
  <si>
    <t>Health savings account deduction. Attach Form 8889</t>
  </si>
  <si>
    <t>Attach Form 3903</t>
  </si>
  <si>
    <t>Deductible part of self-employment tax. Attach Schedule SE</t>
  </si>
  <si>
    <t>Self-employed SEP, SIMPLE, and qualified plans</t>
  </si>
  <si>
    <t>Penalty on early withdrawal of savings</t>
  </si>
  <si>
    <t>31a</t>
  </si>
  <si>
    <t>Student loan interest deduction</t>
  </si>
  <si>
    <t>Add lines 23 through 35</t>
  </si>
  <si>
    <t>15b</t>
  </si>
  <si>
    <t xml:space="preserve">  Your social security number</t>
  </si>
  <si>
    <t>Tax</t>
  </si>
  <si>
    <r>
      <t xml:space="preserve">SCHEDULE 2
</t>
    </r>
    <r>
      <rPr>
        <b/>
        <sz val="10"/>
        <rFont val="Arial"/>
        <family val="2"/>
      </rPr>
      <t>(Form 1040)</t>
    </r>
  </si>
  <si>
    <t>Cat. No. 71478U</t>
  </si>
  <si>
    <r>
      <t xml:space="preserve">SCHEDULE 3
</t>
    </r>
    <r>
      <rPr>
        <b/>
        <sz val="10"/>
        <rFont val="Arial"/>
        <family val="2"/>
      </rPr>
      <t>(Form 1040)</t>
    </r>
  </si>
  <si>
    <t>Nonrefundable Credits</t>
  </si>
  <si>
    <t>Nonrefundable</t>
  </si>
  <si>
    <t>Credits</t>
  </si>
  <si>
    <t>Retirement savings contributions credit.  Attach Form 8880</t>
  </si>
  <si>
    <t>Credit for child and dependent care expenses.  Attach Form 2441</t>
  </si>
  <si>
    <t>Foreign tax credit.  Attach Form 1116, if required</t>
  </si>
  <si>
    <t>Residential energy credit.  Attach Form 5695</t>
  </si>
  <si>
    <t>Other income. List type and amount</t>
  </si>
  <si>
    <r>
      <rPr>
        <b/>
        <sz val="10"/>
        <rFont val="Arial"/>
        <family val="2"/>
      </rPr>
      <t>b</t>
    </r>
    <r>
      <rPr>
        <sz val="10"/>
        <rFont val="Arial"/>
        <family val="2"/>
      </rPr>
      <t xml:space="preserve">  Recipient's SSN</t>
    </r>
  </si>
  <si>
    <r>
      <t xml:space="preserve">SCHEDULE 4
</t>
    </r>
    <r>
      <rPr>
        <b/>
        <sz val="10"/>
        <rFont val="Arial"/>
        <family val="2"/>
      </rPr>
      <t>(Form 1040)</t>
    </r>
  </si>
  <si>
    <t>Other Taxes</t>
  </si>
  <si>
    <t>60a</t>
  </si>
  <si>
    <t>60b</t>
  </si>
  <si>
    <t>Additional tax on IRAs, other qualified retirement plans, and other tax-favored</t>
  </si>
  <si>
    <t>accounts.  Attach Form 5329 if required</t>
  </si>
  <si>
    <t>Household employment taxes.  Attach Schedule H</t>
  </si>
  <si>
    <t>Cat. No. 71481R</t>
  </si>
  <si>
    <t>Cat. No. 71480G</t>
  </si>
  <si>
    <r>
      <t xml:space="preserve">SCHEDULE 5
</t>
    </r>
    <r>
      <rPr>
        <b/>
        <sz val="10"/>
        <rFont val="Arial"/>
        <family val="2"/>
      </rPr>
      <t>(Form 1040)</t>
    </r>
  </si>
  <si>
    <t>Other Payments and Refundable Credits</t>
  </si>
  <si>
    <t>Cat. No. 71482C</t>
  </si>
  <si>
    <t>67a</t>
  </si>
  <si>
    <t>68-69</t>
  </si>
  <si>
    <t>Net premium tax credit.  Attach Form 8962</t>
  </si>
  <si>
    <t>Amount paid with request for extension to file (see instructions)</t>
  </si>
  <si>
    <t>67b</t>
  </si>
  <si>
    <t>69-69</t>
  </si>
  <si>
    <r>
      <t xml:space="preserve">SCHEDULE 6
</t>
    </r>
    <r>
      <rPr>
        <b/>
        <sz val="10"/>
        <rFont val="Arial"/>
        <family val="2"/>
      </rPr>
      <t>(Form 1040)</t>
    </r>
  </si>
  <si>
    <t>Foreign Address and Third Party Designee</t>
  </si>
  <si>
    <t>Cat. No. 71483N</t>
  </si>
  <si>
    <t>Address</t>
  </si>
  <si>
    <t>Foreign province/county</t>
  </si>
  <si>
    <t>Third Party Designee</t>
  </si>
  <si>
    <t>Complete below.</t>
  </si>
  <si>
    <t>Personal identification number</t>
  </si>
  <si>
    <t>(PIN)</t>
  </si>
  <si>
    <t>Include Line 3 on Schedule B, Line 1?  (Y / N)</t>
  </si>
  <si>
    <r>
      <rPr>
        <b/>
        <sz val="10"/>
        <rFont val="Arial"/>
        <family val="2"/>
      </rPr>
      <t>b</t>
    </r>
    <r>
      <rPr>
        <sz val="10"/>
        <rFont val="Arial"/>
        <family val="2"/>
      </rPr>
      <t xml:space="preserve">   Taxable interest</t>
    </r>
  </si>
  <si>
    <t>IRAs, pensions, and annuities</t>
  </si>
  <si>
    <r>
      <rPr>
        <b/>
        <sz val="10"/>
        <rFont val="Arial"/>
        <family val="2"/>
      </rPr>
      <t>b</t>
    </r>
    <r>
      <rPr>
        <sz val="10"/>
        <rFont val="Arial"/>
        <family val="2"/>
      </rPr>
      <t xml:space="preserve">   Ordinary dividends</t>
    </r>
  </si>
  <si>
    <r>
      <rPr>
        <b/>
        <sz val="10"/>
        <rFont val="Arial"/>
        <family val="2"/>
      </rPr>
      <t>b</t>
    </r>
    <r>
      <rPr>
        <sz val="10"/>
        <rFont val="Arial"/>
        <family val="2"/>
      </rPr>
      <t xml:space="preserve">   Taxable amount</t>
    </r>
  </si>
  <si>
    <t>Single or married</t>
  </si>
  <si>
    <t>filing separately,</t>
  </si>
  <si>
    <t>Married fiing</t>
  </si>
  <si>
    <t>jointly or Qualifying</t>
  </si>
  <si>
    <t>widow(er)</t>
  </si>
  <si>
    <t>Head of</t>
  </si>
  <si>
    <t>household,</t>
  </si>
  <si>
    <t>If you checked</t>
  </si>
  <si>
    <t>any box under</t>
  </si>
  <si>
    <t>deduction,</t>
  </si>
  <si>
    <t>Qualified business income deduction  (see instructions)</t>
  </si>
  <si>
    <t>Other taxes.  Attach Schedule 4</t>
  </si>
  <si>
    <t>Total tax.  Add lines 13 and 14</t>
  </si>
  <si>
    <t>Refundable credits:</t>
  </si>
  <si>
    <r>
      <t xml:space="preserve">If line 18 is more than line 15, subtract line 15 from line 18.  This is the amount you </t>
    </r>
    <r>
      <rPr>
        <b/>
        <sz val="9"/>
        <rFont val="Arial"/>
        <family val="2"/>
      </rPr>
      <t>overpaid</t>
    </r>
  </si>
  <si>
    <r>
      <rPr>
        <sz val="10"/>
        <rFont val="Arial"/>
        <family val="2"/>
      </rPr>
      <t xml:space="preserve">Form </t>
    </r>
    <r>
      <rPr>
        <b/>
        <sz val="14"/>
        <rFont val="Arial"/>
        <family val="2"/>
      </rPr>
      <t>1040</t>
    </r>
  </si>
  <si>
    <t>Amount You Owe</t>
  </si>
  <si>
    <t>Someone can claim you as a dependent</t>
  </si>
  <si>
    <t>You are blind</t>
  </si>
  <si>
    <t>Spouse or qualifying person’s first name and initial (see inst.)</t>
  </si>
  <si>
    <t>Someone can claim your spouse as a dependent</t>
  </si>
  <si>
    <t>Your spouse itemizes on a separate return or you are a dual-status alien.</t>
  </si>
  <si>
    <t>Filing Status:</t>
  </si>
  <si>
    <r>
      <rPr>
        <b/>
        <sz val="8"/>
        <rFont val="Arial"/>
        <family val="2"/>
      </rPr>
      <t>(1)</t>
    </r>
    <r>
      <rPr>
        <sz val="8"/>
        <rFont val="Arial"/>
        <family val="2"/>
      </rPr>
      <t xml:space="preserve">  First name</t>
    </r>
  </si>
  <si>
    <r>
      <rPr>
        <b/>
        <sz val="8"/>
        <rFont val="Arial"/>
        <family val="2"/>
      </rPr>
      <t>(2)</t>
    </r>
    <r>
      <rPr>
        <sz val="8"/>
        <rFont val="Arial"/>
        <family val="2"/>
      </rPr>
      <t xml:space="preserve"> Social security number</t>
    </r>
  </si>
  <si>
    <r>
      <rPr>
        <b/>
        <sz val="8"/>
        <rFont val="Arial"/>
        <family val="2"/>
      </rPr>
      <t>(3)</t>
    </r>
    <r>
      <rPr>
        <sz val="8"/>
        <rFont val="Arial"/>
        <family val="2"/>
      </rPr>
      <t xml:space="preserve"> Relationship to you</t>
    </r>
  </si>
  <si>
    <t>Child Tax Credit</t>
  </si>
  <si>
    <t>Credit for other dependents</t>
  </si>
  <si>
    <t>3rd Party Designee</t>
  </si>
  <si>
    <t>Self-employed</t>
  </si>
  <si>
    <t>If the IRS sent you an Identity Prot. PIN,</t>
  </si>
  <si>
    <t>Check if:</t>
  </si>
  <si>
    <t>was calculated using:</t>
  </si>
  <si>
    <t>Standard versus Itemized Deduction</t>
  </si>
  <si>
    <t>Social Security Benefits Worksheet – Lines 5a and 5b</t>
  </si>
  <si>
    <t>Over 65 or Blind</t>
  </si>
  <si>
    <t>boxes checked</t>
  </si>
  <si>
    <t>number of</t>
  </si>
  <si>
    <r>
      <t xml:space="preserve">Spouse’s signature. If a joint return, </t>
    </r>
    <r>
      <rPr>
        <b/>
        <sz val="8"/>
        <rFont val="Arial"/>
        <family val="2"/>
      </rPr>
      <t>both</t>
    </r>
    <r>
      <rPr>
        <sz val="8"/>
        <rFont val="Arial"/>
        <family val="2"/>
      </rPr>
      <t xml:space="preserve"> must sign.</t>
    </r>
  </si>
  <si>
    <r>
      <t xml:space="preserve">Department of the Treasury Internal Revenue Service </t>
    </r>
    <r>
      <rPr>
        <sz val="7"/>
        <rFont val="Arial"/>
        <family val="2"/>
      </rPr>
      <t>(99)</t>
    </r>
  </si>
  <si>
    <t>Attach to Form 1040, 1040NR, or Form 1041.</t>
  </si>
  <si>
    <r>
      <rPr>
        <b/>
        <sz val="11"/>
        <rFont val="Arial"/>
        <family val="2"/>
      </rPr>
      <t>Note:</t>
    </r>
    <r>
      <rPr>
        <sz val="11"/>
        <rFont val="Arial"/>
        <family val="2"/>
      </rPr>
      <t xml:space="preserve"> If you are in business of renting personal property, use</t>
    </r>
  </si>
  <si>
    <r>
      <rPr>
        <b/>
        <sz val="10"/>
        <rFont val="Arial"/>
        <family val="2"/>
      </rPr>
      <t>Schedule C</t>
    </r>
    <r>
      <rPr>
        <sz val="10"/>
        <rFont val="Arial"/>
        <family val="2"/>
      </rPr>
      <t xml:space="preserve"> or </t>
    </r>
    <r>
      <rPr>
        <b/>
        <sz val="10"/>
        <rFont val="Arial"/>
        <family val="2"/>
      </rPr>
      <t>C-EZ</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</si>
  <si>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t xml:space="preserve">  Yes</t>
  </si>
  <si>
    <t>Type of Property (from list below</t>
  </si>
  <si>
    <t>Fair Rental Days</t>
  </si>
  <si>
    <r>
      <t xml:space="preserve">For each rental real estate property listed 
above, report the number of fair rental and personal use days. Check the </t>
    </r>
    <r>
      <rPr>
        <b/>
        <sz val="9"/>
        <rFont val="Arial"/>
        <family val="2"/>
      </rPr>
      <t>QJV</t>
    </r>
    <r>
      <rPr>
        <sz val="9"/>
        <rFont val="Arial"/>
        <family val="2"/>
      </rPr>
      <t xml:space="preserve"> box 
only if you meet the requirements to file as a 
qualified joint venture. See instructions.</t>
    </r>
  </si>
  <si>
    <t>Vacation/Short-Term Rental</t>
  </si>
  <si>
    <t>Other  (describe)</t>
  </si>
  <si>
    <t>Properties:</t>
  </si>
  <si>
    <t>Income:</t>
  </si>
  <si>
    <t>Royalties received</t>
  </si>
  <si>
    <t>Other (list)</t>
  </si>
  <si>
    <t>Deductible rental real estate loss after limitation, if any,</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</si>
  <si>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</si>
  <si>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</si>
  <si>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t>here. If Parts II, III, IV, and line 40 on page 2 do not apply to you, also enter this amount on</t>
  </si>
  <si>
    <t>Schedule 1 (Form 1040), line 17, or Form 1040NR, line 18. Otherwise, include this amount in the</t>
  </si>
  <si>
    <t>total on line 41 on page 2</t>
  </si>
  <si>
    <t>Schedule E (Form 1040) 2018</t>
  </si>
  <si>
    <r>
      <rPr>
        <b/>
        <sz val="11"/>
        <rFont val="Arial"/>
        <family val="2"/>
      </rPr>
      <t>Caution:</t>
    </r>
    <r>
      <rPr>
        <sz val="11"/>
        <rFont val="Arial"/>
        <family val="2"/>
      </rPr>
      <t xml:space="preserve"> The IRS compares amounts reported on your tax return with amounts shown on Schedule(s) K-1.</t>
    </r>
  </si>
  <si>
    <r>
      <rPr>
        <b/>
        <sz val="12"/>
        <rFont val="Arial"/>
        <family val="2"/>
      </rPr>
      <t>Income or Loss From Partnerships and S Corporations</t>
    </r>
    <r>
      <rPr>
        <b/>
        <sz val="11"/>
        <rFont val="Arial"/>
        <family val="2"/>
      </rPr>
      <t xml:space="preserve"> -- Note: </t>
    </r>
    <r>
      <rPr>
        <sz val="11"/>
        <rFont val="Arial"/>
        <family val="2"/>
      </rPr>
      <t xml:space="preserve"> </t>
    </r>
    <r>
      <rPr>
        <sz val="10"/>
        <rFont val="Arial"/>
        <family val="2"/>
      </rPr>
      <t>If you report a loss, receive a distribution, dispose of</t>
    </r>
  </si>
  <si>
    <r>
      <t xml:space="preserve">computation. If you report a loss from an at-risk activity for which </t>
    </r>
    <r>
      <rPr>
        <b/>
        <sz val="10"/>
        <rFont val="Arial"/>
        <family val="2"/>
      </rPr>
      <t>any</t>
    </r>
    <r>
      <rPr>
        <sz val="10"/>
        <rFont val="Arial"/>
        <family val="2"/>
      </rPr>
      <t xml:space="preserve"> amount is </t>
    </r>
    <r>
      <rPr>
        <b/>
        <sz val="10"/>
        <rFont val="Arial"/>
        <family val="2"/>
      </rPr>
      <t>not</t>
    </r>
    <r>
      <rPr>
        <sz val="10"/>
        <rFont val="Arial"/>
        <family val="2"/>
      </rPr>
      <t xml:space="preserve"> at risk, you </t>
    </r>
    <r>
      <rPr>
        <b/>
        <sz val="10"/>
        <rFont val="Arial"/>
        <family val="2"/>
      </rPr>
      <t>must</t>
    </r>
    <r>
      <rPr>
        <sz val="10"/>
        <rFont val="Arial"/>
        <family val="2"/>
      </rPr>
      <t xml:space="preserve"> check the box in column </t>
    </r>
    <r>
      <rPr>
        <b/>
        <sz val="10"/>
        <rFont val="Arial"/>
        <family val="2"/>
      </rPr>
      <t>(f)</t>
    </r>
    <r>
      <rPr>
        <sz val="10"/>
        <rFont val="Arial"/>
        <family val="2"/>
      </rPr>
      <t xml:space="preserve"> on</t>
    </r>
  </si>
  <si>
    <r>
      <t xml:space="preserve">line 28 and attach </t>
    </r>
    <r>
      <rPr>
        <b/>
        <sz val="10"/>
        <rFont val="Arial"/>
        <family val="2"/>
      </rPr>
      <t>Form 6198</t>
    </r>
    <r>
      <rPr>
        <sz val="10"/>
        <rFont val="Arial"/>
        <family val="2"/>
      </rPr>
      <t xml:space="preserve"> (see instructions).</t>
    </r>
  </si>
  <si>
    <r>
      <rPr>
        <b/>
        <sz val="10"/>
        <rFont val="Arial"/>
        <family val="2"/>
      </rPr>
      <t>(a)</t>
    </r>
    <r>
      <rPr>
        <sz val="10"/>
        <rFont val="Arial"/>
        <family val="2"/>
      </rPr>
      <t xml:space="preserve">  Name</t>
    </r>
  </si>
  <si>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</si>
  <si>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</si>
  <si>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</si>
  <si>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(f)</t>
    </r>
    <r>
      <rPr>
        <sz val="8"/>
        <rFont val="Arial"/>
        <family val="2"/>
      </rPr>
      <t xml:space="preserve">  Check if 
any amount is 
not at risk</t>
    </r>
  </si>
  <si>
    <r>
      <rPr>
        <b/>
        <sz val="8"/>
        <rFont val="Arial"/>
        <family val="2"/>
      </rPr>
      <t>(e)</t>
    </r>
    <r>
      <rPr>
        <sz val="8"/>
        <rFont val="Arial"/>
        <family val="2"/>
      </rPr>
      <t xml:space="preserve"> Check if 
basis computation 
is required</t>
    </r>
  </si>
  <si>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</si>
  <si>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</si>
  <si>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(i)</t>
    </r>
    <r>
      <rPr>
        <sz val="9"/>
        <rFont val="Arial"/>
        <family val="2"/>
      </rPr>
      <t xml:space="preserve">  Nonpassive loss
from </t>
    </r>
    <r>
      <rPr>
        <b/>
        <sz val="9"/>
        <rFont val="Arial"/>
        <family val="2"/>
      </rPr>
      <t>Schedule K-1</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</si>
  <si>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</si>
  <si>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</si>
  <si>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</si>
  <si>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</si>
  <si>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</si>
  <si>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</si>
  <si>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</si>
  <si>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</si>
  <si>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(e)</t>
    </r>
    <r>
      <rPr>
        <sz val="10"/>
        <rFont val="Arial"/>
        <family val="2"/>
      </rPr>
      <t xml:space="preserve"> Deduction or loss
from </t>
    </r>
    <r>
      <rPr>
        <b/>
        <sz val="10"/>
        <rFont val="Arial"/>
        <family val="2"/>
      </rPr>
      <t>Schedule K-1</t>
    </r>
  </si>
  <si>
    <r>
      <rPr>
        <b/>
        <sz val="10"/>
        <rFont val="Arial"/>
        <family val="2"/>
      </rPr>
      <t>(d)</t>
    </r>
    <r>
      <rPr>
        <sz val="10"/>
        <rFont val="Arial"/>
        <family val="2"/>
      </rPr>
      <t xml:space="preserve"> Passive income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</si>
  <si>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</si>
  <si>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</si>
  <si>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</si>
  <si>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</si>
  <si>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</si>
  <si>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</si>
  <si>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</si>
  <si>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(b)</t>
    </r>
    <r>
      <rPr>
        <sz val="9"/>
        <rFont val="Arial"/>
        <family val="2"/>
      </rPr>
      <t xml:space="preserve"> Employer identification
number</t>
    </r>
  </si>
  <si>
    <r>
      <rPr>
        <b/>
        <sz val="9"/>
        <rFont val="Arial"/>
        <family val="2"/>
      </rPr>
      <t>(a)</t>
    </r>
    <r>
      <rPr>
        <sz val="9"/>
        <rFont val="Arial"/>
        <family val="2"/>
      </rPr>
      <t xml:space="preserve">  Name</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</si>
  <si>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</si>
  <si>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</si>
  <si>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</si>
  <si>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</si>
  <si>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</si>
  <si>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</si>
  <si>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r>
      <rPr>
        <b/>
        <sz val="7"/>
        <rFont val="Arial"/>
        <family val="2"/>
      </rPr>
      <t>Total income or (loss).</t>
    </r>
    <r>
      <rPr>
        <sz val="7"/>
        <rFont val="Arial"/>
        <family val="2"/>
      </rPr>
      <t xml:space="preserve"> Combine lines 26, 32, 37, 39, and 40. Enter the result here and on Schedule 1 (Form 1040), line 17, or Form 1040NR, line 18</t>
    </r>
  </si>
  <si>
    <t>Form 1065), box 14, code B; Schedule K-1 (Form 1120S), box 17, code</t>
  </si>
  <si>
    <t>AC; and Schedule K-1 (Form 1041), box 14, code F (see instructions)</t>
  </si>
  <si>
    <t>professional (see instructions), enter the net income or (loss) you reported</t>
  </si>
  <si>
    <t>anywhere on Form 1040 or Form 1040NR from all rental real estate activities</t>
  </si>
  <si>
    <t>in which you materially participated under the passive activity loss rules</t>
  </si>
  <si>
    <r>
      <t xml:space="preserve">SCHEDULE E
</t>
    </r>
    <r>
      <rPr>
        <b/>
        <sz val="11"/>
        <rFont val="Arial"/>
        <family val="2"/>
      </rPr>
      <t>(Form 1040)</t>
    </r>
  </si>
  <si>
    <t>Line 3 -- Subtract refundable credits listed below:</t>
  </si>
  <si>
    <t>Tax Family Size</t>
  </si>
  <si>
    <t>(Yes)</t>
  </si>
  <si>
    <r>
      <t xml:space="preserve">Go to </t>
    </r>
    <r>
      <rPr>
        <b/>
        <i/>
        <sz val="8"/>
        <rFont val="Arial"/>
        <family val="2"/>
      </rPr>
      <t>www.irs.gov/ScheduleA</t>
    </r>
    <r>
      <rPr>
        <b/>
        <sz val="8"/>
        <rFont val="Arial"/>
        <family val="2"/>
      </rPr>
      <t xml:space="preserve"> for instructions and the latest information.</t>
    </r>
  </si>
  <si>
    <r>
      <rPr>
        <b/>
        <sz val="8"/>
        <rFont val="Arial"/>
        <family val="2"/>
      </rPr>
      <t>Caution:</t>
    </r>
    <r>
      <rPr>
        <sz val="8"/>
        <rFont val="Arial"/>
        <family val="2"/>
      </rPr>
      <t xml:space="preserve"> If you are claiming a net qualified disaster loss on Form 4684, see the instructions for line 16.</t>
    </r>
  </si>
  <si>
    <t>State and local taxes</t>
  </si>
  <si>
    <t>State and local income taxes or general sales taxes. You may</t>
  </si>
  <si>
    <t>include either income taxes or general sales taxes on line 5a,</t>
  </si>
  <si>
    <t>but not both. If you elect to include general sales taxes instead</t>
  </si>
  <si>
    <t xml:space="preserve">State and local real estate taxes (see instructions) </t>
  </si>
  <si>
    <t>State and local personal property taxes</t>
  </si>
  <si>
    <t>Add lines 5a through 5c</t>
  </si>
  <si>
    <t>separately)</t>
  </si>
  <si>
    <t>5e</t>
  </si>
  <si>
    <t xml:space="preserve">.   .   .   .   .   .   .   .   .   .   .   .   .   .   .   .   .   .   .   .   .   .   .   .  </t>
  </si>
  <si>
    <t>Add lines 5e and 6</t>
  </si>
  <si>
    <t xml:space="preserve"> If box 5a (for General Sales Tax) is NOT checked, these amounts will be added into Line 5a.</t>
  </si>
  <si>
    <t>Home mortgage interest and points. If you didn't use all of your</t>
  </si>
  <si>
    <t>home mortgage loan(s) to buy, build, or improve your home,</t>
  </si>
  <si>
    <t>see instructions and check this box</t>
  </si>
  <si>
    <t xml:space="preserve">.   .   .   .   .   .   .   .   .   .   .   .  </t>
  </si>
  <si>
    <t>of income taxes, check this box</t>
  </si>
  <si>
    <t>Home mortgage interest and points reported to you on Form</t>
  </si>
  <si>
    <t>Interest You</t>
  </si>
  <si>
    <t>mortgage interest</t>
  </si>
  <si>
    <t>deduction may be</t>
  </si>
  <si>
    <t>limited (see</t>
  </si>
  <si>
    <t>instructions).</t>
  </si>
  <si>
    <r>
      <rPr>
        <b/>
        <sz val="8"/>
        <rFont val="Arial"/>
        <family val="2"/>
      </rPr>
      <t>Caution:</t>
    </r>
    <r>
      <rPr>
        <sz val="8"/>
        <rFont val="Arial"/>
        <family val="2"/>
      </rPr>
      <t xml:space="preserve">  Your</t>
    </r>
  </si>
  <si>
    <t>Home mortgage interest not reported to you on Form 1098. If</t>
  </si>
  <si>
    <t>paid to the person from whom you bought the home, see</t>
  </si>
  <si>
    <t>instructions and show that person's name, identifying no., and</t>
  </si>
  <si>
    <t>address</t>
  </si>
  <si>
    <t>Add lines 8a through 8c</t>
  </si>
  <si>
    <t>8e</t>
  </si>
  <si>
    <t>instructions</t>
  </si>
  <si>
    <t>Investment interest. Attach Form 4952 if required.  See</t>
  </si>
  <si>
    <t>.   .   .   .   .   .   .   .   .   .   .   .   .   .   .   .   .   .   .   .   .   .   .   .   .   .   .   .   .   .   .   .   .</t>
  </si>
  <si>
    <t>Casualty and theft loss(es) from a federally declared disaster (other than net qualified</t>
  </si>
  <si>
    <t>disaster losses). Attach Form 4684 and enter the amount from line 18 of that form. See</t>
  </si>
  <si>
    <t>Add the amounts in the far right column for lines 4 through 16. Also, enter this amount on</t>
  </si>
  <si>
    <t>Form 1040, line 8</t>
  </si>
  <si>
    <t>For Paperwork Reduction Act Notice, see the Instructions for Form 1040.</t>
  </si>
  <si>
    <t xml:space="preserve">  Limits on Deductions — Line 14</t>
  </si>
  <si>
    <r>
      <t xml:space="preserve">If you wish to deduct </t>
    </r>
    <r>
      <rPr>
        <i/>
        <sz val="8"/>
        <rFont val="Arial"/>
        <family val="2"/>
      </rPr>
      <t>General sales taxes</t>
    </r>
    <r>
      <rPr>
        <sz val="8"/>
        <rFont val="Arial"/>
        <family val="2"/>
      </rPr>
      <t>, enter the tax amount in Column Q and place an 'X' in box 5a.</t>
    </r>
  </si>
  <si>
    <t>Instruction for Line 5a</t>
  </si>
  <si>
    <t>The spreadsheet automatically includes, on line 5a, income taxes paid based on W-2 &amp; 1099 information.</t>
  </si>
  <si>
    <r>
      <t xml:space="preserve"> </t>
    </r>
    <r>
      <rPr>
        <b/>
        <sz val="8"/>
        <rFont val="Marlett"/>
        <charset val="2"/>
      </rPr>
      <t>4</t>
    </r>
    <r>
      <rPr>
        <b/>
        <sz val="8"/>
        <rFont val="Arial"/>
        <family val="2"/>
      </rPr>
      <t xml:space="preserve"> Go to </t>
    </r>
    <r>
      <rPr>
        <b/>
        <i/>
        <sz val="8"/>
        <rFont val="Arial"/>
        <family val="2"/>
      </rPr>
      <t>www.irs.gov/ScheduleB</t>
    </r>
    <r>
      <rPr>
        <b/>
        <sz val="8"/>
        <rFont val="Arial"/>
        <family val="2"/>
      </rPr>
      <t xml:space="preserve"> for instructions and the latest information.</t>
    </r>
  </si>
  <si>
    <t>line 2b.)</t>
  </si>
  <si>
    <r>
      <t>Note:</t>
    </r>
    <r>
      <rPr>
        <sz val="8"/>
        <rFont val="Arial"/>
        <family val="2"/>
      </rPr>
      <t xml:space="preserve"> If you</t>
    </r>
  </si>
  <si>
    <t>Form 1040, line 3b.)</t>
  </si>
  <si>
    <r>
      <t xml:space="preserve">Note: </t>
    </r>
    <r>
      <rPr>
        <sz val="8"/>
        <rFont val="Arial"/>
        <family val="2"/>
      </rPr>
      <t>If you</t>
    </r>
  </si>
  <si>
    <r>
      <t xml:space="preserve">Add the amounts on line 5. Enter the total here and on Form 1040, line 3b   </t>
    </r>
    <r>
      <rPr>
        <b/>
        <sz val="9"/>
        <rFont val="Arial"/>
        <family val="2"/>
      </rPr>
      <t>.   .   .   .   .   .</t>
    </r>
  </si>
  <si>
    <t>Foreign Accounts 
and Trusts</t>
  </si>
  <si>
    <r>
      <t>D  Employer ID number (EIN)</t>
    </r>
    <r>
      <rPr>
        <sz val="9"/>
        <rFont val="Arial"/>
        <family val="2"/>
      </rPr>
      <t xml:space="preserve"> (see instr.)</t>
    </r>
  </si>
  <si>
    <t xml:space="preserve">.   .   .   .   .   .  </t>
  </si>
  <si>
    <t xml:space="preserve"> .   .   .   .   .   .   .   .   .   .   .   .   .   .   .   .   .   .   .   .   .   .   .  </t>
  </si>
  <si>
    <t xml:space="preserve">.   .   .   .   .   .   .   .   .   .   .   .   .   .   .   .   .   .   .   .   .   .   .   .   .   .   .   .   .   .   .   .   .   .   .   .   .  </t>
  </si>
  <si>
    <t xml:space="preserve">.   .   .   .   .   .   .   .   .   .   .   .   .   .   .   .   .   .   .   .   .   .   .   .   .   .   .   .   .   .   .   .   .   .  </t>
  </si>
  <si>
    <t xml:space="preserve">.   .   .   .   .   .   .   .   .   .  </t>
  </si>
  <si>
    <t>Travel and meals:</t>
  </si>
  <si>
    <t>Deductible meals (see</t>
  </si>
  <si>
    <t xml:space="preserve">.   .   .   .   .   .   .   .   .   .   .   .   .   .   .   .   .   .   .   .   .   .   .   .   .   .   .   .  </t>
  </si>
  <si>
    <r>
      <t xml:space="preserve">• If a profit, enter on both </t>
    </r>
    <r>
      <rPr>
        <b/>
        <sz val="9"/>
        <rFont val="Arial"/>
        <family val="2"/>
      </rPr>
      <t xml:space="preserve">Schedule 1 </t>
    </r>
    <r>
      <rPr>
        <sz val="9"/>
        <rFont val="Arial"/>
        <family val="2"/>
      </rPr>
      <t>(</t>
    </r>
    <r>
      <rPr>
        <b/>
        <sz val="9"/>
        <rFont val="Arial"/>
        <family val="2"/>
      </rPr>
      <t>Form 1040), line 12</t>
    </r>
    <r>
      <rPr>
        <sz val="9"/>
        <rFont val="Arial"/>
        <family val="2"/>
      </rPr>
      <t xml:space="preserve"> (or </t>
    </r>
    <r>
      <rPr>
        <b/>
        <sz val="9"/>
        <rFont val="Arial"/>
        <family val="2"/>
      </rPr>
      <t>Form 1040NR, line 13</t>
    </r>
    <r>
      <rPr>
        <sz val="9"/>
        <rFont val="Arial"/>
        <family val="2"/>
      </rPr>
      <t xml:space="preserve">) and on </t>
    </r>
    <r>
      <rPr>
        <b/>
        <sz val="9"/>
        <rFont val="Arial"/>
        <family val="2"/>
      </rPr>
      <t>Schedule SE, line 2.</t>
    </r>
  </si>
  <si>
    <r>
      <t xml:space="preserve">• If you checked 32a, enter the loss on both </t>
    </r>
    <r>
      <rPr>
        <b/>
        <sz val="9"/>
        <rFont val="Arial"/>
        <family val="2"/>
      </rPr>
      <t>Schedule 1</t>
    </r>
    <r>
      <rPr>
        <sz val="9"/>
        <rFont val="Arial"/>
        <family val="2"/>
      </rPr>
      <t xml:space="preserve"> (</t>
    </r>
    <r>
      <rPr>
        <b/>
        <sz val="9"/>
        <rFont val="Arial"/>
        <family val="2"/>
      </rPr>
      <t>Form 1040) line 12</t>
    </r>
    <r>
      <rPr>
        <sz val="9"/>
        <rFont val="Arial"/>
        <family val="2"/>
      </rPr>
      <t xml:space="preserve">, (or </t>
    </r>
    <r>
      <rPr>
        <b/>
        <sz val="9"/>
        <rFont val="Arial"/>
        <family val="2"/>
      </rPr>
      <t>Form 1040NR, line 13</t>
    </r>
    <r>
      <rPr>
        <sz val="9"/>
        <rFont val="Arial"/>
        <family val="2"/>
      </rPr>
      <t>)</t>
    </r>
  </si>
  <si>
    <r>
      <t xml:space="preserve">Estates and trusts, enter on </t>
    </r>
    <r>
      <rPr>
        <b/>
        <sz val="9"/>
        <rFont val="Arial"/>
        <family val="2"/>
      </rPr>
      <t>Form 1041, line 3.</t>
    </r>
  </si>
  <si>
    <r>
      <t xml:space="preserve"> and on</t>
    </r>
    <r>
      <rPr>
        <b/>
        <sz val="9"/>
        <rFont val="Arial"/>
        <family val="2"/>
      </rPr>
      <t xml:space="preserve"> Schedule SE, line 2</t>
    </r>
    <r>
      <rPr>
        <sz val="9"/>
        <rFont val="Arial"/>
        <family val="2"/>
      </rPr>
      <t>.  (If you checked the box on line 1, see the line 31 instructions).</t>
    </r>
  </si>
  <si>
    <r>
      <t xml:space="preserve">Social security number of person
with </t>
    </r>
    <r>
      <rPr>
        <b/>
        <sz val="8"/>
        <rFont val="Arial"/>
        <family val="2"/>
      </rPr>
      <t>self-employment</t>
    </r>
    <r>
      <rPr>
        <sz val="8"/>
        <rFont val="Arial"/>
        <family val="2"/>
      </rPr>
      <t xml:space="preserve"> income</t>
    </r>
  </si>
  <si>
    <r>
      <t xml:space="preserve">Name of person with </t>
    </r>
    <r>
      <rPr>
        <b/>
        <sz val="8"/>
        <rFont val="Arial"/>
        <family val="2"/>
      </rPr>
      <t>self-employment</t>
    </r>
    <r>
      <rPr>
        <sz val="8"/>
        <rFont val="Arial"/>
        <family val="2"/>
      </rPr>
      <t xml:space="preserve"> income (as shown on Form 1040 or Form 1040NR)</t>
    </r>
  </si>
  <si>
    <r>
      <t xml:space="preserve">that you </t>
    </r>
    <r>
      <rPr>
        <b/>
        <sz val="8"/>
        <rFont val="Arial"/>
        <family val="2"/>
      </rPr>
      <t>didn't</t>
    </r>
    <r>
      <rPr>
        <sz val="8"/>
        <rFont val="Arial"/>
        <family val="2"/>
      </rPr>
      <t xml:space="preserve"> report to your employer?</t>
    </r>
  </si>
  <si>
    <t>Program payments included on Schedule F, line 4b, or listed on Schedule K-1 (Form 1065), box 20, code AH</t>
  </si>
  <si>
    <t xml:space="preserve">.  </t>
  </si>
  <si>
    <r>
      <rPr>
        <b/>
        <sz val="10"/>
        <rFont val="Arial"/>
        <family val="2"/>
      </rPr>
      <t>don't</t>
    </r>
    <r>
      <rPr>
        <sz val="10"/>
        <rFont val="Arial"/>
        <family val="2"/>
      </rPr>
      <t xml:space="preserve"> file this schedule unless you have an amount on line 1b</t>
    </r>
  </si>
  <si>
    <r>
      <rPr>
        <b/>
        <sz val="10"/>
        <rFont val="Arial"/>
        <family val="2"/>
      </rPr>
      <t xml:space="preserve">Note.    </t>
    </r>
    <r>
      <rPr>
        <sz val="10"/>
        <rFont val="Arial"/>
        <family val="2"/>
      </rPr>
      <t xml:space="preserve"> If line 4 is less than</t>
    </r>
  </si>
  <si>
    <r>
      <t xml:space="preserve">here and on </t>
    </r>
    <r>
      <rPr>
        <b/>
        <sz val="10"/>
        <rFont val="Arial"/>
        <family val="2"/>
      </rPr>
      <t>Schedule 4 (Form</t>
    </r>
  </si>
  <si>
    <r>
      <rPr>
        <b/>
        <sz val="10"/>
        <rFont val="Arial"/>
        <family val="2"/>
      </rPr>
      <t>1040), line 45,</t>
    </r>
    <r>
      <rPr>
        <sz val="10"/>
        <rFont val="Arial"/>
        <family val="2"/>
      </rPr>
      <t xml:space="preserve"> or </t>
    </r>
    <r>
      <rPr>
        <b/>
        <sz val="10"/>
        <rFont val="Arial"/>
        <family val="2"/>
      </rPr>
      <t>Form 1040NR, line 55</t>
    </r>
  </si>
  <si>
    <r>
      <t xml:space="preserve">Enter the total here and on </t>
    </r>
    <r>
      <rPr>
        <b/>
        <sz val="9"/>
        <rFont val="Arial"/>
        <family val="2"/>
      </rPr>
      <t>Schedule 4 (Form 1040), line 57</t>
    </r>
    <r>
      <rPr>
        <sz val="9"/>
        <rFont val="Arial"/>
        <family val="2"/>
      </rPr>
      <t xml:space="preserve">, or </t>
    </r>
    <r>
      <rPr>
        <b/>
        <sz val="9"/>
        <rFont val="Arial"/>
        <family val="2"/>
      </rPr>
      <t>Form 1040NR, line 55</t>
    </r>
  </si>
  <si>
    <t>Schedule 1 (Form 1040), line 27, or Form 1040NR, line 27</t>
  </si>
  <si>
    <t>.   .   .   .</t>
  </si>
  <si>
    <r>
      <rPr>
        <b/>
        <sz val="10"/>
        <rFont val="Arial"/>
        <family val="2"/>
      </rPr>
      <t>Exception.</t>
    </r>
    <r>
      <rPr>
        <sz val="10"/>
        <rFont val="Arial"/>
        <family val="2"/>
      </rPr>
      <t xml:space="preserve"> If less than $400 and you had </t>
    </r>
    <r>
      <rPr>
        <b/>
        <sz val="10"/>
        <rFont val="Arial"/>
        <family val="2"/>
      </rPr>
      <t>church employee income</t>
    </r>
    <r>
      <rPr>
        <sz val="10"/>
        <rFont val="Arial"/>
        <family val="2"/>
      </rPr>
      <t>, enter -0- and continue</t>
    </r>
  </si>
  <si>
    <t>Subtract line 8d from line 7. If zero or less, enter -0- here and on line 10 and go to line 11</t>
  </si>
  <si>
    <r>
      <t xml:space="preserve">or </t>
    </r>
    <r>
      <rPr>
        <b/>
        <sz val="9"/>
        <rFont val="Arial"/>
        <family val="2"/>
      </rPr>
      <t>Form 1040NR, line 55</t>
    </r>
  </si>
  <si>
    <t xml:space="preserve">.   .   .   </t>
  </si>
  <si>
    <t>amount on line 16. Also include this amount on line 4b above</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</si>
  <si>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t>
    </r>
  </si>
  <si>
    <t>From Sch. F, line 9, and Sch. K-1 (Form 1065), box 14, code B.</t>
  </si>
  <si>
    <t>accrual method, enter the amount from Part III, line 50.  See instructions</t>
  </si>
  <si>
    <t>Reserved for future use.</t>
  </si>
  <si>
    <t>Forestry and logging (including forest nurseries and</t>
  </si>
  <si>
    <t xml:space="preserve">60a </t>
  </si>
  <si>
    <t>Taxes from:</t>
  </si>
  <si>
    <t>Excess social security and tier 1 RRTA tax withheld</t>
  </si>
  <si>
    <r>
      <t xml:space="preserve">8885      </t>
    </r>
    <r>
      <rPr>
        <b/>
        <sz val="10"/>
        <rFont val="Arial"/>
        <family val="2"/>
      </rPr>
      <t>d</t>
    </r>
  </si>
  <si>
    <t>Other credits from Form</t>
  </si>
  <si>
    <r>
      <t xml:space="preserve">8801  </t>
    </r>
    <r>
      <rPr>
        <b/>
        <sz val="10"/>
        <rFont val="Arial"/>
        <family val="2"/>
      </rPr>
      <t>c</t>
    </r>
  </si>
  <si>
    <r>
      <t xml:space="preserve">3800  </t>
    </r>
    <r>
      <rPr>
        <b/>
        <sz val="10"/>
        <rFont val="Arial"/>
        <family val="2"/>
      </rPr>
      <t>b</t>
    </r>
  </si>
  <si>
    <t xml:space="preserve"> DRAFT </t>
  </si>
  <si>
    <t>Filing status:</t>
  </si>
  <si>
    <t>If more than four dependents,</t>
  </si>
  <si>
    <t xml:space="preserve">  Presidential Election Campaign</t>
  </si>
  <si>
    <t xml:space="preserve">  (see inst.)</t>
  </si>
  <si>
    <t xml:space="preserve">Under penalties of perjury, I declare that I have examined this return and accompanying schedules and statements, and to the best of my knowledge and belief, they are true, </t>
  </si>
  <si>
    <t>correct, and complete. Declaration of preparer (other than taxpayer) is based on all information of which preparer has any knowledge.</t>
  </si>
  <si>
    <r>
      <rPr>
        <b/>
        <sz val="9"/>
        <rFont val="Arial"/>
        <family val="2"/>
      </rPr>
      <t>Standard deduction or itemized deductions</t>
    </r>
    <r>
      <rPr>
        <sz val="9"/>
        <rFont val="Arial"/>
        <family val="2"/>
      </rPr>
      <t xml:space="preserve">   (from Schedule A)</t>
    </r>
  </si>
  <si>
    <t xml:space="preserve"> .   .   . </t>
  </si>
  <si>
    <t>Adjusted gross income.  If you have no adjustments to income, enter the amount from line 6; otherwise,</t>
  </si>
  <si>
    <t>subtract Schedule 1, line 36, from line 6</t>
  </si>
  <si>
    <t>Tax (see inst)</t>
  </si>
  <si>
    <r>
      <t xml:space="preserve">(check if any from:  </t>
    </r>
    <r>
      <rPr>
        <b/>
        <sz val="9"/>
        <rFont val="Arial"/>
        <family val="2"/>
      </rPr>
      <t>1</t>
    </r>
  </si>
  <si>
    <r>
      <t xml:space="preserve">Form 8814   </t>
    </r>
    <r>
      <rPr>
        <b/>
        <sz val="9"/>
        <rFont val="Arial"/>
        <family val="2"/>
      </rPr>
      <t>2</t>
    </r>
  </si>
  <si>
    <r>
      <t xml:space="preserve">Form 4972 </t>
    </r>
    <r>
      <rPr>
        <b/>
        <sz val="9"/>
        <rFont val="Arial"/>
        <family val="2"/>
      </rPr>
      <t>3</t>
    </r>
  </si>
  <si>
    <t>Child tax credit/credit for other dependents</t>
  </si>
  <si>
    <r>
      <rPr>
        <b/>
        <sz val="8"/>
        <rFont val="Arial"/>
        <family val="2"/>
      </rPr>
      <t>b</t>
    </r>
    <r>
      <rPr>
        <sz val="8"/>
        <rFont val="Arial"/>
        <family val="2"/>
      </rPr>
      <t xml:space="preserve">  Sch 8812</t>
    </r>
  </si>
  <si>
    <r>
      <rPr>
        <b/>
        <sz val="8"/>
        <rFont val="Arial"/>
        <family val="2"/>
      </rPr>
      <t>c</t>
    </r>
    <r>
      <rPr>
        <sz val="8"/>
        <rFont val="Arial"/>
        <family val="2"/>
      </rPr>
      <t xml:space="preserve">  Form 8863</t>
    </r>
  </si>
  <si>
    <t>Add lines 16 and 17.  These are your total payments</t>
  </si>
  <si>
    <r>
      <rPr>
        <b/>
        <sz val="9"/>
        <rFont val="Arial"/>
        <family val="2"/>
      </rPr>
      <t>Add</t>
    </r>
    <r>
      <rPr>
        <sz val="9"/>
        <rFont val="Arial"/>
        <family val="2"/>
      </rPr>
      <t xml:space="preserve"> any amount from Schedule 5</t>
    </r>
  </si>
  <si>
    <r>
      <rPr>
        <b/>
        <sz val="8"/>
        <rFont val="Arial"/>
        <family val="2"/>
      </rPr>
      <t>Add</t>
    </r>
    <r>
      <rPr>
        <sz val="8"/>
        <rFont val="Arial"/>
        <family val="2"/>
      </rPr>
      <t xml:space="preserve"> any amount from Schedule 3 and check here</t>
    </r>
  </si>
  <si>
    <r>
      <rPr>
        <b/>
        <sz val="10"/>
        <rFont val="Arial"/>
        <family val="2"/>
      </rPr>
      <t>Add</t>
    </r>
    <r>
      <rPr>
        <sz val="10"/>
        <rFont val="Arial"/>
        <family val="2"/>
      </rPr>
      <t xml:space="preserve"> any amount from Schedule 2 and check here</t>
    </r>
  </si>
  <si>
    <r>
      <t xml:space="preserve"> </t>
    </r>
    <r>
      <rPr>
        <b/>
        <sz val="9"/>
        <rFont val="Arial"/>
        <family val="2"/>
      </rPr>
      <t>a</t>
    </r>
    <r>
      <rPr>
        <sz val="9"/>
        <rFont val="Arial"/>
        <family val="2"/>
      </rPr>
      <t xml:space="preserve"> EIC (see inst.)</t>
    </r>
  </si>
  <si>
    <t>line 11</t>
  </si>
  <si>
    <t xml:space="preserve">Add the amounts in the far right column.  Enter here and include on Form 1040, </t>
  </si>
  <si>
    <t>38-44</t>
  </si>
  <si>
    <t xml:space="preserve">    Standard Deduction Worksheet for Dependents -- Line 8</t>
  </si>
  <si>
    <r>
      <t xml:space="preserve">Reserved  </t>
    </r>
    <r>
      <rPr>
        <b/>
        <sz val="10"/>
        <rFont val="Arial"/>
        <family val="2"/>
      </rPr>
      <t>c</t>
    </r>
  </si>
  <si>
    <t>(Form 1040-NR, 1040-PR, and 1040-SS filers, see instructions) and go to Part V</t>
  </si>
  <si>
    <t>Add lines 7, 13, and 17.</t>
  </si>
  <si>
    <t>The deduction in Line 8</t>
  </si>
  <si>
    <t>The tax in Line 11a is</t>
  </si>
  <si>
    <r>
      <t xml:space="preserve">Add taxes 
from Form 8814, 
Form 4972, 
and others here.  </t>
    </r>
    <r>
      <rPr>
        <b/>
        <sz val="9"/>
        <color rgb="FFC00000"/>
        <rFont val="Arial"/>
        <family val="2"/>
      </rPr>
      <t>↓</t>
    </r>
  </si>
  <si>
    <t>Subtract line 12 from line 11.  If zero or less, enter -0-</t>
  </si>
  <si>
    <t>Line 9 - Qualified Business Income Deduction Worksheet</t>
  </si>
  <si>
    <t xml:space="preserve">. </t>
  </si>
  <si>
    <t xml:space="preserve">    Student Loan Interest Deduction Worksheet—Form 1040, Schedule 1, Line 33</t>
  </si>
  <si>
    <t>here</t>
  </si>
  <si>
    <t>see inst. and</t>
  </si>
  <si>
    <r>
      <rPr>
        <b/>
        <sz val="10"/>
        <rFont val="Arial"/>
        <family val="2"/>
      </rPr>
      <t>Penalty.</t>
    </r>
    <r>
      <rPr>
        <sz val="10"/>
        <rFont val="Arial"/>
        <family val="2"/>
      </rPr>
      <t xml:space="preserve"> Subtract line 16 from line 15. Enter the result here and on Form 1040, line 23;</t>
    </r>
  </si>
  <si>
    <t>(This was worksheet created by this spreadsheet's author -- not by the IRS.)</t>
  </si>
  <si>
    <t>Prior to printing, to remove colors from all forms and worksheets, place an 'X' in Cell AJ2 on the '1040' sheet.</t>
  </si>
  <si>
    <t>enter here</t>
  </si>
  <si>
    <r>
      <t xml:space="preserve">Complete </t>
    </r>
    <r>
      <rPr>
        <b/>
        <sz val="10"/>
        <rFont val="Arial"/>
        <family val="2"/>
      </rPr>
      <t>Form 1040, Schedule 1, lines 21 and 23 through 32</t>
    </r>
    <r>
      <rPr>
        <sz val="10"/>
        <rFont val="Arial"/>
        <family val="2"/>
      </rPr>
      <t>, if they apply to you.</t>
    </r>
  </si>
  <si>
    <r>
      <t xml:space="preserve">If you file Form 2555 or 2555-EZ, </t>
    </r>
    <r>
      <rPr>
        <b/>
        <sz val="10"/>
        <rFont val="Arial"/>
        <family val="2"/>
      </rPr>
      <t>stop here</t>
    </r>
    <r>
      <rPr>
        <sz val="10"/>
        <rFont val="Arial"/>
        <family val="2"/>
      </rPr>
      <t>; you cannot claim the additional child tax credit.</t>
    </r>
  </si>
  <si>
    <t>If you are required to use the worksheet in Pub. 972, enter the amount from line 10 of the Child Tax Credit</t>
  </si>
  <si>
    <t>and Credit for Other Dependents in the publication. Otherwise:</t>
  </si>
  <si>
    <t>Dependents Worksheet (see the instructions for Form 1040, line 12a).</t>
  </si>
  <si>
    <t>Dependents Worksheet (see the instructions for Form 1040NR, line 49).</t>
  </si>
  <si>
    <t>Enter the amount from Form 1040, line 12a, or Form 1040NR, line 49.</t>
  </si>
  <si>
    <r>
      <t xml:space="preserve">If line 8 is zero, </t>
    </r>
    <r>
      <rPr>
        <b/>
        <sz val="10"/>
        <rFont val="Arial"/>
        <family val="2"/>
      </rPr>
      <t>stop</t>
    </r>
    <r>
      <rPr>
        <sz val="10"/>
        <rFont val="Arial"/>
        <family val="2"/>
      </rPr>
      <t xml:space="preserve"> here; you cannot claim this credit. </t>
    </r>
  </si>
  <si>
    <t>Otherwise, skip Part II and enter the</t>
  </si>
  <si>
    <t>Otherwise, go to line 9.</t>
  </si>
  <si>
    <t>plus any taxes that you identified using code "UT" and</t>
  </si>
  <si>
    <t>entered on Schedule 4 (Form 1040), line 62.</t>
  </si>
  <si>
    <t>Enter the total of the amounts from Form 1040NR,</t>
  </si>
  <si>
    <t xml:space="preserve">lines 27 and 56, plus any taxes that you identified using </t>
  </si>
  <si>
    <t>code “UT” and entered on line 60.</t>
  </si>
  <si>
    <t>Enter the total of the amounts from Form 1040, line</t>
  </si>
  <si>
    <t>17a, and Schedule 5 (Form 1040), line 72.</t>
  </si>
  <si>
    <t>Beneficiary</t>
  </si>
  <si>
    <t>HSA</t>
  </si>
  <si>
    <r>
      <t xml:space="preserve">you  were,  or  were  considered,  an  eligible  individual  with  the  </t>
    </r>
    <r>
      <rPr>
        <b/>
        <sz val="9"/>
        <rFont val="Arial"/>
        <family val="2"/>
      </rPr>
      <t>same</t>
    </r>
    <r>
      <rPr>
        <sz val="9"/>
        <rFont val="Arial"/>
        <family val="2"/>
      </rPr>
      <t xml:space="preserve">  coverage, </t>
    </r>
  </si>
  <si>
    <t>25, or Form 1040NR, line 25</t>
  </si>
  <si>
    <t>include this amount in the total on Schedule 1 (Form 1040), line 21, or Form 1040NR, line 21. On</t>
  </si>
  <si>
    <t>the dotted line next to line 21, enter “HSA” and the amount</t>
  </si>
  <si>
    <t>(Form 1040), line 62, or Form 1040NR, line 60. Check box c on Schedule 4, (Form 1040), line 62,</t>
  </si>
  <si>
    <r>
      <rPr>
        <sz val="8"/>
        <rFont val="Arial"/>
        <family val="2"/>
      </rPr>
      <t>Page</t>
    </r>
    <r>
      <rPr>
        <sz val="10"/>
        <rFont val="Arial"/>
        <family val="2"/>
      </rPr>
      <t xml:space="preserve"> </t>
    </r>
    <r>
      <rPr>
        <b/>
        <sz val="12"/>
        <rFont val="Arial"/>
        <family val="2"/>
      </rPr>
      <t>2</t>
    </r>
  </si>
  <si>
    <t>Form 1040NR, line 21. On the dotted line next to Schedule 1 (Form 1040), line 21, or Form</t>
  </si>
  <si>
    <t>1040NR, line 21, enter “HSA” and the amount</t>
  </si>
  <si>
    <t>Additional tax.</t>
  </si>
  <si>
    <t>(Form 1040), line 62, or Form 1040NR, line 60. Check box c on Schedule 4 (Form 1040), line 62,</t>
  </si>
  <si>
    <t>Schedule 1, Line 25</t>
  </si>
  <si>
    <t>Schedule 1, Line 21</t>
  </si>
  <si>
    <t>Schedule 1, Line 62</t>
  </si>
  <si>
    <t>Destination</t>
  </si>
  <si>
    <r>
      <t xml:space="preserve">  Alternative Minimum Taxable Income </t>
    </r>
    <r>
      <rPr>
        <sz val="11"/>
        <rFont val="Arial"/>
        <family val="2"/>
      </rPr>
      <t xml:space="preserve">   (See instructions for how to complete each line.)</t>
    </r>
  </si>
  <si>
    <t>Enter the amount from Form 1040, line 10, if more than zero.  If Form 1040, line 10, is zero, subtract lines 8</t>
  </si>
  <si>
    <t>negative amount.)</t>
  </si>
  <si>
    <t>and 9 of Form 1040 from line 7 of Form 1040 and enter the results here.  (If less than zero, enter as a</t>
  </si>
  <si>
    <t>t</t>
  </si>
  <si>
    <t>s</t>
  </si>
  <si>
    <t>r</t>
  </si>
  <si>
    <t>q</t>
  </si>
  <si>
    <t>p</t>
  </si>
  <si>
    <t>n</t>
  </si>
  <si>
    <t>m</t>
  </si>
  <si>
    <t>k</t>
  </si>
  <si>
    <t>If filing Schedule A (Form 1040), enter the taxes from Schedule A, line 7; otherwise, enter the amount from</t>
  </si>
  <si>
    <t>Tax refund from Schedule 1 (Form 1040), line 10 or line 21</t>
  </si>
  <si>
    <t>Net operating loss deduction from Schedule 1 (Form 1040), line 21.</t>
  </si>
  <si>
    <t>Line 4 —Alternative Minimum</t>
  </si>
  <si>
    <t>separately and line 4 is more than</t>
  </si>
  <si>
    <t>additional amount on line 4. If line 4 is</t>
  </si>
  <si>
    <t xml:space="preserve">     Alternative Minimum Tax (AMT)</t>
  </si>
  <si>
    <t>Subtract line 5 from line 4. If more than zero, go to line 7. If zero or less, enter -0- here and on lines 7, 9,</t>
  </si>
  <si>
    <t>and 11 and go to line 10</t>
  </si>
  <si>
    <t>AND line 4 is not over . . .</t>
  </si>
  <si>
    <t>THEN enter on line 5 . . .</t>
  </si>
  <si>
    <r>
      <t xml:space="preserve">     reported qualified dividends on Form 1040, line 3a; </t>
    </r>
    <r>
      <rPr>
        <b/>
        <sz val="9"/>
        <rFont val="Arial"/>
        <family val="2"/>
      </rPr>
      <t>or</t>
    </r>
    <r>
      <rPr>
        <sz val="9"/>
        <rFont val="Arial"/>
        <family val="2"/>
      </rPr>
      <t xml:space="preserve"> you had a gain on both lines 15 and </t>
    </r>
  </si>
  <si>
    <t xml:space="preserve">    16 of Schedule D (Form 1040) (as refigured for the AMT, if necessary), complete Part III on </t>
  </si>
  <si>
    <t xml:space="preserve"> if married filing separately) from the result.</t>
  </si>
  <si>
    <t xml:space="preserve">     the back and enter the amount from line 40 here.</t>
  </si>
  <si>
    <t>from the result any foreign tax credit from Schedule 3 (Form 1040), line 48. If you used Schedule J to</t>
  </si>
  <si>
    <t>figure your tax on Form 1040, line 11a, refigure that tax without using Schedule J before completing this</t>
  </si>
  <si>
    <t>line (see instructions)</t>
  </si>
  <si>
    <t>Add Form 1040, line 11a (minus any tax from Form 4972), and Schedule 2 (Form 1040), line 46. Subtract</t>
  </si>
  <si>
    <r>
      <t xml:space="preserve">from line 13. Otherwise, add lines 13 and 14, and enter the </t>
    </r>
    <r>
      <rPr>
        <b/>
        <sz val="9"/>
        <rFont val="Arial"/>
        <family val="2"/>
      </rPr>
      <t xml:space="preserve">smaller </t>
    </r>
    <r>
      <rPr>
        <sz val="9"/>
        <rFont val="Arial"/>
        <family val="2"/>
      </rPr>
      <t>of that result or the amount from line</t>
    </r>
  </si>
  <si>
    <r>
      <t xml:space="preserve">Enter the </t>
    </r>
    <r>
      <rPr>
        <b/>
        <sz val="9"/>
        <rFont val="Arial"/>
        <family val="2"/>
      </rPr>
      <t>smaller</t>
    </r>
    <r>
      <rPr>
        <sz val="9"/>
        <rFont val="Arial"/>
        <family val="2"/>
      </rPr>
      <t xml:space="preserve"> of line 12 or line 15</t>
    </r>
  </si>
  <si>
    <t>either worksheet for the regular tax, enter the amount from Form 1040, line 10; if zero or less, enter -0-. If</t>
  </si>
  <si>
    <r>
      <t xml:space="preserve">Enter the </t>
    </r>
    <r>
      <rPr>
        <b/>
        <sz val="9"/>
        <rFont val="Arial"/>
        <family val="2"/>
      </rPr>
      <t>smaller</t>
    </r>
    <r>
      <rPr>
        <sz val="9"/>
        <rFont val="Arial"/>
        <family val="2"/>
      </rPr>
      <t xml:space="preserve"> of line 12 or line 13</t>
    </r>
  </si>
  <si>
    <r>
      <t xml:space="preserve">Enter the </t>
    </r>
    <r>
      <rPr>
        <b/>
        <sz val="9"/>
        <rFont val="Arial"/>
        <family val="2"/>
      </rPr>
      <t>smaller</t>
    </r>
    <r>
      <rPr>
        <sz val="9"/>
        <rFont val="Arial"/>
        <family val="2"/>
      </rPr>
      <t xml:space="preserve"> of line 21 or line 22. This amount is taxed at 0%</t>
    </r>
  </si>
  <si>
    <t>Subtract line 23 from line 22.</t>
  </si>
  <si>
    <t>Enter the amount from line 21</t>
  </si>
  <si>
    <t>for Form 1040, line 11a, or the amount from line 14 of the Schedule D Tax Worksheet in the instructions</t>
  </si>
  <si>
    <t>Add line 26 and line 27</t>
  </si>
  <si>
    <t>Subtract line 28 from line 25. If zero or less, enter -0-</t>
  </si>
  <si>
    <t>Enter the smaller of line 24 or line 29</t>
  </si>
  <si>
    <t>Add lines 23 and 30</t>
  </si>
  <si>
    <t>If lines 32 and 12 are the same, skip lines 33 through 37 and go to line 38. Otherwise, go to line 33.</t>
  </si>
  <si>
    <t>Subtract line 32 from line 22</t>
  </si>
  <si>
    <t>If line 14 is zero or blank, skip lines 35 through 37 and go to line 38. Otherwise, go to line 35.</t>
  </si>
  <si>
    <t>Add lines 17, 32, and 33</t>
  </si>
  <si>
    <t>Subtract line 35 from line 12</t>
  </si>
  <si>
    <t>Add lines 18, 31, 34, and 37</t>
  </si>
  <si>
    <r>
      <t xml:space="preserve">Enter the </t>
    </r>
    <r>
      <rPr>
        <b/>
        <sz val="9"/>
        <rFont val="Arial"/>
        <family val="2"/>
      </rPr>
      <t>smaller</t>
    </r>
    <r>
      <rPr>
        <sz val="9"/>
        <rFont val="Arial"/>
        <family val="2"/>
      </rPr>
      <t xml:space="preserve"> of line 38 or line 39 here and on line 7. If you are filing Form 2555 or 2555-EZ, do not</t>
    </r>
  </si>
  <si>
    <t>enter this amount on line 7. Instead, enter it on line 4 of the worksheet in the instructions for line 7</t>
  </si>
  <si>
    <t>Paste data from other spreadsheets, reports, etc. here.  (Use 'Paste Special, Values')</t>
  </si>
  <si>
    <t>Enter the amount from Form 1040, line 10</t>
  </si>
  <si>
    <t>to Line 4.</t>
  </si>
  <si>
    <t>Sch. D</t>
  </si>
  <si>
    <t>Enter the amount from Form 1040, line 10.  However, if you are filing Form</t>
  </si>
  <si>
    <t>1040</t>
  </si>
  <si>
    <t>Full-year health care coverage
or exempt (see inst.)</t>
  </si>
  <si>
    <t>City, town or post office, state, and ZIP code. If you have a foreign address, attach Schedule 6.</t>
  </si>
  <si>
    <r>
      <rPr>
        <b/>
        <sz val="9"/>
        <rFont val="Arial"/>
        <family val="2"/>
      </rPr>
      <t>Dependents</t>
    </r>
    <r>
      <rPr>
        <sz val="9"/>
        <rFont val="Arial"/>
        <family val="2"/>
      </rPr>
      <t xml:space="preserve">  (see instructions) </t>
    </r>
    <r>
      <rPr>
        <b/>
        <sz val="9"/>
        <rFont val="Arial"/>
        <family val="2"/>
      </rPr>
      <t>:</t>
    </r>
  </si>
  <si>
    <r>
      <rPr>
        <b/>
        <sz val="8"/>
        <rFont val="Arial"/>
        <family val="2"/>
      </rPr>
      <t xml:space="preserve">(4)  </t>
    </r>
    <r>
      <rPr>
        <sz val="8"/>
        <rFont val="Arial"/>
        <family val="2"/>
      </rPr>
      <t xml:space="preserve">       if qualifies for (see inst.):</t>
    </r>
  </si>
  <si>
    <t>Paid
Preparers
Use Onlly</t>
  </si>
  <si>
    <t>Firm’s address</t>
  </si>
  <si>
    <t>Attach Form(s)
W-2. Also attach
Form(s) W-2G and
1099-R if tax was
withheld.</t>
  </si>
  <si>
    <t>Total income. Add lines 1 through 5. Add any amount from Schedule 1, line 22</t>
  </si>
  <si>
    <t xml:space="preserve">.   .   .  </t>
  </si>
  <si>
    <t>Direct deposit?</t>
  </si>
  <si>
    <r>
      <t xml:space="preserve">Go to </t>
    </r>
    <r>
      <rPr>
        <i/>
        <sz val="8"/>
        <rFont val="Arial"/>
        <family val="2"/>
      </rPr>
      <t>www.irs.gov/Form1040</t>
    </r>
    <r>
      <rPr>
        <sz val="8"/>
        <rFont val="Arial"/>
        <family val="2"/>
      </rPr>
      <t xml:space="preserve"> for instructions and the latest information.</t>
    </r>
  </si>
  <si>
    <t xml:space="preserve"> .   .   .   .   .   .   .   .   .   .   .   .   .   .   .   .   .   .   .   .   .   .   .   .   . </t>
  </si>
  <si>
    <t>Sch. B, Line 1 (If line 3A is "Y")</t>
  </si>
  <si>
    <t>(Form 1040) line 46; or Form 1040NR, line 44</t>
  </si>
  <si>
    <t>Sch. SE</t>
  </si>
  <si>
    <r>
      <t xml:space="preserve">   Go to </t>
    </r>
    <r>
      <rPr>
        <b/>
        <i/>
        <sz val="8"/>
        <rFont val="Arial"/>
        <family val="2"/>
      </rPr>
      <t>www.irs.gov/ScheduleD</t>
    </r>
    <r>
      <rPr>
        <b/>
        <sz val="8"/>
        <rFont val="Arial"/>
        <family val="2"/>
      </rPr>
      <t xml:space="preserve"> for instructions and the latest information.</t>
    </r>
  </si>
  <si>
    <t>See instructions for how to figure the amounts to enter on the 
lines below.
This form may be easier to complete if you round off cents to whole dollars.</t>
  </si>
  <si>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</si>
  <si>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</si>
  <si>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</si>
  <si>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</si>
  <si>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   </t>
    </r>
  </si>
  <si>
    <t>–  Generally Assets Held More Than One Year</t>
  </si>
  <si>
    <t>–  Generally Assets Held One Year or Less</t>
  </si>
  <si>
    <t>See instructions for how to figure the amounts to enter on the 
lines below.  
This form may be easier to complete if you round off cents to 
whole dollars.</t>
  </si>
  <si>
    <r>
      <rPr>
        <b/>
        <sz val="7"/>
        <rFont val="Arial"/>
        <family val="2"/>
      </rPr>
      <t xml:space="preserve">(h) Gain or (loss) </t>
    </r>
    <r>
      <rPr>
        <sz val="7"/>
        <rFont val="Arial"/>
        <family val="2"/>
      </rPr>
      <t xml:space="preserve">
Subtract column (e) 
from column (d) and combine the result 
with column (g)</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</si>
  <si>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</si>
  <si>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</si>
  <si>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   .   </t>
    </r>
  </si>
  <si>
    <t>1040NR, line 14.  Then go to line 17 below.</t>
  </si>
  <si>
    <t>13, or 1040NR, line 14. Then go to line 22.</t>
  </si>
  <si>
    <r>
      <t xml:space="preserve">for Form 1040, line 11a (or in the instructions for Form 1040NR, line 42). </t>
    </r>
    <r>
      <rPr>
        <b/>
        <sz val="10"/>
        <rFont val="Arial"/>
        <family val="2"/>
      </rPr>
      <t>Don't</t>
    </r>
    <r>
      <rPr>
        <sz val="10"/>
        <rFont val="Arial"/>
        <family val="2"/>
      </rPr>
      <t xml:space="preserve"> complete lines</t>
    </r>
  </si>
  <si>
    <r>
      <t xml:space="preserve">No. </t>
    </r>
    <r>
      <rPr>
        <sz val="10"/>
        <rFont val="Arial"/>
        <family val="2"/>
      </rPr>
      <t xml:space="preserve">Complete the </t>
    </r>
    <r>
      <rPr>
        <b/>
        <sz val="10"/>
        <rFont val="Arial"/>
        <family val="2"/>
      </rPr>
      <t>Schedule D Tax Worksheet</t>
    </r>
    <r>
      <rPr>
        <sz val="10"/>
        <rFont val="Arial"/>
        <family val="2"/>
      </rPr>
      <t xml:space="preserve"> in the instructions. </t>
    </r>
    <r>
      <rPr>
        <b/>
        <sz val="10"/>
        <rFont val="Arial"/>
        <family val="2"/>
      </rPr>
      <t>Don't</t>
    </r>
    <r>
      <rPr>
        <sz val="10"/>
        <rFont val="Arial"/>
        <family val="2"/>
      </rPr>
      <t xml:space="preserve"> complete lines 21</t>
    </r>
  </si>
  <si>
    <t>If line 16 is a loss, enter here and on Schedule 1 (Form 1040), line 13, or Form 1040NR, line 14,</t>
  </si>
  <si>
    <r>
      <t xml:space="preserve">the </t>
    </r>
    <r>
      <rPr>
        <b/>
        <sz val="10"/>
        <rFont val="Arial"/>
        <family val="2"/>
      </rPr>
      <t>smaller</t>
    </r>
    <r>
      <rPr>
        <sz val="10"/>
        <rFont val="Arial"/>
        <family val="2"/>
      </rPr>
      <t xml:space="preserve"> of:</t>
    </r>
  </si>
  <si>
    <t>for Form 1040, line 11a (or in the instructions for Form 1040NR, line 42).</t>
  </si>
  <si>
    <t>This Schedule SE is being completed for:
(If both, check both boxes.)</t>
  </si>
  <si>
    <t>Line 9 Worksheet</t>
  </si>
  <si>
    <t>If your employer withheld or you paid Additional Medicare Tax or Tier 1 RRTA taxes, use this worksheet to figure the amount to enter on line 9.</t>
  </si>
  <si>
    <t>Social security tax, Medicare tax, and Additional Medicare Tax on Wages.</t>
  </si>
  <si>
    <t>Enter the social security tax withheld (Form(s) W-2, box 4)</t>
  </si>
  <si>
    <t>Enter the Medicare tax withheld (Form(s) W-2, box 6). Box 6 includes any Additional Medicare Tax withheld</t>
  </si>
  <si>
    <t>Enter any amount from Form 8959, line 7</t>
  </si>
  <si>
    <t>Add lines 1, 2, and 3</t>
  </si>
  <si>
    <t>Enter the Additional Medicare Tax withheld (Form 8959, line 22)</t>
  </si>
  <si>
    <t>Additional Medicare Tax on Self-Employment Income.</t>
  </si>
  <si>
    <t>Enter one-half of the Additional Medicare Tax, if any, on self-employment income (one-half of Form 8959, line 13)</t>
  </si>
  <si>
    <t>amounts in Form W-2, box 14 that are identified as Additional Medicare Tax or Tier 2 tax.  Do not include amounts shown on Form CT-2 on line 3 for Additional Medicare Tax or</t>
  </si>
  <si>
    <t>line 4 for Tier 2 tax.</t>
  </si>
  <si>
    <t>Enter the Tier 1 tax (Form(s) W-2, box 14)</t>
  </si>
  <si>
    <t>Enter the Medicare Tax (Form(s) W-2, box 14)</t>
  </si>
  <si>
    <t>Add lines 8, 9, and 10</t>
  </si>
  <si>
    <t>Enter one-half of Tier 1 tax (one-half of Forms CT-2, line 1 for all 4 quarters of 2018)</t>
  </si>
  <si>
    <t>Enter one-half of Tier 1 Medicare tax (one-half of Forms CT-2, line 2 for all 4 quarters of 2018)</t>
  </si>
  <si>
    <t>Do not use the same amount from Form 8959, line 17 for both this line 14 and line 10</t>
  </si>
  <si>
    <t>Add lines 12, 13, and 14</t>
  </si>
  <si>
    <t>Line 9 Amount</t>
  </si>
  <si>
    <t>Add lines 6, 7, 11, and 15. Enter here and on Schedule 8812, line 9</t>
  </si>
  <si>
    <r>
      <rPr>
        <b/>
        <sz val="8"/>
        <rFont val="Arial"/>
        <family val="2"/>
      </rPr>
      <t>Tier 1 RRTA taxes as an employee of a railroad</t>
    </r>
    <r>
      <rPr>
        <sz val="8"/>
        <rFont val="Arial"/>
        <family val="2"/>
      </rPr>
      <t xml:space="preserve"> (enter amounts on line 8, 9, 10 &amp; 11) </t>
    </r>
    <r>
      <rPr>
        <b/>
        <sz val="8"/>
        <rFont val="Arial"/>
        <family val="2"/>
      </rPr>
      <t>or employee representative</t>
    </r>
    <r>
      <rPr>
        <sz val="8"/>
        <rFont val="Arial"/>
        <family val="2"/>
      </rPr>
      <t xml:space="preserve"> (enter amounts on lines 12, 13, 14, &amp; 15).  Don't include</t>
    </r>
  </si>
  <si>
    <t>Don't use the same amount from Form 8959, line 17 for both this line 10 and line 14</t>
  </si>
  <si>
    <r>
      <t xml:space="preserve">Enter one-half of the Additional Medicare Tax, if any, on RRTA compensation as an </t>
    </r>
    <r>
      <rPr>
        <b/>
        <sz val="9"/>
        <rFont val="Arial"/>
        <family val="2"/>
      </rPr>
      <t>employee representative</t>
    </r>
    <r>
      <rPr>
        <sz val="9"/>
        <rFont val="Arial"/>
        <family val="2"/>
      </rPr>
      <t xml:space="preserve"> (one-half of Form 8959, line 17).</t>
    </r>
  </si>
  <si>
    <r>
      <t xml:space="preserve">Enter the Additional Medicare Tax, if any, on RRTA compensation as an </t>
    </r>
    <r>
      <rPr>
        <b/>
        <sz val="9"/>
        <rFont val="Arial"/>
        <family val="2"/>
      </rPr>
      <t>employee</t>
    </r>
    <r>
      <rPr>
        <sz val="9"/>
        <rFont val="Arial"/>
        <family val="2"/>
      </rPr>
      <t xml:space="preserve"> (Form 8959, line 17).</t>
    </r>
  </si>
  <si>
    <t>Form 1040, Line 7</t>
  </si>
  <si>
    <t>Form 1040, Line 10</t>
  </si>
  <si>
    <t>Form 1040, Line 11</t>
  </si>
  <si>
    <t>Form 1040, Line 18</t>
  </si>
  <si>
    <t>Use Short Sch. SE.</t>
  </si>
  <si>
    <t>Use Long Sch. SE.</t>
  </si>
  <si>
    <t>Amount from Form 1040, Line 9b.</t>
  </si>
  <si>
    <t>Amount from Form 1040, Line 13, or smallest of Sch. D, Line 15 or 16.</t>
  </si>
  <si>
    <t>Form 4952, Line 4g (Manual entry on CGTW, Line 5)</t>
  </si>
  <si>
    <t>Tax on Line 7.</t>
  </si>
  <si>
    <t>Tax on Line 1.</t>
  </si>
  <si>
    <t>Sum of Lines 2 and 3.</t>
  </si>
  <si>
    <t>Tax on all taxable income.</t>
  </si>
  <si>
    <t>Line 10 -- Credit Limit Worksheet</t>
  </si>
  <si>
    <t>Enter the amount from Schedule 3 (Form 1040),</t>
  </si>
  <si>
    <t>Subtract line 2 from line 1. Also enter this amount on</t>
  </si>
  <si>
    <t>take the credit</t>
  </si>
  <si>
    <t>Form 2441, line 10.</t>
  </si>
  <si>
    <t>But if zero or less, stop; you cannot</t>
  </si>
  <si>
    <r>
      <t xml:space="preserve">Line 48, </t>
    </r>
    <r>
      <rPr>
        <b/>
        <sz val="10"/>
        <rFont val="Arial"/>
        <family val="2"/>
      </rPr>
      <t>Foreign Tax Credit</t>
    </r>
    <r>
      <rPr>
        <sz val="10"/>
        <rFont val="Arial"/>
        <family val="2"/>
      </rPr>
      <t>.</t>
    </r>
  </si>
  <si>
    <r>
      <t xml:space="preserve">Enter your </t>
    </r>
    <r>
      <rPr>
        <b/>
        <sz val="10"/>
        <rFont val="Arial"/>
        <family val="2"/>
      </rPr>
      <t>Total Tax</t>
    </r>
    <r>
      <rPr>
        <sz val="10"/>
        <rFont val="Arial"/>
        <family val="2"/>
      </rPr>
      <t xml:space="preserve"> from Form 1040, line 11  </t>
    </r>
    <r>
      <rPr>
        <b/>
        <sz val="10"/>
        <rFont val="Arial"/>
        <family val="2"/>
      </rPr>
      <t>.   .   .   .   .   .</t>
    </r>
  </si>
  <si>
    <t>U.S. Individual Income Tax Return</t>
  </si>
  <si>
    <t>Section 951A income</t>
  </si>
  <si>
    <t>Foreign branch income</t>
  </si>
  <si>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</si>
  <si>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</si>
  <si>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</si>
  <si>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</si>
  <si>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Certain itemized deductions or standard deduction</t>
  </si>
  <si>
    <t>Pro rata share of interest expense (see instructions):</t>
  </si>
  <si>
    <t>(j)</t>
  </si>
  <si>
    <t>(k)</t>
  </si>
  <si>
    <r>
      <t xml:space="preserve">(l) </t>
    </r>
    <r>
      <rPr>
        <sz val="8"/>
        <rFont val="Arial"/>
        <family val="2"/>
      </rPr>
      <t>Date paid</t>
    </r>
  </si>
  <si>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</si>
  <si>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</si>
  <si>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</si>
  <si>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(p)</t>
    </r>
    <r>
      <rPr>
        <sz val="8"/>
        <rFont val="Arial"/>
        <family val="2"/>
      </rPr>
      <t xml:space="preserve"> Other
foreign taxes
paid or
accrued</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</si>
  <si>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</si>
  <si>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</si>
  <si>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</si>
  <si>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r>
      <rPr>
        <b/>
        <sz val="8"/>
        <rFont val="Arial"/>
        <family val="2"/>
      </rPr>
      <t>(t)</t>
    </r>
    <r>
      <rPr>
        <sz val="8"/>
        <rFont val="Arial"/>
        <family val="2"/>
      </rPr>
      <t xml:space="preserve"> Other
foreign taxes
paid or
accrued</t>
    </r>
  </si>
  <si>
    <t>Add lines A through C, column (u). Enter the total here and on line 9, page 2</t>
  </si>
  <si>
    <t>(If your income was section 951A income (box a above Part I), leave</t>
  </si>
  <si>
    <t>line 10 blank.)</t>
  </si>
  <si>
    <r>
      <rPr>
        <b/>
        <sz val="10"/>
        <rFont val="Arial"/>
        <family val="2"/>
      </rPr>
      <t>Individuals:</t>
    </r>
    <r>
      <rPr>
        <sz val="10"/>
        <rFont val="Arial"/>
        <family val="2"/>
      </rPr>
      <t xml:space="preserve"> Enter the amount from Form 1040, line 10; or Form</t>
    </r>
  </si>
  <si>
    <r>
      <t xml:space="preserve">1040NR, line 41. </t>
    </r>
    <r>
      <rPr>
        <b/>
        <sz val="10"/>
        <rFont val="Arial"/>
        <family val="2"/>
      </rPr>
      <t>Estates and trusts:</t>
    </r>
    <r>
      <rPr>
        <sz val="10"/>
        <rFont val="Arial"/>
        <family val="2"/>
      </rPr>
      <t xml:space="preserve"> Enter your taxable income</t>
    </r>
  </si>
  <si>
    <r>
      <rPr>
        <b/>
        <sz val="10"/>
        <rFont val="Arial"/>
        <family val="2"/>
      </rPr>
      <t>Individuals:</t>
    </r>
    <r>
      <rPr>
        <sz val="10"/>
        <rFont val="Arial"/>
        <family val="2"/>
      </rPr>
      <t xml:space="preserve"> Enter the total of Form 1040, line 11a, and Schedule 2 (Form 1040), line 46. If you are a</t>
    </r>
  </si>
  <si>
    <r>
      <t xml:space="preserve">nonresident alien, enter the total of Form 1040NR, lines 42 and 44. </t>
    </r>
    <r>
      <rPr>
        <b/>
        <sz val="10"/>
        <rFont val="Arial"/>
        <family val="2"/>
      </rPr>
      <t>Estates and trusts:</t>
    </r>
    <r>
      <rPr>
        <sz val="10"/>
        <rFont val="Arial"/>
        <family val="2"/>
      </rPr>
      <t xml:space="preserve"> Enter the</t>
    </r>
  </si>
  <si>
    <t>amount from Form 1041, Schedule G, line 1a; or the total of Form 990-T, lines 40, 41, and 43.</t>
  </si>
  <si>
    <t>Foreign estates and trusts should enter the amount from Form 1040NR, line 42</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</si>
  <si>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see</t>
    </r>
  </si>
  <si>
    <t>Credit for taxes on section 951A income</t>
  </si>
  <si>
    <t>Credit for taxes on foreign branch income</t>
  </si>
  <si>
    <t>Credit for taxes on section 901(j) income</t>
  </si>
  <si>
    <t>Add lines 23 through 29</t>
  </si>
  <si>
    <r>
      <t xml:space="preserve">Enter the </t>
    </r>
    <r>
      <rPr>
        <b/>
        <sz val="10"/>
        <rFont val="Arial"/>
        <family val="2"/>
      </rPr>
      <t>smaller</t>
    </r>
    <r>
      <rPr>
        <sz val="10"/>
        <rFont val="Arial"/>
        <family val="2"/>
      </rPr>
      <t xml:space="preserve"> of line 20 or line 30</t>
    </r>
  </si>
  <si>
    <r>
      <t xml:space="preserve">Subtract line 32 from line 31. This is your </t>
    </r>
    <r>
      <rPr>
        <b/>
        <sz val="10"/>
        <rFont val="Arial"/>
        <family val="2"/>
      </rPr>
      <t>foreign tax credit</t>
    </r>
    <r>
      <rPr>
        <sz val="10"/>
        <rFont val="Arial"/>
        <family val="2"/>
      </rPr>
      <t>. Enter here and on Schedule 3 (Form</t>
    </r>
  </si>
  <si>
    <t>1040), line 48; Form 1040NR, line 46; Form 1041, Schedule G, line 2a; or Form 990-T, line 45a</t>
  </si>
  <si>
    <t xml:space="preserve">.   .   .   .   .   .   .   .   .   .   .   .   .  </t>
  </si>
  <si>
    <t xml:space="preserve">.   .   .   .   .   .   .   .   .  </t>
  </si>
  <si>
    <t xml:space="preserve">.   .   .   .   .   .   .   .   .   .   .   .   .   .   .   .   .   .   .  </t>
  </si>
  <si>
    <t xml:space="preserve">.   .   .   .   .   .   .   .   .   .   .   .   .   .   .   .   .   .   .   .   .   .   .   .   .   .   .   .   .   .   .   .   .  </t>
  </si>
  <si>
    <t xml:space="preserve">.   .   .   .   .   .   .   .  </t>
  </si>
  <si>
    <t>through 30 and enter this amount on line 31. Otherwise, complete the appropriate line in Part IV (see</t>
  </si>
  <si>
    <r>
      <rPr>
        <b/>
        <sz val="8"/>
        <rFont val="Arial"/>
        <family val="2"/>
      </rPr>
      <t>(u)</t>
    </r>
    <r>
      <rPr>
        <sz val="8"/>
        <rFont val="Arial"/>
        <family val="2"/>
      </rPr>
      <t xml:space="preserve"> Total foreign
taxes paid or
accrued (add cols.
(q) through (t))</t>
    </r>
  </si>
  <si>
    <r>
      <t xml:space="preserve"> Taxable Income or Loss From Sources Outside the United States </t>
    </r>
    <r>
      <rPr>
        <sz val="11"/>
        <rFont val="Arial"/>
        <family val="2"/>
      </rPr>
      <t>(for category checked above)</t>
    </r>
  </si>
  <si>
    <r>
      <t xml:space="preserve">Foreign Taxes Paid or Accrued </t>
    </r>
    <r>
      <rPr>
        <sz val="14"/>
        <rFont val="Arial"/>
        <family val="2"/>
      </rPr>
      <t xml:space="preserve"> (see instructions)</t>
    </r>
  </si>
  <si>
    <t>Credit is claimed 
for taxes 
(you must check one)</t>
  </si>
  <si>
    <t xml:space="preserve"> .  </t>
  </si>
  <si>
    <t xml:space="preserve">.   .  </t>
  </si>
  <si>
    <r>
      <rPr>
        <b/>
        <sz val="9"/>
        <rFont val="Arial"/>
        <family val="2"/>
      </rPr>
      <t>AMT.</t>
    </r>
    <r>
      <rPr>
        <sz val="9"/>
        <rFont val="Arial"/>
        <family val="2"/>
      </rPr>
      <t xml:space="preserve"> Subtract line 10 from line 9. If zero or less, enter -0-. Enter here and on Schedule 2 (Form 1040), line 45</t>
    </r>
  </si>
  <si>
    <t xml:space="preserve">.   .   .   .   .   .   .   .   .   .   .   .   .   .   .   .   .   .   .   .   .   .   .   .   .   .   .   .   .  </t>
  </si>
  <si>
    <t xml:space="preserve">instructions). </t>
  </si>
  <si>
    <t>If zero or less, enter -0-</t>
  </si>
  <si>
    <t>Subtract line 19b from line 19a.</t>
  </si>
  <si>
    <t>Line 21—Net Investment Income</t>
  </si>
  <si>
    <t>Tax for Estates and Trusts</t>
  </si>
  <si>
    <t>on Form 1041, Schedule G, line 4, and</t>
  </si>
  <si>
    <t>see the instructions there.</t>
  </si>
  <si>
    <t>amount on Form 1041-QFT, line 16, and</t>
  </si>
  <si>
    <r>
      <t>l</t>
    </r>
    <r>
      <rPr>
        <sz val="8"/>
        <rFont val="Arial"/>
        <family val="2"/>
      </rPr>
      <t xml:space="preserve"> </t>
    </r>
    <r>
      <rPr>
        <sz val="9"/>
        <rFont val="Arial"/>
        <family val="2"/>
      </rPr>
      <t xml:space="preserve"> Form 1041 filers: Include this amount</t>
    </r>
  </si>
  <si>
    <r>
      <t>l</t>
    </r>
    <r>
      <rPr>
        <sz val="8"/>
        <rFont val="Arial"/>
        <family val="2"/>
      </rPr>
      <t xml:space="preserve"> </t>
    </r>
    <r>
      <rPr>
        <sz val="9"/>
        <rFont val="Arial"/>
        <family val="2"/>
      </rPr>
      <t xml:space="preserve"> Form 1041-QFT filers: Include this</t>
    </r>
  </si>
  <si>
    <t>50% of</t>
  </si>
  <si>
    <t>W-2 wages</t>
  </si>
  <si>
    <t>(5.a)</t>
  </si>
  <si>
    <t>25% of W-2</t>
  </si>
  <si>
    <t>wages (5.a)</t>
  </si>
  <si>
    <t>plus 2.5% of (5.b)</t>
  </si>
  <si>
    <t xml:space="preserve">WCC = Greater of: </t>
  </si>
  <si>
    <t>25% of W-2 wages (5.a) plus 2.5% of capital investment (5.b)</t>
  </si>
  <si>
    <r>
      <t xml:space="preserve">50% W-2 wages (5.a) </t>
    </r>
    <r>
      <rPr>
        <u/>
        <sz val="10"/>
        <rFont val="Arial"/>
        <family val="2"/>
      </rPr>
      <t>or</t>
    </r>
  </si>
  <si>
    <t>Qualified Dividends and Capital Gain Tax Worksheet</t>
  </si>
  <si>
    <t>Note:  To figure the annualized entries for lines 2, 3, and 5 below, multiply the expected amount for the period by the</t>
  </si>
  <si>
    <t>annualization amount on line 2 of Schedule AI for the same period.</t>
  </si>
  <si>
    <t>Publication 505, Worksheet 4-1</t>
  </si>
  <si>
    <t xml:space="preserve">Enter line 11 of your Schedule AI, </t>
  </si>
  <si>
    <t>or line 3 from Worksheet 4-2</t>
  </si>
  <si>
    <t>Are you filing Schedule D?</t>
  </si>
  <si>
    <t>If you are claiming investment interest</t>
  </si>
  <si>
    <t>Subtract line 6 from line 1. If zero or less, enter -0-</t>
  </si>
  <si>
    <t>Enter expected amount of qualified dividends</t>
  </si>
  <si>
    <t>2b.</t>
  </si>
  <si>
    <t>Schedule AI, line 2, for the same period.</t>
  </si>
  <si>
    <t>Multiply line 2a by the annualization amount on</t>
  </si>
  <si>
    <t>Add lines 15 and 16</t>
  </si>
  <si>
    <t>line 12 of Schedule AI in the appropriate column. However, if you are using this worksheet to figure</t>
  </si>
  <si>
    <t>the tax on the amount on line 3 of Worksheet 4-2, enter the amount from line 19 on Worksheet 4-2,</t>
  </si>
  <si>
    <t>line 4.</t>
  </si>
  <si>
    <r>
      <rPr>
        <b/>
        <sz val="10"/>
        <rFont val="Arial"/>
        <family val="2"/>
      </rPr>
      <t>Tax on all taxable income.</t>
    </r>
    <r>
      <rPr>
        <sz val="10"/>
        <rFont val="Arial"/>
        <family val="2"/>
      </rPr>
      <t xml:space="preserve"> Enter the </t>
    </r>
    <r>
      <rPr>
        <b/>
        <sz val="10"/>
        <rFont val="Arial"/>
        <family val="2"/>
      </rPr>
      <t>smaller</t>
    </r>
    <r>
      <rPr>
        <sz val="10"/>
        <rFont val="Arial"/>
        <family val="2"/>
      </rPr>
      <t xml:space="preserve"> of line 17 or line 18. Also enter this amount on</t>
    </r>
  </si>
  <si>
    <r>
      <t xml:space="preserve">Enter the </t>
    </r>
    <r>
      <rPr>
        <b/>
        <sz val="10"/>
        <rFont val="Arial"/>
        <family val="2"/>
      </rPr>
      <t>smaller</t>
    </r>
    <r>
      <rPr>
        <sz val="10"/>
        <rFont val="Arial"/>
        <family val="2"/>
      </rPr>
      <t xml:space="preserve"> of line 1 or line 6</t>
    </r>
  </si>
  <si>
    <r>
      <t xml:space="preserve">Enter the </t>
    </r>
    <r>
      <rPr>
        <b/>
        <sz val="10"/>
        <rFont val="Arial"/>
        <family val="2"/>
      </rPr>
      <t>smaller</t>
    </r>
    <r>
      <rPr>
        <sz val="10"/>
        <rFont val="Arial"/>
        <family val="2"/>
      </rPr>
      <t xml:space="preserve"> of line 1 or line 8</t>
    </r>
  </si>
  <si>
    <r>
      <t xml:space="preserve">Enter the </t>
    </r>
    <r>
      <rPr>
        <b/>
        <sz val="10"/>
        <rFont val="Arial"/>
        <family val="2"/>
      </rPr>
      <t>smaller</t>
    </r>
    <r>
      <rPr>
        <sz val="10"/>
        <rFont val="Arial"/>
        <family val="2"/>
      </rPr>
      <t xml:space="preserve"> of line 7 or line 9</t>
    </r>
  </si>
  <si>
    <t>3a.</t>
  </si>
  <si>
    <t>for each period</t>
  </si>
  <si>
    <t>3b.</t>
  </si>
  <si>
    <t>Multiply line 3a by the annualization amount on</t>
  </si>
  <si>
    <r>
      <rPr>
        <b/>
        <sz val="10"/>
        <rFont val="Arial"/>
        <family val="2"/>
      </rPr>
      <t>Yes.</t>
    </r>
    <r>
      <rPr>
        <sz val="10"/>
        <rFont val="Arial"/>
        <family val="2"/>
      </rPr>
      <t xml:space="preserve">   Enter the smaller of your expected</t>
    </r>
  </si>
  <si>
    <t>amount for the period from line 15 or line 16 of</t>
  </si>
  <si>
    <r>
      <rPr>
        <b/>
        <sz val="10"/>
        <rFont val="Arial"/>
        <family val="2"/>
      </rPr>
      <t>No.</t>
    </r>
    <r>
      <rPr>
        <sz val="10"/>
        <rFont val="Arial"/>
        <family val="2"/>
      </rPr>
      <t xml:space="preserve">  Enter your expected capital gain</t>
    </r>
  </si>
  <si>
    <t>distributions for the period from Form 1040, line 13.</t>
  </si>
  <si>
    <t>5a.</t>
  </si>
  <si>
    <t>5b.</t>
  </si>
  <si>
    <t>Multiply line 5a by the annualization amount on</t>
  </si>
  <si>
    <t>amount for the period from line 4g of that form.</t>
  </si>
  <si>
    <t>expense on Form 4952, enter your expected</t>
  </si>
  <si>
    <t>AJ247</t>
  </si>
  <si>
    <t>AL247</t>
  </si>
  <si>
    <t>AN247</t>
  </si>
  <si>
    <t>AP247</t>
  </si>
  <si>
    <t>Publication 505, Worksheet 4-2</t>
  </si>
  <si>
    <t>Foreign Earned Income Tax Worksheet</t>
  </si>
  <si>
    <t xml:space="preserve">Before you begin:  </t>
  </si>
  <si>
    <t>If Schedule AI, line 11, is zero for the period, don’t complete this worksheet.</t>
  </si>
  <si>
    <t>period</t>
  </si>
  <si>
    <t>Enter the amount from line 11 of Schedule AI for the</t>
  </si>
  <si>
    <t>of Schedule A.</t>
  </si>
  <si>
    <t>Form 2555, lines 45 and 50, or Form 2555-EZ, line 18) in figuring the amount entered for the period on line 1</t>
  </si>
  <si>
    <t>Dividends and Capital Gain Tax Worksheet,*** or Schedule D Tax Worksheet,*** whichever applies. See the</t>
  </si>
  <si>
    <t>have to use the same method for each period on Schedule AI.)</t>
  </si>
  <si>
    <t xml:space="preserve"> Use the Tax Table, Tax Computation Worksheet, Form 8615,** Qualified</t>
  </si>
  <si>
    <t>Tax on the amount on line 2.</t>
  </si>
  <si>
    <t>Instructions for Form 1040 to figure this tax. If the amount on line 7 is $100,000 or more, use the Tax</t>
  </si>
  <si>
    <t>Computation Worksheet in the 2017 Instructions for Form 1040</t>
  </si>
  <si>
    <t>Subtract line 5 from line 4. Enter the result here and on line 12 of Schedule AI. If zero or less,</t>
  </si>
  <si>
    <t>enter -0-</t>
  </si>
  <si>
    <t>* To figure the annualized amount for line 2, multiply the exclusion or deduction for the period by the annualization amount on line 2 of Schedule AI for the same period.
** If you use Form 8615 to figure the tax on line 4 above, enter the amount from line 3 above on line 4 of Form 8615.
If the child's parent files Form 2555 or 2555-EZ, enter the amounts from lines 3 and 4 of the parent's Foreign Earned
Income Tax Worksheet on lines 6 and 10, respectively, of Form 8615. Complete the rest of Form 8615 according to
its instructions. Then complete lines 5 and 6 above.
*** Enter the amount from line 3 above on line 1 of the Qualified Dividends and Capital Gain Tax Worksheet (or
Worksheet 4-1 in this chapter) or the Schedule D Tax Worksheet, whichever worksheet you use to figure the tax on
line 4 above. Complete that worksheet through line 6 (line 10 if you use the Schedule D Tax Worksheet). Next,
determine if you have a capital gain excess.</t>
  </si>
  <si>
    <t>See Publication 505 for other notes and instructions.</t>
  </si>
  <si>
    <t>Enter the amount of foreign earned income and housing amount excluded or deducted for the period* (from</t>
  </si>
  <si>
    <t>AJ309</t>
  </si>
  <si>
    <t>AL309</t>
  </si>
  <si>
    <t>AJ307</t>
  </si>
  <si>
    <t>AL307</t>
  </si>
  <si>
    <t>AN307</t>
  </si>
  <si>
    <t>AP307</t>
  </si>
  <si>
    <r>
      <rPr>
        <b/>
        <sz val="10"/>
        <rFont val="Arial"/>
        <family val="2"/>
      </rPr>
      <t>1040), line 57,</t>
    </r>
    <r>
      <rPr>
        <sz val="10"/>
        <rFont val="Arial"/>
        <family val="2"/>
      </rPr>
      <t xml:space="preserve"> or </t>
    </r>
    <r>
      <rPr>
        <b/>
        <sz val="10"/>
        <rFont val="Arial"/>
        <family val="2"/>
      </rPr>
      <t>Form 1040NR, line 55</t>
    </r>
  </si>
  <si>
    <r>
      <rPr>
        <b/>
        <sz val="10"/>
        <rFont val="Arial"/>
        <family val="2"/>
      </rPr>
      <t>Self-employment tax.</t>
    </r>
    <r>
      <rPr>
        <sz val="10"/>
        <rFont val="Arial"/>
        <family val="2"/>
      </rPr>
      <t xml:space="preserve"> Add lines 10 and 11. Enter here and on Schedule 4 (</t>
    </r>
    <r>
      <rPr>
        <b/>
        <sz val="10"/>
        <rFont val="Arial"/>
        <family val="2"/>
      </rPr>
      <t>Form 1040), line 57,</t>
    </r>
  </si>
  <si>
    <r>
      <t xml:space="preserve">or </t>
    </r>
    <r>
      <rPr>
        <b/>
        <sz val="10"/>
        <rFont val="Arial"/>
        <family val="2"/>
      </rPr>
      <t>Form 1040NR, line 55</t>
    </r>
  </si>
  <si>
    <r>
      <t>(</t>
    </r>
    <r>
      <rPr>
        <b/>
        <sz val="10"/>
        <rFont val="Arial"/>
        <family val="2"/>
      </rPr>
      <t>Note.</t>
    </r>
    <r>
      <rPr>
        <sz val="10"/>
        <rFont val="Arial"/>
        <family val="2"/>
      </rPr>
      <t xml:space="preserve"> You don’t</t>
    </r>
  </si>
  <si>
    <t>MFJ/QW</t>
  </si>
  <si>
    <t>Tax &gt;&gt;</t>
  </si>
  <si>
    <t>AV220</t>
  </si>
  <si>
    <t>AW220</t>
  </si>
  <si>
    <t>AX220</t>
  </si>
  <si>
    <t>AY220</t>
  </si>
  <si>
    <t>AV211</t>
  </si>
  <si>
    <t>AW211</t>
  </si>
  <si>
    <t>AX211</t>
  </si>
  <si>
    <t>AY211</t>
  </si>
  <si>
    <r>
      <rPr>
        <b/>
        <sz val="11"/>
        <rFont val="Arial"/>
        <family val="2"/>
      </rPr>
      <t>Note.</t>
    </r>
    <r>
      <rPr>
        <sz val="11"/>
        <rFont val="Arial"/>
        <family val="2"/>
      </rPr>
      <t xml:space="preserve"> If you plan to file a joint income tax return, include your spouse's amounts, if any, on lines A, C, and D</t>
    </r>
  </si>
  <si>
    <t>Get More Information 
From the IRS</t>
  </si>
  <si>
    <t>Qualified Dividends and</t>
  </si>
  <si>
    <t>Capital Gain Tax Worksheet</t>
  </si>
  <si>
    <t>30.c or 30.d</t>
  </si>
  <si>
    <t>Deduction (30.e)</t>
  </si>
  <si>
    <t>Section 199A dividends</t>
  </si>
  <si>
    <t>the right of the word "benefits" on line 5a.  If you don't, you may get a math error notice from the IRS.</t>
  </si>
  <si>
    <t>Combine the amounts from Form 1040, lines 1, 2b, 3b, 4b, Schedule 1, line 22</t>
  </si>
  <si>
    <t>Enter the total of the amounts from Schedule 1, lines 23 through 32, plus any write-in</t>
  </si>
  <si>
    <r>
      <t xml:space="preserve">No.               </t>
    </r>
    <r>
      <rPr>
        <sz val="10"/>
        <rFont val="Arial"/>
        <family val="2"/>
      </rPr>
      <t>None of your social security benefits are taxable. Enter -0- on Form 1040, line 5b.</t>
    </r>
  </si>
  <si>
    <t>Also, enter this amount on Form 1040, line 5b.</t>
  </si>
  <si>
    <t>Add lines 14 and 15</t>
  </si>
  <si>
    <t>Enter one-half of line 12</t>
  </si>
  <si>
    <r>
      <t xml:space="preserve">Enter the </t>
    </r>
    <r>
      <rPr>
        <b/>
        <sz val="10"/>
        <rFont val="Arial"/>
        <family val="2"/>
      </rPr>
      <t>smaller</t>
    </r>
    <r>
      <rPr>
        <sz val="10"/>
        <rFont val="Arial"/>
        <family val="2"/>
      </rPr>
      <t xml:space="preserve"> of line 2 or line 13</t>
    </r>
  </si>
  <si>
    <t>.   .   .   .   .   .   .   .   .   .   .   .   .   .   .   .   .</t>
  </si>
  <si>
    <r>
      <t xml:space="preserve">Yes. </t>
    </r>
    <r>
      <rPr>
        <sz val="10"/>
        <rFont val="Arial"/>
        <family val="2"/>
      </rPr>
      <t xml:space="preserve"> Subtract line 8 from line 7</t>
    </r>
    <r>
      <rPr>
        <b/>
        <sz val="10"/>
        <rFont val="Arial"/>
        <family val="2"/>
      </rPr>
      <t xml:space="preserve">.   .   .   .   .   .   .   .   .   .   .   </t>
    </r>
  </si>
  <si>
    <t xml:space="preserve">Check if: </t>
  </si>
  <si>
    <r>
      <rPr>
        <b/>
        <sz val="10"/>
        <rFont val="Arial"/>
        <family val="2"/>
      </rPr>
      <t>Spouse</t>
    </r>
    <r>
      <rPr>
        <sz val="10"/>
        <rFont val="Arial"/>
        <family val="2"/>
      </rPr>
      <t xml:space="preserve"> was born before</t>
    </r>
  </si>
  <si>
    <r>
      <rPr>
        <b/>
        <sz val="10"/>
        <rFont val="Arial"/>
        <family val="2"/>
      </rPr>
      <t>You</t>
    </r>
    <r>
      <rPr>
        <sz val="10"/>
        <rFont val="Arial"/>
        <family val="2"/>
      </rPr>
      <t xml:space="preserve">  were  born   before</t>
    </r>
  </si>
  <si>
    <t>You  are blind</t>
  </si>
  <si>
    <t>Spouse is blind</t>
  </si>
  <si>
    <r>
      <rPr>
        <sz val="10"/>
        <rFont val="Arial"/>
        <family val="2"/>
      </rPr>
      <t xml:space="preserve">checked  </t>
    </r>
    <r>
      <rPr>
        <b/>
        <sz val="10"/>
        <rFont val="Arial"/>
        <family val="2"/>
      </rPr>
      <t xml:space="preserve">.   .   .   .   .   .   .   .   .   .   .   .   .   .  </t>
    </r>
  </si>
  <si>
    <t>Total number of boxes</t>
  </si>
  <si>
    <r>
      <rPr>
        <b/>
        <sz val="10"/>
        <rFont val="Arial"/>
        <family val="2"/>
      </rPr>
      <t>stop here</t>
    </r>
    <r>
      <rPr>
        <sz val="10"/>
        <rFont val="Arial"/>
        <family val="2"/>
      </rPr>
      <t xml:space="preserve"> and enter</t>
    </r>
  </si>
  <si>
    <t>this amount on Form 1040, line 8. Otherwise, go to line 4b</t>
  </si>
  <si>
    <t>Add lines 4a and 4b. Enter the total here and on Form 1040, line 8</t>
  </si>
  <si>
    <t xml:space="preserve">   1040, lines 1, and Schedule 1, lines 12, and 18, minus the amount, if any, on Schedule 1, line 27.</t>
  </si>
  <si>
    <t>Trade or business name</t>
  </si>
  <si>
    <t>Are not a patron in a specified agricultural or horticultural cooperative.</t>
  </si>
  <si>
    <r>
      <t xml:space="preserve">Before you begin: </t>
    </r>
    <r>
      <rPr>
        <sz val="10"/>
        <rFont val="Arial"/>
        <family val="2"/>
      </rPr>
      <t xml:space="preserve"> This worksheet is for taxpayers who:</t>
    </r>
  </si>
  <si>
    <t>Employer</t>
  </si>
  <si>
    <t>identification number</t>
  </si>
  <si>
    <t>or (loss)</t>
  </si>
  <si>
    <t>Qualified business income</t>
  </si>
  <si>
    <r>
      <rPr>
        <b/>
        <i/>
        <sz val="10"/>
        <rFont val="Arial"/>
        <family val="2"/>
      </rPr>
      <t>Note.</t>
    </r>
    <r>
      <rPr>
        <i/>
        <sz val="10"/>
        <rFont val="Arial"/>
        <family val="2"/>
      </rPr>
      <t xml:space="preserve"> If reporting qualified business income or (loss) from more than four</t>
    </r>
  </si>
  <si>
    <t>trades or businesses, see the instructions for line 2 of this worksheet.</t>
  </si>
  <si>
    <t>Total qualified business income. Combine lines 2 and 3. If zero or less, enter -0-</t>
  </si>
  <si>
    <t>Qualified REIT dividends and PTP income or (loss)</t>
  </si>
  <si>
    <t>Total qualified REIT and PTP income. Add lines 6 and 7. If zero or less, enter -0-</t>
  </si>
  <si>
    <t>Qualified business income deduction before the income limitation. Add lines 5 and 9</t>
  </si>
  <si>
    <t>Income limitation. Multiply line 13 by 20% (0.20)</t>
  </si>
  <si>
    <t>Total qualified REIT income and PTP loss carryforward. Add lines 6 and 7. If more than zero,</t>
  </si>
  <si>
    <t xml:space="preserve">Qualified business loss carryforward from the prior year. </t>
  </si>
  <si>
    <t>Qualified REIT and PTP loss carryforward from the prior year.</t>
  </si>
  <si>
    <t>Total qualified business loss carryforward.  Add lines 2 and 3.</t>
  </si>
  <si>
    <t>If more than zero, enter -0-.</t>
  </si>
  <si>
    <t>Foreign Earned Income Tax Worksheet — Line 11a</t>
  </si>
  <si>
    <t>Qualified Dividends and Capital Gain Tax Worksheet—Line 11a</t>
  </si>
  <si>
    <t>See the earlier instructions for line 11a to see if you can use this worksheet to figure your tax.</t>
  </si>
  <si>
    <t>Before completing this worksheet, complete Form 1040 through line 10.</t>
  </si>
  <si>
    <t>you checked the box on line 13 of Schedule 1.</t>
  </si>
  <si>
    <r>
      <t>Enter the amount from Form 1040, line 3a*</t>
    </r>
    <r>
      <rPr>
        <b/>
        <sz val="9"/>
        <rFont val="Arial"/>
        <family val="2"/>
      </rPr>
      <t xml:space="preserve"> .    .    .    .    .    .    .</t>
    </r>
  </si>
  <si>
    <t>Enter the amount from Schedule 1, line 13</t>
  </si>
  <si>
    <t>If Form 1040, line 10, is zero, do not complete this worksheet.</t>
  </si>
  <si>
    <t>FEITW, Line 3</t>
  </si>
  <si>
    <r>
      <rPr>
        <b/>
        <sz val="10"/>
        <rFont val="Arial"/>
        <family val="2"/>
      </rPr>
      <t>Figure the tax on the amount on line 3.</t>
    </r>
    <r>
      <rPr>
        <sz val="10"/>
        <rFont val="Arial"/>
        <family val="2"/>
      </rPr>
      <t xml:space="preserve"> Use the Tax Table, Tax Computation Worksheet,</t>
    </r>
  </si>
  <si>
    <r>
      <rPr>
        <b/>
        <sz val="10"/>
        <rFont val="Arial"/>
        <family val="2"/>
      </rPr>
      <t>Figure the tax on the amount on line 2c.</t>
    </r>
    <r>
      <rPr>
        <sz val="10"/>
        <rFont val="Arial"/>
        <family val="2"/>
      </rPr>
      <t xml:space="preserve"> If the amount on line 2c is less than $100,000, use the</t>
    </r>
  </si>
  <si>
    <t xml:space="preserve">.   .   .   .   .   .   .   .   .   .   .   .   .   .   .   .   .   .   .   .   .   .  </t>
  </si>
  <si>
    <r>
      <rPr>
        <b/>
        <sz val="10"/>
        <rFont val="Arial"/>
        <family val="2"/>
      </rPr>
      <t>Form 5695</t>
    </r>
    <r>
      <rPr>
        <sz val="10"/>
        <rFont val="Arial"/>
        <family val="2"/>
      </rPr>
      <t>, line 30*</t>
    </r>
  </si>
  <si>
    <r>
      <rPr>
        <b/>
        <sz val="10"/>
        <rFont val="Arial"/>
        <family val="2"/>
      </rPr>
      <t>Form 8910,</t>
    </r>
    <r>
      <rPr>
        <sz val="10"/>
        <rFont val="Arial"/>
        <family val="2"/>
      </rPr>
      <t xml:space="preserve"> line 15</t>
    </r>
  </si>
  <si>
    <t>Form 1040, line 12a.</t>
  </si>
  <si>
    <t>First, complete your Form 1040 through line 17a (also</t>
  </si>
  <si>
    <t>complete Schedule 5, line 72).</t>
  </si>
  <si>
    <t>Then, use Schedule 8812 to figure any additional child tax</t>
  </si>
  <si>
    <t>credit.</t>
  </si>
  <si>
    <t>Number of qualifying children under age 17 with the required social</t>
  </si>
  <si>
    <t>security number:</t>
  </si>
  <si>
    <t>Number of other dependents, including qualifying children without the</t>
  </si>
  <si>
    <t>required security number:</t>
  </si>
  <si>
    <t>Number of qualifying children.</t>
  </si>
  <si>
    <t>Number of other dependents.</t>
  </si>
  <si>
    <t>Add lines 1 and 2.</t>
  </si>
  <si>
    <t>Add lines 4 and 5. Enter the total.</t>
  </si>
  <si>
    <t>Is the amount on line 6 more than the amount on line 7?</t>
  </si>
  <si>
    <t>Subtract line 7 from line 6.</t>
  </si>
  <si>
    <t>Is the amount on line 3 more than the amount on line 9?</t>
  </si>
  <si>
    <t>Enter the amount from Form 1040, line 11.</t>
  </si>
  <si>
    <t>line 7;</t>
  </si>
  <si>
    <t xml:space="preserve">Enter the AGI for your dependents from Form 1040, </t>
  </si>
  <si>
    <t>For each dependent filing Form 1040:</t>
  </si>
  <si>
    <t>Archer MSA deduction (MSA)</t>
  </si>
  <si>
    <t>Rental of personal property (PPR)</t>
  </si>
  <si>
    <t>Nontaxable amount of Olympic &amp;</t>
  </si>
  <si>
    <t>Paralympic medals &amp; prize money (USOC)</t>
  </si>
  <si>
    <t xml:space="preserve">Reforestation amoritization &amp; </t>
  </si>
  <si>
    <t>expenses (RFST)</t>
  </si>
  <si>
    <t xml:space="preserve">Repayment  of supplemental </t>
  </si>
  <si>
    <t xml:space="preserve">unemployment benefits under Trade Act </t>
  </si>
  <si>
    <t>of 1974 (Sub-Pay TRA)</t>
  </si>
  <si>
    <t>Contributions to 501(c)(18)(D) pension</t>
  </si>
  <si>
    <t>plans (501(c)(18)(D))</t>
  </si>
  <si>
    <t>Contributions by certain chaplains to</t>
  </si>
  <si>
    <t>section 403(b) plans (403(b))</t>
  </si>
  <si>
    <t>Attorney fees and court costs for actions</t>
  </si>
  <si>
    <t>involving unlawful discrimination (UDC)</t>
  </si>
  <si>
    <t xml:space="preserve">Attorney fees and court costs you paid </t>
  </si>
  <si>
    <t>in connection with an award from IRS</t>
  </si>
  <si>
    <t>for information you provided (WBF)</t>
  </si>
  <si>
    <t>Fiscal-year pass-through entities that have</t>
  </si>
  <si>
    <t xml:space="preserve">a domestic production activities </t>
  </si>
  <si>
    <t>deduction generated in a tax year beginning</t>
  </si>
  <si>
    <t>MSA</t>
  </si>
  <si>
    <t>PPR</t>
  </si>
  <si>
    <t>RFST</t>
  </si>
  <si>
    <t>501(c)(18)(D)</t>
  </si>
  <si>
    <t>403(b)</t>
  </si>
  <si>
    <t>UDC</t>
  </si>
  <si>
    <t>WBF</t>
  </si>
  <si>
    <t>DPAD</t>
  </si>
  <si>
    <t>Jury Pay</t>
  </si>
  <si>
    <t>Sub-Pay TRA</t>
  </si>
  <si>
    <r>
      <rPr>
        <sz val="10"/>
        <rFont val="Arial"/>
        <family val="2"/>
      </rPr>
      <t>↑</t>
    </r>
    <r>
      <rPr>
        <u/>
        <sz val="10"/>
        <rFont val="Arial"/>
        <family val="2"/>
      </rPr>
      <t xml:space="preserve">  Line 36 "Dotted Line"  </t>
    </r>
    <r>
      <rPr>
        <sz val="10"/>
        <rFont val="Arial"/>
        <family val="2"/>
      </rPr>
      <t>↑</t>
    </r>
  </si>
  <si>
    <t>Total for Line 36 "Dotted Line"</t>
  </si>
  <si>
    <t>USOC</t>
  </si>
  <si>
    <t>or 1b, then in the column for the IRA of the person who was not covered by a</t>
  </si>
  <si>
    <t>reported on Schedule 1, line 11</t>
  </si>
  <si>
    <t>are explained earlier in these instructions for line 32.</t>
  </si>
  <si>
    <t>income-producing factor, minus any deductions on Schedule 1,</t>
  </si>
  <si>
    <t xml:space="preserve">lines 27 and 28. </t>
  </si>
  <si>
    <t>If zero or less, enter -0-.</t>
  </si>
  <si>
    <t>Enter traditional IRA contributions made, or that will be made by the due date</t>
  </si>
  <si>
    <t>Taxable_Inc</t>
  </si>
  <si>
    <t xml:space="preserve"> .   .   .   .   .   .   .   .   .   .   .   .   .</t>
  </si>
  <si>
    <t>a smaller amount and treat the rest as a nondeductible contribution (see Form 8606)</t>
  </si>
  <si>
    <t>and 12b and enter the total on Schedule 1, line 32. Or, if you want, you can deduct</t>
  </si>
  <si>
    <t>Amount entered on Schedule 1, line 32 --&gt;</t>
  </si>
  <si>
    <r>
      <t xml:space="preserve">Attachment
Sequence  </t>
    </r>
    <r>
      <rPr>
        <b/>
        <sz val="12"/>
        <rFont val="Arial"/>
        <family val="2"/>
      </rPr>
      <t>01</t>
    </r>
  </si>
  <si>
    <r>
      <t xml:space="preserve">Attachment
Sequence  </t>
    </r>
    <r>
      <rPr>
        <b/>
        <sz val="12"/>
        <rFont val="Arial"/>
        <family val="2"/>
      </rPr>
      <t>02</t>
    </r>
  </si>
  <si>
    <r>
      <t xml:space="preserve">Attachment
Sequence  </t>
    </r>
    <r>
      <rPr>
        <b/>
        <sz val="12"/>
        <rFont val="Arial"/>
        <family val="2"/>
      </rPr>
      <t>03</t>
    </r>
  </si>
  <si>
    <r>
      <t xml:space="preserve">Attachment
Sequence  </t>
    </r>
    <r>
      <rPr>
        <b/>
        <sz val="12"/>
        <rFont val="Arial"/>
        <family val="2"/>
      </rPr>
      <t>04</t>
    </r>
  </si>
  <si>
    <r>
      <t xml:space="preserve">Attachment
Sequence  </t>
    </r>
    <r>
      <rPr>
        <b/>
        <sz val="12"/>
        <rFont val="Arial"/>
        <family val="2"/>
      </rPr>
      <t>05</t>
    </r>
  </si>
  <si>
    <r>
      <t xml:space="preserve">Attachment
Sequence  </t>
    </r>
    <r>
      <rPr>
        <b/>
        <sz val="12"/>
        <rFont val="Arial"/>
        <family val="2"/>
      </rPr>
      <t>05A</t>
    </r>
  </si>
  <si>
    <r>
      <t xml:space="preserve">Sequence No. </t>
    </r>
    <r>
      <rPr>
        <b/>
        <sz val="12"/>
        <rFont val="Arial"/>
        <family val="2"/>
      </rPr>
      <t>21</t>
    </r>
  </si>
  <si>
    <t>You cannot claim a credit for  child and dependent care expenses if your filing status is  married filing separately  unless you meet the</t>
  </si>
  <si>
    <r>
      <rPr>
        <b/>
        <sz val="11"/>
        <rFont val="Arial"/>
        <family val="2"/>
      </rPr>
      <t xml:space="preserve"> 1</t>
    </r>
    <r>
      <rPr>
        <b/>
        <sz val="8"/>
        <rFont val="Arial"/>
        <family val="2"/>
      </rPr>
      <t xml:space="preserve">         (a)</t>
    </r>
  </si>
  <si>
    <t>requirements listed in the instructions under  "Married Persons Filing Separately."</t>
  </si>
  <si>
    <r>
      <t xml:space="preserve"> </t>
    </r>
    <r>
      <rPr>
        <b/>
        <sz val="10"/>
        <rFont val="Arial"/>
        <family val="2"/>
      </rPr>
      <t>No.</t>
    </r>
    <r>
      <rPr>
        <sz val="10"/>
        <rFont val="Arial"/>
        <family val="2"/>
      </rPr>
      <t xml:space="preserve">   I don't meet these requirements and, therefore, I can't take the credit.</t>
    </r>
  </si>
  <si>
    <t>meet the requirements</t>
  </si>
  <si>
    <t>to be considered</t>
  </si>
  <si>
    <t>unmarried' for the</t>
  </si>
  <si>
    <t>Check 'Yes' or 'No'</t>
  </si>
  <si>
    <t>box to the right</t>
  </si>
  <si>
    <t xml:space="preserve"> If the care was provided in your home, you may owe employment taxes. For details, see the instructions for Schedule 4</t>
  </si>
  <si>
    <t>(Form 1040), line 60a; or Form 1040NR, line 59a.</t>
  </si>
  <si>
    <t>If married filing jointly,  enter your spouse’s earned income  (if you or your spouse was a</t>
  </si>
  <si>
    <t>Enter the amount from Form 1040, line 7; or Form 1040NR, line 36</t>
  </si>
  <si>
    <r>
      <t>Credit for child and dependent care expenses.</t>
    </r>
    <r>
      <rPr>
        <sz val="10"/>
        <rFont val="Arial"/>
        <family val="2"/>
      </rPr>
      <t xml:space="preserve">    Enter the </t>
    </r>
    <r>
      <rPr>
        <b/>
        <sz val="10"/>
        <rFont val="Arial"/>
        <family val="2"/>
      </rPr>
      <t>smaller</t>
    </r>
    <r>
      <rPr>
        <sz val="10"/>
        <rFont val="Arial"/>
        <family val="2"/>
      </rPr>
      <t xml:space="preserve"> of line 9 or line 10</t>
    </r>
  </si>
  <si>
    <t>here and on Schedule 3 (Form 1040), line 49; or Form 1040NR, line 47</t>
  </si>
  <si>
    <t>amounts reported as wages in box 1 of Form(s) W-2.   If you were self-employed or a</t>
  </si>
  <si>
    <t>partner, include amounts you received under a dependent care assistance program from</t>
  </si>
  <si>
    <t>your sole proprietorship or partnership</t>
  </si>
  <si>
    <t>period. See instructions</t>
  </si>
  <si>
    <t xml:space="preserve">     instructions.</t>
  </si>
  <si>
    <r>
      <t>Otherwise, subtract line 24 from the smaller of line 20 or line 21.   If zero or less, enter -0-.</t>
    </r>
    <r>
      <rPr>
        <b/>
        <sz val="10"/>
        <rFont val="Arial"/>
        <family val="2"/>
      </rPr>
      <t/>
    </r>
  </si>
  <si>
    <t>amount on Form 1040, line 1; or Form 1040NR, line 8. On the dotted line next to Form</t>
  </si>
  <si>
    <t>1040, line 1; or Form 1040NR, line 8, enter “DCB”</t>
  </si>
  <si>
    <t>credit, complete lines 27 through 31 below.</t>
  </si>
  <si>
    <r>
      <rPr>
        <b/>
        <sz val="8"/>
        <rFont val="Arial"/>
        <family val="2"/>
      </rPr>
      <t>(b)</t>
    </r>
    <r>
      <rPr>
        <sz val="8"/>
        <rFont val="Arial"/>
        <family val="2"/>
      </rPr>
      <t xml:space="preserve"> Qualifying person's social</t>
    </r>
  </si>
  <si>
    <t>Both</t>
  </si>
  <si>
    <r>
      <rPr>
        <b/>
        <sz val="10"/>
        <rFont val="Arial"/>
        <family val="2"/>
      </rPr>
      <t>Sch. SE</t>
    </r>
    <r>
      <rPr>
        <sz val="10"/>
        <rFont val="Arial"/>
        <family val="2"/>
      </rPr>
      <t>, Line 8a</t>
    </r>
  </si>
  <si>
    <t>SS Tax Rate:</t>
  </si>
  <si>
    <t>Maximum SS Tax Earnings:</t>
  </si>
  <si>
    <t>Max. SS Tax:</t>
  </si>
  <si>
    <t>Employer count (You)</t>
  </si>
  <si>
    <t>Employer count (Spouse)</t>
  </si>
  <si>
    <t>Amount of line 19 you want refunded to you.  If Form 8888 is attached, check here</t>
  </si>
  <si>
    <r>
      <rPr>
        <b/>
        <sz val="10"/>
        <rFont val="Arial"/>
        <family val="2"/>
      </rPr>
      <t>Line 12a</t>
    </r>
    <r>
      <rPr>
        <sz val="10"/>
        <rFont val="Arial"/>
        <family val="2"/>
      </rPr>
      <t xml:space="preserve">, Child Tax Credit Worksheet, Line 11 Worksheet, Line 6; </t>
    </r>
    <r>
      <rPr>
        <b/>
        <sz val="10"/>
        <rFont val="Arial"/>
        <family val="2"/>
      </rPr>
      <t>Form 8812</t>
    </r>
    <r>
      <rPr>
        <sz val="10"/>
        <rFont val="Arial"/>
        <family val="2"/>
      </rPr>
      <t xml:space="preserve">, Line 9 Worksheet, Line 1; </t>
    </r>
    <r>
      <rPr>
        <b/>
        <sz val="10"/>
        <rFont val="Arial"/>
        <family val="2"/>
      </rPr>
      <t>Form 8959</t>
    </r>
    <r>
      <rPr>
        <sz val="10"/>
        <rFont val="Arial"/>
        <family val="2"/>
      </rPr>
      <t>, Additional Medicare Tax, Line 19</t>
    </r>
  </si>
  <si>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</si>
  <si>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</si>
  <si>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5</t>
    </r>
    <r>
      <rPr>
        <sz val="10"/>
        <rFont val="Arial"/>
        <family val="2"/>
      </rPr>
      <t xml:space="preserve"> (Form 1040), Line 72</t>
    </r>
  </si>
  <si>
    <r>
      <rPr>
        <b/>
        <sz val="10"/>
        <rFont val="Arial"/>
        <family val="2"/>
      </rPr>
      <t>Sch. A</t>
    </r>
    <r>
      <rPr>
        <sz val="10"/>
        <rFont val="Arial"/>
        <family val="2"/>
      </rPr>
      <t>, Line 5</t>
    </r>
  </si>
  <si>
    <r>
      <rPr>
        <b/>
        <sz val="10"/>
        <rFont val="Arial"/>
        <family val="2"/>
      </rPr>
      <t>Form 1040</t>
    </r>
    <r>
      <rPr>
        <sz val="10"/>
        <rFont val="Arial"/>
        <family val="2"/>
      </rPr>
      <t>, Line 1.</t>
    </r>
  </si>
  <si>
    <r>
      <rPr>
        <b/>
        <sz val="10"/>
        <rFont val="Arial"/>
        <family val="2"/>
      </rPr>
      <t>Form 1040</t>
    </r>
    <r>
      <rPr>
        <sz val="10"/>
        <rFont val="Arial"/>
        <family val="2"/>
      </rPr>
      <t>, Line 16.</t>
    </r>
  </si>
  <si>
    <r>
      <rPr>
        <b/>
        <sz val="10"/>
        <rFont val="Arial"/>
        <family val="2"/>
      </rPr>
      <t>Form 8959, Who Must File, Criterion 3; Form 8959,</t>
    </r>
    <r>
      <rPr>
        <sz val="10"/>
        <rFont val="Arial"/>
        <family val="2"/>
      </rPr>
      <t xml:space="preserve"> Additional Medicare Tax, Line 1</t>
    </r>
  </si>
  <si>
    <r>
      <rPr>
        <b/>
        <sz val="10"/>
        <rFont val="Arial"/>
        <family val="2"/>
      </rPr>
      <t>Form 2441</t>
    </r>
    <r>
      <rPr>
        <sz val="10"/>
        <rFont val="Arial"/>
        <family val="2"/>
      </rPr>
      <t>, Part III, Line 12</t>
    </r>
  </si>
  <si>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line 1</t>
    </r>
    <r>
      <rPr>
        <sz val="10"/>
        <rFont val="Arial"/>
        <family val="2"/>
      </rPr>
      <t>.</t>
    </r>
  </si>
  <si>
    <t>Tax family size. Enter your tax family size (see instructions).</t>
  </si>
  <si>
    <t>Net Premium Tax Credit: If line 24 is greater than line 25, subtract line 25 from line 24. Enter the difference here and</t>
  </si>
  <si>
    <t>on Schedule 5 (Form 1040), line 70, or Form 1040NR, line 65. If line 24 equals line 25, enter zero.</t>
  </si>
  <si>
    <t>Stop here.</t>
  </si>
  <si>
    <t>line 7; or Form 1040NR, line 36</t>
  </si>
  <si>
    <t>Enter any tax-exempt interest from Form 1040, line 2a,</t>
  </si>
  <si>
    <t>or Form 1040NR, line 9b;</t>
  </si>
  <si>
    <t>from Form 1040, line 2a, and Form 1040NR, line 9b.</t>
  </si>
  <si>
    <t>If line 5a is more than Form 1040, line 5b,</t>
  </si>
  <si>
    <t>subtract line 5b from line 5a and enter the result.</t>
  </si>
  <si>
    <t>Enter total amount of premiums for qualified long-term insurance contracts</t>
  </si>
  <si>
    <t>Enter limit on long-term contract premiums (see instructions)</t>
  </si>
  <si>
    <t>Add lines 4 and 5.  Include this amount on Schedule A, line 1.</t>
  </si>
  <si>
    <t>Medical and Dental Expenses Worksheet -- Line 1</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</si>
  <si>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t>
    </r>
  </si>
  <si>
    <t>Worksheets for</t>
  </si>
  <si>
    <t>Lines 1, 5 and 14 are</t>
  </si>
  <si>
    <t xml:space="preserve">available at the right. </t>
  </si>
  <si>
    <r>
      <t xml:space="preserve">o   You can deduct the part of your </t>
    </r>
    <r>
      <rPr>
        <b/>
        <sz val="8"/>
        <rFont val="Arial"/>
        <family val="2"/>
      </rPr>
      <t>medical and dental expenses</t>
    </r>
    <r>
      <rPr>
        <sz val="8"/>
        <rFont val="Arial"/>
        <family val="2"/>
      </rPr>
      <t xml:space="preserve"> that exceed </t>
    </r>
  </si>
  <si>
    <r>
      <t xml:space="preserve">o   The amount you can deduct for qualified </t>
    </r>
    <r>
      <rPr>
        <b/>
        <sz val="8"/>
        <rFont val="Arial"/>
        <family val="2"/>
      </rPr>
      <t>long-term care insurance</t>
    </r>
    <r>
      <rPr>
        <sz val="8"/>
        <rFont val="Arial"/>
        <family val="2"/>
      </rPr>
      <t xml:space="preserve"> contracts (as defined in Pub. 502) depends on the age, at the</t>
    </r>
  </si>
  <si>
    <t xml:space="preserve"> of the person for whom the premiums were paid.</t>
  </si>
  <si>
    <t>Note:  This worksheet was NOT provided by the IRS.</t>
  </si>
  <si>
    <t>Maine</t>
  </si>
  <si>
    <t>Mass.</t>
  </si>
  <si>
    <t>D.C.</t>
  </si>
  <si>
    <t>Emancipation Day (D.C.)</t>
  </si>
  <si>
    <t>For 'Patriots' Day or</t>
  </si>
  <si>
    <t>Spouse cannot be claimed.</t>
  </si>
  <si>
    <r>
      <t>h</t>
    </r>
    <r>
      <rPr>
        <sz val="10"/>
        <rFont val="Arial"/>
        <family val="2"/>
      </rPr>
      <t xml:space="preserve">  You reported qualified dividends on Form 1040, line 3a.</t>
    </r>
  </si>
  <si>
    <r>
      <t>h</t>
    </r>
    <r>
      <rPr>
        <sz val="10"/>
        <rFont val="Arial"/>
        <family val="2"/>
      </rPr>
      <t xml:space="preserve">  You don't have to file Schedule D and you reported capital gain distributions on Schedule 1, line 13.</t>
    </r>
  </si>
  <si>
    <t>If you are filing Form 2555 or 2555-EZ, you must use the Foreign Earned Income Tax Worksheet instead.</t>
  </si>
  <si>
    <t>Line 1</t>
  </si>
  <si>
    <t>Line 7</t>
  </si>
  <si>
    <t>Line 26</t>
  </si>
  <si>
    <t>Line 24</t>
  </si>
  <si>
    <r>
      <t>Tax on all taxable income.</t>
    </r>
    <r>
      <rPr>
        <sz val="9"/>
        <rFont val="Arial"/>
        <family val="2"/>
      </rPr>
      <t xml:space="preserve">  Enter the </t>
    </r>
    <r>
      <rPr>
        <b/>
        <sz val="9"/>
        <rFont val="Arial"/>
        <family val="2"/>
      </rPr>
      <t>smaller</t>
    </r>
    <r>
      <rPr>
        <sz val="9"/>
        <rFont val="Arial"/>
        <family val="2"/>
      </rPr>
      <t xml:space="preserve"> of line 25 or line 26.   Also include this amount on the</t>
    </r>
  </si>
  <si>
    <t>entry space for Form 1040, line 11a.  If you are filing Form 2555 or 2555-EZ, do not enter this</t>
  </si>
  <si>
    <t>Earned Income Tax Worksheet</t>
  </si>
  <si>
    <t>amount on the entry space on Form 1040, line 11a. Instead, enter it on line 4 of the Foreign</t>
  </si>
  <si>
    <t>8615, whichever applies. See the instructions for line 11a to see which tax computation method</t>
  </si>
  <si>
    <t>Form 1040, line 11a</t>
  </si>
  <si>
    <t xml:space="preserve">.    .    .    .    .    .    .    .    .    .    .    .    .    .    .    .    .    .    .    .    .    .    .    .    .    .    .    .    .    .    . </t>
  </si>
  <si>
    <t xml:space="preserve">.    .    .    .    .    .    .    .    .    .    .    .    .    .    .    .    .    .    .    .    .    .    .    .    .    .    .    .    . </t>
  </si>
  <si>
    <t xml:space="preserve">.    .    .    .    .    .    .    .    .    .    .    .    .    .    .    .    .    .    . </t>
  </si>
  <si>
    <t xml:space="preserve">.    .    .    .    .    .    .    .    .    .    .    .    .    .    .    .    .    .    .    .    .    .    .    .    .    .    .    .    .    .    .    .    .    .    .    .    . </t>
  </si>
  <si>
    <t>Line 3a = 0</t>
  </si>
  <si>
    <t>Line 10 &lt;= 0</t>
  </si>
  <si>
    <t>Form 1040, line 10 (Taxable Income), is zero or less.</t>
  </si>
  <si>
    <t>Taxable income.  Subtract lines 8 and 9 from line 7.</t>
  </si>
  <si>
    <t>Your standard deduction:</t>
  </si>
  <si>
    <t>Spouse standard deduction:</t>
  </si>
  <si>
    <t>Enter the amount from Form 4952
(used to figure investment interest</t>
  </si>
  <si>
    <r>
      <t xml:space="preserve">expense deduction), line 4g  </t>
    </r>
    <r>
      <rPr>
        <b/>
        <sz val="10"/>
        <rFont val="Arial"/>
        <family val="2"/>
      </rPr>
      <t xml:space="preserve"> .   .   .   .   .   .   .   .   .   .</t>
    </r>
  </si>
  <si>
    <r>
      <t xml:space="preserve">Figure the tax on the amount on </t>
    </r>
    <r>
      <rPr>
        <b/>
        <sz val="10"/>
        <rFont val="Arial"/>
        <family val="2"/>
      </rPr>
      <t>line 1</t>
    </r>
    <r>
      <rPr>
        <sz val="10"/>
        <rFont val="Arial"/>
        <family val="2"/>
      </rPr>
      <t>. If the amount on line 1 is less than $100,000, use the Tax Table to figure the tax.</t>
    </r>
  </si>
  <si>
    <t>To report 1099-MISC income on Schedule 1 (Form 1040), Line 21, use the override cell for</t>
  </si>
  <si>
    <t>Schedule 1 (Form 1040), Line 21 (Cell AJ22)</t>
  </si>
  <si>
    <t>Sch. D WS</t>
  </si>
  <si>
    <t>Simplified Method Worksheet—Lines 4a and 4b</t>
  </si>
  <si>
    <t>Enter the total of the taxable parts on Form 1040, line 4b.</t>
  </si>
  <si>
    <r>
      <t xml:space="preserve">annuity starting date was </t>
    </r>
    <r>
      <rPr>
        <b/>
        <sz val="9"/>
        <rFont val="Arial"/>
        <family val="2"/>
      </rPr>
      <t>before</t>
    </r>
    <r>
      <rPr>
        <sz val="9"/>
        <rFont val="Arial"/>
        <family val="2"/>
      </rPr>
      <t xml:space="preserve"> 1987, skip lines 6 and 7 and enter this amount on line 8.</t>
    </r>
  </si>
  <si>
    <r>
      <t xml:space="preserve">number from </t>
    </r>
    <r>
      <rPr>
        <b/>
        <sz val="9"/>
        <rFont val="Arial"/>
        <family val="2"/>
      </rPr>
      <t>Table 2</t>
    </r>
    <r>
      <rPr>
        <sz val="9"/>
        <rFont val="Arial"/>
        <family val="2"/>
      </rPr>
      <t xml:space="preserve"> below</t>
    </r>
  </si>
  <si>
    <r>
      <t xml:space="preserve">1997 </t>
    </r>
    <r>
      <rPr>
        <b/>
        <sz val="9"/>
        <rFont val="Arial"/>
        <family val="2"/>
      </rPr>
      <t>and</t>
    </r>
    <r>
      <rPr>
        <sz val="9"/>
        <rFont val="Arial"/>
        <family val="2"/>
      </rPr>
      <t xml:space="preserve"> the payments are for your life and that of your beneficiary, enter the appropriate</t>
    </r>
  </si>
  <si>
    <t xml:space="preserve"> .   .   .   .   .   .   .   .   .   .   .   .   .   .   .   .   .   .   .</t>
  </si>
  <si>
    <t>.   .   .   .   .   .   .   .   .   .   .   .   .   .   .   .   .   .   .   .   .</t>
  </si>
  <si>
    <t>.   .   .   .   .   .</t>
  </si>
  <si>
    <t>If your Form 1099-R shows a taxable amount, you can report that amount on Form 1040, line 4b. But you may be able to report</t>
  </si>
  <si>
    <t>(See the instructions for Schedule 1, line 36).</t>
  </si>
  <si>
    <t>Figure any write-in adjustments to be entered on the dotted line next to Schedule 1, line 36.</t>
  </si>
  <si>
    <t>Sch. C</t>
  </si>
  <si>
    <t>Sch. E</t>
  </si>
  <si>
    <t>Sch. F</t>
  </si>
  <si>
    <t>Source:</t>
  </si>
  <si>
    <t>Sheets "8889" &amp; "2555"</t>
  </si>
  <si>
    <t>Sheet "8889"</t>
  </si>
  <si>
    <t>Sheet "1099-INT", Line 2</t>
  </si>
  <si>
    <t>(see the instructions for Schedule 1, line 36).</t>
  </si>
  <si>
    <t>Figure any write-in adjustments to be entered on the dotted line next to Schedule 1, line 36</t>
  </si>
  <si>
    <r>
      <t xml:space="preserve">Be sure you have read the </t>
    </r>
    <r>
      <rPr>
        <b/>
        <sz val="10"/>
        <rFont val="Arial"/>
        <family val="2"/>
      </rPr>
      <t>Exception</t>
    </r>
    <r>
      <rPr>
        <sz val="10"/>
        <rFont val="Arial"/>
        <family val="2"/>
      </rPr>
      <t xml:space="preserve"> in the instructions for this line to see if you can use this worksheet instead of</t>
    </r>
  </si>
  <si>
    <t>Enter the amount from Form 1040, line 6</t>
  </si>
  <si>
    <t>Enter the total of the amounts from Schedule 1, lines 23 through 32, plus any</t>
  </si>
  <si>
    <t>Worksheet To See if You Should Fill in Form 6251—Schedule 2, Line 45</t>
  </si>
  <si>
    <t>and go to Line 4.</t>
  </si>
  <si>
    <t>Skip lines 1 and 2; subtract Form 1040, line 9 from Form 1040, line 7, enter the result on line 3</t>
  </si>
  <si>
    <t>Enter the amount from Schedule A, line 7</t>
  </si>
  <si>
    <t>Enter any tax refund from Schedule 1, lines 10 and 21</t>
  </si>
  <si>
    <t>Subtract line 4 from line 3</t>
  </si>
  <si>
    <t>Is the amount on line 5 more than the amount on line 6?</t>
  </si>
  <si>
    <t>minimum tax and don’t need to fill out Form 6251. Leave Schedule 2, line 45 blank.</t>
  </si>
  <si>
    <t>Subtract line 6 from line 5</t>
  </si>
  <si>
    <t xml:space="preserve"> Is the amount on line 5 more than the amount on line 8?</t>
  </si>
  <si>
    <t>Enter -0-. Skip line 10. Enter on line 11 the amount from line 7, and go to line 12.</t>
  </si>
  <si>
    <t>Subtract line 8 from line 5</t>
  </si>
  <si>
    <t xml:space="preserve"> Add lines 7 and 10</t>
  </si>
  <si>
    <t xml:space="preserve"> Add the amount in the entry space on Form 1040, line 11a (minus any tax from Form 4972), and Schedule 2, line 46.</t>
  </si>
  <si>
    <t>(If you used Schedule J to figure your tax on the entry space on Form 1040, line 11a, refigure that tax without using</t>
  </si>
  <si>
    <t xml:space="preserve"> Schedule J before including it in this calculation)</t>
  </si>
  <si>
    <t>Next. Is the amount on line 12 more than the amount on line 13?</t>
  </si>
  <si>
    <t>You don’t owe alternative minimum tax and don’t need to fill out Form 6251. Leave Schedule 2, line 45, blank.</t>
  </si>
  <si>
    <r>
      <rPr>
        <b/>
        <sz val="10"/>
        <rFont val="Arial"/>
        <family val="2"/>
      </rPr>
      <t>Schedule X</t>
    </r>
    <r>
      <rPr>
        <sz val="10"/>
        <rFont val="Arial"/>
        <family val="2"/>
      </rPr>
      <t xml:space="preserve"> -- If your filing status is </t>
    </r>
    <r>
      <rPr>
        <b/>
        <sz val="10"/>
        <rFont val="Arial"/>
        <family val="2"/>
      </rPr>
      <t>Single</t>
    </r>
  </si>
  <si>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</si>
  <si>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rPr>
        <b/>
        <sz val="10"/>
        <rFont val="Arial"/>
        <family val="2"/>
      </rPr>
      <t>Schedule Y-2</t>
    </r>
    <r>
      <rPr>
        <sz val="10"/>
        <rFont val="Arial"/>
        <family val="2"/>
      </rPr>
      <t xml:space="preserve"> -- If your filing status is </t>
    </r>
    <r>
      <rPr>
        <b/>
        <sz val="10"/>
        <rFont val="Arial"/>
        <family val="2"/>
      </rPr>
      <t>Married filing separately</t>
    </r>
  </si>
  <si>
    <r>
      <rPr>
        <b/>
        <sz val="10"/>
        <rFont val="Arial"/>
        <family val="2"/>
      </rPr>
      <t>Schedule Z</t>
    </r>
    <r>
      <rPr>
        <sz val="10"/>
        <rFont val="Arial"/>
        <family val="2"/>
      </rPr>
      <t xml:space="preserve"> -- If your filing status is </t>
    </r>
    <r>
      <rPr>
        <b/>
        <sz val="10"/>
        <rFont val="Arial"/>
        <family val="2"/>
      </rPr>
      <t>Head of household</t>
    </r>
  </si>
  <si>
    <t>Smaller of Sch. D, L15 or 16</t>
  </si>
  <si>
    <t>Add Sch. D, L 18 &amp; 19</t>
  </si>
  <si>
    <t>28.</t>
  </si>
  <si>
    <t>29.</t>
  </si>
  <si>
    <t>30.</t>
  </si>
  <si>
    <t>31.</t>
  </si>
  <si>
    <t>Smaller of L9 or SchD L19</t>
  </si>
  <si>
    <t>Enter your qualified dividends from Form 1040, line 3a</t>
  </si>
  <si>
    <t>34.</t>
  </si>
  <si>
    <t>Form 1040, line 43</t>
  </si>
  <si>
    <t>Form 1040, line 3a</t>
  </si>
  <si>
    <t>Form 4952, line 4g</t>
  </si>
  <si>
    <t>Form 4952, line 4e</t>
  </si>
  <si>
    <t>Subtract line 4 from 3</t>
  </si>
  <si>
    <t>Subtract line 5 from 2</t>
  </si>
  <si>
    <t>Smaller of line 3 or 4</t>
  </si>
  <si>
    <t>Subtract line 8 from 7</t>
  </si>
  <si>
    <t>Smaller of line 9 or 11</t>
  </si>
  <si>
    <t>Subtract line 12 from 10</t>
  </si>
  <si>
    <t>Sch. DTW line 15</t>
  </si>
  <si>
    <t>Smaller of line 1 or 15</t>
  </si>
  <si>
    <t>Smaller of line 14 or 16</t>
  </si>
  <si>
    <t>Subtract line 10 from 1</t>
  </si>
  <si>
    <t>Larger of line 17 or 18</t>
  </si>
  <si>
    <t>Subtract line 17 from 16</t>
  </si>
  <si>
    <t>Smaller of line 1 or 13</t>
  </si>
  <si>
    <t>Amount from line 20</t>
  </si>
  <si>
    <t>Sch. DTW line 24</t>
  </si>
  <si>
    <t>Smaller of line 1 or 24</t>
  </si>
  <si>
    <t>Subtract line 26 from 25</t>
  </si>
  <si>
    <t>Smaller of line 23 or 27</t>
  </si>
  <si>
    <t>Subtract line 30 from 21</t>
  </si>
  <si>
    <t>35.</t>
  </si>
  <si>
    <t>Amount from line 1</t>
  </si>
  <si>
    <t>36.</t>
  </si>
  <si>
    <t>Subtract line 35 from 34</t>
  </si>
  <si>
    <t>37.</t>
  </si>
  <si>
    <t>Subtract line 36 from 33</t>
  </si>
  <si>
    <t>38.</t>
  </si>
  <si>
    <t>Add line 19, 20, 28, 31 &amp; 37</t>
  </si>
  <si>
    <t>Subtract line 39 from 1</t>
  </si>
  <si>
    <t>Tax on Line 19</t>
  </si>
  <si>
    <t>AA97</t>
  </si>
  <si>
    <t>Add line 29, 32, 38, 41 &amp; 42</t>
  </si>
  <si>
    <t>Tax on Line 1</t>
  </si>
  <si>
    <t>AA79</t>
  </si>
  <si>
    <r>
      <rPr>
        <b/>
        <sz val="10"/>
        <rFont val="Arial"/>
        <family val="2"/>
      </rPr>
      <t>TAX:</t>
    </r>
    <r>
      <rPr>
        <sz val="10"/>
        <rFont val="Arial"/>
        <family val="2"/>
      </rPr>
      <t xml:space="preserve"> Smaller of line 43 or 44</t>
    </r>
  </si>
  <si>
    <t>&lt;&lt; Used?</t>
  </si>
  <si>
    <t xml:space="preserve">.    .    .    .    .    .    .    .    .    .    .    .    .    .    .    .    .    .    .    .    .    .    . </t>
  </si>
  <si>
    <t>Form 1040, Line 10.</t>
  </si>
  <si>
    <t>Form 1040, Line 9b.</t>
  </si>
  <si>
    <t>Form 1040, Line 13, or smallest of Sch. D, Line 15 or 16.</t>
  </si>
  <si>
    <t>Amounts of more than $600 will NOT typically be reported on Schedule 1 (Form 1040), Line 21.</t>
  </si>
  <si>
    <t>Do you, and your spouse if filing a joint return, have a social security number issued on or before the due date</t>
  </si>
  <si>
    <t>Enter “No” on the dotted line next to Form 1040, line 17.</t>
  </si>
  <si>
    <t xml:space="preserve">Line 2a </t>
  </si>
  <si>
    <t>Line 2b   +</t>
  </si>
  <si>
    <t>Line 3b   +</t>
  </si>
  <si>
    <t>Schedule 1, Line 13*   +</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</si>
  <si>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</si>
  <si>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</si>
  <si>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</si>
  <si>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</si>
  <si>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r>
      <rPr>
        <b/>
        <sz val="10"/>
        <rFont val="Arial"/>
        <family val="2"/>
      </rPr>
      <t>No.</t>
    </r>
    <r>
      <rPr>
        <sz val="10"/>
        <rFont val="Arial"/>
        <family val="2"/>
      </rPr>
      <t xml:space="preserve"> Go to Step 2.</t>
    </r>
  </si>
  <si>
    <r>
      <rPr>
        <b/>
        <sz val="10"/>
        <rFont val="Arial"/>
        <family val="2"/>
      </rPr>
      <t>No.</t>
    </r>
    <r>
      <rPr>
        <sz val="10"/>
        <rFont val="Arial"/>
        <family val="2"/>
      </rPr>
      <t xml:space="preserve">  Continue</t>
    </r>
  </si>
  <si>
    <r>
      <rPr>
        <b/>
        <sz val="10"/>
        <rFont val="Arial"/>
        <family val="2"/>
      </rPr>
      <t>Yes.</t>
    </r>
    <r>
      <rPr>
        <sz val="10"/>
        <rFont val="Arial"/>
        <family val="2"/>
      </rPr>
      <t xml:space="preserve">  STOP  You cannot take the credit.</t>
    </r>
  </si>
  <si>
    <r>
      <rPr>
        <b/>
        <sz val="10"/>
        <rFont val="Arial"/>
        <family val="2"/>
      </rPr>
      <t>Yes.</t>
    </r>
    <r>
      <rPr>
        <sz val="10"/>
        <rFont val="Arial"/>
        <family val="2"/>
      </rPr>
      <t xml:space="preserve">  Continue.</t>
    </r>
  </si>
  <si>
    <r>
      <rPr>
        <b/>
        <sz val="10"/>
        <rFont val="Arial"/>
        <family val="2"/>
      </rPr>
      <t>No.</t>
    </r>
    <r>
      <rPr>
        <sz val="10"/>
        <rFont val="Arial"/>
        <family val="2"/>
      </rPr>
      <t xml:space="preserve">  STOP  You cannot take the credit.</t>
    </r>
  </si>
  <si>
    <r>
      <rPr>
        <b/>
        <sz val="11"/>
        <rFont val="Arial"/>
        <family val="2"/>
      </rPr>
      <t xml:space="preserve">No. </t>
    </r>
    <r>
      <rPr>
        <sz val="11"/>
        <rFont val="Arial"/>
        <family val="2"/>
      </rPr>
      <t xml:space="preserve"> STOP  You cannot take the credit.</t>
    </r>
  </si>
  <si>
    <r>
      <rPr>
        <b/>
        <sz val="10"/>
        <rFont val="Arial"/>
        <family val="2"/>
      </rPr>
      <t>Yes.</t>
    </r>
    <r>
      <rPr>
        <sz val="10"/>
        <rFont val="Arial"/>
        <family val="2"/>
      </rPr>
      <t xml:space="preserve">  Use Worksheet 1</t>
    </r>
  </si>
  <si>
    <r>
      <rPr>
        <sz val="10"/>
        <rFont val="Arial"/>
        <family val="2"/>
      </rPr>
      <t xml:space="preserve">No. </t>
    </r>
    <r>
      <rPr>
        <sz val="10"/>
        <rFont val="Arial"/>
        <family val="2"/>
      </rPr>
      <t xml:space="preserve"> Go to Step 3.</t>
    </r>
  </si>
  <si>
    <t>estimated tax paid (see Pub. 596 for examples)</t>
  </si>
  <si>
    <t>CAUTION:</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</si>
  <si>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</si>
  <si>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TIP:</t>
  </si>
  <si>
    <t xml:space="preserve">         next to line 17.</t>
  </si>
  <si>
    <r>
      <rPr>
        <b/>
        <sz val="10"/>
        <rFont val="Arial"/>
        <family val="2"/>
      </rPr>
      <t>No.</t>
    </r>
    <r>
      <rPr>
        <sz val="10"/>
        <rFont val="Arial"/>
        <family val="2"/>
      </rPr>
      <t xml:space="preserve">  Skip questions 2 and 3; go to Step 4.</t>
    </r>
  </si>
  <si>
    <r>
      <rPr>
        <b/>
        <sz val="10"/>
        <rFont val="Arial"/>
        <family val="2"/>
      </rPr>
      <t>Yes.</t>
    </r>
    <r>
      <rPr>
        <sz val="10"/>
        <rFont val="Arial"/>
        <family val="2"/>
      </rPr>
      <t xml:space="preserve">  Skip question 3 and Step 4;</t>
    </r>
  </si>
  <si>
    <r>
      <rPr>
        <b/>
        <sz val="10"/>
        <rFont val="Arial"/>
        <family val="2"/>
      </rPr>
      <t>No.</t>
    </r>
    <r>
      <rPr>
        <sz val="10"/>
        <rFont val="Arial"/>
        <family val="2"/>
      </rPr>
      <t xml:space="preserve">  Continue.</t>
    </r>
  </si>
  <si>
    <r>
      <rPr>
        <b/>
        <sz val="10"/>
        <rFont val="Arial"/>
        <family val="2"/>
      </rPr>
      <t xml:space="preserve">Yes. </t>
    </r>
    <r>
      <rPr>
        <sz val="10"/>
        <rFont val="Arial"/>
        <family val="2"/>
      </rPr>
      <t xml:space="preserve"> You cannot take the credit.</t>
    </r>
  </si>
  <si>
    <r>
      <rPr>
        <b/>
        <sz val="10"/>
        <rFont val="Arial"/>
        <family val="2"/>
      </rPr>
      <t xml:space="preserve">No. </t>
    </r>
    <r>
      <rPr>
        <sz val="10"/>
        <rFont val="Arial"/>
        <family val="2"/>
      </rPr>
      <t xml:space="preserve"> Skip Step 4; go to Step 5.</t>
    </r>
  </si>
  <si>
    <r>
      <rPr>
        <b/>
        <sz val="10"/>
        <rFont val="Arial"/>
        <family val="2"/>
      </rPr>
      <t>Yes.</t>
    </r>
    <r>
      <rPr>
        <sz val="10"/>
        <rFont val="Arial"/>
        <family val="2"/>
      </rPr>
      <t xml:space="preserve">  Continue</t>
    </r>
  </si>
  <si>
    <r>
      <rPr>
        <b/>
        <sz val="10"/>
        <rFont val="Arial"/>
        <family val="2"/>
      </rPr>
      <t>No.</t>
    </r>
    <r>
      <rPr>
        <sz val="10"/>
        <rFont val="Arial"/>
        <family val="2"/>
      </rPr>
      <t xml:space="preserve">  You cannot take the credit.</t>
    </r>
  </si>
  <si>
    <r>
      <rPr>
        <b/>
        <sz val="10"/>
        <rFont val="Arial"/>
        <family val="2"/>
      </rPr>
      <t xml:space="preserve">Yes. </t>
    </r>
    <r>
      <rPr>
        <sz val="10"/>
        <rFont val="Arial"/>
        <family val="2"/>
      </rPr>
      <t xml:space="preserve"> Continue</t>
    </r>
  </si>
  <si>
    <r>
      <rPr>
        <b/>
        <sz val="10"/>
        <rFont val="Arial"/>
        <family val="2"/>
      </rPr>
      <t xml:space="preserve">Yes. </t>
    </r>
    <r>
      <rPr>
        <sz val="10"/>
        <rFont val="Arial"/>
        <family val="2"/>
      </rPr>
      <t xml:space="preserve"> Skip questions 5</t>
    </r>
  </si>
  <si>
    <r>
      <rPr>
        <b/>
        <sz val="10"/>
        <rFont val="Arial"/>
        <family val="2"/>
      </rPr>
      <t>No.</t>
    </r>
    <r>
      <rPr>
        <sz val="10"/>
        <rFont val="Arial"/>
        <family val="2"/>
      </rPr>
      <t xml:space="preserve">  Continue</t>
    </r>
  </si>
  <si>
    <t>line 17.</t>
  </si>
  <si>
    <r>
      <rPr>
        <b/>
        <sz val="10"/>
        <rFont val="Arial"/>
        <family val="2"/>
      </rPr>
      <t>Yes.</t>
    </r>
    <r>
      <rPr>
        <sz val="10"/>
        <rFont val="Arial"/>
        <family val="2"/>
      </rPr>
      <t xml:space="preserve">  You can't take the credit.</t>
    </r>
  </si>
  <si>
    <r>
      <rPr>
        <b/>
        <sz val="10"/>
        <rFont val="Arial"/>
        <family val="2"/>
      </rPr>
      <t>Yes.</t>
    </r>
    <r>
      <rPr>
        <sz val="10"/>
        <rFont val="Arial"/>
        <family val="2"/>
      </rPr>
      <t xml:space="preserve">  STOP  You can't take the</t>
    </r>
  </si>
  <si>
    <r>
      <rPr>
        <b/>
        <sz val="10"/>
        <rFont val="Arial"/>
        <family val="2"/>
      </rPr>
      <t xml:space="preserve">No. </t>
    </r>
    <r>
      <rPr>
        <sz val="10"/>
        <rFont val="Arial"/>
        <family val="2"/>
      </rPr>
      <t xml:space="preserve"> You can't take the credit.</t>
    </r>
  </si>
  <si>
    <r>
      <rPr>
        <b/>
        <sz val="10"/>
        <rFont val="Arial"/>
        <family val="2"/>
      </rPr>
      <t>No.</t>
    </r>
    <r>
      <rPr>
        <sz val="10"/>
        <rFont val="Arial"/>
        <family val="2"/>
      </rPr>
      <t xml:space="preserve">  You can't take the credit.</t>
    </r>
  </si>
  <si>
    <t>Enter the amount from Form 1040, line 1</t>
  </si>
  <si>
    <t>Enter any amount included on Form 1040, line 1,</t>
  </si>
  <si>
    <t xml:space="preserve">Enter any amount included on Form 1040, line 1, </t>
  </si>
  <si>
    <t>1040, line 1.)</t>
  </si>
  <si>
    <t>Form 1040, line 1.) This amount may be shown</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</si>
  <si>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</si>
  <si>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</si>
  <si>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</si>
  <si>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</si>
  <si>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If line 2 is zero, STOP you can't take the credit.</t>
  </si>
  <si>
    <t>Enter the amount from Form 1040, line 7.</t>
  </si>
  <si>
    <r>
      <t xml:space="preserve">        Then, enter the </t>
    </r>
    <r>
      <rPr>
        <b/>
        <sz val="10"/>
        <rFont val="Arial"/>
        <family val="2"/>
      </rPr>
      <t>smaller</t>
    </r>
    <r>
      <rPr>
        <sz val="10"/>
        <rFont val="Arial"/>
        <family val="2"/>
      </rPr>
      <t xml:space="preserve"> amount on line 6.</t>
    </r>
  </si>
  <si>
    <t xml:space="preserve">Enter any net farm profit or (loss) from Schedule F, line 34, and from </t>
  </si>
  <si>
    <t>line 3; Schedule K-1 (Form 1065), box 14, code A (other than farming)*.</t>
  </si>
  <si>
    <t>*If you have any Schedule K-1 amounts, complete the appropriate line(s) of Schedule SE, Section A.</t>
  </si>
  <si>
    <t>Reduce the Schedule K-1 amounts as described in the Partner’s Instructions for Schedule K-1. Enter</t>
  </si>
  <si>
    <r>
      <t>Note.</t>
    </r>
    <r>
      <rPr>
        <sz val="10"/>
        <rFont val="Arial"/>
        <family val="2"/>
      </rPr>
      <t xml:space="preserve"> If line 4b includes income on which you should have paid self-employment tax but didn't,</t>
    </r>
  </si>
  <si>
    <t>If line 4b is zero or less,   STOP  you can't take the credit. Enter “No” in the space to the left of Form 1040,</t>
  </si>
  <si>
    <t>If line 7 is zero,  STOP  you can't take the credit.</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</si>
  <si>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</si>
  <si>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</si>
  <si>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r>
      <rPr>
        <b/>
        <sz val="10"/>
        <rFont val="Arial"/>
        <family val="2"/>
      </rPr>
      <t>No.</t>
    </r>
    <r>
      <rPr>
        <sz val="10"/>
        <rFont val="Arial"/>
        <family val="2"/>
      </rPr>
      <t xml:space="preserve">  Look up the amount on line 8 in the EIC Table to find the</t>
    </r>
  </si>
  <si>
    <r>
      <rPr>
        <b/>
        <sz val="10"/>
        <rFont val="Arial"/>
        <family val="2"/>
      </rPr>
      <t>Yes.</t>
    </r>
    <r>
      <rPr>
        <sz val="10"/>
        <rFont val="Arial"/>
        <family val="2"/>
      </rPr>
      <t xml:space="preserve">  Leave line 10 blank; enter the amount from line 7 on line 11.</t>
    </r>
  </si>
  <si>
    <t>status and the number of children you have. Enter the credit here.</t>
  </si>
  <si>
    <r>
      <t>Form 8862,</t>
    </r>
    <r>
      <rPr>
        <i/>
        <sz val="10"/>
        <rFont val="Arial"/>
        <family val="2"/>
      </rPr>
      <t xml:space="preserve"> who must fi_x001F_le, earlier, to find out if you must file Form</t>
    </r>
  </si>
  <si>
    <r>
      <t>Taxable part of your refund.</t>
    </r>
    <r>
      <rPr>
        <sz val="10"/>
        <rFont val="Arial"/>
        <family val="2"/>
      </rPr>
      <t xml:space="preserve"> Enter the </t>
    </r>
    <r>
      <rPr>
        <b/>
        <sz val="10"/>
        <rFont val="Arial"/>
        <family val="2"/>
      </rPr>
      <t>smaller</t>
    </r>
    <r>
      <rPr>
        <sz val="10"/>
        <rFont val="Arial"/>
        <family val="2"/>
      </rPr>
      <t xml:space="preserve"> of line 1 or line 6 here and on Schedule 1, line 10</t>
    </r>
  </si>
  <si>
    <r>
      <t xml:space="preserve">If zero, </t>
    </r>
    <r>
      <rPr>
        <b/>
        <sz val="10"/>
        <rFont val="Arial"/>
        <family val="2"/>
      </rPr>
      <t>stop here</t>
    </r>
    <r>
      <rPr>
        <sz val="10"/>
        <rFont val="Arial"/>
        <family val="2"/>
      </rPr>
      <t>; you cannot claim this credit</t>
    </r>
  </si>
  <si>
    <r>
      <rPr>
        <b/>
        <sz val="10"/>
        <rFont val="Arial"/>
        <family val="2"/>
      </rPr>
      <t>smaller</t>
    </r>
    <r>
      <rPr>
        <sz val="10"/>
        <rFont val="Arial"/>
        <family val="2"/>
      </rPr>
      <t xml:space="preserve"> of line 5 or line 8 </t>
    </r>
    <r>
      <rPr>
        <b/>
        <sz val="10"/>
        <rFont val="Arial"/>
        <family val="2"/>
      </rPr>
      <t>on line 15.</t>
    </r>
  </si>
  <si>
    <r>
      <rPr>
        <b/>
        <sz val="10"/>
        <rFont val="Arial"/>
        <family val="2"/>
      </rPr>
      <t>Next,</t>
    </r>
    <r>
      <rPr>
        <sz val="10"/>
        <rFont val="Arial"/>
        <family val="2"/>
      </rPr>
      <t xml:space="preserve"> enter the </t>
    </r>
    <r>
      <rPr>
        <b/>
        <sz val="10"/>
        <rFont val="Arial"/>
        <family val="2"/>
      </rPr>
      <t>smaller</t>
    </r>
    <r>
      <rPr>
        <sz val="10"/>
        <rFont val="Arial"/>
        <family val="2"/>
      </rPr>
      <t xml:space="preserve"> of line 5 or line 14 on </t>
    </r>
    <r>
      <rPr>
        <b/>
        <sz val="10"/>
        <rFont val="Arial"/>
        <family val="2"/>
      </rPr>
      <t>line 15</t>
    </r>
    <r>
      <rPr>
        <sz val="10"/>
        <rFont val="Arial"/>
        <family val="2"/>
      </rPr>
      <t>.</t>
    </r>
  </si>
  <si>
    <t>Attachment
Sequence No.</t>
  </si>
  <si>
    <t>09</t>
  </si>
  <si>
    <t>Business address (including suite or room no.)</t>
  </si>
  <si>
    <r>
      <t xml:space="preserve">Accounting method:          </t>
    </r>
    <r>
      <rPr>
        <b/>
        <sz val="10"/>
        <rFont val="Arial"/>
        <family val="2"/>
      </rPr>
      <t>(1)</t>
    </r>
  </si>
  <si>
    <r>
      <t xml:space="preserve">   </t>
    </r>
    <r>
      <rPr>
        <b/>
        <sz val="11"/>
        <rFont val="Arial"/>
        <family val="2"/>
      </rPr>
      <t>Expenses.</t>
    </r>
  </si>
  <si>
    <t>(other than on line 19)</t>
  </si>
  <si>
    <t xml:space="preserve">.   .   .   .   .   .   .   .   .   .   .   .   .   .      </t>
  </si>
  <si>
    <t xml:space="preserve"> Lower cost or market</t>
  </si>
  <si>
    <t xml:space="preserve"> Cost</t>
  </si>
  <si>
    <t xml:space="preserve"> Other (attach explanation)</t>
  </si>
  <si>
    <r>
      <t xml:space="preserve">value closing inventory       </t>
    </r>
    <r>
      <rPr>
        <b/>
        <sz val="10"/>
        <rFont val="Arial"/>
        <family val="2"/>
      </rPr>
      <t>a</t>
    </r>
  </si>
  <si>
    <t>If "Yes", attach explanation</t>
  </si>
  <si>
    <t>Inventory at beginning of the year.  If different from last year's closing inventory, attach explanation</t>
  </si>
  <si>
    <t>Purchases less cost of items withdrawn for personal use</t>
  </si>
  <si>
    <t>Cost of labor.  Do not include any amounts paid to yourself</t>
  </si>
  <si>
    <t>Materials and supplies</t>
  </si>
  <si>
    <t>Other costs</t>
  </si>
  <si>
    <t>Add lines 35 through 39</t>
  </si>
  <si>
    <t>Inventory at end of year</t>
  </si>
  <si>
    <r>
      <t>Cost of goods sold.</t>
    </r>
    <r>
      <rPr>
        <sz val="9"/>
        <rFont val="Arial"/>
        <family val="2"/>
      </rPr>
      <t xml:space="preserve">   Subtract line 41 from line 40.  Enter the result here and on line 4</t>
    </r>
  </si>
  <si>
    <r>
      <rPr>
        <b/>
        <sz val="10"/>
        <rFont val="Arial"/>
        <family val="2"/>
      </rPr>
      <t>b</t>
    </r>
    <r>
      <rPr>
        <sz val="8"/>
        <rFont val="Arial"/>
        <family val="2"/>
      </rPr>
      <t xml:space="preserve"> Commuting (see instructions)</t>
    </r>
  </si>
  <si>
    <r>
      <t xml:space="preserve"> </t>
    </r>
    <r>
      <rPr>
        <b/>
        <sz val="10"/>
        <rFont val="Arial"/>
        <family val="2"/>
      </rPr>
      <t xml:space="preserve"> a</t>
    </r>
    <r>
      <rPr>
        <sz val="9"/>
        <rFont val="Arial"/>
        <family val="2"/>
      </rPr>
      <t xml:space="preserve">   </t>
    </r>
    <r>
      <rPr>
        <sz val="8"/>
        <rFont val="Arial"/>
        <family val="2"/>
      </rPr>
      <t xml:space="preserve">Business  </t>
    </r>
  </si>
  <si>
    <t>Do you have evidence to support your deduction?</t>
  </si>
  <si>
    <t>Do you (or your spouse) have another vehicle available for personal use?</t>
  </si>
  <si>
    <t xml:space="preserve">.    .    .    .    .    .    .    .    . </t>
  </si>
  <si>
    <t xml:space="preserve">.    .    .    .    .    .    .    .    .    .    .    . </t>
  </si>
  <si>
    <t>Wages (less employment credits)</t>
  </si>
  <si>
    <t xml:space="preserve">.   .   .   .   .   .   .   .   .   .   .   .   .   .   .   .   .   .   .   .   .   .   .   .   .   .   .   .   .   .   .   .   .   .   .   .   .   .   . </t>
  </si>
  <si>
    <t xml:space="preserve">.   .   .   .   .   .   .   .   .   .   .   .   .   .   .   .   .   .   .   .   .   .   .   .   .   .   .   .   .   .   .   .   .   .   .   .   .   .   .   .   .   .   .   .   .   . </t>
  </si>
  <si>
    <t xml:space="preserve">.    .    .    . </t>
  </si>
  <si>
    <t xml:space="preserve">.    .    .    .    .    .    .   .    .    .    .    .    .    .    .    .    . </t>
  </si>
  <si>
    <r>
      <t xml:space="preserve">Sequence No. </t>
    </r>
    <r>
      <rPr>
        <b/>
        <sz val="12"/>
        <rFont val="Arial"/>
        <family val="2"/>
      </rPr>
      <t>17</t>
    </r>
  </si>
  <si>
    <r>
      <t>Note.</t>
    </r>
    <r>
      <rPr>
        <sz val="10"/>
        <rFont val="Arial"/>
        <family val="2"/>
      </rPr>
      <t xml:space="preserve"> If your only income subject to self-employment tax is </t>
    </r>
    <r>
      <rPr>
        <b/>
        <sz val="10"/>
        <rFont val="Arial"/>
        <family val="2"/>
      </rPr>
      <t>church employee income</t>
    </r>
    <r>
      <rPr>
        <sz val="10"/>
        <rFont val="Arial"/>
        <family val="2"/>
      </rPr>
      <t>, see instructions. Also, see instructions for the</t>
    </r>
  </si>
  <si>
    <t>definition of church employee income.</t>
  </si>
  <si>
    <r>
      <rPr>
        <b/>
        <sz val="9"/>
        <rFont val="Arial"/>
        <family val="2"/>
      </rPr>
      <t>Self-employment tax.</t>
    </r>
    <r>
      <rPr>
        <sz val="9"/>
        <rFont val="Arial"/>
        <family val="2"/>
      </rPr>
      <t xml:space="preserve"> Add lines 10 and 11. Enter here and on Schedule 4 (</t>
    </r>
    <r>
      <rPr>
        <b/>
        <sz val="9"/>
        <rFont val="Arial"/>
        <family val="2"/>
      </rPr>
      <t>Form 1040), line 57,</t>
    </r>
  </si>
  <si>
    <r>
      <t xml:space="preserve">Enter the </t>
    </r>
    <r>
      <rPr>
        <b/>
        <sz val="10"/>
        <rFont val="Arial"/>
        <family val="2"/>
      </rPr>
      <t>smaller</t>
    </r>
    <r>
      <rPr>
        <sz val="10"/>
        <rFont val="Arial"/>
        <family val="2"/>
      </rPr>
      <t xml:space="preserve"> of: two-thirds (2 ⁄3) of gross farm income</t>
    </r>
    <r>
      <rPr>
        <vertAlign val="superscript"/>
        <sz val="10"/>
        <rFont val="Arial"/>
        <family val="2"/>
      </rPr>
      <t>1</t>
    </r>
    <r>
      <rPr>
        <sz val="10"/>
        <rFont val="Arial"/>
        <family val="2"/>
      </rPr>
      <t xml:space="preserve">(not less than zero)  </t>
    </r>
    <r>
      <rPr>
        <b/>
        <sz val="10"/>
        <rFont val="Arial"/>
        <family val="2"/>
      </rPr>
      <t>or</t>
    </r>
  </si>
  <si>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</si>
  <si>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t>From Sch. F, line 34, and Sch. K-1 (Form 1065),  box 14, code A - minus the amount you would have entered on line 1b had you not used the optional method.</t>
  </si>
  <si>
    <t>NOTE:  This sheet includes 2 Schedule SE forms.</t>
  </si>
  <si>
    <t>Note:  This sheet includes 2 Schedule C forms.</t>
  </si>
  <si>
    <r>
      <t xml:space="preserve">Go to </t>
    </r>
    <r>
      <rPr>
        <b/>
        <i/>
        <sz val="10"/>
        <rFont val="Arial"/>
        <family val="2"/>
      </rPr>
      <t>www.irs.gov/ScheduleE</t>
    </r>
    <r>
      <rPr>
        <b/>
        <sz val="10"/>
        <rFont val="Arial"/>
        <family val="2"/>
      </rPr>
      <t xml:space="preserve"> for instructions and the latest information.</t>
    </r>
  </si>
  <si>
    <t>Other interest</t>
  </si>
  <si>
    <r>
      <t xml:space="preserve">on </t>
    </r>
    <r>
      <rPr>
        <b/>
        <sz val="11"/>
        <rFont val="Arial"/>
        <family val="2"/>
      </rPr>
      <t>Form 8582</t>
    </r>
    <r>
      <rPr>
        <sz val="11"/>
        <rFont val="Arial"/>
        <family val="2"/>
      </rPr>
      <t xml:space="preserve"> (see instructions)</t>
    </r>
  </si>
  <si>
    <r>
      <t xml:space="preserve">must file </t>
    </r>
    <r>
      <rPr>
        <b/>
        <sz val="11"/>
        <rFont val="Arial"/>
        <family val="2"/>
      </rPr>
      <t>Form 6198</t>
    </r>
  </si>
  <si>
    <t>If result is a (loss), see instructions to find out if you</t>
  </si>
  <si>
    <t>Subtract line 20 from line 3 (rents) and/or 4 (royalties).</t>
  </si>
  <si>
    <r>
      <rPr>
        <b/>
        <sz val="11"/>
        <rFont val="Arial"/>
        <family val="2"/>
      </rPr>
      <t>Total rental real estate and royalty income or (loss).</t>
    </r>
    <r>
      <rPr>
        <sz val="11"/>
        <rFont val="Arial"/>
        <family val="2"/>
      </rPr>
      <t xml:space="preserve"> Combine lines 24 and 25. Enter the result</t>
    </r>
  </si>
  <si>
    <r>
      <t xml:space="preserve">stock, or receive a loan repayment from an S corporation, you </t>
    </r>
    <r>
      <rPr>
        <b/>
        <sz val="10"/>
        <rFont val="Arial"/>
        <family val="2"/>
      </rPr>
      <t>must</t>
    </r>
    <r>
      <rPr>
        <sz val="10"/>
        <rFont val="Arial"/>
        <family val="2"/>
      </rPr>
      <t xml:space="preserve"> check the box in column </t>
    </r>
    <r>
      <rPr>
        <b/>
        <sz val="10"/>
        <rFont val="Arial"/>
        <family val="2"/>
      </rPr>
      <t>(e)</t>
    </r>
    <r>
      <rPr>
        <sz val="10"/>
        <rFont val="Arial"/>
        <family val="2"/>
      </rPr>
      <t xml:space="preserve"> on line 28 and attach the required basis</t>
    </r>
  </si>
  <si>
    <t xml:space="preserve">   .   .   . </t>
  </si>
  <si>
    <r>
      <rPr>
        <b/>
        <sz val="10"/>
        <rFont val="Arial"/>
        <family val="2"/>
      </rPr>
      <t>Reconciliation for real estate professionals.</t>
    </r>
    <r>
      <rPr>
        <sz val="10"/>
        <rFont val="Arial"/>
        <family val="2"/>
      </rPr>
      <t xml:space="preserve"> If you were a real estate</t>
    </r>
  </si>
  <si>
    <r>
      <rPr>
        <b/>
        <sz val="11"/>
        <rFont val="Arial"/>
        <family val="2"/>
      </rPr>
      <t>Reconciliation of farming and fishing income.</t>
    </r>
    <r>
      <rPr>
        <sz val="10"/>
        <rFont val="Arial"/>
        <family val="2"/>
      </rPr>
      <t xml:space="preserve">  Enter your </t>
    </r>
    <r>
      <rPr>
        <b/>
        <sz val="10"/>
        <rFont val="Arial"/>
        <family val="2"/>
      </rPr>
      <t>gross</t>
    </r>
  </si>
  <si>
    <t>Date:</t>
  </si>
  <si>
    <t>Subtract line 9 from line 3. Enter the result.</t>
  </si>
  <si>
    <r>
      <t xml:space="preserve">Worksheet --- Line 12a </t>
    </r>
    <r>
      <rPr>
        <sz val="12"/>
        <rFont val="Arial"/>
        <family val="2"/>
      </rPr>
      <t xml:space="preserve"> (See Publication 972)</t>
    </r>
  </si>
  <si>
    <t>Also, you may be able to take the</t>
  </si>
  <si>
    <r>
      <t xml:space="preserve">is more than zero. See the </t>
    </r>
    <r>
      <rPr>
        <b/>
        <sz val="10"/>
        <rFont val="Arial"/>
        <family val="2"/>
      </rPr>
      <t>TIP</t>
    </r>
    <r>
      <rPr>
        <sz val="10"/>
        <rFont val="Arial"/>
        <family val="2"/>
      </rPr>
      <t xml:space="preserve"> below.</t>
    </r>
  </si>
  <si>
    <r>
      <rPr>
        <b/>
        <sz val="10"/>
        <rFont val="Arial"/>
        <family val="2"/>
      </rPr>
      <t>additional child tax credit</t>
    </r>
    <r>
      <rPr>
        <sz val="10"/>
        <rFont val="Arial"/>
        <family val="2"/>
      </rPr>
      <t xml:space="preserve"> if line 1</t>
    </r>
  </si>
  <si>
    <t>other dependents.</t>
  </si>
  <si>
    <t>credit and credit for</t>
  </si>
  <si>
    <t>This is your child tax</t>
  </si>
  <si>
    <t>Complete the rest of your Form 1040.</t>
  </si>
  <si>
    <t>Coverage Type?  (Self/Family)</t>
  </si>
  <si>
    <t>Dependent?</t>
  </si>
  <si>
    <t>Rule 1</t>
  </si>
  <si>
    <t>Family?</t>
  </si>
  <si>
    <t>Allocation</t>
  </si>
  <si>
    <t>Rule 2</t>
  </si>
  <si>
    <t>%</t>
  </si>
  <si>
    <t>Line 6</t>
  </si>
  <si>
    <t>Line 6  (Step 1) W/S (Married w/separate HSAs)</t>
  </si>
  <si>
    <t>Y or S</t>
  </si>
  <si>
    <r>
      <rPr>
        <b/>
        <sz val="11"/>
        <rFont val="Arial"/>
        <family val="2"/>
      </rPr>
      <t>TIP:</t>
    </r>
    <r>
      <rPr>
        <sz val="10"/>
        <rFont val="Arial"/>
        <family val="2"/>
      </rPr>
      <t xml:space="preserve">  The number of children you use for this line is the same as the number of children you used for line 1 of</t>
    </r>
  </si>
  <si>
    <t>If line 8 is equal to or more than line 5, skip Part II and enter the amount from line 5 on line 15.</t>
  </si>
  <si>
    <t>Enter the total of the amounts from Schedule 1 (Form</t>
  </si>
  <si>
    <t>1040), line 27, and Schedule 4 (Form 1040), Lines 58,</t>
  </si>
  <si>
    <t>Form 1040, Line 4a</t>
  </si>
  <si>
    <t>Form 1040, Line 4b</t>
  </si>
  <si>
    <t>Form 1040, Line 16</t>
  </si>
  <si>
    <t>Sch. A, Line 5a</t>
  </si>
  <si>
    <t>line 4b. But if your annuity starting date was after July 1, 1986,</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</si>
  <si>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</si>
  <si>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r>
      <t xml:space="preserve">The </t>
    </r>
    <r>
      <rPr>
        <b/>
        <sz val="10"/>
        <color rgb="FF008000"/>
        <rFont val="Arial"/>
        <family val="2"/>
      </rPr>
      <t>"Line 4"</t>
    </r>
    <r>
      <rPr>
        <sz val="10"/>
        <color rgb="FF008000"/>
        <rFont val="Arial"/>
        <family val="2"/>
      </rPr>
      <t xml:space="preserve"> tab is a stand-alone worksheet that is used to calculate the taxable</t>
    </r>
  </si>
  <si>
    <r>
      <t xml:space="preserve">see Simplified Method, </t>
    </r>
    <r>
      <rPr>
        <b/>
        <sz val="10"/>
        <color rgb="FF008000"/>
        <rFont val="Arial"/>
        <family val="2"/>
      </rPr>
      <t xml:space="preserve">"Line 4" </t>
    </r>
    <r>
      <rPr>
        <sz val="10"/>
        <color rgb="FF008000"/>
        <rFont val="Arial"/>
        <family val="2"/>
      </rPr>
      <t>tab, to find out if you must use that method to</t>
    </r>
  </si>
  <si>
    <t>Income before qualified business income deduction</t>
  </si>
  <si>
    <t xml:space="preserve">Net capital gains </t>
  </si>
  <si>
    <r>
      <t xml:space="preserve">Enter the </t>
    </r>
    <r>
      <rPr>
        <b/>
        <sz val="10"/>
        <rFont val="Arial"/>
        <family val="2"/>
      </rPr>
      <t>smaller</t>
    </r>
    <r>
      <rPr>
        <sz val="10"/>
        <rFont val="Arial"/>
        <family val="2"/>
      </rPr>
      <t xml:space="preserve"> of line 2 or line 3</t>
    </r>
  </si>
  <si>
    <t>.   .   .   .   .   .   .   .   .   .   .   .   .   .   .   .   .   .   .   .   .   .   .   .   .   .   .   .   .   .   .   .</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</si>
  <si>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</si>
  <si>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t>Instead, see the instructions for Form 1040, line 11a.</t>
  </si>
  <si>
    <r>
      <t xml:space="preserve">Line 15 or line 16 of Schedule D is zero or less </t>
    </r>
    <r>
      <rPr>
        <b/>
        <sz val="9"/>
        <rFont val="Arial"/>
        <family val="2"/>
      </rPr>
      <t>and</t>
    </r>
    <r>
      <rPr>
        <sz val="9"/>
        <rFont val="Arial"/>
        <family val="2"/>
      </rPr>
      <t xml:space="preserve"> you have no qualified dividends on Form 1040, line 3a;</t>
    </r>
  </si>
  <si>
    <t>Otherwise, complete the Qualified Dividends and Capital Gain Tax Worksheet in the Instructions for Form 1040, line 11a to figure your tax.</t>
  </si>
  <si>
    <t>Complete this worksheet only if line 18 or line 19 of Schedule D is more than zero and lines 15 and 16 of Schedule D are gains.</t>
  </si>
  <si>
    <t>Foreign Earned Income Tax Worksheet in the Instructions for Form 1040, line 11a)</t>
  </si>
  <si>
    <r>
      <t xml:space="preserve">Enter the </t>
    </r>
    <r>
      <rPr>
        <b/>
        <sz val="10"/>
        <rFont val="Arial"/>
        <family val="2"/>
      </rPr>
      <t>smaller</t>
    </r>
    <r>
      <rPr>
        <sz val="10"/>
        <rFont val="Arial"/>
        <family val="2"/>
      </rPr>
      <t xml:space="preserve"> of line 23 or line 27</t>
    </r>
  </si>
  <si>
    <t>include this amount on Form 1040, line 11a. (If you are filing Form 2555 or 2555-EZ, don't enter this amount</t>
  </si>
  <si>
    <t>Form 1040, line 11a, before completing this line.</t>
  </si>
  <si>
    <t>&lt;Describe 'Other Income' here.</t>
  </si>
  <si>
    <t>&lt;Enter 'Other Income' amount.</t>
  </si>
  <si>
    <r>
      <rPr>
        <b/>
        <sz val="9"/>
        <rFont val="Arial"/>
        <family val="2"/>
      </rPr>
      <t>Amount you owe.</t>
    </r>
    <r>
      <rPr>
        <sz val="9"/>
        <rFont val="Arial"/>
        <family val="2"/>
      </rPr>
      <t xml:space="preserve">  Subtract line 18 from line 15.  For details on how to pay, see instructions</t>
    </r>
  </si>
  <si>
    <t>Note: Information from these check boxes are used on this form 
(Section B, Line 8a) and on 
Form 2441, Lines 4 and 5.</t>
  </si>
  <si>
    <t>●  Sch. C-EZ, line 3,</t>
  </si>
  <si>
    <t>●  Sch. K-1 (Form 1065), box 20, code A,</t>
  </si>
  <si>
    <t>●  other income to report here:</t>
  </si>
  <si>
    <t>●  Sch. K-1 (Form 1065-B), box 9, code J1, and</t>
  </si>
  <si>
    <t>For line 2, enter the total of</t>
  </si>
  <si>
    <t xml:space="preserve">.   .   .   .   .   .   .   .   .   .   .   .   .   .   .   .  </t>
  </si>
  <si>
    <t>Points not reported to you on Form 1098. See instructions for</t>
  </si>
  <si>
    <t xml:space="preserve">special rules </t>
  </si>
  <si>
    <t>.   .   .   .   .   .   .   .   .   .   .   .   .   .   .   .   .   .   .   .   .   .   .   .   .   .   .   .   .   .</t>
  </si>
  <si>
    <r>
      <t xml:space="preserve">Sequence No. </t>
    </r>
    <r>
      <rPr>
        <b/>
        <sz val="12"/>
        <rFont val="Arial"/>
        <family val="2"/>
      </rPr>
      <t>52</t>
    </r>
  </si>
  <si>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</si>
  <si>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r>
      <rPr>
        <b/>
        <sz val="10"/>
        <rFont val="Arial"/>
        <family val="2"/>
      </rPr>
      <t>HSA deduction.</t>
    </r>
    <r>
      <rPr>
        <sz val="10"/>
        <rFont val="Arial"/>
        <family val="2"/>
      </rPr>
      <t xml:space="preserve"> </t>
    </r>
    <r>
      <rPr>
        <sz val="9"/>
        <rFont val="Arial"/>
        <family val="2"/>
      </rPr>
      <t xml:space="preserve">Enter the </t>
    </r>
    <r>
      <rPr>
        <b/>
        <sz val="9"/>
        <rFont val="Arial"/>
        <family val="2"/>
      </rPr>
      <t>smaller</t>
    </r>
    <r>
      <rPr>
        <sz val="9"/>
        <rFont val="Arial"/>
        <family val="2"/>
      </rPr>
      <t xml:space="preserve"> of line 2 or line 12 here and on Schedule 1 (Form 1040), line</t>
    </r>
  </si>
  <si>
    <r>
      <rPr>
        <b/>
        <sz val="10"/>
        <rFont val="Arial"/>
        <family val="2"/>
      </rPr>
      <t>Caution:</t>
    </r>
    <r>
      <rPr>
        <sz val="9"/>
        <rFont val="Arial"/>
        <family val="2"/>
      </rPr>
      <t xml:space="preserve">  If line 2 is more than line 13, you may have to pay an additional tax (see instructions).</t>
    </r>
  </si>
  <si>
    <r>
      <rPr>
        <b/>
        <sz val="10"/>
        <rFont val="Arial"/>
        <family val="2"/>
      </rPr>
      <t>Taxable HSA distributions.</t>
    </r>
    <r>
      <rPr>
        <sz val="10"/>
        <rFont val="Arial"/>
        <family val="2"/>
      </rPr>
      <t xml:space="preserve">   Subtract line 15 from line 14c.  If zero or less, enter -0-.  Also,</t>
    </r>
  </si>
  <si>
    <r>
      <t xml:space="preserve">If any of the distributions included on line 16 meet any of the </t>
    </r>
    <r>
      <rPr>
        <b/>
        <sz val="10"/>
        <rFont val="Arial"/>
        <family val="2"/>
      </rPr>
      <t>Exceptions to the Additional</t>
    </r>
  </si>
  <si>
    <r>
      <t xml:space="preserve">or box b on Form 1040NR, line 60. Enter “HSA” and the amount on the line next to the box  </t>
    </r>
    <r>
      <rPr>
        <b/>
        <sz val="10"/>
        <rFont val="Arial"/>
        <family val="2"/>
      </rPr>
      <t xml:space="preserve">.    .    .   </t>
    </r>
  </si>
  <si>
    <r>
      <t>Total income.</t>
    </r>
    <r>
      <rPr>
        <sz val="10"/>
        <rFont val="Arial"/>
        <family val="2"/>
      </rPr>
      <t xml:space="preserve">  Add lines 18 and 19. Include this amount on Schedule 1 (Form 1040), line 21, or</t>
    </r>
  </si>
  <si>
    <r>
      <t>or box b on Form 1040NR, line 60. Enter “HDHP” and the amount on the line next to the box</t>
    </r>
    <r>
      <rPr>
        <b/>
        <sz val="10"/>
        <rFont val="Arial"/>
        <family val="2"/>
      </rPr>
      <t xml:space="preserve"> .    .    . </t>
    </r>
  </si>
  <si>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</si>
  <si>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t xml:space="preserve">.   .   .   .   .   .   .   .   .   .   .   .   .   .   .   .   .   .   .   .   .   .   .   .   .   .   .   .   .   .   .   .   .   .   .   .   .   .   .   .   .   .   .   .   .   .   .   .   .   .   .   .   .   .   .   .    </t>
  </si>
  <si>
    <r>
      <rPr>
        <b/>
        <sz val="10"/>
        <rFont val="Arial"/>
        <family val="2"/>
      </rPr>
      <t>HSA deduction.</t>
    </r>
    <r>
      <rPr>
        <sz val="10"/>
        <rFont val="Arial"/>
        <family val="2"/>
      </rPr>
      <t xml:space="preserve"> </t>
    </r>
    <r>
      <rPr>
        <sz val="9"/>
        <rFont val="Arial"/>
        <family val="2"/>
      </rPr>
      <t xml:space="preserve">Enter the </t>
    </r>
    <r>
      <rPr>
        <b/>
        <sz val="9"/>
        <rFont val="Arial"/>
        <family val="2"/>
      </rPr>
      <t>smaller</t>
    </r>
    <r>
      <rPr>
        <sz val="9"/>
        <rFont val="Arial"/>
        <family val="2"/>
      </rPr>
      <t xml:space="preserve"> of line 2 or line 12 here and on Schedule 1 (Form 1040), line </t>
    </r>
  </si>
  <si>
    <r>
      <t xml:space="preserve">or box b on Form 1040NR, line 60. Enter “HSA” and the amount on the line next to the box  </t>
    </r>
    <r>
      <rPr>
        <b/>
        <sz val="10"/>
        <rFont val="Arial"/>
        <family val="2"/>
      </rPr>
      <t>.    .    .    .    .    .    .</t>
    </r>
  </si>
  <si>
    <r>
      <t>or box b on Form 1040NR, line 60. Enter “HDHP” and the amount on the line next to the box</t>
    </r>
    <r>
      <rPr>
        <b/>
        <sz val="10"/>
        <rFont val="Arial"/>
        <family val="2"/>
      </rPr>
      <t>.    .    .    .    .    .</t>
    </r>
  </si>
  <si>
    <r>
      <t xml:space="preserve">Sequence No. </t>
    </r>
    <r>
      <rPr>
        <b/>
        <sz val="12"/>
        <rFont val="Arial"/>
        <family val="2"/>
      </rPr>
      <t>71</t>
    </r>
  </si>
  <si>
    <r>
      <t>Single, Head of household, or Qualifying widow(er)</t>
    </r>
    <r>
      <rPr>
        <b/>
        <sz val="9"/>
        <rFont val="Arial"/>
        <family val="2"/>
      </rPr>
      <t xml:space="preserve">    .   .   .</t>
    </r>
  </si>
  <si>
    <r>
      <t>Single, Head of household, or Qualifying widow(er)</t>
    </r>
    <r>
      <rPr>
        <b/>
        <sz val="9"/>
        <rFont val="Arial"/>
        <family val="2"/>
      </rPr>
      <t>.   .   .</t>
    </r>
  </si>
  <si>
    <t>Also include this amount on Schedule 4 (Form 1040), line 62 (check box a)</t>
  </si>
  <si>
    <t>Medicare tax withheld from Form W-2, box 6.   If you have</t>
  </si>
  <si>
    <t>Subtract line 21 from line 19.  If zero or less, enter -0-. This is your Additional Medicare Tax</t>
  </si>
  <si>
    <t>withholding on Medicare wages</t>
  </si>
  <si>
    <r>
      <rPr>
        <b/>
        <sz val="10"/>
        <rFont val="Arial"/>
        <family val="2"/>
      </rPr>
      <t>Total Additional Medicare Tax withholding.</t>
    </r>
    <r>
      <rPr>
        <sz val="10"/>
        <rFont val="Arial"/>
        <family val="2"/>
      </rPr>
      <t xml:space="preserve"> Add lines 22 and 23. Also include this amount</t>
    </r>
  </si>
  <si>
    <t>1040-SS filers, see instructions)</t>
  </si>
  <si>
    <t>with federal income tax withholding on Form 1040, line 16 (Form 1040NR, 1040-PR, and</t>
  </si>
  <si>
    <t xml:space="preserve">    Attachment</t>
  </si>
  <si>
    <r>
      <t xml:space="preserve">    Sequence No. </t>
    </r>
    <r>
      <rPr>
        <b/>
        <sz val="12"/>
        <rFont val="Arial"/>
        <family val="2"/>
      </rPr>
      <t>12</t>
    </r>
  </si>
  <si>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</si>
  <si>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Short-term gain from Form 6252, and short-term gain or (loss) from Forms 4684, 6781, and 8824</t>
    </r>
    <r>
      <rPr>
        <b/>
        <sz val="10"/>
        <rFont val="Arial"/>
        <family val="2"/>
      </rPr>
      <t xml:space="preserve">  .   .   .   .</t>
    </r>
  </si>
  <si>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</si>
  <si>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</si>
  <si>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r>
      <t>Net short-term capital gain or (loss).</t>
    </r>
    <r>
      <rPr>
        <sz val="10"/>
        <rFont val="Arial"/>
        <family val="2"/>
      </rPr>
      <t xml:space="preserve"> Combine lines 1a through 6 in column (h). If you have any long-
term capital gains or losses, go to Part II below. Otherwise, go to Part III on the back</t>
    </r>
    <r>
      <rPr>
        <b/>
        <sz val="10"/>
        <rFont val="Arial"/>
        <family val="2"/>
      </rPr>
      <t xml:space="preserve">  .   .   .   .   .   .   .   .   .   .   .   .</t>
    </r>
  </si>
  <si>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</si>
  <si>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</si>
  <si>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</si>
  <si>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</si>
  <si>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Gain from Form 4797, Part I; long-term gain from Forms 2439 and 6252; and long-term gain or (loss)
from Forms 4684, 6781, and 8824    </t>
    </r>
    <r>
      <rPr>
        <b/>
        <sz val="10"/>
        <rFont val="Arial"/>
        <family val="2"/>
      </rPr>
      <t>.   .   .   .   .   .   .   .   .   .   .   .   .   .   .   .   .   .   .   .   .   .   .   .   .   .   .   .   .</t>
    </r>
  </si>
  <si>
    <r>
      <t xml:space="preserve">Long-term capital loss carryover. Enter the amount, if any, from line 13 of your </t>
    </r>
    <r>
      <rPr>
        <b/>
        <sz val="10"/>
        <rFont val="Arial"/>
        <family val="2"/>
      </rPr>
      <t>Capital Loss Carryover</t>
    </r>
  </si>
  <si>
    <r>
      <t xml:space="preserve">Net long-term capital gain or (loss). </t>
    </r>
    <r>
      <rPr>
        <sz val="10"/>
        <rFont val="Arial"/>
        <family val="2"/>
      </rPr>
      <t>Combine lines 8a through 14 in column (h). Then go to Part III on
the back</t>
    </r>
    <r>
      <rPr>
        <b/>
        <sz val="10"/>
        <rFont val="Arial"/>
        <family val="2"/>
      </rPr>
      <t xml:space="preserve">   .   .   .   .   .   .   .   .   .   .   .   .   .   .   .   .   .   .   .   .   .   .   .   .   .   .   .   .   .   .   .   .   .   .   .   .   .   .   .   .   .   . </t>
    </r>
  </si>
  <si>
    <r>
      <t xml:space="preserve">If line 16 is a </t>
    </r>
    <r>
      <rPr>
        <b/>
        <sz val="10"/>
        <rFont val="Arial"/>
        <family val="2"/>
      </rPr>
      <t>gain</t>
    </r>
    <r>
      <rPr>
        <sz val="10"/>
        <rFont val="Arial"/>
        <family val="2"/>
      </rPr>
      <t>, enter the amount from line 16 on Schedule 1 (Form 1040), line 13, or Form</t>
    </r>
  </si>
  <si>
    <r>
      <t xml:space="preserve">If line 16 is a </t>
    </r>
    <r>
      <rPr>
        <b/>
        <sz val="10"/>
        <rFont val="Arial"/>
        <family val="2"/>
      </rPr>
      <t>loss</t>
    </r>
    <r>
      <rPr>
        <sz val="10"/>
        <rFont val="Arial"/>
        <family val="2"/>
      </rPr>
      <t>, skip lines 17 through 20 below. Then go to line 21. Also be sure to complete</t>
    </r>
  </si>
  <si>
    <r>
      <t xml:space="preserve">If line 16 is </t>
    </r>
    <r>
      <rPr>
        <b/>
        <sz val="10"/>
        <rFont val="Arial"/>
        <family val="2"/>
      </rPr>
      <t>zero</t>
    </r>
    <r>
      <rPr>
        <sz val="10"/>
        <rFont val="Arial"/>
        <family val="2"/>
      </rPr>
      <t>, skip lines 17 through 21 below and enter -0- on Schedule 1 (Form 1040), line</t>
    </r>
  </si>
  <si>
    <r>
      <t xml:space="preserve">Are lines 15 and 16 </t>
    </r>
    <r>
      <rPr>
        <b/>
        <sz val="11"/>
        <rFont val="Arial"/>
        <family val="2"/>
      </rPr>
      <t>both</t>
    </r>
    <r>
      <rPr>
        <sz val="11"/>
        <rFont val="Arial"/>
        <family val="2"/>
      </rPr>
      <t xml:space="preserve"> gains?</t>
    </r>
  </si>
  <si>
    <r>
      <t xml:space="preserve">If you are required to complete the </t>
    </r>
    <r>
      <rPr>
        <b/>
        <sz val="11"/>
        <rFont val="Arial"/>
        <family val="2"/>
      </rPr>
      <t>28% Rate Gain Worksheet</t>
    </r>
    <r>
      <rPr>
        <sz val="11"/>
        <rFont val="Arial"/>
        <family val="2"/>
      </rPr>
      <t xml:space="preserve"> (see instructions), enter the</t>
    </r>
  </si>
  <si>
    <r>
      <t xml:space="preserve">If you are required to complete the </t>
    </r>
    <r>
      <rPr>
        <b/>
        <sz val="11"/>
        <rFont val="Arial"/>
        <family val="2"/>
      </rPr>
      <t>Unrecaptured Section 1250 Gain Worksheet</t>
    </r>
    <r>
      <rPr>
        <sz val="11"/>
        <rFont val="Arial"/>
        <family val="2"/>
      </rPr>
      <t xml:space="preserve"> (see</t>
    </r>
  </si>
  <si>
    <t>Do you have qualified dividends on Form 1040, line 3a, or Form 1040NR, line 10b?</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</si>
  <si>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</si>
  <si>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Sch. 3, Line 48   OR   Form 1116, Line 8</t>
  </si>
  <si>
    <t>12A</t>
  </si>
  <si>
    <t>instructions). For long-term transactions, see page 2.</t>
  </si>
  <si>
    <t>Schedule D, line 1a; you aren't required to report these transactions on Form 8949 (see instructions).</t>
  </si>
  <si>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</si>
  <si>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</si>
  <si>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 xml:space="preserve">(C) </t>
    </r>
    <r>
      <rPr>
        <sz val="10"/>
        <rFont val="Arial"/>
        <family val="2"/>
      </rPr>
      <t>Short-term transactions not reported to you on Form 1099-B</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</si>
  <si>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</si>
  <si>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are generally short-term (see</t>
  </si>
  <si>
    <t>are generally long-term (see</t>
  </si>
  <si>
    <t>instructions). For short-term transactions, see page 1.</t>
  </si>
  <si>
    <t>you aren't required to report these transactions on Form 8949 (see instructions).</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</si>
  <si>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</si>
  <si>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</si>
  <si>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</si>
  <si>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</si>
  <si>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8"/>
        <rFont val="Arial"/>
        <family val="2"/>
      </rPr>
      <t>(b)</t>
    </r>
    <r>
      <rPr>
        <sz val="8"/>
        <rFont val="Arial"/>
        <family val="2"/>
      </rPr>
      <t xml:space="preserve">
Date acquired
(Mo., day, yr.)</t>
    </r>
  </si>
  <si>
    <r>
      <rPr>
        <b/>
        <sz val="8"/>
        <rFont val="Arial"/>
        <family val="2"/>
      </rPr>
      <t xml:space="preserve">(f) </t>
    </r>
    <r>
      <rPr>
        <sz val="8"/>
        <rFont val="Arial"/>
        <family val="2"/>
      </rPr>
      <t xml:space="preserve">
Code(s) from 
instructions</t>
    </r>
  </si>
  <si>
    <t>Credit for the Elderly or the Disabled</t>
  </si>
  <si>
    <t>Complete and attach to Form 1040.</t>
  </si>
  <si>
    <r>
      <t xml:space="preserve">Attachment
Sequence No. </t>
    </r>
    <r>
      <rPr>
        <b/>
        <sz val="12"/>
        <rFont val="Arial"/>
        <family val="2"/>
      </rPr>
      <t>16</t>
    </r>
  </si>
  <si>
    <t xml:space="preserve">Cat. No. 11359K </t>
  </si>
  <si>
    <t>Schedule R
(Form 1040)</t>
  </si>
  <si>
    <t>You were age 65 or older</t>
  </si>
  <si>
    <t xml:space="preserve">• </t>
  </si>
  <si>
    <t>You were under age 65, you retired on permanent and total disability, and</t>
  </si>
  <si>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</si>
  <si>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</si>
  <si>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</si>
  <si>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</si>
  <si>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</si>
  <si>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</si>
  <si>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</si>
  <si>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Head of household, or</t>
  </si>
  <si>
    <t>You were 65 or older</t>
  </si>
  <si>
    <t>You were under 65 and you retired on permanent and total disability</t>
  </si>
  <si>
    <t>Both spouses were 65 or older</t>
  </si>
  <si>
    <t>Both spouses were under 65, but only one spouse retired on permanent and</t>
  </si>
  <si>
    <t>total disability</t>
  </si>
  <si>
    <t>Both spouses were under 65, and both retired on permanent and total</t>
  </si>
  <si>
    <t>disability</t>
  </si>
  <si>
    <t>One spouse was 65 or older, and the other spouse was under 65 and retired</t>
  </si>
  <si>
    <t>on permanent and total disability</t>
  </si>
  <si>
    <t>One spouse was 65 or older, and the other spouse was under 65 and not</t>
  </si>
  <si>
    <t>retired on permanent and total disability</t>
  </si>
  <si>
    <t>You were 65 or older and you lived apart from your spouse for all of 2018 .</t>
  </si>
  <si>
    <t>Married filing</t>
  </si>
  <si>
    <t>jointly</t>
  </si>
  <si>
    <t>You were under 65, you retired on permanent and total disability, and you</t>
  </si>
  <si>
    <t>lived apart from your spouse for all of 2018</t>
  </si>
  <si>
    <t>Did you check</t>
  </si>
  <si>
    <t>box 1, 3, 7 or 8?</t>
  </si>
  <si>
    <t>—————</t>
  </si>
  <si>
    <t xml:space="preserve">   Statement of Permanent and Total Disability</t>
  </si>
  <si>
    <t>(Complete only if you checked box 2, 4, 5, 6, or 9 above.)</t>
  </si>
  <si>
    <t>If:</t>
  </si>
  <si>
    <t>You filed a physician’s statement for this disability for 1983 or an earlier year, or you filed or got a</t>
  </si>
  <si>
    <t>statement for tax years after 1983 and your physician signed line B on the statement, and</t>
  </si>
  <si>
    <t>Due to your continued disabled condition, you were unable to engage in any substantial gainful activity</t>
  </si>
  <si>
    <t>keep the statement for your records.</t>
  </si>
  <si>
    <r>
      <t xml:space="preserve">If you </t>
    </r>
    <r>
      <rPr>
        <b/>
        <sz val="10"/>
        <rFont val="Arial"/>
        <family val="2"/>
      </rPr>
      <t>didn’t</t>
    </r>
    <r>
      <rPr>
        <sz val="10"/>
        <rFont val="Arial"/>
        <family val="2"/>
      </rPr>
      <t xml:space="preserve"> check this box, have your physician complete the statement in the instructions. You </t>
    </r>
    <r>
      <rPr>
        <b/>
        <sz val="10"/>
        <rFont val="Arial"/>
        <family val="2"/>
      </rPr>
      <t>must</t>
    </r>
  </si>
  <si>
    <t xml:space="preserve">   Figure Your Credit</t>
  </si>
  <si>
    <t>If you checked (in Part I):</t>
  </si>
  <si>
    <t>Box 1, 2, 4, or 7</t>
  </si>
  <si>
    <t>Box 3, 5, or 6</t>
  </si>
  <si>
    <t>Box 8 or 9</t>
  </si>
  <si>
    <t>box 2, 4, 5, 6,</t>
  </si>
  <si>
    <t>or 9 in Part I?</t>
  </si>
  <si>
    <t>You must complete line 11.</t>
  </si>
  <si>
    <t>Enter the amount from line 10</t>
  </si>
  <si>
    <t>on line 12 and go to line 13.</t>
  </si>
  <si>
    <t>spouse who was under age 65. Enter the total.</t>
  </si>
  <si>
    <t>Box 2, 4, or 9, enter your taxable disability income.</t>
  </si>
  <si>
    <t>Box 5, add your taxable disability income to your spouse’s</t>
  </si>
  <si>
    <t>taxable disability income. Enter the total.</t>
  </si>
  <si>
    <t>——————————</t>
  </si>
  <si>
    <t>For more details on what to include on line 11, see Figure Your Credit in the instructions.</t>
  </si>
  <si>
    <t>Only one.</t>
  </si>
  <si>
    <r>
      <t xml:space="preserve">If you completed line 11, enter the </t>
    </r>
    <r>
      <rPr>
        <b/>
        <sz val="9"/>
        <rFont val="Arial"/>
        <family val="2"/>
      </rPr>
      <t>smaller</t>
    </r>
    <r>
      <rPr>
        <sz val="9"/>
        <rFont val="Arial"/>
        <family val="2"/>
      </rPr>
      <t xml:space="preserve"> of line 10 or line 11. </t>
    </r>
    <r>
      <rPr>
        <b/>
        <sz val="9"/>
        <rFont val="Arial"/>
        <family val="2"/>
      </rPr>
      <t>All others</t>
    </r>
    <r>
      <rPr>
        <sz val="9"/>
        <rFont val="Arial"/>
        <family val="2"/>
      </rPr>
      <t>, enter the</t>
    </r>
  </si>
  <si>
    <t>amount from line 10</t>
  </si>
  <si>
    <t>Enter the following pensions, annuities, or disability income that</t>
  </si>
  <si>
    <t>Nontaxable part of social security benefits and nontaxable part</t>
  </si>
  <si>
    <t>of railroad retirement benefits treated as social security (see</t>
  </si>
  <si>
    <t>13a</t>
  </si>
  <si>
    <t>Nontaxable veterans’ pensions and any other pension, annuity,</t>
  </si>
  <si>
    <t>or disability benefit that is excluded from income under any</t>
  </si>
  <si>
    <t>other provision of law (see instructions)</t>
  </si>
  <si>
    <t>13b</t>
  </si>
  <si>
    <t xml:space="preserve">.   .   .   .   .   .   .   .   .   .   .   .   .   .   .   .   .   .   .   .   .   .   .  </t>
  </si>
  <si>
    <t>Add lines 13a and 13b. (Even though these income items aren’t</t>
  </si>
  <si>
    <t>didn’t receive any of the types of nontaxable income listed on</t>
  </si>
  <si>
    <t>line 13a or 13b, enter -0- on line 13c</t>
  </si>
  <si>
    <r>
      <t xml:space="preserve">taxable, they </t>
    </r>
    <r>
      <rPr>
        <b/>
        <sz val="9"/>
        <rFont val="Arial"/>
        <family val="2"/>
      </rPr>
      <t>must</t>
    </r>
    <r>
      <rPr>
        <sz val="9"/>
        <rFont val="Arial"/>
        <family val="2"/>
      </rPr>
      <t xml:space="preserve"> be included here to figure your credit.) If you</t>
    </r>
  </si>
  <si>
    <t>Enter the amount from Form 1040,</t>
  </si>
  <si>
    <t>line 7</t>
  </si>
  <si>
    <t xml:space="preserve">  Skip Part II and complete Part III on the back.</t>
  </si>
  <si>
    <t xml:space="preserve">  Complete Parts II and III.</t>
  </si>
  <si>
    <t>13c</t>
  </si>
  <si>
    <t>Box 1 or 2</t>
  </si>
  <si>
    <t>Box 3, 4, 5, 6, or 7</t>
  </si>
  <si>
    <t>Subtract line 15 from line 14. If zero or</t>
  </si>
  <si>
    <t>less, enter -0-</t>
  </si>
  <si>
    <t>Enter one-half of line 16</t>
  </si>
  <si>
    <t>Add lines 13c and 17</t>
  </si>
  <si>
    <t>go to line 20</t>
  </si>
  <si>
    <t>Tax liability limit. Enter the amount from the Credit Limit Worksheet in the instructions</t>
  </si>
  <si>
    <t>this amount on Schedule 3 (Form 1040), line 54 (check box c and enter “Sch R” on the</t>
  </si>
  <si>
    <t>line next to that box)</t>
  </si>
  <si>
    <t>Download Form 1040 Schedule R</t>
  </si>
  <si>
    <t>Download Form 1040 Schedule R Instructions</t>
  </si>
  <si>
    <t>Credit Limit Worksheet—Line 21</t>
  </si>
  <si>
    <t>Use this worksheet to figure your credit limit.</t>
  </si>
  <si>
    <t>Enter the amount from Schedule 3 (Form 1040), lines 48 and 49</t>
  </si>
  <si>
    <t>Enter the amount from Form 1040, line 11</t>
  </si>
  <si>
    <t>Keep for your records</t>
  </si>
  <si>
    <t>Subtract line 2 from line 1. Enter this amount on Schedule R (Form 1040),</t>
  </si>
  <si>
    <t xml:space="preserve">line 21. </t>
  </si>
  <si>
    <t>But if zero or less, STOP, you can't take this credit</t>
  </si>
  <si>
    <r>
      <rPr>
        <b/>
        <sz val="9"/>
        <rFont val="Arial"/>
        <family val="2"/>
      </rPr>
      <t>Credit for the elderly or the disabled.</t>
    </r>
    <r>
      <rPr>
        <sz val="9"/>
        <rFont val="Arial"/>
        <family val="2"/>
      </rPr>
      <t xml:space="preserve"> Enter the </t>
    </r>
    <r>
      <rPr>
        <b/>
        <sz val="9"/>
        <rFont val="Arial"/>
        <family val="2"/>
      </rPr>
      <t>smaller</t>
    </r>
    <r>
      <rPr>
        <sz val="9"/>
        <rFont val="Arial"/>
        <family val="2"/>
      </rPr>
      <t xml:space="preserve"> of line 20 or line 21. Also enter</t>
    </r>
  </si>
  <si>
    <t>Subtract line 18 from line 12.</t>
  </si>
  <si>
    <r>
      <t xml:space="preserve">If zero or less, </t>
    </r>
    <r>
      <rPr>
        <b/>
        <sz val="9"/>
        <rFont val="Arial"/>
        <family val="2"/>
      </rPr>
      <t>stop</t>
    </r>
    <r>
      <rPr>
        <sz val="9"/>
        <rFont val="Arial"/>
        <family val="2"/>
      </rPr>
      <t xml:space="preserve">; you </t>
    </r>
    <r>
      <rPr>
        <b/>
        <sz val="9"/>
        <rFont val="Arial"/>
        <family val="2"/>
      </rPr>
      <t>can’t</t>
    </r>
    <r>
      <rPr>
        <sz val="9"/>
        <rFont val="Arial"/>
        <family val="2"/>
      </rPr>
      <t xml:space="preserve"> take the credit.</t>
    </r>
  </si>
  <si>
    <t>Otherwise,</t>
  </si>
  <si>
    <t xml:space="preserve">.   .   .   .   .   .   .   .   .   .   .   .   .   .   .   .   .   .   .   .   .   .   .   .   .   .   .   .   .   .   .   .  </t>
  </si>
  <si>
    <t>Business income or (loss).  Attach Schedule C or C-EZ</t>
  </si>
  <si>
    <t>Capital gain or (loss). Attach Schedule D if required. If not required, check here</t>
  </si>
  <si>
    <t>Farm income or (loss).  Attach Schedule F</t>
  </si>
  <si>
    <t>Other gains or (losses).  Attach Form 4797</t>
  </si>
  <si>
    <t>Unemployment compensation</t>
  </si>
  <si>
    <t>income, enter and include on Form 1040, line 6.  Otherwise, go to line 23</t>
  </si>
  <si>
    <t>Moving expenses for members of the Armed Forces.</t>
  </si>
  <si>
    <t xml:space="preserve">.   .   .   .  </t>
  </si>
  <si>
    <t>Alternative minimum tax.  Attach Form 6251</t>
  </si>
  <si>
    <t>Excess advance premium tax credit.  Attach Form 8962</t>
  </si>
  <si>
    <t>Add the amounts in the far right column.  Enter here and include on Form 1040, line 12</t>
  </si>
  <si>
    <t>Unreported social security and Medicare tax from:</t>
  </si>
  <si>
    <t>Self-employment tax.  Attach Schedule SE</t>
  </si>
  <si>
    <t>Repayment of first time homebuyer credit from Form 5404. Attach Form 5405, if</t>
  </si>
  <si>
    <t>required</t>
  </si>
  <si>
    <t>Form 8959</t>
  </si>
  <si>
    <t>Form 8960</t>
  </si>
  <si>
    <r>
      <t xml:space="preserve">Add the amounts in the far right column. These are your </t>
    </r>
    <r>
      <rPr>
        <b/>
        <sz val="11"/>
        <rFont val="Arial"/>
        <family val="2"/>
      </rPr>
      <t>total other taxes</t>
    </r>
    <r>
      <rPr>
        <sz val="11"/>
        <rFont val="Arial"/>
        <family val="2"/>
      </rPr>
      <t>. Enter</t>
    </r>
  </si>
  <si>
    <t>Section 965 net tax liability installment from Form</t>
  </si>
  <si>
    <t>Instructions; enter code(s)</t>
  </si>
  <si>
    <t>965-A</t>
  </si>
  <si>
    <t>here and on Form 1040, line 14</t>
  </si>
  <si>
    <t>checked.</t>
  </si>
  <si>
    <t>To override,</t>
  </si>
  <si>
    <t>of box to be</t>
  </si>
  <si>
    <t>enter number</t>
  </si>
  <si>
    <t xml:space="preserve">Under age 65? </t>
  </si>
  <si>
    <t>Go to www.irs.gov/ScheduleR for instructions and latest information.</t>
  </si>
  <si>
    <r>
      <rPr>
        <sz val="10"/>
        <rFont val="Arial"/>
        <family val="2"/>
      </rPr>
      <t xml:space="preserve">Form </t>
    </r>
    <r>
      <rPr>
        <b/>
        <sz val="10"/>
        <rFont val="Arial"/>
        <family val="2"/>
      </rPr>
      <t>a</t>
    </r>
  </si>
  <si>
    <t>Credit for federal tax on fuels.  Attach Form 4136</t>
  </si>
  <si>
    <t>Credits from</t>
  </si>
  <si>
    <r>
      <rPr>
        <sz val="10"/>
        <rFont val="Arial"/>
        <family val="2"/>
      </rPr>
      <t>Form:</t>
    </r>
    <r>
      <rPr>
        <sz val="9"/>
        <rFont val="Arial"/>
        <family val="2"/>
      </rPr>
      <t xml:space="preserve"> </t>
    </r>
    <r>
      <rPr>
        <b/>
        <sz val="10"/>
        <rFont val="Arial"/>
        <family val="2"/>
      </rPr>
      <t>a</t>
    </r>
  </si>
  <si>
    <r>
      <t xml:space="preserve">Add the amounts in the far right column. These are your total </t>
    </r>
    <r>
      <rPr>
        <b/>
        <sz val="11"/>
        <rFont val="Arial"/>
        <family val="2"/>
      </rPr>
      <t>other payments</t>
    </r>
  </si>
  <si>
    <r>
      <rPr>
        <b/>
        <sz val="10"/>
        <rFont val="Arial"/>
        <family val="2"/>
      </rPr>
      <t>and refundable credits.</t>
    </r>
    <r>
      <rPr>
        <sz val="10"/>
        <rFont val="Arial"/>
        <family val="2"/>
      </rPr>
      <t xml:space="preserve">  Enter here and on Form 1040, line 17</t>
    </r>
  </si>
  <si>
    <r>
      <t xml:space="preserve">taxable part to enter on line 4b.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</si>
  <si>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r>
      <t>More than one pension or annuity.</t>
    </r>
    <r>
      <rPr>
        <sz val="9"/>
        <rFont val="Arial"/>
        <family val="2"/>
      </rPr>
      <t xml:space="preserve">  If you had more than one partially taxable pension or annuity, figure the taxable part of each separately.</t>
    </r>
  </si>
  <si>
    <t xml:space="preserve">This is the amount you have recovered tax free through </t>
  </si>
  <si>
    <r>
      <t>No.</t>
    </r>
    <r>
      <rPr>
        <sz val="10"/>
        <rFont val="Arial"/>
        <family val="2"/>
      </rPr>
      <t xml:space="preserve">    Add lines 6 and 8.</t>
    </r>
  </si>
  <si>
    <r>
      <t xml:space="preserve">Be sure you have read the </t>
    </r>
    <r>
      <rPr>
        <b/>
        <i/>
        <sz val="10"/>
        <rFont val="Arial"/>
        <family val="2"/>
      </rPr>
      <t>Exception</t>
    </r>
    <r>
      <rPr>
        <sz val="10"/>
        <rFont val="Arial"/>
        <family val="2"/>
      </rPr>
      <t xml:space="preserve"> in the line 5a and 5b instructions to see if you can use this</t>
    </r>
  </si>
  <si>
    <t>worksheet instead of a publication to find out if any of your benefits are taxable.</t>
  </si>
  <si>
    <r>
      <t xml:space="preserve">Forms RRB-1099. </t>
    </r>
    <r>
      <rPr>
        <sz val="9"/>
        <rFont val="Arial"/>
        <family val="2"/>
      </rPr>
      <t xml:space="preserve"> Also, enter this amount on Form 1040, line 5a</t>
    </r>
  </si>
  <si>
    <t>.   .   .   .  1.</t>
  </si>
  <si>
    <t>Enter the amount, if any, from Form 1040, line 2a</t>
  </si>
  <si>
    <t>adjustments you entered on the dotted line next to Schedule 1, line 36 other than any amounts</t>
  </si>
  <si>
    <t>.   .   .   .   .   .   .   .   .   .   .   .   .   .   .   .   .   .   .   .   .   .   .   .   .   .   .   .   .   .   .</t>
  </si>
  <si>
    <t>identified as "DPAD"</t>
  </si>
  <si>
    <t xml:space="preserve">                       line 5b.</t>
  </si>
  <si>
    <r>
      <rPr>
        <b/>
        <sz val="10"/>
        <rFont val="Arial"/>
        <family val="2"/>
      </rPr>
      <t xml:space="preserve"> No.                </t>
    </r>
    <r>
      <rPr>
        <sz val="10"/>
        <rFont val="Arial"/>
        <family val="2"/>
      </rPr>
      <t>None of your social security benefits are taxable.  Enter -0- on Form 1040,</t>
    </r>
  </si>
  <si>
    <t>.   .   .   .   .   .   .   .   .   .   .   .   .</t>
  </si>
  <si>
    <r>
      <t xml:space="preserve">separately  and  you  </t>
    </r>
    <r>
      <rPr>
        <b/>
        <sz val="10"/>
        <rFont val="Arial"/>
        <family val="2"/>
      </rPr>
      <t>lived  apart</t>
    </r>
    <r>
      <rPr>
        <sz val="10"/>
        <rFont val="Arial"/>
        <family val="2"/>
      </rPr>
      <t xml:space="preserve">  from  your  spouse  for all</t>
    </r>
  </si>
  <si>
    <r>
      <t xml:space="preserve">Check here to remove </t>
    </r>
    <r>
      <rPr>
        <b/>
        <sz val="9"/>
        <color rgb="FF0070C0"/>
        <rFont val="Arial"/>
        <family val="2"/>
      </rPr>
      <t>blue</t>
    </r>
    <r>
      <rPr>
        <b/>
        <sz val="9"/>
        <color rgb="FF008000"/>
        <rFont val="Arial"/>
        <family val="2"/>
      </rPr>
      <t xml:space="preserve"> &amp; green colors from all sheets.</t>
    </r>
  </si>
  <si>
    <r>
      <t xml:space="preserve"> Yes.</t>
    </r>
    <r>
      <rPr>
        <sz val="10"/>
        <rFont val="Arial"/>
        <family val="2"/>
      </rPr>
      <t xml:space="preserve">  Subtract line 6 from line 5</t>
    </r>
    <r>
      <rPr>
        <b/>
        <sz val="10"/>
        <rFont val="Arial"/>
        <family val="2"/>
      </rPr>
      <t xml:space="preserve">     .   .   .   .   .   .   .   .   .   .   .</t>
    </r>
  </si>
  <si>
    <r>
      <t>Enter the</t>
    </r>
    <r>
      <rPr>
        <b/>
        <sz val="10"/>
        <rFont val="Arial"/>
        <family val="2"/>
      </rPr>
      <t xml:space="preserve"> smaller</t>
    </r>
    <r>
      <rPr>
        <sz val="10"/>
        <rFont val="Arial"/>
        <family val="2"/>
      </rPr>
      <t xml:space="preserve"> of line 2 or line 3.    If born after  January 1, </t>
    </r>
  </si>
  <si>
    <r>
      <t xml:space="preserve">Have qualified business income listed in Line 1 (c), </t>
    </r>
    <r>
      <rPr>
        <b/>
        <u/>
        <sz val="10"/>
        <rFont val="Arial"/>
        <family val="2"/>
      </rPr>
      <t>or</t>
    </r>
    <r>
      <rPr>
        <sz val="10"/>
        <rFont val="Arial"/>
        <family val="2"/>
      </rPr>
      <t xml:space="preserve"> REIT dividends or PTP income listed in Line 6.</t>
    </r>
  </si>
  <si>
    <t xml:space="preserve">i.  </t>
  </si>
  <si>
    <t xml:space="preserve">ii.  </t>
  </si>
  <si>
    <t xml:space="preserve">iii.  </t>
  </si>
  <si>
    <t xml:space="preserve">iv.  </t>
  </si>
  <si>
    <r>
      <rPr>
        <b/>
        <sz val="10"/>
        <rFont val="Arial"/>
        <family val="2"/>
      </rPr>
      <t>Qualified business income deduction.</t>
    </r>
    <r>
      <rPr>
        <sz val="10"/>
        <rFont val="Arial"/>
        <family val="2"/>
      </rPr>
      <t xml:space="preserve"> Enter the smaller of line 10 or line 14</t>
    </r>
  </si>
  <si>
    <t>Total qualified business income or (loss). Add the amounts in 1i through 1iv, column 1(c)</t>
  </si>
  <si>
    <t xml:space="preserve"> .   .   2.</t>
  </si>
  <si>
    <t xml:space="preserve"> .   .   .   .   .   .   .   .   .   .   .   .   .  </t>
  </si>
  <si>
    <t>Enter as a negative number</t>
  </si>
  <si>
    <t xml:space="preserve"> .   .   .   .   .   .   .   .   .   .   .   .   .   .   .   .   .   .   .   .   .   .   .   .   .  </t>
  </si>
  <si>
    <t xml:space="preserve">.   .   .   .   .   .   .   .   .   .   .   .   .   .   .   .   .   .   .   .   .   .   .   .   .   .   .   .   .   .   .   .   .   .   .   .   .   .   .  </t>
  </si>
  <si>
    <r>
      <rPr>
        <b/>
        <u/>
        <sz val="10"/>
        <rFont val="Arial"/>
        <family val="2"/>
      </rPr>
      <t>Qualified Dividends and Capital Gain Tax Worksheet</t>
    </r>
    <r>
      <rPr>
        <sz val="10"/>
        <rFont val="Arial"/>
        <family val="2"/>
      </rPr>
      <t>*, Schedule D Tax Worksheet*, or Form</t>
    </r>
  </si>
  <si>
    <t xml:space="preserve"> .    .    .    .    .    .    .    .    .    .    .    .    .    .    .    .    .    .    .    .    .    .    .    .    .    .    .    .    .    . </t>
  </si>
  <si>
    <t>Form 1040, line 10, from line 6 of your Qualified Dividends and Capital Gain Tax Worksheet (line 10 of your Schedule D Tax Worksheet). If</t>
  </si>
  <si>
    <t>If you don't have a capital gain excess, complete the rest of either of those worksheets according to the worksheet's instructions. Then</t>
  </si>
  <si>
    <r>
      <t xml:space="preserve">Use this worksheet to figure your tax if </t>
    </r>
    <r>
      <rPr>
        <u/>
        <sz val="10"/>
        <rFont val="Arial"/>
        <family val="2"/>
      </rPr>
      <t>any</t>
    </r>
    <r>
      <rPr>
        <sz val="10"/>
        <rFont val="Arial"/>
        <family val="2"/>
      </rPr>
      <t xml:space="preserve"> of the following applies:</t>
    </r>
  </si>
  <si>
    <t xml:space="preserve">.    .    .    .    .    .    .    .    .    .    .    .    .    .    .    .    .    .    .    . </t>
  </si>
  <si>
    <t>Line 17a --</t>
  </si>
  <si>
    <t>Are you claiming at least one child who meets the conditions to be your qualifying child and,</t>
  </si>
  <si>
    <t>Override -&gt;</t>
  </si>
  <si>
    <t>Enter “No” in the space to the left of Form 1040, line 17.</t>
  </si>
  <si>
    <t xml:space="preserve">(Check "No" if the other person isn't rquired to file, and </t>
  </si>
  <si>
    <t>credit.  Enter "No" in</t>
  </si>
  <si>
    <t>the space to the left of</t>
  </si>
  <si>
    <r>
      <rPr>
        <b/>
        <sz val="10"/>
        <rFont val="Arial"/>
        <family val="2"/>
      </rPr>
      <t>No.</t>
    </r>
    <r>
      <rPr>
        <sz val="10"/>
        <rFont val="Arial"/>
        <family val="2"/>
      </rPr>
      <t xml:space="preserve">  Go to Step 5.</t>
    </r>
  </si>
  <si>
    <r>
      <rPr>
        <b/>
        <sz val="10"/>
        <rFont val="Arial"/>
        <family val="2"/>
      </rPr>
      <t>No.</t>
    </r>
    <r>
      <rPr>
        <sz val="10"/>
        <rFont val="Arial"/>
        <family val="2"/>
      </rPr>
      <t xml:space="preserve">  Complete the</t>
    </r>
  </si>
  <si>
    <t>entered on the sheet labeled "Earned Inc Calc".</t>
  </si>
  <si>
    <t xml:space="preserve">"NCP" and the amount of your nontaxable </t>
  </si>
  <si>
    <t>combat pay I the space to the left of line 17 on</t>
  </si>
  <si>
    <r>
      <t xml:space="preserve">Form 1040.  See </t>
    </r>
    <r>
      <rPr>
        <i/>
        <sz val="10"/>
        <rFont val="Arial"/>
        <family val="2"/>
      </rPr>
      <t>Combat pay,</t>
    </r>
  </si>
  <si>
    <r>
      <rPr>
        <i/>
        <sz val="10"/>
        <rFont val="Arial"/>
        <family val="2"/>
      </rPr>
      <t>nontaxable</t>
    </r>
    <r>
      <rPr>
        <sz val="10"/>
        <rFont val="Arial"/>
        <family val="2"/>
      </rPr>
      <t>, later</t>
    </r>
  </si>
  <si>
    <r>
      <rPr>
        <b/>
        <i/>
        <sz val="10"/>
        <rFont val="Arial"/>
        <family val="2"/>
      </rPr>
      <t xml:space="preserve">Before you begin: </t>
    </r>
    <r>
      <rPr>
        <sz val="10"/>
        <rFont val="Arial"/>
        <family val="2"/>
      </rPr>
      <t xml:space="preserve"> Be sure you are using the correct worksheet.</t>
    </r>
  </si>
  <si>
    <t>Form 8862, who must  file, earlier, to find out if you must file Form 8862 to take the</t>
  </si>
  <si>
    <t>Don't include on these lines any statutory employee income, any net profit from services performed as a notary public,</t>
  </si>
  <si>
    <t>or any other amounts exempt from self-employment tax.</t>
  </si>
  <si>
    <t>any amount exempt from self-employment tax as the result of the filing and approval of Form 4029 or Form 4361,</t>
  </si>
  <si>
    <r>
      <t xml:space="preserve">Line 17a — </t>
    </r>
    <r>
      <rPr>
        <sz val="12"/>
        <rFont val="Arial"/>
        <family val="2"/>
      </rPr>
      <t>C</t>
    </r>
    <r>
      <rPr>
        <i/>
        <sz val="12"/>
        <rFont val="Arial"/>
        <family val="2"/>
      </rPr>
      <t>ontinued</t>
    </r>
  </si>
  <si>
    <r>
      <t xml:space="preserve">Worksheet </t>
    </r>
    <r>
      <rPr>
        <b/>
        <sz val="16"/>
        <rFont val="Arial"/>
        <family val="2"/>
      </rPr>
      <t>B</t>
    </r>
  </si>
  <si>
    <t xml:space="preserve">        If you want to figure the credit yourself, enter the amount from line 4b on line 6 of this worksheet.</t>
  </si>
  <si>
    <r>
      <rPr>
        <b/>
        <sz val="10"/>
        <rFont val="Arial"/>
        <family val="2"/>
      </rPr>
      <t>No.</t>
    </r>
    <r>
      <rPr>
        <sz val="10"/>
        <rFont val="Arial"/>
        <family val="2"/>
      </rPr>
      <t xml:space="preserve">   STOP  You can't take the credit. Enter “No” in the space to the left of Form 1040, line 17.</t>
    </r>
  </si>
  <si>
    <t>Line 17a</t>
  </si>
  <si>
    <t>Reminder  —</t>
  </si>
  <si>
    <t xml:space="preserve">Alimony received will no longer be included in your income if you entered into a divorce or separation agreement on or before December 31, 2018, and the agreement is changed after December 31, 2018, to expressly provide that alimony received is not included in your income. Alimony received will also not be included in income if a divorce or separation agreement is entered into after December 31, 2018. For more information, see Pub. 504. </t>
  </si>
  <si>
    <t>TIP</t>
  </si>
  <si>
    <t>Alimony paid will no longer be deductible if you entered into a divorce or separation agreement on or before December 31, 2018, and the agreement is changed after December 31, 2018, to expressly provide that alimony received is not included in your former spouse's income. Alimony paid will also not be deductible if a divorce or separation agreement is entered into after December 31, 2018. For more information, see Pub. 504.</t>
  </si>
  <si>
    <t>Figure any write-in adjustments to be entered on the dotted line next to Schedule 1, line 36 (see the instructions for line 36).</t>
  </si>
  <si>
    <t>line next to Schedule 1, line 32. If you do not, you may get a math error notice from the IRS.</t>
  </si>
  <si>
    <r>
      <t xml:space="preserve">Enter the amount from Form 1040, line 6  </t>
    </r>
    <r>
      <rPr>
        <b/>
        <sz val="10"/>
        <rFont val="Arial"/>
        <family val="2"/>
      </rPr>
      <t xml:space="preserve">.   .   .   .   .   .   .   .   .   .   .   .   .   .   .   .   .   . </t>
    </r>
    <r>
      <rPr>
        <sz val="10"/>
        <rFont val="Arial"/>
        <family val="2"/>
      </rPr>
      <t xml:space="preserve"> </t>
    </r>
  </si>
  <si>
    <t xml:space="preserve">Enter the total of the amounts from Schedule 1, lines 23 through 31a, </t>
  </si>
  <si>
    <t>plus any write-in adjustments you entered on the dotted line next to</t>
  </si>
  <si>
    <r>
      <t>Schedule 1, line 36, other than any amounts identified as "DPAD"</t>
    </r>
    <r>
      <rPr>
        <b/>
        <sz val="10"/>
        <rFont val="Arial"/>
        <family val="2"/>
      </rPr>
      <t xml:space="preserve">  .   .   .   .   .   .   .</t>
    </r>
  </si>
  <si>
    <r>
      <t xml:space="preserve">  IRA Deduction Worksheet –  Schedule 1, Line 32  – </t>
    </r>
    <r>
      <rPr>
        <sz val="12"/>
        <rFont val="Arial"/>
        <family val="2"/>
      </rPr>
      <t>Continued</t>
    </r>
  </si>
  <si>
    <t>IRA Deduction Worksheet – Schedule 1, Line 32</t>
  </si>
  <si>
    <t>other than any amounts identified as "DPAD"</t>
  </si>
  <si>
    <t>write-in adjustments you entered on the dotted line next to Schedule 1, line 36</t>
  </si>
  <si>
    <r>
      <rPr>
        <b/>
        <sz val="10"/>
        <rFont val="Arial"/>
        <family val="2"/>
      </rPr>
      <t>Student loan interest deduction.</t>
    </r>
    <r>
      <rPr>
        <sz val="10"/>
        <rFont val="Arial"/>
        <family val="2"/>
      </rPr>
      <t xml:space="preserve"> Subtract line 8 from line 1. Enter the result here and on Schedule 1, line 33</t>
    </r>
  </si>
  <si>
    <r>
      <rPr>
        <b/>
        <sz val="10"/>
        <rFont val="Arial"/>
        <family val="2"/>
      </rPr>
      <t>Don't</t>
    </r>
    <r>
      <rPr>
        <sz val="10"/>
        <rFont val="Arial"/>
        <family val="2"/>
      </rPr>
      <t xml:space="preserve"> include this amount in figuring any other deduction on your return (such as on Schedule A, C, E, etc.)</t>
    </r>
  </si>
  <si>
    <t>Sheet "Sch. 1, Line 32 (IRA)"</t>
  </si>
  <si>
    <t>Sheet "Line 33 (Stu Loan)"</t>
  </si>
  <si>
    <t>Sch. 1, Line 10 (SALT)</t>
  </si>
  <si>
    <r>
      <t xml:space="preserve"> Sequence No. </t>
    </r>
    <r>
      <rPr>
        <b/>
        <sz val="12"/>
        <rFont val="Arial"/>
        <family val="2"/>
      </rPr>
      <t>08</t>
    </r>
  </si>
  <si>
    <t xml:space="preserve"> Attachment</t>
  </si>
  <si>
    <r>
      <t xml:space="preserve">Subtract line 3 from line 2. Enter the result here and on Form 1040, Line 2b </t>
    </r>
    <r>
      <rPr>
        <b/>
        <sz val="9"/>
        <rFont val="Arial"/>
        <family val="2"/>
      </rPr>
      <t xml:space="preserve"> .   .   .   .   .   .   .   .   .</t>
    </r>
  </si>
  <si>
    <t xml:space="preserve">.   .   .   .   .   .   .   .   .   .   .   .   .   .   </t>
  </si>
  <si>
    <t xml:space="preserve"> .   .   .   .   .   .   .   .   .   .   .   </t>
  </si>
  <si>
    <t>Combine lines 1a, 1b, and 2</t>
  </si>
  <si>
    <t>(Rev. September 2018)</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</si>
  <si>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</si>
  <si>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Add lines B, C, and D, and enter the total here. </t>
    </r>
    <r>
      <rPr>
        <b/>
        <sz val="10"/>
        <rFont val="Arial"/>
        <family val="2"/>
      </rPr>
      <t>Then, read the information below</t>
    </r>
  </si>
  <si>
    <t>.   .   .   .   .   .   .   .   .   .   .   .   .   .</t>
  </si>
  <si>
    <t>Do not return this notice to the SSA or the IRS. Keep it with your records.</t>
  </si>
  <si>
    <t>IRS.gov</t>
  </si>
  <si>
    <t>Catalog No. 61879N</t>
  </si>
  <si>
    <t>Attach to Form 1040, Form 1040NR, Form 1041, or Form 1065.</t>
  </si>
  <si>
    <r>
      <t xml:space="preserve">Attachment
Sequence No. </t>
    </r>
    <r>
      <rPr>
        <b/>
        <sz val="12"/>
        <rFont val="Arial"/>
        <family val="2"/>
      </rPr>
      <t>14</t>
    </r>
  </si>
  <si>
    <t xml:space="preserve"> Social security number (SSN)</t>
  </si>
  <si>
    <r>
      <rPr>
        <b/>
        <sz val="9"/>
        <rFont val="Arial"/>
        <family val="2"/>
      </rPr>
      <t xml:space="preserve">D  </t>
    </r>
    <r>
      <rPr>
        <b/>
        <sz val="8"/>
        <rFont val="Arial"/>
        <family val="2"/>
      </rPr>
      <t>Employer ID number (EIN), (see instr)</t>
    </r>
  </si>
  <si>
    <r>
      <rPr>
        <b/>
        <sz val="10"/>
        <rFont val="Arial"/>
        <family val="2"/>
      </rPr>
      <t>Net farm profit or (loss).</t>
    </r>
    <r>
      <rPr>
        <sz val="10"/>
        <rFont val="Arial"/>
        <family val="2"/>
      </rPr>
      <t xml:space="preserve"> Subtract line 33 from line 9</t>
    </r>
  </si>
  <si>
    <t>.   .   .   .   .   .   .   .   .   .   .   .   .   .   .   .   .   .   .   .   .   .   .   .   .   .   .   .   .   .   .   .   .   .   .   .   .   .   .</t>
  </si>
  <si>
    <t>Sequence No.</t>
  </si>
  <si>
    <t xml:space="preserve">   Attachment     </t>
  </si>
  <si>
    <r>
      <t xml:space="preserve">tax home? See </t>
    </r>
    <r>
      <rPr>
        <b/>
        <i/>
        <sz val="10"/>
        <rFont val="Arial"/>
        <family val="2"/>
      </rPr>
      <t>Second foreign household</t>
    </r>
    <r>
      <rPr>
        <sz val="10"/>
        <rFont val="Arial"/>
        <family val="2"/>
      </rPr>
      <t xml:space="preserve"> in the instructions</t>
    </r>
  </si>
  <si>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</si>
  <si>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t xml:space="preserve">the income from column </t>
    </r>
    <r>
      <rPr>
        <b/>
        <sz val="11"/>
        <rFont val="Arial"/>
        <family val="2"/>
      </rPr>
      <t>(d)</t>
    </r>
    <r>
      <rPr>
        <sz val="11"/>
        <rFont val="Arial"/>
        <family val="2"/>
      </rPr>
      <t xml:space="preserve"> in Part IV, but report it on Form 1040.</t>
    </r>
  </si>
  <si>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</si>
  <si>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</si>
  <si>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</si>
  <si>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r>
      <rPr>
        <sz val="10"/>
        <rFont val="Arial"/>
        <family val="2"/>
      </rPr>
      <t>Form</t>
    </r>
    <r>
      <rPr>
        <sz val="11"/>
        <rFont val="Arial"/>
        <family val="2"/>
      </rPr>
      <t xml:space="preserve"> </t>
    </r>
    <r>
      <rPr>
        <b/>
        <sz val="12"/>
        <rFont val="Arial"/>
        <family val="2"/>
      </rPr>
      <t>2555</t>
    </r>
  </si>
  <si>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</si>
  <si>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</si>
  <si>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r>
      <t xml:space="preserve">Enter the </t>
    </r>
    <r>
      <rPr>
        <b/>
        <sz val="11"/>
        <rFont val="Arial"/>
        <family val="2"/>
      </rPr>
      <t>smaller</t>
    </r>
    <r>
      <rPr>
        <sz val="11"/>
        <rFont val="Arial"/>
        <family val="2"/>
      </rPr>
      <t xml:space="preserve"> of line 28 or line 29b</t>
    </r>
  </si>
  <si>
    <r>
      <rPr>
        <b/>
        <sz val="11"/>
        <rFont val="Arial"/>
        <family val="2"/>
      </rPr>
      <t xml:space="preserve">Housing exclusion. </t>
    </r>
    <r>
      <rPr>
        <sz val="11"/>
        <rFont val="Arial"/>
        <family val="2"/>
      </rPr>
      <t>Multiply line 33 by line 35. Enter the result but don't enter more than the</t>
    </r>
  </si>
  <si>
    <r>
      <rPr>
        <b/>
        <sz val="11"/>
        <rFont val="Arial"/>
        <family val="2"/>
      </rPr>
      <t xml:space="preserve">Note: </t>
    </r>
    <r>
      <rPr>
        <sz val="11"/>
        <rFont val="Arial"/>
        <family val="2"/>
      </rPr>
      <t>The housing deduction is figured in Part IX. If you choose to claim the foreign earned</t>
    </r>
  </si>
  <si>
    <r>
      <rPr>
        <b/>
        <sz val="11"/>
        <rFont val="Arial"/>
        <family val="2"/>
      </rPr>
      <t>Foreign earned income exclusion.</t>
    </r>
    <r>
      <rPr>
        <sz val="11"/>
        <rFont val="Arial"/>
        <family val="2"/>
      </rPr>
      <t xml:space="preserve"> Enter the </t>
    </r>
    <r>
      <rPr>
        <b/>
        <sz val="11"/>
        <rFont val="Arial"/>
        <family val="2"/>
      </rPr>
      <t>smaller</t>
    </r>
    <r>
      <rPr>
        <sz val="11"/>
        <rFont val="Arial"/>
        <family val="2"/>
      </rPr>
      <t xml:space="preserve"> of line 40 or line 41. Also, complete Part VIII</t>
    </r>
  </si>
  <si>
    <r>
      <t xml:space="preserve">Subtract line 44 from line 43. Enter the result here and in parentheses on </t>
    </r>
    <r>
      <rPr>
        <b/>
        <sz val="11"/>
        <rFont val="Arial"/>
        <family val="2"/>
      </rPr>
      <t>Schedule 1 (Form 1040),</t>
    </r>
  </si>
  <si>
    <t>your additional income to arrive at total income on Schedule 1 (Form 1040), line 22</t>
  </si>
  <si>
    <r>
      <rPr>
        <b/>
        <sz val="11"/>
        <rFont val="Arial"/>
        <family val="2"/>
      </rPr>
      <t>line 21</t>
    </r>
    <r>
      <rPr>
        <sz val="11"/>
        <rFont val="Arial"/>
        <family val="2"/>
      </rPr>
      <t>. Next to the amount enter “Form 2555.” On Schedule 1 (Form 1040), subtract this amount from</t>
    </r>
  </si>
  <si>
    <r>
      <t xml:space="preserve">Enter the </t>
    </r>
    <r>
      <rPr>
        <b/>
        <sz val="11"/>
        <rFont val="Arial"/>
        <family val="2"/>
      </rPr>
      <t>smaller</t>
    </r>
    <r>
      <rPr>
        <sz val="11"/>
        <rFont val="Arial"/>
        <family val="2"/>
      </rPr>
      <t xml:space="preserve"> of line 46 or line 47</t>
    </r>
  </si>
  <si>
    <r>
      <rPr>
        <b/>
        <sz val="11"/>
        <rFont val="Arial"/>
        <family val="2"/>
      </rPr>
      <t xml:space="preserve">Note:   </t>
    </r>
    <r>
      <rPr>
        <sz val="11"/>
        <rFont val="Arial"/>
        <family val="2"/>
      </rPr>
      <t xml:space="preserve"> 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 line 48 and you couldn't  deduct </t>
    </r>
  </si>
  <si>
    <r>
      <rPr>
        <b/>
        <sz val="11"/>
        <rFont val="Arial"/>
        <family val="2"/>
      </rPr>
      <t>Housing deduction.</t>
    </r>
    <r>
      <rPr>
        <sz val="11"/>
        <rFont val="Arial"/>
        <family val="2"/>
      </rPr>
      <t xml:space="preserve"> Add lines 48 and 49. Enter the total here and on Schedule 1 (Form 1040) to</t>
    </r>
  </si>
  <si>
    <t>the left of line 36. Next to the amount on Schedule 1 (Form 1040), line 36,  enter “Form 2555.”</t>
  </si>
  <si>
    <t>Add it to the total adjustments reported on line 36</t>
  </si>
  <si>
    <t>the instructions)</t>
  </si>
  <si>
    <r>
      <t xml:space="preserve">Sequence No. </t>
    </r>
    <r>
      <rPr>
        <b/>
        <sz val="12"/>
        <rFont val="Arial"/>
        <family val="2"/>
      </rPr>
      <t>32</t>
    </r>
  </si>
  <si>
    <r>
      <t>Passive activities (difference between AMT and regular tax income or loss)</t>
    </r>
    <r>
      <rPr>
        <b/>
        <sz val="10"/>
        <rFont val="Arial"/>
        <family val="2"/>
      </rPr>
      <t xml:space="preserve"> </t>
    </r>
  </si>
  <si>
    <r>
      <t xml:space="preserve">Alternative minimum taxable income. </t>
    </r>
    <r>
      <rPr>
        <sz val="10"/>
        <rFont val="Arial"/>
        <family val="2"/>
      </rPr>
      <t>Combine lines 1 through 3. (If married filing separately and line 4</t>
    </r>
  </si>
  <si>
    <r>
      <t xml:space="preserve">If line 4 is </t>
    </r>
    <r>
      <rPr>
        <b/>
        <sz val="10"/>
        <rFont val="Arial"/>
        <family val="2"/>
      </rPr>
      <t>over</t>
    </r>
    <r>
      <rPr>
        <sz val="10"/>
        <rFont val="Arial"/>
        <family val="2"/>
      </rPr>
      <t xml:space="preserve"> the amount shown above for your filing status, see instructions.</t>
    </r>
  </si>
  <si>
    <r>
      <t xml:space="preserve"> </t>
    </r>
    <r>
      <rPr>
        <sz val="9"/>
        <rFont val="Wingdings"/>
        <charset val="2"/>
      </rPr>
      <t>l</t>
    </r>
    <r>
      <rPr>
        <sz val="9"/>
        <rFont val="Arial"/>
        <family val="2"/>
      </rPr>
      <t xml:space="preserve">  If you are filing Form 2555 or 2555-EZ, see instructions for the amount to enter.</t>
    </r>
  </si>
  <si>
    <r>
      <t xml:space="preserve"> </t>
    </r>
    <r>
      <rPr>
        <sz val="9"/>
        <rFont val="Wingdings"/>
        <charset val="2"/>
      </rPr>
      <t>l</t>
    </r>
    <r>
      <rPr>
        <sz val="9"/>
        <rFont val="Arial"/>
        <family val="2"/>
      </rPr>
      <t xml:space="preserve">  If you reported capital gain distributions directly on Schedule 1 (Form 1040), line 13; you </t>
    </r>
  </si>
  <si>
    <r>
      <t xml:space="preserve"> </t>
    </r>
    <r>
      <rPr>
        <sz val="9"/>
        <rFont val="Wingdings"/>
        <charset val="2"/>
      </rPr>
      <t>l</t>
    </r>
  </si>
  <si>
    <t>Complete Part III only if you are required to do so by line 7 or by the Foreign Earned Income Tax Worksheet in the instructions.</t>
  </si>
  <si>
    <t>line 3 of the worksheet in the instructions for line 7</t>
  </si>
  <si>
    <t>for Schedule D (Form 1040), whichever applies (as refigured for the AMT, if necessary) (see instructions). If</t>
  </si>
  <si>
    <t>for Form 1040, line 11a, or the amount from line 13 of the Schedule D Tax Worksheet in the instructions</t>
  </si>
  <si>
    <t>for Schedule D (Form 1040), whichever applies (as figured for the regular tax). If you did not complete</t>
  </si>
  <si>
    <t>for Form 1040, line 11a, or the amount from line 19 of the Schedule D Tax Worksheet, whichever applies</t>
  </si>
  <si>
    <t>(as figured for the regular tax). If you did not complete either worksheet for the regular tax, enter the</t>
  </si>
  <si>
    <t>amount from Form 1040, line 10; if zero or less, enter -0-. If you are filing Form 2555 or Form 2555-EZ</t>
  </si>
  <si>
    <t>see instructions for the amount to enter</t>
  </si>
  <si>
    <t xml:space="preserve">.   .   .   .   .   .   .   .   .   .   .   .   .   .   .   .   .   .   .   .   .   .   .   .   .   .   .   .   .   .   .   . </t>
  </si>
  <si>
    <t>.   .   .   .   .   .   .   .   .   .   .   .   .   .   .   .   .   .   .   .   .   .   .   .   .   .   .   .   .   .   .   .   .   .</t>
  </si>
  <si>
    <t xml:space="preserve">.   .   .   .   .   .   .   .   .   .   .   .   .   .   .   .   .   .   .   .   .   .   .   .   .   .   .   .   .   .  </t>
  </si>
  <si>
    <t xml:space="preserve">   .   .   .   .   .   .   .   .   .   .   .   .   .   .   .   .   .   .   .   .   .   .   .   .   .   .   .   .   .   .   . </t>
  </si>
  <si>
    <r>
      <t xml:space="preserve">Are you filing </t>
    </r>
    <r>
      <rPr>
        <b/>
        <sz val="10"/>
        <rFont val="Arial"/>
        <family val="2"/>
      </rPr>
      <t>Schedule A</t>
    </r>
    <r>
      <rPr>
        <sz val="10"/>
        <rFont val="Arial"/>
        <family val="2"/>
      </rPr>
      <t>?</t>
    </r>
  </si>
  <si>
    <t xml:space="preserve">.   .   .   .   .   .   .   .   .   .   .   .   .   .   .   .   .   .   .   .   .   .   .   .   .   .   .   .   .   .   .   .   .   .   .   .   .   .  </t>
  </si>
  <si>
    <t xml:space="preserve">.   .   .   .   .   .   .   .   .   .   .   .   .   .   .   .   .   .   .   .   .   .   .   .   .   .   .   .   .   .   .   .   .   .   .   .  </t>
  </si>
  <si>
    <t>Exemption Worksheet—
Line 5</t>
  </si>
  <si>
    <t xml:space="preserve">  line 4, on line 6 and go to line 7.</t>
  </si>
  <si>
    <t>(AMTI) from Form 6251, line 4</t>
  </si>
  <si>
    <r>
      <t>enter -0-</t>
    </r>
    <r>
      <rPr>
        <b/>
        <sz val="10"/>
        <rFont val="Arial"/>
        <family val="2"/>
      </rPr>
      <t xml:space="preserve"> </t>
    </r>
  </si>
  <si>
    <t xml:space="preserve">.   .   .   .   .   .   .   .   .   .   .   .   .   .   .   .   .   .   .   .   .   .   .   .   .   .   .   .   .   .   .   .   .   .   .   .   .   .   .   .   .   . </t>
  </si>
  <si>
    <r>
      <t xml:space="preserve">If any of the three conditions under </t>
    </r>
    <r>
      <rPr>
        <i/>
        <sz val="10"/>
        <rFont val="Arial"/>
        <family val="2"/>
      </rPr>
      <t>Certain Children Under Age 24</t>
    </r>
    <r>
      <rPr>
        <sz val="10"/>
        <rFont val="Arial"/>
        <family val="2"/>
      </rPr>
      <t xml:space="preserve"> apply to</t>
    </r>
  </si>
  <si>
    <r>
      <t xml:space="preserve">Otherwise, </t>
    </r>
    <r>
      <rPr>
        <b/>
        <u/>
        <sz val="10"/>
        <color indexed="8"/>
        <rFont val="Arial"/>
        <family val="2"/>
      </rPr>
      <t>stop</t>
    </r>
    <r>
      <rPr>
        <b/>
        <sz val="10"/>
        <color indexed="8"/>
        <rFont val="Arial"/>
        <family val="2"/>
      </rPr>
      <t xml:space="preserve"> </t>
    </r>
    <r>
      <rPr>
        <b/>
        <u/>
        <sz val="10"/>
        <color indexed="8"/>
        <rFont val="Arial"/>
        <family val="2"/>
      </rPr>
      <t>here</t>
    </r>
    <r>
      <rPr>
        <sz val="10"/>
        <rFont val="Arial"/>
        <family val="2"/>
      </rPr>
      <t xml:space="preserve"> and enter this amount on Form 6251, line 5, and</t>
    </r>
  </si>
  <si>
    <t>go to Form 6251, line 6 .   .   .   .   .   .   .   .   .   .   .   .   .   .   .   .   .   .   .   .   .   .   .   .   .   .   .   .   .   .   .   .   .   .   .   .   .   .</t>
  </si>
  <si>
    <r>
      <t xml:space="preserve">Minimum exemption amount for certain children under age 24 </t>
    </r>
    <r>
      <rPr>
        <b/>
        <sz val="10"/>
        <rFont val="Arial"/>
        <family val="2"/>
      </rPr>
      <t xml:space="preserve"> .   .   .   .   .   .   .   .   .   .   .   .   .   .   .   .   .   .   .   .   .   .   .   .   .   .   .   .   .   .   .   .   .   .   .   .   .   .</t>
    </r>
  </si>
  <si>
    <r>
      <t>Enter your</t>
    </r>
    <r>
      <rPr>
        <b/>
        <sz val="10"/>
        <rFont val="Arial"/>
        <family val="2"/>
      </rPr>
      <t xml:space="preserve"> earned income</t>
    </r>
    <r>
      <rPr>
        <sz val="10"/>
        <rFont val="Arial"/>
        <family val="2"/>
      </rPr>
      <t>, if any (see instructions)</t>
    </r>
    <r>
      <rPr>
        <b/>
        <sz val="10"/>
        <rFont val="Arial"/>
        <family val="2"/>
      </rPr>
      <t xml:space="preserve">  .   .   .   .   .   .   .   .   .   .   .   .   .   .   .   .   .   .   .   .   .   .   .   .   .   .   .   .   .   .   .   .   .   .   .   .   .   .</t>
    </r>
  </si>
  <si>
    <r>
      <t xml:space="preserve">Add lines 7 and 8.  </t>
    </r>
    <r>
      <rPr>
        <b/>
        <sz val="10"/>
        <rFont val="Arial"/>
        <family val="2"/>
      </rPr>
      <t xml:space="preserve">  .   .   .   .   .   .   .   .   .   .   .   .   .   .   .   .   .   .   .   .   .   .   .   .   .   .   .   .   .   .   .   .   .   .   .   .   .   .</t>
    </r>
  </si>
  <si>
    <r>
      <t xml:space="preserve">Enter the </t>
    </r>
    <r>
      <rPr>
        <b/>
        <sz val="10"/>
        <rFont val="Arial"/>
        <family val="2"/>
      </rPr>
      <t>smaller</t>
    </r>
    <r>
      <rPr>
        <sz val="10"/>
        <rFont val="Arial"/>
        <family val="2"/>
      </rPr>
      <t xml:space="preserve"> of line 6 or line 9 here and on Form 6251, line 29,</t>
    </r>
  </si>
  <si>
    <r>
      <t>and go to Form 6251, line 6</t>
    </r>
    <r>
      <rPr>
        <b/>
        <sz val="10"/>
        <rFont val="Arial"/>
        <family val="2"/>
      </rPr>
      <t xml:space="preserve">   .   .   .   .   .   .   .   .   .   .   .   .   .   .   .   .   .   .   .   .   .   .  </t>
    </r>
  </si>
  <si>
    <t>Foreign Earned Income Tax Worksheet—Line 7</t>
  </si>
  <si>
    <t>If Form 6251, line 6, is zero, don't complete this worksheet.</t>
  </si>
  <si>
    <t>Enter the amount from Form 6251, line 6</t>
  </si>
  <si>
    <r>
      <t xml:space="preserve">If you reported capital gain distributions directly on Schedule 1 (Form 1040), line 13; </t>
    </r>
    <r>
      <rPr>
        <b/>
        <sz val="8"/>
        <rFont val="Arial"/>
        <family val="2"/>
      </rPr>
      <t>or</t>
    </r>
    <r>
      <rPr>
        <sz val="8"/>
        <rFont val="Arial"/>
        <family val="2"/>
      </rPr>
      <t xml:space="preserve"> you reported</t>
    </r>
  </si>
  <si>
    <r>
      <t xml:space="preserve">qualified dividends on Form 1040, line 3a; </t>
    </r>
    <r>
      <rPr>
        <b/>
        <sz val="8"/>
        <rFont val="Arial"/>
        <family val="2"/>
      </rPr>
      <t>or</t>
    </r>
    <r>
      <rPr>
        <sz val="8"/>
        <rFont val="Arial"/>
        <family val="2"/>
      </rPr>
      <t xml:space="preserve"> you had a gain on both lines 15 and 16 of Schedule D</t>
    </r>
  </si>
  <si>
    <t>(Form 1040)(as refigured for the AMT, if necessary), enter the amount from line 3 of this worksheet on</t>
  </si>
  <si>
    <t>Form 6251, line 12. Complete the rest of Part III of Form 6251. However, before completing Part III, see</t>
  </si>
  <si>
    <r>
      <t xml:space="preserve">Forms </t>
    </r>
    <r>
      <rPr>
        <i/>
        <sz val="8"/>
        <rFont val="Arial"/>
        <family val="2"/>
      </rPr>
      <t>2555 and 2555-EZ</t>
    </r>
    <r>
      <rPr>
        <sz val="8"/>
        <rFont val="Arial"/>
        <family val="2"/>
      </rPr>
      <t>, later, to see if you must complete Part III with certain modifications. Then</t>
    </r>
  </si>
  <si>
    <t>enter the amount from Form 6251, line 40, here.</t>
  </si>
  <si>
    <t>Subtract line 5 from line 4. Enter the result here and on Form 6251, line 7</t>
  </si>
  <si>
    <r>
      <t xml:space="preserve">Go to </t>
    </r>
    <r>
      <rPr>
        <i/>
        <sz val="10"/>
        <rFont val="Arial"/>
        <family val="2"/>
      </rPr>
      <t>www.irs.gov/Form8962</t>
    </r>
    <r>
      <rPr>
        <sz val="10"/>
        <rFont val="Arial"/>
        <family val="2"/>
      </rPr>
      <t xml:space="preserve"> for instructions and the latest information.</t>
    </r>
  </si>
  <si>
    <r>
      <rPr>
        <b/>
        <sz val="9"/>
        <rFont val="Arial"/>
        <family val="2"/>
      </rPr>
      <t>(a)</t>
    </r>
    <r>
      <rPr>
        <sz val="9"/>
        <rFont val="Arial"/>
        <family val="2"/>
      </rPr>
      <t xml:space="preserve"> Annual enrollment premiums (Form(s) 
1095-A, line 33A)</t>
    </r>
  </si>
  <si>
    <t>Annual Totals</t>
  </si>
  <si>
    <t>Excess advance premium tax credit repayment: Enter the smaller of line 27 or line 28 here and on Schedule 2</t>
  </si>
  <si>
    <t>Multiply the amounts on Form 1095-A by the allocation percentages entered by policy. Add all allocated policy amounts and non-</t>
  </si>
  <si>
    <t>Complete line(s) 35 and/or 36 to elect the alternative calculation for year of marriage. For eligibility to make the election, see instructions for line 9.</t>
  </si>
  <si>
    <t>Enter any amounts from Form 2555, lines 45 and 50</t>
  </si>
  <si>
    <t>and Form 2555-EZ, line 18</t>
  </si>
  <si>
    <t>If Form 1040, line 5a, is more than line 5b,</t>
  </si>
  <si>
    <t>*If you are filing Form 8814 and the amount on Form 8814, line 4, is more than $1,050, you must enter certain amounts from that form on Worksheet 1-2. See Form 8814 under line 2b.</t>
  </si>
  <si>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</si>
  <si>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t>Initial publication - DRAFT</t>
  </si>
  <si>
    <t>Line 12a (CTC)</t>
  </si>
  <si>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</si>
  <si>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https://www.zellepay.com/</t>
  </si>
  <si>
    <t>(Send to:  GlennReeves@email.com )</t>
  </si>
  <si>
    <t>https://paypal.me/incometaxspreadsheet</t>
  </si>
  <si>
    <t>Glenn Reeves</t>
  </si>
  <si>
    <t>(Tax Calculator)</t>
  </si>
  <si>
    <t>1 Burlingwood Ct.</t>
  </si>
  <si>
    <t>Burlington, KS  66839-2418</t>
  </si>
  <si>
    <t>US Mail:</t>
  </si>
  <si>
    <t>PayPal</t>
  </si>
  <si>
    <t>Zelle (App)</t>
  </si>
  <si>
    <t>(Send to:  IncomeTaxSpreadsheet@gmail.com )</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</si>
  <si>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</si>
  <si>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t>Thank you for using my spreadsheet and for any money you decide to send!</t>
  </si>
  <si>
    <t xml:space="preserve">particular line, then look for a sheet associated with that line (e.g. "Line 9 (QBID)") to determine if additional </t>
  </si>
  <si>
    <r>
      <rPr>
        <sz val="9"/>
        <rFont val="Arial"/>
        <family val="2"/>
      </rPr>
      <t>Form</t>
    </r>
    <r>
      <rPr>
        <sz val="10"/>
        <rFont val="Arial"/>
        <family val="2"/>
      </rPr>
      <t xml:space="preserve"> </t>
    </r>
    <r>
      <rPr>
        <b/>
        <sz val="24"/>
        <rFont val="Arial"/>
        <family val="2"/>
      </rPr>
      <t>1116</t>
    </r>
  </si>
  <si>
    <r>
      <t xml:space="preserve">Go to </t>
    </r>
    <r>
      <rPr>
        <b/>
        <i/>
        <sz val="9"/>
        <rFont val="Arial"/>
        <family val="2"/>
      </rPr>
      <t>www.irs.gov/Form1116</t>
    </r>
    <r>
      <rPr>
        <b/>
        <sz val="9"/>
        <rFont val="Arial"/>
        <family val="2"/>
      </rPr>
      <t xml:space="preserve"> for instructions and the latest information.</t>
    </r>
  </si>
  <si>
    <r>
      <t xml:space="preserve"> </t>
    </r>
    <r>
      <rPr>
        <b/>
        <sz val="9"/>
        <rFont val="Arial"/>
        <family val="2"/>
      </rPr>
      <t>Deductions and losses (Caution:</t>
    </r>
    <r>
      <rPr>
        <sz val="9"/>
        <rFont val="Arial"/>
        <family val="2"/>
      </rPr>
      <t xml:space="preserve"> See instructions.):</t>
    </r>
  </si>
  <si>
    <r>
      <t xml:space="preserve">Foreign Taxes Paid or Accrued </t>
    </r>
    <r>
      <rPr>
        <sz val="12"/>
        <rFont val="Arial"/>
        <family val="2"/>
      </rPr>
      <t xml:space="preserve"> (see instructions)</t>
    </r>
  </si>
  <si>
    <r>
      <rPr>
        <sz val="9"/>
        <rFont val="Arial"/>
        <family val="2"/>
      </rPr>
      <t xml:space="preserve">Page </t>
    </r>
    <r>
      <rPr>
        <b/>
        <sz val="12"/>
        <rFont val="Arial"/>
        <family val="2"/>
      </rPr>
      <t>2</t>
    </r>
  </si>
  <si>
    <r>
      <rPr>
        <sz val="9"/>
        <rFont val="Arial"/>
        <family val="2"/>
      </rPr>
      <t xml:space="preserve">Form </t>
    </r>
    <r>
      <rPr>
        <b/>
        <sz val="24"/>
        <rFont val="Arial"/>
        <family val="2"/>
      </rPr>
      <t>1116</t>
    </r>
  </si>
  <si>
    <t>(l) Date paid</t>
  </si>
  <si>
    <t>Updated for 2018.  No longer a DRAFT version.</t>
  </si>
  <si>
    <r>
      <t>4</t>
    </r>
    <r>
      <rPr>
        <b/>
        <sz val="9"/>
        <rFont val="Arial"/>
        <family val="2"/>
      </rPr>
      <t xml:space="preserve">  Attach to Form 1040 or Form 1040NR.</t>
    </r>
  </si>
  <si>
    <r>
      <t xml:space="preserve">Enter your </t>
    </r>
    <r>
      <rPr>
        <b/>
        <sz val="10"/>
        <rFont val="Arial"/>
        <family val="2"/>
      </rPr>
      <t xml:space="preserve">earned income.   </t>
    </r>
    <r>
      <rPr>
        <sz val="10"/>
        <rFont val="Arial"/>
        <family val="2"/>
      </rPr>
      <t>See instructions</t>
    </r>
  </si>
  <si>
    <t xml:space="preserve"> .    .    .    .    . </t>
  </si>
  <si>
    <r>
      <t xml:space="preserve">received as an employee should be shown in box 10 of your Form(s) W-2.   </t>
    </r>
    <r>
      <rPr>
        <b/>
        <sz val="11"/>
        <rFont val="Arial"/>
        <family val="2"/>
      </rPr>
      <t>Don't</t>
    </r>
    <r>
      <rPr>
        <sz val="11"/>
        <rFont val="Arial"/>
        <family val="2"/>
      </rPr>
      <t xml:space="preserve"> include</t>
    </r>
  </si>
  <si>
    <r>
      <t xml:space="preserve">Enter total  amount of </t>
    </r>
    <r>
      <rPr>
        <b/>
        <sz val="11"/>
        <rFont val="Arial"/>
        <family val="2"/>
      </rPr>
      <t xml:space="preserve">dependent care benefits </t>
    </r>
    <r>
      <rPr>
        <sz val="11"/>
        <rFont val="Arial"/>
        <family val="2"/>
      </rPr>
      <t xml:space="preserve"> you</t>
    </r>
  </si>
  <si>
    <t>Combine lines 12 through 14. See instructions</t>
  </si>
  <si>
    <r>
      <t xml:space="preserve">Enter the total amount of </t>
    </r>
    <r>
      <rPr>
        <b/>
        <sz val="11"/>
        <rFont val="Arial"/>
        <family val="2"/>
      </rPr>
      <t>qualified expenses</t>
    </r>
    <r>
      <rPr>
        <sz val="11"/>
        <rFont val="Arial"/>
        <family val="2"/>
      </rPr>
      <t xml:space="preserve"> incurred</t>
    </r>
  </si>
  <si>
    <t>qualifying person(s)</t>
  </si>
  <si>
    <r>
      <t>Deductible benefits.</t>
    </r>
    <r>
      <rPr>
        <sz val="11"/>
        <rFont val="Arial"/>
        <family val="2"/>
      </rPr>
      <t xml:space="preserve"> Enter the </t>
    </r>
    <r>
      <rPr>
        <b/>
        <sz val="11"/>
        <rFont val="Arial"/>
        <family val="2"/>
      </rPr>
      <t>smallest</t>
    </r>
    <r>
      <rPr>
        <sz val="11"/>
        <rFont val="Arial"/>
        <family val="2"/>
      </rPr>
      <t xml:space="preserve"> of line 20, 21, or 22. Also, include this amount on</t>
    </r>
  </si>
  <si>
    <t>the appropriate line(s) of your return. See instructions</t>
  </si>
  <si>
    <r>
      <rPr>
        <b/>
        <sz val="11"/>
        <rFont val="Arial"/>
        <family val="2"/>
      </rPr>
      <t>Excluded benefits.</t>
    </r>
    <r>
      <rPr>
        <sz val="11"/>
        <rFont val="Arial"/>
        <family val="2"/>
      </rPr>
      <t xml:space="preserve"> </t>
    </r>
    <r>
      <rPr>
        <b/>
        <sz val="11"/>
        <rFont val="Arial"/>
        <family val="2"/>
      </rPr>
      <t xml:space="preserve"> </t>
    </r>
    <r>
      <rPr>
        <sz val="11"/>
        <rFont val="Arial"/>
        <family val="2"/>
      </rPr>
      <t>If you checked "No" on line 22, enter the smaller of line 20 or 21.</t>
    </r>
  </si>
  <si>
    <r>
      <rPr>
        <b/>
        <sz val="11"/>
        <rFont val="Arial"/>
        <family val="2"/>
      </rPr>
      <t>Taxable benefits.</t>
    </r>
    <r>
      <rPr>
        <sz val="11"/>
        <rFont val="Arial"/>
        <family val="2"/>
      </rPr>
      <t xml:space="preserve"> Subtract line 25 from line 23. If zero or less, enter -0-. Also, include this</t>
    </r>
  </si>
  <si>
    <t>Add lines 24 and 25</t>
  </si>
  <si>
    <t>Subtract line 28 from line 27.</t>
  </si>
  <si>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</si>
  <si>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(c) any benefits shown on</t>
    </r>
  </si>
  <si>
    <r>
      <t>on line 28 above. Then, add the amounts in column (c) and enter the total here</t>
    </r>
    <r>
      <rPr>
        <b/>
        <sz val="10"/>
        <rFont val="Arial"/>
        <family val="2"/>
      </rPr>
      <t xml:space="preserve">  .   .   .   .   .   .   .</t>
    </r>
  </si>
  <si>
    <r>
      <t xml:space="preserve">Enter the </t>
    </r>
    <r>
      <rPr>
        <b/>
        <sz val="11"/>
        <rFont val="Arial"/>
        <family val="2"/>
      </rPr>
      <t>smaller</t>
    </r>
    <r>
      <rPr>
        <sz val="11"/>
        <rFont val="Arial"/>
        <family val="2"/>
      </rPr>
      <t xml:space="preserve"> of line 29 or 30. Also, enter this amount on line 3 on the front of this form</t>
    </r>
  </si>
  <si>
    <r>
      <t xml:space="preserve">If zero or less, </t>
    </r>
    <r>
      <rPr>
        <b/>
        <sz val="11"/>
        <rFont val="Arial"/>
        <family val="2"/>
      </rPr>
      <t>stop</t>
    </r>
    <r>
      <rPr>
        <sz val="11"/>
        <rFont val="Arial"/>
        <family val="2"/>
      </rPr>
      <t>.    You can't take the credit.</t>
    </r>
  </si>
  <si>
    <r>
      <t>See instructions</t>
    </r>
    <r>
      <rPr>
        <b/>
        <sz val="10"/>
        <rFont val="Arial"/>
        <family val="2"/>
      </rPr>
      <t xml:space="preserve">   .   .   .   .  </t>
    </r>
  </si>
  <si>
    <r>
      <t xml:space="preserve">Enter the </t>
    </r>
    <r>
      <rPr>
        <b/>
        <sz val="12"/>
        <rFont val="Arial"/>
        <family val="2"/>
      </rPr>
      <t>smaller</t>
    </r>
    <r>
      <rPr>
        <sz val="12"/>
        <rFont val="Arial"/>
        <family val="2"/>
      </rPr>
      <t xml:space="preserve"> of line 15 or 16</t>
    </r>
  </si>
  <si>
    <r>
      <t xml:space="preserve">Enter your </t>
    </r>
    <r>
      <rPr>
        <b/>
        <sz val="12"/>
        <rFont val="Arial"/>
        <family val="2"/>
      </rPr>
      <t>earned income.</t>
    </r>
    <r>
      <rPr>
        <sz val="12"/>
        <rFont val="Arial"/>
        <family val="2"/>
      </rPr>
      <t xml:space="preserve">  See instructions</t>
    </r>
  </si>
  <si>
    <r>
      <t>h</t>
    </r>
    <r>
      <rPr>
        <sz val="12"/>
        <rFont val="Arial"/>
        <family val="2"/>
      </rPr>
      <t xml:space="preserve"> If married filing a joint return, enter your</t>
    </r>
  </si>
  <si>
    <r>
      <t>h</t>
    </r>
    <r>
      <rPr>
        <sz val="12"/>
        <rFont val="Arial"/>
        <family val="2"/>
      </rPr>
      <t xml:space="preserve"> If married filing separately, see</t>
    </r>
  </si>
  <si>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</si>
  <si>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</si>
  <si>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</si>
  <si>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</si>
  <si>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Mandatory contributions you made to state disability benefit funds, temporary disability benefit funds, etc.</t>
  </si>
  <si>
    <r>
      <t xml:space="preserve">Total expenses.  </t>
    </r>
    <r>
      <rPr>
        <sz val="10"/>
        <rFont val="Arial"/>
        <family val="2"/>
      </rPr>
      <t>Add lines 10 through 32f. If line 32f is negative, see instructions</t>
    </r>
  </si>
  <si>
    <r>
      <rPr>
        <b/>
        <sz val="10"/>
        <rFont val="Arial"/>
        <family val="2"/>
      </rPr>
      <t xml:space="preserve">Gross income.  </t>
    </r>
    <r>
      <rPr>
        <sz val="10"/>
        <rFont val="Arial"/>
        <family val="2"/>
      </rPr>
      <t>Add amounts in the right column (lines 1c, 2, 3b, 4b, 5a, 5c, 6b, 6d, 7, and 8). If you use the</t>
    </r>
  </si>
  <si>
    <t>All sheets</t>
  </si>
  <si>
    <t>Tweaked pagination and formatting (ie. appearance) on all sheets.</t>
  </si>
  <si>
    <t>Deductions (Form 1040, Line 8)</t>
  </si>
  <si>
    <t>(Form 1040, Line 7)</t>
  </si>
  <si>
    <r>
      <rPr>
        <b/>
        <sz val="10"/>
        <rFont val="Arial"/>
        <family val="2"/>
      </rPr>
      <t>Taxable income.</t>
    </r>
    <r>
      <rPr>
        <sz val="10"/>
        <rFont val="Arial"/>
        <family val="2"/>
      </rPr>
      <t xml:space="preserve"> Subtract deductions (3.b) from</t>
    </r>
  </si>
  <si>
    <t>(3.c)</t>
  </si>
  <si>
    <t>20% of taxable income (3.d)</t>
  </si>
  <si>
    <t>QBID (Unofficial)</t>
  </si>
  <si>
    <t>Reworked calculation of "Taxable Income" (Step 3) to remove capital gains reduction.</t>
  </si>
  <si>
    <r>
      <t>Schedule AI—Annualized Income Installment Method</t>
    </r>
    <r>
      <rPr>
        <sz val="10"/>
        <rFont val="Arial"/>
        <family val="2"/>
      </rPr>
      <t xml:space="preserve"> (See the instructions if you are filing Form 1040NR or 1040NR-EZ.)</t>
    </r>
  </si>
  <si>
    <t>Deduction for qualified business income</t>
  </si>
  <si>
    <t>Subtract line 10 from line 3</t>
  </si>
  <si>
    <t>Overpayment. If line 23 is more than line 18,</t>
  </si>
  <si>
    <t>Multiply line 4 by line 5</t>
  </si>
  <si>
    <t>business apprentices, see instructions.)</t>
  </si>
  <si>
    <t>Form 1040, 1040NR, or 1040NR-EZ filers, enter -0-</t>
  </si>
  <si>
    <t>Self-employment tax from line 36 (complete Part II below)</t>
  </si>
  <si>
    <t>Total tax. Add lines 14, 15, and 16</t>
  </si>
  <si>
    <t>Subtract line 18 from line 17. If zero or less, enter -0-</t>
  </si>
  <si>
    <t>Multiply line 19 by line 20</t>
  </si>
  <si>
    <t>Complete lines 22–27 of one column before</t>
  </si>
  <si>
    <t>going to line 22 of the next column.</t>
  </si>
  <si>
    <t>Enter the total of the amounts in all previous columns of line 27</t>
  </si>
  <si>
    <t>Subtract line 27 of the previous column from line 26</t>
  </si>
  <si>
    <t>Subtract line 30 from line 29. If zero or less, enter -0-</t>
  </si>
  <si>
    <t>Multiply line 28 by line 34</t>
  </si>
  <si>
    <t>Add lines 33 and 35. Enter here and on line 15 above</t>
  </si>
  <si>
    <t>Taxable amount not determined / total distr.</t>
  </si>
  <si>
    <t>Updated for 2018 but still a DRAFT.  (Neither form nor instructions have been issued.)</t>
  </si>
  <si>
    <t>on Form 1040, line 11a. Instead, enter it on line 4 of the Foreign Earned Income Tax Worksheet in the Form 1040 instructions)</t>
  </si>
  <si>
    <r>
      <t>If using copy/paste to copy information from another source, be sure to paste using '</t>
    </r>
    <r>
      <rPr>
        <b/>
        <sz val="10"/>
        <rFont val="Arial"/>
        <family val="2"/>
      </rPr>
      <t>Paste-Values</t>
    </r>
    <r>
      <rPr>
        <sz val="10"/>
        <rFont val="Arial"/>
        <family val="2"/>
      </rPr>
      <t>'.</t>
    </r>
  </si>
  <si>
    <t>Click on the tab labeled '1040' and enter all of the information required for Form 1040, Page 1.</t>
  </si>
  <si>
    <t>HINT:  Recommend regularly checking and saving your spreadsheet.</t>
  </si>
  <si>
    <t>same as any visible character.</t>
  </si>
  <si>
    <t>Do not press the &lt;space&gt; bar because, although it is invisible, the &lt;space&gt; character is treated the</t>
  </si>
  <si>
    <t>Enter your birthdate and, if filing Married - Filing Jointly, enter your spouse's birthdate to the right of the Form 1040.</t>
  </si>
  <si>
    <t>per person</t>
  </si>
  <si>
    <t>2.  Is this 'domestic income'?</t>
  </si>
  <si>
    <t>© Glenn Reeves, 2019</t>
  </si>
  <si>
    <t>Corrected calculation for Line 11 of Schedule AI, Part I.  Thank you, Eric J.</t>
  </si>
  <si>
    <t>W-2</t>
  </si>
  <si>
    <t>Added names "W2_Wages_You" &amp; "W2_Wages_Spouse"</t>
  </si>
  <si>
    <t>1099-R</t>
  </si>
  <si>
    <t>Added names "IRA_Taxable_You", "PA_Taxable_You", "IRA_Taxable_Spouse", &amp; "PA_Taxable_Spouse"</t>
  </si>
  <si>
    <t>Added names "Address", "Apt_No.", "City_State_Zip"</t>
  </si>
  <si>
    <t>Corrected tax calculation for Sch. AI, Line 14c.  Thank you, Joe Z.</t>
  </si>
  <si>
    <t>on line 4b; do not make an entry on line 4a.</t>
  </si>
  <si>
    <t>enter the total pension or annuity payments (from Form(s) 1099-R, box 1)</t>
  </si>
  <si>
    <t>Form 8960, Line 9b (for Dist. Code 'D' only)</t>
  </si>
  <si>
    <t>Form 8960, Line 3 (for Dist. Code 'D' only)</t>
  </si>
  <si>
    <r>
      <t xml:space="preserve">Distribution code(s) </t>
    </r>
    <r>
      <rPr>
        <b/>
        <sz val="10"/>
        <rFont val="Arial"/>
        <family val="2"/>
      </rPr>
      <t>(Portion of line 2a w/Code D)</t>
    </r>
  </si>
  <si>
    <t>Portion of state and local taxes w/Code D</t>
  </si>
  <si>
    <t>Modified line 7 (Row 61) and line 16 (Row 71) to include amounts for non-qualified annuities (Dist. Code D) -- to be used in Form 8960, lines 3 and 9b.</t>
  </si>
  <si>
    <t>Modified line 9b to include state and local taxes attributable to investment income.  Specifically, line 9b includes state and local taxes paid from 1099-INT, 1099-DIV, and 1099-R (Dist. Code D).</t>
  </si>
  <si>
    <t xml:space="preserve">  .   .   .   .   .   .   .   .   .   .   . </t>
  </si>
  <si>
    <r>
      <rPr>
        <b/>
        <sz val="10"/>
        <rFont val="Arial"/>
        <family val="2"/>
      </rPr>
      <t>Enter here and include on your tax return</t>
    </r>
    <r>
      <rPr>
        <sz val="10"/>
        <rFont val="Arial"/>
        <family val="2"/>
      </rPr>
      <t xml:space="preserve"> (see instructions)</t>
    </r>
  </si>
  <si>
    <r>
      <t>Enter here and include on your tax return</t>
    </r>
    <r>
      <rPr>
        <sz val="10"/>
        <rFont val="Arial"/>
        <family val="2"/>
      </rPr>
      <t xml:space="preserve"> (see instructions)</t>
    </r>
  </si>
  <si>
    <t xml:space="preserve"> .   .   .   .   .   .   .   .   .   .   .   .   .   .   . </t>
  </si>
  <si>
    <t xml:space="preserve">   .   .   .   .   .   .   .   .   .   .   .   .   .   .   .   .   .   .   .   .   .   .   .   . </t>
  </si>
  <si>
    <t xml:space="preserve">  .   .   .   .   .   .   .   .   .   .   .   .   .   .   .   .   .   .   . </t>
  </si>
  <si>
    <r>
      <rPr>
        <b/>
        <sz val="9"/>
        <rFont val="Arial"/>
        <family val="2"/>
      </rPr>
      <t>Who Must File:</t>
    </r>
    <r>
      <rPr>
        <sz val="9"/>
        <rFont val="Arial"/>
        <family val="2"/>
      </rPr>
      <t xml:space="preserve">  Attach Form 8960 to your return if your modified adjusted gross income (MAGI) is greater than the applicable threshold amount.</t>
    </r>
  </si>
  <si>
    <t>Added advisory note to "Check Form 8960" if Modified Adjusted Gross Income (MAGI) is greater that specified threshold (based on filing status).</t>
  </si>
  <si>
    <t>Updated for 2018.  No longer a DRAFT version.  Also, improved form so that it indicates whether or not it should be filed.</t>
  </si>
  <si>
    <t>Family coverage at any time?</t>
  </si>
  <si>
    <t>Step 3</t>
  </si>
  <si>
    <t>Step 4</t>
  </si>
  <si>
    <t>Corrected logic for calculation of Line 6 for case where filer and spouse had separate HSAs and family coverage at some time during the year.  Thank you, Martin P.</t>
  </si>
  <si>
    <t>Leave line 8 blank. Enter -0- on line 9.</t>
  </si>
  <si>
    <t>Go to Part 2 on the next page.</t>
  </si>
  <si>
    <r>
      <rPr>
        <b/>
        <sz val="10"/>
        <rFont val="Arial"/>
        <family val="2"/>
      </rPr>
      <t>Schedule 3,</t>
    </r>
    <r>
      <rPr>
        <sz val="10"/>
        <rFont val="Arial"/>
        <family val="2"/>
      </rPr>
      <t xml:space="preserve"> line 48</t>
    </r>
  </si>
  <si>
    <r>
      <rPr>
        <b/>
        <sz val="10"/>
        <rFont val="Arial"/>
        <family val="2"/>
      </rPr>
      <t>Schedule 3,</t>
    </r>
    <r>
      <rPr>
        <sz val="10"/>
        <rFont val="Arial"/>
        <family val="2"/>
      </rPr>
      <t xml:space="preserve"> line 49</t>
    </r>
  </si>
  <si>
    <r>
      <rPr>
        <b/>
        <sz val="10"/>
        <rFont val="Arial"/>
        <family val="2"/>
      </rPr>
      <t>Schedule 3,</t>
    </r>
    <r>
      <rPr>
        <sz val="10"/>
        <rFont val="Arial"/>
        <family val="2"/>
      </rPr>
      <t xml:space="preserve"> line 50</t>
    </r>
  </si>
  <si>
    <r>
      <rPr>
        <b/>
        <sz val="10"/>
        <rFont val="Arial"/>
        <family val="2"/>
      </rPr>
      <t>Schedule 3,</t>
    </r>
    <r>
      <rPr>
        <sz val="10"/>
        <rFont val="Arial"/>
        <family val="2"/>
      </rPr>
      <t xml:space="preserve"> line 51</t>
    </r>
  </si>
  <si>
    <t>*See the Form 5695 instructions to see if line 30 (nonbusiness energy property</t>
  </si>
  <si>
    <t>Subtract line 12 from line 11</t>
  </si>
  <si>
    <t>If you are filing Form 2555 or 2555-EZ, enter -0-.</t>
  </si>
  <si>
    <t>Otherwise, complete the Line 14 Worksheet, later,</t>
  </si>
  <si>
    <t>Line 14</t>
  </si>
  <si>
    <r>
      <rPr>
        <b/>
        <sz val="10"/>
        <rFont val="Arial"/>
        <family val="2"/>
      </rPr>
      <t>1040  filers.</t>
    </r>
    <r>
      <rPr>
        <sz val="10"/>
        <rFont val="Arial"/>
        <family val="2"/>
      </rPr>
      <t xml:space="preserve"> Complete lines 17a; Schedule 4, line 58; and Schedule 5, line 72</t>
    </r>
  </si>
  <si>
    <t>of your return if they apply to you.</t>
  </si>
  <si>
    <t>Use this worksheet only if you answered “Yes” on line 14 of the Child Tax Credit Worksheet and Credit for Other</t>
  </si>
  <si>
    <r>
      <t xml:space="preserve">Dependents Worksheet earlier </t>
    </r>
    <r>
      <rPr>
        <b/>
        <i/>
        <sz val="10"/>
        <color indexed="8"/>
        <rFont val="Arial"/>
        <family val="2"/>
      </rPr>
      <t>and</t>
    </r>
    <r>
      <rPr>
        <i/>
        <sz val="10"/>
        <color indexed="8"/>
        <rFont val="Arial"/>
        <family val="2"/>
      </rPr>
      <t xml:space="preserve"> are not filing Form 2555 or 2555-EZ.</t>
    </r>
  </si>
  <si>
    <t>Enter the amount from line 10 of the Child Tax Credit and Credit for Other</t>
  </si>
  <si>
    <t>Dependents Worksheet.</t>
  </si>
  <si>
    <t>Number of qualifying children under 17 with the required social security</t>
  </si>
  <si>
    <t>number:</t>
  </si>
  <si>
    <t xml:space="preserve"> X</t>
  </si>
  <si>
    <r>
      <t>Line 14 Worksheet—</t>
    </r>
    <r>
      <rPr>
        <i/>
        <sz val="12"/>
        <rFont val="Arial"/>
        <family val="2"/>
      </rPr>
      <t>Continued</t>
    </r>
  </si>
  <si>
    <r>
      <rPr>
        <b/>
        <sz val="10"/>
        <rFont val="Arial"/>
        <family val="2"/>
      </rPr>
      <t xml:space="preserve">TIP: </t>
    </r>
    <r>
      <rPr>
        <sz val="10"/>
        <rFont val="Arial"/>
        <family val="2"/>
      </rPr>
      <t>The number of children you use for this line is the same as the number of
children you used for line 1 of the Child Tax Credit and Credit for Other
Dependents Worksheet.</t>
    </r>
  </si>
  <si>
    <t>Worksheet.</t>
  </si>
  <si>
    <t>Leave line 4 blank, enter -0- on line 5, and go</t>
  </si>
  <si>
    <t>to line 6.</t>
  </si>
  <si>
    <t>enter -0- on line 11, and go to line 12.</t>
  </si>
  <si>
    <t>If line 5 above is equal to or more than line 1 above, leave lines 7 through 10</t>
  </si>
  <si>
    <t xml:space="preserve"> leave lines 7 through 10 blank,</t>
  </si>
  <si>
    <t xml:space="preserve">Credit for Other Dependents Worksheet  and  do  the  following. </t>
  </si>
  <si>
    <t>enter the amount from line 1 above on line 14 of this worksheet.</t>
  </si>
  <si>
    <t>Enter -0- on line 14, and complete lines 15 and 16.</t>
  </si>
  <si>
    <t xml:space="preserve">go back to the Child Tax Credit Worksheet and </t>
  </si>
  <si>
    <t>Do not complete the rest of this worksheet. Instead,</t>
  </si>
  <si>
    <t>If  line 2 or  line 5 above  is  zero,</t>
  </si>
  <si>
    <t>If  both  line 2 and  line 5 are  more  than  zero,</t>
  </si>
  <si>
    <t xml:space="preserve">blank, enter -0- on line 11, and go to line 12. </t>
  </si>
  <si>
    <t>lines 7 and 8.</t>
  </si>
  <si>
    <t>Worksheet to fi_x001F_gure the amount to enter; otherwise enter</t>
  </si>
  <si>
    <t>Page 8</t>
  </si>
  <si>
    <t>Amounts from Schedule 1, line 27, and</t>
  </si>
  <si>
    <t>Schedule 4, line 58; and</t>
  </si>
  <si>
    <t>Any taxes that you identified using code "UT"</t>
  </si>
  <si>
    <t>and entered on Schedule 4, line 62.</t>
  </si>
  <si>
    <t>Add lines 7 and 8. Enter the total.</t>
  </si>
  <si>
    <t>Form 1040, line 17a, and Schedule 5, Line 72.</t>
  </si>
  <si>
    <t>Subtract line 10 from line 9. If the result is zero or less, enter -0-.</t>
  </si>
  <si>
    <r>
      <t xml:space="preserve"> Enter the </t>
    </r>
    <r>
      <rPr>
        <b/>
        <sz val="10"/>
        <rFont val="Arial"/>
        <family val="2"/>
      </rPr>
      <t>larger</t>
    </r>
    <r>
      <rPr>
        <sz val="10"/>
        <rFont val="Arial"/>
        <family val="2"/>
      </rPr>
      <t xml:space="preserve"> of line 5 or line 11.</t>
    </r>
  </si>
  <si>
    <r>
      <t xml:space="preserve"> Enter the </t>
    </r>
    <r>
      <rPr>
        <b/>
        <sz val="10"/>
        <rFont val="Arial"/>
        <family val="2"/>
      </rPr>
      <t>smaller</t>
    </r>
    <r>
      <rPr>
        <sz val="10"/>
        <rFont val="Arial"/>
        <family val="2"/>
      </rPr>
      <t xml:space="preserve"> of line 2 or line 12.</t>
    </r>
  </si>
  <si>
    <t>Then, go to line 15.</t>
  </si>
  <si>
    <t>Subtract line 14 from line 13.  Enter the result.</t>
  </si>
  <si>
    <t>Is the amount on line 10 of this worksheet more than the amount on line 15?</t>
  </si>
  <si>
    <t>Enter the amount from line 15.</t>
  </si>
  <si>
    <t>Form 1040, line 17b, only if you answered "Yes" on line 16 and</t>
  </si>
  <si>
    <t>line 1 is more than zero.</t>
  </si>
  <si>
    <r>
      <t xml:space="preserve">You may be able to take the </t>
    </r>
    <r>
      <rPr>
        <b/>
        <i/>
        <sz val="10"/>
        <rFont val="Arial"/>
        <family val="2"/>
      </rPr>
      <t>additional child tax credit</t>
    </r>
    <r>
      <rPr>
        <i/>
        <sz val="10"/>
        <rFont val="Arial"/>
        <family val="2"/>
      </rPr>
      <t xml:space="preserve"> on</t>
    </r>
  </si>
  <si>
    <t>Complete the Earned Income Worksheet if it applies to you.</t>
  </si>
  <si>
    <t>*See the Form 5695 instructions to see if line 30 (nonbusiness energy property credit) applies for 2018.</t>
  </si>
  <si>
    <t>Figure the amount of any credits you are claiming on Form 5695, Part II, line 30*;</t>
  </si>
  <si>
    <t>U.S. national, or U.S. resident alien. Also, don’t include anyone you included on line 1.</t>
  </si>
  <si>
    <r>
      <rPr>
        <b/>
        <sz val="10"/>
        <rFont val="Arial"/>
        <family val="2"/>
      </rPr>
      <t>Caution.</t>
    </r>
    <r>
      <rPr>
        <sz val="10"/>
        <rFont val="Arial"/>
        <family val="2"/>
      </rPr>
      <t xml:space="preserve"> Don’t include yourself, your spouse, or anyone who is not a U.S. citizen,</t>
    </r>
  </si>
  <si>
    <t xml:space="preserve">  increase it to the next multiple of $1,000.</t>
  </si>
  <si>
    <t xml:space="preserve">  For example, increase $425 to $1,000,</t>
  </si>
  <si>
    <t xml:space="preserve">  increase $1,025 to $2,000, etc.</t>
  </si>
  <si>
    <t>You can't take the child tax credit or credit for other dependent on Form 1040, line 17b.</t>
  </si>
  <si>
    <t>You also cannot take the additional child tax credit on Form 1040, line 17b.</t>
  </si>
  <si>
    <t>Add the amounts from:</t>
  </si>
  <si>
    <t>Tax Credit and</t>
  </si>
  <si>
    <t>Credit for Other</t>
  </si>
  <si>
    <t>Dependents Worksheet</t>
  </si>
  <si>
    <t>Page 9</t>
  </si>
  <si>
    <t>Tax Amount</t>
  </si>
  <si>
    <t>AH</t>
  </si>
  <si>
    <t>Updated for 2018.  No longer a DRAFT worksheet.</t>
  </si>
  <si>
    <t>Code "UT"</t>
  </si>
  <si>
    <t>Improved logic for lines 20a and 21 for those who overpaid their taxes.  Good suggestion, Mahendra B!</t>
  </si>
  <si>
    <r>
      <t xml:space="preserve">  your exemption is zero. </t>
    </r>
    <r>
      <rPr>
        <b/>
        <sz val="10"/>
        <rFont val="Arial"/>
        <family val="2"/>
      </rPr>
      <t>Don't</t>
    </r>
    <r>
      <rPr>
        <sz val="10"/>
        <rFont val="Arial"/>
        <family val="2"/>
      </rPr>
      <t xml:space="preserve"> complete this worksheet; instead, enter the amount from Form 6251,</t>
    </r>
  </si>
  <si>
    <t>Updated for 2018.  This form and all worksheets are no longer considered to be DRAFT versions.</t>
  </si>
  <si>
    <t>CarryBack from Current Year</t>
  </si>
  <si>
    <t>Line 21 less Line 33 (Must be &gt;=0)</t>
  </si>
  <si>
    <t>CarryForward to Next Year</t>
  </si>
  <si>
    <t>Line 14 less Line 33 (Must be &gt;=0)</t>
  </si>
  <si>
    <t>Important! - Retain these CarryBack and CarryForward amounts for EACH year you file Form 1116.</t>
  </si>
  <si>
    <t>They will be needed in future years when you can get a REFUND from CarryBack and for utilizing</t>
  </si>
  <si>
    <t>Unused CarryForward next year on Form 1116 Line 10.</t>
  </si>
  <si>
    <t>In the memo area (near line 30), added informational 'CarryBack from Current Year' and 'CarryForward to Current Year'.  Another good suggestion Mahendra B!</t>
  </si>
  <si>
    <t>Updated lines 5 to lower the underpayment penalty threshold from 90% to 85% of the previous year's income.</t>
  </si>
  <si>
    <r>
      <t xml:space="preserve">Sequence No. </t>
    </r>
    <r>
      <rPr>
        <b/>
        <sz val="12"/>
        <rFont val="Arial"/>
        <family val="2"/>
      </rPr>
      <t>06</t>
    </r>
  </si>
  <si>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or Part IV as a worksheet and
enter your penalty amount on your tax return, but
</t>
    </r>
    <r>
      <rPr>
        <b/>
        <sz val="11"/>
        <rFont val="Arial"/>
        <family val="2"/>
      </rPr>
      <t>don't file Form 2210.</t>
    </r>
  </si>
  <si>
    <r>
      <t xml:space="preserve">You </t>
    </r>
    <r>
      <rPr>
        <b/>
        <sz val="10"/>
        <rFont val="Arial"/>
        <family val="2"/>
      </rPr>
      <t>aren't</t>
    </r>
    <r>
      <rPr>
        <sz val="10"/>
        <rFont val="Arial"/>
        <family val="2"/>
      </rPr>
      <t xml:space="preserve"> required to figure your penalty because the IRS
will figure it and send you a bill for any unpaid amount. If you
want to figure it, you may use Part III or Part IV as a
worksheet and enter your penalty amount on your tax return,
but </t>
    </r>
    <r>
      <rPr>
        <b/>
        <sz val="10"/>
        <rFont val="Arial"/>
        <family val="2"/>
      </rPr>
      <t>file only page 1 of Form 2210.</t>
    </r>
  </si>
  <si>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</si>
  <si>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t xml:space="preserve">  </t>
    </r>
    <r>
      <rPr>
        <b/>
        <sz val="10"/>
        <rFont val="Arial"/>
        <family val="2"/>
      </rPr>
      <t>Don't</t>
    </r>
    <r>
      <rPr>
        <sz val="10"/>
        <rFont val="Arial"/>
        <family val="2"/>
      </rPr>
      <t xml:space="preserve"> file Form 2210 unless</t>
    </r>
  </si>
  <si>
    <r>
      <t xml:space="preserve">You request a </t>
    </r>
    <r>
      <rPr>
        <b/>
        <sz val="10"/>
        <rFont val="Arial"/>
        <family val="2"/>
      </rPr>
      <t>waiver</t>
    </r>
    <r>
      <rPr>
        <sz val="10"/>
        <rFont val="Arial"/>
        <family val="2"/>
      </rPr>
      <t xml:space="preserve"> (see instructions) of your entire penalty due to tax reform or other reasons. You must check this box</t>
    </r>
  </si>
  <si>
    <t>and file page 1 of Form 2210, but you aren’t required to figure your penalty.</t>
  </si>
  <si>
    <r>
      <rPr>
        <b/>
        <sz val="10"/>
        <rFont val="Arial"/>
        <family val="2"/>
      </rPr>
      <t>Note:</t>
    </r>
    <r>
      <rPr>
        <sz val="10"/>
        <rFont val="Arial"/>
        <family val="2"/>
      </rPr>
      <t xml:space="preserve"> If any payment was made earlier than the due date, you can use the short method, but using it may cause you to pay a</t>
    </r>
  </si>
  <si>
    <t>Form 1040NR, line 76; Form 1040NR-EZ, line 26; or Form 1041, line 27.</t>
  </si>
  <si>
    <r>
      <rPr>
        <b/>
        <sz val="12"/>
        <rFont val="Arial"/>
        <family val="2"/>
      </rPr>
      <t xml:space="preserve">Required installments. </t>
    </r>
    <r>
      <rPr>
        <sz val="12"/>
        <rFont val="Arial"/>
        <family val="2"/>
      </rPr>
      <t>If box C in Part II applies,</t>
    </r>
  </si>
  <si>
    <t>enter  the  amounts  from  Schedule AI,  line 27.</t>
  </si>
  <si>
    <t>2210 unless you checked a box in Part II</t>
  </si>
  <si>
    <t>here; you don't owe a penalty.</t>
  </si>
  <si>
    <t>instructions). For column (a) only, also enter the</t>
  </si>
  <si>
    <t>amount from line 19 on line 23. If line 19 is equal to</t>
  </si>
  <si>
    <t xml:space="preserve">Don't file Form     </t>
  </si>
  <si>
    <r>
      <rPr>
        <b/>
        <sz val="12"/>
        <rFont val="Arial"/>
        <family val="2"/>
      </rPr>
      <t>Underpayment.</t>
    </r>
    <r>
      <rPr>
        <sz val="12"/>
        <rFont val="Arial"/>
        <family val="2"/>
      </rPr>
      <t xml:space="preserve"> If line 18 is equal to or more than</t>
    </r>
  </si>
  <si>
    <r>
      <rPr>
        <b/>
        <sz val="11"/>
        <rFont val="Arial"/>
        <family val="2"/>
      </rPr>
      <t>Penalty.</t>
    </r>
    <r>
      <rPr>
        <sz val="11"/>
        <rFont val="Arial"/>
        <family val="2"/>
      </rPr>
      <t xml:space="preserve"> Enter the total penalty from line 14 of the Worksheet for Form 2210, Part IV, Section B—</t>
    </r>
  </si>
  <si>
    <r>
      <rPr>
        <b/>
        <sz val="12"/>
        <rFont val="Arial"/>
        <family val="2"/>
      </rPr>
      <t>Section B - Figure the Penalty</t>
    </r>
    <r>
      <rPr>
        <sz val="12"/>
        <rFont val="Arial"/>
        <family val="2"/>
      </rPr>
      <t xml:space="preserve"> (Use the Worksheet for Form 2210, Part IV, Section B - Figure Penalty in the</t>
    </r>
  </si>
  <si>
    <t>Figure the Penalty. Also include this amount on Form 1040, line 23; Form 1040NR, line 76;</t>
  </si>
  <si>
    <r>
      <rPr>
        <sz val="11"/>
        <rFont val="Arial"/>
        <family val="2"/>
      </rPr>
      <t>or Form 1041, line 27.</t>
    </r>
    <r>
      <rPr>
        <b/>
        <sz val="11"/>
        <rFont val="Arial"/>
        <family val="2"/>
      </rPr>
      <t xml:space="preserve">  Don't file Form 2210 unless you checked a box in Part II</t>
    </r>
  </si>
  <si>
    <r>
      <t xml:space="preserve">Estates and trusts, </t>
    </r>
    <r>
      <rPr>
        <b/>
        <sz val="10"/>
        <rFont val="Arial"/>
        <family val="2"/>
      </rPr>
      <t>don't</t>
    </r>
    <r>
      <rPr>
        <sz val="10"/>
        <rFont val="Arial"/>
        <family val="2"/>
      </rPr>
      <t xml:space="preserve"> use the period ending dates shown to the right.</t>
    </r>
  </si>
  <si>
    <r>
      <t xml:space="preserve">each column. All others enter -0-, and skip to line 7. </t>
    </r>
    <r>
      <rPr>
        <b/>
        <sz val="10"/>
        <rFont val="Arial"/>
        <family val="2"/>
      </rPr>
      <t>Exception:</t>
    </r>
  </si>
  <si>
    <t>Estates and trusts, skip to line 11 &amp; enter amount from line 3</t>
  </si>
  <si>
    <r>
      <t xml:space="preserve">1040NR-EZ filers, enter -0-. </t>
    </r>
    <r>
      <rPr>
        <b/>
        <sz val="11"/>
        <rFont val="Arial"/>
        <family val="2"/>
      </rPr>
      <t xml:space="preserve">Exception:  </t>
    </r>
    <r>
      <rPr>
        <sz val="11"/>
        <rFont val="Arial"/>
        <family val="2"/>
      </rPr>
      <t>Indian students and</t>
    </r>
  </si>
  <si>
    <t>deduction from Form 1040, line 8.  (Form 1040NR or</t>
  </si>
  <si>
    <r>
      <t xml:space="preserve">Enter the </t>
    </r>
    <r>
      <rPr>
        <b/>
        <sz val="11"/>
        <rFont val="Arial"/>
        <family val="2"/>
      </rPr>
      <t>larger</t>
    </r>
    <r>
      <rPr>
        <sz val="11"/>
        <rFont val="Arial"/>
        <family val="2"/>
      </rPr>
      <t xml:space="preserve"> of line 6 or line 7</t>
    </r>
  </si>
  <si>
    <r>
      <t xml:space="preserve">in each column. </t>
    </r>
    <r>
      <rPr>
        <sz val="11"/>
        <rFont val="Arial"/>
        <family val="2"/>
      </rPr>
      <t>(Estates and trusts, see instructions.)</t>
    </r>
  </si>
  <si>
    <t>Figure your tax on the amount on line 13 (see instructions)</t>
  </si>
  <si>
    <t>Overrides for Line 14</t>
  </si>
  <si>
    <t>14d</t>
  </si>
  <si>
    <t>Subtract line 12 from line 11.</t>
  </si>
  <si>
    <t xml:space="preserve">If zero or less, enter -0-      </t>
  </si>
  <si>
    <t>including, if applicable,  Additional  Medicare  Tax</t>
  </si>
  <si>
    <r>
      <t xml:space="preserve">Enter the </t>
    </r>
    <r>
      <rPr>
        <b/>
        <sz val="12"/>
        <rFont val="Arial"/>
        <family val="2"/>
      </rPr>
      <t>smaller</t>
    </r>
    <r>
      <rPr>
        <sz val="12"/>
        <rFont val="Arial"/>
        <family val="2"/>
      </rPr>
      <t xml:space="preserve"> of line 23 or line 26 here and on</t>
    </r>
  </si>
  <si>
    <r>
      <rPr>
        <b/>
        <sz val="10"/>
        <rFont val="Arial"/>
        <family val="2"/>
      </rPr>
      <t>Exception:</t>
    </r>
    <r>
      <rPr>
        <sz val="10"/>
        <rFont val="Arial"/>
        <family val="2"/>
      </rPr>
      <t xml:space="preserve"> If you filed Form 4137 or Form 8919, see instructions</t>
    </r>
  </si>
  <si>
    <r>
      <t xml:space="preserve">Multiply line 32 by the </t>
    </r>
    <r>
      <rPr>
        <b/>
        <sz val="11"/>
        <rFont val="Arial"/>
        <family val="2"/>
      </rPr>
      <t>smaller</t>
    </r>
    <r>
      <rPr>
        <sz val="11"/>
        <rFont val="Arial"/>
        <family val="2"/>
      </rPr>
      <t xml:space="preserve"> of line 28 or line 31</t>
    </r>
  </si>
  <si>
    <t>Annualization amounts. (Estates and trusts, see instructions.)</t>
  </si>
  <si>
    <t>Note:  This sheet includes two Schedule E forms.</t>
  </si>
  <si>
    <t>Sch. 1</t>
  </si>
  <si>
    <t>Modified line 17 to include new Schedule E form.</t>
  </si>
  <si>
    <t>Added an additional Schedule E form (two pages) to bottom of the existing form.</t>
  </si>
  <si>
    <t>On both forms, modified line 25 to never show a negative amount because the amount on that line is treated by line 26 as a loss.  (i.e. The amount on line 25 is subtracted.)</t>
  </si>
  <si>
    <t>Refundable
Credits</t>
  </si>
  <si>
    <t>Complete Part I of Form 2210. If you checked</t>
  </si>
  <si>
    <t xml:space="preserve">“Yes” on box 9, complete worksheet below </t>
  </si>
  <si>
    <t>1. Enter the amount from Form 2210, Part I, line 4 here</t>
  </si>
  <si>
    <t>3. Enter your withholding taxes from Form 2210, Part I, line 6</t>
  </si>
  <si>
    <t>5. Add lines 3 and 4 above</t>
  </si>
  <si>
    <t>Is line 5 above greater than or equal to the amount on line 2 above?</t>
  </si>
  <si>
    <t>(penalty worksheet)</t>
  </si>
  <si>
    <t>Days:</t>
  </si>
  <si>
    <r>
      <t xml:space="preserve">Number of days </t>
    </r>
    <r>
      <rPr>
        <b/>
        <sz val="9"/>
        <rFont val="Arial"/>
        <family val="2"/>
      </rPr>
      <t>from</t>
    </r>
    <r>
      <rPr>
        <sz val="9"/>
        <rFont val="Arial"/>
        <family val="2"/>
      </rPr>
      <t xml:space="preserve"> the date on line 2 to the date the amount </t>
    </r>
  </si>
  <si>
    <r>
      <t xml:space="preserve">Number of days </t>
    </r>
    <r>
      <rPr>
        <b/>
        <sz val="9"/>
        <rFont val="Arial"/>
        <family val="2"/>
      </rPr>
      <t>from</t>
    </r>
    <r>
      <rPr>
        <sz val="9"/>
        <rFont val="Arial"/>
        <family val="2"/>
      </rPr>
      <t xml:space="preserve"> the date on line 5 to the date the amount </t>
    </r>
  </si>
  <si>
    <r>
      <t xml:space="preserve">Number of days </t>
    </r>
    <r>
      <rPr>
        <b/>
        <sz val="9"/>
        <rFont val="Arial"/>
        <family val="2"/>
      </rPr>
      <t>from</t>
    </r>
    <r>
      <rPr>
        <sz val="9"/>
        <rFont val="Arial"/>
        <family val="2"/>
      </rPr>
      <t xml:space="preserve"> the date on line 8 to the date the amount </t>
    </r>
  </si>
  <si>
    <r>
      <t xml:space="preserve">Number of days </t>
    </r>
    <r>
      <rPr>
        <b/>
        <sz val="9"/>
        <rFont val="Arial"/>
        <family val="2"/>
      </rPr>
      <t>from</t>
    </r>
    <r>
      <rPr>
        <sz val="9"/>
        <rFont val="Arial"/>
        <family val="2"/>
      </rPr>
      <t xml:space="preserve"> the date on line 12 to the date the amount </t>
    </r>
  </si>
  <si>
    <t>on line 6</t>
  </si>
  <si>
    <t>on line 9</t>
  </si>
  <si>
    <t>on line 12</t>
  </si>
  <si>
    <t>Corrected calculation for Line 25.  It was showing a negative amount when it should have been showing a positive amount.  Thank you, David K.</t>
  </si>
  <si>
    <t>Updated for 2018 (including adding of new 85% waiver worksheet). ALL forms and instructions have now been incorporated.</t>
  </si>
  <si>
    <r>
      <t xml:space="preserve">Corrected Line 24 of Schedule AI due to typographical error on part of IRS.  The line should read "Enter 25% (0.25) of </t>
    </r>
    <r>
      <rPr>
        <b/>
        <sz val="10"/>
        <rFont val="Arial"/>
        <family val="2"/>
      </rPr>
      <t>line 9</t>
    </r>
    <r>
      <rPr>
        <sz val="10"/>
        <rFont val="Arial"/>
        <family val="2"/>
      </rPr>
      <t xml:space="preserve"> on page 1 …" instead of </t>
    </r>
    <r>
      <rPr>
        <b/>
        <sz val="10"/>
        <rFont val="Arial"/>
        <family val="2"/>
      </rPr>
      <t>line 11</t>
    </r>
    <r>
      <rPr>
        <sz val="10"/>
        <rFont val="Arial"/>
        <family val="2"/>
      </rPr>
      <t>.  Thank you, Eric J.</t>
    </r>
  </si>
  <si>
    <t>"NCP" and the amount of your nontaxable</t>
  </si>
  <si>
    <t>combat pay in the space to the left of line 17 on</t>
  </si>
  <si>
    <r>
      <rPr>
        <i/>
        <sz val="10"/>
        <rFont val="Arial"/>
        <family val="2"/>
      </rPr>
      <t>nontaxable</t>
    </r>
    <r>
      <rPr>
        <sz val="10"/>
        <rFont val="Arial"/>
        <family val="2"/>
      </rPr>
      <t>, in the instructions.</t>
    </r>
  </si>
  <si>
    <r>
      <t xml:space="preserve">Form 1040. See </t>
    </r>
    <r>
      <rPr>
        <i/>
        <sz val="10"/>
        <rFont val="Arial"/>
        <family val="2"/>
      </rPr>
      <t>Combat pay,</t>
    </r>
  </si>
  <si>
    <t>Enter the amount from Schedule 1, line 12</t>
  </si>
  <si>
    <t>Enter the amount from Schedule 1, line 18</t>
  </si>
  <si>
    <t>Enter the amount from Schedule 1, line 27</t>
  </si>
  <si>
    <t>On both forms, on Long Schedule SE, corrected lines 8d, 9, 10, &amp; 11.  To show the correct amounts when line 8d is greater than or equal to $128,400.  Thank you, Kathy F.</t>
  </si>
  <si>
    <t>Also, include this amount on Form 1040, line 4a</t>
  </si>
  <si>
    <r>
      <t xml:space="preserve">This worksheet is used as a tool for calculating the taxable amount of </t>
    </r>
    <r>
      <rPr>
        <u/>
        <sz val="10"/>
        <rFont val="Arial"/>
        <family val="2"/>
      </rPr>
      <t>one</t>
    </r>
    <r>
      <rPr>
        <sz val="10"/>
        <rFont val="Arial"/>
        <family val="2"/>
      </rPr>
      <t xml:space="preserve"> annuity.  </t>
    </r>
  </si>
  <si>
    <t>The output of this worksheet needs to be manually entered into line 2a of the sheet labeled "1099-R",</t>
  </si>
  <si>
    <t>On this spreadsheet, Form 1040, lines 4a and 4b will be automatically updated when you enter the total and taxable amounts on 1099-R, lines 1 and 2a.</t>
  </si>
  <si>
    <r>
      <t>'</t>
    </r>
    <r>
      <rPr>
        <b/>
        <sz val="9"/>
        <color rgb="FFFF0000"/>
        <rFont val="Arial"/>
        <family val="2"/>
      </rPr>
      <t xml:space="preserve">1099-R', line 2a. </t>
    </r>
    <r>
      <rPr>
        <sz val="9"/>
        <rFont val="Arial"/>
        <family val="2"/>
      </rPr>
      <t xml:space="preserve"> If your Form 1099-R shows a larger amount, use the amount on this line instead of the amount from</t>
    </r>
  </si>
  <si>
    <t>before entering an amount on line 4b of '1099-R'</t>
  </si>
  <si>
    <t xml:space="preserve"> .   .   .   .   .   .   .   .   .   .   .   .   .   .   .   .   .   .   .   .   .   .   .</t>
  </si>
  <si>
    <r>
      <t xml:space="preserve">Enter the total pension or annuity payments from </t>
    </r>
    <r>
      <rPr>
        <b/>
        <sz val="9"/>
        <rFont val="Arial"/>
        <family val="2"/>
      </rPr>
      <t>Form 1099-R, box 1</t>
    </r>
    <r>
      <rPr>
        <sz val="9"/>
        <rFont val="Arial"/>
        <family val="2"/>
      </rPr>
      <t xml:space="preserve">. </t>
    </r>
  </si>
  <si>
    <r>
      <rPr>
        <b/>
        <sz val="10"/>
        <rFont val="Arial"/>
        <family val="2"/>
      </rPr>
      <t>Application to Individuals</t>
    </r>
    <r>
      <rPr>
        <sz val="10"/>
        <rFont val="Arial"/>
        <family val="2"/>
      </rPr>
      <t xml:space="preserve">
</t>
    </r>
  </si>
  <si>
    <t xml:space="preserve">U.S. citizens and residents. Individuals who have for the tax year </t>
  </si>
  <si>
    <t xml:space="preserve">(a) MAGI that’s over an applicable threshold amount, and </t>
  </si>
  <si>
    <t xml:space="preserve">(b) net investment income, </t>
  </si>
  <si>
    <t>The applicable threshold amount is based on your filing status.</t>
  </si>
  <si>
    <t>royalties, and rents, unless they’re derived from the ordinary course of a trade or business that isn’t (a) a passive activity, or</t>
  </si>
  <si>
    <r>
      <rPr>
        <b/>
        <sz val="10"/>
        <rFont val="Arial"/>
        <family val="2"/>
      </rPr>
      <t>Net investment income.</t>
    </r>
    <r>
      <rPr>
        <sz val="10"/>
        <rFont val="Arial"/>
        <family val="2"/>
      </rPr>
      <t xml:space="preserve"> Generally, net investment income includes gross income from interest, dividends, annuities,</t>
    </r>
  </si>
  <si>
    <t xml:space="preserve"> (b) a trade or business of trading in financial instruments or commodities.  (See IRS instructions for more detail.)</t>
  </si>
  <si>
    <t>for which a lower taxable amount is applicable for retired public safety officers.</t>
  </si>
  <si>
    <t>Taxable Amount, for the annuity for which the Taxable Amount has not been determined OR</t>
  </si>
  <si>
    <t>Added information relating to who must file Form 8960, Net Investment Income Tax -- Individuals, Estates, and Trusts</t>
  </si>
  <si>
    <t xml:space="preserve">• All the income and any foreign taxes paid on it were reported to you on a qualified payee statement. </t>
  </si>
  <si>
    <t>• Your total creditable foreign taxes aren't more than $300 ($600 if married filing a joint return).</t>
  </si>
  <si>
    <t>Unprotected cells O42 and O115.  Boxes that appear when line 2 is larger than line 13.  Thank you, Mark W.</t>
  </si>
  <si>
    <t>Sch. B, Line 5</t>
  </si>
  <si>
    <t>Form 1040, Line 3a and 3b</t>
  </si>
  <si>
    <t>Form 1040, Sch. 1, Line 30</t>
  </si>
  <si>
    <t>Sch. 3, Line 48   OR   Form 1116 (Cell A8)</t>
  </si>
  <si>
    <t>Added logic to indicate when Form 1116, Foreign Tax Credit, should be filed.  This change also affected sheets 1099-INT, 1099-DIV, 1040, and Sch. 3.</t>
  </si>
  <si>
    <t xml:space="preserve">NOTE:  To clear an 'X' from an checkbox,  highlight it and then press the &lt;Delete&gt; key. </t>
  </si>
  <si>
    <t xml:space="preserve">NOTE:  To clear data from an override cell, highlight it and then press the &lt;Delete&gt; key. </t>
  </si>
  <si>
    <t>Click on the tab labeled 'W-2s' and enter any employment income reported to you on Form W-2.</t>
  </si>
  <si>
    <t>Click on the tab labeled '1099-INT' and enter any interest income reported to you on Form 1099-INT.</t>
  </si>
  <si>
    <t>Click on the tab labeled '1099-DIV' and enter any dividend income reported on Form 1099-DIV.</t>
  </si>
  <si>
    <t>Click on the tab labeled '1099-R' and enter any IRA/pension/annuity income reported to you on Form 1099-R.</t>
  </si>
  <si>
    <t>Click on the tab labeled 'SSA-1099' and enter any Social Security income reported to you on Form SSA-1099.</t>
  </si>
  <si>
    <t>NOTE: At any time, you may change the tab color by right-mouse clicking on the tab.  Also, at any time,</t>
  </si>
  <si>
    <t>you may click and drag sheet tabs to be arranged in any order you desire.  Doing so will not affect</t>
  </si>
  <si>
    <t>the function of the spreadsheet.</t>
  </si>
  <si>
    <t>Corrected calculation for line 15 so that it properly combines lines 12 through 14.  Thank you, Alex B.</t>
  </si>
  <si>
    <t>TOTALs (Rounded)</t>
  </si>
  <si>
    <r>
      <rPr>
        <b/>
        <sz val="10"/>
        <rFont val="Arial"/>
        <family val="2"/>
      </rPr>
      <t>Line 12a</t>
    </r>
    <r>
      <rPr>
        <sz val="10"/>
        <rFont val="Arial"/>
        <family val="2"/>
      </rPr>
      <t xml:space="preserve">, Child Tax Credit W/S, Line 11 W/S, Line 6; </t>
    </r>
    <r>
      <rPr>
        <b/>
        <sz val="10"/>
        <rFont val="Arial"/>
        <family val="2"/>
      </rPr>
      <t>Form 8812</t>
    </r>
    <r>
      <rPr>
        <sz val="10"/>
        <rFont val="Arial"/>
        <family val="2"/>
      </rPr>
      <t>, Line 9 W/S, Line 1</t>
    </r>
  </si>
  <si>
    <r>
      <rPr>
        <b/>
        <sz val="10"/>
        <color rgb="FFFF0000"/>
        <rFont val="Arial"/>
        <family val="2"/>
      </rPr>
      <t>Sch. SE</t>
    </r>
    <r>
      <rPr>
        <sz val="10"/>
        <color rgb="FFFF0000"/>
        <rFont val="Arial"/>
        <family val="2"/>
      </rPr>
      <t>, Line 8a</t>
    </r>
  </si>
  <si>
    <t>W-2s</t>
  </si>
  <si>
    <t>Added calculations to round the amounts from the W-2 forms.  These rounded amounts are now used throughout the spreadsheeet.  Having these amounts not rounded was causing a problem with Sheet "Line 17a (EIC)", Worksheet A, Part 1, Line 4.  Thanks to Daylon C. who brought the condition to my attention.</t>
  </si>
  <si>
    <t>One the 2nd Schedule E form, corrected calculation for line 26 to always treat the amount on line 25 as a negative amount.  Thank you, Ron G.</t>
  </si>
  <si>
    <t xml:space="preserve"> 4a.</t>
  </si>
  <si>
    <t>.   .   .   .   .   .   .   .   .   .   .   .   .   .   .   .   .   .   .   .   .   .   .   .   4b.</t>
  </si>
  <si>
    <t>.   .   .   .   .   .   .   .   .   .   .   .   .   .   4c.</t>
  </si>
  <si>
    <t>Additional amount = Rate x (Taxable Income - Bottom of bracket)</t>
  </si>
  <si>
    <t>Corrected social security number to be the that of the first listed taxpayer (versus the spouse).  Thank you, Paul N.</t>
  </si>
  <si>
    <t>Corrected calculations for line 7 and line 15 relative to lines 6 and 14, respectively.  Thank you, Jon M.</t>
  </si>
  <si>
    <t>Corrected Line 6 calculation of the SPOUSE's Form 8889 to be the allocated percentage of the FAMILY amount in the case where the taxpayer (YOU) is considered to have FAMILY coverage for each month.  Thank you, Adam B.</t>
  </si>
  <si>
    <t>• Foreign taxes were paid on foreign “passive category income” (Box 'c') (which includes most interest and dividends).</t>
  </si>
  <si>
    <t>Corrected calculation for line 22 for the case where Form 1040, Line 3a, Qualified Dividends, is zero.  Thank you, Bill B.</t>
  </si>
  <si>
    <t>Improved wording on Rows 4 and 6 to make it more clear as to when Form 1116 is not required to be filed.</t>
  </si>
  <si>
    <t>Loans taken out:</t>
  </si>
  <si>
    <t>(See instructions for exception for loans taken out prior to October 13, 1987.)</t>
  </si>
  <si>
    <t>(See instructions for other limits on home mortgage interest deductions.)</t>
  </si>
  <si>
    <t>Date of Loan</t>
  </si>
  <si>
    <r>
      <rPr>
        <sz val="10"/>
        <rFont val="Arial"/>
        <family val="2"/>
      </rPr>
      <t>(</t>
    </r>
    <r>
      <rPr>
        <i/>
        <sz val="10"/>
        <rFont val="Arial"/>
        <family val="2"/>
      </rPr>
      <t>dd-mmm-yyyy</t>
    </r>
    <r>
      <rPr>
        <sz val="10"/>
        <rFont val="Arial"/>
        <family val="2"/>
      </rPr>
      <t>)</t>
    </r>
  </si>
  <si>
    <t>Sch. A</t>
  </si>
  <si>
    <t>Corrected calculation of line 10 relative to the Mortgage Interest Deduction Limit. Now, the spreadsheet only provide a note about the limit if a limit might be challenged. Thank you, Steve B., for bringing this condition to my attention.</t>
  </si>
  <si>
    <t>Debt Limit</t>
  </si>
  <si>
    <t>Corrected calculation of line 10 to include amount from line 8e.  Reworked notes regarding mortgage interest deduction limit.  Thanks again, Steve B.</t>
  </si>
  <si>
    <t>Form 1099-G, Certain Government Payments</t>
  </si>
  <si>
    <t>PAYER's TIN</t>
  </si>
  <si>
    <t>Unemployment Compensation</t>
  </si>
  <si>
    <t>State or local income tax refunds, credits, offsets</t>
  </si>
  <si>
    <t>Box 2 amount is for tax year</t>
  </si>
  <si>
    <t>RTAA Payments</t>
  </si>
  <si>
    <t>Taxable grants</t>
  </si>
  <si>
    <t>Check if box 2 is trade or business income</t>
  </si>
  <si>
    <t>Market gain</t>
  </si>
  <si>
    <t>10a</t>
  </si>
  <si>
    <t>10b</t>
  </si>
  <si>
    <t>Sch. 1, line 19</t>
  </si>
  <si>
    <t>For Line 21, see Rows 43 &amp; 44.</t>
  </si>
  <si>
    <r>
      <t xml:space="preserve">Line 1 
Override </t>
    </r>
    <r>
      <rPr>
        <b/>
        <sz val="10"/>
        <rFont val="Wingdings"/>
        <charset val="2"/>
      </rPr>
      <t>ê</t>
    </r>
  </si>
  <si>
    <t>Sch. 1, line 21</t>
  </si>
  <si>
    <t>1040, line 16</t>
  </si>
  <si>
    <t>Agriculture payments - Disaster payments</t>
  </si>
  <si>
    <t>Agriculture payments - Other payments</t>
  </si>
  <si>
    <t>Sch. F, Line 4a</t>
  </si>
  <si>
    <t>Sch. F, Line 6a</t>
  </si>
  <si>
    <t>Tax Withheld</t>
  </si>
  <si>
    <t>State taxes paid and reflected on Form 1099-G, Other Government Payments, Line 19, State Income</t>
  </si>
  <si>
    <r>
      <rPr>
        <b/>
        <sz val="10"/>
        <rFont val="Arial"/>
        <family val="2"/>
      </rPr>
      <t>Additional State and Local Income Taxes Paid.</t>
    </r>
    <r>
      <rPr>
        <sz val="10"/>
        <rFont val="Arial"/>
        <family val="2"/>
      </rPr>
      <t xml:space="preserve">   Add lines 1 through 4.  </t>
    </r>
  </si>
  <si>
    <t>1099-G</t>
  </si>
  <si>
    <t>Added new sheet for Form 1099-G, Certain Government Payments.  This affected Schedule 1, Schedule A, and Schedule F.</t>
  </si>
  <si>
    <r>
      <t xml:space="preserve">If </t>
    </r>
    <r>
      <rPr>
        <b/>
        <sz val="10"/>
        <rFont val="Arial"/>
        <family val="2"/>
      </rPr>
      <t>none</t>
    </r>
    <r>
      <rPr>
        <sz val="10"/>
        <rFont val="Arial"/>
        <family val="2"/>
      </rPr>
      <t xml:space="preserve"> of your benefits are taxable, but you must otherwise file a tax return, do the following</t>
    </r>
  </si>
  <si>
    <r>
      <t xml:space="preserve">o  Enter the total amount from line A above on Form 1040, line 5a, </t>
    </r>
    <r>
      <rPr>
        <b/>
        <sz val="10"/>
        <rFont val="Arial"/>
        <family val="2"/>
      </rPr>
      <t>and</t>
    </r>
    <r>
      <rPr>
        <sz val="10"/>
        <rFont val="Arial"/>
        <family val="2"/>
      </rPr>
      <t xml:space="preserve"> enter -0- on Form 1040, line 5b.</t>
    </r>
  </si>
  <si>
    <t>Corrected calculation for line 4 to show zero if result is negative.  Thank you, Fred H.</t>
  </si>
  <si>
    <t>Line 9 (QBID)</t>
  </si>
  <si>
    <t>Line 1, Wages</t>
  </si>
  <si>
    <t>Line 2b, Taxable Interest</t>
  </si>
  <si>
    <t>Line 3b, Ordinary dividends</t>
  </si>
  <si>
    <t>Sch. 1, line 13, Capital gains</t>
  </si>
  <si>
    <t>Line 7, Adjusted gross income</t>
  </si>
  <si>
    <t>Form 1040, Schedule A</t>
  </si>
  <si>
    <t>Line 5a, State &amp; local income taxes</t>
  </si>
  <si>
    <t>Line 8, Total investment income</t>
  </si>
  <si>
    <t>Line 9b, State income tax</t>
  </si>
  <si>
    <t>B*C/A</t>
  </si>
  <si>
    <t>1099-R (Dist. Code D)</t>
  </si>
  <si>
    <t>Added worksheet to calculate line 9b, State and local taxes paid -- attributable to investment income. Changed line 9b to use results of worksheet. Thank you, Raj A.</t>
  </si>
  <si>
    <t>Improved calculation of line 12 in the case where Sch. D, line 15 or line 16 were to be zero or blank. Thank you, Les W.</t>
  </si>
  <si>
    <t>Reworked columns 12d&amp;12e through 23d&amp;23e and line 24 to not be blank when the answer to question 9 is "Yes".  Thank you, Ajay P.</t>
  </si>
  <si>
    <t>Form 1040, Line 2a</t>
  </si>
  <si>
    <t>Form 6251, Line 2g</t>
  </si>
  <si>
    <t>Sch. A, Line 5a and Form 8960, Line 9b</t>
  </si>
  <si>
    <t>Reworked auto-select functions to work properly when an amount is entered into Line 2 (Column AF).  Thank you, Mike M.</t>
  </si>
  <si>
    <r>
      <t xml:space="preserve">student or was disabled, see the instructions); </t>
    </r>
    <r>
      <rPr>
        <b/>
        <sz val="10"/>
        <rFont val="Arial"/>
        <family val="2"/>
      </rPr>
      <t>all others</t>
    </r>
    <r>
      <rPr>
        <sz val="10"/>
        <rFont val="Arial"/>
        <family val="2"/>
      </rPr>
      <t>, enter the amount from line 4</t>
    </r>
    <r>
      <rPr>
        <b/>
        <sz val="10"/>
        <rFont val="Arial"/>
        <family val="2"/>
      </rPr>
      <t xml:space="preserve">  .   .   .   .   .   .   .</t>
    </r>
  </si>
  <si>
    <t>Fixed line 23e.  It was using the wrong override cell.  Corrected calculation for Line 25.  It was incorrectly treating lines 22 losses as positive amounts.  Thanks, Joel Y.</t>
  </si>
  <si>
    <t>F8949D</t>
  </si>
  <si>
    <t>8949D</t>
  </si>
  <si>
    <t>Added new Form 8949.</t>
  </si>
  <si>
    <t>Made changes needed to accommodate new Form 8949D.</t>
  </si>
  <si>
    <t>Reworked line 8 to include Section A, line 4 and Schedule B, line 6 on both Schedule SE forms.  Thank you, Mohit M.</t>
  </si>
  <si>
    <t>Google Pay</t>
  </si>
  <si>
    <t>https://pay.google.com/payments/</t>
  </si>
  <si>
    <t>(Send to:  Income Tax Spreadsheet@gmail.com )</t>
  </si>
  <si>
    <t>Popmoney</t>
  </si>
  <si>
    <t>https://www.popmoney.com/</t>
  </si>
  <si>
    <t>Number of qualified children</t>
  </si>
  <si>
    <t>Line 17a (EIC)</t>
  </si>
  <si>
    <t>Added override cell for number of qualifying children.</t>
  </si>
  <si>
    <t>Reworked logic providing input into cell B4 so that it would change to TRUE even if total foreign tax paid was &gt; $0.00 but &lt;$1.00.  Thanks, Jay S.</t>
  </si>
  <si>
    <t>Updated line 37, Maximum foreign earned income exclusion, from $102,100 to $103,900.  Thank you, Ross H.</t>
  </si>
  <si>
    <t>AJ215</t>
  </si>
  <si>
    <t>AL215</t>
  </si>
  <si>
    <t>AN215</t>
  </si>
  <si>
    <t>AP215</t>
  </si>
  <si>
    <t>Corrected tax calculation for Worksheet 4-1, lines 18a, b, c, and d.  Thank you, Frank M.</t>
  </si>
  <si>
    <t>Corrected logic for calculation of line 13.  Thank you, Tony F.</t>
  </si>
  <si>
    <t>Overrides for Line 12</t>
  </si>
  <si>
    <t>Corrected Sch. AI, line 14, calculation to get its input from the "Sch. AI - Line 12, Qualified Dividends and Capital Gain Tax Worksheet".  Thank you, Frank M.</t>
  </si>
  <si>
    <t>Added override cells for Sch. AI, line 12.</t>
  </si>
  <si>
    <t>Line 8 - Maximum required annual payment</t>
  </si>
  <si>
    <r>
      <rPr>
        <b/>
        <sz val="10"/>
        <rFont val="Arial"/>
        <family val="2"/>
      </rPr>
      <t xml:space="preserve">On Line 2 </t>
    </r>
    <r>
      <rPr>
        <sz val="10"/>
        <rFont val="Arial"/>
        <family val="2"/>
      </rPr>
      <t xml:space="preserve">include the amounts on…
Lines 57, 59 (additional tax on distributions only), 60a*, 60b, and if applicable, the Additional Medicare Tax (Form 8959) and/or 
Net Investment Income Tax (Form 8960) on line 62, and 
any write-ins on line 62 with the </t>
    </r>
    <r>
      <rPr>
        <u/>
        <sz val="10"/>
        <rFont val="Arial"/>
        <family val="2"/>
      </rPr>
      <t>exception</t>
    </r>
    <r>
      <rPr>
        <sz val="10"/>
        <rFont val="Arial"/>
        <family val="2"/>
      </rPr>
      <t xml:space="preserve"> of:
</t>
    </r>
    <r>
      <rPr>
        <b/>
        <sz val="10"/>
        <rFont val="Arial"/>
        <family val="2"/>
      </rPr>
      <t>o</t>
    </r>
    <r>
      <rPr>
        <sz val="10"/>
        <rFont val="Arial"/>
        <family val="2"/>
      </rPr>
      <t xml:space="preserve">  Uncollected social security and Medicare tax or RRTA tax on tips or group-term life insurance (identified as “UT”);
</t>
    </r>
    <r>
      <rPr>
        <b/>
        <sz val="10"/>
        <rFont val="Arial"/>
        <family val="2"/>
      </rPr>
      <t>o</t>
    </r>
    <r>
      <rPr>
        <sz val="10"/>
        <rFont val="Arial"/>
        <family val="2"/>
      </rPr>
      <t xml:space="preserve">  Tax on excess golden parachute payments (identified as “EPP”);
</t>
    </r>
    <r>
      <rPr>
        <b/>
        <sz val="10"/>
        <rFont val="Arial"/>
        <family val="2"/>
      </rPr>
      <t>o</t>
    </r>
    <r>
      <rPr>
        <sz val="10"/>
        <rFont val="Arial"/>
        <family val="2"/>
      </rPr>
      <t xml:space="preserve">  Excise tax on insider stock compensation from an expatriated corporation (identified as “ISC”);
</t>
    </r>
    <r>
      <rPr>
        <b/>
        <sz val="10"/>
        <rFont val="Arial"/>
        <family val="2"/>
      </rPr>
      <t>o</t>
    </r>
    <r>
      <rPr>
        <sz val="10"/>
        <rFont val="Arial"/>
        <family val="2"/>
      </rPr>
      <t xml:space="preserve">  Look-back interest due under section 167(g) (identified as “8866”), and under section 460(b) (identified as “8697”);
</t>
    </r>
    <r>
      <rPr>
        <b/>
        <sz val="10"/>
        <rFont val="Arial"/>
        <family val="2"/>
      </rPr>
      <t>o</t>
    </r>
    <r>
      <rPr>
        <sz val="10"/>
        <rFont val="Arial"/>
        <family val="2"/>
      </rPr>
      <t xml:space="preserve">  Recapture of federal mortgage subsidy (identified as “FMSR”); and
</t>
    </r>
    <r>
      <rPr>
        <b/>
        <sz val="10"/>
        <rFont val="Arial"/>
        <family val="2"/>
      </rPr>
      <t>o</t>
    </r>
    <r>
      <rPr>
        <sz val="10"/>
        <rFont val="Arial"/>
        <family val="2"/>
      </rPr>
      <t xml:space="preserve">  Interest accrued on deferred tax under a section 1294 election for the year of termination (see Form 8621, Part VI, line 24, and Instructions for Form 8621). 
Also, subtract the amount from Form 8621, line 9c, that has been entered in brackets to the left of Form 1040, line 63.</t>
    </r>
  </si>
  <si>
    <t>Line 2 -- Other taxes</t>
  </si>
  <si>
    <t>Subtract the total of the following refundable credits, if any, that you claimed on your 2017 tax return:</t>
  </si>
  <si>
    <t>•  Earned income credit.</t>
  </si>
  <si>
    <t>•  Additional child tax credit.</t>
  </si>
  <si>
    <t>•  Refundable part of the American opportunity credit (Form 8863, line 8).</t>
  </si>
  <si>
    <t>•  Credit for federal tax paid on fuels.</t>
  </si>
  <si>
    <t>•  Health coverage tax credit.</t>
  </si>
  <si>
    <t>•  Premium tax credit (Form 8962).</t>
  </si>
  <si>
    <t>•  Credit determined under section 1341(a)(5)(B).</t>
  </si>
  <si>
    <t>Cleaned up notes associated with lines 2, 3 and 8.  Thank you, Tiziano B.</t>
  </si>
  <si>
    <t xml:space="preserve">Enter your taxable income from Form 1040, line 10. (However, if you are filing </t>
  </si>
  <si>
    <t>or more than line 18 for all payment periods, stop</t>
  </si>
  <si>
    <t>.   .   .   .   .   .   .   .   .   .   .   .   .   .   .   .   .   .   .   .   .   .   .   .   .   .</t>
  </si>
  <si>
    <t>Line 11a (QDCG Tax)</t>
  </si>
  <si>
    <t>Corrected logic for 2nd bullet regarding "You don't have to file Schedule D…"  Thank you, Frank R.</t>
  </si>
  <si>
    <t>Updated Sch. AI, line 6, by eliminating the worksheet and simplifying the equation.  Thank you, Kim B.</t>
  </si>
  <si>
    <t>Added override cell for line 12a, Child Tax Credit/Credit for Other Dependents</t>
  </si>
  <si>
    <t>Removed the override cell for line 16.  (Can't have two overrides for the same amount.)</t>
  </si>
  <si>
    <t>Corrected line 2 to input amount from Form 1040, line 12a, versus line 12a (CTC), line 16.  Thank you, Adam U.</t>
  </si>
  <si>
    <t>Corrected line 21 to include amount entered into Cell AJ44.  Thank you, Mehendra B.</t>
  </si>
  <si>
    <t>At line 12, added link to Schedule R, line 22.  Thank you, Gordon A.</t>
  </si>
  <si>
    <t>Corrected calculation for line 8 because it was not bringing over the amount from Sch. SE, Section A (Short), line 4. (This only applied to the top Sch. SE.)  Thank you, Matt K.</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</si>
  <si>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</si>
  <si>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77)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</si>
  <si>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Changed line 9b so that it will only bring over state and local taxes paid if Schedule A is used in lieu of the standard deduction.  Thank you, Tom B.</t>
  </si>
  <si>
    <t>Corrected line 25 calculation in the 2nd (lower) Schedule E.  It was the wrong sign.  Thank you, C. Morris.</t>
  </si>
  <si>
    <t>Rental real estate, royalties, partnerships, S corporations, trusts, etc. Attach Schedule E</t>
  </si>
  <si>
    <t>Improved logic for 3rd criterion regarding Medicare wages and Sch. SE income.</t>
  </si>
  <si>
    <t>Disclaimer</t>
  </si>
  <si>
    <t>Instructions</t>
  </si>
  <si>
    <t>1099-INT</t>
  </si>
  <si>
    <t>1099-DIV</t>
  </si>
  <si>
    <t>1099-MISC</t>
  </si>
  <si>
    <t>SSA-1099</t>
  </si>
  <si>
    <t>Sch. 2</t>
  </si>
  <si>
    <t>Sch. 3</t>
  </si>
  <si>
    <t>Sch. 4</t>
  </si>
  <si>
    <t>Sch. 5</t>
  </si>
  <si>
    <t>Sch. 6</t>
  </si>
  <si>
    <t>Line 4 (Annuity)</t>
  </si>
  <si>
    <t>Line 5 (SS Bene)</t>
  </si>
  <si>
    <t>Line 8 (SD Depnts)</t>
  </si>
  <si>
    <t>Sch. 1 Line 32 (IRA)</t>
  </si>
  <si>
    <t>Line 33 (Stu Loan)</t>
  </si>
  <si>
    <t>Earned Inc Calc</t>
  </si>
  <si>
    <t>Sch. B</t>
  </si>
  <si>
    <t>Sch. R</t>
  </si>
  <si>
    <t>1116</t>
  </si>
  <si>
    <t>2210</t>
  </si>
  <si>
    <t>2441</t>
  </si>
  <si>
    <t>6251</t>
  </si>
  <si>
    <t>8283</t>
  </si>
  <si>
    <t>8812</t>
  </si>
  <si>
    <t>8889</t>
  </si>
  <si>
    <t>8949A</t>
  </si>
  <si>
    <t>8949B</t>
  </si>
  <si>
    <t>8949C</t>
  </si>
  <si>
    <t>8959</t>
  </si>
  <si>
    <t>8960</t>
  </si>
  <si>
    <t>EIC Table</t>
  </si>
  <si>
    <t>Tax Table</t>
  </si>
  <si>
    <t>Changes</t>
  </si>
  <si>
    <t>Table of Contents</t>
  </si>
  <si>
    <t>Title / Description</t>
  </si>
  <si>
    <t>Possible tax return coversheet which includes a disclaimer, important notes, and a summary.</t>
  </si>
  <si>
    <t>Table of contents with links to the sheets included in this spreadsheet.</t>
  </si>
  <si>
    <t>Important notes, general notes, and instructions to help you get started.</t>
  </si>
  <si>
    <r>
      <rPr>
        <b/>
        <sz val="10"/>
        <rFont val="Arial"/>
        <family val="2"/>
      </rPr>
      <t>Form W-2</t>
    </r>
    <r>
      <rPr>
        <sz val="10"/>
        <rFont val="Arial"/>
        <family val="2"/>
      </rPr>
      <t>, Wage and Tax Statement</t>
    </r>
  </si>
  <si>
    <r>
      <rPr>
        <b/>
        <sz val="10"/>
        <rFont val="Arial"/>
        <family val="2"/>
      </rPr>
      <t>Form 1099-INT</t>
    </r>
    <r>
      <rPr>
        <sz val="10"/>
        <rFont val="Arial"/>
        <family val="2"/>
      </rPr>
      <t>, Interest Income</t>
    </r>
  </si>
  <si>
    <r>
      <rPr>
        <b/>
        <sz val="10"/>
        <rFont val="Arial"/>
        <family val="2"/>
      </rPr>
      <t>Form 1099-DIV</t>
    </r>
    <r>
      <rPr>
        <sz val="10"/>
        <rFont val="Arial"/>
        <family val="2"/>
      </rPr>
      <t>, Dividend Income</t>
    </r>
  </si>
  <si>
    <r>
      <rPr>
        <b/>
        <sz val="10"/>
        <rFont val="Arial"/>
        <family val="2"/>
      </rPr>
      <t>Form 1099-G</t>
    </r>
    <r>
      <rPr>
        <sz val="10"/>
        <rFont val="Arial"/>
        <family val="2"/>
      </rPr>
      <t>, Certain Government Payments</t>
    </r>
  </si>
  <si>
    <r>
      <rPr>
        <b/>
        <sz val="10"/>
        <rFont val="Arial"/>
        <family val="2"/>
      </rPr>
      <t>Form 1099-MISC</t>
    </r>
    <r>
      <rPr>
        <sz val="10"/>
        <rFont val="Arial"/>
        <family val="2"/>
      </rPr>
      <t>, Miscellaneous Income   (Way too complicated -- included for information)</t>
    </r>
  </si>
  <si>
    <r>
      <rPr>
        <b/>
        <sz val="10"/>
        <rFont val="Arial"/>
        <family val="2"/>
      </rPr>
      <t>Form 1099-R</t>
    </r>
    <r>
      <rPr>
        <sz val="10"/>
        <rFont val="Arial"/>
        <family val="2"/>
      </rPr>
      <t>, Distributions From Pensions, Annuities, Retirement or Profit-Sharing  Plans, IRAs, Insurance Contracts, etc.</t>
    </r>
  </si>
  <si>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</si>
  <si>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r>
      <rPr>
        <b/>
        <sz val="10"/>
        <rFont val="Arial"/>
        <family val="2"/>
      </rPr>
      <t>Form 1040</t>
    </r>
    <r>
      <rPr>
        <sz val="10"/>
        <rFont val="Arial"/>
        <family val="2"/>
      </rPr>
      <t>, U.S. Individual Income Tax Return</t>
    </r>
  </si>
  <si>
    <r>
      <rPr>
        <b/>
        <sz val="10"/>
        <rFont val="Arial"/>
        <family val="2"/>
      </rPr>
      <t>Schedule 1</t>
    </r>
    <r>
      <rPr>
        <sz val="10"/>
        <rFont val="Arial"/>
        <family val="2"/>
      </rPr>
      <t>, Additional Income and Adjustments to Income</t>
    </r>
  </si>
  <si>
    <r>
      <rPr>
        <b/>
        <sz val="10"/>
        <rFont val="Arial"/>
        <family val="2"/>
      </rPr>
      <t>Schedule 2</t>
    </r>
    <r>
      <rPr>
        <sz val="10"/>
        <rFont val="Arial"/>
        <family val="2"/>
      </rPr>
      <t>, Tax</t>
    </r>
  </si>
  <si>
    <r>
      <rPr>
        <b/>
        <sz val="10"/>
        <rFont val="Arial"/>
        <family val="2"/>
      </rPr>
      <t>Schedule 3</t>
    </r>
    <r>
      <rPr>
        <sz val="10"/>
        <rFont val="Arial"/>
        <family val="2"/>
      </rPr>
      <t>, Nonrefundable Credits</t>
    </r>
  </si>
  <si>
    <r>
      <rPr>
        <b/>
        <sz val="10"/>
        <rFont val="Arial"/>
        <family val="2"/>
      </rPr>
      <t>Schedule 4</t>
    </r>
    <r>
      <rPr>
        <sz val="10"/>
        <rFont val="Arial"/>
        <family val="2"/>
      </rPr>
      <t>, Other Taxes</t>
    </r>
  </si>
  <si>
    <r>
      <rPr>
        <b/>
        <sz val="10"/>
        <rFont val="Arial"/>
        <family val="2"/>
      </rPr>
      <t>Schedule 5</t>
    </r>
    <r>
      <rPr>
        <sz val="10"/>
        <rFont val="Arial"/>
        <family val="2"/>
      </rPr>
      <t>, Other Payments and Refundable Credits</t>
    </r>
  </si>
  <si>
    <r>
      <rPr>
        <b/>
        <sz val="10"/>
        <rFont val="Arial"/>
        <family val="2"/>
      </rPr>
      <t>Schedule 6</t>
    </r>
    <r>
      <rPr>
        <sz val="10"/>
        <rFont val="Arial"/>
        <family val="2"/>
      </rPr>
      <t>, Foreign Address and Third Party Designee</t>
    </r>
  </si>
  <si>
    <r>
      <rPr>
        <b/>
        <sz val="10"/>
        <rFont val="Arial"/>
        <family val="2"/>
      </rPr>
      <t>Simplified Method Worksheet—Lines 4a and 4b</t>
    </r>
    <r>
      <rPr>
        <sz val="10"/>
        <rFont val="Arial"/>
        <family val="2"/>
      </rPr>
      <t xml:space="preserve">  -- to determine taxable amount of retirement pension or annuity.</t>
    </r>
  </si>
  <si>
    <r>
      <rPr>
        <b/>
        <sz val="10"/>
        <rFont val="Arial"/>
        <family val="2"/>
      </rPr>
      <t>Social Security Benefits Worksheet – Lines 5a and 5b</t>
    </r>
    <r>
      <rPr>
        <sz val="10"/>
        <rFont val="Arial"/>
        <family val="2"/>
      </rPr>
      <t xml:space="preserve">  -- to determine taxable amount of Social Security benefits.</t>
    </r>
  </si>
  <si>
    <r>
      <t>Qualified Business Income Deduction—Simplified</t>
    </r>
    <r>
      <rPr>
        <sz val="10"/>
        <rFont val="Arial"/>
        <family val="2"/>
      </rPr>
      <t xml:space="preserve">  --  Applicable if net income is &lt; $157,500 ($315,000 if married filing jointly)</t>
    </r>
  </si>
  <si>
    <r>
      <t>Child Tax Credit and Credit for Other Dependents Worksheet -- Line 12a</t>
    </r>
    <r>
      <rPr>
        <sz val="10"/>
        <rFont val="Arial"/>
        <family val="2"/>
      </rPr>
      <t xml:space="preserve">  (From Publication 972)</t>
    </r>
  </si>
  <si>
    <t>This information is used in the Standard Deduction Worksheet for Dependents -- Line 8.</t>
  </si>
  <si>
    <t>Schedule A, Itemized Deductions</t>
  </si>
  <si>
    <t>Schedule B, Interest and Ordinary Dividends</t>
  </si>
  <si>
    <t>Schedule D, Capital Gains and Losses</t>
  </si>
  <si>
    <t>Student Loan Interest Deduction Worksheet — Schedulle 1, Line 33</t>
  </si>
  <si>
    <t>IRA Deduction Worksheet — Schedule 1, Line 32</t>
  </si>
  <si>
    <r>
      <t>Line 17a — Earned Income Credit Worksheet</t>
    </r>
    <r>
      <rPr>
        <sz val="10"/>
        <rFont val="Arial"/>
        <family val="2"/>
      </rPr>
      <t xml:space="preserve">  —  Spreadsheet provides assistance in completing this.</t>
    </r>
  </si>
  <si>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</si>
  <si>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Schedule E, Supplemental Income and Loss</t>
  </si>
  <si>
    <t>Schedule F, Profit or Loss from Farming</t>
  </si>
  <si>
    <t>Schedule R, Credit for the Elderly or the Disabled</t>
  </si>
  <si>
    <t>Form 1116, Foreign Tax Credit</t>
  </si>
  <si>
    <t>Form 2210, Underpayment of Estimated Tax by Individuals, Estates, and Trusts</t>
  </si>
  <si>
    <t>Form 2441, Child and Dependent Care Expenses</t>
  </si>
  <si>
    <t>Form 2555, Foreign Earned Income</t>
  </si>
  <si>
    <t>State and Local Income Tax Refund Worksheet — Line 10</t>
  </si>
  <si>
    <r>
      <rPr>
        <b/>
        <sz val="10"/>
        <rFont val="Arial"/>
        <family val="2"/>
      </rPr>
      <t>Line 9 -- Qualified Business Income Deduction</t>
    </r>
    <r>
      <rPr>
        <sz val="10"/>
        <rFont val="Arial"/>
        <family val="2"/>
      </rPr>
      <t xml:space="preserve">  —  Applicable if net income is </t>
    </r>
    <r>
      <rPr>
        <u/>
        <sz val="10"/>
        <rFont val="Arial"/>
        <family val="2"/>
      </rPr>
      <t>&gt;</t>
    </r>
    <r>
      <rPr>
        <sz val="10"/>
        <rFont val="Arial"/>
        <family val="2"/>
      </rPr>
      <t xml:space="preserve"> threshold amounts</t>
    </r>
  </si>
  <si>
    <r>
      <rPr>
        <b/>
        <sz val="10"/>
        <rFont val="Arial"/>
        <family val="2"/>
      </rPr>
      <t>Earned Income Calculator</t>
    </r>
    <r>
      <rPr>
        <sz val="10"/>
        <rFont val="Arial"/>
        <family val="2"/>
      </rPr>
      <t xml:space="preserve">  — Used as input to Standard Deduction Worksheet for Dependents — Line 8</t>
    </r>
  </si>
  <si>
    <r>
      <rPr>
        <b/>
        <sz val="10"/>
        <rFont val="Arial"/>
        <family val="2"/>
      </rPr>
      <t>Standard Deduction Worksheet for Dependents — Line 8</t>
    </r>
    <r>
      <rPr>
        <sz val="10"/>
        <rFont val="Arial"/>
        <family val="2"/>
      </rPr>
      <t xml:space="preserve"> </t>
    </r>
  </si>
  <si>
    <t>Form 6251, Alternative Minimum Tax—Individuals</t>
  </si>
  <si>
    <t>Form 8283, Noncash Charitable Contributions</t>
  </si>
  <si>
    <t>Form 8812, Additional Child Tax Credit</t>
  </si>
  <si>
    <t>Form 8889, Health Savings Accounts</t>
  </si>
  <si>
    <t>Form 8949, Sales and Other Dispositions of Capital Assets</t>
  </si>
  <si>
    <r>
      <t>Schedule SE, Self-Employement Tax</t>
    </r>
    <r>
      <rPr>
        <sz val="10"/>
        <rFont val="Arial"/>
        <family val="2"/>
      </rPr>
      <t xml:space="preserve">   (Two Schedule SE's are included)</t>
    </r>
  </si>
  <si>
    <r>
      <t>Schedule C, Profit or Loss from Business</t>
    </r>
    <r>
      <rPr>
        <sz val="10"/>
        <rFont val="Arial"/>
        <family val="2"/>
      </rPr>
      <t xml:space="preserve">   (Two Schedule C's are included)</t>
    </r>
  </si>
  <si>
    <t>Form 8959, Additional Medicare Tax</t>
  </si>
  <si>
    <t>Form 8960, Net Investment Income Tax—Individuals, Estates, and Trusts</t>
  </si>
  <si>
    <t>Form 8962, Premium Tax Credit</t>
  </si>
  <si>
    <r>
      <t>Earned Income Credit (EIC) Table</t>
    </r>
    <r>
      <rPr>
        <sz val="10"/>
        <rFont val="Arial"/>
        <family val="2"/>
      </rPr>
      <t xml:space="preserve">  (From Form 1040, General Instructions)</t>
    </r>
  </si>
  <si>
    <t>Changes made to this spreadsheet since it's first publication this tax year</t>
  </si>
  <si>
    <r>
      <t xml:space="preserve">Sheet Name 
</t>
    </r>
    <r>
      <rPr>
        <b/>
        <u/>
        <sz val="10"/>
        <rFont val="Arial"/>
        <family val="2"/>
      </rPr>
      <t>(with hyperlink)</t>
    </r>
  </si>
  <si>
    <r>
      <t>Federal Income Tax Spreadsheet</t>
    </r>
    <r>
      <rPr>
        <sz val="14"/>
        <rFont val="Arial"/>
        <family val="2"/>
      </rPr>
      <t xml:space="preserve">                                                                       </t>
    </r>
    <r>
      <rPr>
        <sz val="9"/>
        <rFont val="Arial"/>
        <family val="2"/>
      </rPr>
      <t>© Glenn Reeves</t>
    </r>
  </si>
  <si>
    <r>
      <rPr>
        <b/>
        <sz val="10"/>
        <rFont val="Arial"/>
        <family val="2"/>
      </rPr>
      <t xml:space="preserve">Tax Table </t>
    </r>
    <r>
      <rPr>
        <sz val="10"/>
        <rFont val="Arial"/>
        <family val="2"/>
      </rPr>
      <t xml:space="preserve"> (From Form 1040, General Instructions)</t>
    </r>
  </si>
  <si>
    <t>Added new Table of Contents sheet (with hyperlinks).  Good idea, Bill S.</t>
  </si>
  <si>
    <t>Jury duty pay given to employer (Jury Pay)</t>
  </si>
  <si>
    <r>
      <rPr>
        <b/>
        <sz val="10"/>
        <rFont val="Arial"/>
        <family val="2"/>
      </rPr>
      <t>NOTE:</t>
    </r>
    <r>
      <rPr>
        <sz val="10"/>
        <rFont val="Arial"/>
        <family val="2"/>
      </rPr>
      <t xml:space="preserve">  See instructions for Line 36.</t>
    </r>
  </si>
  <si>
    <r>
      <t>Added "</t>
    </r>
    <r>
      <rPr>
        <b/>
        <sz val="10"/>
        <rFont val="Arial"/>
        <family val="2"/>
      </rPr>
      <t>NOTE:</t>
    </r>
    <r>
      <rPr>
        <sz val="10"/>
        <rFont val="Arial"/>
        <family val="2"/>
      </rPr>
      <t xml:space="preserve"> See instructions for Line 36." and expanded 'Jury Pay' description.
Thank you, Jayashree B.</t>
    </r>
  </si>
  <si>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</si>
  <si>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</si>
  <si>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t>Added caution that appears when QBI amount matches any 'income' amount on Sch. SE that QBI amount must be reduced by 1/2 of the Sch. SE tax.</t>
  </si>
  <si>
    <r>
      <t xml:space="preserve">Check here to hide </t>
    </r>
    <r>
      <rPr>
        <b/>
        <sz val="9"/>
        <color theme="4" tint="-0.249977111117893"/>
        <rFont val="Arial"/>
        <family val="2"/>
      </rPr>
      <t>Social Security numbers</t>
    </r>
    <r>
      <rPr>
        <b/>
        <sz val="9"/>
        <color rgb="FF008000"/>
        <rFont val="Arial"/>
        <family val="2"/>
      </rPr>
      <t xml:space="preserve"> from forms.</t>
    </r>
  </si>
  <si>
    <t>ALL Forms &amp; Schedules</t>
  </si>
  <si>
    <t>On Form 1040, added a checkbox to hide Social Security from all forms and schedules.  This is so the forms can be printed with the SSN blank (versus "000-00-0000").</t>
  </si>
  <si>
    <t>Created new name for amount which is the spouse's statutory employee income.</t>
  </si>
  <si>
    <t>Corrected Line 5 to include spouse's statutory employee income.</t>
  </si>
  <si>
    <t>80% Exception Worksheet</t>
  </si>
  <si>
    <t>2. Multiply line 1 by 80%</t>
  </si>
  <si>
    <t>You qualify for the 80% Waiver relief. Check Box A in Part II of Form 2210, write “80% Waiver” next to Box A, and file page 1 of Form 2210 with your return.</t>
  </si>
  <si>
    <t xml:space="preserve">You do not qualify for the 80% Waiver relief. Follow the instructions for the “Yes” box on line 9 of Form 2210, Part I, ignoring the 80% Waiver. </t>
  </si>
  <si>
    <t>Per IRS change, lowered 85% exception to 80%.</t>
  </si>
  <si>
    <t>Added note and space to describe "Other" property.</t>
  </si>
  <si>
    <t>Removed spaces from email address.  Thank you, Michael C.</t>
  </si>
  <si>
    <t>Corrected typo in "Paid Tax Preparers Onlly".  Thank you, Michael C.</t>
  </si>
  <si>
    <t>to see if you qualify for the 80% Waiver relief.</t>
  </si>
  <si>
    <t>Revision Date/Time:</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</si>
  <si>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</si>
  <si>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t>https://sites.google.com/site/excel1040/home/changes</t>
  </si>
  <si>
    <t xml:space="preserve">If you find you're using an earlier version, review the changes made since your version </t>
  </si>
  <si>
    <t>to determine if the problem you've encountered has has already been fixed.</t>
  </si>
  <si>
    <t>If so, please download the latest version and begin again.  (There is no simple way to migrate...)</t>
  </si>
  <si>
    <t xml:space="preserve">If you cannot determine (or you're not sure) as to whether or not the problem(s) you've found </t>
  </si>
  <si>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</si>
  <si>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Added revision date/time to the top and added new block to describe how the error and change process is accomplished.</t>
  </si>
  <si>
    <t>Improved sheet to automatically check "You" if your filing status is other than "Married filing jointly".</t>
  </si>
  <si>
    <t>&lt;&lt; Current Revision Date &amp; Time</t>
  </si>
  <si>
    <t>Added revision date/time to the top of this sheet.</t>
  </si>
  <si>
    <t>has been corrected, please do your fellow taxpayers a favor by reporting the problem to:</t>
  </si>
  <si>
    <t>Added notes and arrows to make it more clear which parts of Form 1116 MUST be completed if foreign taxes are being reported. Thank you, Jayashree B.</t>
  </si>
  <si>
    <t>Name(s) shown on return.</t>
  </si>
  <si>
    <t>Do not enter name and social security number if shown on other side.</t>
  </si>
  <si>
    <t>Revised Line 21 to correct erroneous reference.</t>
  </si>
  <si>
    <t xml:space="preserve">  Limits on Home Mortgage Interest — Line 8a</t>
  </si>
  <si>
    <t>Consideration (by you) in Sch. A, Line 9</t>
  </si>
  <si>
    <t>Corrected line 8 reference to Form 1040, line 2a, Tax Exempt Interest.  Also, ghosted line 5 because it is no longer used by this spreadsheet.  Thank you, James M.</t>
  </si>
  <si>
    <t>Tuition and fees. Attach Form 8917</t>
  </si>
  <si>
    <t>Updated Line 34 from "Reserved" to "Tuition and fees. Attach Form 8917".</t>
  </si>
</sst>
</file>

<file path=xl/styles.xml><?xml version="1.0" encoding="utf-8"?>
<styleSheet xmlns="http://schemas.openxmlformats.org/spreadsheetml/2006/main" xmlns:mc="http://schemas.openxmlformats.org/markup-compatibility/2006" xmlns:x14ac="http://schemas.microsoft.com/office/spreadsheetml/2009/9/ac" mc:Ignorable="x14ac">
  <numFmts count="42">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0.0"/>
    <numFmt numFmtId="183" formatCode="[$-409]d\-mmm\-yyyy;@"/>
    <numFmt numFmtId="184" formatCode="[$-409]mmmm\ d\,\ yyyy;@"/>
    <numFmt numFmtId="185" formatCode="dd\-mmm\-yyyy\ h:mm\ AM/PM"/>
    <numFmt numFmtId="186" formatCode="dd\-mmm\-yyyy"/>
    <numFmt numFmtId="187" formatCode="mmmm"/>
    <numFmt numFmtId="188" formatCode="0.00000"/>
    <numFmt numFmtId="189" formatCode="m/d/yy;@"/>
    <numFmt numFmtId="190" formatCode="&quot;$&quot;#,##0.00"/>
    <numFmt numFmtId="191" formatCode="mmm\,\ yyyy"/>
    <numFmt numFmtId="192" formatCode="#,##0.0000_);\(#,##0.0000\)"/>
    <numFmt numFmtId="193" formatCode="#,##0.0000"/>
    <numFmt numFmtId="194" formatCode="_(* #,##0.0000_);_(* \(#,##0.0000\);_(* &quot;-&quot;????_);_(@_)"/>
    <numFmt numFmtId="195" formatCode="#,##0;[Red]#,##0"/>
    <numFmt numFmtId="196" formatCode="0.0000000"/>
    <numFmt numFmtId="197" formatCode="0.000000"/>
    <numFmt numFmtId="198" formatCode="#,##0.0"/>
    <numFmt numFmtId="199" formatCode="0.000%"/>
  </numFmts>
  <fonts count="292">
    <font>
      <sz val="10"/>
      <name val="Arial"/>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b/>
      <sz val="9"/>
      <name val="Arial"/>
      <family val="2"/>
    </font>
    <font>
      <sz val="8"/>
      <name val="Arial"/>
      <family val="2"/>
    </font>
    <font>
      <sz val="9"/>
      <name val="Arial"/>
      <family val="2"/>
    </font>
    <font>
      <b/>
      <sz val="12"/>
      <name val="Arial"/>
      <family val="2"/>
    </font>
    <font>
      <b/>
      <sz val="8"/>
      <name val="Arial"/>
      <family val="2"/>
    </font>
    <font>
      <sz val="8"/>
      <name val="Arial"/>
      <family val="2"/>
    </font>
    <font>
      <b/>
      <sz val="12"/>
      <name val="Arial"/>
      <family val="2"/>
    </font>
    <font>
      <sz val="12"/>
      <name val="Arial"/>
      <family val="2"/>
    </font>
    <font>
      <b/>
      <sz val="8"/>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b/>
      <i/>
      <sz val="11"/>
      <name val="Arial"/>
      <family val="2"/>
    </font>
    <font>
      <sz val="8"/>
      <color indexed="9"/>
      <name val="Arial"/>
      <family val="2"/>
    </font>
    <font>
      <i/>
      <sz val="10"/>
      <name val="Arial"/>
      <family val="2"/>
    </font>
    <font>
      <b/>
      <sz val="9"/>
      <color indexed="9"/>
      <name val="Arial"/>
      <family val="2"/>
    </font>
    <font>
      <sz val="9"/>
      <color indexed="8"/>
      <name val="Arial"/>
      <family val="2"/>
    </font>
    <font>
      <sz val="8"/>
      <name val="Marlett"/>
      <charset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sz val="12"/>
      <name val="Arial"/>
      <family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b/>
      <sz val="10"/>
      <color indexed="9"/>
      <name val="Arial"/>
      <family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i/>
      <sz val="12"/>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sz val="10"/>
      <color indexed="10"/>
      <name val="Arial"/>
      <family val="2"/>
    </font>
    <font>
      <b/>
      <i/>
      <sz val="12"/>
      <name val="Times New Roman"/>
      <family val="1"/>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7"/>
      <name val="Arial"/>
      <family val="2"/>
    </font>
    <font>
      <b/>
      <sz val="10"/>
      <name val="Marlett"/>
      <charset val="2"/>
    </font>
    <font>
      <b/>
      <sz val="18"/>
      <name val="Arial"/>
      <family val="2"/>
    </font>
    <font>
      <sz val="9"/>
      <color indexed="9"/>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u/>
      <sz val="8"/>
      <name val="Arial"/>
      <family val="2"/>
    </font>
    <font>
      <b/>
      <sz val="10"/>
      <color indexed="9"/>
      <name val="Marlett"/>
      <charset val="2"/>
    </font>
    <font>
      <sz val="10"/>
      <color indexed="17"/>
      <name val="Arial"/>
      <family val="2"/>
    </font>
    <font>
      <sz val="10"/>
      <name val="Arial"/>
      <family val="2"/>
    </font>
    <font>
      <sz val="8"/>
      <color indexed="9"/>
      <name val="Arial"/>
      <family val="2"/>
    </font>
    <font>
      <sz val="10"/>
      <color indexed="9"/>
      <name val="Arial"/>
      <family val="2"/>
    </font>
    <font>
      <sz val="10"/>
      <color indexed="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0"/>
      <color indexed="9"/>
      <name val="Arial"/>
      <family val="2"/>
    </font>
    <font>
      <b/>
      <sz val="12"/>
      <name val="Calibri"/>
      <family val="2"/>
    </font>
    <font>
      <sz val="10"/>
      <color indexed="9"/>
      <name val="Arial"/>
      <family val="2"/>
    </font>
    <font>
      <sz val="10"/>
      <color indexed="22"/>
      <name val="Arial"/>
      <family val="2"/>
    </font>
    <font>
      <sz val="9"/>
      <color indexed="9"/>
      <name val="Arial"/>
      <family val="2"/>
    </font>
    <font>
      <b/>
      <sz val="10"/>
      <color indexed="10"/>
      <name val="Arial"/>
      <family val="2"/>
    </font>
    <font>
      <sz val="10"/>
      <name val="Monotype Sorts"/>
      <charset val="2"/>
    </font>
    <font>
      <sz val="12"/>
      <name val="Wingdings"/>
      <charset val="2"/>
    </font>
    <font>
      <b/>
      <i/>
      <sz val="12"/>
      <name val="Marlett"/>
      <charset val="2"/>
    </font>
    <font>
      <b/>
      <sz val="12"/>
      <color indexed="10"/>
      <name val="Symbol"/>
      <family val="1"/>
      <charset val="2"/>
    </font>
    <font>
      <b/>
      <sz val="8"/>
      <color indexed="9"/>
      <name val="Arial"/>
      <family val="2"/>
    </font>
    <font>
      <b/>
      <sz val="8"/>
      <color indexed="10"/>
      <name val="Arial"/>
      <family val="2"/>
    </font>
    <font>
      <sz val="10"/>
      <color indexed="22"/>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sz val="10"/>
      <name val="Arial Narrow"/>
      <family val="2"/>
    </font>
    <font>
      <b/>
      <sz val="11"/>
      <name val="Courier New"/>
      <family val="3"/>
    </font>
    <font>
      <sz val="11"/>
      <name val="Courier New"/>
      <family val="3"/>
    </font>
    <font>
      <i/>
      <sz val="10"/>
      <color indexed="8"/>
      <name val="Arial"/>
      <family val="2"/>
    </font>
    <font>
      <b/>
      <sz val="8"/>
      <color theme="0"/>
      <name val="Arial"/>
      <family val="2"/>
    </font>
    <font>
      <sz val="8"/>
      <color theme="0" tint="-4.9989318521683403E-2"/>
      <name val="Arial"/>
      <family val="2"/>
    </font>
    <font>
      <b/>
      <sz val="12"/>
      <color indexed="12"/>
      <name val="Arial"/>
      <family val="2"/>
    </font>
    <font>
      <sz val="8.5"/>
      <color rgb="FF000000"/>
      <name val="Arial"/>
      <family val="2"/>
    </font>
    <font>
      <sz val="8.5"/>
      <name val="Arial"/>
      <family val="2"/>
    </font>
    <font>
      <b/>
      <sz val="8.5"/>
      <name val="Arial"/>
      <family val="2"/>
    </font>
    <font>
      <sz val="10"/>
      <name val="Arial"/>
      <family val="2"/>
    </font>
    <font>
      <sz val="8"/>
      <name val="Arial"/>
      <family val="2"/>
    </font>
    <font>
      <b/>
      <sz val="8"/>
      <name val="Arial"/>
      <family val="2"/>
    </font>
    <font>
      <b/>
      <sz val="9"/>
      <name val="Arial"/>
      <family val="2"/>
    </font>
    <font>
      <b/>
      <sz val="10"/>
      <name val="Arial"/>
      <family val="2"/>
    </font>
    <font>
      <b/>
      <sz val="20"/>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b/>
      <sz val="10"/>
      <name val="Arial"/>
      <family val="2"/>
    </font>
    <font>
      <b/>
      <sz val="12"/>
      <color indexed="10"/>
      <name val="Wingdings"/>
      <charset val="2"/>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7.05"/>
      <name val="Arial"/>
      <family val="2"/>
    </font>
    <font>
      <sz val="9"/>
      <color theme="0" tint="-4.9989318521683403E-2"/>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sz val="10"/>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8.5"/>
      <name val="HelveticaWorld-Regular"/>
    </font>
    <font>
      <sz val="13"/>
      <name val="Arial"/>
      <family val="2"/>
    </font>
    <font>
      <sz val="8"/>
      <color theme="0" tint="-0.24994659260841701"/>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i/>
      <sz val="10"/>
      <color rgb="FFC00000"/>
      <name val="Arial"/>
      <family val="2"/>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sz val="8"/>
      <color theme="2"/>
      <name val="Arial"/>
      <family val="2"/>
    </font>
    <font>
      <sz val="10"/>
      <color theme="2"/>
      <name val="Arial"/>
      <family val="2"/>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b/>
      <sz val="11"/>
      <color rgb="FF008000"/>
      <name val="Arial"/>
      <family val="2"/>
    </font>
    <font>
      <sz val="12"/>
      <name val="HP Simplified Light"/>
      <family val="2"/>
    </font>
    <font>
      <sz val="7"/>
      <color theme="0"/>
      <name val="Arial"/>
      <family val="2"/>
    </font>
    <font>
      <b/>
      <u/>
      <sz val="11"/>
      <name val="Arial"/>
      <family val="2"/>
    </font>
    <font>
      <b/>
      <sz val="9"/>
      <color theme="0" tint="-0.249977111117893"/>
      <name val="Arial"/>
      <family val="2"/>
    </font>
    <font>
      <sz val="28"/>
      <name val="Arial"/>
      <family val="2"/>
    </font>
    <font>
      <b/>
      <i/>
      <sz val="12"/>
      <color rgb="FFC00000"/>
      <name val="Arial"/>
      <family val="2"/>
    </font>
    <font>
      <sz val="8"/>
      <color theme="0" tint="-0.499984740745262"/>
      <name val="Arial"/>
      <family val="2"/>
    </font>
    <font>
      <b/>
      <sz val="8"/>
      <color theme="0" tint="-0.499984740745262"/>
      <name val="Arial"/>
      <family val="2"/>
    </font>
    <font>
      <b/>
      <sz val="8"/>
      <color theme="0" tint="-0.24994659260841701"/>
      <name val="Arial"/>
      <family val="2"/>
    </font>
    <font>
      <u/>
      <sz val="10"/>
      <color rgb="FF008000"/>
      <name val="Arial"/>
      <family val="2"/>
    </font>
    <font>
      <sz val="6"/>
      <color theme="0"/>
      <name val="Arial"/>
      <family val="2"/>
    </font>
    <font>
      <sz val="7"/>
      <color theme="0" tint="-0.14996795556505021"/>
      <name val="Arial"/>
      <family val="2"/>
    </font>
    <font>
      <b/>
      <sz val="16"/>
      <name val="Arial Narrow"/>
      <family val="2"/>
    </font>
    <font>
      <b/>
      <sz val="12"/>
      <name val="Arial Narrow"/>
      <family val="2"/>
    </font>
    <font>
      <sz val="7"/>
      <color theme="0" tint="-0.249977111117893"/>
      <name val="Arial"/>
      <family val="2"/>
    </font>
    <font>
      <b/>
      <sz val="9"/>
      <color rgb="FF0070C0"/>
      <name val="Arial"/>
      <family val="2"/>
    </font>
    <font>
      <b/>
      <u/>
      <sz val="10"/>
      <color indexed="8"/>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b/>
      <i/>
      <sz val="10"/>
      <color indexed="8"/>
      <name val="Arial"/>
      <family val="2"/>
    </font>
    <font>
      <sz val="10"/>
      <color theme="0" tint="-0.14996795556505021"/>
      <name val="Arial"/>
      <family val="2"/>
    </font>
    <font>
      <b/>
      <i/>
      <sz val="13"/>
      <name val="Arial"/>
      <family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s>
  <fills count="46">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darkUp">
        <fgColor indexed="9"/>
        <bgColor indexed="9"/>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3" tint="0.59996337778862885"/>
        <bgColor indexed="64"/>
      </patternFill>
    </fill>
    <fill>
      <patternFill patternType="solid">
        <fgColor rgb="FFFEFEFE"/>
        <bgColor indexed="64"/>
      </patternFill>
    </fill>
    <fill>
      <patternFill patternType="solid">
        <fgColor rgb="FFF2F2F2"/>
        <bgColor indexed="64"/>
      </patternFill>
    </fill>
    <fill>
      <patternFill patternType="solid">
        <fgColor theme="2"/>
        <bgColor indexed="64"/>
      </patternFill>
    </fill>
    <fill>
      <patternFill patternType="solid">
        <fgColor theme="0"/>
        <bgColor auto="1"/>
      </patternFill>
    </fill>
    <fill>
      <patternFill patternType="solid">
        <fgColor theme="0" tint="-0.24994659260841701"/>
        <bgColor indexed="9"/>
      </patternFill>
    </fill>
    <fill>
      <patternFill patternType="solid">
        <fgColor theme="3" tint="0.79998168889431442"/>
        <bgColor indexed="64"/>
      </patternFill>
    </fill>
    <fill>
      <patternFill patternType="solid">
        <fgColor theme="0" tint="-0.249977111117893"/>
        <bgColor indexed="64"/>
      </patternFill>
    </fill>
    <fill>
      <patternFill patternType="solid">
        <fgColor theme="2"/>
        <bgColor indexed="9"/>
      </patternFill>
    </fill>
    <fill>
      <patternFill patternType="solid">
        <fgColor indexed="65"/>
        <bgColor indexed="64"/>
      </patternFill>
    </fill>
    <fill>
      <patternFill patternType="lightUp">
        <fgColor auto="1"/>
        <bgColor theme="0"/>
      </patternFill>
    </fill>
    <fill>
      <patternFill patternType="lightUp">
        <fgColor auto="1"/>
      </patternFill>
    </fill>
  </fills>
  <borders count="214">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dotted">
        <color indexed="64"/>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right/>
      <top/>
      <bottom style="mediumDashDot">
        <color indexed="64"/>
      </bottom>
      <diagonal/>
    </border>
    <border>
      <left/>
      <right/>
      <top style="mediumDashDot">
        <color indexed="64"/>
      </top>
      <bottom/>
      <diagonal/>
    </border>
    <border>
      <left/>
      <right/>
      <top style="mediumDashDot">
        <color indexed="64"/>
      </top>
      <bottom style="thick">
        <color indexed="64"/>
      </bottom>
      <diagonal/>
    </border>
    <border>
      <left/>
      <right/>
      <top/>
      <bottom style="mediumDashDotDot">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thin">
        <color indexed="64"/>
      </left>
      <right/>
      <top style="thin">
        <color indexed="64"/>
      </top>
      <bottom style="dashed">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right style="thin">
        <color indexed="64"/>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dashed">
        <color auto="1"/>
      </left>
      <right style="dashed">
        <color auto="1"/>
      </right>
      <top style="dashed">
        <color auto="1"/>
      </top>
      <bottom style="dashed">
        <color auto="1"/>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style="medium">
        <color auto="1"/>
      </right>
      <top/>
      <bottom style="dotted">
        <color indexed="22"/>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style="medium">
        <color rgb="FFCCCCCC"/>
      </right>
      <top/>
      <bottom style="medium">
        <color rgb="FFCCCCCC"/>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style="medium">
        <color rgb="FFCCCCCC"/>
      </right>
      <top/>
      <bottom/>
      <diagonal/>
    </border>
    <border>
      <left style="thin">
        <color auto="1"/>
      </left>
      <right/>
      <top style="dashed">
        <color indexed="64"/>
      </top>
      <bottom/>
      <diagonal/>
    </border>
    <border>
      <left style="thin">
        <color indexed="64"/>
      </left>
      <right/>
      <top/>
      <bottom style="dashed">
        <color indexed="64"/>
      </bottom>
      <diagonal/>
    </border>
    <border>
      <left style="thin">
        <color indexed="64"/>
      </left>
      <right style="thin">
        <color indexed="64"/>
      </right>
      <top style="thick">
        <color indexed="64"/>
      </top>
      <bottom style="thin">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medium">
        <color indexed="64"/>
      </top>
      <bottom style="thick">
        <color indexed="64"/>
      </bottom>
      <diagonal/>
    </border>
    <border>
      <left style="thin">
        <color indexed="64"/>
      </left>
      <right/>
      <top style="thick">
        <color indexed="64"/>
      </top>
      <bottom style="thin">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right/>
      <top style="medium">
        <color indexed="64"/>
      </top>
      <bottom style="mediumDashDot">
        <color indexed="64"/>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s>
  <cellStyleXfs count="6">
    <xf numFmtId="0" fontId="0" fillId="0" borderId="0"/>
    <xf numFmtId="44" fontId="3" fillId="0" borderId="0" applyFont="0" applyFill="0" applyBorder="0" applyAlignment="0" applyProtection="0"/>
    <xf numFmtId="0" fontId="75" fillId="0" borderId="0" applyNumberFormat="0" applyFill="0" applyBorder="0" applyAlignment="0" applyProtection="0">
      <alignment vertical="top"/>
      <protection locked="0"/>
    </xf>
    <xf numFmtId="0" fontId="133" fillId="0" borderId="0" applyNumberFormat="0" applyFill="0" applyBorder="0" applyAlignment="0" applyProtection="0">
      <alignment vertical="top"/>
      <protection locked="0"/>
    </xf>
    <xf numFmtId="0" fontId="3" fillId="0" borderId="0"/>
    <xf numFmtId="0" fontId="180" fillId="0" borderId="0" applyNumberFormat="0" applyFill="0" applyBorder="0" applyAlignment="0" applyProtection="0">
      <alignment vertical="top"/>
      <protection locked="0"/>
    </xf>
  </cellStyleXfs>
  <cellXfs count="8236">
    <xf numFmtId="0" fontId="0" fillId="0" borderId="0" xfId="0"/>
    <xf numFmtId="0" fontId="1" fillId="0" borderId="0" xfId="0" applyFont="1"/>
    <xf numFmtId="4" fontId="5" fillId="0" borderId="0" xfId="0" applyNumberFormat="1" applyFont="1"/>
    <xf numFmtId="0" fontId="8" fillId="0" borderId="0" xfId="0" applyFont="1"/>
    <xf numFmtId="4" fontId="0" fillId="0" borderId="0" xfId="0" applyNumberFormat="1"/>
    <xf numFmtId="0" fontId="19" fillId="0" borderId="0" xfId="0" applyFont="1" applyProtection="1">
      <protection hidden="1"/>
    </xf>
    <xf numFmtId="0" fontId="23" fillId="0" borderId="0" xfId="0" applyFont="1"/>
    <xf numFmtId="4" fontId="23" fillId="2" borderId="0" xfId="0" applyNumberFormat="1" applyFont="1" applyFill="1" applyProtection="1">
      <protection hidden="1"/>
    </xf>
    <xf numFmtId="39" fontId="5" fillId="0" borderId="0" xfId="0" applyNumberFormat="1" applyFont="1" applyAlignment="1" applyProtection="1">
      <alignment horizontal="right"/>
      <protection hidden="1"/>
    </xf>
    <xf numFmtId="0" fontId="6" fillId="0" borderId="0" xfId="0" applyFont="1" applyAlignment="1" applyProtection="1">
      <alignment horizontal="right"/>
      <protection hidden="1"/>
    </xf>
    <xf numFmtId="0" fontId="5" fillId="0" borderId="0" xfId="0" applyFont="1" applyAlignment="1" applyProtection="1">
      <alignment horizontal="left"/>
      <protection hidden="1"/>
    </xf>
    <xf numFmtId="4" fontId="5" fillId="0" borderId="0" xfId="0" applyNumberFormat="1" applyFont="1" applyAlignment="1" applyProtection="1">
      <alignment horizontal="left"/>
      <protection hidden="1"/>
    </xf>
    <xf numFmtId="4" fontId="5" fillId="0" borderId="0" xfId="0" applyNumberFormat="1" applyFont="1" applyAlignment="1" applyProtection="1">
      <alignment horizontal="center"/>
      <protection hidden="1"/>
    </xf>
    <xf numFmtId="39" fontId="5" fillId="0" borderId="0" xfId="0" applyNumberFormat="1" applyFont="1" applyAlignment="1" applyProtection="1">
      <alignment horizontal="center"/>
      <protection hidden="1"/>
    </xf>
    <xf numFmtId="0" fontId="23" fillId="2" borderId="0" xfId="0" applyFont="1" applyFill="1" applyProtection="1">
      <protection hidden="1"/>
    </xf>
    <xf numFmtId="0" fontId="5" fillId="0" borderId="0" xfId="0" applyFont="1"/>
    <xf numFmtId="0" fontId="1"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5" fillId="3" borderId="0" xfId="0" applyNumberFormat="1" applyFont="1" applyFill="1" applyAlignment="1" applyProtection="1">
      <alignment horizontal="right"/>
      <protection hidden="1"/>
    </xf>
    <xf numFmtId="4" fontId="5" fillId="3" borderId="3" xfId="0" applyNumberFormat="1" applyFont="1" applyFill="1" applyBorder="1" applyProtection="1">
      <protection hidden="1"/>
    </xf>
    <xf numFmtId="0" fontId="8" fillId="3" borderId="0" xfId="0" applyFont="1" applyFill="1" applyProtection="1">
      <protection hidden="1"/>
    </xf>
    <xf numFmtId="0" fontId="8" fillId="3" borderId="4" xfId="0" applyFont="1" applyFill="1" applyBorder="1" applyProtection="1">
      <protection hidden="1"/>
    </xf>
    <xf numFmtId="0" fontId="1" fillId="3" borderId="0" xfId="0" applyFont="1" applyFill="1" applyProtection="1">
      <protection hidden="1"/>
    </xf>
    <xf numFmtId="0" fontId="0" fillId="2" borderId="0" xfId="0" applyFill="1" applyProtection="1">
      <protection hidden="1"/>
    </xf>
    <xf numFmtId="0" fontId="1" fillId="2" borderId="0" xfId="0" applyFont="1" applyFill="1" applyProtection="1">
      <protection hidden="1"/>
    </xf>
    <xf numFmtId="0" fontId="0" fillId="4" borderId="0" xfId="0" applyFill="1" applyProtection="1">
      <protection locked="0"/>
    </xf>
    <xf numFmtId="0" fontId="0" fillId="4" borderId="5" xfId="0" applyFill="1" applyBorder="1" applyProtection="1">
      <protection locked="0" hidden="1"/>
    </xf>
    <xf numFmtId="0" fontId="0" fillId="4" borderId="0" xfId="0" applyFill="1" applyProtection="1">
      <protection locked="0" hidden="1"/>
    </xf>
    <xf numFmtId="0" fontId="8" fillId="2" borderId="6" xfId="0" applyFont="1" applyFill="1" applyBorder="1" applyProtection="1">
      <protection hidden="1"/>
    </xf>
    <xf numFmtId="0" fontId="8" fillId="2" borderId="5" xfId="0" applyFont="1" applyFill="1" applyBorder="1" applyAlignment="1" applyProtection="1">
      <alignment horizontal="right"/>
      <protection hidden="1"/>
    </xf>
    <xf numFmtId="0" fontId="8" fillId="2" borderId="5" xfId="0" applyFont="1" applyFill="1" applyBorder="1" applyProtection="1">
      <protection hidden="1"/>
    </xf>
    <xf numFmtId="0" fontId="8" fillId="2" borderId="0" xfId="0" applyFont="1" applyFill="1" applyProtection="1">
      <protection hidden="1"/>
    </xf>
    <xf numFmtId="0" fontId="0" fillId="2" borderId="8" xfId="0" applyFill="1" applyBorder="1" applyProtection="1">
      <protection hidden="1"/>
    </xf>
    <xf numFmtId="0" fontId="6" fillId="2" borderId="1" xfId="0" applyFont="1" applyFill="1" applyBorder="1" applyAlignment="1" applyProtection="1">
      <alignment horizontal="left"/>
      <protection hidden="1"/>
    </xf>
    <xf numFmtId="0" fontId="8" fillId="2" borderId="1" xfId="0" applyFont="1" applyFill="1" applyBorder="1" applyProtection="1">
      <protection hidden="1"/>
    </xf>
    <xf numFmtId="0" fontId="8" fillId="2" borderId="0" xfId="0" applyFont="1" applyFill="1" applyAlignment="1" applyProtection="1">
      <alignment horizontal="left"/>
      <protection hidden="1"/>
    </xf>
    <xf numFmtId="0" fontId="8" fillId="2" borderId="3" xfId="0" applyFont="1" applyFill="1" applyBorder="1" applyProtection="1">
      <protection hidden="1"/>
    </xf>
    <xf numFmtId="0" fontId="12" fillId="2" borderId="0" xfId="0" applyFont="1" applyFill="1" applyProtection="1">
      <protection hidden="1"/>
    </xf>
    <xf numFmtId="0" fontId="0" fillId="2" borderId="5" xfId="0" applyFill="1" applyBorder="1" applyProtection="1">
      <protection hidden="1"/>
    </xf>
    <xf numFmtId="0" fontId="8" fillId="2" borderId="9" xfId="0" applyFont="1" applyFill="1" applyBorder="1" applyProtection="1">
      <protection hidden="1"/>
    </xf>
    <xf numFmtId="0" fontId="4" fillId="2" borderId="0" xfId="0" applyFont="1" applyFill="1" applyProtection="1">
      <protection hidden="1"/>
    </xf>
    <xf numFmtId="0" fontId="4" fillId="2" borderId="0" xfId="0" applyFont="1" applyFill="1" applyAlignment="1" applyProtection="1">
      <alignment horizontal="right"/>
      <protection hidden="1"/>
    </xf>
    <xf numFmtId="0" fontId="1" fillId="2" borderId="0" xfId="0" applyFont="1" applyFill="1" applyAlignment="1" applyProtection="1">
      <alignment horizontal="center"/>
      <protection hidden="1"/>
    </xf>
    <xf numFmtId="0" fontId="7" fillId="2" borderId="0" xfId="0" applyFont="1" applyFill="1" applyProtection="1">
      <protection hidden="1"/>
    </xf>
    <xf numFmtId="0" fontId="0" fillId="2" borderId="1" xfId="0" applyFill="1" applyBorder="1" applyProtection="1">
      <protection hidden="1"/>
    </xf>
    <xf numFmtId="0" fontId="0" fillId="0" borderId="0" xfId="0" applyProtection="1">
      <protection hidden="1"/>
    </xf>
    <xf numFmtId="0" fontId="0" fillId="2" borderId="10" xfId="0" applyFill="1" applyBorder="1" applyProtection="1">
      <protection hidden="1"/>
    </xf>
    <xf numFmtId="0" fontId="5" fillId="2" borderId="5" xfId="0" applyFont="1" applyFill="1" applyBorder="1" applyProtection="1">
      <protection hidden="1"/>
    </xf>
    <xf numFmtId="0" fontId="15" fillId="2" borderId="0" xfId="0" applyFont="1" applyFill="1" applyProtection="1">
      <protection hidden="1"/>
    </xf>
    <xf numFmtId="0" fontId="0" fillId="2" borderId="12" xfId="0" applyFill="1" applyBorder="1" applyProtection="1">
      <protection hidden="1"/>
    </xf>
    <xf numFmtId="0" fontId="8" fillId="5" borderId="0" xfId="0" applyFont="1" applyFill="1" applyProtection="1">
      <protection hidden="1"/>
    </xf>
    <xf numFmtId="0" fontId="4" fillId="2" borderId="0" xfId="0" applyFont="1" applyFill="1" applyAlignment="1" applyProtection="1">
      <alignment horizontal="center"/>
      <protection hidden="1"/>
    </xf>
    <xf numFmtId="0" fontId="3"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3" fillId="2" borderId="0" xfId="0" applyFont="1" applyFill="1" applyAlignment="1" applyProtection="1">
      <alignment horizontal="right"/>
      <protection hidden="1"/>
    </xf>
    <xf numFmtId="0" fontId="0" fillId="2" borderId="15" xfId="0" applyFill="1" applyBorder="1" applyProtection="1">
      <protection hidden="1"/>
    </xf>
    <xf numFmtId="0" fontId="0" fillId="2" borderId="16" xfId="0" applyFill="1" applyBorder="1" applyProtection="1">
      <protection hidden="1"/>
    </xf>
    <xf numFmtId="0" fontId="0" fillId="2" borderId="9" xfId="0" applyFill="1" applyBorder="1" applyProtection="1">
      <protection hidden="1"/>
    </xf>
    <xf numFmtId="0" fontId="0" fillId="2" borderId="6" xfId="0" applyFill="1" applyBorder="1" applyProtection="1">
      <protection hidden="1"/>
    </xf>
    <xf numFmtId="0" fontId="5" fillId="2" borderId="0" xfId="0" applyFont="1" applyFill="1" applyProtection="1">
      <protection hidden="1"/>
    </xf>
    <xf numFmtId="4" fontId="0" fillId="3" borderId="17" xfId="0" applyNumberFormat="1" applyFill="1" applyBorder="1" applyProtection="1">
      <protection hidden="1"/>
    </xf>
    <xf numFmtId="0" fontId="0" fillId="3" borderId="17" xfId="0" applyFill="1" applyBorder="1" applyProtection="1">
      <protection hidden="1"/>
    </xf>
    <xf numFmtId="40" fontId="0" fillId="2" borderId="0" xfId="0" applyNumberFormat="1" applyFill="1" applyProtection="1">
      <protection hidden="1"/>
    </xf>
    <xf numFmtId="164" fontId="4" fillId="2" borderId="8" xfId="0" applyNumberFormat="1" applyFont="1" applyFill="1" applyBorder="1" applyProtection="1">
      <protection hidden="1"/>
    </xf>
    <xf numFmtId="40" fontId="0" fillId="2" borderId="8" xfId="0" applyNumberFormat="1" applyFill="1" applyBorder="1" applyProtection="1">
      <protection hidden="1"/>
    </xf>
    <xf numFmtId="40" fontId="0" fillId="2" borderId="20" xfId="0" applyNumberFormat="1" applyFill="1" applyBorder="1" applyProtection="1">
      <protection hidden="1"/>
    </xf>
    <xf numFmtId="164" fontId="4" fillId="2" borderId="6" xfId="0" applyNumberFormat="1" applyFont="1" applyFill="1" applyBorder="1" applyAlignment="1" applyProtection="1">
      <alignment vertical="top"/>
      <protection hidden="1"/>
    </xf>
    <xf numFmtId="164" fontId="4" fillId="2" borderId="0" xfId="0" applyNumberFormat="1" applyFont="1" applyFill="1" applyProtection="1">
      <protection hidden="1"/>
    </xf>
    <xf numFmtId="164" fontId="4" fillId="2" borderId="0" xfId="0" quotePrefix="1" applyNumberFormat="1" applyFont="1" applyFill="1" applyProtection="1">
      <protection hidden="1"/>
    </xf>
    <xf numFmtId="40" fontId="0" fillId="2" borderId="21" xfId="0" applyNumberFormat="1" applyFill="1" applyBorder="1" applyProtection="1">
      <protection hidden="1"/>
    </xf>
    <xf numFmtId="0" fontId="18" fillId="2" borderId="0" xfId="0" applyFont="1" applyFill="1" applyProtection="1">
      <protection hidden="1"/>
    </xf>
    <xf numFmtId="40" fontId="1" fillId="2" borderId="0" xfId="0" applyNumberFormat="1" applyFont="1" applyFill="1" applyProtection="1">
      <protection hidden="1"/>
    </xf>
    <xf numFmtId="40" fontId="1" fillId="2" borderId="0" xfId="0" applyNumberFormat="1" applyFont="1" applyFill="1" applyAlignment="1" applyProtection="1">
      <alignment horizontal="right"/>
      <protection hidden="1"/>
    </xf>
    <xf numFmtId="0" fontId="3" fillId="2" borderId="0" xfId="0" applyFont="1" applyFill="1" applyProtection="1">
      <protection hidden="1"/>
    </xf>
    <xf numFmtId="164" fontId="4" fillId="2" borderId="0" xfId="0" applyNumberFormat="1" applyFont="1" applyFill="1" applyAlignment="1" applyProtection="1">
      <alignment horizontal="right"/>
      <protection hidden="1"/>
    </xf>
    <xf numFmtId="40" fontId="0" fillId="2" borderId="0" xfId="0" applyNumberFormat="1" applyFill="1" applyAlignment="1" applyProtection="1">
      <alignment horizontal="right"/>
      <protection hidden="1"/>
    </xf>
    <xf numFmtId="164" fontId="4" fillId="2" borderId="22" xfId="0" applyNumberFormat="1" applyFont="1" applyFill="1" applyBorder="1" applyAlignment="1" applyProtection="1">
      <alignment vertical="top"/>
      <protection hidden="1"/>
    </xf>
    <xf numFmtId="40" fontId="0" fillId="2" borderId="5" xfId="0" applyNumberFormat="1" applyFill="1" applyBorder="1" applyProtection="1">
      <protection hidden="1"/>
    </xf>
    <xf numFmtId="164" fontId="4" fillId="2" borderId="5" xfId="0" applyNumberFormat="1" applyFont="1" applyFill="1" applyBorder="1" applyProtection="1">
      <protection hidden="1"/>
    </xf>
    <xf numFmtId="40" fontId="0" fillId="2" borderId="23" xfId="0" applyNumberFormat="1" applyFill="1" applyBorder="1" applyProtection="1">
      <protection hidden="1"/>
    </xf>
    <xf numFmtId="0" fontId="1"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0" fontId="4" fillId="5" borderId="0" xfId="0" applyFont="1" applyFill="1" applyAlignment="1" applyProtection="1">
      <alignment horizontal="right"/>
      <protection hidden="1"/>
    </xf>
    <xf numFmtId="1" fontId="1" fillId="5" borderId="0" xfId="0" applyNumberFormat="1" applyFont="1" applyFill="1" applyProtection="1">
      <protection hidden="1"/>
    </xf>
    <xf numFmtId="1" fontId="3" fillId="5" borderId="0" xfId="0" applyNumberFormat="1" applyFont="1" applyFill="1" applyAlignment="1" applyProtection="1">
      <alignment horizontal="right"/>
      <protection hidden="1"/>
    </xf>
    <xf numFmtId="1" fontId="23" fillId="5" borderId="0" xfId="0" applyNumberFormat="1" applyFont="1" applyFill="1" applyProtection="1">
      <protection hidden="1"/>
    </xf>
    <xf numFmtId="0" fontId="0" fillId="5" borderId="5" xfId="0" applyFill="1" applyBorder="1" applyProtection="1">
      <protection hidden="1"/>
    </xf>
    <xf numFmtId="0" fontId="0" fillId="2" borderId="0" xfId="0" applyFill="1" applyAlignment="1" applyProtection="1">
      <alignment wrapText="1"/>
      <protection hidden="1"/>
    </xf>
    <xf numFmtId="40" fontId="13" fillId="2" borderId="0" xfId="0" applyNumberFormat="1" applyFont="1" applyFill="1" applyAlignment="1" applyProtection="1">
      <alignment horizontal="right"/>
      <protection hidden="1"/>
    </xf>
    <xf numFmtId="40" fontId="21" fillId="2" borderId="0" xfId="0" applyNumberFormat="1" applyFont="1" applyFill="1" applyAlignment="1" applyProtection="1">
      <alignment horizontal="right"/>
      <protection hidden="1"/>
    </xf>
    <xf numFmtId="0" fontId="0" fillId="2" borderId="24" xfId="0" applyFill="1" applyBorder="1" applyProtection="1">
      <protection hidden="1"/>
    </xf>
    <xf numFmtId="0" fontId="0" fillId="2" borderId="22" xfId="0" applyFill="1" applyBorder="1" applyProtection="1">
      <protection hidden="1"/>
    </xf>
    <xf numFmtId="0" fontId="0" fillId="5" borderId="24" xfId="0" applyFill="1" applyBorder="1" applyProtection="1">
      <protection hidden="1"/>
    </xf>
    <xf numFmtId="0" fontId="0" fillId="5" borderId="8" xfId="0" applyFill="1" applyBorder="1" applyProtection="1">
      <protection hidden="1"/>
    </xf>
    <xf numFmtId="0" fontId="0" fillId="5" borderId="6" xfId="0" applyFill="1" applyBorder="1" applyProtection="1">
      <protection hidden="1"/>
    </xf>
    <xf numFmtId="0" fontId="8" fillId="5" borderId="0" xfId="0" applyFont="1" applyFill="1" applyAlignment="1" applyProtection="1">
      <alignment horizontal="center"/>
      <protection hidden="1"/>
    </xf>
    <xf numFmtId="0" fontId="0" fillId="5" borderId="22" xfId="0" applyFill="1" applyBorder="1" applyProtection="1">
      <protection hidden="1"/>
    </xf>
    <xf numFmtId="0" fontId="8" fillId="5" borderId="5" xfId="0" applyFont="1" applyFill="1" applyBorder="1" applyAlignment="1" applyProtection="1">
      <alignment horizontal="center"/>
      <protection hidden="1"/>
    </xf>
    <xf numFmtId="0" fontId="0" fillId="2" borderId="20" xfId="0" applyFill="1" applyBorder="1" applyProtection="1">
      <protection hidden="1"/>
    </xf>
    <xf numFmtId="0" fontId="0" fillId="2" borderId="21" xfId="0" applyFill="1" applyBorder="1" applyProtection="1">
      <protection hidden="1"/>
    </xf>
    <xf numFmtId="0" fontId="0" fillId="2" borderId="23" xfId="0" applyFill="1" applyBorder="1" applyProtection="1">
      <protection hidden="1"/>
    </xf>
    <xf numFmtId="0" fontId="24"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19" fillId="2" borderId="0" xfId="0" applyNumberFormat="1" applyFont="1" applyFill="1" applyAlignment="1" applyProtection="1">
      <alignment horizontal="center"/>
      <protection hidden="1"/>
    </xf>
    <xf numFmtId="164" fontId="4" fillId="2" borderId="21" xfId="0" applyNumberFormat="1" applyFont="1" applyFill="1" applyBorder="1" applyProtection="1">
      <protection hidden="1"/>
    </xf>
    <xf numFmtId="40" fontId="26"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1"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164" fontId="27" fillId="2" borderId="0" xfId="0" applyNumberFormat="1" applyFont="1" applyFill="1" applyProtection="1">
      <protection hidden="1"/>
    </xf>
    <xf numFmtId="40" fontId="0" fillId="2" borderId="6" xfId="0" applyNumberFormat="1" applyFill="1" applyBorder="1" applyAlignment="1" applyProtection="1">
      <alignment horizontal="left"/>
      <protection hidden="1"/>
    </xf>
    <xf numFmtId="40" fontId="19" fillId="2" borderId="6" xfId="0" applyNumberFormat="1" applyFont="1" applyFill="1" applyBorder="1" applyAlignment="1" applyProtection="1">
      <alignment horizontal="left"/>
      <protection hidden="1"/>
    </xf>
    <xf numFmtId="0" fontId="0" fillId="2" borderId="5" xfId="0" applyFill="1" applyBorder="1" applyAlignment="1" applyProtection="1">
      <alignment wrapText="1"/>
      <protection hidden="1"/>
    </xf>
    <xf numFmtId="0" fontId="25" fillId="2" borderId="1" xfId="0" applyFont="1" applyFill="1" applyBorder="1" applyProtection="1">
      <protection hidden="1"/>
    </xf>
    <xf numFmtId="0" fontId="24" fillId="2" borderId="1" xfId="0" applyFont="1" applyFill="1" applyBorder="1" applyProtection="1">
      <protection hidden="1"/>
    </xf>
    <xf numFmtId="0" fontId="14" fillId="2" borderId="1" xfId="0" applyFont="1" applyFill="1" applyBorder="1" applyProtection="1">
      <protection hidden="1"/>
    </xf>
    <xf numFmtId="40" fontId="19" fillId="2" borderId="21" xfId="0" applyNumberFormat="1" applyFont="1" applyFill="1" applyBorder="1" applyAlignment="1" applyProtection="1">
      <alignment horizontal="right"/>
      <protection hidden="1"/>
    </xf>
    <xf numFmtId="40" fontId="19" fillId="2" borderId="21" xfId="0" applyNumberFormat="1" applyFont="1" applyFill="1" applyBorder="1" applyProtection="1">
      <protection hidden="1"/>
    </xf>
    <xf numFmtId="0" fontId="1" fillId="2" borderId="2" xfId="0" applyFont="1" applyFill="1" applyBorder="1" applyAlignment="1" applyProtection="1">
      <alignment horizontal="center"/>
      <protection hidden="1"/>
    </xf>
    <xf numFmtId="0" fontId="28" fillId="2" borderId="0" xfId="0" applyFont="1" applyFill="1" applyProtection="1">
      <protection hidden="1"/>
    </xf>
    <xf numFmtId="40" fontId="2" fillId="2" borderId="0" xfId="0" applyNumberFormat="1" applyFont="1" applyFill="1" applyAlignment="1" applyProtection="1">
      <alignment horizontal="left"/>
      <protection hidden="1"/>
    </xf>
    <xf numFmtId="0" fontId="24" fillId="2" borderId="1" xfId="0" applyFont="1" applyFill="1" applyBorder="1" applyAlignment="1" applyProtection="1">
      <alignment vertical="center"/>
      <protection hidden="1"/>
    </xf>
    <xf numFmtId="0" fontId="14"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164" fontId="4" fillId="2" borderId="0" xfId="0" applyNumberFormat="1" applyFont="1" applyFill="1" applyAlignment="1" applyProtection="1">
      <alignment horizontal="center"/>
      <protection hidden="1"/>
    </xf>
    <xf numFmtId="40" fontId="1" fillId="2" borderId="0" xfId="0" applyNumberFormat="1" applyFont="1" applyFill="1" applyAlignment="1" applyProtection="1">
      <alignment horizontal="center"/>
      <protection hidden="1"/>
    </xf>
    <xf numFmtId="40" fontId="1" fillId="2" borderId="21" xfId="0" applyNumberFormat="1" applyFont="1" applyFill="1" applyBorder="1" applyProtection="1">
      <protection hidden="1"/>
    </xf>
    <xf numFmtId="40" fontId="3" fillId="2" borderId="0" xfId="0" applyNumberFormat="1" applyFont="1" applyFill="1" applyProtection="1">
      <protection hidden="1"/>
    </xf>
    <xf numFmtId="164" fontId="4" fillId="2" borderId="0" xfId="0" applyNumberFormat="1" applyFont="1" applyFill="1" applyAlignment="1" applyProtection="1">
      <alignment vertical="top"/>
      <protection hidden="1"/>
    </xf>
    <xf numFmtId="4" fontId="0" fillId="2" borderId="0" xfId="0" applyNumberFormat="1" applyFill="1" applyProtection="1">
      <protection hidden="1"/>
    </xf>
    <xf numFmtId="40" fontId="3" fillId="2" borderId="0" xfId="0" applyNumberFormat="1" applyFont="1" applyFill="1" applyAlignment="1" applyProtection="1">
      <alignment horizontal="left"/>
      <protection hidden="1"/>
    </xf>
    <xf numFmtId="164" fontId="15" fillId="2" borderId="0" xfId="0" applyNumberFormat="1" applyFont="1" applyFill="1" applyProtection="1">
      <protection hidden="1"/>
    </xf>
    <xf numFmtId="164" fontId="4" fillId="2" borderId="5" xfId="0" applyNumberFormat="1" applyFont="1" applyFill="1" applyBorder="1" applyAlignment="1" applyProtection="1">
      <alignment vertical="top"/>
      <protection hidden="1"/>
    </xf>
    <xf numFmtId="0" fontId="14" fillId="2" borderId="0" xfId="0" applyFont="1" applyFill="1" applyProtection="1">
      <protection hidden="1"/>
    </xf>
    <xf numFmtId="49" fontId="7" fillId="2" borderId="5" xfId="0" applyNumberFormat="1" applyFont="1" applyFill="1" applyBorder="1" applyAlignment="1" applyProtection="1">
      <alignment horizontal="right"/>
      <protection hidden="1"/>
    </xf>
    <xf numFmtId="49" fontId="7" fillId="2" borderId="0" xfId="0" applyNumberFormat="1" applyFont="1" applyFill="1" applyAlignment="1" applyProtection="1">
      <alignment horizontal="right"/>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17" fillId="3" borderId="0" xfId="0" applyFont="1" applyFill="1" applyAlignment="1" applyProtection="1">
      <alignment vertical="center"/>
      <protection hidden="1"/>
    </xf>
    <xf numFmtId="1" fontId="12" fillId="3" borderId="0" xfId="0" applyNumberFormat="1" applyFont="1" applyFill="1" applyAlignment="1" applyProtection="1">
      <alignment horizontal="left" vertical="center"/>
      <protection hidden="1"/>
    </xf>
    <xf numFmtId="0" fontId="0" fillId="3" borderId="1" xfId="0" applyFill="1" applyBorder="1" applyAlignment="1" applyProtection="1">
      <alignment vertical="center"/>
      <protection hidden="1"/>
    </xf>
    <xf numFmtId="0" fontId="7" fillId="3" borderId="0" xfId="0" applyFont="1" applyFill="1" applyAlignment="1" applyProtection="1">
      <alignment horizontal="left"/>
      <protection hidden="1"/>
    </xf>
    <xf numFmtId="0" fontId="11" fillId="3" borderId="0" xfId="0" applyFont="1" applyFill="1" applyProtection="1">
      <protection hidden="1"/>
    </xf>
    <xf numFmtId="4" fontId="7" fillId="3" borderId="0" xfId="0" applyNumberFormat="1" applyFont="1" applyFill="1" applyAlignment="1" applyProtection="1">
      <alignment horizontal="center"/>
      <protection hidden="1"/>
    </xf>
    <xf numFmtId="0" fontId="1" fillId="3" borderId="10" xfId="0" applyFont="1" applyFill="1" applyBorder="1" applyProtection="1">
      <protection hidden="1"/>
    </xf>
    <xf numFmtId="0" fontId="8" fillId="3" borderId="1" xfId="0" applyFont="1" applyFill="1" applyBorder="1" applyProtection="1">
      <protection hidden="1"/>
    </xf>
    <xf numFmtId="0" fontId="12" fillId="3" borderId="0" xfId="0" applyFont="1" applyFill="1" applyProtection="1">
      <protection hidden="1"/>
    </xf>
    <xf numFmtId="4" fontId="5" fillId="3" borderId="0" xfId="0" applyNumberFormat="1" applyFont="1" applyFill="1" applyProtection="1">
      <protection hidden="1"/>
    </xf>
    <xf numFmtId="0" fontId="11" fillId="3" borderId="1" xfId="0" applyFont="1" applyFill="1" applyBorder="1" applyProtection="1">
      <protection hidden="1"/>
    </xf>
    <xf numFmtId="0" fontId="1" fillId="0" borderId="0" xfId="0" applyFont="1" applyProtection="1">
      <protection hidden="1"/>
    </xf>
    <xf numFmtId="0" fontId="6" fillId="3" borderId="1" xfId="0" applyFont="1" applyFill="1" applyBorder="1" applyProtection="1">
      <protection hidden="1"/>
    </xf>
    <xf numFmtId="0" fontId="15" fillId="3" borderId="0" xfId="0" applyFont="1" applyFill="1" applyProtection="1">
      <protection hidden="1"/>
    </xf>
    <xf numFmtId="4" fontId="0" fillId="3" borderId="15" xfId="0" applyNumberFormat="1" applyFill="1" applyBorder="1" applyProtection="1">
      <protection hidden="1"/>
    </xf>
    <xf numFmtId="0" fontId="1" fillId="3" borderId="9" xfId="0" applyFont="1" applyFill="1" applyBorder="1" applyProtection="1">
      <protection hidden="1"/>
    </xf>
    <xf numFmtId="0" fontId="8" fillId="3" borderId="26" xfId="0" applyFont="1" applyFill="1" applyBorder="1" applyProtection="1">
      <protection hidden="1"/>
    </xf>
    <xf numFmtId="4" fontId="0" fillId="3" borderId="9" xfId="0" applyNumberFormat="1" applyFill="1" applyBorder="1" applyProtection="1">
      <protection hidden="1"/>
    </xf>
    <xf numFmtId="0" fontId="1" fillId="3" borderId="0" xfId="0" applyFont="1" applyFill="1" applyAlignment="1" applyProtection="1">
      <alignment horizontal="right"/>
      <protection hidden="1"/>
    </xf>
    <xf numFmtId="0" fontId="4" fillId="3" borderId="0" xfId="0" applyFont="1" applyFill="1" applyAlignment="1" applyProtection="1">
      <alignment horizontal="right"/>
      <protection hidden="1"/>
    </xf>
    <xf numFmtId="0" fontId="1" fillId="3" borderId="5" xfId="0" applyFont="1" applyFill="1" applyBorder="1" applyProtection="1">
      <protection hidden="1"/>
    </xf>
    <xf numFmtId="0" fontId="0" fillId="3" borderId="5" xfId="0" applyFill="1" applyBorder="1" applyProtection="1">
      <protection hidden="1"/>
    </xf>
    <xf numFmtId="0" fontId="8" fillId="3" borderId="5" xfId="0" applyFont="1" applyFill="1" applyBorder="1" applyProtection="1">
      <protection hidden="1"/>
    </xf>
    <xf numFmtId="0" fontId="6" fillId="3" borderId="8" xfId="0" applyFont="1" applyFill="1" applyBorder="1" applyProtection="1">
      <protection hidden="1"/>
    </xf>
    <xf numFmtId="0" fontId="1" fillId="3" borderId="8" xfId="0" applyFont="1" applyFill="1" applyBorder="1" applyProtection="1">
      <protection hidden="1"/>
    </xf>
    <xf numFmtId="0" fontId="6" fillId="3" borderId="0" xfId="0" applyFont="1" applyFill="1" applyProtection="1">
      <protection hidden="1"/>
    </xf>
    <xf numFmtId="0" fontId="6" fillId="3" borderId="0" xfId="0" applyFont="1" applyFill="1" applyAlignment="1" applyProtection="1">
      <alignment horizontal="center"/>
      <protection hidden="1"/>
    </xf>
    <xf numFmtId="0" fontId="6" fillId="3" borderId="0" xfId="0" applyFont="1" applyFill="1" applyAlignment="1" applyProtection="1">
      <alignment horizontal="left"/>
      <protection hidden="1"/>
    </xf>
    <xf numFmtId="0" fontId="5" fillId="3" borderId="0" xfId="0" applyFont="1" applyFill="1" applyProtection="1">
      <protection hidden="1"/>
    </xf>
    <xf numFmtId="1" fontId="21" fillId="3" borderId="0" xfId="0" applyNumberFormat="1" applyFont="1" applyFill="1" applyAlignment="1" applyProtection="1">
      <alignment horizontal="center"/>
      <protection hidden="1"/>
    </xf>
    <xf numFmtId="0" fontId="58" fillId="3" borderId="0" xfId="0" applyFont="1" applyFill="1" applyAlignment="1" applyProtection="1">
      <alignment vertical="center"/>
      <protection hidden="1"/>
    </xf>
    <xf numFmtId="0" fontId="6" fillId="3" borderId="21" xfId="0" applyFont="1" applyFill="1" applyBorder="1" applyProtection="1">
      <protection hidden="1"/>
    </xf>
    <xf numFmtId="4" fontId="0" fillId="3" borderId="25" xfId="0" applyNumberFormat="1" applyFill="1" applyBorder="1" applyProtection="1">
      <protection hidden="1"/>
    </xf>
    <xf numFmtId="0" fontId="9" fillId="3" borderId="0" xfId="0" applyFont="1" applyFill="1" applyProtection="1">
      <protection hidden="1"/>
    </xf>
    <xf numFmtId="0" fontId="6" fillId="3" borderId="3" xfId="0" applyFont="1" applyFill="1" applyBorder="1" applyProtection="1">
      <protection hidden="1"/>
    </xf>
    <xf numFmtId="0" fontId="9" fillId="3" borderId="1" xfId="0" applyFont="1" applyFill="1" applyBorder="1" applyProtection="1">
      <protection hidden="1"/>
    </xf>
    <xf numFmtId="0" fontId="7" fillId="3" borderId="0" xfId="0" applyFont="1" applyFill="1" applyAlignment="1" applyProtection="1">
      <alignment horizontal="right"/>
      <protection hidden="1"/>
    </xf>
    <xf numFmtId="0" fontId="13" fillId="3" borderId="26" xfId="0" applyFont="1" applyFill="1" applyBorder="1" applyProtection="1">
      <protection hidden="1"/>
    </xf>
    <xf numFmtId="0" fontId="16" fillId="3" borderId="26" xfId="0" applyFont="1" applyFill="1" applyBorder="1" applyProtection="1">
      <protection hidden="1"/>
    </xf>
    <xf numFmtId="0" fontId="53" fillId="3" borderId="26" xfId="0" applyFont="1" applyFill="1" applyBorder="1" applyProtection="1">
      <protection hidden="1"/>
    </xf>
    <xf numFmtId="4" fontId="53" fillId="3" borderId="26" xfId="0" applyNumberFormat="1" applyFont="1" applyFill="1" applyBorder="1" applyProtection="1">
      <protection hidden="1"/>
    </xf>
    <xf numFmtId="39" fontId="53" fillId="3" borderId="26" xfId="0" applyNumberFormat="1" applyFont="1" applyFill="1" applyBorder="1" applyProtection="1">
      <protection hidden="1"/>
    </xf>
    <xf numFmtId="0" fontId="19" fillId="3" borderId="0" xfId="0" applyFont="1" applyFill="1" applyAlignment="1" applyProtection="1">
      <alignment horizontal="left"/>
      <protection hidden="1"/>
    </xf>
    <xf numFmtId="0" fontId="9" fillId="3" borderId="0" xfId="0" applyFont="1" applyFill="1" applyAlignment="1" applyProtection="1">
      <alignment horizontal="center"/>
      <protection hidden="1"/>
    </xf>
    <xf numFmtId="4" fontId="9" fillId="3" borderId="0" xfId="0" applyNumberFormat="1" applyFont="1" applyFill="1" applyAlignment="1" applyProtection="1">
      <alignment horizontal="center"/>
      <protection hidden="1"/>
    </xf>
    <xf numFmtId="39" fontId="9" fillId="3" borderId="0" xfId="0" applyNumberFormat="1" applyFont="1" applyFill="1" applyAlignment="1" applyProtection="1">
      <alignment horizontal="center"/>
      <protection hidden="1"/>
    </xf>
    <xf numFmtId="0" fontId="7" fillId="3" borderId="10" xfId="0" applyFont="1" applyFill="1" applyBorder="1" applyAlignment="1" applyProtection="1">
      <alignment horizontal="center"/>
      <protection hidden="1"/>
    </xf>
    <xf numFmtId="0" fontId="9" fillId="3" borderId="0" xfId="0" applyFont="1" applyFill="1" applyAlignment="1" applyProtection="1">
      <alignment horizontal="left"/>
      <protection hidden="1"/>
    </xf>
    <xf numFmtId="39" fontId="9" fillId="3" borderId="0" xfId="0" applyNumberFormat="1" applyFont="1" applyFill="1" applyProtection="1">
      <protection hidden="1"/>
    </xf>
    <xf numFmtId="0" fontId="7" fillId="3" borderId="3" xfId="0" applyFont="1" applyFill="1" applyBorder="1" applyAlignment="1" applyProtection="1">
      <alignment horizontal="center"/>
      <protection hidden="1"/>
    </xf>
    <xf numFmtId="39" fontId="7" fillId="3" borderId="0" xfId="0" applyNumberFormat="1" applyFont="1" applyFill="1" applyProtection="1">
      <protection hidden="1"/>
    </xf>
    <xf numFmtId="0" fontId="9" fillId="3" borderId="0" xfId="0" applyFont="1" applyFill="1" applyAlignment="1" applyProtection="1">
      <alignment horizontal="right"/>
      <protection hidden="1"/>
    </xf>
    <xf numFmtId="4" fontId="9" fillId="3" borderId="0" xfId="0" applyNumberFormat="1" applyFont="1" applyFill="1" applyProtection="1">
      <protection hidden="1"/>
    </xf>
    <xf numFmtId="0" fontId="9" fillId="3" borderId="3" xfId="0" applyFont="1" applyFill="1" applyBorder="1" applyAlignment="1" applyProtection="1">
      <alignment horizontal="center"/>
      <protection hidden="1"/>
    </xf>
    <xf numFmtId="0" fontId="7" fillId="3" borderId="0" xfId="0" applyFont="1" applyFill="1" applyProtection="1">
      <protection hidden="1"/>
    </xf>
    <xf numFmtId="0" fontId="19" fillId="3" borderId="0" xfId="0" applyFont="1" applyFill="1" applyProtection="1">
      <protection hidden="1"/>
    </xf>
    <xf numFmtId="4" fontId="19" fillId="3" borderId="0" xfId="0" applyNumberFormat="1" applyFont="1" applyFill="1" applyAlignment="1" applyProtection="1">
      <alignment horizontal="left"/>
      <protection hidden="1"/>
    </xf>
    <xf numFmtId="4" fontId="19" fillId="3" borderId="0" xfId="0" applyNumberFormat="1" applyFont="1" applyFill="1" applyProtection="1">
      <protection hidden="1"/>
    </xf>
    <xf numFmtId="39" fontId="19" fillId="3" borderId="0" xfId="0" applyNumberFormat="1" applyFont="1" applyFill="1" applyProtection="1">
      <protection hidden="1"/>
    </xf>
    <xf numFmtId="0" fontId="19" fillId="3" borderId="0" xfId="0" applyFont="1" applyFill="1" applyAlignment="1" applyProtection="1">
      <alignment horizontal="center"/>
      <protection hidden="1"/>
    </xf>
    <xf numFmtId="0" fontId="19" fillId="3" borderId="0" xfId="0" applyFont="1" applyFill="1" applyAlignment="1" applyProtection="1">
      <alignment horizontal="right"/>
      <protection hidden="1"/>
    </xf>
    <xf numFmtId="0" fontId="54" fillId="3" borderId="0" xfId="0" applyFont="1" applyFill="1" applyProtection="1">
      <protection hidden="1"/>
    </xf>
    <xf numFmtId="0" fontId="7" fillId="3" borderId="0" xfId="0" applyFont="1" applyFill="1" applyAlignment="1" applyProtection="1">
      <alignment horizontal="center"/>
      <protection hidden="1"/>
    </xf>
    <xf numFmtId="4" fontId="17" fillId="3" borderId="0" xfId="0" applyNumberFormat="1" applyFont="1" applyFill="1" applyAlignment="1" applyProtection="1">
      <alignment horizontal="left"/>
      <protection hidden="1"/>
    </xf>
    <xf numFmtId="0" fontId="17" fillId="3" borderId="6" xfId="0" applyFont="1" applyFill="1" applyBorder="1" applyAlignment="1" applyProtection="1">
      <alignment horizontal="left"/>
      <protection hidden="1"/>
    </xf>
    <xf numFmtId="0" fontId="54" fillId="3" borderId="5" xfId="0" applyFont="1" applyFill="1" applyBorder="1" applyProtection="1">
      <protection hidden="1"/>
    </xf>
    <xf numFmtId="0" fontId="9" fillId="3" borderId="5" xfId="0" applyFont="1" applyFill="1" applyBorder="1" applyProtection="1">
      <protection hidden="1"/>
    </xf>
    <xf numFmtId="0" fontId="9" fillId="3" borderId="5" xfId="0" applyFont="1" applyFill="1" applyBorder="1" applyAlignment="1" applyProtection="1">
      <alignment horizontal="center"/>
      <protection hidden="1"/>
    </xf>
    <xf numFmtId="4" fontId="9" fillId="3" borderId="5" xfId="0" applyNumberFormat="1" applyFont="1" applyFill="1" applyBorder="1" applyProtection="1">
      <protection hidden="1"/>
    </xf>
    <xf numFmtId="39" fontId="9" fillId="3" borderId="5" xfId="0" applyNumberFormat="1" applyFont="1" applyFill="1" applyBorder="1" applyProtection="1">
      <protection hidden="1"/>
    </xf>
    <xf numFmtId="0" fontId="17" fillId="3" borderId="5" xfId="0" applyFont="1" applyFill="1" applyBorder="1" applyAlignment="1" applyProtection="1">
      <alignment horizontal="left"/>
      <protection hidden="1"/>
    </xf>
    <xf numFmtId="0" fontId="7" fillId="3" borderId="5" xfId="0" applyFont="1" applyFill="1" applyBorder="1" applyAlignment="1" applyProtection="1">
      <alignment horizontal="center"/>
      <protection hidden="1"/>
    </xf>
    <xf numFmtId="39" fontId="9" fillId="3" borderId="0" xfId="0" applyNumberFormat="1" applyFont="1" applyFill="1" applyAlignment="1" applyProtection="1">
      <alignment horizontal="right"/>
      <protection hidden="1"/>
    </xf>
    <xf numFmtId="39" fontId="5"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53" fillId="3" borderId="28" xfId="0" applyFont="1" applyFill="1" applyBorder="1" applyProtection="1">
      <protection hidden="1"/>
    </xf>
    <xf numFmtId="39" fontId="20" fillId="3" borderId="0" xfId="0" applyNumberFormat="1" applyFont="1" applyFill="1" applyProtection="1">
      <protection hidden="1"/>
    </xf>
    <xf numFmtId="0" fontId="53" fillId="3" borderId="8" xfId="0" applyFont="1" applyFill="1" applyBorder="1" applyProtection="1">
      <protection hidden="1"/>
    </xf>
    <xf numFmtId="39" fontId="53" fillId="3" borderId="0" xfId="0" applyNumberFormat="1" applyFont="1" applyFill="1" applyProtection="1">
      <protection hidden="1"/>
    </xf>
    <xf numFmtId="39" fontId="19" fillId="3" borderId="1" xfId="0" applyNumberFormat="1" applyFont="1" applyFill="1" applyBorder="1" applyProtection="1">
      <protection hidden="1"/>
    </xf>
    <xf numFmtId="39" fontId="9" fillId="3" borderId="1" xfId="0" applyNumberFormat="1" applyFont="1" applyFill="1" applyBorder="1" applyProtection="1">
      <protection hidden="1"/>
    </xf>
    <xf numFmtId="39" fontId="7" fillId="3" borderId="0" xfId="0" applyNumberFormat="1" applyFont="1" applyFill="1" applyAlignment="1" applyProtection="1">
      <alignment horizontal="right"/>
      <protection hidden="1"/>
    </xf>
    <xf numFmtId="0" fontId="1" fillId="3" borderId="0" xfId="0" applyFont="1" applyFill="1" applyAlignment="1" applyProtection="1">
      <alignment horizontal="left"/>
      <protection hidden="1"/>
    </xf>
    <xf numFmtId="39" fontId="4" fillId="3" borderId="0" xfId="0" applyNumberFormat="1" applyFont="1" applyFill="1" applyProtection="1">
      <protection hidden="1"/>
    </xf>
    <xf numFmtId="39" fontId="7" fillId="3" borderId="5" xfId="0" applyNumberFormat="1" applyFont="1" applyFill="1" applyBorder="1" applyProtection="1">
      <protection hidden="1"/>
    </xf>
    <xf numFmtId="39" fontId="4" fillId="3" borderId="5" xfId="0" applyNumberFormat="1" applyFont="1" applyFill="1" applyBorder="1" applyProtection="1">
      <protection hidden="1"/>
    </xf>
    <xf numFmtId="0" fontId="7" fillId="3" borderId="29" xfId="0" applyFont="1" applyFill="1" applyBorder="1" applyAlignment="1" applyProtection="1">
      <alignment horizontal="center"/>
      <protection hidden="1"/>
    </xf>
    <xf numFmtId="0" fontId="16" fillId="3" borderId="1" xfId="0" applyFont="1" applyFill="1" applyBorder="1" applyProtection="1">
      <protection hidden="1"/>
    </xf>
    <xf numFmtId="0" fontId="0" fillId="3" borderId="0" xfId="0" applyFill="1" applyAlignment="1" applyProtection="1">
      <alignment horizontal="center"/>
      <protection hidden="1"/>
    </xf>
    <xf numFmtId="0" fontId="1" fillId="3" borderId="3" xfId="0" applyFont="1" applyFill="1" applyBorder="1" applyAlignment="1" applyProtection="1">
      <alignment horizontal="right"/>
      <protection hidden="1"/>
    </xf>
    <xf numFmtId="4" fontId="8" fillId="3" borderId="0" xfId="0" applyNumberFormat="1" applyFont="1" applyFill="1" applyProtection="1">
      <protection hidden="1"/>
    </xf>
    <xf numFmtId="4" fontId="11" fillId="3" borderId="0" xfId="0" applyNumberFormat="1" applyFont="1" applyFill="1" applyProtection="1">
      <protection hidden="1"/>
    </xf>
    <xf numFmtId="4" fontId="12" fillId="3" borderId="0" xfId="0" applyNumberFormat="1" applyFont="1" applyFill="1" applyProtection="1">
      <protection hidden="1"/>
    </xf>
    <xf numFmtId="4" fontId="11" fillId="3" borderId="1" xfId="0" applyNumberFormat="1" applyFont="1" applyFill="1" applyBorder="1" applyProtection="1">
      <protection hidden="1"/>
    </xf>
    <xf numFmtId="0" fontId="8" fillId="3" borderId="0" xfId="0" applyFont="1" applyFill="1" applyAlignment="1" applyProtection="1">
      <alignment horizontal="left"/>
      <protection hidden="1"/>
    </xf>
    <xf numFmtId="4" fontId="8" fillId="3" borderId="0" xfId="0" applyNumberFormat="1" applyFont="1" applyFill="1" applyAlignment="1" applyProtection="1">
      <alignment horizontal="left"/>
      <protection hidden="1"/>
    </xf>
    <xf numFmtId="4" fontId="15" fillId="3" borderId="25" xfId="0" applyNumberFormat="1" applyFont="1" applyFill="1" applyBorder="1" applyAlignment="1" applyProtection="1">
      <alignment horizontal="center"/>
      <protection hidden="1"/>
    </xf>
    <xf numFmtId="0" fontId="4" fillId="3" borderId="3" xfId="0" applyFont="1" applyFill="1" applyBorder="1" applyAlignment="1" applyProtection="1">
      <alignment horizontal="right"/>
      <protection hidden="1"/>
    </xf>
    <xf numFmtId="4" fontId="11" fillId="3" borderId="0" xfId="0" applyNumberFormat="1" applyFont="1" applyFill="1" applyAlignment="1" applyProtection="1">
      <alignment horizontal="left"/>
      <protection hidden="1"/>
    </xf>
    <xf numFmtId="0" fontId="8" fillId="0" borderId="0" xfId="0" applyFont="1" applyProtection="1">
      <protection hidden="1"/>
    </xf>
    <xf numFmtId="0" fontId="4" fillId="0" borderId="0" xfId="0" applyFont="1" applyProtection="1">
      <protection hidden="1"/>
    </xf>
    <xf numFmtId="0" fontId="19" fillId="0" borderId="0" xfId="0" applyFont="1"/>
    <xf numFmtId="0" fontId="19" fillId="5" borderId="0" xfId="0" applyFont="1" applyFill="1"/>
    <xf numFmtId="40" fontId="23" fillId="2" borderId="0" xfId="0" applyNumberFormat="1" applyFont="1" applyFill="1" applyProtection="1">
      <protection hidden="1"/>
    </xf>
    <xf numFmtId="4" fontId="8" fillId="7" borderId="0" xfId="0" applyNumberFormat="1" applyFont="1" applyFill="1" applyProtection="1">
      <protection hidden="1"/>
    </xf>
    <xf numFmtId="1" fontId="4" fillId="7" borderId="16" xfId="0" applyNumberFormat="1" applyFont="1" applyFill="1" applyBorder="1" applyAlignment="1" applyProtection="1">
      <alignment horizontal="right"/>
      <protection hidden="1"/>
    </xf>
    <xf numFmtId="1" fontId="4" fillId="7" borderId="7" xfId="0" applyNumberFormat="1" applyFont="1" applyFill="1" applyBorder="1" applyAlignment="1" applyProtection="1">
      <alignment horizontal="right"/>
      <protection hidden="1"/>
    </xf>
    <xf numFmtId="0" fontId="13" fillId="3" borderId="0" xfId="0" applyFont="1" applyFill="1" applyAlignment="1" applyProtection="1">
      <alignment horizontal="left"/>
      <protection hidden="1"/>
    </xf>
    <xf numFmtId="0" fontId="0" fillId="3" borderId="8" xfId="0" applyFill="1" applyBorder="1" applyProtection="1">
      <protection hidden="1"/>
    </xf>
    <xf numFmtId="0" fontId="0" fillId="3" borderId="20" xfId="0" applyFill="1" applyBorder="1" applyProtection="1">
      <protection hidden="1"/>
    </xf>
    <xf numFmtId="0" fontId="1" fillId="3" borderId="0" xfId="0" applyFont="1" applyFill="1" applyAlignment="1" applyProtection="1">
      <alignment horizontal="center"/>
      <protection hidden="1"/>
    </xf>
    <xf numFmtId="0" fontId="11" fillId="3" borderId="5" xfId="0" applyFont="1" applyFill="1" applyBorder="1" applyProtection="1">
      <protection hidden="1"/>
    </xf>
    <xf numFmtId="0" fontId="6" fillId="3" borderId="5" xfId="0" applyFont="1" applyFill="1" applyBorder="1" applyProtection="1">
      <protection hidden="1"/>
    </xf>
    <xf numFmtId="0" fontId="1" fillId="3" borderId="11" xfId="0" applyFont="1" applyFill="1" applyBorder="1" applyAlignment="1" applyProtection="1">
      <alignment horizontal="right"/>
      <protection hidden="1"/>
    </xf>
    <xf numFmtId="0" fontId="5" fillId="3" borderId="1" xfId="0" applyFont="1" applyFill="1" applyBorder="1" applyProtection="1">
      <protection hidden="1"/>
    </xf>
    <xf numFmtId="4" fontId="8" fillId="3" borderId="0" xfId="0" applyNumberFormat="1" applyFont="1" applyFill="1" applyAlignment="1" applyProtection="1">
      <alignment horizontal="right"/>
      <protection hidden="1"/>
    </xf>
    <xf numFmtId="0" fontId="40" fillId="3" borderId="0" xfId="0" applyFont="1" applyFill="1" applyProtection="1">
      <protection hidden="1"/>
    </xf>
    <xf numFmtId="1" fontId="15" fillId="3" borderId="0" xfId="0" applyNumberFormat="1" applyFont="1" applyFill="1" applyAlignment="1" applyProtection="1">
      <alignment horizontal="center"/>
      <protection hidden="1"/>
    </xf>
    <xf numFmtId="1" fontId="21"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61"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19" fillId="3" borderId="0" xfId="0" applyNumberFormat="1" applyFont="1" applyFill="1" applyAlignment="1" applyProtection="1">
      <alignment horizontal="right"/>
      <protection hidden="1"/>
    </xf>
    <xf numFmtId="39" fontId="31" fillId="3" borderId="0" xfId="0" applyNumberFormat="1" applyFont="1" applyFill="1" applyAlignment="1" applyProtection="1">
      <alignment horizontal="right"/>
      <protection hidden="1"/>
    </xf>
    <xf numFmtId="4" fontId="5" fillId="0" borderId="0" xfId="0" applyNumberFormat="1" applyFont="1" applyProtection="1">
      <protection hidden="1"/>
    </xf>
    <xf numFmtId="0" fontId="5" fillId="0" borderId="0" xfId="0" applyFont="1" applyProtection="1">
      <protection hidden="1"/>
    </xf>
    <xf numFmtId="0" fontId="53" fillId="0" borderId="0" xfId="0" applyFont="1" applyProtection="1">
      <protection hidden="1"/>
    </xf>
    <xf numFmtId="0" fontId="8" fillId="0" borderId="0" xfId="0" applyFont="1" applyAlignment="1" applyProtection="1">
      <alignment horizontal="center"/>
      <protection hidden="1"/>
    </xf>
    <xf numFmtId="0" fontId="15" fillId="0" borderId="0" xfId="0" applyFont="1" applyProtection="1">
      <protection hidden="1"/>
    </xf>
    <xf numFmtId="0" fontId="11" fillId="3" borderId="8" xfId="0" applyFont="1" applyFill="1" applyBorder="1" applyProtection="1">
      <protection hidden="1"/>
    </xf>
    <xf numFmtId="4" fontId="0" fillId="0" borderId="0" xfId="0" applyNumberFormat="1" applyProtection="1">
      <protection hidden="1"/>
    </xf>
    <xf numFmtId="0" fontId="8" fillId="2" borderId="21" xfId="0" applyFont="1" applyFill="1" applyBorder="1" applyProtection="1">
      <protection hidden="1"/>
    </xf>
    <xf numFmtId="0" fontId="19" fillId="2" borderId="0" xfId="0" applyFont="1" applyFill="1" applyProtection="1">
      <protection hidden="1"/>
    </xf>
    <xf numFmtId="0" fontId="4" fillId="2" borderId="2" xfId="0" applyFont="1" applyFill="1" applyBorder="1" applyAlignment="1" applyProtection="1">
      <alignment horizontal="center"/>
      <protection hidden="1"/>
    </xf>
    <xf numFmtId="0" fontId="0" fillId="0" borderId="0" xfId="0" applyAlignment="1">
      <alignment horizontal="center"/>
    </xf>
    <xf numFmtId="39" fontId="5" fillId="3" borderId="16" xfId="0" applyNumberFormat="1" applyFont="1" applyFill="1" applyBorder="1" applyProtection="1">
      <protection hidden="1"/>
    </xf>
    <xf numFmtId="0" fontId="5" fillId="3" borderId="0" xfId="0" applyFont="1" applyFill="1" applyAlignment="1" applyProtection="1">
      <alignment wrapText="1"/>
      <protection hidden="1"/>
    </xf>
    <xf numFmtId="0" fontId="5" fillId="3" borderId="0" xfId="0" applyFont="1" applyFill="1" applyAlignment="1" applyProtection="1">
      <alignment horizontal="left"/>
      <protection hidden="1"/>
    </xf>
    <xf numFmtId="4" fontId="6" fillId="3" borderId="8" xfId="0" applyNumberFormat="1" applyFont="1" applyFill="1" applyBorder="1" applyAlignment="1" applyProtection="1">
      <alignment horizontal="right"/>
      <protection hidden="1"/>
    </xf>
    <xf numFmtId="0" fontId="21" fillId="3" borderId="0" xfId="0" applyFont="1" applyFill="1" applyAlignment="1" applyProtection="1">
      <alignment horizontal="left"/>
      <protection hidden="1"/>
    </xf>
    <xf numFmtId="0" fontId="6" fillId="3" borderId="23" xfId="0" applyFont="1" applyFill="1" applyBorder="1" applyProtection="1">
      <protection hidden="1"/>
    </xf>
    <xf numFmtId="0" fontId="4" fillId="3" borderId="0" xfId="0" applyFont="1" applyFill="1" applyProtection="1">
      <protection hidden="1"/>
    </xf>
    <xf numFmtId="0" fontId="5" fillId="6" borderId="0" xfId="0" applyFont="1" applyFill="1" applyProtection="1">
      <protection hidden="1"/>
    </xf>
    <xf numFmtId="0" fontId="6" fillId="2" borderId="0" xfId="0" applyFont="1" applyFill="1" applyProtection="1">
      <protection hidden="1"/>
    </xf>
    <xf numFmtId="0" fontId="5" fillId="2" borderId="1" xfId="0" applyFont="1" applyFill="1" applyBorder="1" applyProtection="1">
      <protection hidden="1"/>
    </xf>
    <xf numFmtId="0" fontId="5" fillId="2" borderId="0" xfId="0" applyFont="1" applyFill="1" applyAlignment="1" applyProtection="1">
      <alignment horizontal="left"/>
      <protection hidden="1"/>
    </xf>
    <xf numFmtId="0" fontId="6" fillId="2" borderId="0" xfId="0" applyFont="1" applyFill="1" applyAlignment="1" applyProtection="1">
      <alignment horizontal="right"/>
      <protection hidden="1"/>
    </xf>
    <xf numFmtId="0" fontId="0" fillId="2" borderId="0" xfId="0" applyFill="1"/>
    <xf numFmtId="0" fontId="8" fillId="2" borderId="0" xfId="0" applyFont="1" applyFill="1" applyAlignment="1" applyProtection="1">
      <alignment vertical="center"/>
      <protection hidden="1"/>
    </xf>
    <xf numFmtId="40" fontId="19" fillId="2" borderId="0" xfId="0" applyNumberFormat="1" applyFont="1" applyFill="1" applyAlignment="1" applyProtection="1">
      <alignment horizontal="left"/>
      <protection hidden="1"/>
    </xf>
    <xf numFmtId="164" fontId="66" fillId="2" borderId="0" xfId="0" applyNumberFormat="1" applyFont="1" applyFill="1" applyAlignment="1" applyProtection="1">
      <alignment horizontal="center"/>
      <protection hidden="1"/>
    </xf>
    <xf numFmtId="164" fontId="4" fillId="2" borderId="0" xfId="0" applyNumberFormat="1" applyFont="1" applyFill="1" applyAlignment="1" applyProtection="1">
      <alignment horizontal="left"/>
      <protection hidden="1"/>
    </xf>
    <xf numFmtId="40" fontId="44" fillId="2" borderId="0" xfId="0" applyNumberFormat="1" applyFont="1" applyFill="1" applyAlignment="1" applyProtection="1">
      <alignment horizontal="left"/>
      <protection hidden="1"/>
    </xf>
    <xf numFmtId="164" fontId="13" fillId="2" borderId="0" xfId="0" applyNumberFormat="1" applyFont="1" applyFill="1" applyProtection="1">
      <protection hidden="1"/>
    </xf>
    <xf numFmtId="0" fontId="14" fillId="2" borderId="0" xfId="0" applyFont="1" applyFill="1" applyAlignment="1" applyProtection="1">
      <alignment wrapText="1"/>
      <protection hidden="1"/>
    </xf>
    <xf numFmtId="40" fontId="14" fillId="2" borderId="0" xfId="0" applyNumberFormat="1" applyFont="1" applyFill="1" applyAlignment="1" applyProtection="1">
      <alignment horizontal="right"/>
      <protection hidden="1"/>
    </xf>
    <xf numFmtId="40" fontId="14" fillId="2" borderId="0" xfId="0" applyNumberFormat="1" applyFont="1" applyFill="1" applyAlignment="1" applyProtection="1">
      <alignment horizontal="left"/>
      <protection hidden="1"/>
    </xf>
    <xf numFmtId="40" fontId="1" fillId="2" borderId="2" xfId="0" applyNumberFormat="1" applyFont="1" applyFill="1" applyBorder="1" applyAlignment="1" applyProtection="1">
      <alignment horizontal="center"/>
      <protection hidden="1"/>
    </xf>
    <xf numFmtId="0" fontId="0" fillId="2" borderId="8" xfId="0" applyFill="1" applyBorder="1"/>
    <xf numFmtId="0" fontId="0" fillId="2" borderId="20" xfId="0" applyFill="1" applyBorder="1"/>
    <xf numFmtId="0" fontId="0" fillId="2" borderId="21" xfId="0" applyFill="1" applyBorder="1"/>
    <xf numFmtId="0" fontId="0" fillId="2" borderId="5" xfId="0" applyFill="1" applyBorder="1"/>
    <xf numFmtId="40" fontId="4" fillId="2" borderId="0" xfId="0" applyNumberFormat="1" applyFont="1" applyFill="1" applyProtection="1">
      <protection hidden="1"/>
    </xf>
    <xf numFmtId="38" fontId="0" fillId="2" borderId="21" xfId="0" applyNumberFormat="1" applyFill="1" applyBorder="1" applyProtection="1">
      <protection hidden="1"/>
    </xf>
    <xf numFmtId="40" fontId="67" fillId="2" borderId="0" xfId="0" applyNumberFormat="1" applyFont="1" applyFill="1" applyAlignment="1" applyProtection="1">
      <alignment horizontal="right"/>
      <protection hidden="1"/>
    </xf>
    <xf numFmtId="40" fontId="4" fillId="2" borderId="0" xfId="0" applyNumberFormat="1" applyFont="1" applyFill="1" applyAlignment="1" applyProtection="1">
      <alignment horizontal="center"/>
      <protection hidden="1"/>
    </xf>
    <xf numFmtId="164" fontId="19" fillId="2" borderId="0" xfId="0" applyNumberFormat="1" applyFont="1" applyFill="1" applyProtection="1">
      <protection hidden="1"/>
    </xf>
    <xf numFmtId="0" fontId="14" fillId="2" borderId="30" xfId="0" applyFont="1" applyFill="1" applyBorder="1" applyAlignment="1" applyProtection="1">
      <alignment vertical="center"/>
      <protection hidden="1"/>
    </xf>
    <xf numFmtId="0" fontId="0" fillId="4" borderId="21" xfId="0" applyFill="1" applyBorder="1" applyProtection="1">
      <protection locked="0" hidden="1"/>
    </xf>
    <xf numFmtId="38" fontId="0" fillId="2" borderId="0" xfId="0" applyNumberFormat="1" applyFill="1" applyProtection="1">
      <protection hidden="1"/>
    </xf>
    <xf numFmtId="40" fontId="0" fillId="2" borderId="5" xfId="0" applyNumberFormat="1" applyFill="1" applyBorder="1" applyAlignment="1" applyProtection="1">
      <alignment horizontal="center"/>
      <protection hidden="1"/>
    </xf>
    <xf numFmtId="164" fontId="13" fillId="4" borderId="0" xfId="0" applyNumberFormat="1" applyFont="1" applyFill="1" applyProtection="1">
      <protection locked="0" hidden="1"/>
    </xf>
    <xf numFmtId="164" fontId="15" fillId="2" borderId="5" xfId="0" applyNumberFormat="1" applyFont="1" applyFill="1" applyBorder="1" applyAlignment="1" applyProtection="1">
      <alignment horizontal="right"/>
      <protection hidden="1"/>
    </xf>
    <xf numFmtId="38" fontId="0" fillId="2" borderId="5" xfId="0" applyNumberFormat="1" applyFill="1" applyBorder="1" applyProtection="1">
      <protection hidden="1"/>
    </xf>
    <xf numFmtId="164" fontId="4" fillId="2" borderId="6" xfId="0" applyNumberFormat="1" applyFont="1" applyFill="1" applyBorder="1" applyProtection="1">
      <protection hidden="1"/>
    </xf>
    <xf numFmtId="0" fontId="4" fillId="2" borderId="21" xfId="0" applyFont="1" applyFill="1" applyBorder="1" applyAlignment="1" applyProtection="1">
      <alignment horizontal="center"/>
      <protection hidden="1"/>
    </xf>
    <xf numFmtId="0" fontId="0" fillId="2" borderId="0" xfId="0" applyFill="1" applyAlignment="1" applyProtection="1">
      <alignment horizontal="left" vertical="center"/>
      <protection hidden="1"/>
    </xf>
    <xf numFmtId="0" fontId="19" fillId="2" borderId="1" xfId="0" applyFont="1" applyFill="1" applyBorder="1" applyProtection="1">
      <protection hidden="1"/>
    </xf>
    <xf numFmtId="0" fontId="0" fillId="2" borderId="0" xfId="0" applyFill="1" applyAlignment="1" applyProtection="1">
      <alignment horizontal="center"/>
      <protection hidden="1"/>
    </xf>
    <xf numFmtId="0" fontId="32" fillId="2" borderId="0" xfId="0" applyFont="1" applyFill="1" applyProtection="1">
      <protection hidden="1"/>
    </xf>
    <xf numFmtId="0" fontId="0" fillId="0" borderId="0" xfId="0" applyAlignment="1" applyProtection="1">
      <alignment horizontal="center"/>
      <protection hidden="1"/>
    </xf>
    <xf numFmtId="0" fontId="19" fillId="2" borderId="21" xfId="0" applyFont="1" applyFill="1" applyBorder="1" applyProtection="1">
      <protection hidden="1"/>
    </xf>
    <xf numFmtId="1" fontId="60" fillId="2" borderId="0" xfId="0" applyNumberFormat="1" applyFont="1" applyFill="1" applyProtection="1">
      <protection hidden="1"/>
    </xf>
    <xf numFmtId="164" fontId="60" fillId="2" borderId="5" xfId="0" applyNumberFormat="1" applyFont="1" applyFill="1" applyBorder="1" applyProtection="1">
      <protection hidden="1"/>
    </xf>
    <xf numFmtId="40" fontId="4" fillId="2" borderId="0" xfId="0" applyNumberFormat="1" applyFont="1" applyFill="1" applyAlignment="1" applyProtection="1">
      <alignment horizontal="left"/>
      <protection hidden="1"/>
    </xf>
    <xf numFmtId="1" fontId="71" fillId="2" borderId="0" xfId="0" applyNumberFormat="1" applyFont="1" applyFill="1" applyProtection="1">
      <protection hidden="1"/>
    </xf>
    <xf numFmtId="3" fontId="23" fillId="2" borderId="0" xfId="0" applyNumberFormat="1" applyFont="1" applyFill="1" applyProtection="1">
      <protection hidden="1"/>
    </xf>
    <xf numFmtId="0" fontId="19" fillId="2" borderId="0" xfId="0" applyFont="1" applyFill="1"/>
    <xf numFmtId="0" fontId="4" fillId="0" borderId="0" xfId="0" applyFont="1" applyAlignment="1" applyProtection="1">
      <alignment horizontal="center"/>
      <protection hidden="1"/>
    </xf>
    <xf numFmtId="0" fontId="13" fillId="2" borderId="0" xfId="0" applyFont="1" applyFill="1" applyProtection="1">
      <protection hidden="1"/>
    </xf>
    <xf numFmtId="0" fontId="4" fillId="3" borderId="0" xfId="0" applyFont="1" applyFill="1" applyAlignment="1" applyProtection="1">
      <alignment horizontal="center"/>
      <protection hidden="1"/>
    </xf>
    <xf numFmtId="4" fontId="15" fillId="3" borderId="0" xfId="0" applyNumberFormat="1" applyFont="1" applyFill="1" applyAlignment="1" applyProtection="1">
      <alignment horizontal="right"/>
      <protection hidden="1"/>
    </xf>
    <xf numFmtId="0" fontId="8" fillId="3" borderId="8" xfId="0" applyFont="1" applyFill="1" applyBorder="1" applyProtection="1">
      <protection hidden="1"/>
    </xf>
    <xf numFmtId="0" fontId="53" fillId="3" borderId="0" xfId="0" applyFont="1" applyFill="1" applyProtection="1">
      <protection hidden="1"/>
    </xf>
    <xf numFmtId="0" fontId="53" fillId="3" borderId="1" xfId="0" applyFont="1" applyFill="1" applyBorder="1" applyProtection="1">
      <protection hidden="1"/>
    </xf>
    <xf numFmtId="0" fontId="4" fillId="5" borderId="0" xfId="0" applyFont="1" applyFill="1" applyAlignment="1" applyProtection="1">
      <alignment horizontal="center"/>
      <protection hidden="1"/>
    </xf>
    <xf numFmtId="38" fontId="5" fillId="2" borderId="0" xfId="0" applyNumberFormat="1" applyFont="1" applyFill="1" applyProtection="1">
      <protection hidden="1"/>
    </xf>
    <xf numFmtId="38" fontId="0" fillId="2" borderId="9" xfId="0" applyNumberFormat="1" applyFill="1" applyBorder="1" applyProtection="1">
      <protection hidden="1"/>
    </xf>
    <xf numFmtId="0" fontId="8" fillId="3" borderId="1" xfId="0" applyFont="1" applyFill="1" applyBorder="1" applyAlignment="1" applyProtection="1">
      <alignment horizontal="left"/>
      <protection hidden="1"/>
    </xf>
    <xf numFmtId="0" fontId="1" fillId="3" borderId="10" xfId="0" applyFont="1" applyFill="1" applyBorder="1" applyAlignment="1" applyProtection="1">
      <alignment horizontal="center"/>
      <protection hidden="1"/>
    </xf>
    <xf numFmtId="0" fontId="1" fillId="3" borderId="11" xfId="0" applyFont="1" applyFill="1" applyBorder="1" applyAlignment="1" applyProtection="1">
      <alignment horizontal="center"/>
      <protection hidden="1"/>
    </xf>
    <xf numFmtId="0" fontId="16" fillId="3" borderId="0" xfId="0" applyFont="1" applyFill="1" applyProtection="1">
      <protection hidden="1"/>
    </xf>
    <xf numFmtId="4" fontId="8" fillId="3" borderId="4" xfId="0" applyNumberFormat="1" applyFont="1" applyFill="1" applyBorder="1" applyAlignment="1" applyProtection="1">
      <alignment horizontal="right"/>
      <protection locked="0"/>
    </xf>
    <xf numFmtId="0" fontId="1" fillId="3" borderId="16" xfId="0" applyFont="1" applyFill="1" applyBorder="1" applyAlignment="1" applyProtection="1">
      <alignment horizontal="center"/>
      <protection hidden="1"/>
    </xf>
    <xf numFmtId="0" fontId="1" fillId="3" borderId="7"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7" fillId="2" borderId="0" xfId="0" applyFont="1" applyFill="1" applyProtection="1">
      <protection hidden="1"/>
    </xf>
    <xf numFmtId="0" fontId="4" fillId="2" borderId="11" xfId="0" applyFont="1" applyFill="1" applyBorder="1" applyAlignment="1" applyProtection="1">
      <alignment horizontal="center"/>
      <protection hidden="1"/>
    </xf>
    <xf numFmtId="0" fontId="4" fillId="2" borderId="5" xfId="0" applyFont="1" applyFill="1" applyBorder="1" applyProtection="1">
      <protection hidden="1"/>
    </xf>
    <xf numFmtId="0" fontId="4" fillId="8" borderId="0" xfId="0" applyFont="1" applyFill="1" applyProtection="1">
      <protection hidden="1"/>
    </xf>
    <xf numFmtId="0" fontId="8" fillId="8" borderId="0" xfId="0" applyFont="1" applyFill="1" applyProtection="1">
      <protection hidden="1"/>
    </xf>
    <xf numFmtId="0" fontId="16" fillId="2" borderId="0" xfId="0" applyFont="1" applyFill="1" applyProtection="1">
      <protection hidden="1"/>
    </xf>
    <xf numFmtId="0" fontId="16" fillId="2" borderId="0" xfId="0" applyFont="1" applyFill="1" applyAlignment="1" applyProtection="1">
      <alignment horizontal="left"/>
      <protection hidden="1"/>
    </xf>
    <xf numFmtId="164" fontId="25" fillId="2" borderId="0" xfId="0" applyNumberFormat="1" applyFont="1" applyFill="1" applyAlignment="1" applyProtection="1">
      <alignment horizontal="center"/>
      <protection hidden="1"/>
    </xf>
    <xf numFmtId="164" fontId="4" fillId="2" borderId="24" xfId="0" applyNumberFormat="1" applyFont="1" applyFill="1" applyBorder="1" applyProtection="1">
      <protection hidden="1"/>
    </xf>
    <xf numFmtId="0" fontId="4" fillId="2" borderId="9" xfId="0" applyFont="1" applyFill="1" applyBorder="1" applyProtection="1">
      <protection hidden="1"/>
    </xf>
    <xf numFmtId="40" fontId="0" fillId="2" borderId="9" xfId="0" applyNumberFormat="1" applyFill="1" applyBorder="1" applyProtection="1">
      <protection hidden="1"/>
    </xf>
    <xf numFmtId="40" fontId="5" fillId="2" borderId="21" xfId="0" applyNumberFormat="1" applyFont="1" applyFill="1" applyBorder="1" applyProtection="1">
      <protection hidden="1"/>
    </xf>
    <xf numFmtId="0" fontId="0" fillId="0" borderId="0" xfId="0" applyAlignment="1" applyProtection="1">
      <alignment wrapText="1"/>
      <protection hidden="1"/>
    </xf>
    <xf numFmtId="40" fontId="0" fillId="2" borderId="8" xfId="0" applyNumberFormat="1" applyFill="1" applyBorder="1" applyAlignment="1" applyProtection="1">
      <alignment horizontal="left"/>
      <protection hidden="1"/>
    </xf>
    <xf numFmtId="40" fontId="5" fillId="2" borderId="0" xfId="0" applyNumberFormat="1" applyFont="1" applyFill="1" applyProtection="1">
      <protection hidden="1"/>
    </xf>
    <xf numFmtId="164" fontId="25" fillId="2" borderId="0" xfId="0" applyNumberFormat="1" applyFont="1" applyFill="1" applyAlignment="1" applyProtection="1">
      <alignment horizontal="right"/>
      <protection hidden="1"/>
    </xf>
    <xf numFmtId="40" fontId="62" fillId="2" borderId="0" xfId="0" applyNumberFormat="1" applyFont="1" applyFill="1" applyAlignment="1" applyProtection="1">
      <alignment horizontal="right"/>
      <protection hidden="1"/>
    </xf>
    <xf numFmtId="38" fontId="19" fillId="2" borderId="0" xfId="0" applyNumberFormat="1" applyFont="1" applyFill="1" applyAlignment="1" applyProtection="1">
      <alignment horizontal="right"/>
      <protection hidden="1"/>
    </xf>
    <xf numFmtId="40" fontId="19" fillId="2" borderId="0" xfId="0" applyNumberFormat="1" applyFont="1" applyFill="1" applyAlignment="1" applyProtection="1">
      <alignment horizontal="right"/>
      <protection hidden="1"/>
    </xf>
    <xf numFmtId="40" fontId="19" fillId="2" borderId="0" xfId="0" applyNumberFormat="1" applyFont="1" applyFill="1" applyProtection="1">
      <protection hidden="1"/>
    </xf>
    <xf numFmtId="40" fontId="76" fillId="2" borderId="0" xfId="0" applyNumberFormat="1" applyFont="1" applyFill="1" applyAlignment="1" applyProtection="1">
      <alignment horizontal="right"/>
      <protection hidden="1"/>
    </xf>
    <xf numFmtId="0" fontId="14" fillId="2" borderId="21" xfId="0" applyFont="1" applyFill="1" applyBorder="1" applyAlignment="1" applyProtection="1">
      <alignment vertical="center"/>
      <protection hidden="1"/>
    </xf>
    <xf numFmtId="164" fontId="19" fillId="2" borderId="0" xfId="0" applyNumberFormat="1" applyFont="1" applyFill="1" applyAlignment="1" applyProtection="1">
      <alignment horizontal="left"/>
      <protection hidden="1"/>
    </xf>
    <xf numFmtId="0" fontId="14" fillId="2" borderId="0" xfId="0" applyFont="1" applyFill="1" applyAlignment="1" applyProtection="1">
      <alignment vertical="center"/>
      <protection hidden="1"/>
    </xf>
    <xf numFmtId="0" fontId="24" fillId="2" borderId="0" xfId="0" applyFont="1" applyFill="1" applyAlignment="1" applyProtection="1">
      <alignment vertical="center"/>
      <protection hidden="1"/>
    </xf>
    <xf numFmtId="164" fontId="66" fillId="2" borderId="0" xfId="0" applyNumberFormat="1" applyFont="1" applyFill="1" applyAlignment="1" applyProtection="1">
      <alignment horizontal="left" vertical="center"/>
      <protection hidden="1"/>
    </xf>
    <xf numFmtId="4" fontId="9" fillId="3" borderId="0" xfId="0" applyNumberFormat="1" applyFont="1" applyFill="1" applyAlignment="1" applyProtection="1">
      <alignment horizontal="right"/>
      <protection hidden="1"/>
    </xf>
    <xf numFmtId="4" fontId="17" fillId="3" borderId="0" xfId="0" applyNumberFormat="1" applyFont="1" applyFill="1" applyAlignment="1" applyProtection="1">
      <alignment horizontal="right"/>
      <protection hidden="1"/>
    </xf>
    <xf numFmtId="4" fontId="9" fillId="3" borderId="5" xfId="0" applyNumberFormat="1" applyFont="1" applyFill="1" applyBorder="1" applyAlignment="1" applyProtection="1">
      <alignment horizontal="right"/>
      <protection hidden="1"/>
    </xf>
    <xf numFmtId="0" fontId="33" fillId="9" borderId="26" xfId="0" applyFont="1" applyFill="1" applyBorder="1" applyAlignment="1" applyProtection="1">
      <alignment horizontal="center"/>
      <protection hidden="1"/>
    </xf>
    <xf numFmtId="0" fontId="7" fillId="3" borderId="1" xfId="0" applyFont="1" applyFill="1" applyBorder="1" applyAlignment="1" applyProtection="1">
      <alignment horizontal="center"/>
      <protection hidden="1"/>
    </xf>
    <xf numFmtId="0" fontId="7" fillId="3" borderId="5" xfId="0" applyFont="1" applyFill="1" applyBorder="1" applyAlignment="1" applyProtection="1">
      <alignment horizontal="right"/>
      <protection hidden="1"/>
    </xf>
    <xf numFmtId="0" fontId="0" fillId="3" borderId="33" xfId="0" applyFill="1" applyBorder="1" applyProtection="1">
      <protection hidden="1"/>
    </xf>
    <xf numFmtId="0" fontId="7" fillId="3" borderId="11"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7" borderId="7" xfId="0" applyFont="1" applyFill="1" applyBorder="1" applyAlignment="1" applyProtection="1">
      <alignment horizontal="center"/>
      <protection hidden="1"/>
    </xf>
    <xf numFmtId="0" fontId="6" fillId="3" borderId="0" xfId="0" applyFont="1" applyFill="1" applyAlignment="1" applyProtection="1">
      <alignment vertical="center"/>
      <protection hidden="1"/>
    </xf>
    <xf numFmtId="0" fontId="5" fillId="3" borderId="0" xfId="0" applyFont="1" applyFill="1" applyAlignment="1" applyProtection="1">
      <alignment vertical="center"/>
      <protection hidden="1"/>
    </xf>
    <xf numFmtId="4" fontId="5" fillId="3" borderId="0" xfId="0" applyNumberFormat="1" applyFont="1" applyFill="1" applyAlignment="1" applyProtection="1">
      <alignment vertical="center"/>
      <protection hidden="1"/>
    </xf>
    <xf numFmtId="4" fontId="6" fillId="3" borderId="8" xfId="0" applyNumberFormat="1" applyFont="1" applyFill="1" applyBorder="1" applyAlignment="1" applyProtection="1">
      <alignment horizontal="right" vertical="center"/>
      <protection hidden="1"/>
    </xf>
    <xf numFmtId="39" fontId="5" fillId="3" borderId="0" xfId="0" applyNumberFormat="1" applyFont="1" applyFill="1" applyAlignment="1" applyProtection="1">
      <alignment horizontal="right" vertical="center"/>
      <protection hidden="1"/>
    </xf>
    <xf numFmtId="0" fontId="1" fillId="3" borderId="8" xfId="0" applyFont="1" applyFill="1" applyBorder="1" applyAlignment="1" applyProtection="1">
      <alignment horizontal="right" vertical="center"/>
      <protection hidden="1"/>
    </xf>
    <xf numFmtId="0" fontId="4" fillId="3" borderId="0" xfId="0" applyFont="1" applyFill="1" applyAlignment="1" applyProtection="1">
      <alignment horizontal="left"/>
      <protection hidden="1"/>
    </xf>
    <xf numFmtId="0" fontId="70" fillId="3" borderId="0" xfId="0" applyFont="1" applyFill="1" applyAlignment="1" applyProtection="1">
      <alignment horizontal="right"/>
      <protection hidden="1"/>
    </xf>
    <xf numFmtId="0" fontId="60" fillId="9" borderId="0" xfId="0" applyFont="1" applyFill="1" applyAlignment="1" applyProtection="1">
      <alignment horizontal="center" vertical="center"/>
      <protection hidden="1"/>
    </xf>
    <xf numFmtId="3" fontId="53" fillId="3" borderId="26" xfId="0" applyNumberFormat="1" applyFont="1" applyFill="1" applyBorder="1" applyProtection="1">
      <protection hidden="1"/>
    </xf>
    <xf numFmtId="1" fontId="34" fillId="2" borderId="13"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8" fillId="2" borderId="15" xfId="0" applyFont="1" applyFill="1" applyBorder="1" applyProtection="1">
      <protection hidden="1"/>
    </xf>
    <xf numFmtId="0" fontId="8" fillId="2" borderId="31" xfId="0" applyFont="1" applyFill="1" applyBorder="1" applyProtection="1">
      <protection hidden="1"/>
    </xf>
    <xf numFmtId="0" fontId="6" fillId="3" borderId="8" xfId="0" applyFont="1" applyFill="1" applyBorder="1" applyAlignment="1" applyProtection="1">
      <alignment horizontal="right"/>
      <protection hidden="1"/>
    </xf>
    <xf numFmtId="0" fontId="28" fillId="3" borderId="0" xfId="0" applyFont="1" applyFill="1" applyAlignment="1" applyProtection="1">
      <alignment horizontal="left"/>
      <protection hidden="1"/>
    </xf>
    <xf numFmtId="0" fontId="3" fillId="3" borderId="0" xfId="0" applyFont="1" applyFill="1" applyAlignment="1" applyProtection="1">
      <alignment horizontal="left"/>
      <protection hidden="1"/>
    </xf>
    <xf numFmtId="1" fontId="4" fillId="7" borderId="25" xfId="0" applyNumberFormat="1" applyFont="1" applyFill="1" applyBorder="1" applyAlignment="1" applyProtection="1">
      <alignment horizontal="right"/>
      <protection hidden="1"/>
    </xf>
    <xf numFmtId="1" fontId="4" fillId="3" borderId="0" xfId="0" applyNumberFormat="1" applyFont="1" applyFill="1" applyAlignment="1" applyProtection="1">
      <alignment horizontal="right"/>
      <protection hidden="1"/>
    </xf>
    <xf numFmtId="3" fontId="5" fillId="3" borderId="0" xfId="0" applyNumberFormat="1" applyFont="1" applyFill="1" applyAlignment="1" applyProtection="1">
      <alignment horizontal="right"/>
      <protection hidden="1"/>
    </xf>
    <xf numFmtId="0" fontId="4" fillId="3" borderId="36" xfId="0" applyFont="1" applyFill="1" applyBorder="1" applyAlignment="1" applyProtection="1">
      <alignment horizontal="right"/>
      <protection hidden="1"/>
    </xf>
    <xf numFmtId="0" fontId="19" fillId="3" borderId="14" xfId="0" applyFont="1" applyFill="1" applyBorder="1" applyAlignment="1" applyProtection="1">
      <alignment horizontal="left"/>
      <protection hidden="1"/>
    </xf>
    <xf numFmtId="0" fontId="8" fillId="3" borderId="14" xfId="0" applyFont="1" applyFill="1" applyBorder="1" applyAlignment="1" applyProtection="1">
      <alignment horizontal="left"/>
      <protection hidden="1"/>
    </xf>
    <xf numFmtId="0" fontId="4" fillId="3" borderId="14" xfId="0" applyFont="1" applyFill="1" applyBorder="1" applyAlignment="1" applyProtection="1">
      <alignment horizontal="right"/>
      <protection hidden="1"/>
    </xf>
    <xf numFmtId="4" fontId="4" fillId="2" borderId="0" xfId="0" applyNumberFormat="1" applyFont="1" applyFill="1" applyProtection="1">
      <protection hidden="1"/>
    </xf>
    <xf numFmtId="40" fontId="64" fillId="2" borderId="0" xfId="0" applyNumberFormat="1" applyFont="1" applyFill="1" applyAlignment="1" applyProtection="1">
      <alignment horizontal="left"/>
      <protection hidden="1"/>
    </xf>
    <xf numFmtId="0" fontId="30" fillId="2" borderId="0" xfId="0" applyFont="1" applyFill="1" applyProtection="1">
      <protection hidden="1"/>
    </xf>
    <xf numFmtId="40" fontId="4" fillId="2" borderId="1" xfId="0" applyNumberFormat="1" applyFont="1" applyFill="1" applyBorder="1" applyAlignment="1" applyProtection="1">
      <alignment horizontal="center"/>
      <protection hidden="1"/>
    </xf>
    <xf numFmtId="40" fontId="27" fillId="2" borderId="0" xfId="0" applyNumberFormat="1" applyFont="1" applyFill="1" applyAlignment="1" applyProtection="1">
      <alignment horizontal="left"/>
      <protection hidden="1"/>
    </xf>
    <xf numFmtId="0" fontId="66" fillId="2" borderId="0" xfId="0" applyFont="1" applyFill="1" applyProtection="1">
      <protection hidden="1"/>
    </xf>
    <xf numFmtId="0" fontId="0" fillId="2" borderId="2" xfId="0" applyFill="1" applyBorder="1" applyProtection="1">
      <protection locked="0"/>
    </xf>
    <xf numFmtId="0" fontId="5" fillId="2" borderId="0" xfId="0" applyFont="1" applyFill="1" applyAlignment="1" applyProtection="1">
      <alignment horizontal="center"/>
      <protection hidden="1"/>
    </xf>
    <xf numFmtId="0" fontId="64" fillId="2" borderId="0" xfId="0" applyFont="1" applyFill="1" applyProtection="1">
      <protection hidden="1"/>
    </xf>
    <xf numFmtId="0" fontId="64" fillId="2" borderId="0" xfId="0" applyFont="1" applyFill="1" applyAlignment="1" applyProtection="1">
      <alignment vertical="center"/>
      <protection hidden="1"/>
    </xf>
    <xf numFmtId="0" fontId="19" fillId="2" borderId="0" xfId="0" applyFont="1" applyFill="1" applyAlignment="1" applyProtection="1">
      <alignment vertical="center"/>
      <protection hidden="1"/>
    </xf>
    <xf numFmtId="0" fontId="4" fillId="2" borderId="0" xfId="0" applyFont="1" applyFill="1" applyAlignment="1" applyProtection="1">
      <alignment horizontal="center" vertical="center"/>
      <protection hidden="1"/>
    </xf>
    <xf numFmtId="0" fontId="53" fillId="2" borderId="0" xfId="0" applyFont="1" applyFill="1" applyProtection="1">
      <protection hidden="1"/>
    </xf>
    <xf numFmtId="0" fontId="0" fillId="2" borderId="3" xfId="0" applyFill="1" applyBorder="1" applyAlignment="1" applyProtection="1">
      <alignment vertical="center"/>
      <protection hidden="1"/>
    </xf>
    <xf numFmtId="0" fontId="0" fillId="2" borderId="25" xfId="0" applyFill="1" applyBorder="1" applyAlignment="1" applyProtection="1">
      <alignment vertical="center"/>
      <protection hidden="1"/>
    </xf>
    <xf numFmtId="49" fontId="6" fillId="2" borderId="0" xfId="0" applyNumberFormat="1" applyFont="1" applyFill="1" applyAlignment="1" applyProtection="1">
      <alignment horizontal="right"/>
      <protection hidden="1"/>
    </xf>
    <xf numFmtId="0" fontId="73" fillId="2" borderId="0" xfId="0" applyFont="1" applyFill="1" applyAlignment="1" applyProtection="1">
      <alignment horizontal="right"/>
      <protection hidden="1"/>
    </xf>
    <xf numFmtId="4" fontId="64" fillId="2" borderId="0" xfId="0" applyNumberFormat="1" applyFont="1" applyFill="1" applyProtection="1">
      <protection hidden="1"/>
    </xf>
    <xf numFmtId="49" fontId="25" fillId="2" borderId="5" xfId="0" applyNumberFormat="1" applyFont="1" applyFill="1" applyBorder="1" applyAlignment="1" applyProtection="1">
      <alignment horizontal="right"/>
      <protection hidden="1"/>
    </xf>
    <xf numFmtId="40" fontId="21" fillId="2" borderId="5" xfId="0" applyNumberFormat="1" applyFont="1" applyFill="1" applyBorder="1" applyAlignment="1" applyProtection="1">
      <alignment horizontal="right"/>
      <protection hidden="1"/>
    </xf>
    <xf numFmtId="0" fontId="21" fillId="2" borderId="0" xfId="0" applyFont="1" applyFill="1" applyProtection="1">
      <protection hidden="1"/>
    </xf>
    <xf numFmtId="0" fontId="21" fillId="2" borderId="0" xfId="0" applyFont="1" applyFill="1" applyAlignment="1" applyProtection="1">
      <alignment horizontal="center"/>
      <protection hidden="1"/>
    </xf>
    <xf numFmtId="0" fontId="8" fillId="2" borderId="5" xfId="0" applyFont="1" applyFill="1" applyBorder="1" applyAlignment="1" applyProtection="1">
      <alignment horizontal="left" vertical="top"/>
      <protection hidden="1"/>
    </xf>
    <xf numFmtId="0" fontId="8" fillId="2" borderId="23" xfId="0" applyFont="1" applyFill="1" applyBorder="1" applyAlignment="1" applyProtection="1">
      <alignment horizontal="left" vertical="top"/>
      <protection hidden="1"/>
    </xf>
    <xf numFmtId="0" fontId="0" fillId="2" borderId="37" xfId="0" applyFill="1" applyBorder="1" applyProtection="1">
      <protection hidden="1"/>
    </xf>
    <xf numFmtId="0" fontId="21" fillId="2" borderId="0" xfId="0" applyFont="1" applyFill="1" applyAlignment="1" applyProtection="1">
      <alignment horizontal="left" vertical="center"/>
      <protection hidden="1"/>
    </xf>
    <xf numFmtId="0" fontId="40" fillId="2" borderId="0" xfId="0" applyFont="1" applyFill="1" applyAlignment="1" applyProtection="1">
      <alignment horizontal="center"/>
      <protection hidden="1"/>
    </xf>
    <xf numFmtId="0" fontId="83" fillId="2" borderId="0" xfId="0" applyFont="1" applyFill="1" applyAlignment="1" applyProtection="1">
      <alignment horizontal="left" vertical="center"/>
      <protection hidden="1"/>
    </xf>
    <xf numFmtId="0" fontId="6" fillId="2" borderId="0" xfId="0" applyFont="1" applyFill="1" applyAlignment="1" applyProtection="1">
      <alignment horizontal="left"/>
      <protection hidden="1"/>
    </xf>
    <xf numFmtId="0" fontId="0" fillId="2" borderId="31" xfId="0" applyFill="1" applyBorder="1" applyProtection="1">
      <protection hidden="1"/>
    </xf>
    <xf numFmtId="0" fontId="4" fillId="2" borderId="0" xfId="0" applyFont="1" applyFill="1" applyAlignment="1" applyProtection="1">
      <alignment vertical="center"/>
      <protection hidden="1"/>
    </xf>
    <xf numFmtId="0" fontId="0" fillId="2" borderId="10" xfId="0" applyFill="1" applyBorder="1" applyAlignment="1" applyProtection="1">
      <alignment vertical="center"/>
      <protection hidden="1"/>
    </xf>
    <xf numFmtId="0" fontId="8" fillId="2" borderId="1" xfId="0" applyFont="1" applyFill="1" applyBorder="1" applyAlignment="1" applyProtection="1">
      <alignment vertical="center"/>
      <protection hidden="1"/>
    </xf>
    <xf numFmtId="0" fontId="0" fillId="2" borderId="1" xfId="0" applyFill="1" applyBorder="1" applyAlignment="1" applyProtection="1">
      <alignment vertical="center"/>
      <protection hidden="1"/>
    </xf>
    <xf numFmtId="0" fontId="0" fillId="2" borderId="12" xfId="0" applyFill="1" applyBorder="1" applyAlignment="1" applyProtection="1">
      <alignment vertical="center"/>
      <protection hidden="1"/>
    </xf>
    <xf numFmtId="0" fontId="0" fillId="2" borderId="25" xfId="0" applyFill="1" applyBorder="1" applyProtection="1">
      <protection hidden="1"/>
    </xf>
    <xf numFmtId="0" fontId="4" fillId="2" borderId="10" xfId="0" applyFont="1" applyFill="1" applyBorder="1" applyAlignment="1" applyProtection="1">
      <alignment horizontal="center"/>
      <protection hidden="1"/>
    </xf>
    <xf numFmtId="0" fontId="15" fillId="2" borderId="0" xfId="0" applyFont="1" applyFill="1" applyAlignment="1" applyProtection="1">
      <alignment vertical="center"/>
      <protection hidden="1"/>
    </xf>
    <xf numFmtId="0" fontId="13" fillId="2" borderId="0" xfId="0" applyFont="1" applyFill="1" applyAlignment="1" applyProtection="1">
      <alignment vertical="center"/>
      <protection hidden="1"/>
    </xf>
    <xf numFmtId="0" fontId="0" fillId="2" borderId="7" xfId="0" applyFill="1" applyBorder="1" applyProtection="1">
      <protection hidden="1"/>
    </xf>
    <xf numFmtId="0" fontId="4" fillId="2" borderId="10" xfId="0" applyFont="1" applyFill="1" applyBorder="1" applyAlignment="1" applyProtection="1">
      <alignment horizontal="center" vertical="center"/>
      <protection hidden="1"/>
    </xf>
    <xf numFmtId="0" fontId="0" fillId="8" borderId="0" xfId="0" applyFill="1" applyProtection="1">
      <protection hidden="1"/>
    </xf>
    <xf numFmtId="0" fontId="0" fillId="8" borderId="7" xfId="0" applyFill="1" applyBorder="1" applyProtection="1">
      <protection hidden="1"/>
    </xf>
    <xf numFmtId="0" fontId="4" fillId="2" borderId="5" xfId="0" applyFont="1" applyFill="1" applyBorder="1" applyAlignment="1" applyProtection="1">
      <alignment horizontal="center"/>
      <protection hidden="1"/>
    </xf>
    <xf numFmtId="0" fontId="8" fillId="2" borderId="0" xfId="0" applyFont="1" applyFill="1" applyAlignment="1" applyProtection="1">
      <alignment horizontal="center"/>
      <protection hidden="1"/>
    </xf>
    <xf numFmtId="0" fontId="4" fillId="2" borderId="5" xfId="0" applyFont="1" applyFill="1" applyBorder="1" applyAlignment="1" applyProtection="1">
      <alignment horizontal="left"/>
      <protection hidden="1"/>
    </xf>
    <xf numFmtId="0" fontId="0" fillId="2" borderId="5" xfId="0" applyFill="1" applyBorder="1" applyAlignment="1" applyProtection="1">
      <alignment horizontal="right"/>
      <protection hidden="1"/>
    </xf>
    <xf numFmtId="0" fontId="21" fillId="2" borderId="0" xfId="0" applyFont="1" applyFill="1" applyAlignment="1" applyProtection="1">
      <alignment vertical="center"/>
      <protection hidden="1"/>
    </xf>
    <xf numFmtId="0" fontId="40" fillId="2" borderId="0" xfId="0" applyFont="1" applyFill="1" applyProtection="1">
      <protection hidden="1"/>
    </xf>
    <xf numFmtId="0" fontId="4" fillId="2" borderId="3" xfId="0" applyFont="1" applyFill="1" applyBorder="1" applyAlignment="1" applyProtection="1">
      <alignment horizontal="center"/>
      <protection hidden="1"/>
    </xf>
    <xf numFmtId="0" fontId="0" fillId="8" borderId="0" xfId="0" applyFill="1" applyAlignment="1" applyProtection="1">
      <alignment vertical="center"/>
      <protection hidden="1"/>
    </xf>
    <xf numFmtId="0" fontId="21" fillId="8" borderId="0" xfId="0" applyFont="1" applyFill="1" applyAlignment="1" applyProtection="1">
      <alignment vertical="center"/>
      <protection hidden="1"/>
    </xf>
    <xf numFmtId="0" fontId="4" fillId="2" borderId="11" xfId="0" applyFont="1" applyFill="1" applyBorder="1" applyAlignment="1" applyProtection="1">
      <alignment horizontal="center" vertical="center"/>
      <protection hidden="1"/>
    </xf>
    <xf numFmtId="3" fontId="0" fillId="2" borderId="0" xfId="0" applyNumberFormat="1" applyFill="1" applyProtection="1">
      <protection hidden="1"/>
    </xf>
    <xf numFmtId="0" fontId="13" fillId="3" borderId="1" xfId="0" applyFont="1" applyFill="1" applyBorder="1" applyAlignment="1" applyProtection="1">
      <alignment horizontal="left"/>
      <protection hidden="1"/>
    </xf>
    <xf numFmtId="4" fontId="8" fillId="3" borderId="0" xfId="0" applyNumberFormat="1" applyFont="1" applyFill="1" applyAlignment="1" applyProtection="1">
      <alignment horizontal="center"/>
      <protection hidden="1"/>
    </xf>
    <xf numFmtId="3" fontId="5" fillId="3" borderId="9" xfId="0" applyNumberFormat="1" applyFont="1" applyFill="1" applyBorder="1" applyAlignment="1" applyProtection="1">
      <alignment horizontal="right"/>
      <protection hidden="1"/>
    </xf>
    <xf numFmtId="39" fontId="19" fillId="3" borderId="9" xfId="0" applyNumberFormat="1" applyFont="1" applyFill="1" applyBorder="1" applyAlignment="1" applyProtection="1">
      <alignment horizontal="right"/>
      <protection hidden="1"/>
    </xf>
    <xf numFmtId="49" fontId="47" fillId="3" borderId="0" xfId="0" applyNumberFormat="1" applyFont="1" applyFill="1" applyAlignment="1" applyProtection="1">
      <alignment horizontal="right"/>
      <protection hidden="1"/>
    </xf>
    <xf numFmtId="37" fontId="5" fillId="3" borderId="1" xfId="0" applyNumberFormat="1" applyFont="1" applyFill="1" applyBorder="1" applyAlignment="1" applyProtection="1">
      <alignment horizontal="right"/>
      <protection locked="0"/>
    </xf>
    <xf numFmtId="3" fontId="31" fillId="3" borderId="0" xfId="0" applyNumberFormat="1" applyFont="1" applyFill="1" applyAlignment="1" applyProtection="1">
      <alignment horizontal="right"/>
      <protection hidden="1"/>
    </xf>
    <xf numFmtId="37" fontId="5" fillId="3" borderId="0" xfId="0" applyNumberFormat="1" applyFont="1" applyFill="1" applyAlignment="1" applyProtection="1">
      <alignment horizontal="right"/>
      <protection hidden="1"/>
    </xf>
    <xf numFmtId="4" fontId="86" fillId="3" borderId="0" xfId="0" applyNumberFormat="1" applyFont="1" applyFill="1" applyAlignment="1" applyProtection="1">
      <alignment horizontal="left" vertical="center"/>
      <protection hidden="1"/>
    </xf>
    <xf numFmtId="4" fontId="31" fillId="3" borderId="0" xfId="0" applyNumberFormat="1" applyFont="1" applyFill="1" applyAlignment="1" applyProtection="1">
      <alignment horizontal="center"/>
      <protection hidden="1"/>
    </xf>
    <xf numFmtId="0" fontId="6" fillId="2" borderId="1" xfId="0" applyFont="1" applyFill="1" applyBorder="1" applyAlignment="1" applyProtection="1">
      <alignment horizontal="center"/>
      <protection hidden="1"/>
    </xf>
    <xf numFmtId="0" fontId="4" fillId="2" borderId="3" xfId="0" applyFont="1" applyFill="1" applyBorder="1" applyAlignment="1" applyProtection="1">
      <alignment vertical="center"/>
      <protection hidden="1"/>
    </xf>
    <xf numFmtId="0" fontId="88" fillId="2" borderId="0" xfId="0" applyFont="1" applyFill="1" applyAlignment="1" applyProtection="1">
      <alignment horizontal="left"/>
      <protection hidden="1"/>
    </xf>
    <xf numFmtId="1" fontId="1" fillId="8" borderId="0" xfId="0" applyNumberFormat="1" applyFont="1" applyFill="1" applyProtection="1">
      <protection hidden="1"/>
    </xf>
    <xf numFmtId="0" fontId="19" fillId="0" borderId="0" xfId="0" applyFont="1" applyAlignment="1" applyProtection="1">
      <alignment horizontal="right"/>
      <protection hidden="1"/>
    </xf>
    <xf numFmtId="0" fontId="4" fillId="2" borderId="24" xfId="0" applyFont="1" applyFill="1" applyBorder="1" applyAlignment="1" applyProtection="1">
      <alignment horizontal="right"/>
      <protection hidden="1"/>
    </xf>
    <xf numFmtId="0" fontId="4" fillId="2" borderId="6" xfId="0" applyFont="1" applyFill="1" applyBorder="1" applyAlignment="1" applyProtection="1">
      <alignment horizontal="right"/>
      <protection hidden="1"/>
    </xf>
    <xf numFmtId="0" fontId="4" fillId="2" borderId="22" xfId="0" applyFont="1" applyFill="1" applyBorder="1" applyAlignment="1" applyProtection="1">
      <alignment horizontal="right"/>
      <protection hidden="1"/>
    </xf>
    <xf numFmtId="0" fontId="19" fillId="2" borderId="41" xfId="0" applyFont="1" applyFill="1" applyBorder="1" applyProtection="1">
      <protection hidden="1"/>
    </xf>
    <xf numFmtId="0" fontId="19" fillId="2" borderId="42" xfId="0" applyFont="1" applyFill="1" applyBorder="1" applyProtection="1">
      <protection hidden="1"/>
    </xf>
    <xf numFmtId="0" fontId="0" fillId="2" borderId="43" xfId="0" applyFill="1" applyBorder="1" applyProtection="1">
      <protection hidden="1"/>
    </xf>
    <xf numFmtId="164" fontId="4" fillId="2" borderId="0" xfId="0" applyNumberFormat="1" applyFont="1" applyFill="1" applyAlignment="1" applyProtection="1">
      <alignment horizontal="left" vertical="center"/>
      <protection hidden="1"/>
    </xf>
    <xf numFmtId="40" fontId="23" fillId="2" borderId="0" xfId="0" applyNumberFormat="1" applyFont="1" applyFill="1" applyAlignment="1" applyProtection="1">
      <alignment horizontal="center"/>
      <protection hidden="1"/>
    </xf>
    <xf numFmtId="40" fontId="27"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4" fillId="2" borderId="0" xfId="0" applyFont="1" applyFill="1" applyAlignment="1" applyProtection="1">
      <alignment horizontal="center" wrapText="1"/>
      <protection hidden="1"/>
    </xf>
    <xf numFmtId="0" fontId="4" fillId="2" borderId="0" xfId="0" applyFont="1" applyFill="1" applyAlignment="1" applyProtection="1">
      <alignment horizontal="left" wrapText="1"/>
      <protection hidden="1"/>
    </xf>
    <xf numFmtId="0" fontId="22" fillId="2" borderId="45" xfId="0" applyFont="1" applyFill="1" applyBorder="1" applyAlignment="1" applyProtection="1">
      <alignment horizontal="left" vertical="center"/>
      <protection hidden="1"/>
    </xf>
    <xf numFmtId="0" fontId="4" fillId="2" borderId="46" xfId="0" applyFont="1" applyFill="1" applyBorder="1" applyAlignment="1" applyProtection="1">
      <alignment horizontal="left" vertical="center" wrapText="1"/>
      <protection hidden="1"/>
    </xf>
    <xf numFmtId="0" fontId="4" fillId="2" borderId="46" xfId="0" applyFont="1" applyFill="1" applyBorder="1" applyAlignment="1" applyProtection="1">
      <alignment horizontal="center" vertical="center" wrapText="1"/>
      <protection hidden="1"/>
    </xf>
    <xf numFmtId="40" fontId="81" fillId="2" borderId="0" xfId="0" applyNumberFormat="1" applyFont="1" applyFill="1" applyAlignment="1" applyProtection="1">
      <alignment horizontal="right" vertical="center"/>
      <protection hidden="1"/>
    </xf>
    <xf numFmtId="40" fontId="62" fillId="2" borderId="21" xfId="0" applyNumberFormat="1" applyFont="1" applyFill="1" applyBorder="1" applyAlignment="1" applyProtection="1">
      <alignment horizontal="right"/>
      <protection hidden="1"/>
    </xf>
    <xf numFmtId="38" fontId="19" fillId="2" borderId="21" xfId="0" applyNumberFormat="1" applyFont="1" applyFill="1" applyBorder="1" applyAlignment="1" applyProtection="1">
      <alignment horizontal="right"/>
      <protection hidden="1"/>
    </xf>
    <xf numFmtId="38" fontId="0" fillId="2" borderId="21" xfId="0" applyNumberFormat="1" applyFill="1" applyBorder="1" applyAlignment="1" applyProtection="1">
      <alignment horizontal="right"/>
      <protection hidden="1"/>
    </xf>
    <xf numFmtId="0" fontId="64" fillId="3" borderId="0" xfId="0" applyFont="1" applyFill="1" applyAlignment="1" applyProtection="1">
      <alignment horizontal="right"/>
      <protection hidden="1"/>
    </xf>
    <xf numFmtId="4" fontId="6" fillId="3" borderId="0" xfId="0" applyNumberFormat="1" applyFont="1" applyFill="1" applyAlignment="1" applyProtection="1">
      <alignment horizontal="right"/>
      <protection hidden="1"/>
    </xf>
    <xf numFmtId="0" fontId="9" fillId="2" borderId="0" xfId="0" applyFont="1" applyFill="1" applyProtection="1">
      <protection hidden="1"/>
    </xf>
    <xf numFmtId="0" fontId="5" fillId="2" borderId="0" xfId="0" applyFont="1" applyFill="1" applyAlignment="1" applyProtection="1">
      <alignment vertical="center"/>
      <protection hidden="1"/>
    </xf>
    <xf numFmtId="0" fontId="18" fillId="2" borderId="0" xfId="0" applyFont="1" applyFill="1" applyAlignment="1" applyProtection="1">
      <alignment horizontal="center"/>
      <protection hidden="1"/>
    </xf>
    <xf numFmtId="164" fontId="19" fillId="2" borderId="1" xfId="0" applyNumberFormat="1" applyFont="1" applyFill="1" applyBorder="1" applyProtection="1">
      <protection hidden="1"/>
    </xf>
    <xf numFmtId="0" fontId="19" fillId="2" borderId="20" xfId="0" applyFont="1" applyFill="1" applyBorder="1" applyProtection="1">
      <protection hidden="1"/>
    </xf>
    <xf numFmtId="38" fontId="5" fillId="2" borderId="21" xfId="0" applyNumberFormat="1" applyFont="1" applyFill="1" applyBorder="1" applyProtection="1">
      <protection hidden="1"/>
    </xf>
    <xf numFmtId="164" fontId="4" fillId="2" borderId="6" xfId="0" applyNumberFormat="1" applyFont="1" applyFill="1" applyBorder="1" applyAlignment="1" applyProtection="1">
      <alignment horizontal="center"/>
      <protection hidden="1"/>
    </xf>
    <xf numFmtId="164" fontId="4" fillId="2" borderId="24" xfId="0" applyNumberFormat="1" applyFont="1" applyFill="1" applyBorder="1" applyAlignment="1" applyProtection="1">
      <alignment vertical="top"/>
      <protection hidden="1"/>
    </xf>
    <xf numFmtId="164" fontId="38" fillId="2" borderId="6" xfId="0" applyNumberFormat="1" applyFont="1" applyFill="1" applyBorder="1" applyAlignment="1" applyProtection="1">
      <alignment vertical="top"/>
      <protection hidden="1"/>
    </xf>
    <xf numFmtId="164" fontId="38" fillId="2" borderId="22" xfId="0" applyNumberFormat="1" applyFont="1" applyFill="1" applyBorder="1" applyAlignment="1" applyProtection="1">
      <alignment vertical="top"/>
      <protection hidden="1"/>
    </xf>
    <xf numFmtId="0" fontId="29" fillId="2" borderId="24" xfId="0" applyFont="1" applyFill="1" applyBorder="1" applyAlignment="1" applyProtection="1">
      <alignment vertical="center"/>
      <protection hidden="1"/>
    </xf>
    <xf numFmtId="0" fontId="0" fillId="4" borderId="6" xfId="0" applyFill="1" applyBorder="1" applyProtection="1">
      <protection locked="0" hidden="1"/>
    </xf>
    <xf numFmtId="0" fontId="29" fillId="2" borderId="27" xfId="0" applyFont="1" applyFill="1" applyBorder="1" applyAlignment="1" applyProtection="1">
      <alignment vertical="center"/>
      <protection hidden="1"/>
    </xf>
    <xf numFmtId="171" fontId="19" fillId="2" borderId="13" xfId="0" applyNumberFormat="1" applyFont="1" applyFill="1" applyBorder="1" applyAlignment="1" applyProtection="1">
      <alignment horizontal="right"/>
      <protection locked="0"/>
    </xf>
    <xf numFmtId="0" fontId="0" fillId="2" borderId="0" xfId="0" applyFill="1" applyAlignment="1" applyProtection="1">
      <alignment vertical="center" wrapText="1"/>
      <protection hidden="1"/>
    </xf>
    <xf numFmtId="4" fontId="19" fillId="2" borderId="50" xfId="0" applyNumberFormat="1" applyFont="1" applyFill="1" applyBorder="1" applyAlignment="1" applyProtection="1">
      <alignment horizontal="right"/>
      <protection hidden="1"/>
    </xf>
    <xf numFmtId="0" fontId="4" fillId="2" borderId="8" xfId="0" applyFont="1" applyFill="1" applyBorder="1" applyProtection="1">
      <protection hidden="1"/>
    </xf>
    <xf numFmtId="49" fontId="7" fillId="2" borderId="8" xfId="0" applyNumberFormat="1" applyFont="1" applyFill="1" applyBorder="1" applyAlignment="1" applyProtection="1">
      <alignment horizontal="right"/>
      <protection hidden="1"/>
    </xf>
    <xf numFmtId="0" fontId="6" fillId="2" borderId="0" xfId="0" applyFont="1" applyFill="1" applyAlignment="1" applyProtection="1">
      <alignment horizontal="center"/>
      <protection hidden="1"/>
    </xf>
    <xf numFmtId="3" fontId="48" fillId="2" borderId="0" xfId="0" applyNumberFormat="1" applyFont="1" applyFill="1" applyProtection="1">
      <protection hidden="1"/>
    </xf>
    <xf numFmtId="0" fontId="58" fillId="2" borderId="0" xfId="0" applyFont="1" applyFill="1" applyProtection="1">
      <protection hidden="1"/>
    </xf>
    <xf numFmtId="3" fontId="48" fillId="2" borderId="5" xfId="0" applyNumberFormat="1" applyFont="1" applyFill="1" applyBorder="1" applyProtection="1">
      <protection hidden="1"/>
    </xf>
    <xf numFmtId="1" fontId="4" fillId="0" borderId="0" xfId="0" applyNumberFormat="1" applyFont="1" applyAlignment="1" applyProtection="1">
      <alignment horizontal="center"/>
      <protection hidden="1"/>
    </xf>
    <xf numFmtId="164" fontId="60" fillId="2" borderId="0" xfId="0" applyNumberFormat="1" applyFont="1" applyFill="1" applyProtection="1">
      <protection hidden="1"/>
    </xf>
    <xf numFmtId="164" fontId="60" fillId="2" borderId="0" xfId="0" applyNumberFormat="1" applyFont="1" applyFill="1" applyAlignment="1" applyProtection="1">
      <alignment horizontal="right"/>
      <protection hidden="1"/>
    </xf>
    <xf numFmtId="164" fontId="4" fillId="2" borderId="8" xfId="0" applyNumberFormat="1" applyFont="1" applyFill="1" applyBorder="1" applyAlignment="1" applyProtection="1">
      <alignment vertical="top"/>
      <protection hidden="1"/>
    </xf>
    <xf numFmtId="0" fontId="89" fillId="2" borderId="5" xfId="0" applyFont="1" applyFill="1" applyBorder="1" applyProtection="1">
      <protection hidden="1"/>
    </xf>
    <xf numFmtId="0" fontId="2" fillId="2" borderId="8" xfId="0" applyFont="1" applyFill="1" applyBorder="1" applyAlignment="1" applyProtection="1">
      <alignment horizontal="left"/>
      <protection hidden="1"/>
    </xf>
    <xf numFmtId="38" fontId="0" fillId="2" borderId="21" xfId="0" applyNumberFormat="1" applyFill="1" applyBorder="1" applyProtection="1">
      <protection locked="0"/>
    </xf>
    <xf numFmtId="40" fontId="64" fillId="2" borderId="0" xfId="0" applyNumberFormat="1" applyFont="1" applyFill="1" applyAlignment="1" applyProtection="1">
      <alignment horizontal="center"/>
      <protection hidden="1"/>
    </xf>
    <xf numFmtId="40" fontId="77" fillId="2" borderId="0" xfId="0" applyNumberFormat="1" applyFont="1" applyFill="1" applyProtection="1">
      <protection hidden="1"/>
    </xf>
    <xf numFmtId="0" fontId="64" fillId="2" borderId="0" xfId="0" applyFont="1" applyFill="1" applyAlignment="1" applyProtection="1">
      <alignment horizontal="center"/>
      <protection hidden="1"/>
    </xf>
    <xf numFmtId="0" fontId="77" fillId="2" borderId="0" xfId="0" applyFont="1" applyFill="1" applyProtection="1">
      <protection hidden="1"/>
    </xf>
    <xf numFmtId="38" fontId="23" fillId="2" borderId="0" xfId="0" applyNumberFormat="1" applyFont="1" applyFill="1" applyProtection="1">
      <protection hidden="1"/>
    </xf>
    <xf numFmtId="0" fontId="7" fillId="2" borderId="0" xfId="0" applyFont="1" applyFill="1" applyAlignment="1" applyProtection="1">
      <alignment horizontal="right"/>
      <protection hidden="1"/>
    </xf>
    <xf numFmtId="0" fontId="17" fillId="2" borderId="0" xfId="0" applyFont="1" applyFill="1" applyAlignment="1" applyProtection="1">
      <alignment vertical="top"/>
      <protection hidden="1"/>
    </xf>
    <xf numFmtId="0" fontId="16" fillId="2" borderId="0" xfId="0" applyFont="1" applyFill="1" applyAlignment="1" applyProtection="1">
      <alignment vertical="top"/>
      <protection hidden="1"/>
    </xf>
    <xf numFmtId="0" fontId="8" fillId="2" borderId="0" xfId="0" applyFont="1" applyFill="1" applyAlignment="1" applyProtection="1">
      <alignment vertical="top"/>
      <protection hidden="1"/>
    </xf>
    <xf numFmtId="0" fontId="7" fillId="3" borderId="0" xfId="0" applyFont="1" applyFill="1" applyAlignment="1" applyProtection="1">
      <alignment horizontal="right" vertical="center"/>
      <protection hidden="1"/>
    </xf>
    <xf numFmtId="0" fontId="7" fillId="3" borderId="1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4" fillId="3" borderId="8" xfId="0" applyFont="1" applyFill="1" applyBorder="1" applyAlignment="1" applyProtection="1">
      <alignment horizontal="left" vertical="top"/>
      <protection hidden="1"/>
    </xf>
    <xf numFmtId="0" fontId="9" fillId="3" borderId="8" xfId="0" applyFont="1" applyFill="1" applyBorder="1" applyAlignment="1" applyProtection="1">
      <alignment vertical="top"/>
      <protection hidden="1"/>
    </xf>
    <xf numFmtId="0" fontId="9" fillId="3" borderId="8" xfId="0" applyFont="1" applyFill="1" applyBorder="1" applyAlignment="1" applyProtection="1">
      <alignment horizontal="center" vertical="top"/>
      <protection hidden="1"/>
    </xf>
    <xf numFmtId="4" fontId="8" fillId="3" borderId="8" xfId="0" applyNumberFormat="1" applyFont="1" applyFill="1" applyBorder="1" applyAlignment="1" applyProtection="1">
      <alignment vertical="top"/>
      <protection hidden="1"/>
    </xf>
    <xf numFmtId="39" fontId="9" fillId="3" borderId="8" xfId="0" applyNumberFormat="1" applyFont="1" applyFill="1" applyBorder="1" applyAlignment="1" applyProtection="1">
      <alignment vertical="top"/>
      <protection hidden="1"/>
    </xf>
    <xf numFmtId="0" fontId="7" fillId="3" borderId="8" xfId="0" applyFont="1" applyFill="1" applyBorder="1" applyAlignment="1" applyProtection="1">
      <alignment horizontal="center" vertical="top"/>
      <protection hidden="1"/>
    </xf>
    <xf numFmtId="4" fontId="1" fillId="3" borderId="8" xfId="0" applyNumberFormat="1" applyFont="1" applyFill="1" applyBorder="1" applyAlignment="1" applyProtection="1">
      <alignment horizontal="right" vertical="top"/>
      <protection hidden="1"/>
    </xf>
    <xf numFmtId="0" fontId="9" fillId="3" borderId="1" xfId="0" quotePrefix="1" applyFont="1" applyFill="1" applyBorder="1" applyAlignment="1" applyProtection="1">
      <alignment horizontal="left"/>
      <protection hidden="1"/>
    </xf>
    <xf numFmtId="4" fontId="5" fillId="3" borderId="5" xfId="0" applyNumberFormat="1" applyFont="1" applyFill="1" applyBorder="1" applyAlignment="1" applyProtection="1">
      <alignment horizontal="right"/>
      <protection hidden="1"/>
    </xf>
    <xf numFmtId="0" fontId="55" fillId="9" borderId="26" xfId="0" applyFont="1" applyFill="1" applyBorder="1" applyProtection="1">
      <protection hidden="1"/>
    </xf>
    <xf numFmtId="4" fontId="8" fillId="3" borderId="25" xfId="0" applyNumberFormat="1" applyFont="1" applyFill="1" applyBorder="1" applyAlignment="1" applyProtection="1">
      <alignment horizontal="left"/>
      <protection hidden="1"/>
    </xf>
    <xf numFmtId="3" fontId="97" fillId="3" borderId="25" xfId="0" applyNumberFormat="1" applyFont="1" applyFill="1" applyBorder="1" applyAlignment="1" applyProtection="1">
      <alignment horizontal="right"/>
      <protection hidden="1"/>
    </xf>
    <xf numFmtId="37" fontId="5" fillId="3" borderId="31" xfId="0" applyNumberFormat="1" applyFont="1" applyFill="1" applyBorder="1" applyAlignment="1" applyProtection="1">
      <alignment horizontal="right"/>
      <protection hidden="1"/>
    </xf>
    <xf numFmtId="39" fontId="19" fillId="3" borderId="3" xfId="0" applyNumberFormat="1" applyFont="1" applyFill="1" applyBorder="1" applyAlignment="1" applyProtection="1">
      <alignment horizontal="right"/>
      <protection hidden="1"/>
    </xf>
    <xf numFmtId="37" fontId="48" fillId="3" borderId="3" xfId="0" applyNumberFormat="1" applyFont="1" applyFill="1" applyBorder="1" applyAlignment="1" applyProtection="1">
      <alignment horizontal="right"/>
      <protection hidden="1"/>
    </xf>
    <xf numFmtId="4" fontId="11" fillId="3" borderId="9"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0" fontId="4" fillId="3" borderId="1" xfId="0" applyFont="1" applyFill="1" applyBorder="1" applyAlignment="1" applyProtection="1">
      <alignment horizontal="right"/>
      <protection hidden="1"/>
    </xf>
    <xf numFmtId="4" fontId="86" fillId="3" borderId="0" xfId="0" applyNumberFormat="1" applyFont="1" applyFill="1" applyAlignment="1" applyProtection="1">
      <alignment horizontal="left"/>
      <protection hidden="1"/>
    </xf>
    <xf numFmtId="0" fontId="4" fillId="3" borderId="1" xfId="0" applyFont="1" applyFill="1" applyBorder="1" applyAlignment="1" applyProtection="1">
      <alignment horizontal="left"/>
      <protection hidden="1"/>
    </xf>
    <xf numFmtId="0" fontId="63" fillId="3" borderId="1" xfId="0" applyFont="1" applyFill="1" applyBorder="1" applyAlignment="1" applyProtection="1">
      <alignment horizontal="right"/>
      <protection hidden="1"/>
    </xf>
    <xf numFmtId="0" fontId="16" fillId="3" borderId="1" xfId="0" applyFont="1" applyFill="1" applyBorder="1" applyAlignment="1" applyProtection="1">
      <alignment horizontal="right"/>
      <protection hidden="1"/>
    </xf>
    <xf numFmtId="0" fontId="86" fillId="5" borderId="0" xfId="0" applyFont="1" applyFill="1" applyAlignment="1" applyProtection="1">
      <alignment horizontal="center"/>
      <protection hidden="1"/>
    </xf>
    <xf numFmtId="0" fontId="4" fillId="2" borderId="0" xfId="0" applyFont="1" applyFill="1" applyAlignment="1" applyProtection="1">
      <alignment horizontal="right" vertical="center"/>
      <protection hidden="1"/>
    </xf>
    <xf numFmtId="0" fontId="4" fillId="2" borderId="13" xfId="0" applyFont="1" applyFill="1" applyBorder="1" applyAlignment="1" applyProtection="1">
      <alignment horizontal="center" vertical="center"/>
      <protection hidden="1"/>
    </xf>
    <xf numFmtId="0" fontId="8" fillId="11" borderId="0" xfId="0" applyFont="1" applyFill="1" applyAlignment="1" applyProtection="1">
      <alignment horizontal="center"/>
      <protection hidden="1"/>
    </xf>
    <xf numFmtId="3" fontId="0" fillId="2" borderId="13" xfId="0" applyNumberFormat="1" applyFill="1" applyBorder="1" applyAlignment="1" applyProtection="1">
      <alignment vertical="center"/>
      <protection locked="0"/>
    </xf>
    <xf numFmtId="0" fontId="4" fillId="2" borderId="12" xfId="0" applyFont="1" applyFill="1" applyBorder="1" applyAlignment="1" applyProtection="1">
      <alignment horizontal="right"/>
      <protection hidden="1"/>
    </xf>
    <xf numFmtId="0" fontId="4" fillId="2" borderId="25" xfId="0" applyFont="1" applyFill="1" applyBorder="1" applyAlignment="1" applyProtection="1">
      <alignment horizontal="right"/>
      <protection hidden="1"/>
    </xf>
    <xf numFmtId="0" fontId="4" fillId="2" borderId="0" xfId="0" applyFont="1" applyFill="1" applyAlignment="1" applyProtection="1">
      <alignment horizontal="right" vertical="top"/>
      <protection hidden="1"/>
    </xf>
    <xf numFmtId="0" fontId="0" fillId="8" borderId="0" xfId="0" applyFill="1" applyAlignment="1" applyProtection="1">
      <alignment vertical="top"/>
      <protection hidden="1"/>
    </xf>
    <xf numFmtId="0" fontId="0" fillId="2" borderId="6" xfId="0" applyFill="1" applyBorder="1" applyAlignment="1" applyProtection="1">
      <alignment horizontal="center"/>
      <protection hidden="1"/>
    </xf>
    <xf numFmtId="0" fontId="0" fillId="2" borderId="22" xfId="0" applyFill="1" applyBorder="1" applyAlignment="1" applyProtection="1">
      <alignment horizontal="center"/>
      <protection hidden="1"/>
    </xf>
    <xf numFmtId="0" fontId="23" fillId="2" borderId="6" xfId="0" applyFont="1" applyFill="1" applyBorder="1" applyAlignment="1" applyProtection="1">
      <alignment horizontal="center"/>
      <protection hidden="1"/>
    </xf>
    <xf numFmtId="0" fontId="6" fillId="2" borderId="2" xfId="0" applyFont="1" applyFill="1" applyBorder="1" applyAlignment="1" applyProtection="1">
      <alignment horizontal="center" vertical="center"/>
      <protection locked="0"/>
    </xf>
    <xf numFmtId="0" fontId="0" fillId="2" borderId="24" xfId="0" applyFill="1" applyBorder="1" applyAlignment="1" applyProtection="1">
      <alignment horizontal="center"/>
      <protection hidden="1"/>
    </xf>
    <xf numFmtId="0" fontId="13" fillId="2" borderId="0" xfId="0" applyFont="1" applyFill="1" applyAlignment="1" applyProtection="1">
      <alignment horizontal="right"/>
      <protection hidden="1"/>
    </xf>
    <xf numFmtId="40" fontId="2" fillId="2" borderId="0" xfId="0" applyNumberFormat="1" applyFont="1" applyFill="1" applyAlignment="1" applyProtection="1">
      <alignment horizontal="left" vertical="top"/>
      <protection hidden="1"/>
    </xf>
    <xf numFmtId="0" fontId="25" fillId="2" borderId="0" xfId="0" applyFont="1" applyFill="1" applyProtection="1">
      <protection hidden="1"/>
    </xf>
    <xf numFmtId="0" fontId="45" fillId="2" borderId="0" xfId="0" applyFont="1" applyFill="1" applyProtection="1">
      <protection hidden="1"/>
    </xf>
    <xf numFmtId="40" fontId="0" fillId="2" borderId="0" xfId="0" applyNumberFormat="1" applyFill="1" applyAlignment="1" applyProtection="1">
      <alignment vertical="center"/>
      <protection hidden="1"/>
    </xf>
    <xf numFmtId="37" fontId="6" fillId="2" borderId="0" xfId="0" applyNumberFormat="1" applyFont="1" applyFill="1" applyProtection="1">
      <protection hidden="1"/>
    </xf>
    <xf numFmtId="37" fontId="6" fillId="2" borderId="9" xfId="0" applyNumberFormat="1" applyFont="1" applyFill="1" applyBorder="1" applyProtection="1">
      <protection hidden="1"/>
    </xf>
    <xf numFmtId="0" fontId="10" fillId="2" borderId="5" xfId="0" applyFont="1" applyFill="1" applyBorder="1" applyProtection="1">
      <protection hidden="1"/>
    </xf>
    <xf numFmtId="0" fontId="4" fillId="2" borderId="0" xfId="0" applyFont="1" applyFill="1" applyAlignment="1" applyProtection="1">
      <alignment horizontal="center" wrapText="1"/>
      <protection locked="0"/>
    </xf>
    <xf numFmtId="0" fontId="23" fillId="4" borderId="0" xfId="0" applyFont="1" applyFill="1" applyAlignment="1" applyProtection="1">
      <alignment horizontal="center"/>
      <protection locked="0"/>
    </xf>
    <xf numFmtId="0" fontId="17" fillId="3" borderId="8" xfId="0" applyFont="1" applyFill="1" applyBorder="1" applyProtection="1">
      <protection hidden="1"/>
    </xf>
    <xf numFmtId="0" fontId="7" fillId="3" borderId="8" xfId="0" applyFont="1" applyFill="1" applyBorder="1" applyAlignment="1" applyProtection="1">
      <alignment horizontal="left"/>
      <protection hidden="1"/>
    </xf>
    <xf numFmtId="0" fontId="7" fillId="3" borderId="37" xfId="0" applyFont="1" applyFill="1" applyBorder="1" applyAlignment="1" applyProtection="1">
      <alignment horizontal="left"/>
      <protection hidden="1"/>
    </xf>
    <xf numFmtId="4" fontId="0" fillId="3" borderId="12" xfId="0" applyNumberFormat="1" applyFill="1" applyBorder="1" applyProtection="1">
      <protection hidden="1"/>
    </xf>
    <xf numFmtId="4" fontId="4" fillId="3" borderId="25" xfId="0" applyNumberFormat="1" applyFont="1" applyFill="1" applyBorder="1" applyAlignment="1" applyProtection="1">
      <alignment horizontal="right"/>
      <protection hidden="1"/>
    </xf>
    <xf numFmtId="0" fontId="6" fillId="0" borderId="0" xfId="0" applyFont="1" applyAlignment="1" applyProtection="1">
      <alignment horizontal="right" vertical="center"/>
      <protection hidden="1"/>
    </xf>
    <xf numFmtId="0" fontId="5" fillId="0" borderId="0" xfId="0" applyFont="1" applyAlignment="1" applyProtection="1">
      <alignment horizontal="left" vertical="center"/>
      <protection hidden="1"/>
    </xf>
    <xf numFmtId="4" fontId="5" fillId="0" borderId="0" xfId="0" applyNumberFormat="1" applyFont="1" applyAlignment="1" applyProtection="1">
      <alignment horizontal="left" vertical="center"/>
      <protection hidden="1"/>
    </xf>
    <xf numFmtId="39" fontId="5" fillId="0" borderId="0" xfId="0" applyNumberFormat="1" applyFont="1" applyAlignment="1">
      <alignment horizontal="center" vertical="center"/>
    </xf>
    <xf numFmtId="39" fontId="5" fillId="0" borderId="0" xfId="0" applyNumberFormat="1" applyFont="1" applyAlignment="1" applyProtection="1">
      <alignment horizontal="right" vertical="center"/>
      <protection hidden="1"/>
    </xf>
    <xf numFmtId="39" fontId="5" fillId="0" borderId="0" xfId="0" applyNumberFormat="1" applyFont="1" applyAlignment="1" applyProtection="1">
      <alignment horizontal="center" vertical="center"/>
      <protection hidden="1"/>
    </xf>
    <xf numFmtId="0" fontId="5"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4" fontId="4" fillId="3" borderId="1" xfId="0" applyNumberFormat="1" applyFont="1" applyFill="1" applyBorder="1" applyAlignment="1" applyProtection="1">
      <alignment horizontal="right"/>
      <protection hidden="1"/>
    </xf>
    <xf numFmtId="0" fontId="19" fillId="5" borderId="0" xfId="0" applyFont="1" applyFill="1" applyProtection="1">
      <protection hidden="1"/>
    </xf>
    <xf numFmtId="37" fontId="5" fillId="3" borderId="3" xfId="0" applyNumberFormat="1" applyFont="1" applyFill="1" applyBorder="1" applyAlignment="1" applyProtection="1">
      <alignment horizontal="right"/>
      <protection hidden="1"/>
    </xf>
    <xf numFmtId="4" fontId="11" fillId="3" borderId="8" xfId="0" applyNumberFormat="1" applyFont="1" applyFill="1" applyBorder="1" applyProtection="1">
      <protection hidden="1"/>
    </xf>
    <xf numFmtId="4" fontId="12" fillId="3" borderId="8" xfId="0" applyNumberFormat="1" applyFont="1" applyFill="1" applyBorder="1" applyProtection="1">
      <protection hidden="1"/>
    </xf>
    <xf numFmtId="4" fontId="5" fillId="3" borderId="8" xfId="0" applyNumberFormat="1" applyFont="1" applyFill="1" applyBorder="1" applyAlignment="1" applyProtection="1">
      <alignment horizontal="right"/>
      <protection hidden="1"/>
    </xf>
    <xf numFmtId="1" fontId="5" fillId="3" borderId="8" xfId="0" applyNumberFormat="1" applyFont="1" applyFill="1" applyBorder="1" applyAlignment="1" applyProtection="1">
      <alignment horizontal="center"/>
      <protection hidden="1"/>
    </xf>
    <xf numFmtId="0" fontId="1" fillId="3" borderId="13" xfId="0" applyFont="1" applyFill="1" applyBorder="1" applyAlignment="1" applyProtection="1">
      <alignment horizontal="right"/>
      <protection hidden="1"/>
    </xf>
    <xf numFmtId="0" fontId="4" fillId="3" borderId="11" xfId="0"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5" fillId="5" borderId="0" xfId="0" applyFont="1" applyFill="1" applyProtection="1">
      <protection hidden="1"/>
    </xf>
    <xf numFmtId="0" fontId="6" fillId="3" borderId="0" xfId="0" applyFont="1" applyFill="1" applyAlignment="1" applyProtection="1">
      <alignment horizontal="right"/>
      <protection hidden="1"/>
    </xf>
    <xf numFmtId="4" fontId="5" fillId="3" borderId="0" xfId="0" applyNumberFormat="1" applyFont="1" applyFill="1" applyAlignment="1" applyProtection="1">
      <alignment horizontal="left"/>
      <protection hidden="1"/>
    </xf>
    <xf numFmtId="1" fontId="4" fillId="3" borderId="0" xfId="0" applyNumberFormat="1" applyFont="1" applyFill="1" applyAlignment="1" applyProtection="1">
      <alignment horizontal="center"/>
      <protection hidden="1"/>
    </xf>
    <xf numFmtId="0" fontId="41" fillId="3" borderId="0" xfId="0" applyFont="1" applyFill="1" applyAlignment="1" applyProtection="1">
      <alignment horizontal="left" vertical="top"/>
      <protection hidden="1"/>
    </xf>
    <xf numFmtId="0" fontId="57" fillId="9" borderId="26" xfId="0" applyFont="1" applyFill="1" applyBorder="1" applyAlignment="1" applyProtection="1">
      <alignment vertical="center"/>
      <protection hidden="1"/>
    </xf>
    <xf numFmtId="1" fontId="15" fillId="3" borderId="0" xfId="0" applyNumberFormat="1" applyFont="1" applyFill="1" applyAlignment="1" applyProtection="1">
      <alignment horizontal="center" vertical="center"/>
      <protection hidden="1"/>
    </xf>
    <xf numFmtId="0" fontId="19" fillId="5" borderId="0" xfId="0" applyFont="1" applyFill="1" applyAlignment="1" applyProtection="1">
      <alignment vertical="center"/>
      <protection hidden="1"/>
    </xf>
    <xf numFmtId="0" fontId="19" fillId="0" borderId="0" xfId="0" applyFont="1" applyAlignment="1" applyProtection="1">
      <alignment vertical="center"/>
      <protection hidden="1"/>
    </xf>
    <xf numFmtId="4" fontId="5" fillId="3" borderId="25" xfId="0" applyNumberFormat="1" applyFont="1" applyFill="1" applyBorder="1" applyAlignment="1" applyProtection="1">
      <alignment horizontal="left"/>
      <protection hidden="1"/>
    </xf>
    <xf numFmtId="0" fontId="72" fillId="0" borderId="0" xfId="0" applyFont="1" applyProtection="1">
      <protection hidden="1"/>
    </xf>
    <xf numFmtId="3" fontId="5" fillId="2" borderId="1" xfId="0" applyNumberFormat="1" applyFont="1" applyFill="1" applyBorder="1" applyProtection="1">
      <protection locked="0"/>
    </xf>
    <xf numFmtId="3" fontId="31" fillId="0" borderId="0" xfId="0" applyNumberFormat="1" applyFont="1" applyAlignment="1" applyProtection="1">
      <alignment horizontal="right"/>
      <protection hidden="1"/>
    </xf>
    <xf numFmtId="0" fontId="31" fillId="0" borderId="0" xfId="0" applyFont="1" applyAlignment="1" applyProtection="1">
      <alignment horizontal="center"/>
      <protection hidden="1"/>
    </xf>
    <xf numFmtId="0" fontId="31" fillId="0" borderId="0" xfId="0" applyFont="1" applyProtection="1">
      <protection hidden="1"/>
    </xf>
    <xf numFmtId="0" fontId="101" fillId="5" borderId="0" xfId="0" applyFont="1" applyFill="1" applyAlignment="1" applyProtection="1">
      <alignment horizontal="center"/>
      <protection hidden="1"/>
    </xf>
    <xf numFmtId="0" fontId="0" fillId="2" borderId="23" xfId="0" applyFill="1" applyBorder="1"/>
    <xf numFmtId="0" fontId="0" fillId="5" borderId="20" xfId="0" applyFill="1" applyBorder="1" applyProtection="1">
      <protection hidden="1"/>
    </xf>
    <xf numFmtId="0" fontId="8" fillId="5" borderId="21" xfId="0" applyFont="1" applyFill="1" applyBorder="1" applyAlignment="1" applyProtection="1">
      <alignment horizontal="center"/>
      <protection hidden="1"/>
    </xf>
    <xf numFmtId="0" fontId="8" fillId="5" borderId="23" xfId="0" applyFont="1" applyFill="1" applyBorder="1" applyAlignment="1" applyProtection="1">
      <alignment horizontal="center"/>
      <protection hidden="1"/>
    </xf>
    <xf numFmtId="0" fontId="0" fillId="0" borderId="0" xfId="0" applyAlignment="1">
      <alignment vertical="top"/>
    </xf>
    <xf numFmtId="3" fontId="31" fillId="3" borderId="0" xfId="0" applyNumberFormat="1" applyFont="1" applyFill="1" applyAlignment="1" applyProtection="1">
      <alignment horizontal="right" vertical="center"/>
      <protection hidden="1"/>
    </xf>
    <xf numFmtId="0" fontId="0" fillId="5" borderId="0" xfId="0" applyFill="1"/>
    <xf numFmtId="0" fontId="6" fillId="2" borderId="0" xfId="0" applyFont="1" applyFill="1" applyAlignment="1" applyProtection="1">
      <alignment vertical="top"/>
      <protection hidden="1"/>
    </xf>
    <xf numFmtId="0" fontId="1" fillId="3" borderId="3" xfId="0" applyFont="1" applyFill="1" applyBorder="1" applyAlignment="1" applyProtection="1">
      <alignment horizontal="center"/>
      <protection hidden="1"/>
    </xf>
    <xf numFmtId="0" fontId="16" fillId="3" borderId="0" xfId="0" applyFont="1" applyFill="1" applyAlignment="1" applyProtection="1">
      <alignment vertical="center"/>
      <protection hidden="1"/>
    </xf>
    <xf numFmtId="0" fontId="4" fillId="3" borderId="0" xfId="0" applyFont="1" applyFill="1" applyAlignment="1" applyProtection="1">
      <alignment vertical="center"/>
      <protection hidden="1"/>
    </xf>
    <xf numFmtId="0" fontId="49" fillId="3" borderId="0" xfId="0" applyFont="1" applyFill="1" applyAlignment="1" applyProtection="1">
      <alignment horizontal="left"/>
      <protection hidden="1"/>
    </xf>
    <xf numFmtId="4" fontId="6" fillId="3" borderId="0" xfId="0" applyNumberFormat="1" applyFont="1" applyFill="1" applyProtection="1">
      <protection hidden="1"/>
    </xf>
    <xf numFmtId="37" fontId="40" fillId="3" borderId="0" xfId="0" applyNumberFormat="1" applyFont="1" applyFill="1" applyAlignment="1" applyProtection="1">
      <alignment horizontal="right"/>
      <protection hidden="1"/>
    </xf>
    <xf numFmtId="172" fontId="9" fillId="3" borderId="0" xfId="0" applyNumberFormat="1" applyFont="1" applyFill="1" applyProtection="1">
      <protection hidden="1"/>
    </xf>
    <xf numFmtId="39" fontId="6" fillId="3" borderId="0" xfId="0" applyNumberFormat="1" applyFont="1" applyFill="1" applyAlignment="1" applyProtection="1">
      <alignment horizontal="right"/>
      <protection hidden="1"/>
    </xf>
    <xf numFmtId="39" fontId="101" fillId="3" borderId="0" xfId="0" applyNumberFormat="1" applyFont="1" applyFill="1" applyProtection="1">
      <protection hidden="1"/>
    </xf>
    <xf numFmtId="39" fontId="73" fillId="3" borderId="0" xfId="0" applyNumberFormat="1" applyFont="1" applyFill="1" applyAlignment="1" applyProtection="1">
      <alignment horizontal="left"/>
      <protection hidden="1"/>
    </xf>
    <xf numFmtId="0" fontId="13" fillId="3" borderId="0" xfId="0" applyFont="1" applyFill="1" applyProtection="1">
      <protection hidden="1"/>
    </xf>
    <xf numFmtId="0" fontId="19" fillId="3" borderId="5" xfId="0" applyFont="1" applyFill="1" applyBorder="1" applyProtection="1">
      <protection hidden="1"/>
    </xf>
    <xf numFmtId="0" fontId="4" fillId="3" borderId="5" xfId="0" applyFont="1" applyFill="1" applyBorder="1" applyProtection="1">
      <protection hidden="1"/>
    </xf>
    <xf numFmtId="4" fontId="4" fillId="3" borderId="0" xfId="0" applyNumberFormat="1" applyFont="1" applyFill="1" applyAlignment="1" applyProtection="1">
      <alignment horizontal="right"/>
      <protection hidden="1"/>
    </xf>
    <xf numFmtId="4" fontId="12" fillId="3" borderId="1" xfId="0" applyNumberFormat="1" applyFont="1" applyFill="1" applyBorder="1" applyProtection="1">
      <protection hidden="1"/>
    </xf>
    <xf numFmtId="4" fontId="4" fillId="3" borderId="0" xfId="0" applyNumberFormat="1" applyFont="1" applyFill="1" applyProtection="1">
      <protection hidden="1"/>
    </xf>
    <xf numFmtId="0" fontId="19" fillId="3" borderId="0" xfId="0" applyFont="1" applyFill="1" applyAlignment="1" applyProtection="1">
      <alignment vertical="center"/>
      <protection hidden="1"/>
    </xf>
    <xf numFmtId="4" fontId="19" fillId="3" borderId="0" xfId="0" applyNumberFormat="1" applyFont="1" applyFill="1" applyAlignment="1" applyProtection="1">
      <alignment vertical="center"/>
      <protection hidden="1"/>
    </xf>
    <xf numFmtId="4" fontId="4" fillId="3" borderId="0" xfId="0" applyNumberFormat="1" applyFont="1" applyFill="1" applyAlignment="1" applyProtection="1">
      <alignment vertical="center"/>
      <protection hidden="1"/>
    </xf>
    <xf numFmtId="0" fontId="4" fillId="0" borderId="0" xfId="0" applyFont="1" applyAlignment="1" applyProtection="1">
      <alignment vertical="center"/>
      <protection hidden="1"/>
    </xf>
    <xf numFmtId="0" fontId="19" fillId="0" borderId="0" xfId="0" applyFont="1" applyAlignment="1">
      <alignment vertical="center"/>
    </xf>
    <xf numFmtId="0" fontId="53" fillId="3" borderId="0" xfId="0" applyFont="1" applyFill="1" applyAlignment="1" applyProtection="1">
      <alignment vertical="center"/>
      <protection hidden="1"/>
    </xf>
    <xf numFmtId="4" fontId="53" fillId="3" borderId="0" xfId="0" applyNumberFormat="1" applyFont="1" applyFill="1" applyAlignment="1" applyProtection="1">
      <alignment vertical="center"/>
      <protection hidden="1"/>
    </xf>
    <xf numFmtId="0" fontId="53" fillId="0" borderId="0" xfId="0" applyFont="1" applyAlignment="1" applyProtection="1">
      <alignment vertical="center"/>
      <protection hidden="1"/>
    </xf>
    <xf numFmtId="0" fontId="0" fillId="0" borderId="0" xfId="0" applyAlignment="1">
      <alignment vertical="center"/>
    </xf>
    <xf numFmtId="4" fontId="19" fillId="3" borderId="5" xfId="0" applyNumberFormat="1" applyFont="1" applyFill="1" applyBorder="1" applyProtection="1">
      <protection hidden="1"/>
    </xf>
    <xf numFmtId="0" fontId="55" fillId="9" borderId="1" xfId="0" applyFont="1" applyFill="1" applyBorder="1" applyProtection="1">
      <protection hidden="1"/>
    </xf>
    <xf numFmtId="0" fontId="4" fillId="3" borderId="0" xfId="0" applyFont="1" applyFill="1" applyAlignment="1" applyProtection="1">
      <alignment horizontal="center" vertical="center"/>
      <protection hidden="1"/>
    </xf>
    <xf numFmtId="0" fontId="19" fillId="3" borderId="5" xfId="0" applyFont="1" applyFill="1" applyBorder="1" applyAlignment="1" applyProtection="1">
      <alignment horizontal="center"/>
      <protection hidden="1"/>
    </xf>
    <xf numFmtId="0" fontId="4" fillId="3" borderId="3" xfId="0" applyFont="1" applyFill="1" applyBorder="1" applyAlignment="1" applyProtection="1">
      <alignment horizontal="center" vertical="center"/>
      <protection locked="0"/>
    </xf>
    <xf numFmtId="39" fontId="0" fillId="3" borderId="3" xfId="0" applyNumberFormat="1" applyFill="1" applyBorder="1" applyProtection="1">
      <protection hidden="1"/>
    </xf>
    <xf numFmtId="3" fontId="5" fillId="3" borderId="0" xfId="0" applyNumberFormat="1" applyFont="1" applyFill="1" applyAlignment="1" applyProtection="1">
      <alignment horizontal="center"/>
      <protection hidden="1"/>
    </xf>
    <xf numFmtId="0" fontId="75" fillId="5" borderId="0" xfId="2" applyFill="1" applyAlignment="1" applyProtection="1">
      <alignment horizontal="center"/>
      <protection hidden="1"/>
    </xf>
    <xf numFmtId="39" fontId="31" fillId="3" borderId="6" xfId="0" applyNumberFormat="1" applyFont="1" applyFill="1" applyBorder="1" applyAlignment="1" applyProtection="1">
      <alignment horizontal="right"/>
      <protection hidden="1"/>
    </xf>
    <xf numFmtId="0" fontId="4" fillId="3" borderId="3" xfId="0" applyFont="1" applyFill="1" applyBorder="1" applyAlignment="1" applyProtection="1">
      <alignment horizontal="left"/>
      <protection hidden="1"/>
    </xf>
    <xf numFmtId="0" fontId="23" fillId="3" borderId="0" xfId="0" applyFont="1" applyFill="1" applyAlignment="1" applyProtection="1">
      <alignment horizontal="center"/>
      <protection hidden="1"/>
    </xf>
    <xf numFmtId="0" fontId="48" fillId="3" borderId="0" xfId="0" applyFont="1" applyFill="1" applyAlignment="1" applyProtection="1">
      <alignment horizontal="center"/>
      <protection hidden="1"/>
    </xf>
    <xf numFmtId="0" fontId="5" fillId="3" borderId="3" xfId="0" applyFont="1" applyFill="1" applyBorder="1" applyAlignment="1" applyProtection="1">
      <alignment horizontal="left"/>
      <protection hidden="1"/>
    </xf>
    <xf numFmtId="0" fontId="5" fillId="3" borderId="1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0" fontId="48" fillId="3" borderId="1" xfId="0" applyFont="1" applyFill="1" applyBorder="1" applyAlignment="1" applyProtection="1">
      <alignment horizontal="center"/>
      <protection hidden="1"/>
    </xf>
    <xf numFmtId="4" fontId="5" fillId="3" borderId="30" xfId="0" applyNumberFormat="1" applyFont="1" applyFill="1" applyBorder="1" applyAlignment="1" applyProtection="1">
      <alignment horizontal="right"/>
      <protection hidden="1"/>
    </xf>
    <xf numFmtId="0" fontId="48" fillId="3" borderId="9" xfId="0" applyFont="1" applyFill="1" applyBorder="1" applyAlignment="1" applyProtection="1">
      <alignment horizontal="center"/>
      <protection hidden="1"/>
    </xf>
    <xf numFmtId="3" fontId="8" fillId="3" borderId="0" xfId="0" applyNumberFormat="1" applyFont="1" applyFill="1" applyAlignment="1" applyProtection="1">
      <alignment horizontal="center"/>
      <protection hidden="1"/>
    </xf>
    <xf numFmtId="37" fontId="48" fillId="3" borderId="0" xfId="0" applyNumberFormat="1" applyFont="1" applyFill="1" applyAlignment="1" applyProtection="1">
      <alignment horizontal="right"/>
      <protection hidden="1"/>
    </xf>
    <xf numFmtId="0" fontId="75" fillId="0" borderId="0" xfId="2" applyAlignment="1" applyProtection="1">
      <alignment horizontal="center"/>
    </xf>
    <xf numFmtId="0" fontId="4" fillId="5" borderId="0" xfId="0" applyFont="1" applyFill="1" applyAlignment="1" applyProtection="1">
      <alignment horizontal="center" vertical="center"/>
      <protection hidden="1"/>
    </xf>
    <xf numFmtId="0" fontId="75" fillId="0" borderId="0" xfId="2" applyAlignment="1" applyProtection="1">
      <alignment horizontal="center"/>
      <protection hidden="1"/>
    </xf>
    <xf numFmtId="0" fontId="0" fillId="5" borderId="0" xfId="0" applyFill="1" applyAlignment="1">
      <alignment vertical="center"/>
    </xf>
    <xf numFmtId="0" fontId="12" fillId="5" borderId="0" xfId="0" applyFont="1" applyFill="1" applyProtection="1">
      <protection hidden="1"/>
    </xf>
    <xf numFmtId="0" fontId="6" fillId="5" borderId="0" xfId="0" applyFont="1" applyFill="1" applyProtection="1">
      <protection hidden="1"/>
    </xf>
    <xf numFmtId="4" fontId="5" fillId="5" borderId="0" xfId="0" applyNumberFormat="1" applyFont="1" applyFill="1" applyProtection="1">
      <protection hidden="1"/>
    </xf>
    <xf numFmtId="39" fontId="5" fillId="5" borderId="0" xfId="0" applyNumberFormat="1" applyFont="1" applyFill="1" applyAlignment="1" applyProtection="1">
      <alignment horizontal="right"/>
      <protection hidden="1"/>
    </xf>
    <xf numFmtId="0" fontId="1" fillId="5" borderId="0" xfId="0" applyFont="1" applyFill="1"/>
    <xf numFmtId="0" fontId="50"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8" fillId="5" borderId="0" xfId="0" applyFont="1" applyFill="1" applyAlignment="1" applyProtection="1">
      <alignment wrapText="1"/>
      <protection hidden="1"/>
    </xf>
    <xf numFmtId="0" fontId="22" fillId="5" borderId="0" xfId="0" applyFont="1" applyFill="1" applyAlignment="1" applyProtection="1">
      <alignment horizontal="center" vertical="center"/>
      <protection hidden="1"/>
    </xf>
    <xf numFmtId="0" fontId="8" fillId="5" borderId="0" xfId="0" applyFont="1" applyFill="1" applyAlignment="1" applyProtection="1">
      <alignment horizontal="left"/>
      <protection hidden="1"/>
    </xf>
    <xf numFmtId="0" fontId="88" fillId="5" borderId="0" xfId="0" applyFont="1" applyFill="1" applyAlignment="1" applyProtection="1">
      <alignment horizontal="left"/>
      <protection hidden="1"/>
    </xf>
    <xf numFmtId="4" fontId="23" fillId="5" borderId="0" xfId="0" applyNumberFormat="1" applyFont="1" applyFill="1" applyProtection="1">
      <protection hidden="1"/>
    </xf>
    <xf numFmtId="0" fontId="23" fillId="5" borderId="0" xfId="0" applyFont="1" applyFill="1" applyProtection="1">
      <protection hidden="1"/>
    </xf>
    <xf numFmtId="4" fontId="77" fillId="5" borderId="0" xfId="0" applyNumberFormat="1" applyFont="1" applyFill="1" applyProtection="1">
      <protection hidden="1"/>
    </xf>
    <xf numFmtId="1" fontId="23" fillId="5" borderId="0" xfId="0" applyNumberFormat="1" applyFont="1" applyFill="1" applyAlignment="1" applyProtection="1">
      <alignment horizontal="right" vertical="center"/>
      <protection hidden="1"/>
    </xf>
    <xf numFmtId="0" fontId="4" fillId="3" borderId="1" xfId="0" applyFont="1" applyFill="1" applyBorder="1" applyProtection="1">
      <protection hidden="1"/>
    </xf>
    <xf numFmtId="0" fontId="0" fillId="5" borderId="0" xfId="0" applyFill="1" applyAlignment="1" applyProtection="1">
      <alignment vertical="center"/>
      <protection hidden="1"/>
    </xf>
    <xf numFmtId="0" fontId="21" fillId="5" borderId="0" xfId="0" applyFont="1" applyFill="1" applyAlignment="1" applyProtection="1">
      <alignment vertical="center"/>
      <protection hidden="1"/>
    </xf>
    <xf numFmtId="0" fontId="64" fillId="5" borderId="0" xfId="0" applyFont="1" applyFill="1" applyProtection="1">
      <protection hidden="1"/>
    </xf>
    <xf numFmtId="0" fontId="0" fillId="5" borderId="0" xfId="0" applyFill="1" applyAlignment="1" applyProtection="1">
      <alignment vertical="top"/>
      <protection hidden="1"/>
    </xf>
    <xf numFmtId="0" fontId="4" fillId="2" borderId="11" xfId="0" applyFont="1" applyFill="1" applyBorder="1" applyAlignment="1" applyProtection="1">
      <alignment horizontal="center" vertical="top"/>
      <protection hidden="1"/>
    </xf>
    <xf numFmtId="0" fontId="87" fillId="2" borderId="0" xfId="0" applyFont="1" applyFill="1" applyAlignment="1" applyProtection="1">
      <alignment horizontal="right" vertical="top" wrapText="1"/>
      <protection hidden="1"/>
    </xf>
    <xf numFmtId="0" fontId="87" fillId="2" borderId="5" xfId="0" applyFont="1" applyFill="1" applyBorder="1" applyAlignment="1" applyProtection="1">
      <alignment horizontal="right" vertical="top" wrapText="1"/>
      <protection hidden="1"/>
    </xf>
    <xf numFmtId="0" fontId="0" fillId="7" borderId="0" xfId="0" applyFill="1" applyProtection="1">
      <protection hidden="1"/>
    </xf>
    <xf numFmtId="0" fontId="91" fillId="5" borderId="0" xfId="0" applyFont="1" applyFill="1" applyProtection="1">
      <protection hidden="1"/>
    </xf>
    <xf numFmtId="1" fontId="15" fillId="7" borderId="0" xfId="0" applyNumberFormat="1" applyFont="1" applyFill="1" applyAlignment="1" applyProtection="1">
      <alignment horizontal="center"/>
      <protection hidden="1"/>
    </xf>
    <xf numFmtId="1" fontId="21" fillId="7" borderId="0" xfId="0" applyNumberFormat="1" applyFont="1" applyFill="1" applyAlignment="1" applyProtection="1">
      <alignment horizontal="left"/>
      <protection hidden="1"/>
    </xf>
    <xf numFmtId="1" fontId="4" fillId="7" borderId="0" xfId="0" applyNumberFormat="1" applyFont="1" applyFill="1" applyAlignment="1" applyProtection="1">
      <alignment horizontal="center"/>
      <protection hidden="1"/>
    </xf>
    <xf numFmtId="39" fontId="8" fillId="7" borderId="0" xfId="0" applyNumberFormat="1" applyFont="1" applyFill="1" applyAlignment="1" applyProtection="1">
      <alignment horizontal="right"/>
      <protection hidden="1"/>
    </xf>
    <xf numFmtId="39" fontId="19" fillId="7" borderId="0" xfId="0" applyNumberFormat="1" applyFont="1" applyFill="1" applyAlignment="1" applyProtection="1">
      <alignment horizontal="right"/>
      <protection hidden="1"/>
    </xf>
    <xf numFmtId="1" fontId="15" fillId="7" borderId="0" xfId="0" applyNumberFormat="1" applyFont="1" applyFill="1" applyAlignment="1" applyProtection="1">
      <alignment horizontal="center" vertical="center"/>
      <protection hidden="1"/>
    </xf>
    <xf numFmtId="39" fontId="31" fillId="7" borderId="0" xfId="0" applyNumberFormat="1" applyFont="1" applyFill="1" applyAlignment="1" applyProtection="1">
      <alignment horizontal="right"/>
      <protection hidden="1"/>
    </xf>
    <xf numFmtId="4" fontId="11" fillId="7" borderId="0" xfId="0" applyNumberFormat="1" applyFont="1" applyFill="1" applyAlignment="1" applyProtection="1">
      <alignment horizontal="right"/>
      <protection hidden="1"/>
    </xf>
    <xf numFmtId="4" fontId="5" fillId="7" borderId="0" xfId="0" applyNumberFormat="1" applyFont="1" applyFill="1" applyAlignment="1" applyProtection="1">
      <alignment horizontal="right"/>
      <protection hidden="1"/>
    </xf>
    <xf numFmtId="39" fontId="61" fillId="7" borderId="0" xfId="0" applyNumberFormat="1" applyFont="1" applyFill="1" applyProtection="1">
      <protection hidden="1"/>
    </xf>
    <xf numFmtId="1" fontId="5"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1" fontId="5" fillId="3" borderId="0" xfId="0" applyNumberFormat="1" applyFont="1" applyFill="1" applyAlignment="1" applyProtection="1">
      <alignment horizontal="center"/>
      <protection hidden="1"/>
    </xf>
    <xf numFmtId="0" fontId="1" fillId="5" borderId="0" xfId="0" applyFont="1" applyFill="1" applyProtection="1">
      <protection hidden="1"/>
    </xf>
    <xf numFmtId="4" fontId="0" fillId="5" borderId="0" xfId="0" applyNumberFormat="1" applyFill="1" applyProtection="1">
      <protection hidden="1"/>
    </xf>
    <xf numFmtId="4" fontId="15" fillId="3" borderId="0" xfId="0" applyNumberFormat="1" applyFont="1" applyFill="1" applyAlignment="1" applyProtection="1">
      <alignment horizontal="center"/>
      <protection hidden="1"/>
    </xf>
    <xf numFmtId="1" fontId="4" fillId="3" borderId="7" xfId="0" applyNumberFormat="1" applyFont="1" applyFill="1" applyBorder="1" applyAlignment="1" applyProtection="1">
      <alignment horizontal="right"/>
      <protection hidden="1"/>
    </xf>
    <xf numFmtId="0" fontId="28" fillId="3" borderId="0" xfId="0" applyFont="1" applyFill="1" applyAlignment="1" applyProtection="1">
      <alignment horizontal="center"/>
      <protection hidden="1"/>
    </xf>
    <xf numFmtId="0" fontId="1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left"/>
      <protection hidden="1"/>
    </xf>
    <xf numFmtId="0" fontId="91" fillId="5" borderId="0" xfId="0" applyFont="1" applyFill="1" applyAlignment="1" applyProtection="1">
      <alignment horizontal="center"/>
      <protection hidden="1"/>
    </xf>
    <xf numFmtId="0" fontId="8" fillId="0" borderId="0" xfId="0" applyFont="1" applyAlignment="1" applyProtection="1">
      <alignment horizontal="left"/>
      <protection hidden="1"/>
    </xf>
    <xf numFmtId="4" fontId="8" fillId="7" borderId="16" xfId="0" applyNumberFormat="1" applyFont="1" applyFill="1" applyBorder="1" applyProtection="1">
      <protection hidden="1"/>
    </xf>
    <xf numFmtId="4" fontId="8" fillId="7" borderId="7" xfId="0" applyNumberFormat="1" applyFont="1" applyFill="1" applyBorder="1" applyProtection="1">
      <protection hidden="1"/>
    </xf>
    <xf numFmtId="4" fontId="53" fillId="3" borderId="0" xfId="0" applyNumberFormat="1" applyFont="1" applyFill="1" applyProtection="1">
      <protection hidden="1"/>
    </xf>
    <xf numFmtId="4" fontId="11" fillId="3" borderId="5" xfId="0" applyNumberFormat="1" applyFont="1" applyFill="1" applyBorder="1" applyProtection="1">
      <protection hidden="1"/>
    </xf>
    <xf numFmtId="4" fontId="8" fillId="3" borderId="5" xfId="0" applyNumberFormat="1" applyFont="1" applyFill="1" applyBorder="1" applyAlignment="1" applyProtection="1">
      <alignment horizontal="right"/>
      <protection hidden="1"/>
    </xf>
    <xf numFmtId="4" fontId="4" fillId="3" borderId="5" xfId="0" applyNumberFormat="1" applyFont="1" applyFill="1" applyBorder="1" applyProtection="1">
      <protection hidden="1"/>
    </xf>
    <xf numFmtId="4" fontId="53" fillId="3" borderId="1" xfId="0" applyNumberFormat="1" applyFont="1" applyFill="1" applyBorder="1" applyProtection="1">
      <protection hidden="1"/>
    </xf>
    <xf numFmtId="39" fontId="61" fillId="3" borderId="1" xfId="0" applyNumberFormat="1" applyFont="1" applyFill="1" applyBorder="1" applyProtection="1">
      <protection hidden="1"/>
    </xf>
    <xf numFmtId="4" fontId="8" fillId="3" borderId="8" xfId="0" applyNumberFormat="1" applyFont="1" applyFill="1" applyBorder="1" applyAlignment="1" applyProtection="1">
      <alignment horizontal="right"/>
      <protection hidden="1"/>
    </xf>
    <xf numFmtId="4" fontId="4" fillId="3" borderId="8" xfId="0" applyNumberFormat="1" applyFont="1" applyFill="1" applyBorder="1" applyProtection="1">
      <protection hidden="1"/>
    </xf>
    <xf numFmtId="0" fontId="13" fillId="3" borderId="0" xfId="0" applyFont="1" applyFill="1" applyAlignment="1" applyProtection="1">
      <alignment vertical="center"/>
      <protection hidden="1"/>
    </xf>
    <xf numFmtId="0" fontId="60" fillId="9" borderId="26" xfId="0" applyFont="1" applyFill="1" applyBorder="1" applyAlignment="1" applyProtection="1">
      <alignment horizontal="center"/>
      <protection hidden="1"/>
    </xf>
    <xf numFmtId="0" fontId="0" fillId="2" borderId="21" xfId="0" applyFill="1" applyBorder="1" applyAlignment="1" applyProtection="1">
      <alignment vertical="top"/>
      <protection hidden="1"/>
    </xf>
    <xf numFmtId="0" fontId="1" fillId="3" borderId="16" xfId="0" applyFont="1" applyFill="1" applyBorder="1" applyAlignment="1" applyProtection="1">
      <alignment horizontal="right"/>
      <protection hidden="1"/>
    </xf>
    <xf numFmtId="164" fontId="64" fillId="2" borderId="0" xfId="0" applyNumberFormat="1" applyFont="1" applyFill="1" applyAlignment="1" applyProtection="1">
      <alignment horizontal="left"/>
      <protection hidden="1"/>
    </xf>
    <xf numFmtId="40" fontId="78" fillId="2" borderId="21" xfId="0" applyNumberFormat="1" applyFont="1" applyFill="1" applyBorder="1" applyAlignment="1" applyProtection="1">
      <alignment horizontal="right"/>
      <protection hidden="1"/>
    </xf>
    <xf numFmtId="0" fontId="5" fillId="0" borderId="1" xfId="0" applyFont="1" applyBorder="1" applyProtection="1">
      <protection locked="0"/>
    </xf>
    <xf numFmtId="40" fontId="67" fillId="5" borderId="0" xfId="0" applyNumberFormat="1" applyFont="1" applyFill="1" applyAlignment="1" applyProtection="1">
      <alignment horizontal="right"/>
      <protection hidden="1"/>
    </xf>
    <xf numFmtId="40" fontId="19" fillId="5" borderId="0" xfId="0" applyNumberFormat="1" applyFont="1" applyFill="1" applyProtection="1">
      <protection hidden="1"/>
    </xf>
    <xf numFmtId="40" fontId="0" fillId="5" borderId="0" xfId="0" applyNumberFormat="1" applyFill="1" applyProtection="1">
      <protection hidden="1"/>
    </xf>
    <xf numFmtId="38" fontId="5" fillId="5" borderId="0" xfId="0" applyNumberFormat="1" applyFont="1" applyFill="1" applyProtection="1">
      <protection hidden="1"/>
    </xf>
    <xf numFmtId="164" fontId="4" fillId="5" borderId="0" xfId="0" applyNumberFormat="1" applyFont="1" applyFill="1" applyProtection="1">
      <protection hidden="1"/>
    </xf>
    <xf numFmtId="164" fontId="19"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105" fillId="2" borderId="0" xfId="0" applyFont="1" applyFill="1" applyProtection="1">
      <protection hidden="1"/>
    </xf>
    <xf numFmtId="40" fontId="4" fillId="2" borderId="0" xfId="0" applyNumberFormat="1" applyFont="1" applyFill="1" applyAlignment="1" applyProtection="1">
      <alignment horizontal="right"/>
      <protection hidden="1"/>
    </xf>
    <xf numFmtId="164" fontId="19" fillId="2" borderId="1" xfId="0" applyNumberFormat="1" applyFont="1" applyFill="1" applyBorder="1" applyAlignment="1" applyProtection="1">
      <alignment horizontal="left"/>
      <protection hidden="1"/>
    </xf>
    <xf numFmtId="164" fontId="19" fillId="2" borderId="1" xfId="0" applyNumberFormat="1" applyFont="1" applyFill="1" applyBorder="1" applyAlignment="1" applyProtection="1">
      <alignment horizontal="right"/>
      <protection hidden="1"/>
    </xf>
    <xf numFmtId="164" fontId="4" fillId="2" borderId="22" xfId="0" applyNumberFormat="1" applyFont="1" applyFill="1" applyBorder="1" applyProtection="1">
      <protection hidden="1"/>
    </xf>
    <xf numFmtId="164" fontId="77" fillId="2" borderId="0" xfId="0" applyNumberFormat="1" applyFont="1" applyFill="1" applyAlignment="1" applyProtection="1">
      <alignment horizontal="right"/>
      <protection hidden="1"/>
    </xf>
    <xf numFmtId="38" fontId="23" fillId="2" borderId="0" xfId="0" applyNumberFormat="1" applyFont="1" applyFill="1" applyAlignment="1" applyProtection="1">
      <alignment horizontal="center"/>
      <protection hidden="1"/>
    </xf>
    <xf numFmtId="38" fontId="19" fillId="2" borderId="0" xfId="0" applyNumberFormat="1" applyFont="1" applyFill="1" applyAlignment="1" applyProtection="1">
      <alignment horizontal="center"/>
      <protection hidden="1"/>
    </xf>
    <xf numFmtId="38" fontId="23" fillId="2" borderId="5" xfId="0" applyNumberFormat="1" applyFont="1" applyFill="1" applyBorder="1" applyAlignment="1" applyProtection="1">
      <alignment horizontal="center"/>
      <protection hidden="1"/>
    </xf>
    <xf numFmtId="14" fontId="23" fillId="2" borderId="5" xfId="0" applyNumberFormat="1" applyFont="1" applyFill="1" applyBorder="1" applyAlignment="1" applyProtection="1">
      <alignment horizontal="center"/>
      <protection hidden="1"/>
    </xf>
    <xf numFmtId="1" fontId="106" fillId="2" borderId="0" xfId="0" applyNumberFormat="1" applyFont="1" applyFill="1" applyProtection="1">
      <protection hidden="1"/>
    </xf>
    <xf numFmtId="0" fontId="8" fillId="5" borderId="20" xfId="0" applyFont="1" applyFill="1" applyBorder="1" applyAlignment="1" applyProtection="1">
      <alignment horizontal="center"/>
      <protection hidden="1"/>
    </xf>
    <xf numFmtId="164" fontId="19" fillId="2" borderId="0" xfId="0" applyNumberFormat="1" applyFont="1" applyFill="1" applyAlignment="1" applyProtection="1">
      <alignment horizontal="right"/>
      <protection hidden="1"/>
    </xf>
    <xf numFmtId="14" fontId="23" fillId="2" borderId="0" xfId="0" applyNumberFormat="1" applyFont="1" applyFill="1" applyAlignment="1" applyProtection="1">
      <alignment horizontal="center"/>
      <protection hidden="1"/>
    </xf>
    <xf numFmtId="40" fontId="77" fillId="2" borderId="0" xfId="0" applyNumberFormat="1" applyFont="1" applyFill="1" applyAlignment="1" applyProtection="1">
      <alignment horizontal="right"/>
      <protection hidden="1"/>
    </xf>
    <xf numFmtId="0" fontId="8" fillId="5" borderId="6" xfId="0" applyFont="1" applyFill="1" applyBorder="1" applyAlignment="1" applyProtection="1">
      <alignment horizontal="center"/>
      <protection hidden="1"/>
    </xf>
    <xf numFmtId="0" fontId="8" fillId="5" borderId="8" xfId="0" applyFont="1" applyFill="1" applyBorder="1" applyAlignment="1" applyProtection="1">
      <alignment horizontal="center"/>
      <protection hidden="1"/>
    </xf>
    <xf numFmtId="164" fontId="77" fillId="2" borderId="0" xfId="0" applyNumberFormat="1" applyFont="1" applyFill="1" applyAlignment="1" applyProtection="1">
      <alignment horizontal="center"/>
      <protection hidden="1"/>
    </xf>
    <xf numFmtId="40" fontId="64" fillId="2" borderId="0" xfId="0" applyNumberFormat="1" applyFont="1" applyFill="1" applyAlignment="1" applyProtection="1">
      <alignment horizontal="right"/>
      <protection hidden="1"/>
    </xf>
    <xf numFmtId="40" fontId="78" fillId="2" borderId="21" xfId="0" applyNumberFormat="1" applyFont="1" applyFill="1" applyBorder="1" applyAlignment="1" applyProtection="1">
      <alignment horizontal="center"/>
      <protection hidden="1"/>
    </xf>
    <xf numFmtId="1" fontId="5" fillId="0" borderId="61" xfId="0" applyNumberFormat="1" applyFont="1" applyBorder="1" applyAlignment="1" applyProtection="1">
      <alignment horizontal="center"/>
      <protection locked="0"/>
    </xf>
    <xf numFmtId="1" fontId="48" fillId="2" borderId="0" xfId="0" applyNumberFormat="1" applyFont="1" applyFill="1" applyProtection="1">
      <protection hidden="1"/>
    </xf>
    <xf numFmtId="0" fontId="26" fillId="2" borderId="0" xfId="0" applyFont="1" applyFill="1" applyProtection="1">
      <protection hidden="1"/>
    </xf>
    <xf numFmtId="38" fontId="7" fillId="2" borderId="0" xfId="0" applyNumberFormat="1" applyFont="1" applyFill="1" applyProtection="1">
      <protection hidden="1"/>
    </xf>
    <xf numFmtId="0" fontId="5" fillId="2" borderId="21" xfId="0" applyFont="1" applyFill="1" applyBorder="1" applyAlignment="1" applyProtection="1">
      <alignment horizontal="center"/>
      <protection hidden="1"/>
    </xf>
    <xf numFmtId="0" fontId="68" fillId="5" borderId="0" xfId="0" applyFont="1" applyFill="1" applyAlignment="1" applyProtection="1">
      <alignment horizontal="left"/>
      <protection hidden="1"/>
    </xf>
    <xf numFmtId="164" fontId="4" fillId="5" borderId="0" xfId="0" applyNumberFormat="1" applyFont="1" applyFill="1" applyAlignment="1" applyProtection="1">
      <alignment vertical="top"/>
      <protection hidden="1"/>
    </xf>
    <xf numFmtId="0" fontId="0" fillId="5" borderId="0" xfId="0" applyFill="1" applyAlignment="1" applyProtection="1">
      <alignment wrapText="1"/>
      <protection hidden="1"/>
    </xf>
    <xf numFmtId="164" fontId="13" fillId="5" borderId="0" xfId="0" applyNumberFormat="1" applyFont="1" applyFill="1" applyProtection="1">
      <protection hidden="1"/>
    </xf>
    <xf numFmtId="164" fontId="13" fillId="5" borderId="0" xfId="0" applyNumberFormat="1" applyFont="1" applyFill="1" applyAlignment="1" applyProtection="1">
      <alignment horizontal="center"/>
      <protection hidden="1"/>
    </xf>
    <xf numFmtId="40" fontId="0" fillId="2" borderId="30" xfId="0" applyNumberFormat="1" applyFill="1" applyBorder="1" applyProtection="1">
      <protection hidden="1"/>
    </xf>
    <xf numFmtId="38" fontId="19" fillId="2" borderId="9" xfId="0" applyNumberFormat="1" applyFont="1" applyFill="1" applyBorder="1" applyAlignment="1" applyProtection="1">
      <alignment horizontal="right"/>
      <protection hidden="1"/>
    </xf>
    <xf numFmtId="40" fontId="44" fillId="2" borderId="5" xfId="0" applyNumberFormat="1" applyFont="1" applyFill="1" applyBorder="1" applyAlignment="1" applyProtection="1">
      <alignment horizontal="right"/>
      <protection hidden="1"/>
    </xf>
    <xf numFmtId="40" fontId="76" fillId="2" borderId="5" xfId="0" applyNumberFormat="1" applyFont="1" applyFill="1" applyBorder="1" applyAlignment="1" applyProtection="1">
      <alignment horizontal="left"/>
      <protection hidden="1"/>
    </xf>
    <xf numFmtId="40" fontId="76" fillId="2" borderId="5" xfId="0" applyNumberFormat="1" applyFont="1" applyFill="1" applyBorder="1" applyAlignment="1" applyProtection="1">
      <alignment horizontal="right"/>
      <protection hidden="1"/>
    </xf>
    <xf numFmtId="40" fontId="32" fillId="2" borderId="0" xfId="0" applyNumberFormat="1" applyFont="1" applyFill="1" applyAlignment="1" applyProtection="1">
      <alignment horizontal="right"/>
      <protection hidden="1"/>
    </xf>
    <xf numFmtId="170" fontId="0" fillId="2" borderId="0" xfId="0" applyNumberFormat="1" applyFill="1" applyAlignment="1" applyProtection="1">
      <alignment horizontal="left"/>
      <protection hidden="1"/>
    </xf>
    <xf numFmtId="0" fontId="73" fillId="2" borderId="0" xfId="0" applyFont="1" applyFill="1" applyProtection="1">
      <protection hidden="1"/>
    </xf>
    <xf numFmtId="40" fontId="32" fillId="5" borderId="0" xfId="0" applyNumberFormat="1" applyFont="1" applyFill="1" applyAlignment="1" applyProtection="1">
      <alignment horizontal="right"/>
      <protection hidden="1"/>
    </xf>
    <xf numFmtId="40" fontId="62" fillId="5" borderId="0" xfId="0" applyNumberFormat="1" applyFont="1" applyFill="1" applyAlignment="1" applyProtection="1">
      <alignment horizontal="right"/>
      <protection hidden="1"/>
    </xf>
    <xf numFmtId="40" fontId="19" fillId="5" borderId="0" xfId="0" applyNumberFormat="1" applyFont="1" applyFill="1" applyAlignment="1" applyProtection="1">
      <alignment horizontal="right"/>
      <protection hidden="1"/>
    </xf>
    <xf numFmtId="38" fontId="19"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4" fillId="5" borderId="0" xfId="0" applyFont="1" applyFill="1" applyProtection="1">
      <protection hidden="1"/>
    </xf>
    <xf numFmtId="0" fontId="14" fillId="2" borderId="24" xfId="0" applyFont="1" applyFill="1" applyBorder="1" applyProtection="1">
      <protection hidden="1"/>
    </xf>
    <xf numFmtId="0" fontId="0" fillId="2" borderId="27" xfId="0" applyFill="1" applyBorder="1" applyProtection="1">
      <protection hidden="1"/>
    </xf>
    <xf numFmtId="164" fontId="4" fillId="12" borderId="0" xfId="0" applyNumberFormat="1" applyFont="1" applyFill="1" applyProtection="1">
      <protection locked="0" hidden="1"/>
    </xf>
    <xf numFmtId="0" fontId="0" fillId="12" borderId="0" xfId="0" applyFill="1" applyAlignment="1" applyProtection="1">
      <alignment wrapText="1"/>
      <protection locked="0" hidden="1"/>
    </xf>
    <xf numFmtId="40" fontId="13" fillId="12" borderId="0" xfId="0" applyNumberFormat="1" applyFont="1" applyFill="1" applyAlignment="1" applyProtection="1">
      <alignment horizontal="right"/>
      <protection locked="0" hidden="1"/>
    </xf>
    <xf numFmtId="40" fontId="21" fillId="12" borderId="0" xfId="0" applyNumberFormat="1" applyFont="1" applyFill="1" applyAlignment="1" applyProtection="1">
      <alignment horizontal="right"/>
      <protection locked="0" hidden="1"/>
    </xf>
    <xf numFmtId="40" fontId="76" fillId="5" borderId="0" xfId="0" applyNumberFormat="1" applyFont="1" applyFill="1" applyAlignment="1" applyProtection="1">
      <alignment horizontal="right"/>
      <protection hidden="1"/>
    </xf>
    <xf numFmtId="0" fontId="14" fillId="5" borderId="0" xfId="0" applyFont="1" applyFill="1" applyAlignment="1" applyProtection="1">
      <alignment vertical="center"/>
      <protection hidden="1"/>
    </xf>
    <xf numFmtId="0" fontId="0" fillId="12" borderId="0" xfId="0" applyFill="1" applyProtection="1">
      <protection locked="0" hidden="1"/>
    </xf>
    <xf numFmtId="40" fontId="1"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1" fillId="2" borderId="0" xfId="0" applyNumberFormat="1" applyFont="1" applyFill="1" applyAlignment="1" applyProtection="1">
      <alignment horizontal="left"/>
      <protection hidden="1"/>
    </xf>
    <xf numFmtId="0" fontId="29" fillId="2" borderId="6" xfId="0" applyFont="1" applyFill="1" applyBorder="1" applyAlignment="1" applyProtection="1">
      <alignment vertical="center"/>
      <protection hidden="1"/>
    </xf>
    <xf numFmtId="0" fontId="14" fillId="2" borderId="0" xfId="0" applyFont="1" applyFill="1" applyAlignment="1" applyProtection="1">
      <alignment horizontal="centerContinuous" vertical="center"/>
      <protection hidden="1"/>
    </xf>
    <xf numFmtId="164" fontId="4" fillId="2" borderId="0" xfId="0" applyNumberFormat="1" applyFont="1" applyFill="1" applyAlignment="1" applyProtection="1">
      <alignment horizontal="center"/>
      <protection locked="0"/>
    </xf>
    <xf numFmtId="164" fontId="4" fillId="2" borderId="0" xfId="0" applyNumberFormat="1" applyFont="1" applyFill="1" applyAlignment="1" applyProtection="1">
      <alignment horizontal="centerContinuous" vertical="center"/>
      <protection hidden="1"/>
    </xf>
    <xf numFmtId="164" fontId="4" fillId="2" borderId="0" xfId="0" applyNumberFormat="1" applyFont="1" applyFill="1" applyAlignment="1" applyProtection="1">
      <alignment horizontal="center" vertical="center"/>
      <protection hidden="1"/>
    </xf>
    <xf numFmtId="40" fontId="1"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63" fillId="2" borderId="0" xfId="0" applyNumberFormat="1" applyFont="1" applyFill="1" applyAlignment="1" applyProtection="1">
      <alignment horizontal="left"/>
      <protection hidden="1"/>
    </xf>
    <xf numFmtId="49" fontId="7" fillId="2" borderId="24" xfId="0" applyNumberFormat="1" applyFont="1" applyFill="1" applyBorder="1" applyAlignment="1" applyProtection="1">
      <alignment horizontal="right"/>
      <protection hidden="1"/>
    </xf>
    <xf numFmtId="0" fontId="45" fillId="2" borderId="8" xfId="0" applyFont="1" applyFill="1" applyBorder="1" applyProtection="1">
      <protection hidden="1"/>
    </xf>
    <xf numFmtId="0" fontId="92" fillId="2" borderId="0" xfId="0" applyFont="1" applyFill="1" applyAlignment="1" applyProtection="1">
      <alignment horizontal="center"/>
      <protection hidden="1"/>
    </xf>
    <xf numFmtId="49" fontId="25" fillId="2" borderId="8" xfId="0" applyNumberFormat="1" applyFont="1" applyFill="1" applyBorder="1" applyAlignment="1" applyProtection="1">
      <alignment horizontal="right"/>
      <protection hidden="1"/>
    </xf>
    <xf numFmtId="40" fontId="21" fillId="2" borderId="8" xfId="0" applyNumberFormat="1" applyFont="1" applyFill="1" applyBorder="1" applyAlignment="1" applyProtection="1">
      <alignment horizontal="right"/>
      <protection hidden="1"/>
    </xf>
    <xf numFmtId="40" fontId="21" fillId="2" borderId="20" xfId="0" applyNumberFormat="1" applyFont="1" applyFill="1" applyBorder="1" applyAlignment="1" applyProtection="1">
      <alignment horizontal="right"/>
      <protection hidden="1"/>
    </xf>
    <xf numFmtId="49" fontId="7" fillId="2" borderId="6" xfId="0" applyNumberFormat="1" applyFont="1" applyFill="1" applyBorder="1" applyAlignment="1" applyProtection="1">
      <alignment horizontal="right"/>
      <protection hidden="1"/>
    </xf>
    <xf numFmtId="49" fontId="25" fillId="2" borderId="0" xfId="0" applyNumberFormat="1" applyFont="1" applyFill="1" applyAlignment="1" applyProtection="1">
      <alignment horizontal="right"/>
      <protection hidden="1"/>
    </xf>
    <xf numFmtId="40" fontId="21" fillId="2" borderId="21" xfId="0" applyNumberFormat="1" applyFont="1" applyFill="1" applyBorder="1" applyAlignment="1" applyProtection="1">
      <alignment horizontal="right"/>
      <protection hidden="1"/>
    </xf>
    <xf numFmtId="40" fontId="69" fillId="2" borderId="0" xfId="0" applyNumberFormat="1" applyFont="1" applyFill="1" applyAlignment="1" applyProtection="1">
      <alignment horizontal="right"/>
      <protection hidden="1"/>
    </xf>
    <xf numFmtId="0" fontId="5" fillId="2" borderId="21" xfId="0" applyFont="1" applyFill="1" applyBorder="1" applyProtection="1">
      <protection hidden="1"/>
    </xf>
    <xf numFmtId="37" fontId="5" fillId="2" borderId="0" xfId="0" applyNumberFormat="1" applyFont="1" applyFill="1" applyProtection="1">
      <protection hidden="1"/>
    </xf>
    <xf numFmtId="0" fontId="31" fillId="2" borderId="0" xfId="0" applyFont="1" applyFill="1" applyProtection="1">
      <protection hidden="1"/>
    </xf>
    <xf numFmtId="49" fontId="43" fillId="2" borderId="0" xfId="0" applyNumberFormat="1" applyFont="1" applyFill="1" applyAlignment="1" applyProtection="1">
      <alignment horizontal="center"/>
      <protection hidden="1"/>
    </xf>
    <xf numFmtId="3" fontId="5" fillId="2" borderId="21" xfId="0" applyNumberFormat="1" applyFont="1" applyFill="1" applyBorder="1" applyProtection="1">
      <protection hidden="1"/>
    </xf>
    <xf numFmtId="4" fontId="5" fillId="2" borderId="21" xfId="0" applyNumberFormat="1" applyFont="1" applyFill="1" applyBorder="1" applyProtection="1">
      <protection hidden="1"/>
    </xf>
    <xf numFmtId="0" fontId="5" fillId="2" borderId="6" xfId="0" applyFont="1" applyFill="1" applyBorder="1" applyProtection="1">
      <protection hidden="1"/>
    </xf>
    <xf numFmtId="49" fontId="7" fillId="2" borderId="0" xfId="0" quotePrefix="1" applyNumberFormat="1" applyFont="1" applyFill="1" applyAlignment="1" applyProtection="1">
      <alignment horizontal="right"/>
      <protection hidden="1"/>
    </xf>
    <xf numFmtId="0" fontId="7" fillId="2" borderId="21" xfId="0" applyFont="1" applyFill="1" applyBorder="1" applyAlignment="1" applyProtection="1">
      <alignment horizontal="center"/>
      <protection hidden="1"/>
    </xf>
    <xf numFmtId="49" fontId="7" fillId="2" borderId="22" xfId="0" applyNumberFormat="1" applyFont="1" applyFill="1" applyBorder="1" applyAlignment="1" applyProtection="1">
      <alignment horizontal="right"/>
      <protection hidden="1"/>
    </xf>
    <xf numFmtId="4" fontId="48" fillId="2" borderId="23" xfId="0" applyNumberFormat="1" applyFont="1" applyFill="1" applyBorder="1" applyProtection="1">
      <protection hidden="1"/>
    </xf>
    <xf numFmtId="0" fontId="0" fillId="5" borderId="0" xfId="0" applyFill="1" applyAlignment="1" applyProtection="1">
      <alignment horizontal="left" vertical="center"/>
      <protection hidden="1"/>
    </xf>
    <xf numFmtId="49" fontId="7" fillId="5" borderId="0" xfId="0" applyNumberFormat="1" applyFont="1" applyFill="1" applyAlignment="1" applyProtection="1">
      <alignment horizontal="right"/>
      <protection hidden="1"/>
    </xf>
    <xf numFmtId="37" fontId="5" fillId="2" borderId="9" xfId="0" applyNumberFormat="1" applyFont="1" applyFill="1" applyBorder="1" applyProtection="1">
      <protection hidden="1"/>
    </xf>
    <xf numFmtId="40" fontId="76" fillId="2" borderId="0" xfId="0" applyNumberFormat="1" applyFont="1" applyFill="1" applyAlignment="1" applyProtection="1">
      <alignment horizontal="center"/>
      <protection hidden="1"/>
    </xf>
    <xf numFmtId="0" fontId="0" fillId="2" borderId="6" xfId="0" applyFill="1" applyBorder="1" applyAlignment="1" applyProtection="1">
      <alignment horizontal="left" vertical="center"/>
      <protection hidden="1"/>
    </xf>
    <xf numFmtId="3" fontId="19" fillId="3" borderId="0" xfId="0" applyNumberFormat="1" applyFont="1" applyFill="1" applyProtection="1">
      <protection hidden="1"/>
    </xf>
    <xf numFmtId="7" fontId="19" fillId="3" borderId="0" xfId="0" applyNumberFormat="1" applyFont="1" applyFill="1" applyAlignment="1" applyProtection="1">
      <alignment horizontal="left"/>
      <protection hidden="1"/>
    </xf>
    <xf numFmtId="0" fontId="36" fillId="6" borderId="24" xfId="0" applyFont="1" applyFill="1" applyBorder="1" applyAlignment="1" applyProtection="1">
      <alignment horizontal="centerContinuous"/>
      <protection hidden="1"/>
    </xf>
    <xf numFmtId="0" fontId="36" fillId="6" borderId="8" xfId="0" applyFont="1" applyFill="1" applyBorder="1" applyAlignment="1" applyProtection="1">
      <alignment horizontal="centerContinuous"/>
      <protection hidden="1"/>
    </xf>
    <xf numFmtId="0" fontId="36"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75" fillId="0" borderId="0" xfId="2" applyAlignment="1" applyProtection="1"/>
    <xf numFmtId="37" fontId="8" fillId="3" borderId="0" xfId="0" applyNumberFormat="1" applyFont="1" applyFill="1" applyAlignment="1" applyProtection="1">
      <alignment horizontal="right"/>
      <protection hidden="1"/>
    </xf>
    <xf numFmtId="0" fontId="23" fillId="8" borderId="0" xfId="0" applyFont="1" applyFill="1" applyProtection="1">
      <protection hidden="1"/>
    </xf>
    <xf numFmtId="0" fontId="1" fillId="0" borderId="0" xfId="0" applyFont="1" applyAlignment="1">
      <alignment horizontal="center"/>
    </xf>
    <xf numFmtId="0" fontId="1" fillId="3" borderId="5" xfId="0" applyFont="1" applyFill="1" applyBorder="1" applyAlignment="1" applyProtection="1">
      <alignment vertical="center"/>
      <protection hidden="1"/>
    </xf>
    <xf numFmtId="0" fontId="15" fillId="3" borderId="0" xfId="0" applyFont="1" applyFill="1" applyAlignment="1" applyProtection="1">
      <alignment horizontal="center" vertical="center"/>
      <protection locked="0"/>
    </xf>
    <xf numFmtId="4" fontId="15" fillId="3" borderId="0" xfId="0" applyNumberFormat="1" applyFont="1" applyFill="1" applyAlignment="1" applyProtection="1">
      <alignment horizontal="center" vertical="center"/>
      <protection locked="0"/>
    </xf>
    <xf numFmtId="4" fontId="15" fillId="3" borderId="0" xfId="0" applyNumberFormat="1" applyFont="1" applyFill="1" applyProtection="1">
      <protection locked="0"/>
    </xf>
    <xf numFmtId="0" fontId="7" fillId="3" borderId="6" xfId="0" applyFont="1" applyFill="1" applyBorder="1" applyAlignment="1" applyProtection="1">
      <alignment horizontal="right"/>
      <protection hidden="1"/>
    </xf>
    <xf numFmtId="0" fontId="19" fillId="3" borderId="25" xfId="0" applyFont="1" applyFill="1" applyBorder="1" applyAlignment="1" applyProtection="1">
      <alignment horizontal="left"/>
      <protection hidden="1"/>
    </xf>
    <xf numFmtId="164" fontId="4" fillId="3" borderId="3" xfId="0" applyNumberFormat="1" applyFont="1" applyFill="1" applyBorder="1" applyAlignment="1" applyProtection="1">
      <alignment horizontal="right"/>
      <protection hidden="1"/>
    </xf>
    <xf numFmtId="164" fontId="4" fillId="3" borderId="0" xfId="0" applyNumberFormat="1" applyFont="1" applyFill="1" applyAlignment="1" applyProtection="1">
      <alignment horizontal="right"/>
      <protection hidden="1"/>
    </xf>
    <xf numFmtId="164" fontId="4" fillId="3" borderId="3" xfId="0" quotePrefix="1" applyNumberFormat="1" applyFont="1" applyFill="1" applyBorder="1" applyAlignment="1" applyProtection="1">
      <alignment horizontal="right"/>
      <protection hidden="1"/>
    </xf>
    <xf numFmtId="0" fontId="4" fillId="3" borderId="3" xfId="0" quotePrefix="1" applyFont="1" applyFill="1" applyBorder="1" applyAlignment="1" applyProtection="1">
      <alignment horizontal="right"/>
      <protection hidden="1"/>
    </xf>
    <xf numFmtId="0" fontId="1" fillId="3" borderId="3" xfId="0" quotePrefix="1" applyFont="1" applyFill="1" applyBorder="1" applyAlignment="1" applyProtection="1">
      <alignment horizontal="right"/>
      <protection hidden="1"/>
    </xf>
    <xf numFmtId="0" fontId="0" fillId="2" borderId="8" xfId="0" applyFill="1" applyBorder="1" applyAlignment="1" applyProtection="1">
      <alignment wrapText="1"/>
      <protection hidden="1"/>
    </xf>
    <xf numFmtId="164" fontId="25" fillId="2" borderId="8" xfId="0" applyNumberFormat="1" applyFont="1" applyFill="1" applyBorder="1" applyAlignment="1" applyProtection="1">
      <alignment horizontal="center"/>
      <protection hidden="1"/>
    </xf>
    <xf numFmtId="164" fontId="25" fillId="2" borderId="8" xfId="0" applyNumberFormat="1" applyFont="1" applyFill="1" applyBorder="1" applyAlignment="1" applyProtection="1">
      <alignment horizontal="right"/>
      <protection hidden="1"/>
    </xf>
    <xf numFmtId="0" fontId="105" fillId="2" borderId="8" xfId="0" applyFont="1" applyFill="1" applyBorder="1" applyProtection="1">
      <protection hidden="1"/>
    </xf>
    <xf numFmtId="164" fontId="4" fillId="2" borderId="27" xfId="0" applyNumberFormat="1" applyFont="1" applyFill="1" applyBorder="1" applyProtection="1">
      <protection hidden="1"/>
    </xf>
    <xf numFmtId="164" fontId="4" fillId="2" borderId="1" xfId="0" applyNumberFormat="1" applyFont="1" applyFill="1" applyBorder="1" applyAlignment="1" applyProtection="1">
      <alignment vertical="top"/>
      <protection hidden="1"/>
    </xf>
    <xf numFmtId="0" fontId="0" fillId="2" borderId="1" xfId="0" applyFill="1" applyBorder="1" applyAlignment="1" applyProtection="1">
      <alignment wrapText="1"/>
      <protection hidden="1"/>
    </xf>
    <xf numFmtId="0" fontId="105" fillId="2" borderId="1" xfId="0" applyFont="1" applyFill="1" applyBorder="1" applyProtection="1">
      <protection hidden="1"/>
    </xf>
    <xf numFmtId="164" fontId="25" fillId="2" borderId="1" xfId="0" applyNumberFormat="1" applyFont="1" applyFill="1" applyBorder="1" applyAlignment="1" applyProtection="1">
      <alignment horizontal="center"/>
      <protection hidden="1"/>
    </xf>
    <xf numFmtId="164" fontId="25" fillId="2" borderId="1" xfId="0" applyNumberFormat="1" applyFont="1" applyFill="1" applyBorder="1" applyAlignment="1" applyProtection="1">
      <alignment horizontal="right"/>
      <protection hidden="1"/>
    </xf>
    <xf numFmtId="40" fontId="21" fillId="2" borderId="1" xfId="0" applyNumberFormat="1" applyFont="1" applyFill="1" applyBorder="1" applyAlignment="1" applyProtection="1">
      <alignment horizontal="right"/>
      <protection hidden="1"/>
    </xf>
    <xf numFmtId="40" fontId="21" fillId="2" borderId="30"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3" fillId="2" borderId="0" xfId="0" applyNumberFormat="1" applyFont="1" applyFill="1" applyAlignment="1" applyProtection="1">
      <alignment horizontal="right"/>
      <protection hidden="1"/>
    </xf>
    <xf numFmtId="0" fontId="23" fillId="4" borderId="0" xfId="0" applyFont="1" applyFill="1" applyProtection="1">
      <protection locked="0"/>
    </xf>
    <xf numFmtId="3" fontId="0" fillId="2" borderId="1" xfId="0" applyNumberFormat="1" applyFill="1" applyBorder="1" applyProtection="1">
      <protection locked="0"/>
    </xf>
    <xf numFmtId="0" fontId="64" fillId="2" borderId="2" xfId="0" applyFont="1" applyFill="1" applyBorder="1" applyAlignment="1" applyProtection="1">
      <alignment horizontal="center"/>
      <protection locked="0" hidden="1"/>
    </xf>
    <xf numFmtId="0" fontId="31" fillId="3" borderId="0" xfId="0" applyFont="1" applyFill="1" applyAlignment="1" applyProtection="1">
      <alignment horizontal="center"/>
      <protection hidden="1"/>
    </xf>
    <xf numFmtId="0" fontId="31" fillId="3" borderId="0" xfId="0" applyFont="1" applyFill="1" applyAlignment="1" applyProtection="1">
      <alignment horizontal="left"/>
      <protection hidden="1"/>
    </xf>
    <xf numFmtId="0" fontId="13" fillId="2" borderId="0" xfId="0" applyFont="1" applyFill="1" applyAlignment="1" applyProtection="1">
      <alignment horizontal="center" wrapText="1"/>
      <protection locked="0"/>
    </xf>
    <xf numFmtId="0" fontId="6" fillId="3" borderId="25" xfId="0" applyFont="1" applyFill="1" applyBorder="1" applyProtection="1">
      <protection hidden="1"/>
    </xf>
    <xf numFmtId="39" fontId="8" fillId="3" borderId="0" xfId="0" applyNumberFormat="1" applyFont="1" applyFill="1" applyAlignment="1" applyProtection="1">
      <alignment horizontal="left"/>
      <protection hidden="1"/>
    </xf>
    <xf numFmtId="0" fontId="15" fillId="3" borderId="5" xfId="0" applyFont="1" applyFill="1" applyBorder="1" applyAlignment="1" applyProtection="1">
      <alignment horizontal="centerContinuous"/>
      <protection hidden="1"/>
    </xf>
    <xf numFmtId="0" fontId="0" fillId="3" borderId="5" xfId="0" applyFill="1" applyBorder="1" applyAlignment="1" applyProtection="1">
      <alignment horizontal="centerContinuous"/>
      <protection hidden="1"/>
    </xf>
    <xf numFmtId="4" fontId="0" fillId="3" borderId="5" xfId="0" applyNumberFormat="1" applyFill="1" applyBorder="1" applyAlignment="1" applyProtection="1">
      <alignment horizontal="centerContinuous"/>
      <protection hidden="1"/>
    </xf>
    <xf numFmtId="0" fontId="1" fillId="3" borderId="5" xfId="0" applyFont="1" applyFill="1" applyBorder="1" applyAlignment="1" applyProtection="1">
      <alignment horizontal="centerContinuous"/>
      <protection hidden="1"/>
    </xf>
    <xf numFmtId="0" fontId="83" fillId="2" borderId="0" xfId="0" applyFont="1" applyFill="1" applyAlignment="1" applyProtection="1">
      <alignment horizontal="left" vertical="top"/>
      <protection hidden="1"/>
    </xf>
    <xf numFmtId="0" fontId="1" fillId="3" borderId="31" xfId="0" applyFont="1" applyFill="1" applyBorder="1" applyAlignment="1" applyProtection="1">
      <alignment horizontal="right"/>
      <protection hidden="1"/>
    </xf>
    <xf numFmtId="38" fontId="5" fillId="2" borderId="0" xfId="0" applyNumberFormat="1" applyFont="1" applyFill="1" applyProtection="1">
      <protection locked="0"/>
    </xf>
    <xf numFmtId="1" fontId="34" fillId="2" borderId="0" xfId="0" applyNumberFormat="1" applyFont="1" applyFill="1" applyProtection="1">
      <protection locked="0"/>
    </xf>
    <xf numFmtId="164" fontId="4" fillId="2" borderId="6" xfId="0" quotePrefix="1" applyNumberFormat="1" applyFont="1" applyFill="1" applyBorder="1" applyAlignment="1" applyProtection="1">
      <alignment horizontal="right"/>
      <protection hidden="1"/>
    </xf>
    <xf numFmtId="40" fontId="6" fillId="2" borderId="0" xfId="0" applyNumberFormat="1" applyFont="1" applyFill="1" applyProtection="1">
      <protection hidden="1"/>
    </xf>
    <xf numFmtId="164" fontId="19" fillId="2" borderId="0" xfId="0" applyNumberFormat="1" applyFont="1" applyFill="1" applyAlignment="1" applyProtection="1">
      <alignment horizontal="left" vertical="top"/>
      <protection locked="0" hidden="1"/>
    </xf>
    <xf numFmtId="0" fontId="0" fillId="4" borderId="8" xfId="0" applyFill="1" applyBorder="1" applyProtection="1">
      <protection locked="0" hidden="1"/>
    </xf>
    <xf numFmtId="38" fontId="93" fillId="2" borderId="0" xfId="0" applyNumberFormat="1" applyFont="1" applyFill="1" applyAlignment="1" applyProtection="1">
      <alignment horizontal="right"/>
      <protection hidden="1"/>
    </xf>
    <xf numFmtId="40" fontId="60" fillId="2" borderId="0" xfId="0" applyNumberFormat="1" applyFont="1" applyFill="1" applyProtection="1">
      <protection hidden="1"/>
    </xf>
    <xf numFmtId="40" fontId="60" fillId="2" borderId="21" xfId="0" applyNumberFormat="1" applyFont="1" applyFill="1" applyBorder="1" applyProtection="1">
      <protection hidden="1"/>
    </xf>
    <xf numFmtId="40" fontId="60" fillId="5" borderId="0" xfId="0" applyNumberFormat="1" applyFont="1" applyFill="1" applyProtection="1">
      <protection hidden="1"/>
    </xf>
    <xf numFmtId="4" fontId="5"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4" fillId="5" borderId="0" xfId="0" quotePrefix="1" applyFont="1" applyFill="1" applyAlignment="1" applyProtection="1">
      <alignment horizontal="center"/>
      <protection hidden="1"/>
    </xf>
    <xf numFmtId="0" fontId="4" fillId="5" borderId="0" xfId="0" applyFont="1" applyFill="1" applyAlignment="1">
      <alignment horizontal="center"/>
    </xf>
    <xf numFmtId="0" fontId="8" fillId="5" borderId="0" xfId="0" applyFont="1" applyFill="1" applyAlignment="1">
      <alignment horizontal="center"/>
    </xf>
    <xf numFmtId="1" fontId="0" fillId="5" borderId="0" xfId="0" applyNumberFormat="1" applyFill="1" applyProtection="1">
      <protection hidden="1"/>
    </xf>
    <xf numFmtId="1" fontId="4" fillId="2" borderId="0" xfId="0" applyNumberFormat="1" applyFont="1" applyFill="1" applyProtection="1">
      <protection hidden="1"/>
    </xf>
    <xf numFmtId="1" fontId="4" fillId="2" borderId="0" xfId="0" applyNumberFormat="1" applyFont="1" applyFill="1" applyAlignment="1" applyProtection="1">
      <alignment horizontal="right"/>
      <protection hidden="1"/>
    </xf>
    <xf numFmtId="1" fontId="93"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1"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5" fillId="2" borderId="0" xfId="0" applyFont="1" applyFill="1" applyAlignment="1" applyProtection="1">
      <alignment horizontal="left" vertical="center"/>
      <protection hidden="1"/>
    </xf>
    <xf numFmtId="0" fontId="32" fillId="2" borderId="1" xfId="0" applyFont="1" applyFill="1" applyBorder="1" applyProtection="1">
      <protection hidden="1"/>
    </xf>
    <xf numFmtId="0" fontId="1" fillId="3" borderId="0" xfId="0" applyFont="1" applyFill="1" applyProtection="1">
      <protection locked="0"/>
    </xf>
    <xf numFmtId="39" fontId="31" fillId="3" borderId="0" xfId="0" applyNumberFormat="1" applyFont="1" applyFill="1" applyAlignment="1" applyProtection="1">
      <alignment horizontal="center"/>
      <protection hidden="1"/>
    </xf>
    <xf numFmtId="0" fontId="31" fillId="2" borderId="0" xfId="0" applyFont="1" applyFill="1" applyAlignment="1" applyProtection="1">
      <alignment horizontal="center"/>
      <protection hidden="1"/>
    </xf>
    <xf numFmtId="4" fontId="71" fillId="3" borderId="0" xfId="0" applyNumberFormat="1" applyFont="1" applyFill="1" applyAlignment="1" applyProtection="1">
      <alignment horizontal="right"/>
      <protection hidden="1"/>
    </xf>
    <xf numFmtId="39" fontId="31" fillId="3" borderId="6" xfId="0" applyNumberFormat="1" applyFont="1" applyFill="1" applyBorder="1" applyAlignment="1" applyProtection="1">
      <alignment horizontal="right" vertical="center"/>
      <protection hidden="1"/>
    </xf>
    <xf numFmtId="39" fontId="23" fillId="3" borderId="6"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73" fillId="2" borderId="0" xfId="0" applyFont="1" applyFill="1" applyAlignment="1" applyProtection="1">
      <alignment horizontal="center"/>
      <protection hidden="1"/>
    </xf>
    <xf numFmtId="0" fontId="0" fillId="0" borderId="1" xfId="0" applyBorder="1" applyAlignment="1" applyProtection="1">
      <alignment horizontal="center"/>
      <protection hidden="1"/>
    </xf>
    <xf numFmtId="0" fontId="4" fillId="2" borderId="29" xfId="0" applyFont="1" applyFill="1" applyBorder="1" applyAlignment="1" applyProtection="1">
      <alignment horizontal="center"/>
      <protection hidden="1"/>
    </xf>
    <xf numFmtId="0" fontId="64" fillId="2" borderId="1" xfId="0" applyFont="1" applyFill="1" applyBorder="1" applyAlignment="1" applyProtection="1">
      <alignment horizontal="center"/>
      <protection hidden="1"/>
    </xf>
    <xf numFmtId="0" fontId="64" fillId="2" borderId="1" xfId="0" applyFont="1" applyFill="1" applyBorder="1" applyAlignment="1" applyProtection="1">
      <alignment horizontal="left"/>
      <protection hidden="1"/>
    </xf>
    <xf numFmtId="3" fontId="0" fillId="2" borderId="1" xfId="0" applyNumberFormat="1" applyFill="1" applyBorder="1" applyProtection="1">
      <protection hidden="1"/>
    </xf>
    <xf numFmtId="0" fontId="108"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75" fillId="11" borderId="62" xfId="2" applyFill="1" applyBorder="1" applyAlignment="1" applyProtection="1">
      <alignment horizontal="centerContinuous"/>
    </xf>
    <xf numFmtId="0" fontId="75" fillId="11" borderId="63" xfId="2" applyFill="1" applyBorder="1" applyAlignment="1" applyProtection="1">
      <alignment horizontal="centerContinuous"/>
    </xf>
    <xf numFmtId="0" fontId="75" fillId="11" borderId="64" xfId="2" applyFill="1" applyBorder="1" applyAlignment="1" applyProtection="1">
      <alignment horizontal="centerContinuous"/>
    </xf>
    <xf numFmtId="0" fontId="60" fillId="3" borderId="0" xfId="0" applyFont="1" applyFill="1" applyAlignment="1" applyProtection="1">
      <alignment horizontal="center"/>
      <protection hidden="1"/>
    </xf>
    <xf numFmtId="0" fontId="4" fillId="0" borderId="0" xfId="0" applyFont="1" applyAlignment="1">
      <alignment horizontal="left"/>
    </xf>
    <xf numFmtId="0" fontId="100" fillId="0" borderId="0" xfId="0" applyFont="1" applyProtection="1">
      <protection hidden="1"/>
    </xf>
    <xf numFmtId="0" fontId="8" fillId="2" borderId="23" xfId="0" applyFont="1" applyFill="1" applyBorder="1" applyProtection="1">
      <protection hidden="1"/>
    </xf>
    <xf numFmtId="0" fontId="64" fillId="5" borderId="0" xfId="0" applyFont="1" applyFill="1" applyAlignment="1">
      <alignment horizontal="center"/>
    </xf>
    <xf numFmtId="38" fontId="5" fillId="2" borderId="9" xfId="0" applyNumberFormat="1" applyFont="1" applyFill="1" applyBorder="1" applyProtection="1">
      <protection hidden="1"/>
    </xf>
    <xf numFmtId="164" fontId="4" fillId="4" borderId="0" xfId="0" applyNumberFormat="1" applyFont="1" applyFill="1" applyProtection="1">
      <protection locked="0" hidden="1"/>
    </xf>
    <xf numFmtId="40" fontId="13" fillId="4" borderId="0" xfId="0" applyNumberFormat="1" applyFont="1" applyFill="1" applyAlignment="1" applyProtection="1">
      <alignment horizontal="right"/>
      <protection locked="0" hidden="1"/>
    </xf>
    <xf numFmtId="40" fontId="21" fillId="4" borderId="0" xfId="0" applyNumberFormat="1" applyFont="1" applyFill="1" applyAlignment="1" applyProtection="1">
      <alignment horizontal="right"/>
      <protection locked="0" hidden="1"/>
    </xf>
    <xf numFmtId="0" fontId="32" fillId="4" borderId="0" xfId="0" applyFont="1" applyFill="1" applyProtection="1">
      <protection locked="0" hidden="1"/>
    </xf>
    <xf numFmtId="0" fontId="23" fillId="4" borderId="0" xfId="0" applyFont="1" applyFill="1" applyAlignment="1" applyProtection="1">
      <alignment vertical="center"/>
      <protection locked="0"/>
    </xf>
    <xf numFmtId="0" fontId="66" fillId="2" borderId="0" xfId="0" applyFont="1" applyFill="1" applyAlignment="1" applyProtection="1">
      <alignment horizontal="right"/>
      <protection hidden="1"/>
    </xf>
    <xf numFmtId="0" fontId="4" fillId="2" borderId="0" xfId="0" applyFont="1" applyFill="1"/>
    <xf numFmtId="164" fontId="19" fillId="2" borderId="6" xfId="0" applyNumberFormat="1" applyFont="1" applyFill="1" applyBorder="1" applyAlignment="1" applyProtection="1">
      <alignment horizontal="center"/>
      <protection hidden="1"/>
    </xf>
    <xf numFmtId="40" fontId="64" fillId="2" borderId="0" xfId="0" applyNumberFormat="1" applyFont="1" applyFill="1" applyProtection="1">
      <protection hidden="1"/>
    </xf>
    <xf numFmtId="0" fontId="23" fillId="2" borderId="0" xfId="0" applyFont="1" applyFill="1" applyAlignment="1">
      <alignment horizontal="right"/>
    </xf>
    <xf numFmtId="40" fontId="76" fillId="2" borderId="21" xfId="0" applyNumberFormat="1" applyFont="1" applyFill="1" applyBorder="1" applyAlignment="1" applyProtection="1">
      <alignment horizontal="right"/>
      <protection hidden="1"/>
    </xf>
    <xf numFmtId="164" fontId="4" fillId="2" borderId="22" xfId="0" applyNumberFormat="1" applyFont="1" applyFill="1" applyBorder="1" applyAlignment="1" applyProtection="1">
      <alignment horizontal="center"/>
      <protection hidden="1"/>
    </xf>
    <xf numFmtId="0" fontId="1" fillId="2" borderId="5" xfId="0" applyFont="1" applyFill="1" applyBorder="1" applyAlignment="1" applyProtection="1">
      <alignment horizontal="center"/>
      <protection hidden="1"/>
    </xf>
    <xf numFmtId="0" fontId="19" fillId="2" borderId="5" xfId="0" applyFont="1" applyFill="1" applyBorder="1" applyProtection="1">
      <protection hidden="1"/>
    </xf>
    <xf numFmtId="164" fontId="60" fillId="2" borderId="5" xfId="0" applyNumberFormat="1" applyFont="1" applyFill="1" applyBorder="1" applyAlignment="1" applyProtection="1">
      <alignment horizontal="right"/>
      <protection hidden="1"/>
    </xf>
    <xf numFmtId="3" fontId="60" fillId="2" borderId="5" xfId="0" applyNumberFormat="1" applyFont="1" applyFill="1" applyBorder="1" applyProtection="1">
      <protection hidden="1"/>
    </xf>
    <xf numFmtId="3" fontId="23" fillId="2" borderId="5" xfId="0" applyNumberFormat="1" applyFont="1" applyFill="1" applyBorder="1"/>
    <xf numFmtId="38" fontId="0" fillId="2" borderId="23" xfId="0" applyNumberFormat="1" applyFill="1" applyBorder="1" applyAlignment="1" applyProtection="1">
      <alignment horizontal="right"/>
      <protection hidden="1"/>
    </xf>
    <xf numFmtId="164" fontId="4" fillId="13" borderId="6" xfId="0" applyNumberFormat="1" applyFont="1" applyFill="1" applyBorder="1" applyAlignment="1" applyProtection="1">
      <alignment horizontal="center"/>
      <protection hidden="1"/>
    </xf>
    <xf numFmtId="0" fontId="1" fillId="13" borderId="0" xfId="0" applyFont="1" applyFill="1" applyAlignment="1" applyProtection="1">
      <alignment horizontal="center"/>
      <protection hidden="1"/>
    </xf>
    <xf numFmtId="0" fontId="19" fillId="13" borderId="0" xfId="0" applyFont="1" applyFill="1" applyProtection="1">
      <protection hidden="1"/>
    </xf>
    <xf numFmtId="0" fontId="0" fillId="13" borderId="0" xfId="0" applyFill="1" applyProtection="1">
      <protection hidden="1"/>
    </xf>
    <xf numFmtId="164" fontId="60" fillId="13" borderId="0" xfId="0" applyNumberFormat="1" applyFont="1" applyFill="1" applyProtection="1">
      <protection hidden="1"/>
    </xf>
    <xf numFmtId="164" fontId="60" fillId="13" borderId="0" xfId="0" applyNumberFormat="1" applyFont="1" applyFill="1" applyAlignment="1" applyProtection="1">
      <alignment horizontal="right"/>
      <protection hidden="1"/>
    </xf>
    <xf numFmtId="3" fontId="60" fillId="13" borderId="0" xfId="0" applyNumberFormat="1" applyFont="1" applyFill="1" applyProtection="1">
      <protection hidden="1"/>
    </xf>
    <xf numFmtId="3" fontId="23" fillId="13" borderId="0" xfId="0" applyNumberFormat="1" applyFont="1" applyFill="1"/>
    <xf numFmtId="38" fontId="0" fillId="13" borderId="21" xfId="0" applyNumberFormat="1" applyFill="1" applyBorder="1" applyAlignment="1" applyProtection="1">
      <alignment horizontal="right"/>
      <protection hidden="1"/>
    </xf>
    <xf numFmtId="40" fontId="73" fillId="2" borderId="0" xfId="0" applyNumberFormat="1" applyFont="1" applyFill="1" applyAlignment="1" applyProtection="1">
      <alignment horizontal="right"/>
      <protection hidden="1"/>
    </xf>
    <xf numFmtId="40" fontId="26" fillId="2" borderId="0" xfId="0" applyNumberFormat="1" applyFont="1" applyFill="1" applyAlignment="1" applyProtection="1">
      <alignment horizontal="right" vertical="center"/>
      <protection hidden="1"/>
    </xf>
    <xf numFmtId="0" fontId="64" fillId="2" borderId="9" xfId="0" applyFont="1" applyFill="1" applyBorder="1" applyAlignment="1" applyProtection="1">
      <alignment horizontal="left"/>
      <protection hidden="1"/>
    </xf>
    <xf numFmtId="49" fontId="59" fillId="3" borderId="18" xfId="0" applyNumberFormat="1" applyFont="1" applyFill="1" applyBorder="1" applyAlignment="1" applyProtection="1">
      <alignment horizontal="right" vertical="center"/>
      <protection hidden="1"/>
    </xf>
    <xf numFmtId="49" fontId="1" fillId="3" borderId="14" xfId="0" applyNumberFormat="1" applyFont="1" applyFill="1" applyBorder="1" applyAlignment="1" applyProtection="1">
      <alignment horizontal="center"/>
      <protection hidden="1"/>
    </xf>
    <xf numFmtId="4" fontId="5" fillId="3" borderId="1" xfId="0" applyNumberFormat="1" applyFont="1" applyFill="1" applyBorder="1" applyAlignment="1" applyProtection="1">
      <alignment horizontal="right"/>
      <protection hidden="1"/>
    </xf>
    <xf numFmtId="164" fontId="90" fillId="2" borderId="0" xfId="0" applyNumberFormat="1" applyFont="1" applyFill="1" applyProtection="1">
      <protection hidden="1"/>
    </xf>
    <xf numFmtId="38" fontId="109" fillId="2" borderId="21" xfId="0" applyNumberFormat="1" applyFont="1" applyFill="1" applyBorder="1" applyAlignment="1" applyProtection="1">
      <alignment horizontal="right"/>
      <protection hidden="1"/>
    </xf>
    <xf numFmtId="40" fontId="109" fillId="5" borderId="0" xfId="0" applyNumberFormat="1" applyFont="1" applyFill="1" applyProtection="1">
      <protection hidden="1"/>
    </xf>
    <xf numFmtId="0" fontId="109" fillId="2" borderId="0" xfId="0" applyFont="1" applyFill="1" applyProtection="1">
      <protection hidden="1"/>
    </xf>
    <xf numFmtId="40" fontId="109" fillId="2" borderId="21" xfId="0" applyNumberFormat="1" applyFont="1" applyFill="1" applyBorder="1" applyProtection="1">
      <protection hidden="1"/>
    </xf>
    <xf numFmtId="40" fontId="109" fillId="2" borderId="0" xfId="0" applyNumberFormat="1" applyFont="1" applyFill="1" applyProtection="1">
      <protection hidden="1"/>
    </xf>
    <xf numFmtId="4" fontId="6" fillId="3" borderId="1" xfId="0" applyNumberFormat="1" applyFont="1" applyFill="1" applyBorder="1" applyAlignment="1" applyProtection="1">
      <alignment horizontal="right"/>
      <protection hidden="1"/>
    </xf>
    <xf numFmtId="0" fontId="109" fillId="4" borderId="0" xfId="0" applyFont="1" applyFill="1" applyProtection="1">
      <protection locked="0"/>
    </xf>
    <xf numFmtId="0" fontId="109" fillId="4" borderId="0" xfId="0" applyFont="1" applyFill="1" applyAlignment="1" applyProtection="1">
      <alignment vertical="center"/>
      <protection locked="0"/>
    </xf>
    <xf numFmtId="0" fontId="64" fillId="5" borderId="0" xfId="0" applyFont="1" applyFill="1"/>
    <xf numFmtId="0" fontId="19" fillId="2" borderId="8" xfId="0" applyFont="1" applyFill="1" applyBorder="1" applyProtection="1">
      <protection hidden="1"/>
    </xf>
    <xf numFmtId="37" fontId="19" fillId="2" borderId="0" xfId="0" applyNumberFormat="1" applyFont="1" applyFill="1" applyProtection="1">
      <protection hidden="1"/>
    </xf>
    <xf numFmtId="0" fontId="0" fillId="2" borderId="0" xfId="0" quotePrefix="1" applyFill="1" applyProtection="1">
      <protection hidden="1"/>
    </xf>
    <xf numFmtId="37" fontId="23" fillId="2" borderId="0" xfId="0" applyNumberFormat="1" applyFont="1" applyFill="1" applyProtection="1">
      <protection hidden="1"/>
    </xf>
    <xf numFmtId="0" fontId="13" fillId="2" borderId="24" xfId="0" applyFont="1" applyFill="1" applyBorder="1" applyProtection="1">
      <protection hidden="1"/>
    </xf>
    <xf numFmtId="0" fontId="26" fillId="2" borderId="8" xfId="0" applyFont="1" applyFill="1" applyBorder="1" applyProtection="1">
      <protection hidden="1"/>
    </xf>
    <xf numFmtId="0" fontId="23" fillId="2" borderId="0" xfId="0" applyFont="1" applyFill="1" applyAlignment="1" applyProtection="1">
      <alignment horizontal="center"/>
      <protection hidden="1"/>
    </xf>
    <xf numFmtId="3" fontId="9" fillId="3" borderId="9" xfId="0" applyNumberFormat="1" applyFont="1" applyFill="1" applyBorder="1" applyAlignment="1" applyProtection="1">
      <alignment horizontal="center"/>
      <protection hidden="1"/>
    </xf>
    <xf numFmtId="0" fontId="9" fillId="3" borderId="16" xfId="0" applyFont="1" applyFill="1" applyBorder="1" applyAlignment="1" applyProtection="1">
      <alignment horizontal="center"/>
      <protection hidden="1"/>
    </xf>
    <xf numFmtId="4" fontId="15" fillId="3" borderId="0" xfId="0" applyNumberFormat="1" applyFont="1" applyFill="1" applyAlignment="1" applyProtection="1">
      <alignment horizontal="left" vertical="center"/>
      <protection hidden="1"/>
    </xf>
    <xf numFmtId="39" fontId="8" fillId="3" borderId="6" xfId="0" applyNumberFormat="1" applyFont="1" applyFill="1" applyBorder="1" applyAlignment="1" applyProtection="1">
      <alignment horizontal="right"/>
      <protection hidden="1"/>
    </xf>
    <xf numFmtId="0" fontId="110" fillId="0" borderId="0" xfId="0" applyFont="1" applyProtection="1">
      <protection hidden="1"/>
    </xf>
    <xf numFmtId="0" fontId="110" fillId="0" borderId="0" xfId="0" applyFont="1"/>
    <xf numFmtId="0" fontId="0" fillId="2" borderId="9" xfId="0" applyFill="1" applyBorder="1" applyAlignment="1" applyProtection="1">
      <alignment vertical="center"/>
      <protection hidden="1"/>
    </xf>
    <xf numFmtId="0" fontId="4" fillId="2" borderId="16" xfId="0" applyFont="1" applyFill="1" applyBorder="1" applyAlignment="1" applyProtection="1">
      <alignment horizontal="center" vertical="center"/>
      <protection hidden="1"/>
    </xf>
    <xf numFmtId="3" fontId="0" fillId="2" borderId="31" xfId="0" applyNumberFormat="1" applyFill="1" applyBorder="1" applyAlignment="1" applyProtection="1">
      <alignment vertical="center"/>
      <protection hidden="1"/>
    </xf>
    <xf numFmtId="0" fontId="0" fillId="2" borderId="5" xfId="0" applyFill="1" applyBorder="1" applyAlignment="1" applyProtection="1">
      <alignment vertical="center"/>
      <protection hidden="1"/>
    </xf>
    <xf numFmtId="0" fontId="0" fillId="5" borderId="66" xfId="0" applyFill="1" applyBorder="1"/>
    <xf numFmtId="0" fontId="0" fillId="2" borderId="66" xfId="0" applyFill="1" applyBorder="1" applyProtection="1">
      <protection hidden="1"/>
    </xf>
    <xf numFmtId="0" fontId="4" fillId="2" borderId="66" xfId="0" applyFont="1" applyFill="1" applyBorder="1" applyAlignment="1" applyProtection="1">
      <alignment horizontal="center"/>
      <protection hidden="1"/>
    </xf>
    <xf numFmtId="0" fontId="8" fillId="2" borderId="66" xfId="0" applyFont="1" applyFill="1" applyBorder="1" applyAlignment="1" applyProtection="1">
      <alignment horizontal="center"/>
      <protection hidden="1"/>
    </xf>
    <xf numFmtId="0" fontId="0" fillId="5" borderId="66" xfId="0" applyFill="1" applyBorder="1" applyProtection="1">
      <protection hidden="1"/>
    </xf>
    <xf numFmtId="0" fontId="0" fillId="8" borderId="66" xfId="0" applyFill="1" applyBorder="1" applyProtection="1">
      <protection hidden="1"/>
    </xf>
    <xf numFmtId="0" fontId="0" fillId="0" borderId="66" xfId="0" applyBorder="1"/>
    <xf numFmtId="0" fontId="73" fillId="2" borderId="0" xfId="0" applyFont="1" applyFill="1" applyAlignment="1" applyProtection="1">
      <alignment horizontal="center" vertical="center"/>
      <protection hidden="1"/>
    </xf>
    <xf numFmtId="0" fontId="66" fillId="4" borderId="8" xfId="0" applyFont="1" applyFill="1" applyBorder="1" applyAlignment="1" applyProtection="1">
      <alignment horizontal="right"/>
      <protection locked="0" hidden="1"/>
    </xf>
    <xf numFmtId="164" fontId="19" fillId="2" borderId="0" xfId="0" applyNumberFormat="1" applyFont="1" applyFill="1" applyAlignment="1" applyProtection="1">
      <alignment horizontal="left" vertical="center"/>
      <protection hidden="1"/>
    </xf>
    <xf numFmtId="0" fontId="66" fillId="4" borderId="0" xfId="0" applyFont="1" applyFill="1" applyAlignment="1" applyProtection="1">
      <alignment horizontal="right"/>
      <protection locked="0" hidden="1"/>
    </xf>
    <xf numFmtId="0" fontId="93" fillId="2" borderId="0" xfId="0" applyFont="1" applyFill="1" applyProtection="1">
      <protection hidden="1"/>
    </xf>
    <xf numFmtId="49" fontId="7" fillId="2" borderId="6" xfId="0" applyNumberFormat="1" applyFont="1" applyFill="1" applyBorder="1" applyAlignment="1" applyProtection="1">
      <alignment horizontal="left" vertical="center"/>
      <protection hidden="1"/>
    </xf>
    <xf numFmtId="0" fontId="0" fillId="2" borderId="21" xfId="0" applyFill="1" applyBorder="1" applyAlignment="1" applyProtection="1">
      <alignment horizontal="left" vertical="center"/>
      <protection hidden="1"/>
    </xf>
    <xf numFmtId="49" fontId="41" fillId="2" borderId="0" xfId="0" quotePrefix="1" applyNumberFormat="1" applyFont="1" applyFill="1" applyAlignment="1" applyProtection="1">
      <alignment horizontal="left"/>
      <protection hidden="1"/>
    </xf>
    <xf numFmtId="40" fontId="73" fillId="2" borderId="0" xfId="0" applyNumberFormat="1" applyFont="1" applyFill="1" applyAlignment="1" applyProtection="1">
      <alignment horizontal="center"/>
      <protection hidden="1"/>
    </xf>
    <xf numFmtId="0" fontId="22" fillId="2" borderId="5" xfId="0" applyFont="1" applyFill="1" applyBorder="1" applyAlignment="1" applyProtection="1">
      <alignment horizontal="left" vertical="center"/>
      <protection hidden="1"/>
    </xf>
    <xf numFmtId="0" fontId="4" fillId="2" borderId="5" xfId="0" applyFont="1" applyFill="1" applyBorder="1" applyAlignment="1" applyProtection="1">
      <alignment horizontal="right" wrapText="1"/>
      <protection hidden="1"/>
    </xf>
    <xf numFmtId="0" fontId="4" fillId="2" borderId="0" xfId="0" applyFont="1" applyFill="1" applyAlignment="1" applyProtection="1">
      <alignment horizontal="right" wrapText="1"/>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4" fillId="2" borderId="8" xfId="0" applyFont="1" applyFill="1" applyBorder="1" applyProtection="1">
      <protection hidden="1"/>
    </xf>
    <xf numFmtId="0" fontId="14" fillId="2" borderId="8" xfId="0" applyFont="1" applyFill="1" applyBorder="1" applyAlignment="1" applyProtection="1">
      <alignment horizontal="right"/>
      <protection hidden="1"/>
    </xf>
    <xf numFmtId="0" fontId="13" fillId="2" borderId="5" xfId="0" applyFont="1" applyFill="1" applyBorder="1" applyProtection="1">
      <protection hidden="1"/>
    </xf>
    <xf numFmtId="0" fontId="13" fillId="2" borderId="5" xfId="0" applyFont="1" applyFill="1" applyBorder="1" applyAlignment="1" applyProtection="1">
      <alignment horizontal="right"/>
      <protection hidden="1"/>
    </xf>
    <xf numFmtId="0" fontId="4" fillId="2" borderId="6" xfId="0" applyFont="1" applyFill="1" applyBorder="1" applyAlignment="1" applyProtection="1">
      <alignment horizontal="right" vertical="top"/>
      <protection hidden="1"/>
    </xf>
    <xf numFmtId="0" fontId="0" fillId="2" borderId="1" xfId="0" applyFill="1" applyBorder="1" applyAlignment="1" applyProtection="1">
      <alignment vertical="top" wrapText="1"/>
      <protection hidden="1"/>
    </xf>
    <xf numFmtId="3" fontId="0" fillId="2" borderId="13" xfId="0" applyNumberFormat="1" applyFill="1" applyBorder="1" applyProtection="1">
      <protection locked="0"/>
    </xf>
    <xf numFmtId="0" fontId="0" fillId="2" borderId="21"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64" fillId="2" borderId="0" xfId="0" applyNumberFormat="1" applyFont="1" applyFill="1" applyProtection="1">
      <protection hidden="1"/>
    </xf>
    <xf numFmtId="40" fontId="109" fillId="2" borderId="0" xfId="0" applyNumberFormat="1" applyFont="1" applyFill="1" applyAlignment="1" applyProtection="1">
      <alignment horizontal="right"/>
      <protection hidden="1"/>
    </xf>
    <xf numFmtId="0" fontId="0" fillId="5" borderId="0" xfId="0" applyFill="1" applyAlignment="1">
      <alignment horizontal="centerContinuous"/>
    </xf>
    <xf numFmtId="0" fontId="64" fillId="5" borderId="0" xfId="0" applyFont="1" applyFill="1" applyAlignment="1">
      <alignment horizontal="centerContinuous"/>
    </xf>
    <xf numFmtId="0" fontId="74" fillId="5" borderId="0" xfId="0" applyFont="1" applyFill="1" applyAlignment="1" applyProtection="1">
      <alignment horizontal="centerContinuous"/>
      <protection hidden="1"/>
    </xf>
    <xf numFmtId="0" fontId="64" fillId="5" borderId="0" xfId="0" applyFont="1" applyFill="1" applyAlignment="1" applyProtection="1">
      <alignment vertical="center"/>
      <protection hidden="1"/>
    </xf>
    <xf numFmtId="0" fontId="0" fillId="2" borderId="23" xfId="0" applyFill="1" applyBorder="1" applyAlignment="1" applyProtection="1">
      <alignment vertical="top"/>
      <protection hidden="1"/>
    </xf>
    <xf numFmtId="0" fontId="4" fillId="2" borderId="5" xfId="0" applyFont="1" applyFill="1" applyBorder="1" applyAlignment="1" applyProtection="1">
      <alignment horizontal="center" wrapText="1"/>
      <protection hidden="1"/>
    </xf>
    <xf numFmtId="0" fontId="19" fillId="5" borderId="0" xfId="0" applyFont="1" applyFill="1" applyAlignment="1" applyProtection="1">
      <alignment horizontal="left"/>
      <protection hidden="1"/>
    </xf>
    <xf numFmtId="0" fontId="64" fillId="8" borderId="0" xfId="0" applyFont="1" applyFill="1" applyAlignment="1" applyProtection="1">
      <alignment horizontal="center"/>
      <protection hidden="1"/>
    </xf>
    <xf numFmtId="0" fontId="13" fillId="2" borderId="8" xfId="0" applyFont="1" applyFill="1" applyBorder="1" applyProtection="1">
      <protection hidden="1"/>
    </xf>
    <xf numFmtId="0" fontId="19" fillId="2" borderId="0" xfId="0" quotePrefix="1" applyFont="1" applyFill="1" applyAlignment="1" applyProtection="1">
      <alignment horizontal="right"/>
      <protection hidden="1"/>
    </xf>
    <xf numFmtId="0" fontId="4" fillId="2" borderId="6" xfId="0" applyFont="1" applyFill="1" applyBorder="1" applyProtection="1">
      <protection hidden="1"/>
    </xf>
    <xf numFmtId="0" fontId="4" fillId="2" borderId="6" xfId="0" quotePrefix="1" applyFont="1" applyFill="1" applyBorder="1" applyAlignment="1" applyProtection="1">
      <alignment horizontal="right"/>
      <protection hidden="1"/>
    </xf>
    <xf numFmtId="0" fontId="60" fillId="2" borderId="6" xfId="0" applyFont="1" applyFill="1" applyBorder="1" applyProtection="1">
      <protection hidden="1"/>
    </xf>
    <xf numFmtId="0" fontId="0" fillId="0" borderId="8"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1"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5" fillId="2" borderId="2" xfId="0" applyNumberFormat="1" applyFont="1" applyFill="1" applyBorder="1" applyAlignment="1" applyProtection="1">
      <alignment horizontal="center"/>
      <protection locked="0"/>
    </xf>
    <xf numFmtId="3" fontId="73" fillId="0" borderId="0" xfId="0" applyNumberFormat="1" applyFont="1" applyAlignment="1">
      <alignment horizontal="right"/>
    </xf>
    <xf numFmtId="3" fontId="5" fillId="0" borderId="0" xfId="0" applyNumberFormat="1" applyFont="1"/>
    <xf numFmtId="0" fontId="52" fillId="2" borderId="0" xfId="0" applyFont="1" applyFill="1" applyProtection="1">
      <protection hidden="1"/>
    </xf>
    <xf numFmtId="0" fontId="15" fillId="3" borderId="0" xfId="0" applyFont="1" applyFill="1" applyAlignment="1" applyProtection="1">
      <alignment horizontal="right"/>
      <protection hidden="1"/>
    </xf>
    <xf numFmtId="0" fontId="6" fillId="3" borderId="0" xfId="0" applyFont="1" applyFill="1" applyAlignment="1" applyProtection="1">
      <alignment horizontal="center" vertical="top"/>
      <protection hidden="1"/>
    </xf>
    <xf numFmtId="0" fontId="15" fillId="0" borderId="0" xfId="0" applyFont="1" applyAlignment="1" applyProtection="1">
      <alignment horizontal="center"/>
      <protection hidden="1"/>
    </xf>
    <xf numFmtId="0" fontId="53" fillId="0" borderId="0" xfId="0" applyFont="1" applyAlignment="1" applyProtection="1">
      <alignment horizontal="center"/>
      <protection hidden="1"/>
    </xf>
    <xf numFmtId="0" fontId="31" fillId="0" borderId="0" xfId="0" applyFont="1"/>
    <xf numFmtId="38" fontId="100" fillId="2" borderId="0" xfId="0" applyNumberFormat="1" applyFont="1" applyFill="1" applyProtection="1">
      <protection hidden="1"/>
    </xf>
    <xf numFmtId="3" fontId="23" fillId="0" borderId="0" xfId="0" applyNumberFormat="1" applyFont="1" applyAlignment="1" applyProtection="1">
      <alignment horizontal="center"/>
      <protection hidden="1"/>
    </xf>
    <xf numFmtId="0" fontId="5" fillId="3" borderId="26" xfId="0" applyFont="1" applyFill="1" applyBorder="1" applyProtection="1">
      <protection hidden="1"/>
    </xf>
    <xf numFmtId="0" fontId="8" fillId="2" borderId="9" xfId="0" applyFont="1" applyFill="1" applyBorder="1" applyAlignment="1" applyProtection="1">
      <alignment horizontal="right" vertical="center"/>
      <protection hidden="1"/>
    </xf>
    <xf numFmtId="0" fontId="5" fillId="3" borderId="5" xfId="0" applyFont="1" applyFill="1" applyBorder="1" applyAlignment="1" applyProtection="1">
      <alignment vertical="top"/>
      <protection hidden="1"/>
    </xf>
    <xf numFmtId="0" fontId="10" fillId="2" borderId="6" xfId="0" applyFont="1" applyFill="1" applyBorder="1" applyProtection="1">
      <protection hidden="1"/>
    </xf>
    <xf numFmtId="0" fontId="3" fillId="0" borderId="0" xfId="0" applyFont="1" applyProtection="1">
      <protection hidden="1"/>
    </xf>
    <xf numFmtId="0" fontId="3" fillId="0" borderId="0" xfId="0" quotePrefix="1" applyFont="1" applyAlignment="1" applyProtection="1">
      <alignment horizontal="center"/>
      <protection hidden="1"/>
    </xf>
    <xf numFmtId="0" fontId="6" fillId="3" borderId="72" xfId="0" applyFont="1" applyFill="1" applyBorder="1" applyProtection="1">
      <protection hidden="1"/>
    </xf>
    <xf numFmtId="49" fontId="59" fillId="3" borderId="73" xfId="0" applyNumberFormat="1" applyFont="1" applyFill="1" applyBorder="1" applyAlignment="1" applyProtection="1">
      <alignment horizontal="right" vertical="center"/>
      <protection hidden="1"/>
    </xf>
    <xf numFmtId="39" fontId="5" fillId="3" borderId="0" xfId="0" applyNumberFormat="1" applyFont="1" applyFill="1" applyProtection="1">
      <protection hidden="1"/>
    </xf>
    <xf numFmtId="3" fontId="4" fillId="2" borderId="0" xfId="0" applyNumberFormat="1" applyFont="1" applyFill="1" applyAlignment="1" applyProtection="1">
      <alignment horizontal="right" vertical="center"/>
      <protection locked="0"/>
    </xf>
    <xf numFmtId="0" fontId="0" fillId="8" borderId="3" xfId="0" applyFill="1" applyBorder="1" applyProtection="1">
      <protection hidden="1"/>
    </xf>
    <xf numFmtId="0" fontId="4" fillId="3" borderId="13" xfId="0" applyFont="1" applyFill="1" applyBorder="1" applyAlignment="1" applyProtection="1">
      <alignment horizontal="center" vertical="center"/>
      <protection hidden="1"/>
    </xf>
    <xf numFmtId="0" fontId="3" fillId="3" borderId="0" xfId="0" applyFont="1" applyFill="1" applyAlignment="1" applyProtection="1">
      <alignment vertical="top"/>
      <protection hidden="1"/>
    </xf>
    <xf numFmtId="0" fontId="111" fillId="2" borderId="0" xfId="0" applyFont="1" applyFill="1" applyAlignment="1" applyProtection="1">
      <alignment horizontal="left"/>
      <protection hidden="1"/>
    </xf>
    <xf numFmtId="0" fontId="3" fillId="2" borderId="0" xfId="0" applyFont="1" applyFill="1" applyAlignment="1" applyProtection="1">
      <alignment vertical="center"/>
      <protection hidden="1"/>
    </xf>
    <xf numFmtId="0" fontId="40" fillId="2" borderId="0" xfId="0" applyFont="1" applyFill="1" applyAlignment="1" applyProtection="1">
      <alignment horizontal="center" vertical="center"/>
      <protection hidden="1"/>
    </xf>
    <xf numFmtId="0" fontId="0" fillId="13" borderId="26" xfId="0" applyFill="1" applyBorder="1" applyProtection="1">
      <protection hidden="1"/>
    </xf>
    <xf numFmtId="0" fontId="85" fillId="13" borderId="26" xfId="0" applyFont="1" applyFill="1" applyBorder="1" applyAlignment="1" applyProtection="1">
      <alignment horizontal="center" vertical="center"/>
      <protection hidden="1"/>
    </xf>
    <xf numFmtId="0" fontId="4" fillId="13" borderId="26" xfId="0" applyFont="1" applyFill="1" applyBorder="1" applyProtection="1">
      <protection hidden="1"/>
    </xf>
    <xf numFmtId="0" fontId="13" fillId="2" borderId="26" xfId="0" applyFont="1" applyFill="1" applyBorder="1" applyAlignment="1" applyProtection="1">
      <alignment vertical="center"/>
      <protection hidden="1"/>
    </xf>
    <xf numFmtId="0" fontId="0" fillId="2" borderId="26" xfId="0" applyFill="1" applyBorder="1" applyProtection="1">
      <protection hidden="1"/>
    </xf>
    <xf numFmtId="0" fontId="4" fillId="2" borderId="16" xfId="0" applyFont="1" applyFill="1" applyBorder="1" applyAlignment="1" applyProtection="1">
      <alignment horizontal="center"/>
      <protection hidden="1"/>
    </xf>
    <xf numFmtId="0" fontId="3" fillId="2" borderId="0" xfId="0" applyFont="1" applyFill="1" applyAlignment="1" applyProtection="1">
      <alignment vertical="top"/>
      <protection hidden="1"/>
    </xf>
    <xf numFmtId="0" fontId="112" fillId="2" borderId="0" xfId="0" applyFont="1" applyFill="1" applyProtection="1">
      <protection hidden="1"/>
    </xf>
    <xf numFmtId="0" fontId="23" fillId="2" borderId="0" xfId="0" applyFont="1" applyFill="1" applyAlignment="1" applyProtection="1">
      <alignment vertical="center"/>
      <protection hidden="1"/>
    </xf>
    <xf numFmtId="164" fontId="3" fillId="2" borderId="8" xfId="0" applyNumberFormat="1" applyFont="1" applyFill="1" applyBorder="1" applyProtection="1">
      <protection hidden="1"/>
    </xf>
    <xf numFmtId="0" fontId="112" fillId="2" borderId="6" xfId="0" applyFont="1" applyFill="1" applyBorder="1" applyAlignment="1" applyProtection="1">
      <alignment horizontal="center"/>
      <protection hidden="1"/>
    </xf>
    <xf numFmtId="0" fontId="3" fillId="5" borderId="0" xfId="0" applyFont="1" applyFill="1" applyProtection="1">
      <protection hidden="1"/>
    </xf>
    <xf numFmtId="0" fontId="5" fillId="3" borderId="0" xfId="0" applyFont="1" applyFill="1" applyAlignment="1" applyProtection="1">
      <alignment horizontal="left" vertical="top"/>
      <protection hidden="1"/>
    </xf>
    <xf numFmtId="1" fontId="5" fillId="3" borderId="8" xfId="0" applyNumberFormat="1" applyFont="1" applyFill="1" applyBorder="1" applyAlignment="1" applyProtection="1">
      <alignment horizontal="left"/>
      <protection hidden="1"/>
    </xf>
    <xf numFmtId="0" fontId="5" fillId="2" borderId="27" xfId="0" applyFont="1" applyFill="1" applyBorder="1" applyProtection="1">
      <protection hidden="1"/>
    </xf>
    <xf numFmtId="40" fontId="19" fillId="2" borderId="1" xfId="0" applyNumberFormat="1" applyFont="1" applyFill="1" applyBorder="1" applyProtection="1">
      <protection hidden="1"/>
    </xf>
    <xf numFmtId="40" fontId="19" fillId="2" borderId="30" xfId="0" applyNumberFormat="1" applyFont="1" applyFill="1" applyBorder="1" applyProtection="1">
      <protection hidden="1"/>
    </xf>
    <xf numFmtId="38" fontId="7" fillId="2" borderId="0" xfId="0" applyNumberFormat="1" applyFont="1" applyFill="1" applyAlignment="1" applyProtection="1">
      <alignment horizontal="left" vertical="center"/>
      <protection hidden="1"/>
    </xf>
    <xf numFmtId="40" fontId="78" fillId="2" borderId="21" xfId="0" applyNumberFormat="1" applyFont="1" applyFill="1" applyBorder="1" applyAlignment="1" applyProtection="1">
      <alignment horizontal="left" vertical="center"/>
      <protection hidden="1"/>
    </xf>
    <xf numFmtId="0" fontId="32" fillId="4" borderId="0" xfId="0" applyFont="1" applyFill="1" applyProtection="1">
      <protection hidden="1"/>
    </xf>
    <xf numFmtId="164" fontId="3" fillId="2" borderId="8" xfId="0" applyNumberFormat="1" applyFont="1" applyFill="1" applyBorder="1" applyAlignment="1" applyProtection="1">
      <alignment horizontal="left" vertical="center"/>
      <protection hidden="1"/>
    </xf>
    <xf numFmtId="0" fontId="23" fillId="4" borderId="0" xfId="0" applyFont="1" applyFill="1" applyAlignment="1" applyProtection="1">
      <alignment horizontal="center"/>
      <protection hidden="1"/>
    </xf>
    <xf numFmtId="0" fontId="3" fillId="2" borderId="8" xfId="0" applyFont="1" applyFill="1" applyBorder="1" applyProtection="1">
      <protection hidden="1"/>
    </xf>
    <xf numFmtId="0" fontId="4" fillId="2" borderId="0" xfId="0" applyFont="1" applyFill="1" applyAlignment="1" applyProtection="1">
      <alignment wrapText="1"/>
      <protection hidden="1"/>
    </xf>
    <xf numFmtId="0" fontId="3" fillId="2" borderId="0" xfId="0" quotePrefix="1" applyFont="1" applyFill="1" applyAlignment="1">
      <alignment horizontal="right"/>
    </xf>
    <xf numFmtId="3" fontId="113" fillId="2" borderId="0" xfId="0" applyNumberFormat="1" applyFont="1" applyFill="1" applyAlignment="1" applyProtection="1">
      <alignment horizontal="left"/>
      <protection hidden="1"/>
    </xf>
    <xf numFmtId="0" fontId="3" fillId="5" borderId="0" xfId="0" applyFont="1" applyFill="1" applyAlignment="1" applyProtection="1">
      <alignment horizontal="center"/>
      <protection hidden="1"/>
    </xf>
    <xf numFmtId="0" fontId="118" fillId="5" borderId="0" xfId="0" applyFont="1" applyFill="1" applyProtection="1">
      <protection hidden="1"/>
    </xf>
    <xf numFmtId="0" fontId="3" fillId="3" borderId="0" xfId="0" applyFont="1" applyFill="1" applyProtection="1">
      <protection hidden="1"/>
    </xf>
    <xf numFmtId="0" fontId="119" fillId="3" borderId="26" xfId="0" applyFont="1" applyFill="1" applyBorder="1" applyAlignment="1" applyProtection="1">
      <alignment horizontal="center"/>
      <protection hidden="1"/>
    </xf>
    <xf numFmtId="0" fontId="6" fillId="3" borderId="26" xfId="0" applyFont="1" applyFill="1" applyBorder="1" applyAlignment="1" applyProtection="1">
      <alignment horizontal="right"/>
      <protection hidden="1"/>
    </xf>
    <xf numFmtId="0" fontId="15" fillId="2" borderId="0" xfId="0" applyFont="1" applyFill="1" applyAlignment="1" applyProtection="1">
      <alignment horizontal="center" vertical="center" wrapText="1"/>
      <protection hidden="1"/>
    </xf>
    <xf numFmtId="0" fontId="49" fillId="2" borderId="9" xfId="0" applyFont="1" applyFill="1" applyBorder="1" applyAlignment="1" applyProtection="1">
      <alignment vertical="center"/>
      <protection hidden="1"/>
    </xf>
    <xf numFmtId="0" fontId="15" fillId="2" borderId="9" xfId="0" applyFont="1" applyFill="1" applyBorder="1" applyAlignment="1">
      <alignment horizontal="center" wrapText="1"/>
    </xf>
    <xf numFmtId="0" fontId="0" fillId="2" borderId="9" xfId="0" applyFill="1" applyBorder="1" applyAlignment="1">
      <alignment horizontal="center" wrapText="1"/>
    </xf>
    <xf numFmtId="0" fontId="114" fillId="0" borderId="0" xfId="0" applyFont="1" applyProtection="1">
      <protection hidden="1"/>
    </xf>
    <xf numFmtId="0" fontId="4" fillId="2" borderId="3" xfId="0" applyFont="1" applyFill="1" applyBorder="1" applyProtection="1">
      <protection hidden="1"/>
    </xf>
    <xf numFmtId="14" fontId="8" fillId="2" borderId="9" xfId="0" applyNumberFormat="1" applyFont="1" applyFill="1" applyBorder="1" applyProtection="1">
      <protection hidden="1"/>
    </xf>
    <xf numFmtId="0" fontId="4" fillId="2" borderId="0" xfId="0" quotePrefix="1" applyFont="1" applyFill="1" applyAlignment="1" applyProtection="1">
      <alignment horizontal="right"/>
      <protection hidden="1"/>
    </xf>
    <xf numFmtId="6" fontId="120" fillId="2" borderId="3" xfId="0" applyNumberFormat="1" applyFont="1" applyFill="1" applyBorder="1" applyAlignment="1" applyProtection="1">
      <alignment horizontal="center" vertical="center"/>
      <protection hidden="1"/>
    </xf>
    <xf numFmtId="0" fontId="3" fillId="2" borderId="0" xfId="0" applyFont="1" applyFill="1" applyAlignment="1" applyProtection="1">
      <alignment horizontal="right"/>
      <protection hidden="1"/>
    </xf>
    <xf numFmtId="3" fontId="3" fillId="2" borderId="0" xfId="0" applyNumberFormat="1" applyFont="1" applyFill="1" applyProtection="1">
      <protection hidden="1"/>
    </xf>
    <xf numFmtId="3" fontId="4" fillId="2" borderId="0" xfId="0" applyNumberFormat="1" applyFont="1" applyFill="1" applyAlignment="1" applyProtection="1">
      <alignment horizontal="right"/>
      <protection hidden="1"/>
    </xf>
    <xf numFmtId="0" fontId="41" fillId="2" borderId="6" xfId="0" quotePrefix="1" applyFont="1" applyFill="1" applyBorder="1" applyAlignment="1" applyProtection="1">
      <alignment horizontal="left"/>
      <protection hidden="1"/>
    </xf>
    <xf numFmtId="0" fontId="41" fillId="2" borderId="6" xfId="0" quotePrefix="1" applyFont="1" applyFill="1" applyBorder="1" applyAlignment="1" applyProtection="1">
      <alignment horizontal="left" vertical="center"/>
      <protection hidden="1"/>
    </xf>
    <xf numFmtId="0" fontId="4" fillId="2" borderId="68" xfId="0" applyFont="1" applyFill="1" applyBorder="1" applyProtection="1">
      <protection hidden="1"/>
    </xf>
    <xf numFmtId="0" fontId="3" fillId="2" borderId="26" xfId="0" applyFont="1" applyFill="1" applyBorder="1" applyProtection="1">
      <protection hidden="1"/>
    </xf>
    <xf numFmtId="0" fontId="19" fillId="2" borderId="26" xfId="0" applyFont="1" applyFill="1" applyBorder="1" applyProtection="1">
      <protection hidden="1"/>
    </xf>
    <xf numFmtId="0" fontId="64" fillId="2" borderId="26" xfId="0" applyFont="1" applyFill="1" applyBorder="1" applyProtection="1">
      <protection hidden="1"/>
    </xf>
    <xf numFmtId="0" fontId="4" fillId="2" borderId="26" xfId="0" applyFont="1" applyFill="1" applyBorder="1" applyAlignment="1" applyProtection="1">
      <alignment horizontal="center"/>
      <protection hidden="1"/>
    </xf>
    <xf numFmtId="0" fontId="23" fillId="2" borderId="26" xfId="0" applyFont="1" applyFill="1" applyBorder="1" applyProtection="1">
      <protection hidden="1"/>
    </xf>
    <xf numFmtId="0" fontId="0" fillId="2" borderId="69" xfId="0" applyFill="1" applyBorder="1" applyProtection="1">
      <protection hidden="1"/>
    </xf>
    <xf numFmtId="0" fontId="3" fillId="2" borderId="26" xfId="0" applyFont="1" applyFill="1" applyBorder="1" applyAlignment="1" applyProtection="1">
      <alignment horizontal="left" vertical="center"/>
      <protection hidden="1"/>
    </xf>
    <xf numFmtId="0" fontId="26" fillId="2" borderId="0" xfId="0" applyFont="1" applyFill="1" applyAlignment="1" applyProtection="1">
      <alignment horizontal="center" vertical="center"/>
      <protection hidden="1"/>
    </xf>
    <xf numFmtId="37" fontId="121" fillId="2" borderId="0" xfId="0" applyNumberFormat="1" applyFont="1" applyFill="1" applyAlignment="1" applyProtection="1">
      <alignment horizontal="right"/>
      <protection hidden="1"/>
    </xf>
    <xf numFmtId="3" fontId="121" fillId="2" borderId="0" xfId="0" applyNumberFormat="1" applyFont="1" applyFill="1" applyProtection="1">
      <protection hidden="1"/>
    </xf>
    <xf numFmtId="0" fontId="121" fillId="2" borderId="0" xfId="0" applyFont="1" applyFill="1" applyProtection="1">
      <protection hidden="1"/>
    </xf>
    <xf numFmtId="0" fontId="1" fillId="2" borderId="0" xfId="0" applyFont="1" applyFill="1"/>
    <xf numFmtId="4" fontId="5" fillId="2" borderId="0" xfId="0" applyNumberFormat="1" applyFont="1" applyFill="1"/>
    <xf numFmtId="0" fontId="1" fillId="2" borderId="0" xfId="0" applyFont="1" applyFill="1" applyAlignment="1">
      <alignment horizontal="center"/>
    </xf>
    <xf numFmtId="4" fontId="11" fillId="2" borderId="0" xfId="0" applyNumberFormat="1" applyFont="1" applyFill="1" applyAlignment="1">
      <alignment horizontal="right"/>
    </xf>
    <xf numFmtId="0" fontId="8" fillId="2" borderId="0" xfId="0" applyFont="1" applyFill="1"/>
    <xf numFmtId="4" fontId="6" fillId="3" borderId="23" xfId="0" applyNumberFormat="1" applyFont="1" applyFill="1" applyBorder="1" applyAlignment="1" applyProtection="1">
      <alignment horizontal="right"/>
      <protection hidden="1"/>
    </xf>
    <xf numFmtId="0" fontId="11" fillId="2" borderId="0" xfId="0" applyFont="1" applyFill="1"/>
    <xf numFmtId="0" fontId="17" fillId="2" borderId="5"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8" fillId="3" borderId="0" xfId="0" applyFont="1" applyFill="1" applyAlignment="1" applyProtection="1">
      <alignment vertical="top"/>
      <protection hidden="1"/>
    </xf>
    <xf numFmtId="0" fontId="11" fillId="3" borderId="8" xfId="0" applyFont="1" applyFill="1" applyBorder="1" applyAlignment="1" applyProtection="1">
      <alignment horizontal="right"/>
      <protection hidden="1"/>
    </xf>
    <xf numFmtId="0" fontId="6" fillId="3" borderId="32" xfId="0" applyFont="1" applyFill="1" applyBorder="1" applyAlignment="1" applyProtection="1">
      <alignment horizontal="right"/>
      <protection hidden="1"/>
    </xf>
    <xf numFmtId="0" fontId="5" fillId="3" borderId="32" xfId="0" applyFont="1" applyFill="1" applyBorder="1" applyProtection="1">
      <protection hidden="1"/>
    </xf>
    <xf numFmtId="0" fontId="8" fillId="3" borderId="32" xfId="0" applyFont="1" applyFill="1" applyBorder="1" applyProtection="1">
      <protection hidden="1"/>
    </xf>
    <xf numFmtId="0" fontId="1" fillId="3" borderId="32" xfId="0" applyFont="1" applyFill="1" applyBorder="1" applyAlignment="1" applyProtection="1">
      <alignment horizontal="center"/>
      <protection hidden="1"/>
    </xf>
    <xf numFmtId="4" fontId="0" fillId="3" borderId="32" xfId="0" applyNumberFormat="1" applyFill="1" applyBorder="1" applyProtection="1">
      <protection hidden="1"/>
    </xf>
    <xf numFmtId="0" fontId="17" fillId="3" borderId="8" xfId="0" applyFont="1" applyFill="1" applyBorder="1" applyAlignment="1" applyProtection="1">
      <alignment horizontal="right"/>
      <protection hidden="1"/>
    </xf>
    <xf numFmtId="0" fontId="9" fillId="3" borderId="0" xfId="0" quotePrefix="1" applyFont="1" applyFill="1" applyAlignment="1" applyProtection="1">
      <alignment horizontal="left"/>
      <protection hidden="1"/>
    </xf>
    <xf numFmtId="39" fontId="15" fillId="3" borderId="0" xfId="0" applyNumberFormat="1" applyFont="1" applyFill="1" applyAlignment="1" applyProtection="1">
      <alignment horizontal="left"/>
      <protection locked="0"/>
    </xf>
    <xf numFmtId="0" fontId="0" fillId="0" borderId="0" xfId="0" applyAlignment="1" applyProtection="1">
      <alignment horizontal="left"/>
      <protection locked="0"/>
    </xf>
    <xf numFmtId="0" fontId="0" fillId="3" borderId="6" xfId="0" applyFill="1" applyBorder="1" applyProtection="1">
      <protection hidden="1"/>
    </xf>
    <xf numFmtId="0" fontId="0" fillId="3" borderId="32" xfId="0" applyFill="1" applyBorder="1" applyProtection="1">
      <protection hidden="1"/>
    </xf>
    <xf numFmtId="0" fontId="0" fillId="2" borderId="9" xfId="0" applyFill="1" applyBorder="1" applyAlignment="1" applyProtection="1">
      <alignment horizontal="left"/>
      <protection locked="0"/>
    </xf>
    <xf numFmtId="39" fontId="6" fillId="3" borderId="0" xfId="0" applyNumberFormat="1" applyFont="1" applyFill="1" applyProtection="1">
      <protection hidden="1"/>
    </xf>
    <xf numFmtId="0" fontId="1" fillId="3" borderId="75" xfId="0" applyFont="1" applyFill="1" applyBorder="1" applyAlignment="1" applyProtection="1">
      <alignment horizontal="center"/>
      <protection locked="0"/>
    </xf>
    <xf numFmtId="0" fontId="6" fillId="3" borderId="11" xfId="0" applyFont="1" applyFill="1" applyBorder="1" applyAlignment="1" applyProtection="1">
      <alignment horizontal="center"/>
      <protection hidden="1"/>
    </xf>
    <xf numFmtId="4" fontId="3" fillId="3" borderId="0" xfId="0" applyNumberFormat="1" applyFont="1" applyFill="1" applyAlignment="1" applyProtection="1">
      <alignment horizontal="left"/>
      <protection hidden="1"/>
    </xf>
    <xf numFmtId="0" fontId="6" fillId="3" borderId="10" xfId="0" applyFont="1" applyFill="1" applyBorder="1" applyAlignment="1" applyProtection="1">
      <alignment horizontal="center"/>
      <protection hidden="1"/>
    </xf>
    <xf numFmtId="0" fontId="3" fillId="3" borderId="5" xfId="0" applyFont="1" applyFill="1" applyBorder="1" applyProtection="1">
      <protection hidden="1"/>
    </xf>
    <xf numFmtId="0" fontId="9" fillId="3" borderId="5" xfId="0" applyFont="1" applyFill="1" applyBorder="1" applyAlignment="1" applyProtection="1">
      <alignment horizontal="right"/>
      <protection hidden="1"/>
    </xf>
    <xf numFmtId="0" fontId="7" fillId="3" borderId="22" xfId="0" applyFont="1" applyFill="1" applyBorder="1" applyAlignment="1" applyProtection="1">
      <alignment horizontal="right"/>
      <protection hidden="1"/>
    </xf>
    <xf numFmtId="0" fontId="6" fillId="3" borderId="5" xfId="0" applyFont="1" applyFill="1" applyBorder="1" applyAlignment="1" applyProtection="1">
      <alignment horizontal="left"/>
      <protection hidden="1"/>
    </xf>
    <xf numFmtId="0" fontId="6" fillId="3" borderId="52" xfId="0" applyFont="1" applyFill="1" applyBorder="1" applyAlignment="1" applyProtection="1">
      <alignment horizontal="center"/>
      <protection hidden="1"/>
    </xf>
    <xf numFmtId="39" fontId="6" fillId="3" borderId="5" xfId="0" applyNumberFormat="1" applyFont="1" applyFill="1" applyBorder="1" applyProtection="1">
      <protection hidden="1"/>
    </xf>
    <xf numFmtId="4" fontId="8" fillId="3" borderId="8" xfId="0" applyNumberFormat="1" applyFont="1" applyFill="1" applyBorder="1" applyAlignment="1" applyProtection="1">
      <alignment horizontal="center" vertical="top"/>
      <protection hidden="1"/>
    </xf>
    <xf numFmtId="3" fontId="117" fillId="0" borderId="0" xfId="0" applyNumberFormat="1" applyFont="1" applyAlignment="1" applyProtection="1">
      <alignment horizontal="center" wrapText="1"/>
      <protection hidden="1"/>
    </xf>
    <xf numFmtId="3" fontId="117" fillId="0" borderId="8" xfId="0" applyNumberFormat="1" applyFont="1" applyBorder="1" applyAlignment="1" applyProtection="1">
      <alignment horizontal="center" wrapText="1"/>
      <protection hidden="1"/>
    </xf>
    <xf numFmtId="0" fontId="11" fillId="3" borderId="22" xfId="0" applyFont="1" applyFill="1" applyBorder="1" applyAlignment="1" applyProtection="1">
      <alignment horizontal="centerContinuous"/>
      <protection hidden="1"/>
    </xf>
    <xf numFmtId="0" fontId="8" fillId="3" borderId="5" xfId="0" applyFont="1" applyFill="1" applyBorder="1" applyAlignment="1" applyProtection="1">
      <alignment vertical="top"/>
      <protection hidden="1"/>
    </xf>
    <xf numFmtId="174" fontId="3" fillId="0" borderId="0" xfId="0" applyNumberFormat="1" applyFont="1" applyAlignment="1" applyProtection="1">
      <alignment horizontal="center"/>
      <protection hidden="1"/>
    </xf>
    <xf numFmtId="0" fontId="121" fillId="0" borderId="0" xfId="0" applyFont="1" applyAlignment="1" applyProtection="1">
      <alignment horizontal="center"/>
      <protection hidden="1"/>
    </xf>
    <xf numFmtId="174" fontId="121" fillId="0" borderId="0" xfId="0" applyNumberFormat="1" applyFont="1" applyAlignment="1" applyProtection="1">
      <alignment horizontal="center"/>
      <protection hidden="1"/>
    </xf>
    <xf numFmtId="0" fontId="5" fillId="2" borderId="1" xfId="0" applyFont="1" applyFill="1" applyBorder="1" applyAlignment="1" applyProtection="1">
      <alignment vertical="center"/>
      <protection hidden="1"/>
    </xf>
    <xf numFmtId="0" fontId="3" fillId="2" borderId="1" xfId="0" applyFont="1" applyFill="1" applyBorder="1" applyAlignment="1" applyProtection="1">
      <alignment horizontal="right"/>
      <protection hidden="1"/>
    </xf>
    <xf numFmtId="0" fontId="1" fillId="3" borderId="0" xfId="0" applyFont="1" applyFill="1" applyAlignment="1" applyProtection="1">
      <alignment horizontal="right" vertical="top"/>
      <protection hidden="1"/>
    </xf>
    <xf numFmtId="4" fontId="0" fillId="3" borderId="16" xfId="0" applyNumberFormat="1" applyFill="1" applyBorder="1" applyProtection="1">
      <protection hidden="1"/>
    </xf>
    <xf numFmtId="0" fontId="1" fillId="3" borderId="5" xfId="0" applyFont="1" applyFill="1" applyBorder="1" applyAlignment="1" applyProtection="1">
      <alignment horizontal="right" vertical="top"/>
      <protection hidden="1"/>
    </xf>
    <xf numFmtId="39" fontId="0" fillId="3" borderId="0" xfId="0" applyNumberFormat="1" applyFill="1" applyProtection="1">
      <protection hidden="1"/>
    </xf>
    <xf numFmtId="0" fontId="121" fillId="2" borderId="0" xfId="0" applyFont="1" applyFill="1" applyAlignment="1" applyProtection="1">
      <alignment horizontal="center"/>
      <protection hidden="1"/>
    </xf>
    <xf numFmtId="4" fontId="19" fillId="3" borderId="31" xfId="0" applyNumberFormat="1" applyFont="1" applyFill="1" applyBorder="1" applyProtection="1">
      <protection hidden="1"/>
    </xf>
    <xf numFmtId="4" fontId="19" fillId="3" borderId="3" xfId="0" applyNumberFormat="1" applyFont="1" applyFill="1" applyBorder="1" applyAlignment="1" applyProtection="1">
      <alignment vertical="center"/>
      <protection hidden="1"/>
    </xf>
    <xf numFmtId="4" fontId="19" fillId="3" borderId="0" xfId="0" applyNumberFormat="1" applyFont="1" applyFill="1" applyAlignment="1" applyProtection="1">
      <alignment horizontal="right" vertical="center"/>
      <protection hidden="1"/>
    </xf>
    <xf numFmtId="4" fontId="4" fillId="3" borderId="3" xfId="0" applyNumberFormat="1" applyFont="1" applyFill="1" applyBorder="1" applyProtection="1">
      <protection hidden="1"/>
    </xf>
    <xf numFmtId="4" fontId="19" fillId="3" borderId="3" xfId="0" applyNumberFormat="1" applyFont="1" applyFill="1" applyBorder="1" applyProtection="1">
      <protection hidden="1"/>
    </xf>
    <xf numFmtId="4" fontId="19" fillId="3" borderId="0" xfId="0" applyNumberFormat="1" applyFont="1" applyFill="1" applyAlignment="1" applyProtection="1">
      <alignment horizontal="right"/>
      <protection hidden="1"/>
    </xf>
    <xf numFmtId="4" fontId="19" fillId="3" borderId="70" xfId="0" applyNumberFormat="1" applyFont="1" applyFill="1" applyBorder="1" applyProtection="1">
      <protection hidden="1"/>
    </xf>
    <xf numFmtId="4" fontId="19" fillId="3" borderId="5" xfId="0" applyNumberFormat="1" applyFont="1" applyFill="1" applyBorder="1" applyAlignment="1" applyProtection="1">
      <alignment horizontal="right"/>
      <protection hidden="1"/>
    </xf>
    <xf numFmtId="4" fontId="19" fillId="2" borderId="0" xfId="0" applyNumberFormat="1" applyFont="1" applyFill="1" applyProtection="1">
      <protection hidden="1"/>
    </xf>
    <xf numFmtId="4" fontId="8" fillId="2" borderId="0" xfId="0" applyNumberFormat="1" applyFont="1" applyFill="1" applyProtection="1">
      <protection hidden="1"/>
    </xf>
    <xf numFmtId="4" fontId="53" fillId="2" borderId="0" xfId="0" applyNumberFormat="1" applyFont="1" applyFill="1" applyProtection="1">
      <protection hidden="1"/>
    </xf>
    <xf numFmtId="4" fontId="56" fillId="2" borderId="0" xfId="0" applyNumberFormat="1" applyFont="1" applyFill="1" applyAlignment="1" applyProtection="1">
      <alignment horizontal="center"/>
      <protection hidden="1"/>
    </xf>
    <xf numFmtId="4" fontId="94" fillId="2" borderId="0" xfId="0" applyNumberFormat="1" applyFont="1" applyFill="1" applyAlignment="1" applyProtection="1">
      <alignment horizontal="center"/>
      <protection hidden="1"/>
    </xf>
    <xf numFmtId="4" fontId="17" fillId="2" borderId="0" xfId="0" applyNumberFormat="1" applyFont="1" applyFill="1" applyAlignment="1" applyProtection="1">
      <alignment horizontal="center"/>
      <protection hidden="1"/>
    </xf>
    <xf numFmtId="39" fontId="5" fillId="2" borderId="0" xfId="0" applyNumberFormat="1" applyFont="1" applyFill="1" applyAlignment="1" applyProtection="1">
      <alignment horizontal="right"/>
      <protection locked="0"/>
    </xf>
    <xf numFmtId="39" fontId="5" fillId="2" borderId="0" xfId="0" applyNumberFormat="1" applyFont="1" applyFill="1" applyProtection="1">
      <protection locked="0"/>
    </xf>
    <xf numFmtId="39" fontId="8" fillId="2" borderId="0" xfId="0" applyNumberFormat="1" applyFont="1" applyFill="1" applyAlignment="1" applyProtection="1">
      <alignment horizontal="center"/>
      <protection hidden="1"/>
    </xf>
    <xf numFmtId="39" fontId="5" fillId="2" borderId="0" xfId="0" applyNumberFormat="1" applyFont="1" applyFill="1" applyProtection="1">
      <protection hidden="1"/>
    </xf>
    <xf numFmtId="4" fontId="11" fillId="2" borderId="0" xfId="0" applyNumberFormat="1" applyFont="1" applyFill="1" applyProtection="1">
      <protection hidden="1"/>
    </xf>
    <xf numFmtId="39" fontId="8" fillId="2" borderId="0" xfId="0" applyNumberFormat="1" applyFont="1" applyFill="1" applyProtection="1">
      <protection hidden="1"/>
    </xf>
    <xf numFmtId="4" fontId="19" fillId="2" borderId="0" xfId="0" applyNumberFormat="1" applyFont="1" applyFill="1" applyAlignment="1" applyProtection="1">
      <alignment vertical="center"/>
      <protection hidden="1"/>
    </xf>
    <xf numFmtId="164" fontId="4" fillId="3" borderId="3" xfId="0" quotePrefix="1" applyNumberFormat="1" applyFont="1" applyFill="1" applyBorder="1" applyAlignment="1" applyProtection="1">
      <alignment horizontal="right" vertical="top"/>
      <protection hidden="1"/>
    </xf>
    <xf numFmtId="0" fontId="5"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6" fillId="2" borderId="0" xfId="0" applyFont="1" applyFill="1" applyAlignment="1" applyProtection="1">
      <alignment vertical="center"/>
      <protection hidden="1"/>
    </xf>
    <xf numFmtId="0" fontId="13" fillId="2" borderId="0" xfId="0" applyFont="1" applyFill="1" applyAlignment="1" applyProtection="1">
      <alignment horizontal="left" vertical="center"/>
      <protection hidden="1"/>
    </xf>
    <xf numFmtId="0" fontId="8" fillId="2" borderId="66" xfId="0" applyFont="1" applyFill="1" applyBorder="1" applyAlignment="1" applyProtection="1">
      <alignment horizontal="left"/>
      <protection hidden="1"/>
    </xf>
    <xf numFmtId="0" fontId="11" fillId="2" borderId="66" xfId="0" applyFont="1" applyFill="1" applyBorder="1" applyAlignment="1" applyProtection="1">
      <alignment horizontal="left"/>
      <protection hidden="1"/>
    </xf>
    <xf numFmtId="0" fontId="11" fillId="2" borderId="66" xfId="0" applyFont="1" applyFill="1" applyBorder="1" applyAlignment="1" applyProtection="1">
      <alignment horizontal="right"/>
      <protection hidden="1"/>
    </xf>
    <xf numFmtId="0" fontId="3"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122" fillId="5" borderId="0" xfId="0" applyFont="1" applyFill="1" applyProtection="1">
      <protection hidden="1"/>
    </xf>
    <xf numFmtId="0" fontId="4" fillId="5" borderId="0" xfId="0" applyFont="1" applyFill="1" applyProtection="1">
      <protection hidden="1"/>
    </xf>
    <xf numFmtId="0" fontId="122" fillId="5" borderId="0" xfId="0" applyFont="1" applyFill="1" applyAlignment="1" applyProtection="1">
      <alignment horizontal="center"/>
      <protection hidden="1"/>
    </xf>
    <xf numFmtId="40" fontId="124" fillId="2" borderId="0" xfId="0" applyNumberFormat="1" applyFont="1" applyFill="1" applyProtection="1">
      <protection hidden="1"/>
    </xf>
    <xf numFmtId="0" fontId="6" fillId="2" borderId="8" xfId="0" applyFont="1" applyFill="1" applyBorder="1" applyAlignment="1" applyProtection="1">
      <alignment horizontal="center"/>
      <protection hidden="1"/>
    </xf>
    <xf numFmtId="40" fontId="124" fillId="2" borderId="0" xfId="0" applyNumberFormat="1" applyFont="1" applyFill="1" applyAlignment="1" applyProtection="1">
      <alignment horizontal="right"/>
      <protection hidden="1"/>
    </xf>
    <xf numFmtId="0" fontId="6" fillId="2" borderId="5" xfId="0" applyFont="1" applyFill="1" applyBorder="1" applyAlignment="1" applyProtection="1">
      <alignment horizontal="center"/>
      <protection hidden="1"/>
    </xf>
    <xf numFmtId="164" fontId="3" fillId="2" borderId="0" xfId="0" applyNumberFormat="1" applyFont="1" applyFill="1" applyAlignment="1" applyProtection="1">
      <alignment horizontal="left" vertical="center"/>
      <protection hidden="1"/>
    </xf>
    <xf numFmtId="0" fontId="3" fillId="2" borderId="0" xfId="4" applyFill="1" applyProtection="1">
      <protection hidden="1"/>
    </xf>
    <xf numFmtId="0" fontId="3" fillId="2" borderId="0" xfId="4" applyFill="1" applyAlignment="1" applyProtection="1">
      <alignment horizontal="center"/>
      <protection hidden="1"/>
    </xf>
    <xf numFmtId="49" fontId="6" fillId="2" borderId="0" xfId="4" applyNumberFormat="1" applyFont="1" applyFill="1" applyAlignment="1" applyProtection="1">
      <alignment horizontal="right"/>
      <protection hidden="1"/>
    </xf>
    <xf numFmtId="0" fontId="3" fillId="2" borderId="0" xfId="4" applyFill="1"/>
    <xf numFmtId="0" fontId="3" fillId="0" borderId="0" xfId="4"/>
    <xf numFmtId="0" fontId="74" fillId="2" borderId="0" xfId="4" applyFont="1" applyFill="1" applyProtection="1">
      <protection hidden="1"/>
    </xf>
    <xf numFmtId="0" fontId="74" fillId="2" borderId="0" xfId="4" applyFont="1" applyFill="1" applyAlignment="1" applyProtection="1">
      <alignment horizontal="right"/>
      <protection hidden="1"/>
    </xf>
    <xf numFmtId="0" fontId="64" fillId="2" borderId="0" xfId="4" applyFont="1" applyFill="1" applyProtection="1">
      <protection hidden="1"/>
    </xf>
    <xf numFmtId="0" fontId="53" fillId="2" borderId="0" xfId="4" applyFont="1" applyFill="1" applyProtection="1">
      <protection hidden="1"/>
    </xf>
    <xf numFmtId="49" fontId="16" fillId="2" borderId="0" xfId="4" applyNumberFormat="1" applyFont="1" applyFill="1" applyAlignment="1" applyProtection="1">
      <alignment horizontal="right"/>
      <protection hidden="1"/>
    </xf>
    <xf numFmtId="49" fontId="3" fillId="2" borderId="0" xfId="4" applyNumberFormat="1" applyFill="1" applyAlignment="1" applyProtection="1">
      <alignment horizontal="right"/>
      <protection hidden="1"/>
    </xf>
    <xf numFmtId="0" fontId="4" fillId="2" borderId="0" xfId="4" applyFont="1" applyFill="1" applyAlignment="1" applyProtection="1">
      <alignment horizontal="right"/>
      <protection hidden="1"/>
    </xf>
    <xf numFmtId="0" fontId="4" fillId="2" borderId="0" xfId="4" applyFont="1" applyFill="1" applyAlignment="1" applyProtection="1">
      <alignment horizontal="left"/>
      <protection hidden="1"/>
    </xf>
    <xf numFmtId="0" fontId="39" fillId="2" borderId="0" xfId="4" applyFont="1" applyFill="1" applyAlignment="1" applyProtection="1">
      <alignment horizontal="center"/>
      <protection hidden="1"/>
    </xf>
    <xf numFmtId="0" fontId="73" fillId="2" borderId="0" xfId="4" applyFont="1" applyFill="1" applyAlignment="1" applyProtection="1">
      <alignment horizontal="right"/>
      <protection hidden="1"/>
    </xf>
    <xf numFmtId="0" fontId="71" fillId="2" borderId="0" xfId="4" applyFont="1" applyFill="1" applyAlignment="1" applyProtection="1">
      <alignment horizontal="center" vertical="center"/>
      <protection hidden="1"/>
    </xf>
    <xf numFmtId="0" fontId="48" fillId="2" borderId="0" xfId="4" applyFont="1" applyFill="1" applyAlignment="1" applyProtection="1">
      <alignment horizontal="center"/>
      <protection hidden="1"/>
    </xf>
    <xf numFmtId="0" fontId="11" fillId="2" borderId="0" xfId="4" applyFont="1" applyFill="1" applyAlignment="1" applyProtection="1">
      <alignment horizontal="center" vertical="center"/>
      <protection locked="0"/>
    </xf>
    <xf numFmtId="49" fontId="4" fillId="2" borderId="0" xfId="4" applyNumberFormat="1" applyFont="1" applyFill="1" applyAlignment="1" applyProtection="1">
      <alignment horizontal="right"/>
      <protection hidden="1"/>
    </xf>
    <xf numFmtId="0" fontId="69" fillId="2" borderId="0" xfId="4" applyFont="1" applyFill="1" applyProtection="1">
      <protection hidden="1"/>
    </xf>
    <xf numFmtId="0" fontId="57" fillId="2" borderId="0" xfId="4" applyFont="1" applyFill="1" applyProtection="1">
      <protection hidden="1"/>
    </xf>
    <xf numFmtId="0" fontId="23" fillId="2" borderId="0" xfId="4" applyFont="1" applyFill="1" applyProtection="1">
      <protection hidden="1"/>
    </xf>
    <xf numFmtId="0" fontId="33" fillId="2" borderId="0" xfId="4" applyFont="1" applyFill="1" applyAlignment="1" applyProtection="1">
      <alignment horizontal="right"/>
      <protection hidden="1"/>
    </xf>
    <xf numFmtId="0" fontId="57" fillId="2" borderId="0" xfId="4" applyFont="1" applyFill="1" applyAlignment="1" applyProtection="1">
      <alignment horizontal="center"/>
      <protection hidden="1"/>
    </xf>
    <xf numFmtId="0" fontId="3" fillId="2" borderId="0" xfId="4" applyFill="1" applyAlignment="1" applyProtection="1">
      <alignment vertical="center"/>
      <protection hidden="1"/>
    </xf>
    <xf numFmtId="49" fontId="4" fillId="2" borderId="0" xfId="4" applyNumberFormat="1" applyFont="1" applyFill="1" applyAlignment="1" applyProtection="1">
      <alignment horizontal="right" vertical="center"/>
      <protection hidden="1"/>
    </xf>
    <xf numFmtId="0" fontId="64" fillId="2" borderId="0" xfId="4" applyFont="1" applyFill="1" applyAlignment="1" applyProtection="1">
      <alignment vertical="center"/>
      <protection hidden="1"/>
    </xf>
    <xf numFmtId="0" fontId="57" fillId="2" borderId="0" xfId="4" applyFont="1" applyFill="1" applyAlignment="1" applyProtection="1">
      <alignment vertical="center"/>
      <protection hidden="1"/>
    </xf>
    <xf numFmtId="0" fontId="23" fillId="2" borderId="0" xfId="4" applyFont="1" applyFill="1" applyAlignment="1" applyProtection="1">
      <alignment vertical="center"/>
      <protection hidden="1"/>
    </xf>
    <xf numFmtId="0" fontId="33" fillId="2" borderId="0" xfId="4" applyFont="1" applyFill="1" applyAlignment="1" applyProtection="1">
      <alignment horizontal="right" vertical="center"/>
      <protection hidden="1"/>
    </xf>
    <xf numFmtId="0" fontId="57" fillId="2" borderId="0" xfId="4" applyFont="1" applyFill="1" applyAlignment="1" applyProtection="1">
      <alignment horizontal="center" vertical="center"/>
      <protection hidden="1"/>
    </xf>
    <xf numFmtId="0" fontId="3" fillId="2" borderId="0" xfId="4" applyFill="1" applyAlignment="1" applyProtection="1">
      <alignment horizontal="left" vertical="center"/>
      <protection hidden="1"/>
    </xf>
    <xf numFmtId="0" fontId="10" fillId="2" borderId="8" xfId="4" applyFont="1" applyFill="1" applyBorder="1" applyAlignment="1" applyProtection="1">
      <alignment horizontal="left" vertical="center"/>
      <protection hidden="1"/>
    </xf>
    <xf numFmtId="0" fontId="4" fillId="2" borderId="8" xfId="4" applyFont="1" applyFill="1" applyBorder="1" applyAlignment="1" applyProtection="1">
      <alignment horizontal="left" vertical="center"/>
      <protection hidden="1"/>
    </xf>
    <xf numFmtId="0" fontId="3" fillId="2" borderId="8" xfId="4" applyFill="1" applyBorder="1" applyAlignment="1" applyProtection="1">
      <alignment horizontal="center" vertical="center"/>
      <protection hidden="1"/>
    </xf>
    <xf numFmtId="0" fontId="3" fillId="2" borderId="8" xfId="4" applyFill="1" applyBorder="1" applyAlignment="1" applyProtection="1">
      <alignment horizontal="left" vertical="center"/>
      <protection hidden="1"/>
    </xf>
    <xf numFmtId="49" fontId="6" fillId="2" borderId="8" xfId="4" applyNumberFormat="1" applyFont="1" applyFill="1" applyBorder="1" applyAlignment="1" applyProtection="1">
      <alignment horizontal="left" vertical="center"/>
      <protection hidden="1"/>
    </xf>
    <xf numFmtId="40" fontId="21" fillId="2" borderId="8" xfId="4" applyNumberFormat="1" applyFont="1" applyFill="1" applyBorder="1" applyAlignment="1" applyProtection="1">
      <alignment horizontal="left" vertical="center"/>
      <protection hidden="1"/>
    </xf>
    <xf numFmtId="40" fontId="21" fillId="2" borderId="0" xfId="4" applyNumberFormat="1" applyFont="1" applyFill="1" applyAlignment="1" applyProtection="1">
      <alignment horizontal="left" vertical="center"/>
      <protection hidden="1"/>
    </xf>
    <xf numFmtId="0" fontId="10" fillId="2" borderId="0" xfId="4" applyFont="1" applyFill="1" applyAlignment="1" applyProtection="1">
      <alignment horizontal="left" vertical="center"/>
      <protection hidden="1"/>
    </xf>
    <xf numFmtId="0" fontId="69" fillId="2" borderId="0" xfId="4" applyFont="1" applyFill="1" applyAlignment="1" applyProtection="1">
      <alignment horizontal="center" vertical="center"/>
      <protection hidden="1"/>
    </xf>
    <xf numFmtId="0" fontId="3" fillId="2" borderId="0" xfId="4" applyFill="1" applyAlignment="1" applyProtection="1">
      <alignment horizontal="center" vertical="center"/>
      <protection hidden="1"/>
    </xf>
    <xf numFmtId="0" fontId="4" fillId="2" borderId="0" xfId="4" applyFont="1" applyFill="1" applyAlignment="1" applyProtection="1">
      <alignment horizontal="left" vertical="center"/>
      <protection hidden="1"/>
    </xf>
    <xf numFmtId="49" fontId="6" fillId="2" borderId="0" xfId="4" applyNumberFormat="1" applyFont="1" applyFill="1" applyAlignment="1" applyProtection="1">
      <alignment horizontal="left" vertical="center"/>
      <protection hidden="1"/>
    </xf>
    <xf numFmtId="0" fontId="3" fillId="2" borderId="5" xfId="4" applyFill="1" applyBorder="1" applyProtection="1">
      <protection hidden="1"/>
    </xf>
    <xf numFmtId="0" fontId="3" fillId="2" borderId="5" xfId="4" applyFill="1" applyBorder="1" applyAlignment="1" applyProtection="1">
      <alignment horizontal="center"/>
      <protection hidden="1"/>
    </xf>
    <xf numFmtId="49" fontId="6" fillId="2" borderId="5" xfId="4" applyNumberFormat="1" applyFont="1" applyFill="1" applyBorder="1" applyAlignment="1" applyProtection="1">
      <alignment horizontal="right"/>
      <protection hidden="1"/>
    </xf>
    <xf numFmtId="0" fontId="3" fillId="2" borderId="77" xfId="4" applyFill="1" applyBorder="1" applyAlignment="1" applyProtection="1">
      <alignment vertical="center"/>
      <protection hidden="1"/>
    </xf>
    <xf numFmtId="0" fontId="3" fillId="2" borderId="77" xfId="4" applyFill="1" applyBorder="1" applyAlignment="1" applyProtection="1">
      <alignment horizontal="center" vertical="center"/>
      <protection hidden="1"/>
    </xf>
    <xf numFmtId="0" fontId="92" fillId="2" borderId="0" xfId="4" applyFont="1" applyFill="1" applyAlignment="1" applyProtection="1">
      <alignment horizontal="center"/>
      <protection hidden="1"/>
    </xf>
    <xf numFmtId="0" fontId="8" fillId="2" borderId="0" xfId="4" applyFont="1" applyFill="1" applyAlignment="1" applyProtection="1">
      <alignment vertical="justify"/>
      <protection hidden="1"/>
    </xf>
    <xf numFmtId="0" fontId="45" fillId="2" borderId="0" xfId="4" applyFont="1" applyFill="1" applyAlignment="1" applyProtection="1">
      <alignment horizontal="left" vertical="center"/>
      <protection hidden="1"/>
    </xf>
    <xf numFmtId="0" fontId="8" fillId="2" borderId="0" xfId="4" applyFont="1" applyFill="1" applyAlignment="1" applyProtection="1">
      <alignment vertical="center"/>
      <protection hidden="1"/>
    </xf>
    <xf numFmtId="49" fontId="6" fillId="2" borderId="0" xfId="4" applyNumberFormat="1" applyFont="1" applyFill="1" applyAlignment="1" applyProtection="1">
      <alignment horizontal="right" vertical="center"/>
      <protection hidden="1"/>
    </xf>
    <xf numFmtId="0" fontId="64" fillId="2" borderId="0" xfId="4" applyFont="1" applyFill="1" applyAlignment="1" applyProtection="1">
      <alignment horizontal="right" vertical="center"/>
      <protection hidden="1"/>
    </xf>
    <xf numFmtId="3" fontId="4" fillId="2" borderId="0" xfId="4" applyNumberFormat="1" applyFont="1" applyFill="1" applyAlignment="1" applyProtection="1">
      <alignment horizontal="center" vertical="center"/>
      <protection locked="0"/>
    </xf>
    <xf numFmtId="0" fontId="3" fillId="2" borderId="14" xfId="4" applyFill="1" applyBorder="1" applyAlignment="1" applyProtection="1">
      <alignment horizontal="left" vertical="center"/>
      <protection hidden="1"/>
    </xf>
    <xf numFmtId="0" fontId="4" fillId="2" borderId="0" xfId="4" applyFont="1" applyFill="1" applyAlignment="1" applyProtection="1">
      <alignment horizontal="center"/>
      <protection hidden="1"/>
    </xf>
    <xf numFmtId="49" fontId="3" fillId="2" borderId="0" xfId="4" applyNumberFormat="1" applyFill="1" applyAlignment="1" applyProtection="1">
      <alignment horizontal="left"/>
      <protection hidden="1"/>
    </xf>
    <xf numFmtId="49" fontId="4" fillId="2" borderId="13" xfId="4" applyNumberFormat="1" applyFont="1" applyFill="1" applyBorder="1" applyAlignment="1" applyProtection="1">
      <alignment horizontal="center" vertical="center"/>
      <protection hidden="1"/>
    </xf>
    <xf numFmtId="4" fontId="3" fillId="2" borderId="0" xfId="4" applyNumberFormat="1" applyFill="1" applyProtection="1">
      <protection hidden="1"/>
    </xf>
    <xf numFmtId="0" fontId="4" fillId="2" borderId="0" xfId="4" applyFont="1" applyFill="1" applyProtection="1">
      <protection hidden="1"/>
    </xf>
    <xf numFmtId="0" fontId="42" fillId="2" borderId="1" xfId="4" applyFont="1" applyFill="1" applyBorder="1" applyAlignment="1" applyProtection="1">
      <alignment horizontal="center" vertical="top"/>
      <protection hidden="1"/>
    </xf>
    <xf numFmtId="0" fontId="3" fillId="2" borderId="1" xfId="4" applyFill="1" applyBorder="1" applyProtection="1">
      <protection hidden="1"/>
    </xf>
    <xf numFmtId="49" fontId="4" fillId="2" borderId="1" xfId="4" applyNumberFormat="1" applyFont="1" applyFill="1" applyBorder="1" applyAlignment="1" applyProtection="1">
      <alignment horizontal="right"/>
      <protection hidden="1"/>
    </xf>
    <xf numFmtId="3" fontId="23" fillId="2" borderId="1" xfId="4" applyNumberFormat="1" applyFont="1" applyFill="1" applyBorder="1" applyProtection="1">
      <protection hidden="1"/>
    </xf>
    <xf numFmtId="0" fontId="3" fillId="2" borderId="9" xfId="4" applyFill="1" applyBorder="1" applyAlignment="1" applyProtection="1">
      <alignment horizontal="center"/>
      <protection hidden="1"/>
    </xf>
    <xf numFmtId="0" fontId="3" fillId="2" borderId="9" xfId="4" applyFill="1" applyBorder="1" applyProtection="1">
      <protection hidden="1"/>
    </xf>
    <xf numFmtId="49" fontId="4" fillId="2" borderId="9" xfId="4" applyNumberFormat="1" applyFont="1" applyFill="1" applyBorder="1" applyAlignment="1" applyProtection="1">
      <alignment horizontal="right"/>
      <protection hidden="1"/>
    </xf>
    <xf numFmtId="49" fontId="4" fillId="2" borderId="0" xfId="4" applyNumberFormat="1" applyFont="1" applyFill="1" applyAlignment="1" applyProtection="1">
      <alignment horizontal="center"/>
      <protection hidden="1"/>
    </xf>
    <xf numFmtId="49" fontId="3" fillId="2" borderId="0" xfId="4" applyNumberFormat="1" applyFill="1" applyAlignment="1" applyProtection="1">
      <alignment horizontal="left" vertical="top"/>
      <protection hidden="1"/>
    </xf>
    <xf numFmtId="49" fontId="4" fillId="2" borderId="0" xfId="4" applyNumberFormat="1" applyFont="1" applyFill="1" applyAlignment="1" applyProtection="1">
      <alignment horizontal="center" vertical="center"/>
      <protection hidden="1"/>
    </xf>
    <xf numFmtId="3" fontId="3" fillId="2" borderId="0" xfId="4" applyNumberFormat="1" applyFill="1" applyAlignment="1" applyProtection="1">
      <alignment horizontal="right"/>
      <protection hidden="1"/>
    </xf>
    <xf numFmtId="49" fontId="4" fillId="2" borderId="0" xfId="4" applyNumberFormat="1" applyFont="1" applyFill="1" applyAlignment="1" applyProtection="1">
      <alignment horizontal="left"/>
      <protection hidden="1"/>
    </xf>
    <xf numFmtId="0" fontId="39" fillId="2" borderId="0" xfId="4" applyFont="1" applyFill="1" applyAlignment="1" applyProtection="1">
      <alignment horizontal="center" vertical="center"/>
      <protection hidden="1"/>
    </xf>
    <xf numFmtId="0" fontId="78" fillId="2" borderId="0" xfId="4" applyFont="1" applyFill="1" applyAlignment="1" applyProtection="1">
      <alignment vertical="center"/>
      <protection hidden="1"/>
    </xf>
    <xf numFmtId="49" fontId="4" fillId="2" borderId="0" xfId="4" applyNumberFormat="1" applyFont="1" applyFill="1" applyAlignment="1" applyProtection="1">
      <alignment horizontal="left" vertical="center"/>
      <protection hidden="1"/>
    </xf>
    <xf numFmtId="3" fontId="48" fillId="2" borderId="0" xfId="4" applyNumberFormat="1" applyFont="1" applyFill="1" applyAlignment="1" applyProtection="1">
      <alignment vertical="center"/>
      <protection hidden="1"/>
    </xf>
    <xf numFmtId="0" fontId="4" fillId="2" borderId="0" xfId="4" applyFont="1" applyFill="1" applyAlignment="1" applyProtection="1">
      <alignment horizontal="center" vertical="center"/>
      <protection hidden="1"/>
    </xf>
    <xf numFmtId="0" fontId="4" fillId="2" borderId="0" xfId="4" applyFont="1" applyFill="1" applyAlignment="1" applyProtection="1">
      <alignment vertical="center"/>
      <protection hidden="1"/>
    </xf>
    <xf numFmtId="3" fontId="3" fillId="2" borderId="0" xfId="4" applyNumberFormat="1" applyFill="1" applyAlignment="1" applyProtection="1">
      <alignment vertical="center"/>
      <protection hidden="1"/>
    </xf>
    <xf numFmtId="0" fontId="3" fillId="2" borderId="0" xfId="4" applyFill="1" applyAlignment="1" applyProtection="1">
      <alignment horizontal="left"/>
      <protection hidden="1"/>
    </xf>
    <xf numFmtId="0" fontId="73" fillId="2" borderId="0" xfId="4" applyFont="1" applyFill="1" applyAlignment="1" applyProtection="1">
      <alignment horizontal="left" vertical="top"/>
      <protection hidden="1"/>
    </xf>
    <xf numFmtId="0" fontId="4" fillId="2" borderId="1" xfId="4" applyFont="1" applyFill="1" applyBorder="1" applyProtection="1">
      <protection hidden="1"/>
    </xf>
    <xf numFmtId="0" fontId="4" fillId="2" borderId="1" xfId="4" applyFont="1" applyFill="1" applyBorder="1" applyAlignment="1" applyProtection="1">
      <alignment horizontal="center"/>
      <protection hidden="1"/>
    </xf>
    <xf numFmtId="3" fontId="4" fillId="2" borderId="77" xfId="4" applyNumberFormat="1" applyFont="1" applyFill="1" applyBorder="1" applyAlignment="1" applyProtection="1">
      <alignment horizontal="right" vertical="center"/>
      <protection locked="0"/>
    </xf>
    <xf numFmtId="49" fontId="6" fillId="2" borderId="77" xfId="4" applyNumberFormat="1" applyFont="1" applyFill="1" applyBorder="1" applyAlignment="1" applyProtection="1">
      <alignment horizontal="right" vertical="center"/>
      <protection hidden="1"/>
    </xf>
    <xf numFmtId="0" fontId="64" fillId="2" borderId="77" xfId="4" applyFont="1" applyFill="1" applyBorder="1" applyAlignment="1" applyProtection="1">
      <alignment horizontal="right" vertical="center"/>
      <protection hidden="1"/>
    </xf>
    <xf numFmtId="40" fontId="24" fillId="2" borderId="14" xfId="4" applyNumberFormat="1" applyFont="1" applyFill="1" applyBorder="1" applyAlignment="1" applyProtection="1">
      <alignment horizontal="right" vertical="center"/>
      <protection hidden="1"/>
    </xf>
    <xf numFmtId="3" fontId="3" fillId="2" borderId="0" xfId="4" applyNumberFormat="1" applyFill="1" applyAlignment="1" applyProtection="1">
      <alignment horizontal="right" vertical="center"/>
      <protection hidden="1"/>
    </xf>
    <xf numFmtId="49" fontId="3" fillId="2" borderId="0" xfId="4" applyNumberFormat="1" applyFill="1" applyAlignment="1" applyProtection="1">
      <alignment horizontal="center"/>
      <protection hidden="1"/>
    </xf>
    <xf numFmtId="49" fontId="3" fillId="2" borderId="0" xfId="4" quotePrefix="1" applyNumberFormat="1" applyFill="1" applyAlignment="1" applyProtection="1">
      <alignment horizontal="left"/>
      <protection hidden="1"/>
    </xf>
    <xf numFmtId="0" fontId="3" fillId="2" borderId="0" xfId="4" quotePrefix="1" applyFill="1" applyAlignment="1" applyProtection="1">
      <alignment horizontal="right"/>
      <protection hidden="1"/>
    </xf>
    <xf numFmtId="49" fontId="3" fillId="2" borderId="0" xfId="4" quotePrefix="1" applyNumberFormat="1" applyFill="1" applyAlignment="1" applyProtection="1">
      <alignment horizontal="center"/>
      <protection hidden="1"/>
    </xf>
    <xf numFmtId="49" fontId="3" fillId="2" borderId="0" xfId="4" applyNumberFormat="1" applyFill="1" applyAlignment="1" applyProtection="1">
      <alignment horizontal="right" vertical="center"/>
      <protection hidden="1"/>
    </xf>
    <xf numFmtId="0" fontId="3" fillId="2" borderId="1" xfId="4" applyFill="1" applyBorder="1" applyAlignment="1" applyProtection="1">
      <alignment horizontal="center"/>
      <protection hidden="1"/>
    </xf>
    <xf numFmtId="0" fontId="64" fillId="2" borderId="0" xfId="4" applyFont="1" applyFill="1" applyAlignment="1" applyProtection="1">
      <alignment horizontal="center" vertical="center"/>
      <protection hidden="1"/>
    </xf>
    <xf numFmtId="0" fontId="32" fillId="2" borderId="0" xfId="4" applyFont="1" applyFill="1" applyAlignment="1" applyProtection="1">
      <alignment vertical="center"/>
      <protection hidden="1"/>
    </xf>
    <xf numFmtId="0" fontId="42" fillId="2" borderId="0" xfId="4" applyFont="1" applyFill="1" applyAlignment="1" applyProtection="1">
      <alignment horizontal="center" vertical="top"/>
      <protection hidden="1"/>
    </xf>
    <xf numFmtId="0" fontId="3" fillId="2" borderId="0" xfId="4" applyFill="1" applyAlignment="1" applyProtection="1">
      <alignment vertical="top"/>
      <protection hidden="1"/>
    </xf>
    <xf numFmtId="0" fontId="4" fillId="2" borderId="0" xfId="4" applyFont="1" applyFill="1" applyAlignment="1" applyProtection="1">
      <alignment vertical="top"/>
      <protection hidden="1"/>
    </xf>
    <xf numFmtId="0" fontId="4" fillId="2" borderId="0" xfId="4" quotePrefix="1" applyFont="1" applyFill="1" applyAlignment="1" applyProtection="1">
      <alignment vertical="top"/>
      <protection hidden="1"/>
    </xf>
    <xf numFmtId="3" fontId="3" fillId="2" borderId="0" xfId="4" applyNumberFormat="1" applyFill="1" applyProtection="1">
      <protection hidden="1"/>
    </xf>
    <xf numFmtId="0" fontId="32" fillId="2" borderId="0" xfId="4" applyFont="1" applyFill="1" applyAlignment="1" applyProtection="1">
      <alignment horizontal="left"/>
      <protection hidden="1"/>
    </xf>
    <xf numFmtId="0" fontId="18" fillId="2" borderId="0" xfId="4" applyFont="1" applyFill="1" applyAlignment="1" applyProtection="1">
      <alignment horizontal="center"/>
      <protection hidden="1"/>
    </xf>
    <xf numFmtId="0" fontId="18" fillId="2" borderId="0" xfId="4" applyFont="1" applyFill="1" applyAlignment="1" applyProtection="1">
      <alignment horizontal="right"/>
      <protection hidden="1"/>
    </xf>
    <xf numFmtId="0" fontId="3" fillId="0" borderId="0" xfId="4" applyProtection="1">
      <protection hidden="1"/>
    </xf>
    <xf numFmtId="0" fontId="68" fillId="3" borderId="0" xfId="4" applyFont="1" applyFill="1" applyAlignment="1">
      <alignment horizontal="right"/>
    </xf>
    <xf numFmtId="0" fontId="3" fillId="2" borderId="78" xfId="4" applyFill="1" applyBorder="1" applyAlignment="1" applyProtection="1">
      <alignment horizontal="left" vertical="center"/>
      <protection hidden="1"/>
    </xf>
    <xf numFmtId="0" fontId="10" fillId="2" borderId="79" xfId="4" applyFont="1" applyFill="1" applyBorder="1" applyAlignment="1" applyProtection="1">
      <alignment horizontal="left" vertical="center"/>
      <protection hidden="1"/>
    </xf>
    <xf numFmtId="0" fontId="4" fillId="2" borderId="79" xfId="4" applyFont="1" applyFill="1" applyBorder="1" applyAlignment="1" applyProtection="1">
      <alignment horizontal="left" vertical="center"/>
      <protection hidden="1"/>
    </xf>
    <xf numFmtId="0" fontId="3" fillId="2" borderId="79" xfId="4" applyFill="1" applyBorder="1" applyAlignment="1" applyProtection="1">
      <alignment horizontal="center" vertical="center"/>
      <protection hidden="1"/>
    </xf>
    <xf numFmtId="0" fontId="3" fillId="2" borderId="79" xfId="4" applyFill="1" applyBorder="1" applyAlignment="1" applyProtection="1">
      <alignment horizontal="left" vertical="center"/>
      <protection hidden="1"/>
    </xf>
    <xf numFmtId="49" fontId="6" fillId="2" borderId="79" xfId="4" applyNumberFormat="1" applyFont="1" applyFill="1" applyBorder="1" applyAlignment="1" applyProtection="1">
      <alignment horizontal="left" vertical="center"/>
      <protection hidden="1"/>
    </xf>
    <xf numFmtId="40" fontId="24" fillId="2" borderId="79" xfId="4" applyNumberFormat="1" applyFont="1" applyFill="1" applyBorder="1" applyAlignment="1" applyProtection="1">
      <alignment horizontal="right" vertical="center"/>
      <protection hidden="1"/>
    </xf>
    <xf numFmtId="40" fontId="45" fillId="2" borderId="79" xfId="4" applyNumberFormat="1" applyFont="1" applyFill="1" applyBorder="1" applyAlignment="1" applyProtection="1">
      <alignment horizontal="right" vertical="center"/>
      <protection hidden="1"/>
    </xf>
    <xf numFmtId="0" fontId="125" fillId="2" borderId="0" xfId="4" applyFont="1" applyFill="1" applyAlignment="1" applyProtection="1">
      <alignment horizontal="right"/>
      <protection hidden="1"/>
    </xf>
    <xf numFmtId="0" fontId="10" fillId="2" borderId="0" xfId="4" applyFont="1" applyFill="1" applyAlignment="1" applyProtection="1">
      <alignment horizontal="right"/>
      <protection hidden="1"/>
    </xf>
    <xf numFmtId="0" fontId="69" fillId="2" borderId="0" xfId="4" applyFont="1" applyFill="1" applyAlignment="1" applyProtection="1">
      <alignment horizontal="right" vertical="center"/>
      <protection hidden="1"/>
    </xf>
    <xf numFmtId="0" fontId="93" fillId="2" borderId="0" xfId="4" applyFont="1" applyFill="1" applyAlignment="1" applyProtection="1">
      <alignment horizontal="left" vertical="center"/>
      <protection hidden="1"/>
    </xf>
    <xf numFmtId="0" fontId="64" fillId="2" borderId="0" xfId="4" applyFont="1" applyFill="1" applyAlignment="1" applyProtection="1">
      <alignment horizontal="left" vertical="center"/>
      <protection hidden="1"/>
    </xf>
    <xf numFmtId="4" fontId="3" fillId="2" borderId="0" xfId="4" applyNumberFormat="1" applyFill="1" applyAlignment="1" applyProtection="1">
      <alignment vertical="center"/>
      <protection hidden="1"/>
    </xf>
    <xf numFmtId="49" fontId="4" fillId="2" borderId="0" xfId="4" applyNumberFormat="1" applyFont="1" applyFill="1" applyAlignment="1" applyProtection="1">
      <alignment horizontal="right" vertical="top"/>
      <protection hidden="1"/>
    </xf>
    <xf numFmtId="49" fontId="4" fillId="2" borderId="0" xfId="4" applyNumberFormat="1" applyFont="1" applyFill="1" applyAlignment="1" applyProtection="1">
      <alignment horizontal="center" vertical="top"/>
      <protection hidden="1"/>
    </xf>
    <xf numFmtId="49" fontId="3" fillId="2" borderId="0" xfId="4" applyNumberFormat="1" applyFill="1" applyAlignment="1" applyProtection="1">
      <alignment horizontal="right" vertical="top"/>
      <protection hidden="1"/>
    </xf>
    <xf numFmtId="3" fontId="3" fillId="2" borderId="0" xfId="4" applyNumberFormat="1" applyFill="1" applyAlignment="1" applyProtection="1">
      <alignment horizontal="right" vertical="top"/>
      <protection hidden="1"/>
    </xf>
    <xf numFmtId="0" fontId="4" fillId="2" borderId="0" xfId="4" applyFont="1" applyFill="1" applyAlignment="1" applyProtection="1">
      <alignment horizontal="center" vertical="top"/>
      <protection hidden="1"/>
    </xf>
    <xf numFmtId="4" fontId="3" fillId="2" borderId="0" xfId="4" applyNumberFormat="1" applyFill="1" applyAlignment="1" applyProtection="1">
      <alignment vertical="top"/>
      <protection hidden="1"/>
    </xf>
    <xf numFmtId="0" fontId="3" fillId="2" borderId="0" xfId="4" applyFill="1" applyAlignment="1" applyProtection="1">
      <alignment horizontal="right" vertical="center"/>
      <protection hidden="1"/>
    </xf>
    <xf numFmtId="40" fontId="21" fillId="2" borderId="78" xfId="4" applyNumberFormat="1" applyFont="1" applyFill="1" applyBorder="1" applyAlignment="1" applyProtection="1">
      <alignment horizontal="left" vertical="center"/>
      <protection hidden="1"/>
    </xf>
    <xf numFmtId="0" fontId="32" fillId="2" borderId="0" xfId="4" applyFont="1" applyFill="1" applyAlignment="1" applyProtection="1">
      <alignment vertical="top"/>
      <protection hidden="1"/>
    </xf>
    <xf numFmtId="0" fontId="42" fillId="2" borderId="9" xfId="4" applyFont="1" applyFill="1" applyBorder="1" applyAlignment="1" applyProtection="1">
      <alignment horizontal="center" vertical="top"/>
      <protection hidden="1"/>
    </xf>
    <xf numFmtId="3" fontId="3" fillId="2" borderId="0" xfId="4" applyNumberFormat="1" applyFill="1" applyAlignment="1" applyProtection="1">
      <alignment horizontal="center"/>
      <protection locked="0"/>
    </xf>
    <xf numFmtId="0" fontId="39" fillId="2" borderId="0" xfId="4" applyFont="1" applyFill="1" applyAlignment="1" applyProtection="1">
      <alignment horizontal="center" vertical="top"/>
      <protection hidden="1"/>
    </xf>
    <xf numFmtId="0" fontId="32" fillId="2" borderId="0" xfId="4" applyFont="1" applyFill="1" applyProtection="1">
      <protection hidden="1"/>
    </xf>
    <xf numFmtId="0" fontId="63" fillId="2" borderId="1" xfId="4" applyFont="1" applyFill="1" applyBorder="1" applyProtection="1">
      <protection hidden="1"/>
    </xf>
    <xf numFmtId="0" fontId="63" fillId="2" borderId="1" xfId="4" applyFont="1" applyFill="1" applyBorder="1" applyAlignment="1" applyProtection="1">
      <alignment horizontal="center"/>
      <protection hidden="1"/>
    </xf>
    <xf numFmtId="0" fontId="127" fillId="2" borderId="1" xfId="4" applyFont="1" applyFill="1" applyBorder="1" applyAlignment="1" applyProtection="1">
      <alignment horizontal="center" vertical="top"/>
      <protection hidden="1"/>
    </xf>
    <xf numFmtId="0" fontId="32" fillId="2" borderId="1" xfId="4" applyFont="1" applyFill="1" applyBorder="1" applyProtection="1">
      <protection hidden="1"/>
    </xf>
    <xf numFmtId="49" fontId="63" fillId="2" borderId="1" xfId="4" applyNumberFormat="1" applyFont="1" applyFill="1" applyBorder="1" applyAlignment="1" applyProtection="1">
      <alignment horizontal="right"/>
      <protection hidden="1"/>
    </xf>
    <xf numFmtId="0" fontId="32" fillId="2" borderId="0" xfId="4" applyFont="1" applyFill="1"/>
    <xf numFmtId="0" fontId="32" fillId="0" borderId="0" xfId="4" applyFont="1"/>
    <xf numFmtId="0" fontId="3" fillId="2" borderId="77" xfId="4" applyFill="1" applyBorder="1" applyAlignment="1" applyProtection="1">
      <alignment vertical="top"/>
      <protection hidden="1"/>
    </xf>
    <xf numFmtId="0" fontId="64" fillId="2" borderId="77" xfId="4" applyFont="1" applyFill="1" applyBorder="1" applyAlignment="1" applyProtection="1">
      <alignment vertical="top"/>
      <protection hidden="1"/>
    </xf>
    <xf numFmtId="0" fontId="3" fillId="2" borderId="0" xfId="4" applyFill="1" applyAlignment="1">
      <alignment vertical="center"/>
    </xf>
    <xf numFmtId="0" fontId="3" fillId="0" borderId="0" xfId="4" applyAlignment="1">
      <alignment vertical="center"/>
    </xf>
    <xf numFmtId="0" fontId="5" fillId="2" borderId="0" xfId="4" applyFont="1" applyFill="1" applyProtection="1">
      <protection hidden="1"/>
    </xf>
    <xf numFmtId="0" fontId="5" fillId="2" borderId="0" xfId="4" applyFont="1" applyFill="1" applyAlignment="1" applyProtection="1">
      <alignment vertical="center"/>
      <protection hidden="1"/>
    </xf>
    <xf numFmtId="0" fontId="39" fillId="2" borderId="0" xfId="4" applyFont="1" applyFill="1" applyAlignment="1" applyProtection="1">
      <alignment horizontal="right" vertical="center"/>
      <protection hidden="1"/>
    </xf>
    <xf numFmtId="0" fontId="6" fillId="2" borderId="0" xfId="4" applyFont="1" applyFill="1" applyAlignment="1" applyProtection="1">
      <alignment horizontal="right" vertical="center"/>
      <protection hidden="1"/>
    </xf>
    <xf numFmtId="0" fontId="6" fillId="2" borderId="0" xfId="4" applyFont="1" applyFill="1" applyProtection="1">
      <protection hidden="1"/>
    </xf>
    <xf numFmtId="49" fontId="3" fillId="2" borderId="0" xfId="4" applyNumberFormat="1" applyFill="1" applyAlignment="1" applyProtection="1">
      <alignment horizontal="left" vertical="center"/>
      <protection hidden="1"/>
    </xf>
    <xf numFmtId="0" fontId="6" fillId="2" borderId="0" xfId="4" applyFont="1" applyFill="1" applyAlignment="1" applyProtection="1">
      <alignment horizontal="right"/>
      <protection hidden="1"/>
    </xf>
    <xf numFmtId="0" fontId="128" fillId="2" borderId="0" xfId="4" applyFont="1" applyFill="1" applyAlignment="1" applyProtection="1">
      <alignment horizontal="center"/>
      <protection hidden="1"/>
    </xf>
    <xf numFmtId="0" fontId="129" fillId="2" borderId="0" xfId="4" applyFont="1" applyFill="1" applyAlignment="1" applyProtection="1">
      <alignment horizontal="center" vertical="center"/>
      <protection hidden="1"/>
    </xf>
    <xf numFmtId="49" fontId="130" fillId="2" borderId="0" xfId="4" applyNumberFormat="1" applyFont="1" applyFill="1" applyAlignment="1" applyProtection="1">
      <alignment horizontal="right"/>
      <protection hidden="1"/>
    </xf>
    <xf numFmtId="0" fontId="130" fillId="2" borderId="0" xfId="4" applyFont="1" applyFill="1" applyAlignment="1" applyProtection="1">
      <alignment horizontal="right"/>
      <protection hidden="1"/>
    </xf>
    <xf numFmtId="0" fontId="86" fillId="2" borderId="0" xfId="4" applyFont="1" applyFill="1" applyAlignment="1" applyProtection="1">
      <alignment horizontal="right"/>
      <protection hidden="1"/>
    </xf>
    <xf numFmtId="3" fontId="3" fillId="2" borderId="2" xfId="4" applyNumberFormat="1" applyFill="1" applyBorder="1" applyProtection="1">
      <protection locked="0"/>
    </xf>
    <xf numFmtId="3" fontId="6" fillId="3" borderId="31" xfId="0" applyNumberFormat="1" applyFont="1" applyFill="1" applyBorder="1" applyAlignment="1" applyProtection="1">
      <alignment horizontal="right"/>
      <protection hidden="1"/>
    </xf>
    <xf numFmtId="0" fontId="6" fillId="2" borderId="31" xfId="0" applyFont="1" applyFill="1" applyBorder="1" applyAlignment="1">
      <alignment horizontal="right"/>
    </xf>
    <xf numFmtId="0" fontId="6" fillId="2" borderId="9" xfId="0" applyFont="1" applyFill="1" applyBorder="1" applyAlignment="1">
      <alignment horizontal="right"/>
    </xf>
    <xf numFmtId="0" fontId="6" fillId="2" borderId="3" xfId="0" applyFont="1" applyFill="1" applyBorder="1" applyAlignment="1">
      <alignment horizontal="right"/>
    </xf>
    <xf numFmtId="0" fontId="6" fillId="2" borderId="0" xfId="0" applyFont="1" applyFill="1" applyAlignment="1">
      <alignment horizontal="right"/>
    </xf>
    <xf numFmtId="3" fontId="6" fillId="3" borderId="81" xfId="0" applyNumberFormat="1" applyFont="1" applyFill="1" applyBorder="1" applyAlignment="1" applyProtection="1">
      <alignment horizontal="right"/>
      <protection hidden="1"/>
    </xf>
    <xf numFmtId="3" fontId="6" fillId="2" borderId="83" xfId="0" applyNumberFormat="1" applyFont="1" applyFill="1" applyBorder="1" applyAlignment="1" applyProtection="1">
      <alignment horizontal="right"/>
      <protection hidden="1"/>
    </xf>
    <xf numFmtId="3" fontId="6" fillId="3" borderId="9" xfId="0" applyNumberFormat="1" applyFont="1" applyFill="1" applyBorder="1" applyAlignment="1" applyProtection="1">
      <alignment horizontal="right"/>
      <protection hidden="1"/>
    </xf>
    <xf numFmtId="0" fontId="131" fillId="5" borderId="0" xfId="0" applyFont="1" applyFill="1" applyProtection="1">
      <protection hidden="1"/>
    </xf>
    <xf numFmtId="0" fontId="4" fillId="2" borderId="1" xfId="0" applyFont="1" applyFill="1" applyBorder="1" applyProtection="1">
      <protection locked="0"/>
    </xf>
    <xf numFmtId="0" fontId="0" fillId="3" borderId="14" xfId="0" applyFill="1" applyBorder="1" applyProtection="1">
      <protection hidden="1"/>
    </xf>
    <xf numFmtId="3" fontId="8" fillId="0" borderId="13" xfId="0" applyNumberFormat="1" applyFont="1" applyBorder="1"/>
    <xf numFmtId="0" fontId="8" fillId="0" borderId="13" xfId="0" applyFont="1" applyBorder="1" applyAlignment="1">
      <alignment horizontal="center"/>
    </xf>
    <xf numFmtId="0" fontId="8" fillId="0" borderId="0" xfId="0" applyFont="1" applyAlignment="1">
      <alignment horizontal="right"/>
    </xf>
    <xf numFmtId="0" fontId="8" fillId="0" borderId="0" xfId="0" applyFont="1" applyAlignment="1" applyProtection="1">
      <alignment horizontal="right"/>
      <protection hidden="1"/>
    </xf>
    <xf numFmtId="0" fontId="0" fillId="16" borderId="0" xfId="0" applyFill="1"/>
    <xf numFmtId="4" fontId="4" fillId="2" borderId="87" xfId="0" applyNumberFormat="1" applyFont="1" applyFill="1" applyBorder="1" applyAlignment="1" applyProtection="1">
      <alignment horizontal="center"/>
      <protection hidden="1"/>
    </xf>
    <xf numFmtId="0" fontId="64" fillId="2" borderId="60" xfId="0" applyFont="1" applyFill="1" applyBorder="1" applyAlignment="1" applyProtection="1">
      <alignment horizontal="right"/>
      <protection hidden="1"/>
    </xf>
    <xf numFmtId="0" fontId="64" fillId="2" borderId="61" xfId="0" applyFont="1" applyFill="1" applyBorder="1" applyAlignment="1" applyProtection="1">
      <alignment horizontal="right"/>
      <protection hidden="1"/>
    </xf>
    <xf numFmtId="4" fontId="4" fillId="2" borderId="86" xfId="0" applyNumberFormat="1" applyFont="1" applyFill="1" applyBorder="1" applyAlignment="1" applyProtection="1">
      <alignment horizontal="center"/>
      <protection hidden="1"/>
    </xf>
    <xf numFmtId="0" fontId="0" fillId="2" borderId="61" xfId="0" applyFill="1" applyBorder="1" applyProtection="1">
      <protection hidden="1"/>
    </xf>
    <xf numFmtId="2" fontId="4" fillId="2" borderId="60" xfId="0" applyNumberFormat="1" applyFont="1" applyFill="1" applyBorder="1" applyAlignment="1" applyProtection="1">
      <alignment horizontal="center"/>
      <protection hidden="1"/>
    </xf>
    <xf numFmtId="2" fontId="4" fillId="2" borderId="2" xfId="0" applyNumberFormat="1" applyFont="1" applyFill="1" applyBorder="1" applyAlignment="1" applyProtection="1">
      <alignment horizontal="center"/>
      <protection hidden="1"/>
    </xf>
    <xf numFmtId="0" fontId="22" fillId="2" borderId="0" xfId="0" applyFont="1" applyFill="1" applyAlignment="1" applyProtection="1">
      <alignment horizontal="left" vertical="center"/>
      <protection hidden="1"/>
    </xf>
    <xf numFmtId="0" fontId="0" fillId="16" borderId="17" xfId="0" applyFill="1" applyBorder="1"/>
    <xf numFmtId="0" fontId="135" fillId="2" borderId="6" xfId="0" applyFont="1" applyFill="1" applyBorder="1" applyAlignment="1" applyProtection="1">
      <alignment horizontal="right"/>
      <protection hidden="1"/>
    </xf>
    <xf numFmtId="0" fontId="136" fillId="2" borderId="42" xfId="0" applyFont="1" applyFill="1" applyBorder="1" applyProtection="1">
      <protection hidden="1"/>
    </xf>
    <xf numFmtId="0" fontId="135" fillId="2" borderId="6" xfId="0" applyFont="1" applyFill="1" applyBorder="1" applyAlignment="1" applyProtection="1">
      <alignment horizontal="right" vertical="top"/>
      <protection hidden="1"/>
    </xf>
    <xf numFmtId="0" fontId="136" fillId="2" borderId="42" xfId="0" applyFont="1" applyFill="1" applyBorder="1" applyAlignment="1" applyProtection="1">
      <alignment wrapText="1"/>
      <protection hidden="1"/>
    </xf>
    <xf numFmtId="4" fontId="136" fillId="2" borderId="50" xfId="0" applyNumberFormat="1" applyFont="1" applyFill="1" applyBorder="1" applyAlignment="1" applyProtection="1">
      <alignment horizontal="center"/>
      <protection hidden="1"/>
    </xf>
    <xf numFmtId="0" fontId="135" fillId="2" borderId="22" xfId="0" applyFont="1" applyFill="1" applyBorder="1" applyAlignment="1" applyProtection="1">
      <alignment horizontal="right"/>
      <protection hidden="1"/>
    </xf>
    <xf numFmtId="3" fontId="8" fillId="0" borderId="13" xfId="0" quotePrefix="1" applyNumberFormat="1" applyFont="1" applyBorder="1" applyAlignment="1">
      <alignment horizontal="center"/>
    </xf>
    <xf numFmtId="0" fontId="139" fillId="5" borderId="0" xfId="0" applyFont="1" applyFill="1" applyAlignment="1" applyProtection="1">
      <alignment horizontal="center" vertical="center"/>
      <protection locked="0"/>
    </xf>
    <xf numFmtId="39" fontId="140" fillId="3" borderId="6" xfId="0" applyNumberFormat="1" applyFont="1" applyFill="1" applyBorder="1" applyAlignment="1" applyProtection="1">
      <alignment horizontal="center" vertical="center"/>
      <protection hidden="1"/>
    </xf>
    <xf numFmtId="39" fontId="140" fillId="3" borderId="6" xfId="0" applyNumberFormat="1" applyFont="1" applyFill="1" applyBorder="1" applyAlignment="1" applyProtection="1">
      <alignment horizontal="right"/>
      <protection hidden="1"/>
    </xf>
    <xf numFmtId="39" fontId="140" fillId="3" borderId="6" xfId="0" applyNumberFormat="1" applyFont="1" applyFill="1" applyBorder="1" applyAlignment="1" applyProtection="1">
      <alignment vertical="center"/>
      <protection hidden="1"/>
    </xf>
    <xf numFmtId="4" fontId="4" fillId="3" borderId="0" xfId="0" applyNumberFormat="1" applyFont="1" applyFill="1" applyAlignment="1" applyProtection="1">
      <alignment horizontal="center" vertical="center"/>
      <protection locked="0"/>
    </xf>
    <xf numFmtId="0" fontId="3" fillId="0" borderId="5" xfId="0" applyFont="1" applyBorder="1" applyAlignment="1" applyProtection="1">
      <alignment vertical="top"/>
      <protection hidden="1"/>
    </xf>
    <xf numFmtId="4" fontId="4" fillId="3" borderId="5" xfId="0" applyNumberFormat="1" applyFont="1" applyFill="1" applyBorder="1" applyAlignment="1" applyProtection="1">
      <alignment horizontal="right"/>
      <protection hidden="1"/>
    </xf>
    <xf numFmtId="4" fontId="0" fillId="3" borderId="70" xfId="0" applyNumberFormat="1" applyFill="1" applyBorder="1" applyProtection="1">
      <protection hidden="1"/>
    </xf>
    <xf numFmtId="4" fontId="4" fillId="3" borderId="5" xfId="0" applyNumberFormat="1" applyFont="1" applyFill="1" applyBorder="1" applyAlignment="1" applyProtection="1">
      <alignment horizontal="center" vertical="center"/>
      <protection locked="0"/>
    </xf>
    <xf numFmtId="4" fontId="0" fillId="16" borderId="3" xfId="0" applyNumberFormat="1" applyFill="1" applyBorder="1" applyProtection="1">
      <protection hidden="1"/>
    </xf>
    <xf numFmtId="4" fontId="0" fillId="16" borderId="0" xfId="0" applyNumberFormat="1" applyFill="1" applyProtection="1">
      <protection hidden="1"/>
    </xf>
    <xf numFmtId="4" fontId="0" fillId="16" borderId="25" xfId="0" applyNumberFormat="1" applyFill="1" applyBorder="1" applyProtection="1">
      <protection hidden="1"/>
    </xf>
    <xf numFmtId="4" fontId="0" fillId="3" borderId="71" xfId="0" applyNumberFormat="1" applyFill="1" applyBorder="1" applyProtection="1">
      <protection hidden="1"/>
    </xf>
    <xf numFmtId="0" fontId="140" fillId="3" borderId="26" xfId="0" applyFont="1" applyFill="1" applyBorder="1" applyProtection="1">
      <protection hidden="1"/>
    </xf>
    <xf numFmtId="0" fontId="140" fillId="3" borderId="32" xfId="0" applyFont="1" applyFill="1" applyBorder="1" applyProtection="1">
      <protection hidden="1"/>
    </xf>
    <xf numFmtId="0" fontId="138" fillId="2" borderId="0" xfId="0" applyFont="1" applyFill="1" applyProtection="1">
      <protection hidden="1"/>
    </xf>
    <xf numFmtId="0" fontId="140" fillId="0" borderId="0" xfId="0" applyFont="1" applyAlignment="1" applyProtection="1">
      <alignment horizontal="center"/>
      <protection hidden="1"/>
    </xf>
    <xf numFmtId="3" fontId="0" fillId="2" borderId="13" xfId="0" applyNumberFormat="1" applyFill="1" applyBorder="1" applyAlignment="1" applyProtection="1">
      <alignment horizontal="right" vertical="center"/>
      <protection locked="0"/>
    </xf>
    <xf numFmtId="0" fontId="0" fillId="16" borderId="0" xfId="0" applyFill="1" applyProtection="1">
      <protection hidden="1"/>
    </xf>
    <xf numFmtId="0" fontId="1" fillId="17" borderId="13" xfId="0" applyFont="1" applyFill="1" applyBorder="1" applyAlignment="1" applyProtection="1">
      <alignment horizontal="center" vertical="center"/>
      <protection locked="0"/>
    </xf>
    <xf numFmtId="0" fontId="1" fillId="17" borderId="2" xfId="0" applyFont="1" applyFill="1" applyBorder="1" applyAlignment="1" applyProtection="1">
      <alignment horizontal="center" vertical="center"/>
      <protection locked="0"/>
    </xf>
    <xf numFmtId="0" fontId="6" fillId="17" borderId="13" xfId="0" applyFont="1" applyFill="1" applyBorder="1" applyAlignment="1" applyProtection="1">
      <alignment horizontal="center" vertical="center"/>
      <protection locked="0"/>
    </xf>
    <xf numFmtId="167" fontId="6" fillId="17" borderId="13" xfId="0" applyNumberFormat="1" applyFont="1" applyFill="1" applyBorder="1" applyAlignment="1" applyProtection="1">
      <alignment horizontal="center"/>
      <protection locked="0"/>
    </xf>
    <xf numFmtId="0" fontId="6" fillId="17"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8" fillId="16" borderId="0" xfId="0" applyFont="1" applyFill="1" applyProtection="1">
      <protection hidden="1"/>
    </xf>
    <xf numFmtId="14" fontId="8" fillId="16" borderId="31" xfId="0" applyNumberFormat="1" applyFont="1" applyFill="1" applyBorder="1" applyProtection="1">
      <protection hidden="1"/>
    </xf>
    <xf numFmtId="14" fontId="8" fillId="16" borderId="9" xfId="0" applyNumberFormat="1" applyFont="1" applyFill="1" applyBorder="1" applyProtection="1">
      <protection hidden="1"/>
    </xf>
    <xf numFmtId="14" fontId="8" fillId="16" borderId="15" xfId="0" applyNumberFormat="1" applyFont="1" applyFill="1" applyBorder="1" applyProtection="1">
      <protection hidden="1"/>
    </xf>
    <xf numFmtId="1" fontId="1" fillId="16" borderId="9" xfId="0" applyNumberFormat="1" applyFont="1" applyFill="1" applyBorder="1" applyProtection="1">
      <protection hidden="1"/>
    </xf>
    <xf numFmtId="0" fontId="1" fillId="19" borderId="0" xfId="0" applyFont="1" applyFill="1" applyAlignment="1" applyProtection="1">
      <alignment horizontal="right"/>
      <protection hidden="1"/>
    </xf>
    <xf numFmtId="0" fontId="0" fillId="19" borderId="0" xfId="0" applyFill="1" applyProtection="1">
      <protection hidden="1"/>
    </xf>
    <xf numFmtId="0" fontId="5" fillId="19" borderId="0" xfId="0" applyFont="1" applyFill="1" applyProtection="1">
      <protection hidden="1"/>
    </xf>
    <xf numFmtId="0" fontId="8" fillId="19" borderId="0" xfId="0" applyFont="1" applyFill="1" applyProtection="1">
      <protection hidden="1"/>
    </xf>
    <xf numFmtId="0" fontId="1" fillId="19" borderId="0" xfId="0" applyFont="1" applyFill="1" applyProtection="1">
      <protection hidden="1"/>
    </xf>
    <xf numFmtId="0" fontId="15" fillId="19" borderId="0" xfId="0" applyFont="1" applyFill="1" applyProtection="1">
      <protection hidden="1"/>
    </xf>
    <xf numFmtId="0" fontId="11" fillId="19" borderId="0" xfId="0" applyFont="1" applyFill="1" applyAlignment="1" applyProtection="1">
      <alignment horizontal="right"/>
      <protection hidden="1"/>
    </xf>
    <xf numFmtId="0" fontId="1" fillId="19" borderId="0" xfId="0" applyFont="1" applyFill="1" applyAlignment="1" applyProtection="1">
      <alignment vertical="center"/>
      <protection hidden="1"/>
    </xf>
    <xf numFmtId="0" fontId="4" fillId="19" borderId="0" xfId="0" applyFont="1" applyFill="1" applyAlignment="1" applyProtection="1">
      <alignment horizontal="center"/>
      <protection hidden="1"/>
    </xf>
    <xf numFmtId="0" fontId="1" fillId="19" borderId="1" xfId="0" applyFont="1" applyFill="1" applyBorder="1" applyAlignment="1" applyProtection="1">
      <alignment horizontal="right"/>
      <protection hidden="1"/>
    </xf>
    <xf numFmtId="0" fontId="8" fillId="19" borderId="0" xfId="0" applyFont="1" applyFill="1" applyAlignment="1" applyProtection="1">
      <alignment horizontal="left"/>
      <protection hidden="1"/>
    </xf>
    <xf numFmtId="0" fontId="8" fillId="19" borderId="0" xfId="0" applyFont="1" applyFill="1" applyAlignment="1" applyProtection="1">
      <alignment wrapText="1"/>
      <protection hidden="1"/>
    </xf>
    <xf numFmtId="0" fontId="8" fillId="19" borderId="0" xfId="0" applyFont="1" applyFill="1" applyAlignment="1" applyProtection="1">
      <alignment horizontal="center" wrapText="1"/>
      <protection hidden="1"/>
    </xf>
    <xf numFmtId="0" fontId="17" fillId="19" borderId="0" xfId="0" applyFont="1" applyFill="1" applyProtection="1">
      <protection hidden="1"/>
    </xf>
    <xf numFmtId="0" fontId="1" fillId="19" borderId="5" xfId="0" applyFont="1" applyFill="1" applyBorder="1" applyAlignment="1" applyProtection="1">
      <alignment horizontal="right"/>
      <protection hidden="1"/>
    </xf>
    <xf numFmtId="0" fontId="5" fillId="19" borderId="5" xfId="0" applyFont="1" applyFill="1" applyBorder="1" applyProtection="1">
      <protection hidden="1"/>
    </xf>
    <xf numFmtId="1" fontId="1" fillId="19" borderId="13" xfId="0" applyNumberFormat="1" applyFont="1" applyFill="1" applyBorder="1" applyAlignment="1" applyProtection="1">
      <alignment horizontal="center"/>
      <protection hidden="1"/>
    </xf>
    <xf numFmtId="0" fontId="1" fillId="19" borderId="11" xfId="0" applyFont="1" applyFill="1" applyBorder="1" applyAlignment="1" applyProtection="1">
      <alignment horizontal="center"/>
      <protection hidden="1"/>
    </xf>
    <xf numFmtId="0" fontId="0" fillId="19" borderId="0" xfId="0" applyFill="1" applyAlignment="1" applyProtection="1">
      <alignment horizontal="right"/>
      <protection hidden="1"/>
    </xf>
    <xf numFmtId="0" fontId="27" fillId="19" borderId="0" xfId="0" applyFont="1" applyFill="1" applyAlignment="1" applyProtection="1">
      <alignment horizontal="right"/>
      <protection hidden="1"/>
    </xf>
    <xf numFmtId="0" fontId="1" fillId="19" borderId="0" xfId="0" applyFont="1" applyFill="1" applyAlignment="1" applyProtection="1">
      <alignment horizontal="left"/>
      <protection hidden="1"/>
    </xf>
    <xf numFmtId="0" fontId="4" fillId="19" borderId="0" xfId="0" applyFont="1" applyFill="1" applyAlignment="1" applyProtection="1">
      <alignment horizontal="left"/>
      <protection hidden="1"/>
    </xf>
    <xf numFmtId="1" fontId="1" fillId="19" borderId="13" xfId="0" applyNumberFormat="1" applyFont="1" applyFill="1" applyBorder="1" applyAlignment="1" applyProtection="1">
      <alignment horizontal="center" vertical="center"/>
      <protection hidden="1"/>
    </xf>
    <xf numFmtId="0" fontId="15" fillId="19" borderId="9" xfId="0" applyFont="1" applyFill="1" applyBorder="1" applyAlignment="1" applyProtection="1">
      <alignment horizontal="left" vertical="center"/>
      <protection hidden="1"/>
    </xf>
    <xf numFmtId="0" fontId="1" fillId="19" borderId="0" xfId="0" applyFont="1" applyFill="1" applyAlignment="1" applyProtection="1">
      <alignment horizontal="right" vertical="center"/>
      <protection hidden="1"/>
    </xf>
    <xf numFmtId="0" fontId="0" fillId="19" borderId="0" xfId="0" applyFill="1" applyAlignment="1" applyProtection="1">
      <alignment vertical="center"/>
      <protection hidden="1"/>
    </xf>
    <xf numFmtId="0" fontId="8" fillId="19" borderId="0" xfId="0" applyFont="1" applyFill="1" applyAlignment="1" applyProtection="1">
      <alignment vertical="center"/>
      <protection hidden="1"/>
    </xf>
    <xf numFmtId="0" fontId="17" fillId="19" borderId="0" xfId="0" applyFont="1" applyFill="1" applyAlignment="1" applyProtection="1">
      <alignment horizontal="left" vertical="center"/>
      <protection hidden="1"/>
    </xf>
    <xf numFmtId="0" fontId="8" fillId="19" borderId="0" xfId="0" applyFont="1" applyFill="1" applyAlignment="1" applyProtection="1">
      <alignment horizontal="center" vertical="center"/>
      <protection hidden="1"/>
    </xf>
    <xf numFmtId="0" fontId="4" fillId="19" borderId="0" xfId="0" applyFont="1" applyFill="1" applyAlignment="1" applyProtection="1">
      <alignment horizontal="right" vertical="center"/>
      <protection hidden="1"/>
    </xf>
    <xf numFmtId="1" fontId="12" fillId="19" borderId="0" xfId="0" applyNumberFormat="1" applyFont="1" applyFill="1" applyAlignment="1" applyProtection="1">
      <alignment horizontal="center" vertical="center"/>
      <protection hidden="1"/>
    </xf>
    <xf numFmtId="1" fontId="12" fillId="19" borderId="0" xfId="0" applyNumberFormat="1" applyFont="1" applyFill="1" applyAlignment="1" applyProtection="1">
      <alignment horizontal="right" vertical="center"/>
      <protection hidden="1"/>
    </xf>
    <xf numFmtId="0" fontId="1" fillId="19" borderId="3" xfId="0" applyFont="1" applyFill="1" applyBorder="1" applyAlignment="1" applyProtection="1">
      <alignment horizontal="right"/>
      <protection hidden="1"/>
    </xf>
    <xf numFmtId="0" fontId="1" fillId="19" borderId="9" xfId="0" applyFont="1" applyFill="1" applyBorder="1" applyAlignment="1" applyProtection="1">
      <alignment horizontal="right"/>
      <protection hidden="1"/>
    </xf>
    <xf numFmtId="0" fontId="5" fillId="19" borderId="9" xfId="0" applyFont="1" applyFill="1" applyBorder="1" applyProtection="1">
      <protection hidden="1"/>
    </xf>
    <xf numFmtId="4" fontId="5" fillId="19" borderId="0" xfId="0" applyNumberFormat="1" applyFont="1" applyFill="1" applyProtection="1">
      <protection hidden="1"/>
    </xf>
    <xf numFmtId="0" fontId="42" fillId="19" borderId="9" xfId="0" applyFont="1" applyFill="1" applyBorder="1" applyAlignment="1" applyProtection="1">
      <alignment horizontal="right" vertical="center"/>
      <protection hidden="1"/>
    </xf>
    <xf numFmtId="1" fontId="1" fillId="19" borderId="11" xfId="0" applyNumberFormat="1" applyFont="1" applyFill="1" applyBorder="1" applyAlignment="1" applyProtection="1">
      <alignment horizontal="center"/>
      <protection hidden="1"/>
    </xf>
    <xf numFmtId="167" fontId="5" fillId="19" borderId="0" xfId="0" applyNumberFormat="1" applyFont="1" applyFill="1" applyAlignment="1" applyProtection="1">
      <alignment horizontal="left"/>
      <protection hidden="1"/>
    </xf>
    <xf numFmtId="4" fontId="8" fillId="19" borderId="0" xfId="0" applyNumberFormat="1" applyFont="1" applyFill="1" applyProtection="1">
      <protection hidden="1"/>
    </xf>
    <xf numFmtId="0" fontId="0" fillId="19" borderId="5" xfId="0" applyFill="1" applyBorder="1" applyProtection="1">
      <protection hidden="1"/>
    </xf>
    <xf numFmtId="0" fontId="8" fillId="19" borderId="5" xfId="0" applyFont="1" applyFill="1" applyBorder="1" applyProtection="1">
      <protection hidden="1"/>
    </xf>
    <xf numFmtId="0" fontId="0" fillId="20" borderId="40" xfId="0" applyFill="1" applyBorder="1" applyProtection="1">
      <protection hidden="1"/>
    </xf>
    <xf numFmtId="0" fontId="0" fillId="20" borderId="55" xfId="0" applyFill="1" applyBorder="1" applyProtection="1">
      <protection hidden="1"/>
    </xf>
    <xf numFmtId="3" fontId="7" fillId="21" borderId="10" xfId="0" applyNumberFormat="1" applyFont="1" applyFill="1" applyBorder="1" applyProtection="1">
      <protection locked="0"/>
    </xf>
    <xf numFmtId="0" fontId="1" fillId="21" borderId="2" xfId="0" applyFont="1" applyFill="1" applyBorder="1" applyAlignment="1" applyProtection="1">
      <alignment horizontal="center" vertical="center"/>
      <protection locked="0"/>
    </xf>
    <xf numFmtId="4" fontId="6" fillId="3" borderId="25" xfId="0" applyNumberFormat="1" applyFont="1" applyFill="1" applyBorder="1" applyAlignment="1" applyProtection="1">
      <alignment horizontal="right"/>
      <protection hidden="1"/>
    </xf>
    <xf numFmtId="0" fontId="20" fillId="3" borderId="22" xfId="0" applyFont="1" applyFill="1" applyBorder="1" applyAlignment="1" applyProtection="1">
      <alignment horizontal="left" vertical="center"/>
      <protection hidden="1"/>
    </xf>
    <xf numFmtId="0" fontId="5" fillId="3" borderId="9" xfId="0" applyFont="1" applyFill="1" applyBorder="1" applyProtection="1">
      <protection hidden="1"/>
    </xf>
    <xf numFmtId="49" fontId="1" fillId="21" borderId="18" xfId="0" applyNumberFormat="1" applyFont="1" applyFill="1" applyBorder="1" applyAlignment="1" applyProtection="1">
      <alignment horizontal="center"/>
      <protection locked="0"/>
    </xf>
    <xf numFmtId="49" fontId="4" fillId="17" borderId="34" xfId="0" applyNumberFormat="1" applyFont="1" applyFill="1" applyBorder="1" applyAlignment="1" applyProtection="1">
      <alignment horizontal="center"/>
      <protection locked="0"/>
    </xf>
    <xf numFmtId="166" fontId="19" fillId="17" borderId="0" xfId="0" applyNumberFormat="1" applyFont="1" applyFill="1" applyAlignment="1" applyProtection="1">
      <alignment horizontal="center" vertical="center"/>
      <protection locked="0"/>
    </xf>
    <xf numFmtId="49" fontId="1" fillId="21" borderId="11" xfId="0" applyNumberFormat="1" applyFont="1" applyFill="1" applyBorder="1" applyAlignment="1" applyProtection="1">
      <alignment horizontal="center" vertical="center"/>
      <protection locked="0"/>
    </xf>
    <xf numFmtId="49" fontId="1" fillId="21" borderId="19" xfId="0" applyNumberFormat="1" applyFont="1" applyFill="1" applyBorder="1" applyAlignment="1" applyProtection="1">
      <alignment horizontal="center" vertical="center"/>
      <protection locked="0"/>
    </xf>
    <xf numFmtId="49" fontId="1" fillId="21" borderId="12" xfId="0" applyNumberFormat="1" applyFont="1" applyFill="1" applyBorder="1" applyAlignment="1" applyProtection="1">
      <alignment horizontal="center" vertical="center"/>
      <protection locked="0"/>
    </xf>
    <xf numFmtId="49" fontId="4" fillId="17" borderId="10" xfId="0" applyNumberFormat="1" applyFont="1" applyFill="1" applyBorder="1" applyAlignment="1" applyProtection="1">
      <alignment horizontal="center" vertical="center"/>
      <protection locked="0"/>
    </xf>
    <xf numFmtId="0" fontId="4" fillId="21" borderId="2" xfId="0" applyFont="1" applyFill="1" applyBorder="1" applyAlignment="1" applyProtection="1">
      <alignment horizontal="center" vertical="center"/>
      <protection locked="0"/>
    </xf>
    <xf numFmtId="0" fontId="6" fillId="3" borderId="71" xfId="0" applyFont="1" applyFill="1" applyBorder="1" applyAlignment="1" applyProtection="1">
      <alignment horizontal="right"/>
      <protection hidden="1"/>
    </xf>
    <xf numFmtId="37" fontId="4" fillId="21" borderId="4" xfId="0" applyNumberFormat="1" applyFont="1" applyFill="1" applyBorder="1" applyAlignment="1" applyProtection="1">
      <alignment horizontal="center"/>
      <protection locked="0"/>
    </xf>
    <xf numFmtId="0" fontId="1" fillId="3" borderId="9" xfId="0" applyFont="1" applyFill="1" applyBorder="1" applyAlignment="1" applyProtection="1">
      <alignment horizontal="right" vertical="top" wrapText="1"/>
      <protection hidden="1"/>
    </xf>
    <xf numFmtId="0" fontId="1" fillId="3" borderId="1" xfId="0" applyFont="1" applyFill="1" applyBorder="1" applyAlignment="1" applyProtection="1">
      <alignment horizontal="right" vertical="top" wrapText="1"/>
      <protection hidden="1"/>
    </xf>
    <xf numFmtId="37" fontId="6" fillId="21" borderId="11" xfId="0" applyNumberFormat="1" applyFont="1" applyFill="1" applyBorder="1" applyAlignment="1" applyProtection="1">
      <alignment horizontal="right"/>
      <protection locked="0"/>
    </xf>
    <xf numFmtId="37" fontId="6" fillId="17" borderId="11" xfId="0" applyNumberFormat="1" applyFont="1" applyFill="1" applyBorder="1" applyAlignment="1" applyProtection="1">
      <alignment horizontal="right"/>
      <protection locked="0"/>
    </xf>
    <xf numFmtId="37" fontId="6" fillId="21" borderId="12" xfId="0" applyNumberFormat="1" applyFont="1" applyFill="1" applyBorder="1" applyAlignment="1" applyProtection="1">
      <alignment horizontal="right"/>
      <protection locked="0"/>
    </xf>
    <xf numFmtId="0" fontId="0" fillId="22" borderId="0" xfId="0" applyFill="1" applyProtection="1">
      <protection hidden="1"/>
    </xf>
    <xf numFmtId="0" fontId="5" fillId="22" borderId="0" xfId="0" applyFont="1" applyFill="1" applyProtection="1">
      <protection hidden="1"/>
    </xf>
    <xf numFmtId="0" fontId="8" fillId="22" borderId="0" xfId="0" applyFont="1" applyFill="1" applyProtection="1">
      <protection hidden="1"/>
    </xf>
    <xf numFmtId="4" fontId="8" fillId="22" borderId="0" xfId="0" applyNumberFormat="1" applyFont="1" applyFill="1" applyProtection="1">
      <protection hidden="1"/>
    </xf>
    <xf numFmtId="0" fontId="12" fillId="22" borderId="0" xfId="0" applyFont="1" applyFill="1" applyProtection="1">
      <protection hidden="1"/>
    </xf>
    <xf numFmtId="0" fontId="0" fillId="22" borderId="0" xfId="0" applyFill="1"/>
    <xf numFmtId="4" fontId="53" fillId="22" borderId="0" xfId="0" applyNumberFormat="1" applyFont="1" applyFill="1" applyProtection="1">
      <protection hidden="1"/>
    </xf>
    <xf numFmtId="4" fontId="56" fillId="22" borderId="0" xfId="0" applyNumberFormat="1" applyFont="1" applyFill="1" applyAlignment="1" applyProtection="1">
      <alignment horizontal="center"/>
      <protection hidden="1"/>
    </xf>
    <xf numFmtId="4" fontId="94" fillId="22" borderId="0" xfId="0" applyNumberFormat="1" applyFont="1" applyFill="1" applyAlignment="1" applyProtection="1">
      <alignment horizontal="center"/>
      <protection hidden="1"/>
    </xf>
    <xf numFmtId="4" fontId="17" fillId="22" borderId="0" xfId="0" applyNumberFormat="1" applyFont="1" applyFill="1" applyAlignment="1" applyProtection="1">
      <alignment horizontal="center"/>
      <protection hidden="1"/>
    </xf>
    <xf numFmtId="39" fontId="5" fillId="22" borderId="0" xfId="0" applyNumberFormat="1" applyFont="1" applyFill="1" applyAlignment="1" applyProtection="1">
      <alignment horizontal="right"/>
      <protection locked="0"/>
    </xf>
    <xf numFmtId="39" fontId="5" fillId="22" borderId="0" xfId="0" applyNumberFormat="1" applyFont="1" applyFill="1" applyProtection="1">
      <protection locked="0"/>
    </xf>
    <xf numFmtId="39" fontId="8" fillId="22" borderId="0" xfId="0" applyNumberFormat="1" applyFont="1" applyFill="1" applyAlignment="1" applyProtection="1">
      <alignment horizontal="center"/>
      <protection hidden="1"/>
    </xf>
    <xf numFmtId="39" fontId="5" fillId="22" borderId="0" xfId="0" applyNumberFormat="1" applyFont="1" applyFill="1" applyProtection="1">
      <protection hidden="1"/>
    </xf>
    <xf numFmtId="4" fontId="0" fillId="22" borderId="0" xfId="0" applyNumberFormat="1" applyFill="1" applyProtection="1">
      <protection hidden="1"/>
    </xf>
    <xf numFmtId="4" fontId="11" fillId="22" borderId="0" xfId="0" applyNumberFormat="1" applyFont="1" applyFill="1" applyProtection="1">
      <protection hidden="1"/>
    </xf>
    <xf numFmtId="39" fontId="8" fillId="22" borderId="0" xfId="0" applyNumberFormat="1" applyFont="1" applyFill="1" applyProtection="1">
      <protection hidden="1"/>
    </xf>
    <xf numFmtId="4" fontId="4" fillId="22" borderId="0" xfId="0" applyNumberFormat="1" applyFont="1" applyFill="1" applyProtection="1">
      <protection hidden="1"/>
    </xf>
    <xf numFmtId="4" fontId="19" fillId="22" borderId="0" xfId="0" applyNumberFormat="1" applyFont="1" applyFill="1" applyProtection="1">
      <protection hidden="1"/>
    </xf>
    <xf numFmtId="4" fontId="19" fillId="22" borderId="0" xfId="0" applyNumberFormat="1" applyFont="1" applyFill="1" applyAlignment="1" applyProtection="1">
      <alignment vertical="center"/>
      <protection hidden="1"/>
    </xf>
    <xf numFmtId="0" fontId="0" fillId="16" borderId="9" xfId="0" applyFill="1" applyBorder="1" applyAlignment="1" applyProtection="1">
      <alignment horizontal="right"/>
      <protection hidden="1"/>
    </xf>
    <xf numFmtId="0" fontId="1" fillId="3" borderId="29" xfId="0" applyFont="1" applyFill="1" applyBorder="1" applyAlignment="1" applyProtection="1">
      <alignment horizontal="right"/>
      <protection hidden="1"/>
    </xf>
    <xf numFmtId="0" fontId="145" fillId="5" borderId="0" xfId="0" applyFont="1" applyFill="1" applyProtection="1">
      <protection hidden="1"/>
    </xf>
    <xf numFmtId="39" fontId="0" fillId="23" borderId="7" xfId="0" applyNumberFormat="1" applyFill="1" applyBorder="1" applyProtection="1">
      <protection hidden="1"/>
    </xf>
    <xf numFmtId="0" fontId="57" fillId="9" borderId="1" xfId="0" applyFont="1" applyFill="1" applyBorder="1" applyProtection="1">
      <protection hidden="1"/>
    </xf>
    <xf numFmtId="0" fontId="3" fillId="2" borderId="1" xfId="0" applyFont="1" applyFill="1" applyBorder="1" applyProtection="1">
      <protection hidden="1"/>
    </xf>
    <xf numFmtId="0" fontId="122" fillId="16" borderId="0" xfId="0" applyFont="1" applyFill="1" applyAlignment="1" applyProtection="1">
      <alignment horizontal="center"/>
      <protection hidden="1"/>
    </xf>
    <xf numFmtId="0" fontId="11" fillId="2" borderId="3" xfId="0" applyFont="1" applyFill="1" applyBorder="1" applyProtection="1">
      <protection hidden="1"/>
    </xf>
    <xf numFmtId="0" fontId="6" fillId="0" borderId="13" xfId="0" applyFont="1" applyBorder="1" applyAlignment="1" applyProtection="1">
      <alignment horizontal="left" wrapText="1"/>
      <protection locked="0"/>
    </xf>
    <xf numFmtId="4" fontId="0" fillId="0" borderId="13" xfId="0" applyNumberFormat="1" applyBorder="1" applyAlignment="1" applyProtection="1">
      <alignment wrapText="1"/>
      <protection locked="0"/>
    </xf>
    <xf numFmtId="3" fontId="0" fillId="0" borderId="13" xfId="0" applyNumberFormat="1" applyBorder="1" applyAlignment="1" applyProtection="1">
      <alignment wrapText="1"/>
      <protection locked="0"/>
    </xf>
    <xf numFmtId="4" fontId="3" fillId="0" borderId="40" xfId="0" applyNumberFormat="1" applyFont="1" applyBorder="1" applyAlignment="1" applyProtection="1">
      <alignment horizontal="center" wrapText="1"/>
      <protection locked="0"/>
    </xf>
    <xf numFmtId="174" fontId="0" fillId="0" borderId="13" xfId="0" applyNumberFormat="1" applyBorder="1" applyAlignment="1" applyProtection="1">
      <alignment horizontal="center" wrapText="1"/>
      <protection locked="0"/>
    </xf>
    <xf numFmtId="3" fontId="77" fillId="2" borderId="0" xfId="0" applyNumberFormat="1" applyFont="1" applyFill="1" applyAlignment="1" applyProtection="1">
      <alignment horizontal="left"/>
      <protection hidden="1"/>
    </xf>
    <xf numFmtId="4" fontId="1" fillId="3" borderId="25" xfId="0" applyNumberFormat="1" applyFont="1" applyFill="1" applyBorder="1" applyAlignment="1" applyProtection="1">
      <alignment horizontal="right"/>
      <protection hidden="1"/>
    </xf>
    <xf numFmtId="0" fontId="0" fillId="16" borderId="21" xfId="0" applyFill="1" applyBorder="1" applyProtection="1">
      <protection hidden="1"/>
    </xf>
    <xf numFmtId="0" fontId="1" fillId="16" borderId="13" xfId="0" applyFont="1" applyFill="1" applyBorder="1" applyAlignment="1" applyProtection="1">
      <alignment horizontal="center" vertical="center"/>
      <protection locked="0"/>
    </xf>
    <xf numFmtId="0" fontId="11" fillId="25" borderId="24" xfId="0" applyFont="1" applyFill="1" applyBorder="1" applyAlignment="1" applyProtection="1">
      <alignment horizontal="right"/>
      <protection hidden="1"/>
    </xf>
    <xf numFmtId="0" fontId="5" fillId="25" borderId="8" xfId="0" applyFont="1" applyFill="1" applyBorder="1" applyAlignment="1" applyProtection="1">
      <alignment vertical="center"/>
      <protection hidden="1"/>
    </xf>
    <xf numFmtId="0" fontId="0" fillId="25" borderId="8" xfId="0" applyFill="1" applyBorder="1" applyProtection="1">
      <protection hidden="1"/>
    </xf>
    <xf numFmtId="0" fontId="0" fillId="25" borderId="20" xfId="0" applyFill="1" applyBorder="1" applyProtection="1">
      <protection hidden="1"/>
    </xf>
    <xf numFmtId="0" fontId="11" fillId="25" borderId="6" xfId="0" applyFont="1" applyFill="1" applyBorder="1" applyAlignment="1" applyProtection="1">
      <alignment horizontal="right"/>
      <protection hidden="1"/>
    </xf>
    <xf numFmtId="0" fontId="5" fillId="25" borderId="0" xfId="0" applyFont="1" applyFill="1" applyAlignment="1" applyProtection="1">
      <alignment vertical="center"/>
      <protection hidden="1"/>
    </xf>
    <xf numFmtId="0" fontId="3" fillId="25" borderId="0" xfId="0" applyFont="1" applyFill="1" applyAlignment="1" applyProtection="1">
      <alignment horizontal="center"/>
      <protection hidden="1"/>
    </xf>
    <xf numFmtId="0" fontId="0" fillId="25" borderId="0" xfId="0" applyFill="1" applyProtection="1">
      <protection hidden="1"/>
    </xf>
    <xf numFmtId="0" fontId="0" fillId="25" borderId="21" xfId="0" applyFill="1" applyBorder="1" applyProtection="1">
      <protection hidden="1"/>
    </xf>
    <xf numFmtId="0" fontId="6" fillId="25" borderId="6" xfId="0" applyFont="1" applyFill="1" applyBorder="1" applyAlignment="1" applyProtection="1">
      <alignment horizontal="right"/>
      <protection hidden="1"/>
    </xf>
    <xf numFmtId="0" fontId="138" fillId="25" borderId="21" xfId="0" applyFont="1" applyFill="1" applyBorder="1" applyProtection="1">
      <protection hidden="1"/>
    </xf>
    <xf numFmtId="0" fontId="1" fillId="25" borderId="9" xfId="0" applyFont="1" applyFill="1" applyBorder="1" applyAlignment="1" applyProtection="1">
      <alignment vertical="center"/>
      <protection hidden="1"/>
    </xf>
    <xf numFmtId="0" fontId="5" fillId="25" borderId="6" xfId="0" applyFont="1" applyFill="1" applyBorder="1" applyAlignment="1" applyProtection="1">
      <alignment horizontal="right" wrapText="1"/>
      <protection hidden="1"/>
    </xf>
    <xf numFmtId="0" fontId="5" fillId="25" borderId="0" xfId="0" applyFont="1" applyFill="1" applyAlignment="1" applyProtection="1">
      <alignment horizontal="right"/>
      <protection hidden="1"/>
    </xf>
    <xf numFmtId="0" fontId="1" fillId="25" borderId="1" xfId="0" applyFont="1" applyFill="1" applyBorder="1" applyAlignment="1" applyProtection="1">
      <alignment vertical="center"/>
      <protection hidden="1"/>
    </xf>
    <xf numFmtId="0" fontId="1" fillId="25" borderId="0" xfId="0" applyFont="1" applyFill="1" applyAlignment="1" applyProtection="1">
      <alignment vertical="center"/>
      <protection hidden="1"/>
    </xf>
    <xf numFmtId="0" fontId="11" fillId="25" borderId="22" xfId="0" applyFont="1" applyFill="1" applyBorder="1" applyAlignment="1" applyProtection="1">
      <alignment horizontal="right"/>
      <protection hidden="1"/>
    </xf>
    <xf numFmtId="0" fontId="5" fillId="25" borderId="5" xfId="0" applyFont="1" applyFill="1" applyBorder="1" applyAlignment="1" applyProtection="1">
      <alignment vertical="center"/>
      <protection hidden="1"/>
    </xf>
    <xf numFmtId="0" fontId="0" fillId="25" borderId="5" xfId="0" applyFill="1" applyBorder="1" applyProtection="1">
      <protection hidden="1"/>
    </xf>
    <xf numFmtId="40" fontId="80" fillId="2" borderId="0" xfId="0" applyNumberFormat="1" applyFont="1" applyFill="1" applyAlignment="1" applyProtection="1">
      <alignment horizontal="right" vertical="center"/>
      <protection hidden="1"/>
    </xf>
    <xf numFmtId="3" fontId="7" fillId="21" borderId="107" xfId="0" applyNumberFormat="1" applyFont="1" applyFill="1" applyBorder="1" applyProtection="1">
      <protection locked="0"/>
    </xf>
    <xf numFmtId="0" fontId="10" fillId="2" borderId="17" xfId="4" applyFont="1" applyFill="1" applyBorder="1" applyAlignment="1" applyProtection="1">
      <alignment horizontal="left" vertical="center"/>
      <protection hidden="1"/>
    </xf>
    <xf numFmtId="0" fontId="69" fillId="2" borderId="17" xfId="4" applyFont="1" applyFill="1" applyBorder="1" applyAlignment="1" applyProtection="1">
      <alignment horizontal="center" vertical="center"/>
      <protection hidden="1"/>
    </xf>
    <xf numFmtId="0" fontId="4" fillId="2" borderId="17" xfId="4" applyFont="1" applyFill="1" applyBorder="1" applyAlignment="1" applyProtection="1">
      <alignment horizontal="center"/>
      <protection hidden="1"/>
    </xf>
    <xf numFmtId="0" fontId="41" fillId="2" borderId="17" xfId="4" applyFont="1" applyFill="1" applyBorder="1" applyAlignment="1" applyProtection="1">
      <alignment horizontal="left" vertical="center"/>
      <protection hidden="1"/>
    </xf>
    <xf numFmtId="0" fontId="8" fillId="2" borderId="17" xfId="4" applyFont="1" applyFill="1" applyBorder="1" applyAlignment="1" applyProtection="1">
      <alignment horizontal="left" vertical="center"/>
      <protection hidden="1"/>
    </xf>
    <xf numFmtId="0" fontId="3" fillId="2" borderId="17" xfId="4" applyFill="1" applyBorder="1" applyAlignment="1" applyProtection="1">
      <alignment horizontal="left" vertical="center"/>
      <protection hidden="1"/>
    </xf>
    <xf numFmtId="49" fontId="6" fillId="2" borderId="17" xfId="4" applyNumberFormat="1" applyFont="1" applyFill="1" applyBorder="1" applyAlignment="1" applyProtection="1">
      <alignment horizontal="left" vertical="center"/>
      <protection hidden="1"/>
    </xf>
    <xf numFmtId="40" fontId="21" fillId="2" borderId="17" xfId="4" applyNumberFormat="1" applyFont="1" applyFill="1" applyBorder="1" applyAlignment="1" applyProtection="1">
      <alignment horizontal="left" vertical="center"/>
      <protection hidden="1"/>
    </xf>
    <xf numFmtId="49" fontId="1" fillId="2" borderId="13" xfId="4" applyNumberFormat="1" applyFont="1" applyFill="1" applyBorder="1" applyAlignment="1" applyProtection="1">
      <alignment horizontal="center" vertical="center"/>
      <protection hidden="1"/>
    </xf>
    <xf numFmtId="0" fontId="1" fillId="2" borderId="0" xfId="0" applyFont="1" applyFill="1" applyAlignment="1" applyProtection="1">
      <alignment horizontal="left"/>
      <protection hidden="1"/>
    </xf>
    <xf numFmtId="0" fontId="10" fillId="17" borderId="2" xfId="0" applyFont="1" applyFill="1" applyBorder="1" applyAlignment="1" applyProtection="1">
      <alignment horizontal="center" vertical="center"/>
      <protection locked="0"/>
    </xf>
    <xf numFmtId="0" fontId="138" fillId="16" borderId="0" xfId="0" applyFont="1" applyFill="1" applyAlignment="1" applyProtection="1">
      <alignment horizontal="center"/>
      <protection hidden="1"/>
    </xf>
    <xf numFmtId="0" fontId="8" fillId="0" borderId="0" xfId="0" applyFont="1" applyAlignment="1" applyProtection="1">
      <alignment vertical="center"/>
      <protection hidden="1"/>
    </xf>
    <xf numFmtId="0" fontId="11" fillId="0" borderId="0" xfId="0" applyFont="1" applyAlignment="1" applyProtection="1">
      <alignment vertical="center"/>
      <protection hidden="1"/>
    </xf>
    <xf numFmtId="37" fontId="151" fillId="3" borderId="15" xfId="0" applyNumberFormat="1" applyFont="1" applyFill="1" applyBorder="1" applyAlignment="1" applyProtection="1">
      <alignment horizontal="right"/>
      <protection hidden="1"/>
    </xf>
    <xf numFmtId="0" fontId="5" fillId="16" borderId="0" xfId="0" applyFont="1" applyFill="1" applyProtection="1">
      <protection hidden="1"/>
    </xf>
    <xf numFmtId="0" fontId="148" fillId="16" borderId="0" xfId="0" applyFont="1" applyFill="1" applyAlignment="1" applyProtection="1">
      <alignment horizontal="left"/>
      <protection hidden="1"/>
    </xf>
    <xf numFmtId="0" fontId="8" fillId="0" borderId="0" xfId="0" applyFont="1" applyAlignment="1">
      <alignment vertical="center"/>
    </xf>
    <xf numFmtId="0" fontId="134" fillId="5" borderId="0" xfId="0" applyFont="1" applyFill="1" applyAlignment="1" applyProtection="1">
      <alignment horizontal="center"/>
      <protection hidden="1"/>
    </xf>
    <xf numFmtId="37" fontId="6" fillId="3" borderId="16" xfId="0" applyNumberFormat="1" applyFont="1" applyFill="1" applyBorder="1" applyAlignment="1" applyProtection="1">
      <alignment horizontal="right"/>
      <protection hidden="1"/>
    </xf>
    <xf numFmtId="37" fontId="6" fillId="0" borderId="16" xfId="0" applyNumberFormat="1" applyFont="1" applyBorder="1" applyAlignment="1" applyProtection="1">
      <alignment horizontal="right"/>
      <protection hidden="1"/>
    </xf>
    <xf numFmtId="37" fontId="6" fillId="3" borderId="15" xfId="0" applyNumberFormat="1" applyFont="1" applyFill="1" applyBorder="1" applyAlignment="1" applyProtection="1">
      <alignment horizontal="right"/>
      <protection hidden="1"/>
    </xf>
    <xf numFmtId="37" fontId="6" fillId="16" borderId="16" xfId="0" applyNumberFormat="1" applyFont="1" applyFill="1" applyBorder="1" applyAlignment="1" applyProtection="1">
      <alignment horizontal="right"/>
      <protection hidden="1"/>
    </xf>
    <xf numFmtId="164" fontId="1" fillId="2" borderId="2" xfId="0" applyNumberFormat="1" applyFont="1" applyFill="1" applyBorder="1" applyAlignment="1" applyProtection="1">
      <alignment horizontal="center" vertical="center"/>
      <protection locked="0"/>
    </xf>
    <xf numFmtId="0" fontId="138" fillId="0" borderId="0" xfId="0" applyFont="1"/>
    <xf numFmtId="40" fontId="64" fillId="2" borderId="0" xfId="0" applyNumberFormat="1" applyFont="1" applyFill="1" applyAlignment="1" applyProtection="1">
      <alignment horizontal="right" vertical="center"/>
      <protection hidden="1"/>
    </xf>
    <xf numFmtId="3" fontId="0" fillId="2" borderId="2" xfId="0" applyNumberFormat="1" applyFill="1" applyBorder="1" applyProtection="1">
      <protection locked="0"/>
    </xf>
    <xf numFmtId="0" fontId="0" fillId="16" borderId="24" xfId="0" applyFill="1" applyBorder="1" applyProtection="1">
      <protection hidden="1"/>
    </xf>
    <xf numFmtId="0" fontId="0" fillId="16" borderId="8" xfId="0" applyFill="1" applyBorder="1" applyProtection="1">
      <protection hidden="1"/>
    </xf>
    <xf numFmtId="0" fontId="0" fillId="16" borderId="20" xfId="0" applyFill="1" applyBorder="1" applyProtection="1">
      <protection hidden="1"/>
    </xf>
    <xf numFmtId="0" fontId="3" fillId="16" borderId="0" xfId="0" applyFont="1" applyFill="1" applyProtection="1">
      <protection hidden="1"/>
    </xf>
    <xf numFmtId="0" fontId="0" fillId="16" borderId="0" xfId="0" applyFill="1" applyAlignment="1" applyProtection="1">
      <alignment vertical="top"/>
      <protection hidden="1"/>
    </xf>
    <xf numFmtId="0" fontId="0" fillId="16" borderId="21" xfId="0" applyFill="1" applyBorder="1" applyAlignment="1" applyProtection="1">
      <alignment vertical="top"/>
      <protection hidden="1"/>
    </xf>
    <xf numFmtId="0" fontId="0" fillId="16" borderId="6" xfId="0" applyFill="1" applyBorder="1" applyProtection="1">
      <protection hidden="1"/>
    </xf>
    <xf numFmtId="0" fontId="0" fillId="16" borderId="22" xfId="0" applyFill="1" applyBorder="1" applyProtection="1">
      <protection hidden="1"/>
    </xf>
    <xf numFmtId="0" fontId="0" fillId="16" borderId="5" xfId="0" applyFill="1" applyBorder="1" applyProtection="1">
      <protection hidden="1"/>
    </xf>
    <xf numFmtId="0" fontId="0" fillId="16" borderId="23" xfId="0" applyFill="1" applyBorder="1" applyProtection="1">
      <protection hidden="1"/>
    </xf>
    <xf numFmtId="0" fontId="16" fillId="2" borderId="26" xfId="0" applyFont="1" applyFill="1" applyBorder="1" applyAlignment="1" applyProtection="1">
      <alignment horizontal="center" wrapText="1"/>
      <protection hidden="1"/>
    </xf>
    <xf numFmtId="0" fontId="1" fillId="16" borderId="0" xfId="0" applyFont="1" applyFill="1" applyProtection="1">
      <protection hidden="1"/>
    </xf>
    <xf numFmtId="0" fontId="138" fillId="16" borderId="0" xfId="0" applyFont="1" applyFill="1" applyProtection="1">
      <protection hidden="1"/>
    </xf>
    <xf numFmtId="0" fontId="150" fillId="16" borderId="0" xfId="0" applyFont="1" applyFill="1" applyProtection="1">
      <protection hidden="1"/>
    </xf>
    <xf numFmtId="0" fontId="138" fillId="0" borderId="0" xfId="0" applyFont="1" applyProtection="1">
      <protection hidden="1"/>
    </xf>
    <xf numFmtId="3" fontId="0" fillId="16" borderId="31" xfId="0" applyNumberFormat="1" applyFill="1" applyBorder="1" applyAlignment="1" applyProtection="1">
      <alignment vertical="center"/>
      <protection hidden="1"/>
    </xf>
    <xf numFmtId="0" fontId="0" fillId="16" borderId="9" xfId="0" applyFill="1" applyBorder="1" applyAlignment="1" applyProtection="1">
      <alignment vertical="center"/>
      <protection hidden="1"/>
    </xf>
    <xf numFmtId="0" fontId="13" fillId="2" borderId="0" xfId="0" applyFont="1" applyFill="1" applyAlignment="1" applyProtection="1">
      <alignment horizontal="center" wrapText="1"/>
      <protection hidden="1"/>
    </xf>
    <xf numFmtId="172" fontId="5" fillId="3" borderId="0" xfId="0" applyNumberFormat="1" applyFont="1" applyFill="1" applyProtection="1">
      <protection hidden="1"/>
    </xf>
    <xf numFmtId="0" fontId="3" fillId="0" borderId="0" xfId="0" applyFont="1" applyAlignment="1" applyProtection="1">
      <alignment horizontal="center"/>
      <protection hidden="1"/>
    </xf>
    <xf numFmtId="0" fontId="3" fillId="0" borderId="1" xfId="0" applyFont="1" applyBorder="1" applyAlignment="1" applyProtection="1">
      <alignment horizontal="center"/>
      <protection hidden="1"/>
    </xf>
    <xf numFmtId="0" fontId="3" fillId="0" borderId="0" xfId="0" applyFont="1" applyAlignment="1">
      <alignment horizontal="center"/>
    </xf>
    <xf numFmtId="0" fontId="3" fillId="0" borderId="1" xfId="0" applyFont="1" applyBorder="1" applyAlignment="1">
      <alignment horizontal="center"/>
    </xf>
    <xf numFmtId="0" fontId="145" fillId="5" borderId="0" xfId="0" applyFont="1" applyFill="1" applyAlignment="1" applyProtection="1">
      <alignment horizontal="center"/>
      <protection hidden="1"/>
    </xf>
    <xf numFmtId="0" fontId="152" fillId="3" borderId="31" xfId="0" applyFont="1" applyFill="1" applyBorder="1" applyAlignment="1" applyProtection="1">
      <alignment horizontal="right" vertical="center"/>
      <protection hidden="1"/>
    </xf>
    <xf numFmtId="0" fontId="141" fillId="5" borderId="0" xfId="0" applyFont="1" applyFill="1" applyProtection="1">
      <protection hidden="1"/>
    </xf>
    <xf numFmtId="0" fontId="1" fillId="0" borderId="2" xfId="0" applyFont="1" applyBorder="1" applyAlignment="1" applyProtection="1">
      <alignment horizontal="center"/>
      <protection locked="0"/>
    </xf>
    <xf numFmtId="0" fontId="141" fillId="5" borderId="0" xfId="0" applyFont="1" applyFill="1" applyAlignment="1" applyProtection="1">
      <alignment horizontal="center"/>
      <protection hidden="1"/>
    </xf>
    <xf numFmtId="0" fontId="10" fillId="27" borderId="1" xfId="0" quotePrefix="1" applyFont="1" applyFill="1" applyBorder="1" applyProtection="1">
      <protection hidden="1"/>
    </xf>
    <xf numFmtId="0" fontId="1" fillId="27" borderId="1" xfId="0" applyFont="1" applyFill="1" applyBorder="1" applyProtection="1">
      <protection hidden="1"/>
    </xf>
    <xf numFmtId="0" fontId="7" fillId="27" borderId="1" xfId="0" applyFont="1" applyFill="1" applyBorder="1" applyAlignment="1" applyProtection="1">
      <alignment horizontal="left"/>
      <protection hidden="1"/>
    </xf>
    <xf numFmtId="0" fontId="17" fillId="0" borderId="7" xfId="0" applyFont="1" applyBorder="1" applyAlignment="1">
      <alignment horizontal="center" wrapText="1"/>
    </xf>
    <xf numFmtId="0" fontId="0" fillId="0" borderId="7" xfId="0" applyBorder="1" applyAlignment="1">
      <alignment horizontal="center"/>
    </xf>
    <xf numFmtId="0" fontId="8" fillId="16" borderId="3" xfId="0" applyFont="1" applyFill="1" applyBorder="1" applyProtection="1">
      <protection hidden="1"/>
    </xf>
    <xf numFmtId="0" fontId="8" fillId="16" borderId="25" xfId="0" applyFont="1" applyFill="1" applyBorder="1" applyProtection="1">
      <protection hidden="1"/>
    </xf>
    <xf numFmtId="4" fontId="8" fillId="16" borderId="3" xfId="0" applyNumberFormat="1" applyFont="1" applyFill="1" applyBorder="1" applyProtection="1">
      <protection hidden="1"/>
    </xf>
    <xf numFmtId="1" fontId="8" fillId="16" borderId="0" xfId="0" applyNumberFormat="1" applyFont="1" applyFill="1" applyProtection="1">
      <protection hidden="1"/>
    </xf>
    <xf numFmtId="0" fontId="4" fillId="16" borderId="0" xfId="0" applyFont="1" applyFill="1" applyAlignment="1" applyProtection="1">
      <alignment horizontal="right"/>
      <protection hidden="1"/>
    </xf>
    <xf numFmtId="0" fontId="138" fillId="0" borderId="0" xfId="0" applyFont="1" applyAlignment="1">
      <alignment horizontal="center"/>
    </xf>
    <xf numFmtId="0" fontId="5" fillId="16" borderId="0" xfId="0" applyFont="1" applyFill="1" applyAlignment="1">
      <alignment horizontal="left" vertical="top"/>
    </xf>
    <xf numFmtId="0" fontId="3" fillId="16" borderId="3" xfId="0" applyFont="1" applyFill="1" applyBorder="1" applyAlignment="1">
      <alignment horizontal="center"/>
    </xf>
    <xf numFmtId="0" fontId="3" fillId="16" borderId="25" xfId="0" applyFont="1" applyFill="1" applyBorder="1" applyAlignment="1">
      <alignment horizontal="center"/>
    </xf>
    <xf numFmtId="4" fontId="17" fillId="15" borderId="25" xfId="0" applyNumberFormat="1" applyFont="1" applyFill="1" applyBorder="1" applyAlignment="1" applyProtection="1">
      <alignment horizontal="center" vertical="center"/>
      <protection hidden="1"/>
    </xf>
    <xf numFmtId="0" fontId="17" fillId="16" borderId="3" xfId="0" applyFont="1" applyFill="1" applyBorder="1"/>
    <xf numFmtId="0" fontId="17" fillId="16" borderId="0" xfId="0" applyFont="1" applyFill="1"/>
    <xf numFmtId="0" fontId="3" fillId="20" borderId="25" xfId="0" applyFont="1" applyFill="1" applyBorder="1" applyAlignment="1" applyProtection="1">
      <alignment horizontal="center" wrapText="1"/>
      <protection hidden="1"/>
    </xf>
    <xf numFmtId="37" fontId="5" fillId="23" borderId="12" xfId="0" applyNumberFormat="1" applyFont="1" applyFill="1" applyBorder="1" applyAlignment="1" applyProtection="1">
      <alignment horizontal="right"/>
      <protection hidden="1"/>
    </xf>
    <xf numFmtId="0" fontId="3" fillId="20" borderId="3" xfId="0" applyFont="1" applyFill="1" applyBorder="1" applyAlignment="1" applyProtection="1">
      <alignment horizontal="center" wrapText="1"/>
      <protection hidden="1"/>
    </xf>
    <xf numFmtId="0" fontId="3" fillId="20" borderId="0" xfId="0" applyFont="1" applyFill="1" applyAlignment="1" applyProtection="1">
      <alignment horizontal="center" wrapText="1"/>
      <protection hidden="1"/>
    </xf>
    <xf numFmtId="0" fontId="0" fillId="20" borderId="25" xfId="0" applyFill="1" applyBorder="1" applyAlignment="1" applyProtection="1">
      <alignment horizontal="center" wrapText="1"/>
      <protection hidden="1"/>
    </xf>
    <xf numFmtId="37" fontId="6" fillId="29" borderId="12" xfId="0" applyNumberFormat="1" applyFont="1" applyFill="1" applyBorder="1" applyAlignment="1" applyProtection="1">
      <alignment horizontal="right"/>
      <protection hidden="1"/>
    </xf>
    <xf numFmtId="0" fontId="10" fillId="29" borderId="1" xfId="0" quotePrefix="1" applyFont="1" applyFill="1" applyBorder="1" applyProtection="1">
      <protection hidden="1"/>
    </xf>
    <xf numFmtId="0" fontId="7" fillId="29" borderId="1" xfId="0" quotePrefix="1" applyFont="1" applyFill="1" applyBorder="1" applyProtection="1">
      <protection hidden="1"/>
    </xf>
    <xf numFmtId="0" fontId="6" fillId="29" borderId="1" xfId="0" applyFont="1" applyFill="1" applyBorder="1" applyProtection="1">
      <protection hidden="1"/>
    </xf>
    <xf numFmtId="0" fontId="0" fillId="29" borderId="1" xfId="0" applyFill="1" applyBorder="1" applyProtection="1">
      <protection hidden="1"/>
    </xf>
    <xf numFmtId="4" fontId="0" fillId="29" borderId="1" xfId="0" applyNumberFormat="1" applyFill="1" applyBorder="1" applyProtection="1">
      <protection hidden="1"/>
    </xf>
    <xf numFmtId="39" fontId="3" fillId="29" borderId="1" xfId="0" applyNumberFormat="1" applyFont="1" applyFill="1" applyBorder="1" applyProtection="1">
      <protection hidden="1"/>
    </xf>
    <xf numFmtId="0" fontId="7" fillId="15" borderId="31" xfId="0" applyFont="1" applyFill="1" applyBorder="1" applyAlignment="1" applyProtection="1">
      <alignment horizontal="center"/>
      <protection hidden="1"/>
    </xf>
    <xf numFmtId="0" fontId="7" fillId="15" borderId="3" xfId="0" applyFont="1" applyFill="1" applyBorder="1" applyAlignment="1" applyProtection="1">
      <alignment horizontal="center"/>
      <protection hidden="1"/>
    </xf>
    <xf numFmtId="39" fontId="3" fillId="3" borderId="0" xfId="0" applyNumberFormat="1" applyFont="1" applyFill="1" applyProtection="1">
      <protection hidden="1"/>
    </xf>
    <xf numFmtId="0" fontId="148" fillId="3" borderId="0" xfId="0" applyFont="1" applyFill="1" applyAlignment="1" applyProtection="1">
      <alignment horizontal="left"/>
      <protection hidden="1"/>
    </xf>
    <xf numFmtId="176" fontId="0" fillId="2" borderId="1" xfId="0" applyNumberFormat="1" applyFill="1" applyBorder="1" applyProtection="1">
      <protection locked="0"/>
    </xf>
    <xf numFmtId="37" fontId="5" fillId="27" borderId="1" xfId="0" applyNumberFormat="1" applyFont="1" applyFill="1" applyBorder="1" applyAlignment="1" applyProtection="1">
      <alignment horizontal="right"/>
      <protection hidden="1"/>
    </xf>
    <xf numFmtId="37" fontId="3" fillId="2" borderId="1" xfId="0" applyNumberFormat="1" applyFont="1" applyFill="1" applyBorder="1" applyProtection="1">
      <protection locked="0"/>
    </xf>
    <xf numFmtId="1" fontId="1" fillId="3" borderId="0" xfId="0" applyNumberFormat="1" applyFont="1" applyFill="1" applyAlignment="1" applyProtection="1">
      <alignment horizontal="right"/>
      <protection hidden="1"/>
    </xf>
    <xf numFmtId="0" fontId="1" fillId="17" borderId="13" xfId="0" applyFont="1" applyFill="1" applyBorder="1" applyAlignment="1" applyProtection="1">
      <alignment horizontal="center"/>
      <protection locked="0"/>
    </xf>
    <xf numFmtId="3" fontId="19" fillId="2" borderId="0" xfId="0" applyNumberFormat="1" applyFont="1" applyFill="1" applyAlignment="1" applyProtection="1">
      <alignment horizontal="right"/>
      <protection hidden="1"/>
    </xf>
    <xf numFmtId="0" fontId="1" fillId="2" borderId="6" xfId="0" quotePrefix="1" applyFont="1" applyFill="1" applyBorder="1" applyAlignment="1" applyProtection="1">
      <alignment horizontal="right"/>
      <protection hidden="1"/>
    </xf>
    <xf numFmtId="3" fontId="138" fillId="2" borderId="0" xfId="0" applyNumberFormat="1" applyFont="1" applyFill="1" applyProtection="1">
      <protection hidden="1"/>
    </xf>
    <xf numFmtId="3" fontId="1" fillId="2" borderId="0" xfId="0" quotePrefix="1" applyNumberFormat="1" applyFont="1" applyFill="1" applyAlignment="1" applyProtection="1">
      <alignment horizontal="right"/>
      <protection hidden="1"/>
    </xf>
    <xf numFmtId="0" fontId="154" fillId="2" borderId="0" xfId="0" applyFont="1" applyFill="1" applyAlignment="1" applyProtection="1">
      <alignment horizontal="center"/>
      <protection hidden="1"/>
    </xf>
    <xf numFmtId="0" fontId="138" fillId="2" borderId="5" xfId="0" applyFont="1" applyFill="1" applyBorder="1" applyProtection="1">
      <protection hidden="1"/>
    </xf>
    <xf numFmtId="4" fontId="144" fillId="3" borderId="3" xfId="0" applyNumberFormat="1" applyFont="1" applyFill="1" applyBorder="1" applyProtection="1">
      <protection hidden="1"/>
    </xf>
    <xf numFmtId="3" fontId="7" fillId="29" borderId="10" xfId="0" applyNumberFormat="1" applyFont="1" applyFill="1" applyBorder="1" applyProtection="1">
      <protection hidden="1"/>
    </xf>
    <xf numFmtId="37" fontId="144" fillId="3" borderId="31" xfId="0" applyNumberFormat="1" applyFont="1" applyFill="1" applyBorder="1" applyAlignment="1" applyProtection="1">
      <alignment horizontal="right"/>
      <protection hidden="1"/>
    </xf>
    <xf numFmtId="4" fontId="140" fillId="0" borderId="0" xfId="0" applyNumberFormat="1" applyFont="1" applyAlignment="1" applyProtection="1">
      <alignment horizontal="left"/>
      <protection hidden="1"/>
    </xf>
    <xf numFmtId="3" fontId="140" fillId="0" borderId="0" xfId="0" applyNumberFormat="1" applyFont="1" applyAlignment="1" applyProtection="1">
      <alignment horizontal="right"/>
      <protection hidden="1"/>
    </xf>
    <xf numFmtId="4" fontId="140" fillId="0" borderId="0" xfId="0" applyNumberFormat="1" applyFont="1" applyAlignment="1" applyProtection="1">
      <alignment horizontal="right"/>
      <protection hidden="1"/>
    </xf>
    <xf numFmtId="0" fontId="16" fillId="2" borderId="2" xfId="0" applyFont="1" applyFill="1" applyBorder="1" applyAlignment="1" applyProtection="1">
      <alignment horizontal="center" vertical="center"/>
      <protection locked="0"/>
    </xf>
    <xf numFmtId="3" fontId="140" fillId="0" borderId="0" xfId="0" applyNumberFormat="1" applyFont="1" applyProtection="1">
      <protection hidden="1"/>
    </xf>
    <xf numFmtId="39" fontId="140" fillId="3" borderId="3" xfId="0" applyNumberFormat="1" applyFont="1" applyFill="1" applyBorder="1" applyAlignment="1" applyProtection="1">
      <alignment horizontal="right"/>
      <protection hidden="1"/>
    </xf>
    <xf numFmtId="0" fontId="143" fillId="5" borderId="0" xfId="0" applyFont="1" applyFill="1" applyProtection="1">
      <protection hidden="1"/>
    </xf>
    <xf numFmtId="3" fontId="144" fillId="3" borderId="0" xfId="0" applyNumberFormat="1" applyFont="1" applyFill="1" applyAlignment="1" applyProtection="1">
      <alignment horizontal="right"/>
      <protection hidden="1"/>
    </xf>
    <xf numFmtId="0" fontId="154" fillId="3" borderId="3" xfId="0" applyFont="1" applyFill="1" applyBorder="1" applyAlignment="1" applyProtection="1">
      <alignment horizontal="right"/>
      <protection hidden="1"/>
    </xf>
    <xf numFmtId="39" fontId="140" fillId="3" borderId="0" xfId="0" applyNumberFormat="1" applyFont="1" applyFill="1" applyAlignment="1" applyProtection="1">
      <alignment horizontal="right"/>
      <protection hidden="1"/>
    </xf>
    <xf numFmtId="4" fontId="1" fillId="3" borderId="0" xfId="0" applyNumberFormat="1" applyFont="1" applyFill="1" applyAlignment="1" applyProtection="1">
      <alignment horizontal="right"/>
      <protection hidden="1"/>
    </xf>
    <xf numFmtId="37" fontId="6" fillId="3" borderId="0" xfId="0" applyNumberFormat="1" applyFont="1" applyFill="1" applyAlignment="1" applyProtection="1">
      <alignment horizontal="left"/>
      <protection hidden="1"/>
    </xf>
    <xf numFmtId="4" fontId="6" fillId="3" borderId="0" xfId="0" applyNumberFormat="1" applyFont="1" applyFill="1" applyAlignment="1" applyProtection="1">
      <alignment horizontal="left"/>
      <protection hidden="1"/>
    </xf>
    <xf numFmtId="0" fontId="1" fillId="5" borderId="0" xfId="0" applyFont="1" applyFill="1" applyAlignment="1" applyProtection="1">
      <alignment horizontal="center"/>
      <protection hidden="1"/>
    </xf>
    <xf numFmtId="0" fontId="5" fillId="2" borderId="3" xfId="0" applyFont="1" applyFill="1" applyBorder="1" applyProtection="1">
      <protection hidden="1"/>
    </xf>
    <xf numFmtId="4" fontId="1" fillId="3" borderId="0" xfId="0" applyNumberFormat="1" applyFont="1" applyFill="1" applyAlignment="1" applyProtection="1">
      <alignment horizontal="center"/>
      <protection hidden="1"/>
    </xf>
    <xf numFmtId="4" fontId="8" fillId="7" borderId="25" xfId="0" applyNumberFormat="1" applyFont="1" applyFill="1" applyBorder="1" applyProtection="1">
      <protection hidden="1"/>
    </xf>
    <xf numFmtId="0" fontId="2" fillId="2" borderId="26" xfId="0" applyFont="1" applyFill="1" applyBorder="1" applyAlignment="1" applyProtection="1">
      <alignment vertical="center"/>
      <protection hidden="1"/>
    </xf>
    <xf numFmtId="0" fontId="1" fillId="2" borderId="5" xfId="0" applyFont="1" applyFill="1" applyBorder="1" applyAlignment="1" applyProtection="1">
      <alignment vertical="center"/>
      <protection hidden="1"/>
    </xf>
    <xf numFmtId="0" fontId="1" fillId="2" borderId="71" xfId="0" applyFont="1" applyFill="1" applyBorder="1" applyAlignment="1" applyProtection="1">
      <alignment horizontal="right" vertical="center"/>
      <protection hidden="1"/>
    </xf>
    <xf numFmtId="0" fontId="1" fillId="2" borderId="0" xfId="0" applyFont="1" applyFill="1" applyAlignment="1" applyProtection="1">
      <alignment horizontal="right" vertical="center"/>
      <protection hidden="1"/>
    </xf>
    <xf numFmtId="0" fontId="0" fillId="2" borderId="5" xfId="0" applyFill="1" applyBorder="1" applyAlignment="1" applyProtection="1">
      <alignment vertical="top"/>
      <protection hidden="1"/>
    </xf>
    <xf numFmtId="0" fontId="3" fillId="0" borderId="0" xfId="0" applyFont="1"/>
    <xf numFmtId="0" fontId="0" fillId="16" borderId="17" xfId="0" applyFill="1" applyBorder="1" applyProtection="1">
      <protection hidden="1"/>
    </xf>
    <xf numFmtId="0" fontId="0" fillId="16" borderId="14" xfId="0" applyFill="1" applyBorder="1" applyProtection="1">
      <protection hidden="1"/>
    </xf>
    <xf numFmtId="0" fontId="158" fillId="16" borderId="0" xfId="0" applyFont="1" applyFill="1" applyProtection="1">
      <protection hidden="1"/>
    </xf>
    <xf numFmtId="0" fontId="8" fillId="2" borderId="0" xfId="0" applyFont="1" applyFill="1" applyAlignment="1">
      <alignment horizontal="left" vertical="top"/>
    </xf>
    <xf numFmtId="0" fontId="8" fillId="2" borderId="0" xfId="0" applyFont="1" applyFill="1" applyAlignment="1" applyProtection="1">
      <alignment horizontal="left" vertical="center"/>
      <protection hidden="1"/>
    </xf>
    <xf numFmtId="0" fontId="8" fillId="2" borderId="0" xfId="0" applyFont="1" applyFill="1" applyAlignment="1" applyProtection="1">
      <alignment horizontal="left" vertical="top"/>
      <protection hidden="1"/>
    </xf>
    <xf numFmtId="38" fontId="5" fillId="28" borderId="1" xfId="0" applyNumberFormat="1" applyFont="1" applyFill="1" applyBorder="1" applyProtection="1">
      <protection hidden="1"/>
    </xf>
    <xf numFmtId="38" fontId="5" fillId="17" borderId="1" xfId="0" applyNumberFormat="1" applyFont="1" applyFill="1" applyBorder="1" applyProtection="1">
      <protection locked="0"/>
    </xf>
    <xf numFmtId="164" fontId="4" fillId="2" borderId="0" xfId="0" applyNumberFormat="1" applyFont="1" applyFill="1" applyAlignment="1" applyProtection="1">
      <alignment horizontal="right" vertical="center"/>
      <protection hidden="1"/>
    </xf>
    <xf numFmtId="38" fontId="19" fillId="28" borderId="1" xfId="0" applyNumberFormat="1" applyFont="1" applyFill="1" applyBorder="1" applyAlignment="1" applyProtection="1">
      <alignment horizontal="right"/>
      <protection hidden="1"/>
    </xf>
    <xf numFmtId="164" fontId="4" fillId="28" borderId="2" xfId="0" applyNumberFormat="1" applyFont="1" applyFill="1" applyBorder="1" applyAlignment="1" applyProtection="1">
      <alignment horizontal="center" vertical="center"/>
      <protection hidden="1"/>
    </xf>
    <xf numFmtId="164" fontId="1" fillId="17" borderId="2" xfId="0" applyNumberFormat="1" applyFont="1" applyFill="1" applyBorder="1" applyAlignment="1" applyProtection="1">
      <alignment horizontal="center" vertical="center"/>
      <protection locked="0"/>
    </xf>
    <xf numFmtId="39" fontId="144" fillId="2" borderId="0" xfId="0" applyNumberFormat="1" applyFont="1" applyFill="1" applyProtection="1">
      <protection hidden="1"/>
    </xf>
    <xf numFmtId="37" fontId="5" fillId="28" borderId="1" xfId="0" applyNumberFormat="1" applyFont="1" applyFill="1" applyBorder="1" applyProtection="1">
      <protection hidden="1"/>
    </xf>
    <xf numFmtId="37" fontId="5" fillId="17" borderId="1" xfId="0" applyNumberFormat="1" applyFont="1" applyFill="1" applyBorder="1" applyProtection="1">
      <protection locked="0"/>
    </xf>
    <xf numFmtId="0" fontId="6" fillId="28" borderId="2" xfId="0" applyFont="1" applyFill="1" applyBorder="1" applyAlignment="1" applyProtection="1">
      <alignment horizontal="center" vertical="center"/>
      <protection hidden="1"/>
    </xf>
    <xf numFmtId="3" fontId="1" fillId="2" borderId="77" xfId="4" applyNumberFormat="1" applyFont="1" applyFill="1" applyBorder="1" applyAlignment="1" applyProtection="1">
      <alignment horizontal="right" vertical="center"/>
      <protection locked="0"/>
    </xf>
    <xf numFmtId="3" fontId="1" fillId="2" borderId="77" xfId="4" applyNumberFormat="1" applyFont="1" applyFill="1" applyBorder="1" applyAlignment="1" applyProtection="1">
      <alignment horizontal="left" vertical="center"/>
      <protection locked="0"/>
    </xf>
    <xf numFmtId="3" fontId="3" fillId="26" borderId="13" xfId="4" applyNumberFormat="1" applyFill="1" applyBorder="1" applyAlignment="1" applyProtection="1">
      <alignment horizontal="right" vertical="center"/>
      <protection hidden="1"/>
    </xf>
    <xf numFmtId="0" fontId="4" fillId="26" borderId="2" xfId="4" applyFont="1" applyFill="1" applyBorder="1" applyAlignment="1" applyProtection="1">
      <alignment horizontal="center" vertical="center"/>
      <protection hidden="1"/>
    </xf>
    <xf numFmtId="3" fontId="3" fillId="28" borderId="13" xfId="4" applyNumberFormat="1" applyFill="1" applyBorder="1" applyAlignment="1" applyProtection="1">
      <alignment horizontal="right" vertical="center"/>
      <protection hidden="1"/>
    </xf>
    <xf numFmtId="40" fontId="4" fillId="28" borderId="13" xfId="4" applyNumberFormat="1" applyFont="1" applyFill="1" applyBorder="1" applyAlignment="1" applyProtection="1">
      <alignment horizontal="center" vertical="center"/>
      <protection hidden="1"/>
    </xf>
    <xf numFmtId="3" fontId="3" fillId="17" borderId="13" xfId="4" applyNumberFormat="1" applyFill="1" applyBorder="1" applyAlignment="1" applyProtection="1">
      <alignment horizontal="right"/>
      <protection locked="0"/>
    </xf>
    <xf numFmtId="37" fontId="5" fillId="29" borderId="10" xfId="0" applyNumberFormat="1" applyFont="1" applyFill="1" applyBorder="1" applyAlignment="1" applyProtection="1">
      <alignment horizontal="right"/>
      <protection hidden="1"/>
    </xf>
    <xf numFmtId="37" fontId="5" fillId="21" borderId="10" xfId="0" applyNumberFormat="1" applyFont="1" applyFill="1" applyBorder="1" applyAlignment="1" applyProtection="1">
      <alignment horizontal="right"/>
      <protection locked="0"/>
    </xf>
    <xf numFmtId="37" fontId="5" fillId="29" borderId="3" xfId="0" applyNumberFormat="1" applyFont="1" applyFill="1" applyBorder="1" applyAlignment="1" applyProtection="1">
      <alignment horizontal="right"/>
      <protection hidden="1"/>
    </xf>
    <xf numFmtId="37" fontId="5" fillId="29" borderId="53" xfId="0" applyNumberFormat="1" applyFont="1" applyFill="1" applyBorder="1" applyAlignment="1" applyProtection="1">
      <alignment horizontal="right"/>
      <protection hidden="1"/>
    </xf>
    <xf numFmtId="0" fontId="8" fillId="25" borderId="0" xfId="0" applyFont="1" applyFill="1" applyProtection="1">
      <protection hidden="1"/>
    </xf>
    <xf numFmtId="0" fontId="1" fillId="0" borderId="0" xfId="0" applyFont="1" applyAlignment="1" applyProtection="1">
      <alignment horizontal="right"/>
      <protection hidden="1"/>
    </xf>
    <xf numFmtId="0" fontId="1" fillId="16" borderId="8" xfId="0" applyFont="1" applyFill="1" applyBorder="1" applyAlignment="1" applyProtection="1">
      <alignment horizontal="left"/>
      <protection hidden="1"/>
    </xf>
    <xf numFmtId="0" fontId="8" fillId="16" borderId="0" xfId="0" applyFont="1" applyFill="1" applyAlignment="1" applyProtection="1">
      <alignment horizontal="left"/>
      <protection hidden="1"/>
    </xf>
    <xf numFmtId="0" fontId="1" fillId="16" borderId="22" xfId="0" applyFont="1" applyFill="1" applyBorder="1" applyAlignment="1" applyProtection="1">
      <alignment horizontal="right"/>
      <protection hidden="1"/>
    </xf>
    <xf numFmtId="0" fontId="1" fillId="16" borderId="24" xfId="0" applyFont="1" applyFill="1" applyBorder="1" applyAlignment="1" applyProtection="1">
      <alignment horizontal="right"/>
      <protection hidden="1"/>
    </xf>
    <xf numFmtId="0" fontId="10" fillId="16" borderId="6" xfId="0" applyFont="1" applyFill="1" applyBorder="1" applyAlignment="1" applyProtection="1">
      <alignment horizontal="left"/>
      <protection hidden="1"/>
    </xf>
    <xf numFmtId="0" fontId="24" fillId="16" borderId="0" xfId="0" applyFont="1" applyFill="1" applyAlignment="1" applyProtection="1">
      <alignment horizontal="right"/>
      <protection hidden="1"/>
    </xf>
    <xf numFmtId="0" fontId="1" fillId="25" borderId="6" xfId="0" applyFont="1" applyFill="1" applyBorder="1" applyAlignment="1" applyProtection="1">
      <alignment horizontal="right"/>
      <protection hidden="1"/>
    </xf>
    <xf numFmtId="0" fontId="155" fillId="25" borderId="0" xfId="0" applyFont="1" applyFill="1" applyProtection="1">
      <protection hidden="1"/>
    </xf>
    <xf numFmtId="0" fontId="8" fillId="25" borderId="0" xfId="0" applyFont="1" applyFill="1" applyAlignment="1" applyProtection="1">
      <alignment vertical="top"/>
      <protection hidden="1"/>
    </xf>
    <xf numFmtId="0" fontId="1" fillId="25" borderId="22" xfId="0" applyFont="1" applyFill="1" applyBorder="1" applyAlignment="1" applyProtection="1">
      <alignment horizontal="right"/>
      <protection hidden="1"/>
    </xf>
    <xf numFmtId="0" fontId="0" fillId="25" borderId="23" xfId="0" applyFill="1" applyBorder="1" applyProtection="1">
      <protection hidden="1"/>
    </xf>
    <xf numFmtId="3" fontId="7" fillId="29" borderId="1" xfId="0" applyNumberFormat="1" applyFont="1" applyFill="1" applyBorder="1" applyProtection="1">
      <protection hidden="1"/>
    </xf>
    <xf numFmtId="1" fontId="8" fillId="19" borderId="0" xfId="0" applyNumberFormat="1" applyFont="1" applyFill="1" applyAlignment="1" applyProtection="1">
      <alignment horizontal="right" vertical="center"/>
      <protection hidden="1"/>
    </xf>
    <xf numFmtId="37" fontId="5" fillId="28" borderId="0" xfId="0" applyNumberFormat="1" applyFont="1" applyFill="1" applyProtection="1">
      <protection hidden="1"/>
    </xf>
    <xf numFmtId="168" fontId="5" fillId="3" borderId="0" xfId="0" applyNumberFormat="1" applyFont="1" applyFill="1" applyAlignment="1" applyProtection="1">
      <alignment horizontal="right"/>
      <protection hidden="1"/>
    </xf>
    <xf numFmtId="173" fontId="138" fillId="3" borderId="3" xfId="0" applyNumberFormat="1" applyFont="1" applyFill="1" applyBorder="1" applyAlignment="1" applyProtection="1">
      <alignment horizontal="right"/>
      <protection hidden="1"/>
    </xf>
    <xf numFmtId="4" fontId="8" fillId="3" borderId="16" xfId="0" applyNumberFormat="1" applyFont="1" applyFill="1" applyBorder="1" applyAlignment="1" applyProtection="1">
      <alignment horizontal="left"/>
      <protection hidden="1"/>
    </xf>
    <xf numFmtId="0" fontId="5" fillId="3" borderId="0" xfId="0" quotePrefix="1" applyFont="1" applyFill="1" applyAlignment="1" applyProtection="1">
      <alignment horizontal="left"/>
      <protection hidden="1"/>
    </xf>
    <xf numFmtId="0" fontId="138" fillId="3" borderId="0" xfId="0" applyFont="1" applyFill="1" applyAlignment="1" applyProtection="1">
      <alignment horizontal="right"/>
      <protection hidden="1"/>
    </xf>
    <xf numFmtId="0" fontId="14" fillId="16" borderId="9" xfId="0" applyFont="1" applyFill="1" applyBorder="1" applyProtection="1">
      <protection hidden="1"/>
    </xf>
    <xf numFmtId="0" fontId="14" fillId="16" borderId="1" xfId="0" applyFont="1" applyFill="1" applyBorder="1" applyProtection="1">
      <protection hidden="1"/>
    </xf>
    <xf numFmtId="0" fontId="60" fillId="9" borderId="9" xfId="0" applyFont="1" applyFill="1" applyBorder="1" applyAlignment="1" applyProtection="1">
      <alignment horizontal="center"/>
      <protection hidden="1"/>
    </xf>
    <xf numFmtId="39" fontId="19" fillId="3" borderId="31" xfId="0" applyNumberFormat="1" applyFont="1" applyFill="1" applyBorder="1" applyAlignment="1" applyProtection="1">
      <alignment horizontal="right"/>
      <protection hidden="1"/>
    </xf>
    <xf numFmtId="0" fontId="16" fillId="3" borderId="0" xfId="0" applyFont="1" applyFill="1" applyAlignment="1" applyProtection="1">
      <alignment horizontal="left"/>
      <protection hidden="1"/>
    </xf>
    <xf numFmtId="37" fontId="5" fillId="15" borderId="31" xfId="0" applyNumberFormat="1" applyFont="1" applyFill="1" applyBorder="1" applyAlignment="1" applyProtection="1">
      <alignment horizontal="right"/>
      <protection locked="0"/>
    </xf>
    <xf numFmtId="39" fontId="19" fillId="15" borderId="3" xfId="0" applyNumberFormat="1" applyFont="1" applyFill="1" applyBorder="1" applyAlignment="1" applyProtection="1">
      <alignment horizontal="right"/>
      <protection hidden="1"/>
    </xf>
    <xf numFmtId="4" fontId="1" fillId="21" borderId="13" xfId="0" applyNumberFormat="1" applyFont="1" applyFill="1" applyBorder="1" applyAlignment="1" applyProtection="1">
      <alignment horizontal="center" vertical="center"/>
      <protection locked="0"/>
    </xf>
    <xf numFmtId="0" fontId="0" fillId="16" borderId="24" xfId="0" applyFill="1" applyBorder="1"/>
    <xf numFmtId="0" fontId="3" fillId="16" borderId="8" xfId="0" applyFont="1" applyFill="1" applyBorder="1"/>
    <xf numFmtId="0" fontId="3" fillId="16" borderId="20" xfId="0" applyFont="1" applyFill="1" applyBorder="1"/>
    <xf numFmtId="0" fontId="0" fillId="16" borderId="6" xfId="0" applyFill="1" applyBorder="1"/>
    <xf numFmtId="0" fontId="10" fillId="16" borderId="0" xfId="0" applyFont="1" applyFill="1" applyAlignment="1">
      <alignment vertical="center"/>
    </xf>
    <xf numFmtId="0" fontId="8" fillId="16" borderId="0" xfId="0" applyFont="1" applyFill="1"/>
    <xf numFmtId="0" fontId="161" fillId="16" borderId="0" xfId="0" applyFont="1" applyFill="1"/>
    <xf numFmtId="0" fontId="8" fillId="16" borderId="21" xfId="0" applyFont="1" applyFill="1" applyBorder="1"/>
    <xf numFmtId="0" fontId="3" fillId="16" borderId="0" xfId="0" applyFont="1" applyFill="1"/>
    <xf numFmtId="0" fontId="1" fillId="16" borderId="0" xfId="0" quotePrefix="1" applyFont="1" applyFill="1" applyAlignment="1">
      <alignment horizontal="right"/>
    </xf>
    <xf numFmtId="0" fontId="3" fillId="16" borderId="21" xfId="0" applyFont="1" applyFill="1" applyBorder="1"/>
    <xf numFmtId="0" fontId="0" fillId="16" borderId="22" xfId="0" applyFill="1" applyBorder="1"/>
    <xf numFmtId="0" fontId="8" fillId="16" borderId="5" xfId="0" applyFont="1" applyFill="1" applyBorder="1"/>
    <xf numFmtId="0" fontId="8" fillId="16" borderId="23" xfId="0" applyFont="1" applyFill="1" applyBorder="1"/>
    <xf numFmtId="0" fontId="1" fillId="16" borderId="0" xfId="0" applyFont="1" applyFill="1"/>
    <xf numFmtId="0" fontId="24" fillId="16" borderId="0" xfId="0" applyFont="1" applyFill="1" applyAlignment="1">
      <alignment horizontal="right"/>
    </xf>
    <xf numFmtId="0" fontId="3" fillId="16" borderId="0" xfId="0" quotePrefix="1" applyFont="1" applyFill="1"/>
    <xf numFmtId="0" fontId="3" fillId="16" borderId="0" xfId="0" quotePrefix="1" applyFont="1" applyFill="1" applyAlignment="1">
      <alignment horizontal="right"/>
    </xf>
    <xf numFmtId="37" fontId="5" fillId="21" borderId="1" xfId="0" applyNumberFormat="1" applyFont="1" applyFill="1" applyBorder="1" applyAlignment="1" applyProtection="1">
      <alignment horizontal="right"/>
      <protection locked="0"/>
    </xf>
    <xf numFmtId="37" fontId="5" fillId="29" borderId="1" xfId="0" applyNumberFormat="1" applyFont="1" applyFill="1" applyBorder="1" applyAlignment="1" applyProtection="1">
      <alignment horizontal="right"/>
      <protection hidden="1"/>
    </xf>
    <xf numFmtId="0" fontId="0" fillId="16" borderId="85" xfId="0" applyFill="1" applyBorder="1"/>
    <xf numFmtId="0" fontId="8" fillId="16" borderId="9" xfId="0" applyFont="1" applyFill="1" applyBorder="1"/>
    <xf numFmtId="0" fontId="8" fillId="16" borderId="93" xfId="0" applyFont="1" applyFill="1" applyBorder="1"/>
    <xf numFmtId="0" fontId="24" fillId="16" borderId="0" xfId="0" applyFont="1" applyFill="1" applyAlignment="1">
      <alignment horizontal="center"/>
    </xf>
    <xf numFmtId="6" fontId="19" fillId="0" borderId="0" xfId="0" applyNumberFormat="1" applyFont="1"/>
    <xf numFmtId="37" fontId="144" fillId="15" borderId="31" xfId="0" applyNumberFormat="1" applyFont="1" applyFill="1" applyBorder="1" applyAlignment="1" applyProtection="1">
      <alignment horizontal="right"/>
      <protection locked="0"/>
    </xf>
    <xf numFmtId="37" fontId="144" fillId="15" borderId="3" xfId="0" applyNumberFormat="1" applyFont="1" applyFill="1" applyBorder="1" applyAlignment="1" applyProtection="1">
      <alignment horizontal="right"/>
      <protection locked="0"/>
    </xf>
    <xf numFmtId="39" fontId="138" fillId="3" borderId="3" xfId="0" applyNumberFormat="1" applyFont="1" applyFill="1" applyBorder="1" applyAlignment="1" applyProtection="1">
      <alignment horizontal="right"/>
      <protection hidden="1"/>
    </xf>
    <xf numFmtId="0" fontId="138" fillId="0" borderId="0" xfId="0" applyFont="1" applyAlignment="1" applyProtection="1">
      <alignment horizontal="center"/>
      <protection hidden="1"/>
    </xf>
    <xf numFmtId="178" fontId="23" fillId="2" borderId="0" xfId="0" applyNumberFormat="1" applyFont="1" applyFill="1" applyProtection="1">
      <protection hidden="1"/>
    </xf>
    <xf numFmtId="38" fontId="144" fillId="2" borderId="0" xfId="0" applyNumberFormat="1" applyFont="1" applyFill="1" applyProtection="1">
      <protection hidden="1"/>
    </xf>
    <xf numFmtId="0" fontId="8" fillId="5" borderId="38" xfId="0" applyFont="1" applyFill="1" applyBorder="1" applyAlignment="1" applyProtection="1">
      <alignment horizontal="center"/>
      <protection hidden="1"/>
    </xf>
    <xf numFmtId="0" fontId="8" fillId="5" borderId="108" xfId="0" applyFont="1" applyFill="1" applyBorder="1" applyAlignment="1" applyProtection="1">
      <alignment horizontal="center"/>
      <protection hidden="1"/>
    </xf>
    <xf numFmtId="37" fontId="5" fillId="3" borderId="39" xfId="0" applyNumberFormat="1" applyFont="1" applyFill="1" applyBorder="1" applyAlignment="1" applyProtection="1">
      <alignment horizontal="right"/>
      <protection locked="0"/>
    </xf>
    <xf numFmtId="3" fontId="6" fillId="16" borderId="3" xfId="0" applyNumberFormat="1" applyFont="1" applyFill="1" applyBorder="1" applyAlignment="1" applyProtection="1">
      <alignment horizontal="right"/>
      <protection hidden="1"/>
    </xf>
    <xf numFmtId="3" fontId="6" fillId="16" borderId="0" xfId="0" applyNumberFormat="1" applyFont="1" applyFill="1" applyAlignment="1" applyProtection="1">
      <alignment horizontal="right"/>
      <protection hidden="1"/>
    </xf>
    <xf numFmtId="0" fontId="1" fillId="17" borderId="2" xfId="0" applyFont="1" applyFill="1" applyBorder="1" applyAlignment="1" applyProtection="1">
      <alignment horizontal="center"/>
      <protection locked="0"/>
    </xf>
    <xf numFmtId="37" fontId="5" fillId="15"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1" fillId="0" borderId="5" xfId="0" applyFont="1" applyBorder="1" applyAlignment="1">
      <alignment horizontal="center" wrapText="1"/>
    </xf>
    <xf numFmtId="0" fontId="4" fillId="0" borderId="5" xfId="0" applyFont="1" applyBorder="1" applyAlignment="1">
      <alignment horizontal="center" wrapText="1"/>
    </xf>
    <xf numFmtId="0" fontId="75" fillId="0" borderId="0" xfId="2" applyAlignment="1" applyProtection="1">
      <alignment horizontal="center" wrapText="1"/>
    </xf>
    <xf numFmtId="0" fontId="11" fillId="3" borderId="10" xfId="0" applyFont="1" applyFill="1" applyBorder="1" applyAlignment="1" applyProtection="1">
      <alignment horizontal="center"/>
      <protection hidden="1"/>
    </xf>
    <xf numFmtId="0" fontId="6" fillId="3" borderId="6" xfId="0" applyFont="1" applyFill="1" applyBorder="1" applyProtection="1">
      <protection hidden="1"/>
    </xf>
    <xf numFmtId="0" fontId="6" fillId="17" borderId="13" xfId="0" applyFont="1" applyFill="1" applyBorder="1" applyAlignment="1" applyProtection="1">
      <alignment horizontal="center"/>
      <protection locked="0"/>
    </xf>
    <xf numFmtId="0" fontId="6" fillId="16" borderId="0" xfId="0" applyFont="1" applyFill="1" applyAlignment="1" applyProtection="1">
      <alignment horizontal="center"/>
      <protection hidden="1"/>
    </xf>
    <xf numFmtId="0" fontId="0" fillId="3" borderId="9" xfId="0" applyFill="1" applyBorder="1" applyProtection="1">
      <protection hidden="1"/>
    </xf>
    <xf numFmtId="0" fontId="8" fillId="16" borderId="0" xfId="0" applyFont="1" applyFill="1" applyAlignment="1" applyProtection="1">
      <alignment horizontal="left" vertical="center"/>
      <protection hidden="1"/>
    </xf>
    <xf numFmtId="0" fontId="6" fillId="16" borderId="1" xfId="0" applyFont="1" applyFill="1" applyBorder="1" applyAlignment="1" applyProtection="1">
      <alignment horizontal="center"/>
      <protection hidden="1"/>
    </xf>
    <xf numFmtId="0" fontId="5" fillId="16" borderId="1" xfId="0" applyFont="1" applyFill="1" applyBorder="1" applyAlignment="1" applyProtection="1">
      <alignment horizontal="left" vertical="center"/>
      <protection hidden="1"/>
    </xf>
    <xf numFmtId="0" fontId="1" fillId="3" borderId="31" xfId="0" applyFont="1" applyFill="1" applyBorder="1" applyProtection="1">
      <protection hidden="1"/>
    </xf>
    <xf numFmtId="0" fontId="10" fillId="3" borderId="26" xfId="0" applyFont="1" applyFill="1" applyBorder="1" applyProtection="1">
      <protection hidden="1"/>
    </xf>
    <xf numFmtId="0" fontId="3" fillId="3" borderId="26" xfId="0" applyFont="1" applyFill="1" applyBorder="1" applyProtection="1">
      <protection hidden="1"/>
    </xf>
    <xf numFmtId="39" fontId="6" fillId="3" borderId="11" xfId="0" applyNumberFormat="1" applyFont="1" applyFill="1" applyBorder="1" applyAlignment="1" applyProtection="1">
      <alignment horizontal="center"/>
      <protection hidden="1"/>
    </xf>
    <xf numFmtId="39" fontId="6" fillId="3" borderId="3" xfId="0" applyNumberFormat="1" applyFont="1" applyFill="1" applyBorder="1" applyAlignment="1" applyProtection="1">
      <alignment horizontal="center"/>
      <protection hidden="1"/>
    </xf>
    <xf numFmtId="39" fontId="5" fillId="15" borderId="0" xfId="0" applyNumberFormat="1" applyFont="1" applyFill="1" applyAlignment="1" applyProtection="1">
      <alignment horizontal="left"/>
      <protection hidden="1"/>
    </xf>
    <xf numFmtId="0" fontId="0" fillId="16" borderId="0" xfId="0" applyFill="1" applyAlignment="1">
      <alignment horizontal="left"/>
    </xf>
    <xf numFmtId="3" fontId="9" fillId="3" borderId="3" xfId="0" applyNumberFormat="1" applyFont="1" applyFill="1" applyBorder="1" applyAlignment="1" applyProtection="1">
      <alignment horizontal="center"/>
      <protection hidden="1"/>
    </xf>
    <xf numFmtId="0" fontId="6" fillId="3" borderId="0" xfId="0" applyFont="1" applyFill="1" applyAlignment="1" applyProtection="1">
      <alignment horizontal="right" indent="1"/>
      <protection hidden="1"/>
    </xf>
    <xf numFmtId="1" fontId="6" fillId="21" borderId="13" xfId="0" applyNumberFormat="1" applyFont="1" applyFill="1" applyBorder="1" applyAlignment="1" applyProtection="1">
      <alignment horizontal="center"/>
      <protection locked="0"/>
    </xf>
    <xf numFmtId="4" fontId="6" fillId="3" borderId="0" xfId="0" applyNumberFormat="1" applyFont="1" applyFill="1" applyAlignment="1" applyProtection="1">
      <alignment horizontal="right" vertical="center"/>
      <protection hidden="1"/>
    </xf>
    <xf numFmtId="0" fontId="7" fillId="3" borderId="16" xfId="0" applyFont="1" applyFill="1" applyBorder="1" applyAlignment="1" applyProtection="1">
      <alignment horizontal="center"/>
      <protection hidden="1"/>
    </xf>
    <xf numFmtId="0" fontId="53" fillId="3" borderId="9" xfId="0" applyFont="1" applyFill="1" applyBorder="1" applyProtection="1">
      <protection hidden="1"/>
    </xf>
    <xf numFmtId="0" fontId="11" fillId="3" borderId="11" xfId="0" applyFont="1" applyFill="1" applyBorder="1" applyAlignment="1" applyProtection="1">
      <alignment horizontal="right"/>
      <protection hidden="1"/>
    </xf>
    <xf numFmtId="0" fontId="19" fillId="15" borderId="0" xfId="0" applyFont="1" applyFill="1" applyAlignment="1" applyProtection="1">
      <alignment horizontal="left"/>
      <protection hidden="1"/>
    </xf>
    <xf numFmtId="0" fontId="11" fillId="3" borderId="10" xfId="0" applyFont="1" applyFill="1" applyBorder="1" applyAlignment="1" applyProtection="1">
      <alignment horizontal="right"/>
      <protection hidden="1"/>
    </xf>
    <xf numFmtId="0" fontId="17" fillId="15" borderId="27" xfId="0" applyFont="1" applyFill="1" applyBorder="1" applyAlignment="1" applyProtection="1">
      <alignment horizontal="centerContinuous"/>
      <protection hidden="1"/>
    </xf>
    <xf numFmtId="0" fontId="0" fillId="16" borderId="1" xfId="0" applyFill="1" applyBorder="1" applyAlignment="1">
      <alignment horizontal="centerContinuous"/>
    </xf>
    <xf numFmtId="0" fontId="5" fillId="16" borderId="0" xfId="0" applyFont="1" applyFill="1" applyAlignment="1">
      <alignment horizontal="centerContinuous"/>
    </xf>
    <xf numFmtId="0" fontId="3" fillId="16" borderId="0" xfId="0" applyFont="1" applyFill="1" applyAlignment="1">
      <alignment horizontal="centerContinuous" vertical="center"/>
    </xf>
    <xf numFmtId="0" fontId="11" fillId="15" borderId="27" xfId="0" applyFont="1" applyFill="1" applyBorder="1" applyAlignment="1" applyProtection="1">
      <alignment horizontal="center"/>
      <protection hidden="1"/>
    </xf>
    <xf numFmtId="0" fontId="0" fillId="16" borderId="1" xfId="0" applyFill="1" applyBorder="1" applyAlignment="1">
      <alignment horizontal="center"/>
    </xf>
    <xf numFmtId="39" fontId="9" fillId="3" borderId="16" xfId="0" applyNumberFormat="1" applyFont="1" applyFill="1" applyBorder="1" applyProtection="1">
      <protection hidden="1"/>
    </xf>
    <xf numFmtId="39" fontId="9" fillId="23" borderId="16" xfId="0" applyNumberFormat="1" applyFont="1" applyFill="1" applyBorder="1" applyProtection="1">
      <protection hidden="1"/>
    </xf>
    <xf numFmtId="39" fontId="9" fillId="23" borderId="7" xfId="0" applyNumberFormat="1" applyFont="1" applyFill="1" applyBorder="1" applyProtection="1">
      <protection hidden="1"/>
    </xf>
    <xf numFmtId="0" fontId="53" fillId="3" borderId="31" xfId="0" applyFont="1" applyFill="1" applyBorder="1" applyProtection="1">
      <protection hidden="1"/>
    </xf>
    <xf numFmtId="1" fontId="6" fillId="3" borderId="0" xfId="0" applyNumberFormat="1" applyFont="1" applyFill="1" applyAlignment="1" applyProtection="1">
      <alignment horizontal="right"/>
      <protection hidden="1"/>
    </xf>
    <xf numFmtId="39" fontId="6" fillId="3" borderId="7" xfId="0" applyNumberFormat="1" applyFont="1" applyFill="1" applyBorder="1" applyAlignment="1" applyProtection="1">
      <alignment horizontal="right"/>
      <protection hidden="1"/>
    </xf>
    <xf numFmtId="1" fontId="6" fillId="3" borderId="11" xfId="0" applyNumberFormat="1" applyFont="1" applyFill="1" applyBorder="1" applyAlignment="1" applyProtection="1">
      <alignment horizontal="right"/>
      <protection hidden="1"/>
    </xf>
    <xf numFmtId="0" fontId="41" fillId="3" borderId="0" xfId="0" applyFont="1" applyFill="1" applyProtection="1">
      <protection hidden="1"/>
    </xf>
    <xf numFmtId="0" fontId="21" fillId="3" borderId="0" xfId="0" applyFont="1" applyFill="1" applyAlignment="1" applyProtection="1">
      <alignment horizontal="left" vertical="center"/>
      <protection hidden="1"/>
    </xf>
    <xf numFmtId="0" fontId="11" fillId="3" borderId="3" xfId="0" applyFont="1" applyFill="1" applyBorder="1" applyProtection="1">
      <protection hidden="1"/>
    </xf>
    <xf numFmtId="0" fontId="4" fillId="21" borderId="13" xfId="0" applyFont="1" applyFill="1" applyBorder="1" applyAlignment="1" applyProtection="1">
      <alignment horizontal="center" vertical="center"/>
      <protection locked="0"/>
    </xf>
    <xf numFmtId="0" fontId="41" fillId="3" borderId="0" xfId="0" applyFont="1" applyFill="1" applyAlignment="1" applyProtection="1">
      <alignment horizontal="left" indent="2"/>
      <protection hidden="1"/>
    </xf>
    <xf numFmtId="0" fontId="4" fillId="16" borderId="0" xfId="0" applyFont="1" applyFill="1" applyProtection="1">
      <protection hidden="1"/>
    </xf>
    <xf numFmtId="0" fontId="6" fillId="3" borderId="1" xfId="0" applyFont="1" applyFill="1" applyBorder="1" applyAlignment="1" applyProtection="1">
      <alignment horizontal="center"/>
      <protection hidden="1"/>
    </xf>
    <xf numFmtId="0" fontId="1" fillId="3" borderId="1" xfId="0" applyFont="1" applyFill="1" applyBorder="1" applyAlignment="1" applyProtection="1">
      <alignment horizontal="right"/>
      <protection hidden="1"/>
    </xf>
    <xf numFmtId="0" fontId="7" fillId="3" borderId="1" xfId="0" applyFont="1" applyFill="1" applyBorder="1" applyAlignment="1" applyProtection="1">
      <alignment horizontal="right"/>
      <protection hidden="1"/>
    </xf>
    <xf numFmtId="0" fontId="4" fillId="21" borderId="26" xfId="0" applyFont="1" applyFill="1" applyBorder="1" applyAlignment="1" applyProtection="1">
      <alignment horizontal="center" vertical="center"/>
      <protection locked="0"/>
    </xf>
    <xf numFmtId="0" fontId="6" fillId="3" borderId="1" xfId="0" applyFont="1" applyFill="1" applyBorder="1" applyAlignment="1" applyProtection="1">
      <alignment horizontal="left"/>
      <protection hidden="1"/>
    </xf>
    <xf numFmtId="39" fontId="9" fillId="3" borderId="14" xfId="0" applyNumberFormat="1" applyFont="1" applyFill="1" applyBorder="1" applyProtection="1">
      <protection hidden="1"/>
    </xf>
    <xf numFmtId="39" fontId="9" fillId="3" borderId="14" xfId="0" applyNumberFormat="1" applyFont="1" applyFill="1" applyBorder="1" applyAlignment="1" applyProtection="1">
      <alignment horizontal="right"/>
      <protection hidden="1"/>
    </xf>
    <xf numFmtId="39" fontId="5" fillId="3" borderId="14" xfId="0" applyNumberFormat="1" applyFont="1" applyFill="1" applyBorder="1" applyAlignment="1" applyProtection="1">
      <alignment horizontal="right"/>
      <protection hidden="1"/>
    </xf>
    <xf numFmtId="39" fontId="10" fillId="3" borderId="14" xfId="0" applyNumberFormat="1" applyFont="1" applyFill="1" applyBorder="1" applyAlignment="1" applyProtection="1">
      <alignment horizontal="left"/>
      <protection hidden="1"/>
    </xf>
    <xf numFmtId="0" fontId="53" fillId="3" borderId="35" xfId="0" applyFont="1" applyFill="1" applyBorder="1" applyProtection="1">
      <protection hidden="1"/>
    </xf>
    <xf numFmtId="39" fontId="9" fillId="3" borderId="25" xfId="0" applyNumberFormat="1" applyFont="1" applyFill="1" applyBorder="1" applyProtection="1">
      <protection hidden="1"/>
    </xf>
    <xf numFmtId="0" fontId="0" fillId="16" borderId="25" xfId="0" applyFill="1" applyBorder="1" applyAlignment="1">
      <alignment horizontal="left"/>
    </xf>
    <xf numFmtId="0" fontId="53" fillId="3" borderId="25" xfId="0" applyFont="1" applyFill="1" applyBorder="1" applyProtection="1">
      <protection hidden="1"/>
    </xf>
    <xf numFmtId="39" fontId="11" fillId="3" borderId="11" xfId="0" applyNumberFormat="1" applyFont="1" applyFill="1" applyBorder="1" applyAlignment="1" applyProtection="1">
      <alignment horizontal="center"/>
      <protection hidden="1"/>
    </xf>
    <xf numFmtId="0" fontId="5" fillId="3" borderId="14" xfId="0" applyFont="1" applyFill="1" applyBorder="1" applyAlignment="1" applyProtection="1">
      <alignment horizontal="left"/>
      <protection hidden="1"/>
    </xf>
    <xf numFmtId="0" fontId="16" fillId="3" borderId="35" xfId="0" applyFont="1" applyFill="1" applyBorder="1" applyAlignment="1" applyProtection="1">
      <alignment vertical="center"/>
      <protection hidden="1"/>
    </xf>
    <xf numFmtId="0" fontId="11" fillId="15" borderId="6" xfId="0" applyFont="1" applyFill="1" applyBorder="1" applyAlignment="1" applyProtection="1">
      <alignment horizontal="centerContinuous" vertical="center"/>
      <protection hidden="1"/>
    </xf>
    <xf numFmtId="1" fontId="6" fillId="3" borderId="12" xfId="0" applyNumberFormat="1" applyFont="1" applyFill="1" applyBorder="1" applyAlignment="1" applyProtection="1">
      <alignment horizontal="right"/>
      <protection hidden="1"/>
    </xf>
    <xf numFmtId="0" fontId="6" fillId="3" borderId="25" xfId="0" applyFont="1" applyFill="1" applyBorder="1" applyAlignment="1" applyProtection="1">
      <alignment horizontal="right"/>
      <protection hidden="1"/>
    </xf>
    <xf numFmtId="0" fontId="5" fillId="3" borderId="5" xfId="0" applyFont="1" applyFill="1" applyBorder="1" applyProtection="1">
      <protection hidden="1"/>
    </xf>
    <xf numFmtId="0" fontId="3" fillId="0" borderId="0" xfId="0" applyFont="1" applyAlignment="1">
      <alignment horizontal="center" vertical="top" wrapText="1"/>
    </xf>
    <xf numFmtId="0" fontId="3" fillId="0" borderId="0" xfId="0" applyFont="1" applyAlignment="1">
      <alignment vertical="top" wrapText="1"/>
    </xf>
    <xf numFmtId="0" fontId="6" fillId="3" borderId="16" xfId="0" applyFont="1" applyFill="1" applyBorder="1" applyAlignment="1" applyProtection="1">
      <alignment horizontal="center"/>
      <protection hidden="1"/>
    </xf>
    <xf numFmtId="39" fontId="6" fillId="3" borderId="9" xfId="0" applyNumberFormat="1" applyFont="1" applyFill="1" applyBorder="1" applyProtection="1">
      <protection hidden="1"/>
    </xf>
    <xf numFmtId="39" fontId="9" fillId="3" borderId="9" xfId="0" applyNumberFormat="1" applyFont="1" applyFill="1" applyBorder="1" applyProtection="1">
      <protection hidden="1"/>
    </xf>
    <xf numFmtId="39" fontId="9" fillId="3" borderId="9" xfId="0" applyNumberFormat="1" applyFont="1" applyFill="1" applyBorder="1" applyAlignment="1" applyProtection="1">
      <alignment horizontal="center"/>
      <protection hidden="1"/>
    </xf>
    <xf numFmtId="0" fontId="7" fillId="3" borderId="40" xfId="0" applyFont="1" applyFill="1" applyBorder="1" applyAlignment="1" applyProtection="1">
      <alignment horizontal="center"/>
      <protection hidden="1"/>
    </xf>
    <xf numFmtId="0" fontId="164" fillId="3" borderId="0" xfId="0" applyFont="1" applyFill="1" applyProtection="1">
      <protection hidden="1"/>
    </xf>
    <xf numFmtId="37" fontId="6" fillId="29" borderId="1" xfId="0" applyNumberFormat="1" applyFont="1" applyFill="1" applyBorder="1" applyAlignment="1" applyProtection="1">
      <alignment horizontal="right"/>
      <protection hidden="1"/>
    </xf>
    <xf numFmtId="0" fontId="0" fillId="16" borderId="8" xfId="0" applyFill="1" applyBorder="1"/>
    <xf numFmtId="0" fontId="0" fillId="16" borderId="20" xfId="0" applyFill="1" applyBorder="1"/>
    <xf numFmtId="0" fontId="19" fillId="16" borderId="6" xfId="0" applyFont="1" applyFill="1" applyBorder="1" applyAlignment="1" applyProtection="1">
      <alignment horizontal="center"/>
      <protection hidden="1"/>
    </xf>
    <xf numFmtId="0" fontId="19" fillId="16" borderId="0" xfId="0" applyFont="1" applyFill="1" applyProtection="1">
      <protection hidden="1"/>
    </xf>
    <xf numFmtId="0" fontId="0" fillId="16" borderId="21" xfId="0" applyFill="1" applyBorder="1"/>
    <xf numFmtId="0" fontId="19" fillId="16" borderId="1" xfId="0" applyFont="1" applyFill="1" applyBorder="1" applyAlignment="1" applyProtection="1">
      <alignment horizontal="center" vertical="center"/>
      <protection hidden="1"/>
    </xf>
    <xf numFmtId="0" fontId="3" fillId="16" borderId="1" xfId="0" applyFont="1" applyFill="1" applyBorder="1" applyAlignment="1" applyProtection="1">
      <alignment horizontal="center" vertical="center"/>
      <protection hidden="1"/>
    </xf>
    <xf numFmtId="0" fontId="19" fillId="16" borderId="30" xfId="0" applyFont="1" applyFill="1" applyBorder="1" applyAlignment="1" applyProtection="1">
      <alignment horizontal="center" vertical="center"/>
      <protection hidden="1"/>
    </xf>
    <xf numFmtId="0" fontId="19" fillId="16" borderId="22" xfId="0" applyFont="1" applyFill="1" applyBorder="1" applyAlignment="1" applyProtection="1">
      <alignment horizontal="center"/>
      <protection hidden="1"/>
    </xf>
    <xf numFmtId="0" fontId="0" fillId="16" borderId="5" xfId="0" applyFill="1" applyBorder="1"/>
    <xf numFmtId="0" fontId="0" fillId="16" borderId="23" xfId="0" applyFill="1" applyBorder="1"/>
    <xf numFmtId="0" fontId="2" fillId="4" borderId="0" xfId="0" applyFont="1" applyFill="1" applyAlignment="1" applyProtection="1">
      <alignment vertical="center"/>
      <protection hidden="1"/>
    </xf>
    <xf numFmtId="0" fontId="126" fillId="2" borderId="0" xfId="4" applyFont="1" applyFill="1" applyAlignment="1" applyProtection="1">
      <alignment horizontal="right"/>
      <protection hidden="1"/>
    </xf>
    <xf numFmtId="49" fontId="4" fillId="2" borderId="3" xfId="4" applyNumberFormat="1" applyFont="1" applyFill="1" applyBorder="1" applyAlignment="1" applyProtection="1">
      <alignment horizontal="right"/>
      <protection hidden="1"/>
    </xf>
    <xf numFmtId="49" fontId="4" fillId="2" borderId="3" xfId="4" applyNumberFormat="1" applyFont="1" applyFill="1" applyBorder="1" applyAlignment="1" applyProtection="1">
      <alignment horizontal="right" vertical="center"/>
      <protection hidden="1"/>
    </xf>
    <xf numFmtId="0" fontId="4" fillId="2" borderId="3" xfId="4" applyFont="1" applyFill="1" applyBorder="1" applyProtection="1">
      <protection hidden="1"/>
    </xf>
    <xf numFmtId="0" fontId="3" fillId="2" borderId="25" xfId="4" applyFill="1" applyBorder="1" applyProtection="1">
      <protection hidden="1"/>
    </xf>
    <xf numFmtId="4" fontId="3" fillId="2" borderId="3" xfId="4" applyNumberFormat="1" applyFill="1" applyBorder="1" applyProtection="1">
      <protection hidden="1"/>
    </xf>
    <xf numFmtId="37" fontId="5" fillId="29" borderId="40" xfId="0" applyNumberFormat="1" applyFont="1" applyFill="1" applyBorder="1" applyAlignment="1" applyProtection="1">
      <alignment horizontal="right"/>
      <protection hidden="1"/>
    </xf>
    <xf numFmtId="0" fontId="3" fillId="5" borderId="0" xfId="0" applyFont="1" applyFill="1" applyAlignment="1" applyProtection="1">
      <alignment horizontal="right"/>
      <protection hidden="1"/>
    </xf>
    <xf numFmtId="0" fontId="140" fillId="0" borderId="0" xfId="0" applyFont="1"/>
    <xf numFmtId="0" fontId="13" fillId="30" borderId="28" xfId="0" applyFont="1" applyFill="1" applyBorder="1" applyProtection="1">
      <protection hidden="1"/>
    </xf>
    <xf numFmtId="0" fontId="14" fillId="25" borderId="28" xfId="0" applyFont="1" applyFill="1" applyBorder="1" applyProtection="1">
      <protection hidden="1"/>
    </xf>
    <xf numFmtId="0" fontId="14" fillId="25" borderId="115" xfId="0" applyFont="1" applyFill="1" applyBorder="1" applyProtection="1">
      <protection hidden="1"/>
    </xf>
    <xf numFmtId="0" fontId="8" fillId="25" borderId="6" xfId="0" applyFont="1" applyFill="1" applyBorder="1" applyAlignment="1" applyProtection="1">
      <alignment horizontal="center"/>
      <protection hidden="1"/>
    </xf>
    <xf numFmtId="0" fontId="8" fillId="25" borderId="0" xfId="0" applyFont="1" applyFill="1" applyAlignment="1" applyProtection="1">
      <alignment horizontal="center"/>
      <protection hidden="1"/>
    </xf>
    <xf numFmtId="0" fontId="8" fillId="25" borderId="0" xfId="0" applyFont="1" applyFill="1" applyAlignment="1" applyProtection="1">
      <alignment horizontal="left"/>
      <protection hidden="1"/>
    </xf>
    <xf numFmtId="0" fontId="5" fillId="25" borderId="0" xfId="0" applyFont="1" applyFill="1" applyProtection="1">
      <protection hidden="1"/>
    </xf>
    <xf numFmtId="0" fontId="72" fillId="25" borderId="21" xfId="0" applyFont="1" applyFill="1" applyBorder="1" applyProtection="1">
      <protection hidden="1"/>
    </xf>
    <xf numFmtId="0" fontId="0" fillId="25" borderId="0" xfId="0" applyFill="1" applyAlignment="1" applyProtection="1">
      <alignment vertical="center"/>
      <protection hidden="1"/>
    </xf>
    <xf numFmtId="3" fontId="31" fillId="25" borderId="6" xfId="0" applyNumberFormat="1" applyFont="1" applyFill="1" applyBorder="1" applyAlignment="1" applyProtection="1">
      <alignment horizontal="right"/>
      <protection hidden="1"/>
    </xf>
    <xf numFmtId="0" fontId="72" fillId="25" borderId="0" xfId="0" applyFont="1" applyFill="1" applyProtection="1">
      <protection hidden="1"/>
    </xf>
    <xf numFmtId="3" fontId="31" fillId="25" borderId="0" xfId="0" applyNumberFormat="1" applyFont="1" applyFill="1" applyAlignment="1" applyProtection="1">
      <alignment horizontal="right"/>
      <protection hidden="1"/>
    </xf>
    <xf numFmtId="0" fontId="145" fillId="25" borderId="0" xfId="0" applyFont="1" applyFill="1" applyAlignment="1" applyProtection="1">
      <alignment horizontal="center"/>
      <protection hidden="1"/>
    </xf>
    <xf numFmtId="0" fontId="8" fillId="25" borderId="0" xfId="0" applyFont="1" applyFill="1" applyAlignment="1" applyProtection="1">
      <alignment horizontal="right"/>
      <protection hidden="1"/>
    </xf>
    <xf numFmtId="3" fontId="169" fillId="25" borderId="0" xfId="0" applyNumberFormat="1" applyFont="1" applyFill="1" applyAlignment="1" applyProtection="1">
      <alignment horizontal="center"/>
      <protection hidden="1"/>
    </xf>
    <xf numFmtId="0" fontId="148" fillId="25" borderId="0" xfId="0" applyFont="1" applyFill="1" applyAlignment="1" applyProtection="1">
      <alignment horizontal="center"/>
      <protection hidden="1"/>
    </xf>
    <xf numFmtId="0" fontId="64" fillId="5" borderId="0" xfId="0" applyFont="1" applyFill="1" applyAlignment="1">
      <alignment horizontal="right"/>
    </xf>
    <xf numFmtId="0" fontId="170" fillId="5" borderId="2" xfId="2" applyFont="1" applyFill="1" applyBorder="1" applyAlignment="1" applyProtection="1">
      <alignment horizontal="center" vertical="center"/>
    </xf>
    <xf numFmtId="0" fontId="19" fillId="25" borderId="28" xfId="0" applyFont="1" applyFill="1" applyBorder="1" applyProtection="1">
      <protection hidden="1"/>
    </xf>
    <xf numFmtId="0" fontId="0" fillId="25" borderId="28" xfId="0" applyFill="1" applyBorder="1" applyAlignment="1" applyProtection="1">
      <alignment horizontal="center"/>
      <protection hidden="1"/>
    </xf>
    <xf numFmtId="0" fontId="19" fillId="25" borderId="0" xfId="0" applyFont="1" applyFill="1" applyProtection="1">
      <protection hidden="1"/>
    </xf>
    <xf numFmtId="0" fontId="19" fillId="25" borderId="21" xfId="0" applyFont="1" applyFill="1" applyBorder="1" applyProtection="1">
      <protection hidden="1"/>
    </xf>
    <xf numFmtId="0" fontId="1" fillId="25" borderId="6" xfId="0" applyFont="1" applyFill="1" applyBorder="1" applyAlignment="1" applyProtection="1">
      <alignment horizontal="left"/>
      <protection hidden="1"/>
    </xf>
    <xf numFmtId="0" fontId="1" fillId="25" borderId="0" xfId="0" applyFont="1" applyFill="1" applyAlignment="1" applyProtection="1">
      <alignment horizontal="left"/>
      <protection hidden="1"/>
    </xf>
    <xf numFmtId="0" fontId="3" fillId="25" borderId="0" xfId="0" applyFont="1" applyFill="1" applyProtection="1">
      <protection hidden="1"/>
    </xf>
    <xf numFmtId="0" fontId="3" fillId="25" borderId="0" xfId="0" applyFont="1" applyFill="1" applyAlignment="1" applyProtection="1">
      <alignment vertical="top"/>
      <protection hidden="1"/>
    </xf>
    <xf numFmtId="0" fontId="11" fillId="25" borderId="6" xfId="0" applyFont="1" applyFill="1" applyBorder="1" applyAlignment="1" applyProtection="1">
      <alignment horizontal="center"/>
      <protection hidden="1"/>
    </xf>
    <xf numFmtId="37" fontId="6" fillId="29" borderId="2" xfId="0" applyNumberFormat="1" applyFont="1" applyFill="1" applyBorder="1" applyAlignment="1" applyProtection="1">
      <alignment horizontal="center" vertical="center"/>
      <protection hidden="1"/>
    </xf>
    <xf numFmtId="0" fontId="14" fillId="16" borderId="0" xfId="0" applyFont="1" applyFill="1" applyProtection="1">
      <protection hidden="1"/>
    </xf>
    <xf numFmtId="0" fontId="0" fillId="16" borderId="1" xfId="0" applyFill="1" applyBorder="1" applyAlignment="1">
      <alignment horizontal="left" vertical="top"/>
    </xf>
    <xf numFmtId="0" fontId="0" fillId="16" borderId="12" xfId="0" applyFill="1" applyBorder="1" applyAlignment="1">
      <alignment horizontal="left" vertical="top"/>
    </xf>
    <xf numFmtId="0" fontId="2" fillId="2" borderId="0" xfId="4" applyFont="1" applyFill="1" applyAlignment="1" applyProtection="1">
      <alignment horizontal="left"/>
      <protection hidden="1"/>
    </xf>
    <xf numFmtId="0" fontId="0" fillId="0" borderId="0" xfId="0" applyAlignment="1">
      <alignment wrapText="1"/>
    </xf>
    <xf numFmtId="179" fontId="8" fillId="5" borderId="0" xfId="0" applyNumberFormat="1" applyFont="1" applyFill="1" applyAlignment="1" applyProtection="1">
      <alignment horizontal="center" vertical="top"/>
      <protection hidden="1"/>
    </xf>
    <xf numFmtId="0" fontId="3" fillId="2" borderId="5" xfId="0" applyFont="1" applyFill="1" applyBorder="1" applyProtection="1">
      <protection hidden="1"/>
    </xf>
    <xf numFmtId="0" fontId="10" fillId="17" borderId="13" xfId="0" applyFont="1" applyFill="1" applyBorder="1" applyAlignment="1" applyProtection="1">
      <alignment horizontal="center" vertical="center"/>
      <protection locked="0"/>
    </xf>
    <xf numFmtId="0" fontId="0" fillId="16" borderId="6" xfId="0" applyFill="1" applyBorder="1" applyAlignment="1" applyProtection="1">
      <alignment horizontal="left"/>
      <protection hidden="1"/>
    </xf>
    <xf numFmtId="0" fontId="0" fillId="16" borderId="0" xfId="0" applyFill="1" applyAlignment="1" applyProtection="1">
      <alignment horizontal="left"/>
      <protection hidden="1"/>
    </xf>
    <xf numFmtId="0" fontId="0" fillId="16" borderId="21" xfId="0" applyFill="1" applyBorder="1" applyAlignment="1" applyProtection="1">
      <alignment horizontal="left"/>
      <protection hidden="1"/>
    </xf>
    <xf numFmtId="0" fontId="3" fillId="16" borderId="22" xfId="0" applyFont="1" applyFill="1" applyBorder="1" applyProtection="1">
      <protection hidden="1"/>
    </xf>
    <xf numFmtId="0" fontId="3" fillId="16" borderId="8" xfId="0" applyFont="1" applyFill="1" applyBorder="1" applyProtection="1">
      <protection hidden="1"/>
    </xf>
    <xf numFmtId="0" fontId="0" fillId="16" borderId="57" xfId="0" applyFill="1" applyBorder="1" applyProtection="1">
      <protection hidden="1"/>
    </xf>
    <xf numFmtId="0" fontId="0" fillId="16" borderId="1" xfId="0" applyFill="1" applyBorder="1" applyProtection="1">
      <protection hidden="1"/>
    </xf>
    <xf numFmtId="0" fontId="0" fillId="16" borderId="26" xfId="0" applyFill="1" applyBorder="1" applyProtection="1">
      <protection hidden="1"/>
    </xf>
    <xf numFmtId="0" fontId="0" fillId="16" borderId="16" xfId="0" applyFill="1" applyBorder="1" applyProtection="1">
      <protection hidden="1"/>
    </xf>
    <xf numFmtId="0" fontId="16" fillId="16" borderId="0" xfId="0" quotePrefix="1" applyFont="1" applyFill="1" applyAlignment="1" applyProtection="1">
      <alignment horizontal="center"/>
      <protection hidden="1"/>
    </xf>
    <xf numFmtId="0" fontId="1" fillId="16" borderId="11" xfId="0" applyFont="1" applyFill="1" applyBorder="1" applyAlignment="1" applyProtection="1">
      <alignment horizontal="center"/>
      <protection hidden="1"/>
    </xf>
    <xf numFmtId="0" fontId="0" fillId="16" borderId="7" xfId="0" applyFill="1" applyBorder="1" applyProtection="1">
      <protection hidden="1"/>
    </xf>
    <xf numFmtId="0" fontId="16" fillId="16" borderId="0" xfId="0" quotePrefix="1" applyFont="1" applyFill="1" applyAlignment="1" applyProtection="1">
      <alignment horizontal="right"/>
      <protection hidden="1"/>
    </xf>
    <xf numFmtId="0" fontId="1" fillId="16" borderId="0" xfId="0" applyFont="1" applyFill="1" applyAlignment="1" applyProtection="1">
      <alignment horizontal="right"/>
      <protection hidden="1"/>
    </xf>
    <xf numFmtId="0" fontId="0" fillId="20" borderId="7" xfId="0" applyFill="1" applyBorder="1" applyProtection="1">
      <protection hidden="1"/>
    </xf>
    <xf numFmtId="0" fontId="0" fillId="20" borderId="0" xfId="0" applyFill="1" applyProtection="1">
      <protection hidden="1"/>
    </xf>
    <xf numFmtId="0" fontId="16" fillId="16" borderId="29" xfId="0" quotePrefix="1" applyFont="1" applyFill="1" applyBorder="1" applyAlignment="1" applyProtection="1">
      <alignment horizontal="center"/>
      <protection hidden="1"/>
    </xf>
    <xf numFmtId="0" fontId="1" fillId="16" borderId="29" xfId="0" applyFont="1" applyFill="1" applyBorder="1" applyAlignment="1" applyProtection="1">
      <alignment horizontal="center"/>
      <protection hidden="1"/>
    </xf>
    <xf numFmtId="0" fontId="16" fillId="16" borderId="26" xfId="0" quotePrefix="1" applyFont="1" applyFill="1" applyBorder="1" applyAlignment="1" applyProtection="1">
      <alignment horizontal="right"/>
      <protection hidden="1"/>
    </xf>
    <xf numFmtId="0" fontId="16" fillId="16" borderId="26" xfId="0" quotePrefix="1" applyFont="1" applyFill="1" applyBorder="1" applyAlignment="1" applyProtection="1">
      <alignment horizontal="center"/>
      <protection hidden="1"/>
    </xf>
    <xf numFmtId="0" fontId="16" fillId="16" borderId="32" xfId="0" quotePrefix="1" applyFont="1" applyFill="1" applyBorder="1" applyAlignment="1" applyProtection="1">
      <alignment horizontal="right"/>
      <protection hidden="1"/>
    </xf>
    <xf numFmtId="0" fontId="16" fillId="16" borderId="32" xfId="0" quotePrefix="1" applyFont="1" applyFill="1" applyBorder="1" applyAlignment="1" applyProtection="1">
      <alignment horizontal="center"/>
      <protection hidden="1"/>
    </xf>
    <xf numFmtId="0" fontId="16" fillId="16" borderId="8" xfId="0" quotePrefix="1" applyFont="1" applyFill="1" applyBorder="1" applyAlignment="1" applyProtection="1">
      <alignment horizontal="right"/>
      <protection hidden="1"/>
    </xf>
    <xf numFmtId="0" fontId="5" fillId="16" borderId="1" xfId="0" applyFont="1" applyFill="1" applyBorder="1" applyProtection="1">
      <protection hidden="1"/>
    </xf>
    <xf numFmtId="0" fontId="10" fillId="16" borderId="1" xfId="0" applyFont="1" applyFill="1" applyBorder="1" applyAlignment="1" applyProtection="1">
      <alignment vertical="center"/>
      <protection hidden="1"/>
    </xf>
    <xf numFmtId="0" fontId="1" fillId="16" borderId="1" xfId="0" applyFont="1" applyFill="1" applyBorder="1" applyAlignment="1" applyProtection="1">
      <alignment vertical="center"/>
      <protection hidden="1"/>
    </xf>
    <xf numFmtId="0" fontId="16" fillId="16" borderId="9" xfId="0" applyFont="1" applyFill="1" applyBorder="1" applyAlignment="1" applyProtection="1">
      <alignment horizontal="center"/>
      <protection hidden="1"/>
    </xf>
    <xf numFmtId="0" fontId="0" fillId="16" borderId="9" xfId="0" applyFill="1" applyBorder="1" applyProtection="1">
      <protection hidden="1"/>
    </xf>
    <xf numFmtId="0" fontId="0" fillId="16" borderId="15" xfId="0" applyFill="1" applyBorder="1" applyProtection="1">
      <protection hidden="1"/>
    </xf>
    <xf numFmtId="0" fontId="16" fillId="16" borderId="31" xfId="0" applyFont="1" applyFill="1" applyBorder="1" applyAlignment="1" applyProtection="1">
      <alignment horizontal="center"/>
      <protection hidden="1"/>
    </xf>
    <xf numFmtId="0" fontId="16" fillId="16" borderId="0" xfId="0" applyFont="1" applyFill="1" applyProtection="1">
      <protection hidden="1"/>
    </xf>
    <xf numFmtId="0" fontId="10" fillId="16" borderId="28" xfId="0" applyFont="1" applyFill="1" applyBorder="1" applyAlignment="1" applyProtection="1">
      <alignment vertical="center"/>
      <protection hidden="1"/>
    </xf>
    <xf numFmtId="0" fontId="0" fillId="16" borderId="28" xfId="0" applyFill="1" applyBorder="1" applyProtection="1">
      <protection hidden="1"/>
    </xf>
    <xf numFmtId="0" fontId="150" fillId="16" borderId="26" xfId="0" applyFont="1" applyFill="1" applyBorder="1" applyAlignment="1" applyProtection="1">
      <alignment horizontal="right"/>
      <protection hidden="1"/>
    </xf>
    <xf numFmtId="0" fontId="0" fillId="16" borderId="31" xfId="0" applyFill="1" applyBorder="1" applyProtection="1">
      <protection hidden="1"/>
    </xf>
    <xf numFmtId="0" fontId="0" fillId="16" borderId="3" xfId="0" applyFill="1" applyBorder="1" applyProtection="1">
      <protection hidden="1"/>
    </xf>
    <xf numFmtId="0" fontId="0" fillId="16" borderId="25" xfId="0" applyFill="1" applyBorder="1" applyProtection="1">
      <protection hidden="1"/>
    </xf>
    <xf numFmtId="0" fontId="1" fillId="16" borderId="3" xfId="0" quotePrefix="1" applyFont="1" applyFill="1" applyBorder="1" applyAlignment="1" applyProtection="1">
      <alignment horizontal="right"/>
      <protection hidden="1"/>
    </xf>
    <xf numFmtId="0" fontId="1" fillId="16" borderId="0" xfId="0" quotePrefix="1" applyFont="1" applyFill="1" applyAlignment="1" applyProtection="1">
      <alignment horizontal="right"/>
      <protection hidden="1"/>
    </xf>
    <xf numFmtId="0" fontId="0" fillId="16" borderId="10" xfId="0" applyFill="1" applyBorder="1" applyProtection="1">
      <protection hidden="1"/>
    </xf>
    <xf numFmtId="0" fontId="1" fillId="5" borderId="0" xfId="0" applyFont="1" applyFill="1" applyAlignment="1" applyProtection="1">
      <alignment horizontal="left"/>
      <protection hidden="1"/>
    </xf>
    <xf numFmtId="0" fontId="16" fillId="5" borderId="0" xfId="0" applyFont="1" applyFill="1" applyAlignment="1" applyProtection="1">
      <alignment horizontal="left"/>
      <protection hidden="1"/>
    </xf>
    <xf numFmtId="0" fontId="150" fillId="5" borderId="0" xfId="0" applyFont="1" applyFill="1" applyAlignment="1" applyProtection="1">
      <alignment horizontal="center"/>
      <protection hidden="1"/>
    </xf>
    <xf numFmtId="0" fontId="10" fillId="28" borderId="13" xfId="0" applyFont="1" applyFill="1" applyBorder="1" applyAlignment="1" applyProtection="1">
      <alignment horizontal="center" vertical="center"/>
      <protection hidden="1"/>
    </xf>
    <xf numFmtId="0" fontId="172" fillId="0" borderId="47" xfId="0" quotePrefix="1" applyFont="1" applyBorder="1" applyAlignment="1">
      <alignment horizontal="center" vertical="center" wrapText="1"/>
    </xf>
    <xf numFmtId="0" fontId="172" fillId="0" borderId="56" xfId="0" applyFont="1" applyBorder="1" applyAlignment="1">
      <alignment horizontal="center" vertical="center"/>
    </xf>
    <xf numFmtId="0" fontId="172" fillId="0" borderId="11" xfId="0" applyFont="1" applyBorder="1" applyAlignment="1">
      <alignment horizontal="center" vertical="center" wrapText="1"/>
    </xf>
    <xf numFmtId="0" fontId="173" fillId="0" borderId="60" xfId="0" applyFont="1" applyBorder="1" applyAlignment="1" applyProtection="1">
      <alignment horizontal="centerContinuous"/>
      <protection hidden="1"/>
    </xf>
    <xf numFmtId="0" fontId="172" fillId="0" borderId="75" xfId="0" applyFont="1" applyBorder="1" applyAlignment="1">
      <alignment horizontal="centerContinuous" wrapText="1"/>
    </xf>
    <xf numFmtId="0" fontId="3" fillId="0" borderId="61" xfId="0" applyFont="1" applyBorder="1" applyAlignment="1" applyProtection="1">
      <alignment horizontal="centerContinuous"/>
      <protection hidden="1"/>
    </xf>
    <xf numFmtId="0" fontId="172" fillId="0" borderId="67" xfId="0" applyFont="1" applyBorder="1" applyAlignment="1">
      <alignment horizontal="center" vertical="center" wrapText="1"/>
    </xf>
    <xf numFmtId="3" fontId="172" fillId="0" borderId="13" xfId="0" applyNumberFormat="1" applyFont="1" applyBorder="1" applyAlignment="1">
      <alignment horizontal="center" vertical="center" wrapText="1"/>
    </xf>
    <xf numFmtId="3" fontId="3" fillId="31" borderId="1" xfId="0" applyNumberFormat="1" applyFont="1" applyFill="1" applyBorder="1" applyProtection="1">
      <protection hidden="1"/>
    </xf>
    <xf numFmtId="3" fontId="3" fillId="17" borderId="1" xfId="0" applyNumberFormat="1" applyFont="1" applyFill="1" applyBorder="1" applyProtection="1">
      <protection locked="0"/>
    </xf>
    <xf numFmtId="3" fontId="3" fillId="26" borderId="1" xfId="0" applyNumberFormat="1" applyFont="1" applyFill="1" applyBorder="1" applyProtection="1">
      <protection hidden="1"/>
    </xf>
    <xf numFmtId="0" fontId="91" fillId="5" borderId="0" xfId="0" applyFont="1" applyFill="1"/>
    <xf numFmtId="4" fontId="91" fillId="5" borderId="0" xfId="0" applyNumberFormat="1" applyFont="1" applyFill="1"/>
    <xf numFmtId="0" fontId="91" fillId="5" borderId="0" xfId="0" applyFont="1" applyFill="1" applyAlignment="1">
      <alignment vertical="center"/>
    </xf>
    <xf numFmtId="0" fontId="178" fillId="3" borderId="0" xfId="0" applyFont="1" applyFill="1" applyProtection="1">
      <protection hidden="1"/>
    </xf>
    <xf numFmtId="0" fontId="95" fillId="3" borderId="0" xfId="0" applyFont="1" applyFill="1" applyProtection="1">
      <protection hidden="1"/>
    </xf>
    <xf numFmtId="0" fontId="95" fillId="3" borderId="0" xfId="0" applyFont="1" applyFill="1" applyAlignment="1" applyProtection="1">
      <alignment vertical="top"/>
      <protection hidden="1"/>
    </xf>
    <xf numFmtId="0" fontId="57" fillId="9" borderId="0" xfId="0" applyFont="1" applyFill="1" applyAlignment="1" applyProtection="1">
      <alignment horizontal="center" vertical="center"/>
      <protection hidden="1"/>
    </xf>
    <xf numFmtId="0" fontId="10" fillId="3" borderId="0" xfId="0" applyFont="1" applyFill="1" applyProtection="1">
      <protection hidden="1"/>
    </xf>
    <xf numFmtId="0" fontId="176" fillId="3" borderId="0" xfId="0" applyFont="1" applyFill="1" applyAlignment="1" applyProtection="1">
      <alignment horizontal="right"/>
      <protection hidden="1"/>
    </xf>
    <xf numFmtId="0" fontId="0" fillId="3" borderId="15" xfId="0" applyFill="1" applyBorder="1" applyProtection="1">
      <protection hidden="1"/>
    </xf>
    <xf numFmtId="0" fontId="0" fillId="3" borderId="3" xfId="0" applyFill="1" applyBorder="1" applyProtection="1">
      <protection hidden="1"/>
    </xf>
    <xf numFmtId="0" fontId="176" fillId="3" borderId="0" xfId="0" applyFont="1" applyFill="1" applyProtection="1">
      <protection hidden="1"/>
    </xf>
    <xf numFmtId="0" fontId="176" fillId="3" borderId="0" xfId="0" applyFont="1" applyFill="1" applyAlignment="1" applyProtection="1">
      <alignment horizontal="left"/>
      <protection hidden="1"/>
    </xf>
    <xf numFmtId="0" fontId="176" fillId="3" borderId="3" xfId="0" applyFont="1" applyFill="1" applyBorder="1" applyProtection="1">
      <protection hidden="1"/>
    </xf>
    <xf numFmtId="0" fontId="178" fillId="3" borderId="1" xfId="0" applyFont="1" applyFill="1" applyBorder="1" applyAlignment="1" applyProtection="1">
      <alignment horizontal="left"/>
      <protection hidden="1"/>
    </xf>
    <xf numFmtId="0" fontId="8" fillId="3" borderId="1" xfId="0" applyFont="1" applyFill="1" applyBorder="1" applyAlignment="1" applyProtection="1">
      <alignment horizontal="center"/>
      <protection hidden="1"/>
    </xf>
    <xf numFmtId="0" fontId="8" fillId="3" borderId="12" xfId="0" applyFont="1" applyFill="1" applyBorder="1" applyProtection="1">
      <protection hidden="1"/>
    </xf>
    <xf numFmtId="0" fontId="8" fillId="3" borderId="10" xfId="0" applyFont="1" applyFill="1" applyBorder="1" applyProtection="1">
      <protection hidden="1"/>
    </xf>
    <xf numFmtId="0" fontId="0" fillId="3" borderId="10" xfId="0" applyFill="1" applyBorder="1" applyProtection="1">
      <protection hidden="1"/>
    </xf>
    <xf numFmtId="0" fontId="0" fillId="3" borderId="21" xfId="0" applyFill="1" applyBorder="1" applyAlignment="1" applyProtection="1">
      <alignment horizontal="left"/>
      <protection hidden="1"/>
    </xf>
    <xf numFmtId="0" fontId="90" fillId="3" borderId="0" xfId="0" applyFont="1" applyFill="1" applyProtection="1">
      <protection hidden="1"/>
    </xf>
    <xf numFmtId="0" fontId="64" fillId="3" borderId="0" xfId="0" applyFont="1" applyFill="1" applyAlignment="1" applyProtection="1">
      <alignment horizontal="center"/>
      <protection hidden="1"/>
    </xf>
    <xf numFmtId="0" fontId="0" fillId="3" borderId="73" xfId="0" applyFill="1" applyBorder="1" applyProtection="1">
      <protection hidden="1"/>
    </xf>
    <xf numFmtId="0" fontId="0" fillId="3" borderId="34" xfId="0" applyFill="1" applyBorder="1" applyProtection="1">
      <protection hidden="1"/>
    </xf>
    <xf numFmtId="0" fontId="64" fillId="3" borderId="0" xfId="0" applyFont="1" applyFill="1" applyProtection="1">
      <protection hidden="1"/>
    </xf>
    <xf numFmtId="0" fontId="3" fillId="3" borderId="1" xfId="0" applyFont="1" applyFill="1" applyBorder="1" applyProtection="1">
      <protection hidden="1"/>
    </xf>
    <xf numFmtId="0" fontId="57" fillId="9" borderId="0" xfId="0" applyFont="1" applyFill="1" applyAlignment="1" applyProtection="1">
      <alignment horizontal="center"/>
      <protection hidden="1"/>
    </xf>
    <xf numFmtId="0" fontId="178" fillId="3" borderId="26" xfId="0" applyFont="1" applyFill="1" applyBorder="1" applyProtection="1">
      <protection hidden="1"/>
    </xf>
    <xf numFmtId="0" fontId="0" fillId="3" borderId="26" xfId="0" applyFill="1" applyBorder="1" applyProtection="1">
      <protection hidden="1"/>
    </xf>
    <xf numFmtId="0" fontId="8" fillId="3" borderId="0" xfId="0" applyFont="1" applyFill="1" applyAlignment="1" applyProtection="1">
      <alignment horizontal="center"/>
      <protection hidden="1"/>
    </xf>
    <xf numFmtId="0" fontId="178" fillId="3" borderId="0" xfId="0" applyFont="1" applyFill="1" applyAlignment="1" applyProtection="1">
      <alignment horizontal="center"/>
      <protection hidden="1"/>
    </xf>
    <xf numFmtId="0" fontId="91" fillId="7" borderId="7" xfId="0" applyFont="1" applyFill="1" applyBorder="1" applyProtection="1">
      <protection hidden="1"/>
    </xf>
    <xf numFmtId="3" fontId="23" fillId="3" borderId="3" xfId="0" applyNumberFormat="1" applyFont="1" applyFill="1" applyBorder="1" applyProtection="1">
      <protection hidden="1"/>
    </xf>
    <xf numFmtId="0" fontId="0" fillId="7" borderId="7" xfId="0" applyFill="1" applyBorder="1" applyProtection="1">
      <protection hidden="1"/>
    </xf>
    <xf numFmtId="0" fontId="1" fillId="3" borderId="25" xfId="0" applyFont="1" applyFill="1" applyBorder="1" applyAlignment="1" applyProtection="1">
      <alignment horizontal="right"/>
      <protection hidden="1"/>
    </xf>
    <xf numFmtId="0" fontId="178" fillId="3" borderId="10" xfId="0" applyFont="1" applyFill="1" applyBorder="1" applyAlignment="1" applyProtection="1">
      <alignment horizontal="center"/>
      <protection hidden="1"/>
    </xf>
    <xf numFmtId="4" fontId="3" fillId="3" borderId="3" xfId="0" applyNumberFormat="1" applyFont="1" applyFill="1" applyBorder="1" applyProtection="1">
      <protection hidden="1"/>
    </xf>
    <xf numFmtId="0" fontId="5" fillId="3" borderId="0" xfId="0" applyFont="1" applyFill="1" applyAlignment="1" applyProtection="1">
      <alignment vertical="top"/>
      <protection hidden="1"/>
    </xf>
    <xf numFmtId="0" fontId="176" fillId="3" borderId="5" xfId="0" applyFont="1" applyFill="1" applyBorder="1" applyAlignment="1" applyProtection="1">
      <alignment horizontal="right"/>
      <protection hidden="1"/>
    </xf>
    <xf numFmtId="0" fontId="176" fillId="3" borderId="5" xfId="0" applyFont="1" applyFill="1" applyBorder="1" applyAlignment="1" applyProtection="1">
      <alignment horizontal="left"/>
      <protection hidden="1"/>
    </xf>
    <xf numFmtId="0" fontId="11" fillId="3" borderId="5" xfId="0" applyFont="1" applyFill="1" applyBorder="1" applyAlignment="1" applyProtection="1">
      <alignment horizontal="right"/>
      <protection hidden="1"/>
    </xf>
    <xf numFmtId="0" fontId="0" fillId="3" borderId="71" xfId="0" applyFill="1" applyBorder="1" applyProtection="1">
      <protection hidden="1"/>
    </xf>
    <xf numFmtId="6" fontId="0" fillId="3" borderId="0" xfId="0" applyNumberFormat="1" applyFill="1" applyAlignment="1" applyProtection="1">
      <alignment horizontal="right"/>
      <protection hidden="1"/>
    </xf>
    <xf numFmtId="0" fontId="0" fillId="3" borderId="0" xfId="0" applyFill="1" applyAlignment="1" applyProtection="1">
      <alignment horizontal="left"/>
      <protection hidden="1"/>
    </xf>
    <xf numFmtId="181" fontId="0" fillId="3" borderId="0" xfId="0" applyNumberFormat="1" applyFill="1" applyAlignment="1" applyProtection="1">
      <alignment horizontal="left"/>
      <protection hidden="1"/>
    </xf>
    <xf numFmtId="6" fontId="0" fillId="3" borderId="6" xfId="0" applyNumberFormat="1" applyFill="1" applyBorder="1" applyAlignment="1" applyProtection="1">
      <alignment horizontal="right"/>
      <protection hidden="1"/>
    </xf>
    <xf numFmtId="3" fontId="0" fillId="3" borderId="0" xfId="0" applyNumberFormat="1" applyFill="1" applyAlignment="1" applyProtection="1">
      <alignment horizontal="left"/>
      <protection hidden="1"/>
    </xf>
    <xf numFmtId="181" fontId="0" fillId="3" borderId="0" xfId="0" applyNumberFormat="1" applyFill="1" applyAlignment="1" applyProtection="1">
      <alignment horizontal="center"/>
      <protection hidden="1"/>
    </xf>
    <xf numFmtId="3" fontId="0" fillId="3" borderId="0" xfId="0" applyNumberFormat="1" applyFill="1" applyAlignment="1" applyProtection="1">
      <alignment horizontal="right"/>
      <protection hidden="1"/>
    </xf>
    <xf numFmtId="3" fontId="0" fillId="3" borderId="6" xfId="0" applyNumberFormat="1" applyFill="1" applyBorder="1" applyAlignment="1" applyProtection="1">
      <alignment horizontal="right"/>
      <protection hidden="1"/>
    </xf>
    <xf numFmtId="4" fontId="23" fillId="3" borderId="3" xfId="0" applyNumberFormat="1" applyFont="1" applyFill="1" applyBorder="1" applyProtection="1">
      <protection hidden="1"/>
    </xf>
    <xf numFmtId="0" fontId="178" fillId="3" borderId="70" xfId="0" applyFont="1" applyFill="1" applyBorder="1" applyAlignment="1" applyProtection="1">
      <alignment horizontal="center"/>
      <protection hidden="1"/>
    </xf>
    <xf numFmtId="0" fontId="0" fillId="3" borderId="8" xfId="0" applyFill="1" applyBorder="1" applyAlignment="1" applyProtection="1">
      <alignment vertical="center"/>
      <protection hidden="1"/>
    </xf>
    <xf numFmtId="0" fontId="8" fillId="3" borderId="8" xfId="0" applyFont="1" applyFill="1" applyBorder="1" applyAlignment="1" applyProtection="1">
      <alignment vertical="center"/>
      <protection hidden="1"/>
    </xf>
    <xf numFmtId="0" fontId="0" fillId="3" borderId="5" xfId="0" applyFill="1" applyBorder="1" applyAlignment="1" applyProtection="1">
      <alignment horizontal="right"/>
      <protection hidden="1"/>
    </xf>
    <xf numFmtId="0" fontId="10" fillId="3" borderId="1" xfId="0" applyFont="1" applyFill="1" applyBorder="1" applyAlignment="1" applyProtection="1">
      <alignment vertical="center"/>
      <protection hidden="1"/>
    </xf>
    <xf numFmtId="0" fontId="0" fillId="3" borderId="31" xfId="0" applyFill="1" applyBorder="1" applyProtection="1">
      <protection hidden="1"/>
    </xf>
    <xf numFmtId="4" fontId="0" fillId="3" borderId="31" xfId="0" applyNumberFormat="1" applyFill="1" applyBorder="1" applyProtection="1">
      <protection hidden="1"/>
    </xf>
    <xf numFmtId="0" fontId="178" fillId="3" borderId="11" xfId="0" applyFont="1" applyFill="1" applyBorder="1" applyAlignment="1" applyProtection="1">
      <alignment horizontal="right"/>
      <protection hidden="1"/>
    </xf>
    <xf numFmtId="0" fontId="178" fillId="7" borderId="7" xfId="0" applyFont="1" applyFill="1" applyBorder="1" applyAlignment="1" applyProtection="1">
      <alignment horizontal="right"/>
      <protection hidden="1"/>
    </xf>
    <xf numFmtId="4" fontId="3" fillId="3" borderId="7" xfId="0" applyNumberFormat="1" applyFont="1" applyFill="1" applyBorder="1" applyProtection="1">
      <protection hidden="1"/>
    </xf>
    <xf numFmtId="4" fontId="3" fillId="3" borderId="0" xfId="0" applyNumberFormat="1" applyFont="1" applyFill="1" applyProtection="1">
      <protection hidden="1"/>
    </xf>
    <xf numFmtId="3" fontId="23" fillId="3" borderId="7" xfId="0" applyNumberFormat="1" applyFont="1" applyFill="1" applyBorder="1" applyProtection="1">
      <protection hidden="1"/>
    </xf>
    <xf numFmtId="3" fontId="3" fillId="3" borderId="3" xfId="0" applyNumberFormat="1" applyFont="1" applyFill="1" applyBorder="1" applyProtection="1">
      <protection locked="0"/>
    </xf>
    <xf numFmtId="3" fontId="3"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1" fillId="3" borderId="12" xfId="0" applyFont="1" applyFill="1" applyBorder="1" applyAlignment="1" applyProtection="1">
      <alignment horizontal="right"/>
      <protection hidden="1"/>
    </xf>
    <xf numFmtId="0" fontId="1" fillId="3" borderId="5" xfId="0" applyFont="1" applyFill="1" applyBorder="1" applyAlignment="1" applyProtection="1">
      <alignment horizontal="right"/>
      <protection hidden="1"/>
    </xf>
    <xf numFmtId="0" fontId="178" fillId="3" borderId="29" xfId="0" applyFont="1" applyFill="1" applyBorder="1" applyAlignment="1" applyProtection="1">
      <alignment horizontal="right"/>
      <protection hidden="1"/>
    </xf>
    <xf numFmtId="0" fontId="178" fillId="3" borderId="8" xfId="0" applyFont="1" applyFill="1" applyBorder="1" applyProtection="1">
      <protection hidden="1"/>
    </xf>
    <xf numFmtId="0" fontId="0" fillId="2" borderId="24" xfId="0" applyFill="1" applyBorder="1"/>
    <xf numFmtId="0" fontId="8" fillId="3" borderId="22" xfId="0" applyFont="1" applyFill="1" applyBorder="1" applyAlignment="1" applyProtection="1">
      <alignment horizontal="center" vertical="center"/>
      <protection hidden="1"/>
    </xf>
    <xf numFmtId="0" fontId="0" fillId="3" borderId="23" xfId="0" applyFill="1" applyBorder="1" applyAlignment="1" applyProtection="1">
      <alignment vertical="center"/>
      <protection hidden="1"/>
    </xf>
    <xf numFmtId="0" fontId="8" fillId="3" borderId="0" xfId="0" applyFont="1" applyFill="1" applyAlignment="1" applyProtection="1">
      <alignment horizontal="center" vertical="center"/>
      <protection hidden="1"/>
    </xf>
    <xf numFmtId="0" fontId="22"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21" fillId="3" borderId="0" xfId="0" applyFont="1" applyFill="1" applyAlignment="1" applyProtection="1">
      <alignment vertical="center"/>
      <protection hidden="1"/>
    </xf>
    <xf numFmtId="0" fontId="179" fillId="3" borderId="0" xfId="0" applyFont="1" applyFill="1" applyAlignment="1" applyProtection="1">
      <alignment horizontal="center" vertical="center"/>
      <protection hidden="1"/>
    </xf>
    <xf numFmtId="0" fontId="8" fillId="3" borderId="9" xfId="0" applyFont="1" applyFill="1" applyBorder="1" applyProtection="1">
      <protection hidden="1"/>
    </xf>
    <xf numFmtId="0" fontId="6" fillId="3" borderId="9" xfId="0" applyFont="1" applyFill="1" applyBorder="1" applyProtection="1">
      <protection hidden="1"/>
    </xf>
    <xf numFmtId="0" fontId="175" fillId="3" borderId="9" xfId="0" applyFont="1" applyFill="1" applyBorder="1" applyAlignment="1" applyProtection="1">
      <alignment horizontal="right"/>
      <protection hidden="1"/>
    </xf>
    <xf numFmtId="0" fontId="175" fillId="3" borderId="9" xfId="0" applyFont="1" applyFill="1" applyBorder="1" applyProtection="1">
      <protection hidden="1"/>
    </xf>
    <xf numFmtId="4" fontId="176" fillId="3" borderId="15" xfId="0" applyNumberFormat="1" applyFont="1" applyFill="1" applyBorder="1" applyAlignment="1" applyProtection="1">
      <alignment horizontal="right"/>
      <protection hidden="1"/>
    </xf>
    <xf numFmtId="0" fontId="178" fillId="0" borderId="0" xfId="0" applyFont="1" applyAlignment="1">
      <alignment horizontal="left"/>
    </xf>
    <xf numFmtId="3" fontId="138" fillId="0" borderId="0" xfId="0" applyNumberFormat="1" applyFont="1"/>
    <xf numFmtId="3" fontId="1" fillId="17" borderId="116" xfId="4" applyNumberFormat="1" applyFont="1" applyFill="1" applyBorder="1" applyAlignment="1" applyProtection="1">
      <alignment horizontal="center" vertical="center"/>
      <protection locked="0"/>
    </xf>
    <xf numFmtId="3" fontId="1" fillId="17" borderId="47" xfId="4" applyNumberFormat="1" applyFont="1" applyFill="1" applyBorder="1" applyAlignment="1" applyProtection="1">
      <alignment horizontal="center" vertical="center"/>
      <protection locked="0"/>
    </xf>
    <xf numFmtId="3" fontId="1" fillId="17" borderId="51" xfId="4" applyNumberFormat="1" applyFont="1" applyFill="1" applyBorder="1" applyAlignment="1" applyProtection="1">
      <alignment horizontal="center" vertical="center"/>
      <protection locked="0"/>
    </xf>
    <xf numFmtId="3" fontId="1" fillId="17" borderId="67" xfId="4" applyNumberFormat="1" applyFont="1" applyFill="1" applyBorder="1" applyAlignment="1" applyProtection="1">
      <alignment horizontal="center" vertical="center"/>
      <protection locked="0"/>
    </xf>
    <xf numFmtId="3" fontId="1" fillId="17" borderId="59" xfId="4" applyNumberFormat="1" applyFont="1" applyFill="1" applyBorder="1" applyAlignment="1" applyProtection="1">
      <alignment horizontal="center" vertical="center"/>
      <protection locked="0"/>
    </xf>
    <xf numFmtId="3" fontId="1" fillId="17" borderId="117" xfId="4" applyNumberFormat="1" applyFont="1" applyFill="1" applyBorder="1" applyAlignment="1" applyProtection="1">
      <alignment horizontal="center" vertical="center"/>
      <protection locked="0"/>
    </xf>
    <xf numFmtId="3" fontId="1" fillId="17" borderId="86" xfId="4" applyNumberFormat="1" applyFont="1" applyFill="1" applyBorder="1" applyAlignment="1" applyProtection="1">
      <alignment horizontal="center" vertical="center"/>
      <protection locked="0"/>
    </xf>
    <xf numFmtId="3" fontId="3" fillId="0" borderId="2" xfId="0" applyNumberFormat="1" applyFont="1" applyBorder="1" applyProtection="1">
      <protection locked="0"/>
    </xf>
    <xf numFmtId="0" fontId="10" fillId="3" borderId="26" xfId="0" applyFont="1" applyFill="1" applyBorder="1" applyAlignment="1" applyProtection="1">
      <alignment vertical="center"/>
      <protection hidden="1"/>
    </xf>
    <xf numFmtId="0" fontId="8" fillId="3" borderId="21" xfId="0" applyFont="1" applyFill="1" applyBorder="1" applyAlignment="1" applyProtection="1">
      <alignment horizontal="left"/>
      <protection hidden="1"/>
    </xf>
    <xf numFmtId="0" fontId="3" fillId="3" borderId="1" xfId="0" applyFont="1" applyFill="1" applyBorder="1" applyAlignment="1" applyProtection="1">
      <alignment horizontal="left"/>
      <protection hidden="1"/>
    </xf>
    <xf numFmtId="3" fontId="138" fillId="3" borderId="7" xfId="0" applyNumberFormat="1" applyFont="1" applyFill="1" applyBorder="1" applyProtection="1">
      <protection hidden="1"/>
    </xf>
    <xf numFmtId="3" fontId="138" fillId="3" borderId="3" xfId="0" applyNumberFormat="1" applyFont="1" applyFill="1" applyBorder="1" applyProtection="1">
      <protection locked="0"/>
    </xf>
    <xf numFmtId="0" fontId="150" fillId="3" borderId="0" xfId="0" applyFont="1" applyFill="1" applyAlignment="1" applyProtection="1">
      <alignment vertical="center"/>
      <protection hidden="1"/>
    </xf>
    <xf numFmtId="3" fontId="150" fillId="3" borderId="3" xfId="0" applyNumberFormat="1" applyFont="1" applyFill="1" applyBorder="1" applyAlignment="1" applyProtection="1">
      <alignment horizontal="center"/>
      <protection hidden="1"/>
    </xf>
    <xf numFmtId="0" fontId="157" fillId="16" borderId="0" xfId="0" applyFont="1" applyFill="1" applyAlignment="1">
      <alignment horizontal="center" vertical="center" wrapText="1"/>
    </xf>
    <xf numFmtId="0" fontId="138" fillId="16" borderId="8" xfId="0" applyFont="1" applyFill="1" applyBorder="1" applyAlignment="1" applyProtection="1">
      <alignment horizontal="center" vertical="center"/>
      <protection hidden="1"/>
    </xf>
    <xf numFmtId="168" fontId="0" fillId="16" borderId="0" xfId="0" applyNumberFormat="1" applyFill="1" applyProtection="1">
      <protection hidden="1"/>
    </xf>
    <xf numFmtId="3" fontId="0" fillId="16" borderId="0" xfId="0" applyNumberFormat="1" applyFill="1" applyProtection="1">
      <protection hidden="1"/>
    </xf>
    <xf numFmtId="0" fontId="158" fillId="16" borderId="0" xfId="0" applyFont="1" applyFill="1" applyAlignment="1" applyProtection="1">
      <alignment horizontal="center"/>
      <protection hidden="1"/>
    </xf>
    <xf numFmtId="171" fontId="0" fillId="16" borderId="0" xfId="0" applyNumberFormat="1" applyFill="1" applyAlignment="1" applyProtection="1">
      <alignment horizontal="right"/>
      <protection hidden="1"/>
    </xf>
    <xf numFmtId="0" fontId="3" fillId="16" borderId="6" xfId="0" applyFont="1" applyFill="1" applyBorder="1" applyAlignment="1" applyProtection="1">
      <alignment horizontal="left" indent="1"/>
      <protection hidden="1"/>
    </xf>
    <xf numFmtId="0" fontId="0" fillId="16" borderId="6" xfId="0" applyFill="1" applyBorder="1" applyAlignment="1" applyProtection="1">
      <alignment horizontal="left" indent="1"/>
      <protection hidden="1"/>
    </xf>
    <xf numFmtId="0" fontId="0" fillId="16" borderId="22" xfId="0" applyFill="1" applyBorder="1" applyAlignment="1" applyProtection="1">
      <alignment horizontal="left" indent="1"/>
      <protection hidden="1"/>
    </xf>
    <xf numFmtId="0" fontId="27" fillId="16" borderId="24" xfId="0" applyFont="1" applyFill="1" applyBorder="1" applyAlignment="1" applyProtection="1">
      <alignment horizontal="left" indent="1"/>
      <protection hidden="1"/>
    </xf>
    <xf numFmtId="0" fontId="3" fillId="16" borderId="0" xfId="0" applyFont="1" applyFill="1" applyAlignment="1" applyProtection="1">
      <alignment horizontal="center" wrapText="1"/>
      <protection hidden="1"/>
    </xf>
    <xf numFmtId="3" fontId="3" fillId="16" borderId="0" xfId="0" applyNumberFormat="1" applyFont="1" applyFill="1" applyAlignment="1" applyProtection="1">
      <alignment horizontal="right"/>
      <protection hidden="1"/>
    </xf>
    <xf numFmtId="0" fontId="0" fillId="16" borderId="0" xfId="0" applyFill="1" applyAlignment="1">
      <alignment vertical="top" wrapText="1"/>
    </xf>
    <xf numFmtId="3" fontId="138" fillId="16" borderId="0" xfId="0" applyNumberFormat="1" applyFont="1" applyFill="1" applyProtection="1">
      <protection hidden="1"/>
    </xf>
    <xf numFmtId="177" fontId="0" fillId="16" borderId="0" xfId="0" applyNumberFormat="1" applyFill="1" applyAlignment="1" applyProtection="1">
      <alignment horizontal="right"/>
      <protection hidden="1"/>
    </xf>
    <xf numFmtId="0" fontId="0" fillId="16" borderId="0" xfId="0" applyFill="1" applyAlignment="1" applyProtection="1">
      <alignment horizontal="right"/>
      <protection hidden="1"/>
    </xf>
    <xf numFmtId="0" fontId="150" fillId="16" borderId="0" xfId="0" applyFont="1" applyFill="1" applyAlignment="1" applyProtection="1">
      <alignment vertical="center"/>
      <protection hidden="1"/>
    </xf>
    <xf numFmtId="0" fontId="1" fillId="5" borderId="0" xfId="0" applyFont="1" applyFill="1" applyAlignment="1" applyProtection="1">
      <alignment horizontal="center" vertical="center"/>
      <protection hidden="1"/>
    </xf>
    <xf numFmtId="0" fontId="0" fillId="16" borderId="31" xfId="0" applyFill="1" applyBorder="1"/>
    <xf numFmtId="0" fontId="0" fillId="16" borderId="9" xfId="0" applyFill="1" applyBorder="1"/>
    <xf numFmtId="0" fontId="0" fillId="16" borderId="15" xfId="0" applyFill="1" applyBorder="1"/>
    <xf numFmtId="0" fontId="0" fillId="16" borderId="3" xfId="0" applyFill="1" applyBorder="1"/>
    <xf numFmtId="0" fontId="0" fillId="16" borderId="25" xfId="0" applyFill="1" applyBorder="1"/>
    <xf numFmtId="0" fontId="0" fillId="16" borderId="3" xfId="0" applyFill="1" applyBorder="1" applyAlignment="1">
      <alignment vertical="center"/>
    </xf>
    <xf numFmtId="0" fontId="0" fillId="16" borderId="0" xfId="0" applyFill="1" applyAlignment="1">
      <alignment vertical="center"/>
    </xf>
    <xf numFmtId="0" fontId="0" fillId="16" borderId="25" xfId="0" applyFill="1" applyBorder="1" applyAlignment="1">
      <alignment vertical="center"/>
    </xf>
    <xf numFmtId="0" fontId="0" fillId="16" borderId="10" xfId="0" applyFill="1" applyBorder="1"/>
    <xf numFmtId="0" fontId="0" fillId="16" borderId="1" xfId="0" applyFill="1" applyBorder="1"/>
    <xf numFmtId="0" fontId="0" fillId="16" borderId="12" xfId="0" applyFill="1" applyBorder="1"/>
    <xf numFmtId="0" fontId="38" fillId="0" borderId="0" xfId="0" applyFont="1" applyAlignment="1">
      <alignment vertical="center"/>
    </xf>
    <xf numFmtId="0" fontId="3" fillId="16" borderId="31" xfId="0" applyFont="1" applyFill="1" applyBorder="1"/>
    <xf numFmtId="0" fontId="8" fillId="19" borderId="0" xfId="0" applyFont="1" applyFill="1" applyAlignment="1" applyProtection="1">
      <alignment vertical="top"/>
      <protection hidden="1"/>
    </xf>
    <xf numFmtId="0" fontId="75" fillId="16" borderId="6" xfId="2" applyFill="1" applyBorder="1" applyAlignment="1" applyProtection="1">
      <alignment horizontal="center"/>
      <protection hidden="1"/>
    </xf>
    <xf numFmtId="0" fontId="0" fillId="16" borderId="0" xfId="0" applyFill="1" applyAlignment="1">
      <alignment horizontal="center"/>
    </xf>
    <xf numFmtId="0" fontId="0" fillId="16" borderId="21" xfId="0" applyFill="1" applyBorder="1" applyAlignment="1">
      <alignment horizontal="center"/>
    </xf>
    <xf numFmtId="0" fontId="1" fillId="16" borderId="9" xfId="0" applyFont="1" applyFill="1" applyBorder="1" applyAlignment="1" applyProtection="1">
      <alignment horizontal="center" vertical="center" wrapText="1"/>
      <protection hidden="1"/>
    </xf>
    <xf numFmtId="0" fontId="3" fillId="16" borderId="0" xfId="0" applyFont="1" applyFill="1" applyAlignment="1" applyProtection="1">
      <alignment horizontal="left" vertical="center" indent="1"/>
      <protection hidden="1"/>
    </xf>
    <xf numFmtId="0" fontId="148" fillId="16" borderId="26" xfId="0" applyFont="1" applyFill="1" applyBorder="1" applyAlignment="1" applyProtection="1">
      <alignment horizontal="right" vertical="center"/>
      <protection hidden="1"/>
    </xf>
    <xf numFmtId="0" fontId="3" fillId="16" borderId="5" xfId="0" applyFont="1" applyFill="1" applyBorder="1" applyProtection="1">
      <protection hidden="1"/>
    </xf>
    <xf numFmtId="0" fontId="152" fillId="32" borderId="26" xfId="0" applyFont="1" applyFill="1" applyBorder="1" applyAlignment="1" applyProtection="1">
      <alignment vertical="center"/>
      <protection hidden="1"/>
    </xf>
    <xf numFmtId="0" fontId="138" fillId="32" borderId="26" xfId="0" applyFont="1" applyFill="1" applyBorder="1" applyProtection="1">
      <protection hidden="1"/>
    </xf>
    <xf numFmtId="0" fontId="10" fillId="16" borderId="26" xfId="0" applyFont="1" applyFill="1" applyBorder="1" applyAlignment="1" applyProtection="1">
      <alignment horizontal="left" vertical="center" indent="1"/>
      <protection hidden="1"/>
    </xf>
    <xf numFmtId="0" fontId="3" fillId="16" borderId="9" xfId="0" applyFont="1" applyFill="1" applyBorder="1" applyProtection="1">
      <protection hidden="1"/>
    </xf>
    <xf numFmtId="0" fontId="3" fillId="16" borderId="1" xfId="0" applyFont="1" applyFill="1" applyBorder="1" applyProtection="1">
      <protection hidden="1"/>
    </xf>
    <xf numFmtId="0" fontId="0" fillId="16" borderId="1" xfId="0" applyFill="1" applyBorder="1" applyAlignment="1" applyProtection="1">
      <alignment horizontal="center" vertical="center" wrapText="1"/>
      <protection hidden="1"/>
    </xf>
    <xf numFmtId="0" fontId="1" fillId="2" borderId="0" xfId="0" applyFont="1" applyFill="1" applyAlignment="1" applyProtection="1">
      <alignment vertical="top"/>
      <protection hidden="1"/>
    </xf>
    <xf numFmtId="0" fontId="0" fillId="16" borderId="5" xfId="0" applyFill="1" applyBorder="1" applyAlignment="1" applyProtection="1">
      <alignment horizontal="center" vertical="center" wrapText="1"/>
      <protection hidden="1"/>
    </xf>
    <xf numFmtId="1" fontId="0" fillId="16" borderId="13" xfId="0" applyNumberFormat="1" applyFill="1" applyBorder="1" applyProtection="1">
      <protection locked="0"/>
    </xf>
    <xf numFmtId="0" fontId="0" fillId="16" borderId="25" xfId="0" applyFill="1" applyBorder="1" applyAlignment="1">
      <alignment horizontal="left" vertical="center" wrapText="1"/>
    </xf>
    <xf numFmtId="0" fontId="0" fillId="16" borderId="15" xfId="0" applyFill="1" applyBorder="1" applyAlignment="1">
      <alignment horizontal="left" vertical="center" wrapText="1"/>
    </xf>
    <xf numFmtId="1" fontId="0" fillId="16" borderId="25" xfId="0" applyNumberFormat="1" applyFill="1" applyBorder="1" applyProtection="1">
      <protection locked="0"/>
    </xf>
    <xf numFmtId="0" fontId="137" fillId="0" borderId="0" xfId="0" applyFont="1" applyProtection="1">
      <protection hidden="1"/>
    </xf>
    <xf numFmtId="3" fontId="3" fillId="0" borderId="0" xfId="0" applyNumberFormat="1" applyFont="1" applyProtection="1">
      <protection locked="0"/>
    </xf>
    <xf numFmtId="49" fontId="3" fillId="16" borderId="3" xfId="0" applyNumberFormat="1" applyFont="1" applyFill="1" applyBorder="1" applyAlignment="1" applyProtection="1">
      <alignment horizontal="right"/>
      <protection hidden="1"/>
    </xf>
    <xf numFmtId="0" fontId="171" fillId="16" borderId="0" xfId="0" applyFont="1" applyFill="1" applyAlignment="1">
      <alignment horizontal="left" vertical="center"/>
    </xf>
    <xf numFmtId="0" fontId="171" fillId="16" borderId="0" xfId="0" applyFont="1" applyFill="1" applyAlignment="1">
      <alignment vertical="center" wrapText="1"/>
    </xf>
    <xf numFmtId="49" fontId="3" fillId="16" borderId="0" xfId="0" applyNumberFormat="1" applyFont="1" applyFill="1" applyAlignment="1" applyProtection="1">
      <alignment horizontal="right"/>
      <protection hidden="1"/>
    </xf>
    <xf numFmtId="37" fontId="0" fillId="16" borderId="1" xfId="0" applyNumberFormat="1" applyFill="1" applyBorder="1" applyProtection="1">
      <protection hidden="1"/>
    </xf>
    <xf numFmtId="0" fontId="138" fillId="16" borderId="25" xfId="0" applyFont="1" applyFill="1" applyBorder="1" applyProtection="1">
      <protection hidden="1"/>
    </xf>
    <xf numFmtId="49" fontId="0" fillId="16" borderId="3" xfId="0" applyNumberFormat="1" applyFill="1" applyBorder="1" applyAlignment="1" applyProtection="1">
      <alignment horizontal="right"/>
      <protection hidden="1"/>
    </xf>
    <xf numFmtId="0" fontId="187" fillId="16" borderId="31" xfId="0" applyFont="1" applyFill="1" applyBorder="1" applyAlignment="1">
      <alignment horizontal="centerContinuous" vertical="center"/>
    </xf>
    <xf numFmtId="0" fontId="187" fillId="16" borderId="9" xfId="0" applyFont="1" applyFill="1" applyBorder="1" applyAlignment="1">
      <alignment horizontal="centerContinuous" vertical="center"/>
    </xf>
    <xf numFmtId="0" fontId="187" fillId="16" borderId="9" xfId="0" applyFont="1" applyFill="1" applyBorder="1" applyAlignment="1">
      <alignment horizontal="centerContinuous" vertical="center" wrapText="1"/>
    </xf>
    <xf numFmtId="0" fontId="1" fillId="16" borderId="9" xfId="0" applyFont="1" applyFill="1" applyBorder="1" applyAlignment="1" applyProtection="1">
      <alignment horizontal="centerContinuous"/>
      <protection hidden="1"/>
    </xf>
    <xf numFmtId="0" fontId="0" fillId="16" borderId="9" xfId="0" applyFill="1" applyBorder="1" applyAlignment="1" applyProtection="1">
      <alignment horizontal="centerContinuous"/>
      <protection hidden="1"/>
    </xf>
    <xf numFmtId="0" fontId="0" fillId="16" borderId="15" xfId="0" applyFill="1" applyBorder="1" applyAlignment="1" applyProtection="1">
      <alignment horizontal="centerContinuous"/>
      <protection hidden="1"/>
    </xf>
    <xf numFmtId="0" fontId="187" fillId="16" borderId="0" xfId="0" applyFont="1" applyFill="1" applyAlignment="1">
      <alignment vertical="center" wrapText="1"/>
    </xf>
    <xf numFmtId="0" fontId="188" fillId="0" borderId="0" xfId="0" applyFont="1" applyAlignment="1">
      <alignment vertical="center" wrapText="1"/>
    </xf>
    <xf numFmtId="0" fontId="0" fillId="0" borderId="0" xfId="0" applyAlignment="1" applyProtection="1">
      <alignment horizontal="right"/>
      <protection hidden="1"/>
    </xf>
    <xf numFmtId="0" fontId="23" fillId="2" borderId="0" xfId="0" applyFont="1" applyFill="1" applyAlignment="1" applyProtection="1">
      <alignment horizontal="center" vertical="center"/>
      <protection hidden="1"/>
    </xf>
    <xf numFmtId="0" fontId="57" fillId="2" borderId="0" xfId="0" applyFont="1" applyFill="1" applyAlignment="1" applyProtection="1">
      <alignment horizontal="center" vertical="center"/>
      <protection hidden="1"/>
    </xf>
    <xf numFmtId="0" fontId="90" fillId="2" borderId="0" xfId="0" applyFont="1" applyFill="1" applyAlignment="1" applyProtection="1">
      <alignment horizontal="left" vertical="center"/>
      <protection hidden="1"/>
    </xf>
    <xf numFmtId="0" fontId="10" fillId="2" borderId="0" xfId="0" applyFont="1" applyFill="1" applyAlignment="1" applyProtection="1">
      <alignment horizontal="left"/>
      <protection hidden="1"/>
    </xf>
    <xf numFmtId="0" fontId="98" fillId="2" borderId="0" xfId="0" applyFont="1" applyFill="1" applyProtection="1">
      <protection hidden="1"/>
    </xf>
    <xf numFmtId="0" fontId="57" fillId="2" borderId="0" xfId="0" applyFont="1" applyFill="1" applyAlignment="1" applyProtection="1">
      <alignment horizontal="right"/>
      <protection hidden="1"/>
    </xf>
    <xf numFmtId="0" fontId="1" fillId="2" borderId="0" xfId="0" applyFont="1" applyFill="1" applyAlignment="1" applyProtection="1">
      <alignment horizontal="center"/>
      <protection locked="0"/>
    </xf>
    <xf numFmtId="0" fontId="0" fillId="2" borderId="0" xfId="0" quotePrefix="1" applyFill="1" applyAlignment="1" applyProtection="1">
      <alignment horizontal="right"/>
      <protection hidden="1"/>
    </xf>
    <xf numFmtId="0" fontId="90" fillId="2" borderId="0" xfId="0" applyFont="1" applyFill="1" applyAlignment="1" applyProtection="1">
      <alignment horizontal="center"/>
      <protection hidden="1"/>
    </xf>
    <xf numFmtId="0" fontId="1" fillId="2" borderId="65" xfId="0" applyFont="1" applyFill="1" applyBorder="1" applyAlignment="1" applyProtection="1">
      <alignment horizontal="center"/>
      <protection hidden="1"/>
    </xf>
    <xf numFmtId="0" fontId="0" fillId="2" borderId="65" xfId="0" applyFill="1" applyBorder="1" applyProtection="1">
      <protection hidden="1"/>
    </xf>
    <xf numFmtId="0" fontId="23" fillId="2" borderId="65" xfId="0" applyFont="1" applyFill="1" applyBorder="1" applyProtection="1">
      <protection hidden="1"/>
    </xf>
    <xf numFmtId="3" fontId="1" fillId="2" borderId="1" xfId="0" applyNumberFormat="1" applyFont="1" applyFill="1" applyBorder="1" applyProtection="1">
      <protection locked="0"/>
    </xf>
    <xf numFmtId="3" fontId="1" fillId="2" borderId="1" xfId="0" applyNumberFormat="1" applyFont="1" applyFill="1" applyBorder="1" applyProtection="1">
      <protection hidden="1"/>
    </xf>
    <xf numFmtId="0" fontId="90" fillId="2" borderId="0" xfId="0" applyFont="1" applyFill="1" applyProtection="1">
      <protection hidden="1"/>
    </xf>
    <xf numFmtId="0" fontId="90" fillId="2" borderId="0" xfId="0" applyFont="1" applyFill="1" applyAlignment="1" applyProtection="1">
      <alignment horizontal="right"/>
      <protection hidden="1"/>
    </xf>
    <xf numFmtId="0" fontId="2" fillId="2" borderId="0" xfId="0" applyFont="1" applyFill="1" applyProtection="1">
      <protection hidden="1"/>
    </xf>
    <xf numFmtId="0" fontId="189" fillId="2" borderId="0" xfId="0" applyFont="1" applyFill="1" applyProtection="1">
      <protection hidden="1"/>
    </xf>
    <xf numFmtId="0" fontId="3" fillId="2" borderId="0" xfId="0" quotePrefix="1" applyFont="1" applyFill="1" applyAlignment="1" applyProtection="1">
      <alignment horizontal="right"/>
      <protection hidden="1"/>
    </xf>
    <xf numFmtId="0" fontId="190" fillId="2" borderId="0" xfId="0" applyFont="1" applyFill="1" applyProtection="1">
      <protection hidden="1"/>
    </xf>
    <xf numFmtId="0" fontId="57" fillId="2" borderId="0" xfId="0" applyFont="1" applyFill="1" applyAlignment="1" applyProtection="1">
      <alignment horizontal="center"/>
      <protection hidden="1"/>
    </xf>
    <xf numFmtId="0" fontId="11" fillId="0" borderId="1" xfId="0" applyFont="1" applyBorder="1" applyAlignment="1" applyProtection="1">
      <alignment horizontal="center"/>
      <protection hidden="1"/>
    </xf>
    <xf numFmtId="0" fontId="8" fillId="0" borderId="22" xfId="0" applyFont="1" applyBorder="1" applyAlignment="1" applyProtection="1">
      <alignment horizontal="right"/>
      <protection hidden="1"/>
    </xf>
    <xf numFmtId="0" fontId="8" fillId="0" borderId="23" xfId="0" applyFont="1" applyBorder="1" applyAlignment="1" applyProtection="1">
      <alignment horizontal="right"/>
      <protection hidden="1"/>
    </xf>
    <xf numFmtId="0" fontId="8" fillId="0" borderId="5"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0" fillId="0" borderId="21" xfId="0" applyBorder="1" applyAlignment="1" applyProtection="1">
      <alignment horizontal="right"/>
      <protection hidden="1"/>
    </xf>
    <xf numFmtId="0" fontId="90" fillId="2" borderId="0" xfId="0" applyFont="1" applyFill="1" applyAlignment="1" applyProtection="1">
      <alignment horizontal="center" vertical="center"/>
      <protection hidden="1"/>
    </xf>
    <xf numFmtId="0" fontId="152" fillId="32" borderId="0" xfId="0" applyFont="1" applyFill="1" applyAlignment="1" applyProtection="1">
      <alignment horizontal="center"/>
      <protection hidden="1"/>
    </xf>
    <xf numFmtId="0" fontId="10" fillId="2" borderId="0" xfId="0" applyFont="1" applyFill="1" applyAlignment="1" applyProtection="1">
      <alignment horizontal="left" indent="1"/>
      <protection hidden="1"/>
    </xf>
    <xf numFmtId="1" fontId="34" fillId="2" borderId="2" xfId="0" applyNumberFormat="1" applyFont="1" applyFill="1" applyBorder="1" applyProtection="1">
      <protection locked="0"/>
    </xf>
    <xf numFmtId="3" fontId="3" fillId="16" borderId="24" xfId="0" applyNumberFormat="1" applyFont="1" applyFill="1" applyBorder="1" applyAlignment="1" applyProtection="1">
      <alignment horizontal="right"/>
      <protection hidden="1"/>
    </xf>
    <xf numFmtId="3" fontId="3" fillId="16" borderId="6" xfId="0" applyNumberFormat="1" applyFont="1" applyFill="1" applyBorder="1" applyAlignment="1" applyProtection="1">
      <alignment horizontal="right"/>
      <protection hidden="1"/>
    </xf>
    <xf numFmtId="0" fontId="3" fillId="16" borderId="27" xfId="0" applyFont="1" applyFill="1" applyBorder="1" applyAlignment="1" applyProtection="1">
      <alignment horizontal="center"/>
      <protection hidden="1"/>
    </xf>
    <xf numFmtId="0" fontId="3" fillId="16" borderId="30" xfId="0" applyFont="1" applyFill="1" applyBorder="1" applyAlignment="1" applyProtection="1">
      <alignment horizontal="center"/>
      <protection hidden="1"/>
    </xf>
    <xf numFmtId="0" fontId="3" fillId="16" borderId="21" xfId="0" applyFont="1" applyFill="1" applyBorder="1" applyAlignment="1" applyProtection="1">
      <alignment horizontal="center"/>
      <protection hidden="1"/>
    </xf>
    <xf numFmtId="0" fontId="3" fillId="16" borderId="6" xfId="0" applyFont="1" applyFill="1" applyBorder="1" applyAlignment="1" applyProtection="1">
      <alignment horizontal="right"/>
      <protection hidden="1"/>
    </xf>
    <xf numFmtId="0" fontId="3" fillId="16" borderId="47" xfId="0" applyFont="1" applyFill="1" applyBorder="1" applyAlignment="1" applyProtection="1">
      <alignment horizontal="right"/>
      <protection hidden="1"/>
    </xf>
    <xf numFmtId="0" fontId="3" fillId="16" borderId="59" xfId="0" applyFont="1" applyFill="1" applyBorder="1" applyAlignment="1" applyProtection="1">
      <alignment horizontal="right"/>
      <protection hidden="1"/>
    </xf>
    <xf numFmtId="0" fontId="3" fillId="16" borderId="55" xfId="0" applyFont="1" applyFill="1" applyBorder="1" applyAlignment="1" applyProtection="1">
      <alignment horizontal="right"/>
      <protection hidden="1"/>
    </xf>
    <xf numFmtId="3" fontId="3" fillId="16" borderId="60" xfId="0" applyNumberFormat="1" applyFont="1" applyFill="1" applyBorder="1" applyAlignment="1" applyProtection="1">
      <alignment horizontal="right"/>
      <protection hidden="1"/>
    </xf>
    <xf numFmtId="0" fontId="3" fillId="16" borderId="118" xfId="0" applyFont="1" applyFill="1" applyBorder="1" applyAlignment="1" applyProtection="1">
      <alignment horizontal="right"/>
      <protection hidden="1"/>
    </xf>
    <xf numFmtId="0" fontId="3" fillId="16" borderId="119" xfId="0" applyFont="1" applyFill="1" applyBorder="1" applyAlignment="1" applyProtection="1">
      <alignment horizontal="right"/>
      <protection hidden="1"/>
    </xf>
    <xf numFmtId="0" fontId="3" fillId="16" borderId="32" xfId="0" applyFont="1" applyFill="1" applyBorder="1" applyAlignment="1" applyProtection="1">
      <alignment horizontal="right"/>
      <protection hidden="1"/>
    </xf>
    <xf numFmtId="0" fontId="10" fillId="2" borderId="0" xfId="0" quotePrefix="1" applyFont="1" applyFill="1" applyAlignment="1" applyProtection="1">
      <alignment horizontal="left"/>
      <protection hidden="1"/>
    </xf>
    <xf numFmtId="0" fontId="150" fillId="2" borderId="0" xfId="0" applyFont="1" applyFill="1" applyProtection="1">
      <protection hidden="1"/>
    </xf>
    <xf numFmtId="0" fontId="3" fillId="2" borderId="0" xfId="0" applyFont="1" applyFill="1" applyAlignment="1" applyProtection="1">
      <alignment horizontal="center"/>
      <protection hidden="1"/>
    </xf>
    <xf numFmtId="0" fontId="5" fillId="16" borderId="9" xfId="0" applyFont="1" applyFill="1" applyBorder="1" applyAlignment="1" applyProtection="1">
      <alignment horizontal="center" vertical="center"/>
      <protection hidden="1"/>
    </xf>
    <xf numFmtId="0" fontId="1" fillId="2" borderId="0" xfId="0" quotePrefix="1" applyFont="1" applyFill="1" applyAlignment="1" applyProtection="1">
      <alignment horizontal="left"/>
      <protection hidden="1"/>
    </xf>
    <xf numFmtId="0" fontId="0" fillId="16" borderId="75" xfId="0" applyFill="1" applyBorder="1" applyProtection="1">
      <protection hidden="1"/>
    </xf>
    <xf numFmtId="0" fontId="10" fillId="16" borderId="75" xfId="0" applyFont="1" applyFill="1" applyBorder="1" applyAlignment="1" applyProtection="1">
      <alignment horizontal="center"/>
      <protection hidden="1"/>
    </xf>
    <xf numFmtId="0" fontId="5" fillId="16" borderId="0" xfId="0" applyFont="1" applyFill="1" applyAlignment="1" applyProtection="1">
      <alignment horizontal="center" vertical="center"/>
      <protection hidden="1"/>
    </xf>
    <xf numFmtId="0" fontId="5" fillId="16" borderId="1" xfId="0" applyFont="1" applyFill="1" applyBorder="1" applyAlignment="1" applyProtection="1">
      <alignment horizontal="center" vertical="center"/>
      <protection hidden="1"/>
    </xf>
    <xf numFmtId="0" fontId="10" fillId="16" borderId="0" xfId="0" applyFont="1" applyFill="1" applyAlignment="1" applyProtection="1">
      <alignment horizontal="left" vertical="center" indent="1"/>
      <protection hidden="1"/>
    </xf>
    <xf numFmtId="0" fontId="191" fillId="16" borderId="0" xfId="0" applyFont="1" applyFill="1" applyProtection="1">
      <protection hidden="1"/>
    </xf>
    <xf numFmtId="0" fontId="191" fillId="16" borderId="0" xfId="0" applyFont="1" applyFill="1" applyAlignment="1" applyProtection="1">
      <alignment horizontal="center" wrapText="1"/>
      <protection hidden="1"/>
    </xf>
    <xf numFmtId="0" fontId="191" fillId="16" borderId="0" xfId="0" applyFont="1" applyFill="1" applyAlignment="1" applyProtection="1">
      <alignment horizontal="left" vertical="center" wrapText="1"/>
      <protection hidden="1"/>
    </xf>
    <xf numFmtId="0" fontId="191" fillId="16" borderId="0" xfId="0" applyFont="1" applyFill="1" applyAlignment="1">
      <alignment horizontal="left" vertical="center" wrapText="1"/>
    </xf>
    <xf numFmtId="3" fontId="191" fillId="16" borderId="0" xfId="0" applyNumberFormat="1" applyFont="1" applyFill="1" applyProtection="1">
      <protection locked="0"/>
    </xf>
    <xf numFmtId="3" fontId="191" fillId="16" borderId="0" xfId="0" applyNumberFormat="1" applyFont="1" applyFill="1" applyProtection="1">
      <protection hidden="1"/>
    </xf>
    <xf numFmtId="0" fontId="192" fillId="16" borderId="0" xfId="0" quotePrefix="1" applyFont="1" applyFill="1" applyAlignment="1" applyProtection="1">
      <alignment horizontal="right"/>
      <protection hidden="1"/>
    </xf>
    <xf numFmtId="0" fontId="193" fillId="16" borderId="0" xfId="0" applyFont="1" applyFill="1" applyProtection="1">
      <protection hidden="1"/>
    </xf>
    <xf numFmtId="177" fontId="191" fillId="16" borderId="0" xfId="0" applyNumberFormat="1" applyFont="1" applyFill="1" applyAlignment="1" applyProtection="1">
      <alignment horizontal="right"/>
      <protection hidden="1"/>
    </xf>
    <xf numFmtId="0" fontId="191" fillId="16" borderId="0" xfId="0" applyFont="1" applyFill="1" applyAlignment="1" applyProtection="1">
      <alignment horizontal="right"/>
      <protection hidden="1"/>
    </xf>
    <xf numFmtId="0" fontId="193" fillId="16" borderId="0" xfId="0" applyFont="1" applyFill="1" applyAlignment="1" applyProtection="1">
      <alignment vertical="top"/>
      <protection hidden="1"/>
    </xf>
    <xf numFmtId="1" fontId="191" fillId="16" borderId="0" xfId="0" applyNumberFormat="1" applyFont="1" applyFill="1" applyProtection="1">
      <protection locked="0"/>
    </xf>
    <xf numFmtId="0" fontId="194" fillId="16" borderId="0" xfId="0" applyFont="1" applyFill="1" applyAlignment="1" applyProtection="1">
      <alignment horizontal="left" vertical="center" wrapText="1"/>
      <protection hidden="1"/>
    </xf>
    <xf numFmtId="0" fontId="191" fillId="16" borderId="0" xfId="0" applyFont="1" applyFill="1" applyAlignment="1" applyProtection="1">
      <alignment horizontal="center"/>
      <protection hidden="1"/>
    </xf>
    <xf numFmtId="0" fontId="195" fillId="16" borderId="0" xfId="0" applyFont="1" applyFill="1" applyAlignment="1">
      <alignment vertical="center" wrapText="1"/>
    </xf>
    <xf numFmtId="182" fontId="191" fillId="16" borderId="0" xfId="0" applyNumberFormat="1" applyFont="1" applyFill="1" applyAlignment="1" applyProtection="1">
      <alignment horizontal="right"/>
      <protection hidden="1"/>
    </xf>
    <xf numFmtId="0" fontId="193" fillId="16" borderId="0" xfId="0" applyFont="1" applyFill="1" applyAlignment="1" applyProtection="1">
      <alignment horizontal="center"/>
      <protection hidden="1"/>
    </xf>
    <xf numFmtId="3" fontId="191" fillId="16" borderId="0" xfId="0" applyNumberFormat="1" applyFont="1" applyFill="1" applyAlignment="1" applyProtection="1">
      <alignment horizontal="center"/>
      <protection hidden="1"/>
    </xf>
    <xf numFmtId="0" fontId="196" fillId="16" borderId="0" xfId="0" applyFont="1" applyFill="1" applyAlignment="1">
      <alignment horizontal="center" vertical="center"/>
    </xf>
    <xf numFmtId="0" fontId="192" fillId="16" borderId="0" xfId="0" applyFont="1" applyFill="1" applyAlignment="1" applyProtection="1">
      <alignment horizontal="center"/>
      <protection hidden="1"/>
    </xf>
    <xf numFmtId="49" fontId="191" fillId="16" borderId="0" xfId="0" applyNumberFormat="1" applyFont="1" applyFill="1" applyAlignment="1" applyProtection="1">
      <alignment horizontal="right"/>
      <protection hidden="1"/>
    </xf>
    <xf numFmtId="0" fontId="195" fillId="16" borderId="0" xfId="0" applyFont="1" applyFill="1" applyAlignment="1">
      <alignment horizontal="left" vertical="center"/>
    </xf>
    <xf numFmtId="0" fontId="196" fillId="16" borderId="0" xfId="0" applyFont="1" applyFill="1" applyAlignment="1">
      <alignment vertical="center" wrapText="1"/>
    </xf>
    <xf numFmtId="0" fontId="195" fillId="16" borderId="0" xfId="0" applyFont="1" applyFill="1" applyAlignment="1">
      <alignment horizontal="left" wrapText="1"/>
    </xf>
    <xf numFmtId="0" fontId="191" fillId="16" borderId="0" xfId="0" applyFont="1" applyFill="1" applyAlignment="1">
      <alignment horizontal="left" wrapText="1"/>
    </xf>
    <xf numFmtId="0" fontId="195" fillId="16" borderId="0" xfId="0" applyFont="1" applyFill="1" applyAlignment="1">
      <alignment horizontal="left" vertical="top" wrapText="1"/>
    </xf>
    <xf numFmtId="0" fontId="191" fillId="16" borderId="0" xfId="0" applyFont="1" applyFill="1" applyAlignment="1">
      <alignment horizontal="left" vertical="top" wrapText="1"/>
    </xf>
    <xf numFmtId="0" fontId="195" fillId="16" borderId="0" xfId="0" applyFont="1" applyFill="1" applyAlignment="1">
      <alignment horizontal="center" vertical="center" wrapText="1"/>
    </xf>
    <xf numFmtId="3" fontId="195" fillId="16" borderId="0" xfId="0" applyNumberFormat="1" applyFont="1" applyFill="1" applyAlignment="1">
      <alignment vertical="center" wrapText="1"/>
    </xf>
    <xf numFmtId="3" fontId="195" fillId="16" borderId="0" xfId="0" quotePrefix="1" applyNumberFormat="1" applyFont="1" applyFill="1" applyAlignment="1">
      <alignment horizontal="center" vertical="center" wrapText="1"/>
    </xf>
    <xf numFmtId="0" fontId="16" fillId="16" borderId="31" xfId="0" quotePrefix="1" applyFont="1" applyFill="1" applyBorder="1" applyAlignment="1" applyProtection="1">
      <alignment horizontal="center"/>
      <protection hidden="1"/>
    </xf>
    <xf numFmtId="0" fontId="16" fillId="16" borderId="0" xfId="0" quotePrefix="1" applyFont="1" applyFill="1" applyAlignment="1" applyProtection="1">
      <alignment horizontal="right" vertical="center"/>
      <protection hidden="1"/>
    </xf>
    <xf numFmtId="0" fontId="16" fillId="16" borderId="0" xfId="0" quotePrefix="1" applyFont="1" applyFill="1" applyAlignment="1" applyProtection="1">
      <alignment horizontal="left" vertical="center"/>
      <protection hidden="1"/>
    </xf>
    <xf numFmtId="0" fontId="0" fillId="16" borderId="0" xfId="0" applyFill="1" applyAlignment="1" applyProtection="1">
      <alignment horizontal="centerContinuous"/>
      <protection hidden="1"/>
    </xf>
    <xf numFmtId="0" fontId="10" fillId="16" borderId="0" xfId="0" applyFont="1" applyFill="1" applyAlignment="1" applyProtection="1">
      <alignment horizontal="centerContinuous"/>
      <protection hidden="1"/>
    </xf>
    <xf numFmtId="0" fontId="10" fillId="16" borderId="0" xfId="0" applyFont="1" applyFill="1" applyAlignment="1" applyProtection="1">
      <alignment horizontal="right"/>
      <protection hidden="1"/>
    </xf>
    <xf numFmtId="0" fontId="1" fillId="16" borderId="0" xfId="0" applyFont="1" applyFill="1" applyAlignment="1" applyProtection="1">
      <alignment horizontal="center"/>
      <protection locked="0"/>
    </xf>
    <xf numFmtId="0" fontId="0" fillId="16" borderId="14" xfId="0" applyFill="1" applyBorder="1" applyAlignment="1" applyProtection="1">
      <alignment horizontal="right"/>
      <protection hidden="1"/>
    </xf>
    <xf numFmtId="0" fontId="21" fillId="16" borderId="14" xfId="0" applyFont="1" applyFill="1" applyBorder="1" applyAlignment="1" applyProtection="1">
      <alignment horizontal="left"/>
      <protection hidden="1"/>
    </xf>
    <xf numFmtId="0" fontId="3" fillId="16" borderId="0" xfId="0" applyFont="1" applyFill="1" applyAlignment="1" applyProtection="1">
      <alignment horizontal="left" indent="1"/>
      <protection hidden="1"/>
    </xf>
    <xf numFmtId="0" fontId="0" fillId="16" borderId="0" xfId="0" applyFill="1" applyAlignment="1" applyProtection="1">
      <alignment horizontal="left" indent="1"/>
      <protection hidden="1"/>
    </xf>
    <xf numFmtId="0" fontId="122" fillId="5" borderId="0" xfId="0" applyFont="1" applyFill="1" applyAlignment="1" applyProtection="1">
      <alignment horizontal="center" vertical="top"/>
      <protection hidden="1"/>
    </xf>
    <xf numFmtId="0" fontId="0" fillId="16" borderId="1" xfId="0" applyFill="1" applyBorder="1" applyAlignment="1" applyProtection="1">
      <alignment vertical="top"/>
      <protection hidden="1"/>
    </xf>
    <xf numFmtId="0" fontId="191" fillId="16" borderId="0" xfId="0" applyFont="1" applyFill="1" applyAlignment="1" applyProtection="1">
      <alignment vertical="top"/>
      <protection hidden="1"/>
    </xf>
    <xf numFmtId="0" fontId="195" fillId="16" borderId="0" xfId="0" applyFont="1" applyFill="1" applyAlignment="1">
      <alignment vertical="top" wrapText="1"/>
    </xf>
    <xf numFmtId="0" fontId="1" fillId="16" borderId="1" xfId="0" applyFont="1" applyFill="1" applyBorder="1" applyAlignment="1" applyProtection="1">
      <alignment vertical="top"/>
      <protection hidden="1"/>
    </xf>
    <xf numFmtId="0" fontId="1" fillId="16" borderId="0" xfId="0" applyFont="1" applyFill="1" applyAlignment="1" applyProtection="1">
      <alignment horizontal="center"/>
      <protection hidden="1"/>
    </xf>
    <xf numFmtId="0" fontId="0" fillId="20" borderId="31" xfId="0" applyFill="1" applyBorder="1" applyProtection="1">
      <protection hidden="1"/>
    </xf>
    <xf numFmtId="0" fontId="0" fillId="20" borderId="15" xfId="0" applyFill="1" applyBorder="1" applyProtection="1">
      <protection hidden="1"/>
    </xf>
    <xf numFmtId="0" fontId="0" fillId="20" borderId="3" xfId="0" applyFill="1" applyBorder="1" applyProtection="1">
      <protection hidden="1"/>
    </xf>
    <xf numFmtId="0" fontId="0" fillId="20" borderId="25" xfId="0" applyFill="1" applyBorder="1" applyProtection="1">
      <protection hidden="1"/>
    </xf>
    <xf numFmtId="0" fontId="0" fillId="16" borderId="17" xfId="0" applyFill="1" applyBorder="1" applyAlignment="1" applyProtection="1">
      <alignment horizontal="right"/>
      <protection hidden="1"/>
    </xf>
    <xf numFmtId="0" fontId="0" fillId="16" borderId="0" xfId="0" applyFill="1" applyAlignment="1" applyProtection="1">
      <alignment vertical="center"/>
      <protection hidden="1"/>
    </xf>
    <xf numFmtId="0" fontId="150" fillId="16" borderId="0" xfId="0" applyFont="1" applyFill="1" applyAlignment="1" applyProtection="1">
      <alignment horizontal="right"/>
      <protection hidden="1"/>
    </xf>
    <xf numFmtId="3" fontId="1" fillId="16" borderId="1" xfId="0" applyNumberFormat="1" applyFont="1" applyFill="1" applyBorder="1" applyAlignment="1" applyProtection="1">
      <alignment horizontal="right" indent="1"/>
      <protection hidden="1"/>
    </xf>
    <xf numFmtId="3" fontId="1" fillId="16" borderId="1" xfId="0" applyNumberFormat="1" applyFont="1" applyFill="1" applyBorder="1" applyAlignment="1" applyProtection="1">
      <alignment horizontal="center"/>
      <protection hidden="1"/>
    </xf>
    <xf numFmtId="0" fontId="40" fillId="16" borderId="0" xfId="0" applyFont="1" applyFill="1" applyAlignment="1" applyProtection="1">
      <alignment horizontal="center"/>
      <protection hidden="1"/>
    </xf>
    <xf numFmtId="4" fontId="1" fillId="3" borderId="18" xfId="0" applyNumberFormat="1" applyFont="1" applyFill="1" applyBorder="1" applyAlignment="1" applyProtection="1">
      <alignment horizontal="right"/>
      <protection hidden="1"/>
    </xf>
    <xf numFmtId="3" fontId="0" fillId="0" borderId="2" xfId="0" applyNumberFormat="1" applyBorder="1" applyProtection="1">
      <protection locked="0"/>
    </xf>
    <xf numFmtId="0" fontId="191" fillId="16" borderId="2" xfId="0" applyFont="1" applyFill="1" applyBorder="1" applyProtection="1">
      <protection locked="0"/>
    </xf>
    <xf numFmtId="0" fontId="191" fillId="16" borderId="2" xfId="0" applyFont="1" applyFill="1" applyBorder="1" applyAlignment="1" applyProtection="1">
      <alignment horizontal="center"/>
      <protection locked="0"/>
    </xf>
    <xf numFmtId="0" fontId="5" fillId="3" borderId="0" xfId="0" applyFont="1" applyFill="1" applyAlignment="1" applyProtection="1">
      <alignment horizontal="left" indent="1"/>
      <protection hidden="1"/>
    </xf>
    <xf numFmtId="0" fontId="138" fillId="2" borderId="0" xfId="0" applyFont="1" applyFill="1"/>
    <xf numFmtId="184" fontId="138" fillId="2" borderId="0" xfId="0" applyNumberFormat="1" applyFont="1" applyFill="1" applyAlignment="1" applyProtection="1">
      <alignment horizontal="center"/>
      <protection hidden="1"/>
    </xf>
    <xf numFmtId="38" fontId="5" fillId="17" borderId="1" xfId="0" applyNumberFormat="1" applyFont="1" applyFill="1" applyBorder="1" applyAlignment="1" applyProtection="1">
      <alignment horizontal="right"/>
      <protection locked="0"/>
    </xf>
    <xf numFmtId="38" fontId="6" fillId="17" borderId="5" xfId="0" applyNumberFormat="1" applyFont="1" applyFill="1" applyBorder="1" applyAlignment="1" applyProtection="1">
      <alignment horizontal="center"/>
      <protection locked="0"/>
    </xf>
    <xf numFmtId="40" fontId="140" fillId="2" borderId="0" xfId="0" applyNumberFormat="1" applyFont="1" applyFill="1" applyProtection="1">
      <protection hidden="1"/>
    </xf>
    <xf numFmtId="0" fontId="64" fillId="2" borderId="25" xfId="0" applyFont="1" applyFill="1" applyBorder="1" applyAlignment="1" applyProtection="1">
      <alignment vertical="center"/>
      <protection hidden="1"/>
    </xf>
    <xf numFmtId="40" fontId="197" fillId="2" borderId="0" xfId="0" applyNumberFormat="1" applyFont="1" applyFill="1" applyAlignment="1" applyProtection="1">
      <alignment horizontal="right"/>
      <protection hidden="1"/>
    </xf>
    <xf numFmtId="40" fontId="138" fillId="2" borderId="0" xfId="0" applyNumberFormat="1" applyFont="1" applyFill="1" applyAlignment="1" applyProtection="1">
      <alignment horizontal="left"/>
      <protection hidden="1"/>
    </xf>
    <xf numFmtId="0" fontId="199" fillId="2" borderId="0" xfId="0" applyFont="1" applyFill="1" applyAlignment="1" applyProtection="1">
      <alignment horizontal="center"/>
      <protection hidden="1"/>
    </xf>
    <xf numFmtId="0" fontId="200" fillId="2" borderId="0" xfId="0" applyFont="1" applyFill="1" applyAlignment="1" applyProtection="1">
      <alignment horizontal="center"/>
      <protection hidden="1"/>
    </xf>
    <xf numFmtId="0" fontId="198" fillId="2" borderId="0" xfId="0" applyFont="1" applyFill="1" applyAlignment="1" applyProtection="1">
      <alignment horizontal="left" indent="1"/>
      <protection hidden="1"/>
    </xf>
    <xf numFmtId="37" fontId="0" fillId="17" borderId="1" xfId="0" applyNumberFormat="1" applyFill="1" applyBorder="1" applyProtection="1">
      <protection locked="0"/>
    </xf>
    <xf numFmtId="0" fontId="1" fillId="17" borderId="13" xfId="0" applyFont="1" applyFill="1" applyBorder="1" applyAlignment="1" applyProtection="1">
      <alignment horizontal="center"/>
      <protection hidden="1"/>
    </xf>
    <xf numFmtId="0" fontId="166" fillId="0" borderId="0" xfId="0" applyFont="1" applyProtection="1">
      <protection hidden="1"/>
    </xf>
    <xf numFmtId="3" fontId="166" fillId="0" borderId="0" xfId="0" applyNumberFormat="1" applyFont="1" applyProtection="1">
      <protection hidden="1"/>
    </xf>
    <xf numFmtId="3" fontId="165" fillId="0" borderId="0" xfId="0" applyNumberFormat="1" applyFont="1" applyProtection="1">
      <protection hidden="1"/>
    </xf>
    <xf numFmtId="3" fontId="157" fillId="0" borderId="21" xfId="0" applyNumberFormat="1" applyFont="1" applyBorder="1" applyAlignment="1" applyProtection="1">
      <alignment horizontal="right"/>
      <protection hidden="1"/>
    </xf>
    <xf numFmtId="3" fontId="157" fillId="0" borderId="0" xfId="0" applyNumberFormat="1" applyFont="1" applyAlignment="1" applyProtection="1">
      <alignment horizontal="right"/>
      <protection hidden="1"/>
    </xf>
    <xf numFmtId="0" fontId="3" fillId="0" borderId="0" xfId="0" applyFont="1" applyAlignment="1" applyProtection="1">
      <alignment horizontal="left"/>
      <protection hidden="1"/>
    </xf>
    <xf numFmtId="3" fontId="191" fillId="16" borderId="2" xfId="0" applyNumberFormat="1" applyFont="1" applyFill="1" applyBorder="1" applyProtection="1">
      <protection locked="0"/>
    </xf>
    <xf numFmtId="3" fontId="6" fillId="28" borderId="1" xfId="0" applyNumberFormat="1" applyFont="1" applyFill="1" applyBorder="1" applyProtection="1">
      <protection hidden="1"/>
    </xf>
    <xf numFmtId="3" fontId="6" fillId="17" borderId="1" xfId="0" applyNumberFormat="1" applyFont="1" applyFill="1" applyBorder="1" applyProtection="1">
      <protection locked="0"/>
    </xf>
    <xf numFmtId="0" fontId="5" fillId="16" borderId="0" xfId="0" applyFont="1" applyFill="1" applyAlignment="1" applyProtection="1">
      <alignment horizontal="left"/>
      <protection hidden="1"/>
    </xf>
    <xf numFmtId="0" fontId="167" fillId="2" borderId="5" xfId="4" applyFont="1" applyFill="1" applyBorder="1" applyAlignment="1" applyProtection="1">
      <alignment horizontal="left" vertical="center"/>
      <protection hidden="1"/>
    </xf>
    <xf numFmtId="0" fontId="202" fillId="5" borderId="0" xfId="0" applyFont="1" applyFill="1" applyProtection="1">
      <protection hidden="1"/>
    </xf>
    <xf numFmtId="37" fontId="144" fillId="3" borderId="3" xfId="0" applyNumberFormat="1" applyFont="1" applyFill="1" applyBorder="1" applyAlignment="1" applyProtection="1">
      <alignment horizontal="right"/>
      <protection hidden="1"/>
    </xf>
    <xf numFmtId="0" fontId="1" fillId="28" borderId="2" xfId="0" applyFont="1" applyFill="1" applyBorder="1" applyAlignment="1" applyProtection="1">
      <alignment horizontal="center" vertical="center"/>
      <protection hidden="1"/>
    </xf>
    <xf numFmtId="0" fontId="24" fillId="2" borderId="0" xfId="0" applyFont="1" applyFill="1" applyAlignment="1" applyProtection="1">
      <alignment horizontal="right"/>
      <protection hidden="1"/>
    </xf>
    <xf numFmtId="0" fontId="4" fillId="2" borderId="22" xfId="0" quotePrefix="1" applyFont="1" applyFill="1" applyBorder="1" applyAlignment="1" applyProtection="1">
      <alignment horizontal="right"/>
      <protection hidden="1"/>
    </xf>
    <xf numFmtId="0" fontId="161" fillId="2" borderId="5" xfId="0" quotePrefix="1" applyFont="1" applyFill="1" applyBorder="1" applyAlignment="1" applyProtection="1">
      <alignment horizontal="left"/>
      <protection hidden="1"/>
    </xf>
    <xf numFmtId="37" fontId="23" fillId="2" borderId="5" xfId="0" applyNumberFormat="1" applyFont="1" applyFill="1" applyBorder="1" applyProtection="1">
      <protection hidden="1"/>
    </xf>
    <xf numFmtId="3" fontId="121" fillId="2" borderId="5" xfId="0" applyNumberFormat="1" applyFont="1" applyFill="1" applyBorder="1" applyProtection="1">
      <protection hidden="1"/>
    </xf>
    <xf numFmtId="0" fontId="121" fillId="2" borderId="5" xfId="0" applyFont="1" applyFill="1" applyBorder="1" applyProtection="1">
      <protection hidden="1"/>
    </xf>
    <xf numFmtId="3" fontId="19" fillId="26" borderId="1" xfId="0" applyNumberFormat="1" applyFont="1" applyFill="1" applyBorder="1" applyAlignment="1" applyProtection="1">
      <alignment horizontal="right"/>
      <protection hidden="1"/>
    </xf>
    <xf numFmtId="0" fontId="4" fillId="26" borderId="13" xfId="0" quotePrefix="1" applyFont="1" applyFill="1" applyBorder="1" applyAlignment="1" applyProtection="1">
      <alignment horizontal="center"/>
      <protection hidden="1"/>
    </xf>
    <xf numFmtId="39" fontId="1" fillId="3" borderId="2" xfId="0" applyNumberFormat="1" applyFont="1" applyFill="1" applyBorder="1" applyAlignment="1" applyProtection="1">
      <alignment horizontal="center" vertical="center"/>
      <protection locked="0"/>
    </xf>
    <xf numFmtId="0" fontId="26" fillId="2" borderId="1" xfId="0" applyFont="1" applyFill="1" applyBorder="1" applyAlignment="1" applyProtection="1">
      <alignment horizontal="center" vertical="center"/>
      <protection hidden="1"/>
    </xf>
    <xf numFmtId="0" fontId="26" fillId="2" borderId="1" xfId="0" applyFont="1" applyFill="1" applyBorder="1" applyProtection="1">
      <protection hidden="1"/>
    </xf>
    <xf numFmtId="0" fontId="75" fillId="2" borderId="0" xfId="2" applyFill="1" applyAlignment="1" applyProtection="1">
      <protection hidden="1"/>
    </xf>
    <xf numFmtId="0" fontId="105" fillId="2" borderId="6" xfId="0" applyFont="1" applyFill="1" applyBorder="1" applyAlignment="1" applyProtection="1">
      <alignment horizontal="right"/>
      <protection hidden="1"/>
    </xf>
    <xf numFmtId="0" fontId="60" fillId="2" borderId="27" xfId="0" applyFont="1" applyFill="1" applyBorder="1" applyProtection="1">
      <protection hidden="1"/>
    </xf>
    <xf numFmtId="0" fontId="4" fillId="2" borderId="1" xfId="0" applyFont="1" applyFill="1" applyBorder="1" applyProtection="1">
      <protection hidden="1"/>
    </xf>
    <xf numFmtId="37" fontId="19" fillId="2" borderId="1" xfId="0" applyNumberFormat="1" applyFont="1" applyFill="1" applyBorder="1" applyProtection="1">
      <protection hidden="1"/>
    </xf>
    <xf numFmtId="37" fontId="121" fillId="2" borderId="1" xfId="0" applyNumberFormat="1" applyFont="1" applyFill="1" applyBorder="1" applyAlignment="1" applyProtection="1">
      <alignment horizontal="right"/>
      <protection hidden="1"/>
    </xf>
    <xf numFmtId="3" fontId="121" fillId="2" borderId="1" xfId="0" applyNumberFormat="1" applyFont="1" applyFill="1" applyBorder="1" applyProtection="1">
      <protection hidden="1"/>
    </xf>
    <xf numFmtId="0" fontId="121" fillId="2" borderId="1" xfId="0" applyFont="1" applyFill="1" applyBorder="1" applyProtection="1">
      <protection hidden="1"/>
    </xf>
    <xf numFmtId="0" fontId="0" fillId="2" borderId="30" xfId="0" applyFill="1" applyBorder="1" applyProtection="1">
      <protection hidden="1"/>
    </xf>
    <xf numFmtId="0" fontId="121" fillId="2" borderId="0" xfId="0" applyFont="1" applyFill="1" applyAlignment="1" applyProtection="1">
      <alignment vertical="top"/>
      <protection hidden="1"/>
    </xf>
    <xf numFmtId="0" fontId="19" fillId="2" borderId="5" xfId="0" quotePrefix="1" applyFont="1" applyFill="1" applyBorder="1" applyAlignment="1" applyProtection="1">
      <alignment horizontal="right"/>
      <protection hidden="1"/>
    </xf>
    <xf numFmtId="3" fontId="23" fillId="2" borderId="5" xfId="0" applyNumberFormat="1" applyFont="1" applyFill="1" applyBorder="1" applyProtection="1">
      <protection hidden="1"/>
    </xf>
    <xf numFmtId="0" fontId="23" fillId="2" borderId="5" xfId="0" applyFont="1" applyFill="1" applyBorder="1" applyProtection="1">
      <protection hidden="1"/>
    </xf>
    <xf numFmtId="37" fontId="150" fillId="2" borderId="1" xfId="0" applyNumberFormat="1" applyFont="1" applyFill="1" applyBorder="1" applyProtection="1">
      <protection hidden="1"/>
    </xf>
    <xf numFmtId="37" fontId="19" fillId="26" borderId="1" xfId="0" applyNumberFormat="1" applyFont="1" applyFill="1" applyBorder="1" applyAlignment="1" applyProtection="1">
      <alignment horizontal="right"/>
      <protection hidden="1"/>
    </xf>
    <xf numFmtId="37" fontId="19" fillId="17" borderId="1" xfId="0" applyNumberFormat="1" applyFont="1" applyFill="1" applyBorder="1" applyAlignment="1" applyProtection="1">
      <alignment horizontal="right"/>
      <protection locked="0"/>
    </xf>
    <xf numFmtId="175" fontId="19" fillId="26" borderId="1" xfId="0" applyNumberFormat="1" applyFont="1" applyFill="1" applyBorder="1" applyAlignment="1" applyProtection="1">
      <alignment horizontal="right"/>
      <protection hidden="1"/>
    </xf>
    <xf numFmtId="173" fontId="138" fillId="2" borderId="0" xfId="0" applyNumberFormat="1" applyFont="1" applyFill="1" applyProtection="1">
      <protection hidden="1"/>
    </xf>
    <xf numFmtId="0" fontId="10" fillId="17" borderId="13" xfId="0" applyFont="1" applyFill="1" applyBorder="1" applyAlignment="1" applyProtection="1">
      <alignment horizontal="center" vertical="center"/>
      <protection locked="0" hidden="1"/>
    </xf>
    <xf numFmtId="185" fontId="1" fillId="0" borderId="5" xfId="0" applyNumberFormat="1" applyFont="1" applyBorder="1" applyAlignment="1" applyProtection="1">
      <alignment horizontal="center" wrapText="1"/>
      <protection hidden="1"/>
    </xf>
    <xf numFmtId="185" fontId="0" fillId="0" borderId="0" xfId="0" applyNumberFormat="1" applyAlignment="1" applyProtection="1">
      <alignment horizontal="center" vertical="top" wrapText="1"/>
      <protection hidden="1"/>
    </xf>
    <xf numFmtId="186" fontId="8" fillId="5" borderId="0" xfId="0" applyNumberFormat="1" applyFont="1" applyFill="1" applyAlignment="1" applyProtection="1">
      <alignment horizontal="center"/>
      <protection hidden="1"/>
    </xf>
    <xf numFmtId="40" fontId="150" fillId="2" borderId="0" xfId="0" applyNumberFormat="1" applyFont="1" applyFill="1" applyAlignment="1" applyProtection="1">
      <alignment horizontal="right"/>
      <protection hidden="1"/>
    </xf>
    <xf numFmtId="0" fontId="11" fillId="17" borderId="87" xfId="4" applyFont="1" applyFill="1" applyBorder="1" applyAlignment="1" applyProtection="1">
      <alignment horizontal="center" vertical="center"/>
      <protection locked="0" hidden="1"/>
    </xf>
    <xf numFmtId="0" fontId="138" fillId="2" borderId="0" xfId="0" applyFont="1" applyFill="1" applyAlignment="1" applyProtection="1">
      <alignment vertical="top"/>
      <protection hidden="1"/>
    </xf>
    <xf numFmtId="0" fontId="138" fillId="2" borderId="0" xfId="0" applyFont="1" applyFill="1" applyAlignment="1" applyProtection="1">
      <alignment horizontal="right" vertical="top"/>
      <protection hidden="1"/>
    </xf>
    <xf numFmtId="37" fontId="6" fillId="21" borderId="10" xfId="0" applyNumberFormat="1" applyFont="1" applyFill="1" applyBorder="1" applyAlignment="1" applyProtection="1">
      <alignment horizontal="center"/>
      <protection locked="0"/>
    </xf>
    <xf numFmtId="0" fontId="4" fillId="28" borderId="13" xfId="0" applyFont="1" applyFill="1" applyBorder="1" applyAlignment="1" applyProtection="1">
      <alignment horizontal="center" vertical="center"/>
      <protection hidden="1"/>
    </xf>
    <xf numFmtId="1" fontId="191" fillId="16" borderId="2" xfId="0" applyNumberFormat="1" applyFont="1" applyFill="1" applyBorder="1" applyAlignment="1" applyProtection="1">
      <alignment horizontal="center"/>
      <protection locked="0"/>
    </xf>
    <xf numFmtId="168" fontId="172" fillId="0" borderId="13" xfId="0" applyNumberFormat="1" applyFont="1" applyBorder="1" applyAlignment="1">
      <alignment vertical="center" wrapText="1"/>
    </xf>
    <xf numFmtId="168" fontId="172" fillId="0" borderId="59" xfId="0" applyNumberFormat="1" applyFont="1" applyBorder="1" applyAlignment="1">
      <alignment vertical="center" wrapText="1"/>
    </xf>
    <xf numFmtId="168" fontId="0" fillId="25" borderId="0" xfId="0" applyNumberFormat="1" applyFill="1" applyProtection="1">
      <protection hidden="1"/>
    </xf>
    <xf numFmtId="0" fontId="14" fillId="25" borderId="0" xfId="0" applyFont="1" applyFill="1" applyAlignment="1" applyProtection="1">
      <alignment horizontal="right"/>
      <protection hidden="1"/>
    </xf>
    <xf numFmtId="0" fontId="8" fillId="25" borderId="5" xfId="0" applyFont="1" applyFill="1" applyBorder="1" applyProtection="1">
      <protection hidden="1"/>
    </xf>
    <xf numFmtId="4" fontId="148"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151" fillId="8" borderId="0" xfId="0" applyNumberFormat="1" applyFont="1" applyFill="1" applyAlignment="1" applyProtection="1">
      <alignment horizontal="left"/>
      <protection hidden="1"/>
    </xf>
    <xf numFmtId="0" fontId="5" fillId="25" borderId="6" xfId="0" applyFont="1" applyFill="1" applyBorder="1" applyAlignment="1" applyProtection="1">
      <alignment horizontal="right"/>
      <protection hidden="1"/>
    </xf>
    <xf numFmtId="0" fontId="138" fillId="16" borderId="5" xfId="0" applyFont="1" applyFill="1" applyBorder="1" applyAlignment="1" applyProtection="1">
      <alignment horizontal="center"/>
      <protection hidden="1"/>
    </xf>
    <xf numFmtId="0" fontId="138" fillId="16" borderId="5" xfId="0" applyFont="1" applyFill="1" applyBorder="1" applyProtection="1">
      <protection hidden="1"/>
    </xf>
    <xf numFmtId="0" fontId="3" fillId="3" borderId="0" xfId="0" applyFont="1" applyFill="1" applyAlignment="1" applyProtection="1">
      <alignment vertical="center"/>
      <protection hidden="1"/>
    </xf>
    <xf numFmtId="0" fontId="1" fillId="3" borderId="8" xfId="0" applyFont="1" applyFill="1" applyBorder="1" applyAlignment="1" applyProtection="1">
      <alignment horizontal="left" vertical="top"/>
      <protection hidden="1"/>
    </xf>
    <xf numFmtId="0" fontId="1" fillId="3" borderId="8" xfId="0" applyFont="1" applyFill="1" applyBorder="1" applyAlignment="1" applyProtection="1">
      <alignment vertical="center"/>
      <protection hidden="1"/>
    </xf>
    <xf numFmtId="3" fontId="8" fillId="0" borderId="0" xfId="0" applyNumberFormat="1" applyFont="1" applyAlignment="1" applyProtection="1">
      <alignment horizontal="center"/>
      <protection hidden="1"/>
    </xf>
    <xf numFmtId="0" fontId="201" fillId="0" borderId="0" xfId="0" applyFont="1" applyAlignment="1">
      <alignment horizontal="center" vertical="center"/>
    </xf>
    <xf numFmtId="49" fontId="7" fillId="16" borderId="8" xfId="0" applyNumberFormat="1" applyFont="1" applyFill="1" applyBorder="1" applyAlignment="1" applyProtection="1">
      <alignment horizontal="right"/>
      <protection hidden="1"/>
    </xf>
    <xf numFmtId="0" fontId="3" fillId="16" borderId="5" xfId="0" applyFont="1" applyFill="1" applyBorder="1" applyAlignment="1" applyProtection="1">
      <alignment vertical="top"/>
      <protection hidden="1"/>
    </xf>
    <xf numFmtId="49" fontId="7" fillId="16" borderId="0" xfId="0" applyNumberFormat="1" applyFont="1" applyFill="1" applyAlignment="1" applyProtection="1">
      <alignment horizontal="right"/>
      <protection hidden="1"/>
    </xf>
    <xf numFmtId="0" fontId="40" fillId="16" borderId="0" xfId="0" applyFont="1" applyFill="1" applyAlignment="1" applyProtection="1">
      <alignment horizontal="left" vertical="center"/>
      <protection hidden="1"/>
    </xf>
    <xf numFmtId="0" fontId="40" fillId="16" borderId="0" xfId="0" applyFont="1" applyFill="1" applyAlignment="1" applyProtection="1">
      <alignment vertical="center"/>
      <protection hidden="1"/>
    </xf>
    <xf numFmtId="49" fontId="7" fillId="16" borderId="5" xfId="0" applyNumberFormat="1" applyFont="1" applyFill="1" applyBorder="1" applyAlignment="1" applyProtection="1">
      <alignment horizontal="right"/>
      <protection hidden="1"/>
    </xf>
    <xf numFmtId="0" fontId="206" fillId="5" borderId="0" xfId="0" applyFont="1" applyFill="1" applyProtection="1">
      <protection hidden="1"/>
    </xf>
    <xf numFmtId="0" fontId="92" fillId="2" borderId="5" xfId="0" applyFont="1" applyFill="1" applyBorder="1" applyAlignment="1" applyProtection="1">
      <alignment horizontal="center"/>
      <protection hidden="1"/>
    </xf>
    <xf numFmtId="40" fontId="79" fillId="2" borderId="5" xfId="0" applyNumberFormat="1" applyFont="1" applyFill="1" applyBorder="1" applyAlignment="1" applyProtection="1">
      <alignment horizontal="left"/>
      <protection hidden="1"/>
    </xf>
    <xf numFmtId="40" fontId="79" fillId="2" borderId="5" xfId="0" applyNumberFormat="1" applyFont="1" applyFill="1" applyBorder="1" applyAlignment="1" applyProtection="1">
      <alignment horizontal="center"/>
      <protection hidden="1"/>
    </xf>
    <xf numFmtId="40" fontId="64" fillId="2" borderId="5" xfId="0" applyNumberFormat="1" applyFont="1" applyFill="1" applyBorder="1" applyAlignment="1" applyProtection="1">
      <alignment horizontal="right"/>
      <protection hidden="1"/>
    </xf>
    <xf numFmtId="40" fontId="21" fillId="2" borderId="23" xfId="0" applyNumberFormat="1" applyFont="1" applyFill="1" applyBorder="1" applyAlignment="1" applyProtection="1">
      <alignment horizontal="right"/>
      <protection hidden="1"/>
    </xf>
    <xf numFmtId="39" fontId="3" fillId="3" borderId="1" xfId="0" applyNumberFormat="1" applyFont="1" applyFill="1" applyBorder="1" applyProtection="1">
      <protection hidden="1"/>
    </xf>
    <xf numFmtId="40" fontId="138" fillId="2" borderId="0" xfId="0" applyNumberFormat="1" applyFont="1" applyFill="1" applyProtection="1">
      <protection hidden="1"/>
    </xf>
    <xf numFmtId="0" fontId="4" fillId="33" borderId="0" xfId="0" applyFont="1" applyFill="1" applyAlignment="1" applyProtection="1">
      <alignment horizontal="center" wrapText="1"/>
      <protection locked="0"/>
    </xf>
    <xf numFmtId="0" fontId="1" fillId="33" borderId="0" xfId="0" applyFont="1" applyFill="1" applyAlignment="1" applyProtection="1">
      <alignment horizontal="center" wrapText="1"/>
      <protection locked="0"/>
    </xf>
    <xf numFmtId="4" fontId="3" fillId="33" borderId="86" xfId="0" applyNumberFormat="1" applyFont="1" applyFill="1" applyBorder="1" applyAlignment="1" applyProtection="1">
      <alignment horizontal="center"/>
      <protection locked="0"/>
    </xf>
    <xf numFmtId="4" fontId="0" fillId="33" borderId="88" xfId="0" applyNumberFormat="1" applyFill="1" applyBorder="1" applyAlignment="1" applyProtection="1">
      <alignment horizontal="center"/>
      <protection locked="0"/>
    </xf>
    <xf numFmtId="4" fontId="0" fillId="33" borderId="87" xfId="0" applyNumberFormat="1" applyFill="1" applyBorder="1" applyAlignment="1" applyProtection="1">
      <alignment horizontal="center"/>
      <protection locked="0"/>
    </xf>
    <xf numFmtId="4" fontId="19" fillId="33" borderId="67" xfId="0" applyNumberFormat="1" applyFont="1" applyFill="1" applyBorder="1" applyProtection="1">
      <protection locked="0"/>
    </xf>
    <xf numFmtId="4" fontId="19" fillId="33" borderId="50" xfId="0" applyNumberFormat="1" applyFont="1" applyFill="1" applyBorder="1" applyAlignment="1" applyProtection="1">
      <alignment horizontal="right"/>
      <protection locked="0"/>
    </xf>
    <xf numFmtId="4" fontId="19" fillId="33" borderId="54" xfId="0" applyNumberFormat="1" applyFont="1" applyFill="1" applyBorder="1" applyAlignment="1" applyProtection="1">
      <alignment horizontal="right"/>
      <protection locked="0"/>
    </xf>
    <xf numFmtId="0" fontId="5" fillId="25" borderId="6" xfId="0" quotePrefix="1" applyFont="1" applyFill="1" applyBorder="1" applyAlignment="1" applyProtection="1">
      <alignment horizontal="right"/>
      <protection hidden="1"/>
    </xf>
    <xf numFmtId="0" fontId="10" fillId="2" borderId="26" xfId="0" applyFont="1" applyFill="1" applyBorder="1" applyAlignment="1" applyProtection="1">
      <alignment vertical="center"/>
      <protection hidden="1"/>
    </xf>
    <xf numFmtId="0" fontId="1" fillId="16" borderId="0" xfId="0" applyFont="1" applyFill="1" applyAlignment="1" applyProtection="1">
      <alignment horizontal="left"/>
      <protection hidden="1"/>
    </xf>
    <xf numFmtId="0" fontId="3" fillId="16" borderId="0" xfId="0" applyFont="1" applyFill="1" applyAlignment="1" applyProtection="1">
      <alignment vertical="top"/>
      <protection hidden="1"/>
    </xf>
    <xf numFmtId="0" fontId="0" fillId="16" borderId="0" xfId="0" applyFill="1" applyAlignment="1" applyProtection="1">
      <alignment horizontal="center"/>
      <protection hidden="1"/>
    </xf>
    <xf numFmtId="0" fontId="0" fillId="16" borderId="3" xfId="0" applyFill="1" applyBorder="1" applyAlignment="1" applyProtection="1">
      <alignment horizontal="center"/>
      <protection hidden="1"/>
    </xf>
    <xf numFmtId="0" fontId="5" fillId="16" borderId="5" xfId="0" applyFont="1" applyFill="1" applyBorder="1" applyProtection="1">
      <protection hidden="1"/>
    </xf>
    <xf numFmtId="0" fontId="16" fillId="16" borderId="31" xfId="0" applyFont="1" applyFill="1" applyBorder="1" applyAlignment="1" applyProtection="1">
      <alignment horizontal="center" vertical="top"/>
      <protection hidden="1"/>
    </xf>
    <xf numFmtId="0" fontId="16" fillId="16" borderId="9" xfId="0" applyFont="1" applyFill="1" applyBorder="1" applyAlignment="1" applyProtection="1">
      <alignment horizontal="center" vertical="top"/>
      <protection hidden="1"/>
    </xf>
    <xf numFmtId="0" fontId="8" fillId="16" borderId="6" xfId="0" applyFont="1" applyFill="1" applyBorder="1" applyAlignment="1" applyProtection="1">
      <alignment horizontal="left" indent="1"/>
      <protection hidden="1"/>
    </xf>
    <xf numFmtId="0" fontId="1" fillId="16" borderId="24" xfId="0" applyFont="1" applyFill="1" applyBorder="1" applyAlignment="1" applyProtection="1">
      <alignment horizontal="left" vertical="top" indent="1"/>
      <protection hidden="1"/>
    </xf>
    <xf numFmtId="0" fontId="1" fillId="16" borderId="6"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4" fillId="30" borderId="24" xfId="0" applyFont="1" applyFill="1" applyBorder="1" applyAlignment="1" applyProtection="1">
      <alignment horizontal="right"/>
      <protection hidden="1"/>
    </xf>
    <xf numFmtId="0" fontId="4" fillId="30" borderId="8" xfId="0" applyFont="1" applyFill="1" applyBorder="1" applyAlignment="1" applyProtection="1">
      <alignment horizontal="right"/>
      <protection hidden="1"/>
    </xf>
    <xf numFmtId="0" fontId="19" fillId="30" borderId="8" xfId="0" applyFont="1" applyFill="1" applyBorder="1" applyAlignment="1" applyProtection="1">
      <alignment horizontal="left"/>
      <protection hidden="1"/>
    </xf>
    <xf numFmtId="0" fontId="8" fillId="30" borderId="8" xfId="0" applyFont="1" applyFill="1" applyBorder="1" applyAlignment="1" applyProtection="1">
      <alignment horizontal="left"/>
      <protection hidden="1"/>
    </xf>
    <xf numFmtId="0" fontId="4" fillId="30" borderId="6" xfId="0" quotePrefix="1" applyFont="1" applyFill="1" applyBorder="1" applyAlignment="1" applyProtection="1">
      <alignment horizontal="right"/>
      <protection hidden="1"/>
    </xf>
    <xf numFmtId="0" fontId="4" fillId="30" borderId="0" xfId="0" applyFont="1" applyFill="1" applyAlignment="1" applyProtection="1">
      <alignment horizontal="right"/>
      <protection hidden="1"/>
    </xf>
    <xf numFmtId="0" fontId="3" fillId="30" borderId="0" xfId="0" applyFont="1" applyFill="1" applyAlignment="1" applyProtection="1">
      <alignment horizontal="left"/>
      <protection hidden="1"/>
    </xf>
    <xf numFmtId="0" fontId="19" fillId="30" borderId="0" xfId="0" applyFont="1" applyFill="1" applyAlignment="1" applyProtection="1">
      <alignment horizontal="left"/>
      <protection hidden="1"/>
    </xf>
    <xf numFmtId="0" fontId="8" fillId="30" borderId="0" xfId="0" applyFont="1" applyFill="1" applyAlignment="1" applyProtection="1">
      <alignment horizontal="left"/>
      <protection hidden="1"/>
    </xf>
    <xf numFmtId="0" fontId="4" fillId="30" borderId="6" xfId="0" applyFont="1" applyFill="1" applyBorder="1" applyAlignment="1" applyProtection="1">
      <alignment horizontal="right"/>
      <protection hidden="1"/>
    </xf>
    <xf numFmtId="0" fontId="5" fillId="30" borderId="0" xfId="0" applyFont="1" applyFill="1" applyAlignment="1" applyProtection="1">
      <alignment horizontal="left"/>
      <protection hidden="1"/>
    </xf>
    <xf numFmtId="0" fontId="1" fillId="30" borderId="6" xfId="0" quotePrefix="1" applyFont="1" applyFill="1" applyBorder="1" applyAlignment="1" applyProtection="1">
      <alignment horizontal="right"/>
      <protection hidden="1"/>
    </xf>
    <xf numFmtId="0" fontId="4" fillId="30" borderId="0" xfId="0" quotePrefix="1" applyFont="1" applyFill="1" applyAlignment="1" applyProtection="1">
      <alignment horizontal="right"/>
      <protection hidden="1"/>
    </xf>
    <xf numFmtId="1" fontId="1" fillId="30" borderId="0" xfId="0" quotePrefix="1" applyNumberFormat="1" applyFont="1" applyFill="1" applyAlignment="1" applyProtection="1">
      <alignment horizontal="right"/>
      <protection hidden="1"/>
    </xf>
    <xf numFmtId="0" fontId="28" fillId="30" borderId="0" xfId="0" applyFont="1" applyFill="1" applyAlignment="1" applyProtection="1">
      <alignment horizontal="left"/>
      <protection hidden="1"/>
    </xf>
    <xf numFmtId="1" fontId="4" fillId="30" borderId="0" xfId="0" applyNumberFormat="1" applyFont="1" applyFill="1" applyAlignment="1" applyProtection="1">
      <alignment horizontal="right"/>
      <protection hidden="1"/>
    </xf>
    <xf numFmtId="0" fontId="6" fillId="30" borderId="0" xfId="0" applyFont="1" applyFill="1" applyAlignment="1" applyProtection="1">
      <alignment horizontal="right" vertical="center"/>
      <protection hidden="1"/>
    </xf>
    <xf numFmtId="0" fontId="28" fillId="30" borderId="6" xfId="0" applyFont="1" applyFill="1" applyBorder="1" applyAlignment="1" applyProtection="1">
      <alignment horizontal="right"/>
      <protection hidden="1"/>
    </xf>
    <xf numFmtId="0" fontId="28" fillId="30" borderId="0" xfId="0" applyFont="1" applyFill="1" applyAlignment="1" applyProtection="1">
      <alignment horizontal="right"/>
      <protection hidden="1"/>
    </xf>
    <xf numFmtId="0" fontId="15" fillId="30" borderId="0" xfId="0" applyFont="1" applyFill="1" applyAlignment="1" applyProtection="1">
      <alignment horizontal="right"/>
      <protection hidden="1"/>
    </xf>
    <xf numFmtId="39" fontId="8" fillId="30" borderId="22" xfId="0" applyNumberFormat="1" applyFont="1" applyFill="1" applyBorder="1" applyAlignment="1" applyProtection="1">
      <alignment horizontal="right"/>
      <protection hidden="1"/>
    </xf>
    <xf numFmtId="39" fontId="8" fillId="30" borderId="5" xfId="0" applyNumberFormat="1" applyFont="1" applyFill="1" applyBorder="1" applyAlignment="1" applyProtection="1">
      <alignment horizontal="right"/>
      <protection hidden="1"/>
    </xf>
    <xf numFmtId="0" fontId="11" fillId="30" borderId="0" xfId="0" applyFont="1" applyFill="1" applyAlignment="1" applyProtection="1">
      <alignment horizontal="right"/>
      <protection hidden="1"/>
    </xf>
    <xf numFmtId="0" fontId="1" fillId="30" borderId="0" xfId="0" quotePrefix="1" applyFont="1" applyFill="1" applyAlignment="1" applyProtection="1">
      <alignment horizontal="right"/>
      <protection hidden="1"/>
    </xf>
    <xf numFmtId="0" fontId="8" fillId="30" borderId="20" xfId="0" applyFont="1" applyFill="1" applyBorder="1" applyAlignment="1" applyProtection="1">
      <alignment horizontal="left"/>
      <protection hidden="1"/>
    </xf>
    <xf numFmtId="39" fontId="8" fillId="30" borderId="21" xfId="0" applyNumberFormat="1" applyFont="1" applyFill="1" applyBorder="1" applyAlignment="1" applyProtection="1">
      <alignment horizontal="right"/>
      <protection hidden="1"/>
    </xf>
    <xf numFmtId="39" fontId="8" fillId="30" borderId="23" xfId="0" applyNumberFormat="1" applyFont="1" applyFill="1" applyBorder="1" applyAlignment="1" applyProtection="1">
      <alignment horizontal="right"/>
      <protection hidden="1"/>
    </xf>
    <xf numFmtId="3" fontId="6" fillId="30" borderId="0" xfId="0" applyNumberFormat="1" applyFont="1" applyFill="1" applyAlignment="1" applyProtection="1">
      <alignment horizontal="right"/>
      <protection hidden="1"/>
    </xf>
    <xf numFmtId="39" fontId="8" fillId="30" borderId="0" xfId="0" applyNumberFormat="1" applyFont="1" applyFill="1" applyAlignment="1" applyProtection="1">
      <alignment horizontal="right"/>
      <protection hidden="1"/>
    </xf>
    <xf numFmtId="37" fontId="5" fillId="30" borderId="0" xfId="0" applyNumberFormat="1" applyFont="1" applyFill="1" applyAlignment="1" applyProtection="1">
      <alignment horizontal="right"/>
      <protection locked="0"/>
    </xf>
    <xf numFmtId="0" fontId="6" fillId="30" borderId="0" xfId="0" applyFont="1" applyFill="1" applyAlignment="1" applyProtection="1">
      <alignment horizontal="left"/>
      <protection hidden="1"/>
    </xf>
    <xf numFmtId="0" fontId="8" fillId="30" borderId="21" xfId="0" applyFont="1" applyFill="1" applyBorder="1" applyAlignment="1" applyProtection="1">
      <alignment horizontal="left"/>
      <protection hidden="1"/>
    </xf>
    <xf numFmtId="0" fontId="1" fillId="30" borderId="0" xfId="0" applyFont="1" applyFill="1" applyAlignment="1" applyProtection="1">
      <alignment horizontal="left"/>
      <protection hidden="1"/>
    </xf>
    <xf numFmtId="0" fontId="3" fillId="30" borderId="0" xfId="0" applyFont="1" applyFill="1" applyAlignment="1" applyProtection="1">
      <alignment horizontal="right"/>
      <protection hidden="1"/>
    </xf>
    <xf numFmtId="0" fontId="4" fillId="30" borderId="27" xfId="0" applyFont="1" applyFill="1" applyBorder="1" applyAlignment="1" applyProtection="1">
      <alignment horizontal="right"/>
      <protection hidden="1"/>
    </xf>
    <xf numFmtId="0" fontId="19" fillId="30" borderId="1" xfId="0" applyFont="1" applyFill="1" applyBorder="1" applyAlignment="1" applyProtection="1">
      <alignment horizontal="left"/>
      <protection hidden="1"/>
    </xf>
    <xf numFmtId="0" fontId="8" fillId="30" borderId="1" xfId="0" applyFont="1" applyFill="1" applyBorder="1" applyAlignment="1" applyProtection="1">
      <alignment horizontal="left"/>
      <protection hidden="1"/>
    </xf>
    <xf numFmtId="0" fontId="4" fillId="30" borderId="1" xfId="0" applyFont="1" applyFill="1" applyBorder="1" applyAlignment="1" applyProtection="1">
      <alignment horizontal="right"/>
      <protection hidden="1"/>
    </xf>
    <xf numFmtId="0" fontId="8" fillId="30" borderId="30" xfId="0" applyFont="1" applyFill="1" applyBorder="1" applyAlignment="1" applyProtection="1">
      <alignment horizontal="left"/>
      <protection hidden="1"/>
    </xf>
    <xf numFmtId="0" fontId="3" fillId="30" borderId="1" xfId="0" applyFont="1" applyFill="1" applyBorder="1" applyAlignment="1" applyProtection="1">
      <alignment horizontal="left" vertical="center"/>
      <protection hidden="1"/>
    </xf>
    <xf numFmtId="3" fontId="134" fillId="30" borderId="0" xfId="0" applyNumberFormat="1" applyFont="1" applyFill="1" applyAlignment="1" applyProtection="1">
      <alignment horizontal="right"/>
      <protection hidden="1"/>
    </xf>
    <xf numFmtId="0" fontId="140" fillId="30" borderId="0" xfId="0" applyFont="1" applyFill="1" applyAlignment="1" applyProtection="1">
      <alignment horizontal="center"/>
      <protection hidden="1"/>
    </xf>
    <xf numFmtId="0" fontId="150" fillId="30" borderId="0" xfId="0" applyFont="1" applyFill="1" applyAlignment="1" applyProtection="1">
      <alignment horizontal="left"/>
      <protection hidden="1"/>
    </xf>
    <xf numFmtId="0" fontId="8" fillId="30" borderId="0" xfId="0" applyFont="1" applyFill="1" applyAlignment="1" applyProtection="1">
      <alignment horizontal="right"/>
      <protection hidden="1"/>
    </xf>
    <xf numFmtId="0" fontId="8" fillId="30" borderId="8" xfId="0" applyFont="1" applyFill="1" applyBorder="1" applyAlignment="1" applyProtection="1">
      <alignment horizontal="right"/>
      <protection hidden="1"/>
    </xf>
    <xf numFmtId="0" fontId="140" fillId="0" borderId="0" xfId="0" applyFont="1" applyProtection="1">
      <protection hidden="1"/>
    </xf>
    <xf numFmtId="0" fontId="145" fillId="30" borderId="8" xfId="0" applyFont="1" applyFill="1" applyBorder="1" applyAlignment="1" applyProtection="1">
      <alignment horizontal="right"/>
      <protection hidden="1"/>
    </xf>
    <xf numFmtId="0" fontId="145" fillId="2" borderId="0" xfId="0" applyFont="1" applyFill="1" applyProtection="1">
      <protection hidden="1"/>
    </xf>
    <xf numFmtId="0" fontId="8" fillId="16" borderId="0" xfId="0" quotePrefix="1" applyFont="1" applyFill="1"/>
    <xf numFmtId="0" fontId="8" fillId="16" borderId="1" xfId="0" applyFont="1" applyFill="1" applyBorder="1"/>
    <xf numFmtId="0" fontId="31" fillId="25" borderId="22" xfId="0" applyFont="1" applyFill="1" applyBorder="1" applyAlignment="1" applyProtection="1">
      <alignment horizontal="center"/>
      <protection hidden="1"/>
    </xf>
    <xf numFmtId="3" fontId="31" fillId="25" borderId="5" xfId="0" applyNumberFormat="1" applyFont="1" applyFill="1" applyBorder="1" applyAlignment="1" applyProtection="1">
      <alignment horizontal="right"/>
      <protection hidden="1"/>
    </xf>
    <xf numFmtId="3" fontId="8" fillId="25" borderId="5" xfId="0" applyNumberFormat="1" applyFont="1" applyFill="1" applyBorder="1" applyAlignment="1" applyProtection="1">
      <alignment horizontal="center"/>
      <protection hidden="1"/>
    </xf>
    <xf numFmtId="0" fontId="8" fillId="25" borderId="5" xfId="0" applyFont="1" applyFill="1" applyBorder="1" applyAlignment="1" applyProtection="1">
      <alignment horizontal="left"/>
      <protection hidden="1"/>
    </xf>
    <xf numFmtId="0" fontId="8" fillId="25" borderId="5" xfId="0" applyFont="1" applyFill="1" applyBorder="1" applyAlignment="1" applyProtection="1">
      <alignment horizontal="center"/>
      <protection hidden="1"/>
    </xf>
    <xf numFmtId="0" fontId="72" fillId="25" borderId="5" xfId="0" applyFont="1" applyFill="1" applyBorder="1" applyProtection="1">
      <protection hidden="1"/>
    </xf>
    <xf numFmtId="0" fontId="72" fillId="25" borderId="23" xfId="0" applyFont="1" applyFill="1" applyBorder="1" applyProtection="1">
      <protection hidden="1"/>
    </xf>
    <xf numFmtId="3" fontId="5" fillId="28" borderId="1" xfId="0" applyNumberFormat="1" applyFont="1" applyFill="1" applyBorder="1" applyProtection="1">
      <protection hidden="1"/>
    </xf>
    <xf numFmtId="3" fontId="5" fillId="17" borderId="1" xfId="0" applyNumberFormat="1" applyFont="1" applyFill="1" applyBorder="1" applyProtection="1">
      <protection locked="0"/>
    </xf>
    <xf numFmtId="164" fontId="6" fillId="25" borderId="6" xfId="0" applyNumberFormat="1" applyFont="1" applyFill="1" applyBorder="1" applyAlignment="1" applyProtection="1">
      <alignment horizontal="right"/>
      <protection hidden="1"/>
    </xf>
    <xf numFmtId="0" fontId="1" fillId="25" borderId="0" xfId="0" applyFont="1" applyFill="1" applyProtection="1">
      <protection hidden="1"/>
    </xf>
    <xf numFmtId="4" fontId="6" fillId="25" borderId="0" xfId="0" applyNumberFormat="1" applyFont="1" applyFill="1" applyAlignment="1" applyProtection="1">
      <alignment horizontal="right"/>
      <protection hidden="1"/>
    </xf>
    <xf numFmtId="164" fontId="6" fillId="25" borderId="0" xfId="0" applyNumberFormat="1" applyFont="1" applyFill="1" applyAlignment="1" applyProtection="1">
      <alignment horizontal="right"/>
      <protection hidden="1"/>
    </xf>
    <xf numFmtId="4" fontId="5" fillId="25" borderId="0" xfId="0" applyNumberFormat="1" applyFont="1" applyFill="1" applyProtection="1">
      <protection hidden="1"/>
    </xf>
    <xf numFmtId="0" fontId="6" fillId="25" borderId="0" xfId="0" applyFont="1" applyFill="1" applyProtection="1">
      <protection hidden="1"/>
    </xf>
    <xf numFmtId="0" fontId="143" fillId="25" borderId="0" xfId="0" applyFont="1" applyFill="1" applyAlignment="1" applyProtection="1">
      <alignment vertical="center"/>
      <protection hidden="1"/>
    </xf>
    <xf numFmtId="0" fontId="11" fillId="25" borderId="6" xfId="0" applyFont="1" applyFill="1" applyBorder="1" applyAlignment="1" applyProtection="1">
      <alignment vertical="top"/>
      <protection hidden="1"/>
    </xf>
    <xf numFmtId="0" fontId="5" fillId="25" borderId="0" xfId="0" applyFont="1" applyFill="1" applyAlignment="1" applyProtection="1">
      <alignment vertical="top"/>
      <protection hidden="1"/>
    </xf>
    <xf numFmtId="164" fontId="6" fillId="25" borderId="0" xfId="0" applyNumberFormat="1" applyFont="1" applyFill="1" applyAlignment="1" applyProtection="1">
      <alignment vertical="top"/>
      <protection hidden="1"/>
    </xf>
    <xf numFmtId="4" fontId="5" fillId="25" borderId="0" xfId="0" applyNumberFormat="1" applyFont="1" applyFill="1" applyAlignment="1" applyProtection="1">
      <alignment vertical="top"/>
      <protection hidden="1"/>
    </xf>
    <xf numFmtId="164" fontId="6" fillId="25" borderId="0" xfId="0" applyNumberFormat="1" applyFont="1" applyFill="1" applyAlignment="1" applyProtection="1">
      <alignment horizontal="right" vertical="center"/>
      <protection hidden="1"/>
    </xf>
    <xf numFmtId="0" fontId="64" fillId="25" borderId="5" xfId="0" applyFont="1" applyFill="1" applyBorder="1" applyAlignment="1" applyProtection="1">
      <alignment vertical="center"/>
      <protection hidden="1"/>
    </xf>
    <xf numFmtId="0" fontId="11" fillId="25" borderId="5" xfId="0" applyFont="1" applyFill="1" applyBorder="1" applyAlignment="1" applyProtection="1">
      <alignment horizontal="right"/>
      <protection hidden="1"/>
    </xf>
    <xf numFmtId="4" fontId="5" fillId="25" borderId="5" xfId="0" applyNumberFormat="1" applyFont="1" applyFill="1" applyBorder="1" applyProtection="1">
      <protection hidden="1"/>
    </xf>
    <xf numFmtId="0" fontId="6" fillId="25" borderId="5" xfId="0" applyFont="1" applyFill="1" applyBorder="1" applyProtection="1">
      <protection hidden="1"/>
    </xf>
    <xf numFmtId="164" fontId="6" fillId="25" borderId="0" xfId="0" applyNumberFormat="1" applyFont="1" applyFill="1" applyProtection="1">
      <protection hidden="1"/>
    </xf>
    <xf numFmtId="0" fontId="11" fillId="25" borderId="6" xfId="0" applyFont="1" applyFill="1" applyBorder="1" applyAlignment="1" applyProtection="1">
      <alignment horizontal="right" vertical="top"/>
      <protection hidden="1"/>
    </xf>
    <xf numFmtId="3" fontId="5" fillId="25" borderId="0" xfId="0" applyNumberFormat="1" applyFont="1" applyFill="1" applyProtection="1">
      <protection hidden="1"/>
    </xf>
    <xf numFmtId="0" fontId="6" fillId="25" borderId="0" xfId="0" applyFont="1" applyFill="1" applyAlignment="1" applyProtection="1">
      <alignment horizontal="right"/>
      <protection hidden="1"/>
    </xf>
    <xf numFmtId="0" fontId="6" fillId="25" borderId="0" xfId="0" applyFont="1" applyFill="1" applyAlignment="1" applyProtection="1">
      <alignment horizontal="right" vertical="top"/>
      <protection hidden="1"/>
    </xf>
    <xf numFmtId="0" fontId="6" fillId="25" borderId="0" xfId="0" applyFont="1" applyFill="1" applyAlignment="1" applyProtection="1">
      <alignment vertical="top"/>
      <protection hidden="1"/>
    </xf>
    <xf numFmtId="3" fontId="5" fillId="25" borderId="0" xfId="0" applyNumberFormat="1" applyFont="1" applyFill="1" applyAlignment="1" applyProtection="1">
      <alignment vertical="top"/>
      <protection hidden="1"/>
    </xf>
    <xf numFmtId="0" fontId="0" fillId="25" borderId="21" xfId="0" applyFill="1" applyBorder="1" applyAlignment="1" applyProtection="1">
      <alignment vertical="top"/>
      <protection hidden="1"/>
    </xf>
    <xf numFmtId="4" fontId="5" fillId="25" borderId="9" xfId="0" applyNumberFormat="1" applyFont="1" applyFill="1" applyBorder="1" applyAlignment="1" applyProtection="1">
      <alignment vertical="center" wrapText="1"/>
      <protection hidden="1"/>
    </xf>
    <xf numFmtId="4" fontId="5" fillId="25" borderId="0" xfId="0" applyNumberFormat="1" applyFont="1" applyFill="1" applyAlignment="1" applyProtection="1">
      <alignment vertical="center" wrapText="1"/>
      <protection hidden="1"/>
    </xf>
    <xf numFmtId="0" fontId="0" fillId="25" borderId="0" xfId="0" applyFill="1" applyAlignment="1" applyProtection="1">
      <alignment vertical="center" wrapText="1"/>
      <protection hidden="1"/>
    </xf>
    <xf numFmtId="3" fontId="6" fillId="25" borderId="0" xfId="0" applyNumberFormat="1" applyFont="1" applyFill="1" applyProtection="1">
      <protection hidden="1"/>
    </xf>
    <xf numFmtId="3" fontId="5" fillId="25" borderId="5" xfId="0" applyNumberFormat="1" applyFont="1" applyFill="1" applyBorder="1" applyProtection="1">
      <protection hidden="1"/>
    </xf>
    <xf numFmtId="0" fontId="3" fillId="25" borderId="8" xfId="0" applyFont="1" applyFill="1" applyBorder="1" applyAlignment="1">
      <alignment horizontal="left" vertical="top"/>
    </xf>
    <xf numFmtId="0" fontId="3" fillId="25" borderId="20" xfId="0" applyFont="1" applyFill="1" applyBorder="1" applyAlignment="1">
      <alignment horizontal="left" vertical="top"/>
    </xf>
    <xf numFmtId="0" fontId="3" fillId="25" borderId="0" xfId="0" applyFont="1" applyFill="1" applyAlignment="1">
      <alignment horizontal="left" vertical="top"/>
    </xf>
    <xf numFmtId="0" fontId="3" fillId="25" borderId="21" xfId="0" applyFont="1" applyFill="1" applyBorder="1" applyAlignment="1">
      <alignment horizontal="left" vertical="top"/>
    </xf>
    <xf numFmtId="0" fontId="2" fillId="25" borderId="5" xfId="0" applyFont="1" applyFill="1" applyBorder="1" applyAlignment="1" applyProtection="1">
      <alignment horizontal="left"/>
      <protection hidden="1"/>
    </xf>
    <xf numFmtId="0" fontId="3" fillId="25" borderId="23" xfId="0" applyFont="1" applyFill="1" applyBorder="1" applyAlignment="1">
      <alignment horizontal="left" vertical="top"/>
    </xf>
    <xf numFmtId="0" fontId="1" fillId="25" borderId="24" xfId="0" applyFont="1" applyFill="1" applyBorder="1" applyAlignment="1" applyProtection="1">
      <alignment horizontal="left" vertical="center"/>
      <protection hidden="1"/>
    </xf>
    <xf numFmtId="0" fontId="0" fillId="25" borderId="8" xfId="0" applyFill="1" applyBorder="1" applyAlignment="1">
      <alignment horizontal="left" vertical="center"/>
    </xf>
    <xf numFmtId="0" fontId="0" fillId="25" borderId="0" xfId="0" applyFill="1" applyAlignment="1">
      <alignment horizontal="left" vertical="center"/>
    </xf>
    <xf numFmtId="0" fontId="0" fillId="25" borderId="22" xfId="0" applyFill="1" applyBorder="1" applyAlignment="1">
      <alignment horizontal="left" vertical="center"/>
    </xf>
    <xf numFmtId="0" fontId="0" fillId="25" borderId="5" xfId="0" applyFill="1" applyBorder="1" applyAlignment="1">
      <alignment horizontal="left" vertical="center"/>
    </xf>
    <xf numFmtId="0" fontId="0" fillId="25" borderId="28" xfId="0" applyFill="1" applyBorder="1"/>
    <xf numFmtId="0" fontId="3" fillId="25" borderId="28" xfId="0" applyFont="1" applyFill="1" applyBorder="1"/>
    <xf numFmtId="0" fontId="8" fillId="25" borderId="85" xfId="0" applyFont="1" applyFill="1" applyBorder="1" applyAlignment="1">
      <alignment horizontal="right"/>
    </xf>
    <xf numFmtId="0" fontId="8" fillId="25" borderId="9" xfId="0" applyFont="1" applyFill="1" applyBorder="1"/>
    <xf numFmtId="0" fontId="8" fillId="25" borderId="6" xfId="0" applyFont="1" applyFill="1" applyBorder="1" applyAlignment="1">
      <alignment horizontal="right"/>
    </xf>
    <xf numFmtId="0" fontId="8" fillId="25" borderId="0" xfId="0" applyFont="1" applyFill="1" applyAlignment="1">
      <alignment horizontal="left" indent="1"/>
    </xf>
    <xf numFmtId="0" fontId="8" fillId="25" borderId="0" xfId="0" applyFont="1" applyFill="1"/>
    <xf numFmtId="0" fontId="8" fillId="25" borderId="0" xfId="0" applyFont="1" applyFill="1" applyAlignment="1">
      <alignment horizontal="right"/>
    </xf>
    <xf numFmtId="0" fontId="11" fillId="25" borderId="0" xfId="0" applyFont="1" applyFill="1" applyAlignment="1">
      <alignment horizontal="left" indent="1"/>
    </xf>
    <xf numFmtId="0" fontId="8" fillId="25" borderId="22" xfId="0" applyFont="1" applyFill="1" applyBorder="1" applyAlignment="1">
      <alignment horizontal="right"/>
    </xf>
    <xf numFmtId="0" fontId="8" fillId="25" borderId="5" xfId="0" applyFont="1" applyFill="1" applyBorder="1" applyAlignment="1">
      <alignment horizontal="left" indent="1"/>
    </xf>
    <xf numFmtId="0" fontId="8" fillId="25" borderId="5" xfId="0" applyFont="1" applyFill="1" applyBorder="1"/>
    <xf numFmtId="0" fontId="2" fillId="25" borderId="5" xfId="0" applyFont="1" applyFill="1" applyBorder="1" applyAlignment="1" applyProtection="1">
      <alignment horizontal="right"/>
      <protection hidden="1"/>
    </xf>
    <xf numFmtId="0" fontId="0" fillId="25" borderId="115" xfId="0" applyFill="1" applyBorder="1"/>
    <xf numFmtId="0" fontId="8" fillId="25" borderId="93" xfId="0" applyFont="1" applyFill="1" applyBorder="1"/>
    <xf numFmtId="0" fontId="8" fillId="25" borderId="21" xfId="0" applyFont="1" applyFill="1" applyBorder="1"/>
    <xf numFmtId="3" fontId="140" fillId="25" borderId="0" xfId="0" applyNumberFormat="1" applyFont="1" applyFill="1"/>
    <xf numFmtId="4" fontId="140" fillId="25" borderId="0" xfId="0" applyNumberFormat="1" applyFont="1" applyFill="1"/>
    <xf numFmtId="0" fontId="8" fillId="25" borderId="23" xfId="0" applyFont="1" applyFill="1" applyBorder="1"/>
    <xf numFmtId="0" fontId="169" fillId="25" borderId="0" xfId="0" applyFont="1" applyFill="1"/>
    <xf numFmtId="0" fontId="8" fillId="25" borderId="0" xfId="0" applyFont="1" applyFill="1" applyAlignment="1">
      <alignment horizontal="left"/>
    </xf>
    <xf numFmtId="0" fontId="155" fillId="25" borderId="28" xfId="0" applyFont="1" applyFill="1" applyBorder="1"/>
    <xf numFmtId="168" fontId="6" fillId="28" borderId="1" xfId="0" applyNumberFormat="1" applyFont="1" applyFill="1" applyBorder="1" applyAlignment="1" applyProtection="1">
      <alignment horizontal="center"/>
      <protection hidden="1"/>
    </xf>
    <xf numFmtId="0" fontId="5" fillId="25" borderId="0" xfId="0" applyFont="1" applyFill="1" applyAlignment="1" applyProtection="1">
      <alignment horizontal="right" wrapText="1"/>
      <protection hidden="1"/>
    </xf>
    <xf numFmtId="0" fontId="3" fillId="25" borderId="0" xfId="0" applyFont="1" applyFill="1" applyAlignment="1" applyProtection="1">
      <alignment horizontal="right"/>
      <protection hidden="1"/>
    </xf>
    <xf numFmtId="0" fontId="205" fillId="25" borderId="83" xfId="0" applyFont="1" applyFill="1" applyBorder="1" applyAlignment="1" applyProtection="1">
      <alignment horizontal="right"/>
      <protection hidden="1"/>
    </xf>
    <xf numFmtId="0" fontId="205" fillId="25" borderId="23" xfId="0" applyFont="1" applyFill="1" applyBorder="1" applyAlignment="1" applyProtection="1">
      <alignment horizontal="right"/>
      <protection hidden="1"/>
    </xf>
    <xf numFmtId="4" fontId="138" fillId="2" borderId="0" xfId="4" applyNumberFormat="1" applyFont="1" applyFill="1" applyProtection="1">
      <protection hidden="1"/>
    </xf>
    <xf numFmtId="0" fontId="207" fillId="25" borderId="6" xfId="0" applyFont="1" applyFill="1" applyBorder="1" applyAlignment="1" applyProtection="1">
      <alignment horizontal="right"/>
      <protection hidden="1"/>
    </xf>
    <xf numFmtId="0" fontId="10" fillId="16" borderId="24" xfId="0" applyFont="1" applyFill="1" applyBorder="1" applyProtection="1">
      <protection hidden="1"/>
    </xf>
    <xf numFmtId="0" fontId="10" fillId="16" borderId="6" xfId="0" applyFont="1" applyFill="1" applyBorder="1" applyProtection="1">
      <protection hidden="1"/>
    </xf>
    <xf numFmtId="37" fontId="0" fillId="28" borderId="1" xfId="0" applyNumberFormat="1" applyFill="1" applyBorder="1" applyProtection="1">
      <protection hidden="1"/>
    </xf>
    <xf numFmtId="0" fontId="23" fillId="0" borderId="0" xfId="0" applyFont="1" applyProtection="1">
      <protection hidden="1"/>
    </xf>
    <xf numFmtId="0" fontId="189" fillId="0" borderId="0" xfId="0" applyFont="1" applyProtection="1">
      <protection hidden="1"/>
    </xf>
    <xf numFmtId="1" fontId="34" fillId="0" borderId="2" xfId="0" applyNumberFormat="1" applyFont="1" applyBorder="1" applyProtection="1">
      <protection locked="0"/>
    </xf>
    <xf numFmtId="0" fontId="64" fillId="0" borderId="0" xfId="0" applyFont="1" applyProtection="1">
      <protection hidden="1"/>
    </xf>
    <xf numFmtId="0" fontId="3" fillId="16" borderId="0" xfId="0" quotePrefix="1" applyFont="1" applyFill="1" applyAlignment="1" applyProtection="1">
      <alignment horizontal="right"/>
      <protection hidden="1"/>
    </xf>
    <xf numFmtId="0" fontId="3" fillId="16" borderId="6" xfId="0" quotePrefix="1" applyFont="1" applyFill="1" applyBorder="1" applyAlignment="1" applyProtection="1">
      <alignment horizontal="right"/>
      <protection hidden="1"/>
    </xf>
    <xf numFmtId="0" fontId="2" fillId="16" borderId="0" xfId="0" applyFont="1" applyFill="1" applyProtection="1">
      <protection hidden="1"/>
    </xf>
    <xf numFmtId="0" fontId="1" fillId="28" borderId="13" xfId="0" applyFont="1" applyFill="1" applyBorder="1" applyAlignment="1" applyProtection="1">
      <alignment horizontal="center"/>
      <protection hidden="1"/>
    </xf>
    <xf numFmtId="0" fontId="1" fillId="26" borderId="13" xfId="0" applyFont="1" applyFill="1" applyBorder="1" applyAlignment="1" applyProtection="1">
      <alignment horizontal="center"/>
      <protection hidden="1"/>
    </xf>
    <xf numFmtId="0" fontId="1" fillId="26" borderId="13" xfId="0" applyFont="1" applyFill="1" applyBorder="1" applyAlignment="1" applyProtection="1">
      <alignment horizontal="center"/>
      <protection locked="0" hidden="1"/>
    </xf>
    <xf numFmtId="0" fontId="150" fillId="25" borderId="24" xfId="0" applyFont="1" applyFill="1" applyBorder="1" applyProtection="1">
      <protection hidden="1"/>
    </xf>
    <xf numFmtId="37" fontId="0" fillId="16" borderId="1" xfId="0" applyNumberFormat="1" applyFill="1" applyBorder="1" applyAlignment="1" applyProtection="1">
      <alignment horizontal="right"/>
      <protection hidden="1"/>
    </xf>
    <xf numFmtId="0" fontId="42" fillId="16" borderId="0" xfId="0" applyFont="1" applyFill="1" applyAlignment="1" applyProtection="1">
      <alignment horizontal="left"/>
      <protection hidden="1"/>
    </xf>
    <xf numFmtId="0" fontId="3" fillId="16" borderId="0" xfId="0" applyFont="1" applyFill="1" applyAlignment="1" applyProtection="1">
      <alignment horizontal="center"/>
      <protection hidden="1"/>
    </xf>
    <xf numFmtId="0" fontId="12" fillId="16" borderId="0" xfId="0" applyFont="1" applyFill="1" applyProtection="1">
      <protection hidden="1"/>
    </xf>
    <xf numFmtId="0" fontId="17" fillId="16" borderId="0" xfId="0" applyFont="1" applyFill="1" applyAlignment="1" applyProtection="1">
      <alignment horizontal="right" wrapText="1"/>
      <protection hidden="1"/>
    </xf>
    <xf numFmtId="0" fontId="8" fillId="16" borderId="24" xfId="0" applyFont="1" applyFill="1" applyBorder="1" applyAlignment="1" applyProtection="1">
      <alignment horizontal="left"/>
      <protection hidden="1"/>
    </xf>
    <xf numFmtId="0" fontId="42" fillId="16" borderId="6" xfId="0" applyFont="1" applyFill="1" applyBorder="1" applyAlignment="1" applyProtection="1">
      <alignment horizontal="left"/>
      <protection hidden="1"/>
    </xf>
    <xf numFmtId="0" fontId="42" fillId="16" borderId="21" xfId="0" applyFont="1" applyFill="1" applyBorder="1" applyAlignment="1" applyProtection="1">
      <alignment horizontal="left"/>
      <protection hidden="1"/>
    </xf>
    <xf numFmtId="0" fontId="12" fillId="16" borderId="6" xfId="0" applyFont="1" applyFill="1" applyBorder="1" applyProtection="1">
      <protection hidden="1"/>
    </xf>
    <xf numFmtId="0" fontId="12" fillId="16" borderId="21" xfId="0" applyFont="1" applyFill="1" applyBorder="1" applyProtection="1">
      <protection hidden="1"/>
    </xf>
    <xf numFmtId="0" fontId="10" fillId="17" borderId="2" xfId="0" applyFont="1" applyFill="1" applyBorder="1" applyAlignment="1" applyProtection="1">
      <alignment horizontal="center"/>
      <protection locked="0"/>
    </xf>
    <xf numFmtId="0" fontId="3" fillId="16" borderId="0" xfId="0" applyFont="1" applyFill="1" applyAlignment="1" applyProtection="1">
      <alignment horizontal="right"/>
      <protection hidden="1"/>
    </xf>
    <xf numFmtId="0" fontId="3" fillId="16" borderId="6" xfId="4" applyFill="1" applyBorder="1" applyProtection="1">
      <protection hidden="1"/>
    </xf>
    <xf numFmtId="0" fontId="3" fillId="16" borderId="0" xfId="4" applyFill="1" applyProtection="1">
      <protection hidden="1"/>
    </xf>
    <xf numFmtId="0" fontId="3" fillId="16" borderId="0" xfId="4" applyFill="1" applyAlignment="1" applyProtection="1">
      <alignment horizontal="center"/>
      <protection hidden="1"/>
    </xf>
    <xf numFmtId="0" fontId="3" fillId="16" borderId="21" xfId="4" applyFill="1" applyBorder="1" applyAlignment="1" applyProtection="1">
      <alignment horizontal="center"/>
      <protection hidden="1"/>
    </xf>
    <xf numFmtId="4" fontId="34" fillId="16" borderId="0" xfId="0" applyNumberFormat="1" applyFont="1" applyFill="1" applyProtection="1">
      <protection hidden="1"/>
    </xf>
    <xf numFmtId="0" fontId="3" fillId="16" borderId="0" xfId="4" applyFill="1" applyAlignment="1" applyProtection="1">
      <alignment horizontal="right"/>
      <protection hidden="1"/>
    </xf>
    <xf numFmtId="0" fontId="3" fillId="16" borderId="6" xfId="4" applyFill="1" applyBorder="1" applyAlignment="1" applyProtection="1">
      <alignment horizontal="center"/>
      <protection hidden="1"/>
    </xf>
    <xf numFmtId="0" fontId="3" fillId="16" borderId="0" xfId="4" quotePrefix="1" applyFill="1" applyAlignment="1" applyProtection="1">
      <alignment horizontal="right"/>
      <protection hidden="1"/>
    </xf>
    <xf numFmtId="0" fontId="3" fillId="16" borderId="2" xfId="4" applyFill="1" applyBorder="1" applyProtection="1">
      <protection hidden="1"/>
    </xf>
    <xf numFmtId="186" fontId="3" fillId="16" borderId="0" xfId="4" applyNumberFormat="1" applyFill="1" applyAlignment="1" applyProtection="1">
      <alignment horizontal="center"/>
      <protection hidden="1"/>
    </xf>
    <xf numFmtId="0" fontId="4" fillId="16" borderId="0" xfId="0" applyFont="1" applyFill="1" applyAlignment="1" applyProtection="1">
      <alignment horizontal="center"/>
      <protection hidden="1"/>
    </xf>
    <xf numFmtId="0" fontId="3" fillId="16" borderId="1" xfId="4" applyFill="1" applyBorder="1" applyAlignment="1" applyProtection="1">
      <alignment horizontal="center"/>
      <protection hidden="1"/>
    </xf>
    <xf numFmtId="0" fontId="3" fillId="16" borderId="30" xfId="4" applyFill="1" applyBorder="1" applyAlignment="1" applyProtection="1">
      <alignment horizontal="center"/>
      <protection hidden="1"/>
    </xf>
    <xf numFmtId="37" fontId="0" fillId="16" borderId="0" xfId="0" applyNumberFormat="1" applyFill="1" applyProtection="1">
      <protection hidden="1"/>
    </xf>
    <xf numFmtId="0" fontId="3" fillId="16" borderId="22" xfId="4" applyFill="1" applyBorder="1"/>
    <xf numFmtId="0" fontId="3" fillId="16" borderId="5" xfId="4" applyFill="1" applyBorder="1"/>
    <xf numFmtId="0" fontId="3" fillId="16" borderId="5" xfId="4" applyFill="1" applyBorder="1" applyAlignment="1">
      <alignment horizontal="center"/>
    </xf>
    <xf numFmtId="0" fontId="3" fillId="16" borderId="5" xfId="4" applyFill="1" applyBorder="1" applyAlignment="1" applyProtection="1">
      <alignment horizontal="center"/>
      <protection hidden="1"/>
    </xf>
    <xf numFmtId="0" fontId="3" fillId="16" borderId="23" xfId="4" applyFill="1" applyBorder="1" applyAlignment="1" applyProtection="1">
      <alignment horizontal="center"/>
      <protection hidden="1"/>
    </xf>
    <xf numFmtId="0" fontId="19" fillId="16" borderId="0" xfId="0" applyFont="1" applyFill="1" applyAlignment="1" applyProtection="1">
      <alignment horizontal="center"/>
      <protection hidden="1"/>
    </xf>
    <xf numFmtId="0" fontId="8" fillId="16" borderId="0" xfId="0" applyFont="1" applyFill="1" applyAlignment="1" applyProtection="1">
      <alignment horizontal="center"/>
      <protection hidden="1"/>
    </xf>
    <xf numFmtId="0" fontId="19" fillId="16" borderId="0" xfId="0" applyFont="1" applyFill="1" applyAlignment="1" applyProtection="1">
      <alignment horizontal="right"/>
      <protection hidden="1"/>
    </xf>
    <xf numFmtId="0" fontId="19" fillId="16" borderId="21" xfId="0" applyFont="1" applyFill="1" applyBorder="1" applyAlignment="1" applyProtection="1">
      <alignment horizontal="right"/>
      <protection hidden="1"/>
    </xf>
    <xf numFmtId="0" fontId="150" fillId="16" borderId="8" xfId="0" applyFont="1" applyFill="1" applyBorder="1" applyAlignment="1" applyProtection="1">
      <alignment vertical="center"/>
      <protection hidden="1"/>
    </xf>
    <xf numFmtId="0" fontId="1" fillId="17" borderId="1" xfId="0" applyFont="1" applyFill="1" applyBorder="1" applyAlignment="1" applyProtection="1">
      <alignment horizontal="center"/>
      <protection locked="0"/>
    </xf>
    <xf numFmtId="0" fontId="2" fillId="2" borderId="0" xfId="4" quotePrefix="1" applyFont="1" applyFill="1" applyProtection="1">
      <protection hidden="1"/>
    </xf>
    <xf numFmtId="0" fontId="99" fillId="22" borderId="0" xfId="2" applyFont="1" applyFill="1" applyAlignment="1" applyProtection="1">
      <alignment horizontal="center"/>
    </xf>
    <xf numFmtId="0" fontId="1" fillId="22" borderId="0" xfId="0" applyFont="1" applyFill="1"/>
    <xf numFmtId="4" fontId="5" fillId="22" borderId="0" xfId="0" applyNumberFormat="1" applyFont="1" applyFill="1"/>
    <xf numFmtId="0" fontId="1" fillId="22" borderId="0" xfId="0" applyFont="1" applyFill="1" applyAlignment="1">
      <alignment horizontal="center"/>
    </xf>
    <xf numFmtId="0" fontId="23" fillId="2" borderId="24" xfId="0" applyFont="1" applyFill="1" applyBorder="1" applyAlignment="1" applyProtection="1">
      <alignment horizontal="center"/>
      <protection hidden="1"/>
    </xf>
    <xf numFmtId="0" fontId="64" fillId="2" borderId="8" xfId="0" applyFont="1" applyFill="1" applyBorder="1" applyProtection="1">
      <protection hidden="1"/>
    </xf>
    <xf numFmtId="0" fontId="23" fillId="2" borderId="22" xfId="0" applyFont="1" applyFill="1" applyBorder="1" applyAlignment="1" applyProtection="1">
      <alignment horizontal="center"/>
      <protection hidden="1"/>
    </xf>
    <xf numFmtId="0" fontId="6" fillId="2" borderId="5" xfId="0" applyFont="1" applyFill="1" applyBorder="1" applyAlignment="1" applyProtection="1">
      <alignment horizontal="center" vertical="center"/>
      <protection locked="0"/>
    </xf>
    <xf numFmtId="0" fontId="0" fillId="2" borderId="27" xfId="0" applyFill="1" applyBorder="1" applyAlignment="1" applyProtection="1">
      <alignment horizontal="center"/>
      <protection hidden="1"/>
    </xf>
    <xf numFmtId="0" fontId="23" fillId="2" borderId="85" xfId="0" applyFont="1" applyFill="1" applyBorder="1" applyAlignment="1" applyProtection="1">
      <alignment horizontal="center"/>
      <protection hidden="1"/>
    </xf>
    <xf numFmtId="0" fontId="64" fillId="2" borderId="9" xfId="0" applyFont="1" applyFill="1" applyBorder="1" applyProtection="1">
      <protection hidden="1"/>
    </xf>
    <xf numFmtId="0" fontId="0" fillId="2" borderId="93" xfId="0" applyFill="1" applyBorder="1" applyProtection="1">
      <protection hidden="1"/>
    </xf>
    <xf numFmtId="183" fontId="48" fillId="2" borderId="0" xfId="0" applyNumberFormat="1" applyFont="1" applyFill="1" applyProtection="1">
      <protection hidden="1"/>
    </xf>
    <xf numFmtId="15" fontId="138" fillId="2" borderId="0" xfId="0" applyNumberFormat="1" applyFont="1" applyFill="1" applyProtection="1">
      <protection hidden="1"/>
    </xf>
    <xf numFmtId="0" fontId="6" fillId="2" borderId="21" xfId="0" applyFont="1" applyFill="1" applyBorder="1" applyProtection="1">
      <protection hidden="1"/>
    </xf>
    <xf numFmtId="0" fontId="107" fillId="2" borderId="6" xfId="0" applyFont="1" applyFill="1" applyBorder="1" applyProtection="1">
      <protection hidden="1"/>
    </xf>
    <xf numFmtId="40" fontId="78" fillId="2" borderId="21" xfId="0" applyNumberFormat="1" applyFont="1" applyFill="1" applyBorder="1" applyAlignment="1" applyProtection="1">
      <alignment horizontal="right" vertical="center"/>
      <protection hidden="1"/>
    </xf>
    <xf numFmtId="0" fontId="0" fillId="22" borderId="0" xfId="0" applyFill="1" applyAlignment="1" applyProtection="1">
      <alignment horizontal="center"/>
      <protection hidden="1"/>
    </xf>
    <xf numFmtId="0" fontId="0" fillId="22" borderId="21" xfId="0" applyFill="1" applyBorder="1" applyAlignment="1" applyProtection="1">
      <alignment horizontal="center"/>
      <protection hidden="1"/>
    </xf>
    <xf numFmtId="0" fontId="8" fillId="5" borderId="8" xfId="0" applyFont="1" applyFill="1" applyBorder="1" applyAlignment="1" applyProtection="1">
      <alignment horizontal="left"/>
      <protection hidden="1"/>
    </xf>
    <xf numFmtId="40" fontId="31" fillId="2" borderId="0" xfId="0" applyNumberFormat="1" applyFont="1" applyFill="1" applyAlignment="1" applyProtection="1">
      <alignment horizontal="right"/>
      <protection hidden="1"/>
    </xf>
    <xf numFmtId="164" fontId="1" fillId="2" borderId="8" xfId="0" applyNumberFormat="1" applyFont="1" applyFill="1" applyBorder="1" applyAlignment="1" applyProtection="1">
      <alignment horizontal="center" vertical="center"/>
      <protection locked="0"/>
    </xf>
    <xf numFmtId="164" fontId="1" fillId="2" borderId="0" xfId="0" applyNumberFormat="1" applyFont="1" applyFill="1" applyAlignment="1" applyProtection="1">
      <alignment horizontal="center" vertical="center"/>
      <protection locked="0"/>
    </xf>
    <xf numFmtId="0" fontId="39" fillId="2" borderId="0" xfId="0" applyFont="1" applyFill="1" applyAlignment="1" applyProtection="1">
      <alignment horizontal="right"/>
      <protection hidden="1"/>
    </xf>
    <xf numFmtId="183" fontId="138" fillId="2" borderId="0" xfId="0" applyNumberFormat="1" applyFont="1" applyFill="1" applyAlignment="1" applyProtection="1">
      <alignment horizontal="center"/>
      <protection hidden="1"/>
    </xf>
    <xf numFmtId="14" fontId="138" fillId="2" borderId="0" xfId="0" applyNumberFormat="1" applyFont="1" applyFill="1" applyAlignment="1" applyProtection="1">
      <alignment horizontal="center"/>
      <protection hidden="1"/>
    </xf>
    <xf numFmtId="0" fontId="138" fillId="2" borderId="0" xfId="0" applyFont="1" applyFill="1" applyAlignment="1" applyProtection="1">
      <alignment horizontal="center"/>
      <protection hidden="1"/>
    </xf>
    <xf numFmtId="183" fontId="5" fillId="2" borderId="0" xfId="0" applyNumberFormat="1" applyFont="1" applyFill="1" applyProtection="1">
      <protection locked="0"/>
    </xf>
    <xf numFmtId="0" fontId="0" fillId="2" borderId="130" xfId="0" applyFill="1" applyBorder="1" applyAlignment="1" applyProtection="1">
      <alignment horizontal="center" vertical="center"/>
      <protection hidden="1"/>
    </xf>
    <xf numFmtId="0" fontId="150" fillId="2" borderId="0" xfId="0" applyFont="1" applyFill="1" applyAlignment="1" applyProtection="1">
      <alignment horizontal="center"/>
      <protection hidden="1"/>
    </xf>
    <xf numFmtId="0" fontId="24" fillId="16" borderId="0" xfId="0" applyFont="1" applyFill="1" applyAlignment="1" applyProtection="1">
      <alignment horizontal="left"/>
      <protection hidden="1"/>
    </xf>
    <xf numFmtId="0" fontId="155" fillId="25" borderId="5" xfId="0" applyFont="1" applyFill="1" applyBorder="1" applyProtection="1">
      <protection hidden="1"/>
    </xf>
    <xf numFmtId="0" fontId="1" fillId="25" borderId="6" xfId="0" quotePrefix="1" applyFont="1" applyFill="1" applyBorder="1" applyAlignment="1" applyProtection="1">
      <alignment horizontal="right"/>
      <protection hidden="1"/>
    </xf>
    <xf numFmtId="0" fontId="137" fillId="16" borderId="8" xfId="0" applyFont="1" applyFill="1" applyBorder="1" applyProtection="1">
      <protection locked="0"/>
    </xf>
    <xf numFmtId="4" fontId="5" fillId="21" borderId="1" xfId="0" applyNumberFormat="1" applyFont="1" applyFill="1" applyBorder="1" applyProtection="1">
      <protection locked="0"/>
    </xf>
    <xf numFmtId="37" fontId="209" fillId="3" borderId="3" xfId="0" applyNumberFormat="1" applyFont="1" applyFill="1" applyBorder="1" applyAlignment="1" applyProtection="1">
      <alignment horizontal="center"/>
      <protection hidden="1"/>
    </xf>
    <xf numFmtId="0" fontId="181" fillId="5" borderId="0" xfId="0" applyFont="1" applyFill="1" applyProtection="1">
      <protection hidden="1"/>
    </xf>
    <xf numFmtId="39" fontId="1" fillId="3" borderId="0" xfId="0" applyNumberFormat="1" applyFont="1" applyFill="1" applyAlignment="1" applyProtection="1">
      <alignment horizontal="center" vertical="center"/>
      <protection locked="0"/>
    </xf>
    <xf numFmtId="0" fontId="181" fillId="2" borderId="0" xfId="0" applyFont="1" applyFill="1" applyProtection="1">
      <protection hidden="1"/>
    </xf>
    <xf numFmtId="0" fontId="31" fillId="16" borderId="8" xfId="0" applyFont="1" applyFill="1" applyBorder="1"/>
    <xf numFmtId="0" fontId="31" fillId="16" borderId="20" xfId="0" applyFont="1" applyFill="1" applyBorder="1"/>
    <xf numFmtId="0" fontId="31" fillId="16" borderId="21" xfId="0" applyFont="1" applyFill="1" applyBorder="1"/>
    <xf numFmtId="0" fontId="3" fillId="16" borderId="5" xfId="0" applyFont="1" applyFill="1" applyBorder="1"/>
    <xf numFmtId="0" fontId="3" fillId="16" borderId="23" xfId="0" applyFont="1" applyFill="1" applyBorder="1"/>
    <xf numFmtId="0" fontId="64" fillId="2" borderId="0" xfId="0" applyFont="1" applyFill="1" applyAlignment="1" applyProtection="1">
      <alignment horizontal="left"/>
      <protection hidden="1"/>
    </xf>
    <xf numFmtId="0" fontId="17" fillId="19" borderId="0" xfId="0" applyFont="1" applyFill="1" applyAlignment="1" applyProtection="1">
      <alignment vertical="top"/>
      <protection hidden="1"/>
    </xf>
    <xf numFmtId="4" fontId="3" fillId="33" borderId="67" xfId="0" applyNumberFormat="1" applyFont="1" applyFill="1" applyBorder="1" applyProtection="1">
      <protection locked="0"/>
    </xf>
    <xf numFmtId="0" fontId="16" fillId="16" borderId="2" xfId="0" applyFont="1" applyFill="1" applyBorder="1" applyAlignment="1" applyProtection="1">
      <alignment horizontal="center"/>
      <protection locked="0"/>
    </xf>
    <xf numFmtId="0" fontId="0" fillId="0" borderId="0" xfId="0" applyAlignment="1">
      <alignment horizontal="left"/>
    </xf>
    <xf numFmtId="0" fontId="134" fillId="2" borderId="0" xfId="0" applyFont="1" applyFill="1" applyAlignment="1" applyProtection="1">
      <alignment horizontal="center"/>
      <protection hidden="1"/>
    </xf>
    <xf numFmtId="0" fontId="134" fillId="0" borderId="0" xfId="0" applyFont="1" applyAlignment="1">
      <alignment horizontal="center"/>
    </xf>
    <xf numFmtId="0" fontId="64" fillId="2" borderId="3" xfId="0" applyFont="1" applyFill="1" applyBorder="1" applyAlignment="1" applyProtection="1">
      <alignment horizontal="center"/>
      <protection hidden="1"/>
    </xf>
    <xf numFmtId="0" fontId="0" fillId="0" borderId="0" xfId="0" applyAlignment="1">
      <alignment horizontal="center" vertical="center"/>
    </xf>
    <xf numFmtId="0" fontId="8" fillId="2" borderId="0" xfId="0" applyFont="1" applyFill="1" applyAlignment="1" applyProtection="1">
      <alignment horizontal="center" vertical="center"/>
      <protection hidden="1"/>
    </xf>
    <xf numFmtId="0" fontId="144" fillId="32" borderId="28" xfId="0" applyFont="1" applyFill="1" applyBorder="1" applyAlignment="1" applyProtection="1">
      <alignment vertical="center"/>
      <protection hidden="1"/>
    </xf>
    <xf numFmtId="0" fontId="0" fillId="2" borderId="28" xfId="0" applyFill="1" applyBorder="1" applyAlignment="1" applyProtection="1">
      <alignment vertical="center"/>
      <protection hidden="1"/>
    </xf>
    <xf numFmtId="0" fontId="1" fillId="2" borderId="10" xfId="0" quotePrefix="1" applyFont="1" applyFill="1" applyBorder="1" applyAlignment="1" applyProtection="1">
      <alignment horizontal="center" vertical="center"/>
      <protection hidden="1"/>
    </xf>
    <xf numFmtId="0" fontId="1" fillId="2" borderId="11" xfId="0" applyFont="1" applyFill="1" applyBorder="1" applyAlignment="1" applyProtection="1">
      <alignment horizontal="center"/>
      <protection hidden="1"/>
    </xf>
    <xf numFmtId="4" fontId="112" fillId="2" borderId="0" xfId="0" applyNumberFormat="1" applyFont="1" applyFill="1" applyAlignment="1" applyProtection="1">
      <alignment horizontal="right"/>
      <protection hidden="1"/>
    </xf>
    <xf numFmtId="0" fontId="3" fillId="2" borderId="28" xfId="0" applyFont="1" applyFill="1" applyBorder="1" applyAlignment="1" applyProtection="1">
      <alignment horizontal="left" vertical="center" indent="1"/>
      <protection hidden="1"/>
    </xf>
    <xf numFmtId="0" fontId="210" fillId="32" borderId="28" xfId="0" applyFont="1" applyFill="1" applyBorder="1" applyAlignment="1" applyProtection="1">
      <alignment horizontal="left" vertical="center"/>
      <protection hidden="1"/>
    </xf>
    <xf numFmtId="0" fontId="3" fillId="2" borderId="0" xfId="0" applyFont="1" applyFill="1" applyAlignment="1" applyProtection="1">
      <alignment horizontal="left" vertical="center" indent="1"/>
      <protection hidden="1"/>
    </xf>
    <xf numFmtId="0" fontId="3" fillId="2" borderId="0" xfId="0" quotePrefix="1" applyFont="1" applyFill="1" applyAlignment="1" applyProtection="1">
      <alignment horizontal="left" vertical="center" indent="1"/>
      <protection hidden="1"/>
    </xf>
    <xf numFmtId="0" fontId="0" fillId="2" borderId="131" xfId="0" applyFill="1" applyBorder="1" applyProtection="1">
      <protection hidden="1"/>
    </xf>
    <xf numFmtId="0" fontId="4" fillId="2" borderId="131" xfId="0" applyFont="1" applyFill="1" applyBorder="1" applyAlignment="1" applyProtection="1">
      <alignment horizontal="center"/>
      <protection hidden="1"/>
    </xf>
    <xf numFmtId="0" fontId="8" fillId="2" borderId="131" xfId="0" applyFont="1" applyFill="1" applyBorder="1" applyAlignment="1" applyProtection="1">
      <alignment horizontal="left"/>
      <protection hidden="1"/>
    </xf>
    <xf numFmtId="0" fontId="8" fillId="2" borderId="131" xfId="0" applyFont="1" applyFill="1" applyBorder="1" applyAlignment="1" applyProtection="1">
      <alignment horizontal="center"/>
      <protection hidden="1"/>
    </xf>
    <xf numFmtId="0" fontId="8" fillId="2" borderId="131" xfId="0" applyFont="1" applyFill="1" applyBorder="1" applyAlignment="1" applyProtection="1">
      <alignment horizontal="right"/>
      <protection hidden="1"/>
    </xf>
    <xf numFmtId="0" fontId="1" fillId="28" borderId="13" xfId="0" applyFont="1" applyFill="1" applyBorder="1" applyAlignment="1" applyProtection="1">
      <alignment horizontal="center" vertical="center"/>
      <protection hidden="1"/>
    </xf>
    <xf numFmtId="0" fontId="6" fillId="2" borderId="131" xfId="0" applyFont="1" applyFill="1" applyBorder="1" applyAlignment="1" applyProtection="1">
      <alignment horizontal="left"/>
      <protection hidden="1"/>
    </xf>
    <xf numFmtId="0" fontId="5" fillId="2" borderId="5" xfId="0" applyFont="1" applyFill="1" applyBorder="1" applyAlignment="1" applyProtection="1">
      <alignment horizontal="right"/>
      <protection hidden="1"/>
    </xf>
    <xf numFmtId="0" fontId="210" fillId="32" borderId="8" xfId="0" applyFont="1" applyFill="1" applyBorder="1" applyAlignment="1" applyProtection="1">
      <alignment horizontal="left" vertical="center"/>
      <protection hidden="1"/>
    </xf>
    <xf numFmtId="0" fontId="144" fillId="32" borderId="8" xfId="0" applyFont="1" applyFill="1" applyBorder="1" applyAlignment="1" applyProtection="1">
      <alignment vertical="center"/>
      <protection hidden="1"/>
    </xf>
    <xf numFmtId="0" fontId="0" fillId="2" borderId="8" xfId="0" applyFill="1" applyBorder="1" applyAlignment="1" applyProtection="1">
      <alignment vertical="center"/>
      <protection hidden="1"/>
    </xf>
    <xf numFmtId="0" fontId="5" fillId="2" borderId="8" xfId="0" applyFont="1" applyFill="1" applyBorder="1" applyAlignment="1" applyProtection="1">
      <alignment wrapText="1"/>
      <protection hidden="1"/>
    </xf>
    <xf numFmtId="0" fontId="5" fillId="2" borderId="0" xfId="0" applyFont="1" applyFill="1" applyAlignment="1" applyProtection="1">
      <alignment wrapText="1"/>
      <protection hidden="1"/>
    </xf>
    <xf numFmtId="0" fontId="40" fillId="2" borderId="0" xfId="0" applyFont="1" applyFill="1" applyAlignment="1" applyProtection="1">
      <alignment horizontal="right" vertical="center"/>
      <protection hidden="1"/>
    </xf>
    <xf numFmtId="0" fontId="5" fillId="2" borderId="1" xfId="0" applyFont="1" applyFill="1" applyBorder="1" applyAlignment="1" applyProtection="1">
      <alignment wrapText="1"/>
      <protection hidden="1"/>
    </xf>
    <xf numFmtId="0" fontId="16" fillId="2" borderId="8" xfId="0" applyFont="1" applyFill="1" applyBorder="1" applyAlignment="1" applyProtection="1">
      <alignment horizontal="left" vertical="center" indent="1"/>
      <protection hidden="1"/>
    </xf>
    <xf numFmtId="0" fontId="16" fillId="2" borderId="28" xfId="0" applyFont="1" applyFill="1" applyBorder="1" applyAlignment="1" applyProtection="1">
      <alignment horizontal="left" vertical="center" indent="1"/>
      <protection hidden="1"/>
    </xf>
    <xf numFmtId="0" fontId="5" fillId="2" borderId="9" xfId="0" applyFont="1" applyFill="1" applyBorder="1" applyAlignment="1" applyProtection="1">
      <alignment wrapText="1"/>
      <protection hidden="1"/>
    </xf>
    <xf numFmtId="0" fontId="13" fillId="2" borderId="1" xfId="0" applyFont="1" applyFill="1" applyBorder="1" applyAlignment="1" applyProtection="1">
      <alignment horizontal="left" vertical="center"/>
      <protection hidden="1"/>
    </xf>
    <xf numFmtId="0" fontId="21" fillId="2" borderId="1" xfId="0" applyFont="1" applyFill="1" applyBorder="1" applyAlignment="1" applyProtection="1">
      <alignment vertical="center"/>
      <protection hidden="1"/>
    </xf>
    <xf numFmtId="0" fontId="13" fillId="2" borderId="9" xfId="0" applyFont="1" applyFill="1" applyBorder="1" applyAlignment="1" applyProtection="1">
      <alignment horizontal="left" vertical="center"/>
      <protection hidden="1"/>
    </xf>
    <xf numFmtId="0" fontId="21" fillId="2" borderId="9" xfId="0" applyFont="1" applyFill="1" applyBorder="1" applyAlignment="1" applyProtection="1">
      <alignment vertical="center"/>
      <protection hidden="1"/>
    </xf>
    <xf numFmtId="0" fontId="1" fillId="2" borderId="7" xfId="0" applyFont="1" applyFill="1" applyBorder="1" applyAlignment="1" applyProtection="1">
      <alignment horizontal="center"/>
      <protection hidden="1"/>
    </xf>
    <xf numFmtId="0" fontId="4" fillId="2" borderId="7" xfId="0" applyFont="1" applyFill="1" applyBorder="1" applyAlignment="1" applyProtection="1">
      <alignment horizontal="center" vertical="center"/>
      <protection hidden="1"/>
    </xf>
    <xf numFmtId="3" fontId="0" fillId="16" borderId="9" xfId="0" applyNumberFormat="1" applyFill="1" applyBorder="1" applyAlignment="1" applyProtection="1">
      <alignment vertical="center"/>
      <protection hidden="1"/>
    </xf>
    <xf numFmtId="0" fontId="40" fillId="2" borderId="0" xfId="0" applyFont="1" applyFill="1" applyAlignment="1" applyProtection="1">
      <alignment horizontal="right"/>
      <protection hidden="1"/>
    </xf>
    <xf numFmtId="0" fontId="1" fillId="2" borderId="0" xfId="0" applyFont="1" applyFill="1" applyAlignment="1" applyProtection="1">
      <alignment horizontal="left" vertical="top"/>
      <protection hidden="1"/>
    </xf>
    <xf numFmtId="186" fontId="5" fillId="2" borderId="2" xfId="0" applyNumberFormat="1" applyFont="1" applyFill="1" applyBorder="1" applyAlignment="1" applyProtection="1">
      <alignment horizontal="center"/>
      <protection locked="0"/>
    </xf>
    <xf numFmtId="3" fontId="4" fillId="2" borderId="3" xfId="0" applyNumberFormat="1" applyFont="1" applyFill="1" applyBorder="1" applyAlignment="1" applyProtection="1">
      <alignment horizontal="right" vertical="center"/>
      <protection locked="0"/>
    </xf>
    <xf numFmtId="3" fontId="4" fillId="2" borderId="25" xfId="0" applyNumberFormat="1" applyFont="1" applyFill="1" applyBorder="1" applyAlignment="1" applyProtection="1">
      <alignment horizontal="right" vertical="center"/>
      <protection locked="0"/>
    </xf>
    <xf numFmtId="0" fontId="0" fillId="2" borderId="3" xfId="0" applyFill="1" applyBorder="1" applyAlignment="1" applyProtection="1">
      <alignment vertical="top"/>
      <protection hidden="1"/>
    </xf>
    <xf numFmtId="0" fontId="0" fillId="2" borderId="25" xfId="0" applyFill="1" applyBorder="1" applyAlignment="1" applyProtection="1">
      <alignment vertical="top"/>
      <protection hidden="1"/>
    </xf>
    <xf numFmtId="0" fontId="0" fillId="0" borderId="3" xfId="0" applyBorder="1"/>
    <xf numFmtId="0" fontId="5" fillId="2" borderId="5" xfId="0" applyFont="1" applyFill="1" applyBorder="1" applyAlignment="1" applyProtection="1">
      <alignment horizontal="right" indent="1"/>
      <protection hidden="1"/>
    </xf>
    <xf numFmtId="0" fontId="0" fillId="8" borderId="16" xfId="0" applyFill="1" applyBorder="1" applyProtection="1">
      <protection hidden="1"/>
    </xf>
    <xf numFmtId="0" fontId="0" fillId="8" borderId="11" xfId="0" applyFill="1" applyBorder="1" applyProtection="1">
      <protection hidden="1"/>
    </xf>
    <xf numFmtId="0" fontId="4" fillId="2" borderId="11" xfId="0" applyFont="1" applyFill="1" applyBorder="1" applyAlignment="1" applyProtection="1">
      <alignment horizontal="right" vertical="center"/>
      <protection hidden="1"/>
    </xf>
    <xf numFmtId="0" fontId="0" fillId="2" borderId="7" xfId="0" applyFill="1" applyBorder="1" applyAlignment="1" applyProtection="1">
      <alignment vertical="top"/>
      <protection hidden="1"/>
    </xf>
    <xf numFmtId="0" fontId="0" fillId="8" borderId="25" xfId="0" applyFill="1" applyBorder="1" applyProtection="1">
      <protection hidden="1"/>
    </xf>
    <xf numFmtId="0" fontId="0" fillId="8" borderId="10" xfId="0" applyFill="1" applyBorder="1" applyProtection="1">
      <protection hidden="1"/>
    </xf>
    <xf numFmtId="0" fontId="0" fillId="8" borderId="12" xfId="0" applyFill="1" applyBorder="1" applyProtection="1">
      <protection hidden="1"/>
    </xf>
    <xf numFmtId="0" fontId="0" fillId="8" borderId="40" xfId="0" applyFill="1" applyBorder="1" applyProtection="1">
      <protection hidden="1"/>
    </xf>
    <xf numFmtId="0" fontId="0" fillId="8" borderId="55" xfId="0" applyFill="1" applyBorder="1" applyProtection="1">
      <protection hidden="1"/>
    </xf>
    <xf numFmtId="0" fontId="4" fillId="2" borderId="7" xfId="0" applyFont="1" applyFill="1" applyBorder="1" applyAlignment="1" applyProtection="1">
      <alignment horizontal="right" vertical="center"/>
      <protection hidden="1"/>
    </xf>
    <xf numFmtId="0" fontId="3" fillId="2" borderId="9" xfId="0" applyFont="1" applyFill="1" applyBorder="1" applyAlignment="1" applyProtection="1">
      <alignment vertical="center"/>
      <protection hidden="1"/>
    </xf>
    <xf numFmtId="0" fontId="0" fillId="8" borderId="31" xfId="0" applyFill="1" applyBorder="1" applyProtection="1">
      <protection hidden="1"/>
    </xf>
    <xf numFmtId="0" fontId="0" fillId="8" borderId="15" xfId="0" applyFill="1" applyBorder="1" applyProtection="1">
      <protection hidden="1"/>
    </xf>
    <xf numFmtId="0" fontId="3" fillId="2" borderId="28" xfId="0" applyFont="1" applyFill="1" applyBorder="1" applyAlignment="1" applyProtection="1">
      <alignment vertical="center"/>
      <protection hidden="1"/>
    </xf>
    <xf numFmtId="0" fontId="1" fillId="0" borderId="16" xfId="0" applyFont="1" applyBorder="1" applyAlignment="1" applyProtection="1">
      <alignment horizontal="center"/>
      <protection hidden="1"/>
    </xf>
    <xf numFmtId="1" fontId="1" fillId="0" borderId="1" xfId="0" applyNumberFormat="1" applyFont="1" applyBorder="1" applyAlignment="1" applyProtection="1">
      <alignment horizontal="center"/>
      <protection hidden="1"/>
    </xf>
    <xf numFmtId="0" fontId="0" fillId="2" borderId="28" xfId="0" applyFill="1" applyBorder="1" applyProtection="1">
      <protection hidden="1"/>
    </xf>
    <xf numFmtId="0" fontId="10" fillId="2" borderId="28" xfId="0" applyFont="1" applyFill="1" applyBorder="1" applyAlignment="1" applyProtection="1">
      <alignment horizontal="left"/>
      <protection hidden="1"/>
    </xf>
    <xf numFmtId="4" fontId="138" fillId="2" borderId="3" xfId="0" applyNumberFormat="1" applyFont="1" applyFill="1" applyBorder="1" applyAlignment="1" applyProtection="1">
      <alignment horizontal="center"/>
      <protection hidden="1"/>
    </xf>
    <xf numFmtId="0" fontId="5" fillId="16" borderId="0" xfId="0" applyFont="1" applyFill="1"/>
    <xf numFmtId="0" fontId="0" fillId="16" borderId="66" xfId="0" applyFill="1" applyBorder="1"/>
    <xf numFmtId="0" fontId="8" fillId="0" borderId="25" xfId="0" applyFont="1" applyBorder="1"/>
    <xf numFmtId="0" fontId="213" fillId="2" borderId="0" xfId="0" applyFont="1" applyFill="1" applyAlignment="1" applyProtection="1">
      <alignment horizontal="right" vertical="center" wrapText="1"/>
      <protection hidden="1"/>
    </xf>
    <xf numFmtId="3" fontId="0" fillId="28" borderId="10" xfId="0" applyNumberFormat="1" applyFill="1" applyBorder="1" applyAlignment="1" applyProtection="1">
      <alignment wrapText="1"/>
      <protection hidden="1"/>
    </xf>
    <xf numFmtId="0" fontId="16" fillId="16" borderId="9" xfId="0" applyFont="1" applyFill="1" applyBorder="1" applyAlignment="1" applyProtection="1">
      <alignment horizontal="left" vertical="center" wrapText="1"/>
      <protection hidden="1"/>
    </xf>
    <xf numFmtId="0" fontId="138" fillId="2" borderId="0" xfId="0" applyFont="1" applyFill="1" applyAlignment="1" applyProtection="1">
      <alignment vertical="center"/>
      <protection hidden="1"/>
    </xf>
    <xf numFmtId="0" fontId="0" fillId="8" borderId="9" xfId="0" applyFill="1" applyBorder="1" applyProtection="1">
      <protection hidden="1"/>
    </xf>
    <xf numFmtId="0" fontId="0" fillId="8" borderId="1" xfId="0" applyFill="1" applyBorder="1" applyProtection="1">
      <protection hidden="1"/>
    </xf>
    <xf numFmtId="0" fontId="8" fillId="16" borderId="0" xfId="0" applyFont="1" applyFill="1" applyAlignment="1" applyProtection="1">
      <alignment vertical="center"/>
      <protection hidden="1"/>
    </xf>
    <xf numFmtId="0" fontId="8" fillId="16" borderId="0" xfId="0" applyFont="1" applyFill="1" applyAlignment="1">
      <alignment vertical="center"/>
    </xf>
    <xf numFmtId="0" fontId="8" fillId="16" borderId="25" xfId="0" applyFont="1" applyFill="1" applyBorder="1" applyAlignment="1">
      <alignment vertical="center"/>
    </xf>
    <xf numFmtId="3" fontId="140" fillId="2" borderId="25" xfId="0" applyNumberFormat="1" applyFont="1" applyFill="1" applyBorder="1" applyAlignment="1" applyProtection="1">
      <alignment horizontal="right" vertical="center"/>
      <protection locked="0"/>
    </xf>
    <xf numFmtId="3" fontId="154" fillId="2" borderId="3" xfId="0" applyNumberFormat="1" applyFont="1" applyFill="1" applyBorder="1" applyAlignment="1" applyProtection="1">
      <alignment horizontal="right" vertical="center"/>
      <protection locked="0"/>
    </xf>
    <xf numFmtId="3" fontId="154" fillId="2" borderId="0" xfId="0" applyNumberFormat="1" applyFont="1" applyFill="1" applyAlignment="1" applyProtection="1">
      <alignment horizontal="right" vertical="center"/>
      <protection locked="0"/>
    </xf>
    <xf numFmtId="0" fontId="1" fillId="2" borderId="134" xfId="0" applyFont="1" applyFill="1" applyBorder="1" applyAlignment="1" applyProtection="1">
      <alignment horizontal="center"/>
      <protection hidden="1"/>
    </xf>
    <xf numFmtId="0" fontId="0" fillId="16" borderId="11" xfId="0" applyFill="1" applyBorder="1" applyProtection="1">
      <protection hidden="1"/>
    </xf>
    <xf numFmtId="0" fontId="1" fillId="16" borderId="16" xfId="0" applyFont="1" applyFill="1" applyBorder="1" applyProtection="1">
      <protection hidden="1"/>
    </xf>
    <xf numFmtId="0" fontId="16" fillId="16" borderId="1" xfId="0" applyFont="1" applyFill="1" applyBorder="1" applyAlignment="1" applyProtection="1">
      <alignment horizontal="left" vertical="center" wrapText="1"/>
      <protection hidden="1"/>
    </xf>
    <xf numFmtId="0" fontId="53" fillId="0" borderId="0" xfId="0" applyFont="1"/>
    <xf numFmtId="0" fontId="1" fillId="16" borderId="1" xfId="0" applyFont="1" applyFill="1" applyBorder="1" applyAlignment="1" applyProtection="1">
      <alignment horizontal="left" vertical="center" wrapText="1"/>
      <protection hidden="1"/>
    </xf>
    <xf numFmtId="0" fontId="3" fillId="16" borderId="1" xfId="0" applyFont="1" applyFill="1" applyBorder="1" applyAlignment="1">
      <alignment horizontal="left" vertical="center"/>
    </xf>
    <xf numFmtId="0" fontId="3" fillId="16" borderId="1" xfId="0" applyFont="1" applyFill="1" applyBorder="1" applyAlignment="1">
      <alignment horizontal="left" vertical="center" wrapText="1"/>
    </xf>
    <xf numFmtId="0" fontId="3" fillId="16" borderId="0" xfId="0" applyFont="1" applyFill="1" applyAlignment="1" applyProtection="1">
      <alignment horizontal="left" vertical="center" wrapText="1"/>
      <protection hidden="1"/>
    </xf>
    <xf numFmtId="0" fontId="16" fillId="16" borderId="0" xfId="0" applyFont="1" applyFill="1" applyAlignment="1" applyProtection="1">
      <alignment horizontal="left" vertical="center" wrapText="1"/>
      <protection hidden="1"/>
    </xf>
    <xf numFmtId="0" fontId="1" fillId="16" borderId="0" xfId="0" applyFont="1" applyFill="1" applyAlignment="1" applyProtection="1">
      <alignment horizontal="left" vertical="center" wrapText="1"/>
      <protection hidden="1"/>
    </xf>
    <xf numFmtId="0" fontId="1" fillId="16" borderId="13" xfId="0" applyFont="1" applyFill="1" applyBorder="1" applyAlignment="1" applyProtection="1">
      <alignment horizontal="center"/>
      <protection hidden="1"/>
    </xf>
    <xf numFmtId="0" fontId="1" fillId="16" borderId="7" xfId="0" applyFont="1" applyFill="1" applyBorder="1" applyProtection="1">
      <protection hidden="1"/>
    </xf>
    <xf numFmtId="0" fontId="1" fillId="16" borderId="11" xfId="0" applyFont="1" applyFill="1" applyBorder="1" applyProtection="1">
      <protection hidden="1"/>
    </xf>
    <xf numFmtId="0" fontId="16" fillId="16" borderId="0" xfId="0" applyFont="1" applyFill="1" applyAlignment="1" applyProtection="1">
      <alignment horizontal="left" vertical="center"/>
      <protection hidden="1"/>
    </xf>
    <xf numFmtId="0" fontId="16" fillId="16" borderId="25" xfId="0" applyFont="1" applyFill="1" applyBorder="1" applyAlignment="1" applyProtection="1">
      <alignment horizontal="left" vertical="center" wrapText="1"/>
      <protection hidden="1"/>
    </xf>
    <xf numFmtId="0" fontId="1" fillId="2" borderId="3" xfId="0" applyFont="1" applyFill="1" applyBorder="1" applyAlignment="1" applyProtection="1">
      <alignment horizontal="center" vertical="center" wrapText="1"/>
      <protection hidden="1"/>
    </xf>
    <xf numFmtId="0" fontId="1" fillId="2" borderId="25" xfId="0" applyFont="1" applyFill="1" applyBorder="1" applyAlignment="1" applyProtection="1">
      <alignment horizontal="center" vertical="center" wrapText="1"/>
      <protection hidden="1"/>
    </xf>
    <xf numFmtId="0" fontId="16" fillId="16" borderId="0" xfId="0" applyFont="1" applyFill="1" applyAlignment="1" applyProtection="1">
      <alignment horizontal="center" vertical="center" wrapText="1"/>
      <protection hidden="1"/>
    </xf>
    <xf numFmtId="0" fontId="5" fillId="16" borderId="0" xfId="0" applyFont="1" applyFill="1" applyAlignment="1" applyProtection="1">
      <alignment horizontal="left" vertical="center"/>
      <protection hidden="1"/>
    </xf>
    <xf numFmtId="0" fontId="3" fillId="16" borderId="0" xfId="0" applyFont="1" applyFill="1" applyAlignment="1" applyProtection="1">
      <alignment horizontal="left" vertical="center"/>
      <protection hidden="1"/>
    </xf>
    <xf numFmtId="0" fontId="1" fillId="16" borderId="7" xfId="0" quotePrefix="1" applyFont="1" applyFill="1" applyBorder="1" applyAlignment="1" applyProtection="1">
      <alignment horizontal="center"/>
      <protection hidden="1"/>
    </xf>
    <xf numFmtId="0" fontId="1" fillId="16" borderId="13" xfId="0" quotePrefix="1" applyFont="1" applyFill="1" applyBorder="1" applyAlignment="1" applyProtection="1">
      <alignment horizontal="right" indent="1"/>
      <protection hidden="1"/>
    </xf>
    <xf numFmtId="0" fontId="3" fillId="16" borderId="0" xfId="0" applyFont="1" applyFill="1" applyAlignment="1" applyProtection="1">
      <alignment horizontal="center" vertical="center" wrapText="1"/>
      <protection hidden="1"/>
    </xf>
    <xf numFmtId="0" fontId="3" fillId="16" borderId="1" xfId="0" applyFont="1" applyFill="1" applyBorder="1" applyAlignment="1" applyProtection="1">
      <alignment horizontal="left" vertical="center"/>
      <protection hidden="1"/>
    </xf>
    <xf numFmtId="0" fontId="1" fillId="2" borderId="1" xfId="0" applyFont="1" applyFill="1" applyBorder="1" applyAlignment="1" applyProtection="1">
      <alignment horizontal="right" vertical="center"/>
      <protection hidden="1"/>
    </xf>
    <xf numFmtId="0" fontId="5" fillId="16" borderId="1" xfId="0" applyFont="1" applyFill="1" applyBorder="1" applyAlignment="1" applyProtection="1">
      <alignment horizontal="center" vertical="top" wrapText="1"/>
      <protection hidden="1"/>
    </xf>
    <xf numFmtId="0" fontId="1" fillId="16" borderId="11" xfId="0" quotePrefix="1" applyFont="1" applyFill="1" applyBorder="1" applyAlignment="1" applyProtection="1">
      <alignment horizontal="right" indent="1"/>
      <protection hidden="1"/>
    </xf>
    <xf numFmtId="0" fontId="5" fillId="16" borderId="0" xfId="0" applyFont="1" applyFill="1" applyAlignment="1" applyProtection="1">
      <alignment horizontal="center" vertical="top" wrapText="1"/>
      <protection hidden="1"/>
    </xf>
    <xf numFmtId="0" fontId="1" fillId="8" borderId="40" xfId="0" applyFont="1" applyFill="1" applyBorder="1" applyAlignment="1" applyProtection="1">
      <alignment horizontal="center" vertical="center" wrapText="1"/>
      <protection hidden="1"/>
    </xf>
    <xf numFmtId="0" fontId="1" fillId="8" borderId="55" xfId="0" applyFont="1" applyFill="1" applyBorder="1" applyAlignment="1" applyProtection="1">
      <alignment horizontal="center" vertical="center" wrapText="1"/>
      <protection hidden="1"/>
    </xf>
    <xf numFmtId="0" fontId="1" fillId="16" borderId="11" xfId="0" quotePrefix="1" applyFont="1" applyFill="1" applyBorder="1" applyAlignment="1" applyProtection="1">
      <alignment horizontal="center"/>
      <protection hidden="1"/>
    </xf>
    <xf numFmtId="0" fontId="1" fillId="16" borderId="13" xfId="0" quotePrefix="1" applyFont="1" applyFill="1" applyBorder="1" applyAlignment="1" applyProtection="1">
      <alignment horizontal="center"/>
      <protection hidden="1"/>
    </xf>
    <xf numFmtId="0" fontId="1" fillId="8" borderId="3" xfId="0" applyFont="1" applyFill="1" applyBorder="1" applyAlignment="1" applyProtection="1">
      <alignment horizontal="center" vertical="center" wrapText="1"/>
      <protection hidden="1"/>
    </xf>
    <xf numFmtId="0" fontId="1" fillId="8" borderId="25" xfId="0" applyFont="1" applyFill="1" applyBorder="1" applyAlignment="1" applyProtection="1">
      <alignment horizontal="center" vertical="center" wrapText="1"/>
      <protection hidden="1"/>
    </xf>
    <xf numFmtId="0" fontId="1" fillId="8" borderId="10" xfId="0" applyFont="1" applyFill="1" applyBorder="1" applyAlignment="1" applyProtection="1">
      <alignment horizontal="center" vertical="center" wrapText="1"/>
      <protection hidden="1"/>
    </xf>
    <xf numFmtId="0" fontId="1" fillId="8" borderId="12" xfId="0" applyFont="1" applyFill="1" applyBorder="1" applyAlignment="1" applyProtection="1">
      <alignment horizontal="center" vertical="center" wrapText="1"/>
      <protection hidden="1"/>
    </xf>
    <xf numFmtId="0" fontId="1" fillId="18" borderId="13" xfId="0" applyFont="1" applyFill="1" applyBorder="1" applyAlignment="1" applyProtection="1">
      <alignment vertical="center"/>
      <protection hidden="1"/>
    </xf>
    <xf numFmtId="0" fontId="16" fillId="16" borderId="9" xfId="0" applyFont="1" applyFill="1" applyBorder="1" applyAlignment="1" applyProtection="1">
      <alignment horizontal="center" vertical="center" wrapText="1"/>
      <protection hidden="1"/>
    </xf>
    <xf numFmtId="0" fontId="10" fillId="16" borderId="31" xfId="0" applyFont="1" applyFill="1" applyBorder="1" applyAlignment="1">
      <alignment vertical="center"/>
    </xf>
    <xf numFmtId="0" fontId="0" fillId="16" borderId="9" xfId="0" applyFill="1" applyBorder="1" applyAlignment="1">
      <alignment vertical="center"/>
    </xf>
    <xf numFmtId="0" fontId="0" fillId="16" borderId="15" xfId="0" applyFill="1" applyBorder="1" applyAlignment="1">
      <alignment vertical="center"/>
    </xf>
    <xf numFmtId="0" fontId="53" fillId="16" borderId="3" xfId="0" applyFont="1" applyFill="1" applyBorder="1"/>
    <xf numFmtId="0" fontId="53" fillId="16" borderId="0" xfId="0" applyFont="1" applyFill="1"/>
    <xf numFmtId="0" fontId="3" fillId="16" borderId="3" xfId="0" applyFont="1" applyFill="1" applyBorder="1" applyAlignment="1" applyProtection="1">
      <alignment horizontal="left" vertical="center" wrapText="1"/>
      <protection hidden="1"/>
    </xf>
    <xf numFmtId="0" fontId="16" fillId="16" borderId="31" xfId="0" applyFont="1" applyFill="1" applyBorder="1" applyAlignment="1" applyProtection="1">
      <alignment horizontal="left" vertical="center" wrapText="1"/>
      <protection hidden="1"/>
    </xf>
    <xf numFmtId="0" fontId="16" fillId="16" borderId="3" xfId="0" applyFont="1" applyFill="1" applyBorder="1" applyAlignment="1" applyProtection="1">
      <alignment horizontal="left" vertical="center" wrapText="1"/>
      <protection hidden="1"/>
    </xf>
    <xf numFmtId="0" fontId="16" fillId="16" borderId="10" xfId="0" applyFont="1" applyFill="1" applyBorder="1" applyAlignment="1" applyProtection="1">
      <alignment horizontal="left" vertical="center" wrapText="1"/>
      <protection hidden="1"/>
    </xf>
    <xf numFmtId="0" fontId="10" fillId="16" borderId="0" xfId="0" applyFont="1" applyFill="1" applyAlignment="1">
      <alignment horizontal="right" indent="1"/>
    </xf>
    <xf numFmtId="0" fontId="16" fillId="16" borderId="0" xfId="0" quotePrefix="1" applyFont="1" applyFill="1"/>
    <xf numFmtId="0" fontId="138" fillId="16" borderId="0" xfId="0" applyFont="1" applyFill="1"/>
    <xf numFmtId="3" fontId="140" fillId="2" borderId="0" xfId="0" applyNumberFormat="1" applyFont="1" applyFill="1" applyAlignment="1" applyProtection="1">
      <alignment horizontal="right" vertical="center"/>
      <protection locked="0"/>
    </xf>
    <xf numFmtId="3" fontId="4" fillId="2" borderId="9" xfId="0" applyNumberFormat="1" applyFont="1" applyFill="1" applyBorder="1" applyAlignment="1" applyProtection="1">
      <alignment horizontal="right" vertical="center"/>
      <protection locked="0"/>
    </xf>
    <xf numFmtId="0" fontId="40" fillId="16" borderId="0" xfId="0" applyFont="1" applyFill="1" applyAlignment="1" applyProtection="1">
      <alignment horizontal="right" vertical="center"/>
      <protection hidden="1"/>
    </xf>
    <xf numFmtId="0" fontId="3" fillId="16" borderId="0" xfId="0" applyFont="1" applyFill="1" applyAlignment="1" applyProtection="1">
      <alignment horizontal="left"/>
      <protection hidden="1"/>
    </xf>
    <xf numFmtId="0" fontId="10" fillId="16" borderId="0" xfId="0" applyFont="1" applyFill="1"/>
    <xf numFmtId="0" fontId="10" fillId="16" borderId="3" xfId="0" applyFont="1" applyFill="1" applyBorder="1" applyAlignment="1">
      <alignment horizontal="left" indent="1"/>
    </xf>
    <xf numFmtId="3" fontId="0" fillId="28" borderId="1" xfId="0" applyNumberFormat="1" applyFill="1" applyBorder="1" applyProtection="1">
      <protection hidden="1"/>
    </xf>
    <xf numFmtId="0" fontId="0" fillId="10" borderId="0" xfId="0" applyFill="1"/>
    <xf numFmtId="0" fontId="0" fillId="16" borderId="135" xfId="0" applyFill="1" applyBorder="1"/>
    <xf numFmtId="4" fontId="3" fillId="33" borderId="88" xfId="0" applyNumberFormat="1" applyFont="1" applyFill="1" applyBorder="1" applyAlignment="1" applyProtection="1">
      <alignment horizontal="center"/>
      <protection locked="0"/>
    </xf>
    <xf numFmtId="4" fontId="3" fillId="33" borderId="87" xfId="0" applyNumberFormat="1" applyFont="1" applyFill="1" applyBorder="1" applyAlignment="1" applyProtection="1">
      <alignment horizontal="center"/>
      <protection locked="0"/>
    </xf>
    <xf numFmtId="2" fontId="138" fillId="2" borderId="0" xfId="0" applyNumberFormat="1" applyFont="1" applyFill="1" applyProtection="1">
      <protection hidden="1"/>
    </xf>
    <xf numFmtId="0" fontId="3" fillId="2" borderId="0" xfId="0" applyFont="1" applyFill="1" applyAlignment="1" applyProtection="1">
      <alignment horizontal="right" vertical="center"/>
      <protection hidden="1"/>
    </xf>
    <xf numFmtId="189" fontId="8" fillId="2" borderId="25" xfId="0" applyNumberFormat="1" applyFont="1" applyFill="1" applyBorder="1" applyAlignment="1" applyProtection="1">
      <alignment horizontal="center" vertical="center" wrapText="1"/>
      <protection hidden="1"/>
    </xf>
    <xf numFmtId="0" fontId="8" fillId="16" borderId="0" xfId="0" applyFont="1" applyFill="1" applyAlignment="1" applyProtection="1">
      <alignment vertical="top"/>
      <protection hidden="1"/>
    </xf>
    <xf numFmtId="0" fontId="11" fillId="16" borderId="0" xfId="0" applyFont="1" applyFill="1" applyAlignment="1" applyProtection="1">
      <alignment vertical="center"/>
      <protection hidden="1"/>
    </xf>
    <xf numFmtId="0" fontId="8" fillId="0" borderId="0" xfId="0" applyFont="1" applyAlignment="1" applyProtection="1">
      <alignment wrapText="1"/>
      <protection hidden="1"/>
    </xf>
    <xf numFmtId="0" fontId="3" fillId="16" borderId="0" xfId="0" applyFont="1" applyFill="1" applyAlignment="1">
      <alignment vertical="center"/>
    </xf>
    <xf numFmtId="0" fontId="150" fillId="2" borderId="1" xfId="0" applyFont="1" applyFill="1" applyBorder="1" applyProtection="1">
      <protection hidden="1"/>
    </xf>
    <xf numFmtId="189" fontId="140" fillId="2" borderId="25" xfId="0" applyNumberFormat="1" applyFont="1" applyFill="1" applyBorder="1" applyAlignment="1" applyProtection="1">
      <alignment horizontal="center" vertical="center" wrapText="1"/>
      <protection hidden="1"/>
    </xf>
    <xf numFmtId="0" fontId="140" fillId="2" borderId="0" xfId="0" applyFont="1" applyFill="1" applyAlignment="1" applyProtection="1">
      <alignment wrapText="1"/>
      <protection hidden="1"/>
    </xf>
    <xf numFmtId="0" fontId="6" fillId="17" borderId="2" xfId="0" applyFont="1" applyFill="1" applyBorder="1" applyAlignment="1" applyProtection="1">
      <alignment horizontal="center" vertical="center" wrapText="1"/>
      <protection locked="0"/>
    </xf>
    <xf numFmtId="0" fontId="140" fillId="16" borderId="0" xfId="0" applyFont="1" applyFill="1" applyProtection="1">
      <protection hidden="1"/>
    </xf>
    <xf numFmtId="0" fontId="138" fillId="16" borderId="0" xfId="0" applyFont="1" applyFill="1" applyAlignment="1">
      <alignment wrapText="1"/>
    </xf>
    <xf numFmtId="0" fontId="140" fillId="2" borderId="0" xfId="0" applyFont="1" applyFill="1" applyProtection="1">
      <protection hidden="1"/>
    </xf>
    <xf numFmtId="0" fontId="154" fillId="2" borderId="0" xfId="0" applyFont="1" applyFill="1" applyAlignment="1" applyProtection="1">
      <alignment horizontal="right" vertical="center"/>
      <protection hidden="1"/>
    </xf>
    <xf numFmtId="0" fontId="6" fillId="16" borderId="0" xfId="0" applyFont="1" applyFill="1" applyAlignment="1" applyProtection="1">
      <alignment vertical="center"/>
      <protection hidden="1"/>
    </xf>
    <xf numFmtId="14" fontId="3" fillId="2" borderId="7" xfId="0" applyNumberFormat="1" applyFont="1" applyFill="1" applyBorder="1" applyAlignment="1" applyProtection="1">
      <alignment horizontal="center" wrapText="1"/>
      <protection hidden="1"/>
    </xf>
    <xf numFmtId="3" fontId="5" fillId="0" borderId="2" xfId="0" applyNumberFormat="1" applyFont="1" applyBorder="1" applyProtection="1">
      <protection locked="0"/>
    </xf>
    <xf numFmtId="0" fontId="3" fillId="2" borderId="7" xfId="0" applyFont="1" applyFill="1" applyBorder="1" applyAlignment="1" applyProtection="1">
      <alignment horizontal="center" wrapText="1"/>
      <protection hidden="1"/>
    </xf>
    <xf numFmtId="168" fontId="5" fillId="28" borderId="67" xfId="0" applyNumberFormat="1" applyFont="1" applyFill="1" applyBorder="1" applyAlignment="1" applyProtection="1">
      <alignment horizontal="right"/>
      <protection hidden="1"/>
    </xf>
    <xf numFmtId="168" fontId="5" fillId="28" borderId="59" xfId="0" applyNumberFormat="1" applyFont="1" applyFill="1" applyBorder="1" applyAlignment="1" applyProtection="1">
      <alignment horizontal="right"/>
      <protection hidden="1"/>
    </xf>
    <xf numFmtId="168" fontId="5" fillId="28" borderId="117" xfId="0" applyNumberFormat="1" applyFont="1" applyFill="1" applyBorder="1" applyAlignment="1" applyProtection="1">
      <alignment horizontal="right"/>
      <protection hidden="1"/>
    </xf>
    <xf numFmtId="168" fontId="5" fillId="17" borderId="44" xfId="0" applyNumberFormat="1" applyFont="1" applyFill="1" applyBorder="1" applyAlignment="1" applyProtection="1">
      <alignment horizontal="right" wrapText="1"/>
      <protection locked="0"/>
    </xf>
    <xf numFmtId="168" fontId="5" fillId="17" borderId="13" xfId="0" applyNumberFormat="1" applyFont="1" applyFill="1" applyBorder="1" applyAlignment="1" applyProtection="1">
      <alignment horizontal="right" wrapText="1"/>
      <protection locked="0"/>
    </xf>
    <xf numFmtId="168" fontId="5" fillId="17" borderId="52" xfId="0" applyNumberFormat="1" applyFont="1" applyFill="1" applyBorder="1" applyAlignment="1" applyProtection="1">
      <alignment horizontal="right" wrapText="1"/>
      <protection locked="0"/>
    </xf>
    <xf numFmtId="189" fontId="5" fillId="17" borderId="116" xfId="0" applyNumberFormat="1" applyFont="1" applyFill="1" applyBorder="1" applyAlignment="1" applyProtection="1">
      <alignment horizontal="center" wrapText="1"/>
      <protection locked="0"/>
    </xf>
    <xf numFmtId="189" fontId="5" fillId="17" borderId="47" xfId="0" applyNumberFormat="1" applyFont="1" applyFill="1" applyBorder="1" applyAlignment="1" applyProtection="1">
      <alignment horizontal="center" wrapText="1"/>
      <protection locked="0"/>
    </xf>
    <xf numFmtId="189" fontId="5" fillId="17" borderId="51" xfId="0" applyNumberFormat="1" applyFont="1" applyFill="1" applyBorder="1" applyAlignment="1" applyProtection="1">
      <alignment horizontal="center" wrapText="1"/>
      <protection locked="0"/>
    </xf>
    <xf numFmtId="168" fontId="5" fillId="28" borderId="44" xfId="0" applyNumberFormat="1" applyFont="1" applyFill="1" applyBorder="1" applyAlignment="1" applyProtection="1">
      <alignment horizontal="right"/>
      <protection hidden="1"/>
    </xf>
    <xf numFmtId="168" fontId="5" fillId="28" borderId="13" xfId="0" applyNumberFormat="1" applyFont="1" applyFill="1" applyBorder="1" applyAlignment="1" applyProtection="1">
      <alignment horizontal="right"/>
      <protection hidden="1"/>
    </xf>
    <xf numFmtId="168" fontId="5" fillId="28" borderId="52" xfId="0" applyNumberFormat="1" applyFont="1" applyFill="1" applyBorder="1" applyAlignment="1" applyProtection="1">
      <alignment horizontal="right"/>
      <protection hidden="1"/>
    </xf>
    <xf numFmtId="0" fontId="138" fillId="0" borderId="0" xfId="0" applyFont="1" applyAlignment="1" applyProtection="1">
      <alignment horizontal="left" vertical="top"/>
      <protection hidden="1"/>
    </xf>
    <xf numFmtId="0" fontId="216" fillId="3" borderId="26" xfId="0" applyFont="1" applyFill="1" applyBorder="1" applyAlignment="1" applyProtection="1">
      <alignment vertical="center"/>
      <protection hidden="1"/>
    </xf>
    <xf numFmtId="0" fontId="64" fillId="2" borderId="116" xfId="0" applyFont="1" applyFill="1" applyBorder="1" applyAlignment="1" applyProtection="1">
      <alignment horizontal="right"/>
      <protection hidden="1"/>
    </xf>
    <xf numFmtId="0" fontId="64" fillId="2" borderId="47" xfId="0" applyFont="1" applyFill="1" applyBorder="1" applyAlignment="1" applyProtection="1">
      <alignment horizontal="right"/>
      <protection hidden="1"/>
    </xf>
    <xf numFmtId="0" fontId="64" fillId="2" borderId="51" xfId="0" applyFont="1" applyFill="1" applyBorder="1" applyAlignment="1" applyProtection="1">
      <alignment horizontal="right"/>
      <protection hidden="1"/>
    </xf>
    <xf numFmtId="0" fontId="1" fillId="2" borderId="41" xfId="0" applyFont="1" applyFill="1" applyBorder="1" applyProtection="1">
      <protection hidden="1"/>
    </xf>
    <xf numFmtId="0" fontId="1" fillId="2" borderId="42" xfId="0" applyFont="1" applyFill="1" applyBorder="1" applyProtection="1">
      <protection hidden="1"/>
    </xf>
    <xf numFmtId="0" fontId="136" fillId="2" borderId="42" xfId="0" applyFont="1" applyFill="1" applyBorder="1" applyAlignment="1" applyProtection="1">
      <alignment vertical="top" wrapText="1"/>
      <protection hidden="1"/>
    </xf>
    <xf numFmtId="0" fontId="1" fillId="2" borderId="24" xfId="0" applyFont="1" applyFill="1" applyBorder="1" applyAlignment="1" applyProtection="1">
      <alignment horizontal="right"/>
      <protection hidden="1"/>
    </xf>
    <xf numFmtId="0" fontId="1" fillId="2" borderId="6" xfId="0" applyFont="1" applyFill="1" applyBorder="1" applyAlignment="1" applyProtection="1">
      <alignment horizontal="right"/>
      <protection hidden="1"/>
    </xf>
    <xf numFmtId="0" fontId="1" fillId="2" borderId="67" xfId="0" applyFont="1" applyFill="1" applyBorder="1" applyAlignment="1" applyProtection="1">
      <alignment horizontal="right"/>
      <protection hidden="1"/>
    </xf>
    <xf numFmtId="0" fontId="1" fillId="2" borderId="59" xfId="0" applyFont="1" applyFill="1" applyBorder="1" applyAlignment="1" applyProtection="1">
      <alignment horizontal="right"/>
      <protection hidden="1"/>
    </xf>
    <xf numFmtId="0" fontId="1" fillId="2" borderId="117" xfId="0" applyFont="1" applyFill="1" applyBorder="1" applyAlignment="1" applyProtection="1">
      <alignment horizontal="right"/>
      <protection hidden="1"/>
    </xf>
    <xf numFmtId="0" fontId="4" fillId="2" borderId="9" xfId="0" applyFont="1" applyFill="1" applyBorder="1" applyAlignment="1" applyProtection="1">
      <alignment horizontal="center" vertical="center" wrapText="1"/>
      <protection hidden="1"/>
    </xf>
    <xf numFmtId="4" fontId="19" fillId="2" borderId="6" xfId="0" applyNumberFormat="1" applyFont="1" applyFill="1" applyBorder="1" applyAlignment="1" applyProtection="1">
      <alignment horizontal="right"/>
      <protection hidden="1"/>
    </xf>
    <xf numFmtId="4" fontId="19" fillId="2" borderId="6" xfId="0" applyNumberFormat="1" applyFont="1" applyFill="1" applyBorder="1" applyAlignment="1" applyProtection="1">
      <alignment horizontal="center"/>
      <protection hidden="1"/>
    </xf>
    <xf numFmtId="171" fontId="19" fillId="2" borderId="6" xfId="0" applyNumberFormat="1" applyFont="1" applyFill="1" applyBorder="1" applyAlignment="1" applyProtection="1">
      <alignment horizontal="right"/>
      <protection hidden="1"/>
    </xf>
    <xf numFmtId="0" fontId="4" fillId="2" borderId="0" xfId="0" applyFont="1" applyFill="1" applyAlignment="1" applyProtection="1">
      <alignment horizontal="center" vertical="center" wrapText="1"/>
      <protection hidden="1"/>
    </xf>
    <xf numFmtId="0" fontId="1" fillId="2" borderId="143" xfId="0" applyFont="1" applyFill="1" applyBorder="1" applyAlignment="1" applyProtection="1">
      <alignment horizontal="center" wrapText="1"/>
      <protection hidden="1"/>
    </xf>
    <xf numFmtId="0" fontId="1" fillId="2" borderId="43" xfId="0" applyFont="1" applyFill="1" applyBorder="1" applyProtection="1">
      <protection hidden="1"/>
    </xf>
    <xf numFmtId="0" fontId="157" fillId="16" borderId="0" xfId="0" applyFont="1" applyFill="1" applyProtection="1">
      <protection hidden="1"/>
    </xf>
    <xf numFmtId="3" fontId="117" fillId="16" borderId="31" xfId="0" applyNumberFormat="1" applyFont="1" applyFill="1" applyBorder="1" applyAlignment="1" applyProtection="1">
      <alignment horizontal="center"/>
      <protection hidden="1"/>
    </xf>
    <xf numFmtId="4" fontId="157" fillId="16" borderId="15" xfId="0" applyNumberFormat="1" applyFont="1" applyFill="1" applyBorder="1" applyProtection="1">
      <protection hidden="1"/>
    </xf>
    <xf numFmtId="3" fontId="117" fillId="16" borderId="3" xfId="0" applyNumberFormat="1" applyFont="1" applyFill="1" applyBorder="1" applyAlignment="1" applyProtection="1">
      <alignment horizontal="center"/>
      <protection hidden="1"/>
    </xf>
    <xf numFmtId="4" fontId="157" fillId="16" borderId="25" xfId="0" applyNumberFormat="1" applyFont="1" applyFill="1" applyBorder="1" applyProtection="1">
      <protection hidden="1"/>
    </xf>
    <xf numFmtId="3" fontId="157" fillId="16" borderId="3" xfId="0" applyNumberFormat="1" applyFont="1" applyFill="1" applyBorder="1" applyProtection="1">
      <protection hidden="1"/>
    </xf>
    <xf numFmtId="4" fontId="157" fillId="16" borderId="25" xfId="0" applyNumberFormat="1" applyFont="1" applyFill="1" applyBorder="1" applyAlignment="1" applyProtection="1">
      <alignment vertical="center"/>
      <protection hidden="1"/>
    </xf>
    <xf numFmtId="3" fontId="157" fillId="16" borderId="10" xfId="0" applyNumberFormat="1" applyFont="1" applyFill="1" applyBorder="1" applyProtection="1">
      <protection hidden="1"/>
    </xf>
    <xf numFmtId="4" fontId="157" fillId="16" borderId="12" xfId="0" applyNumberFormat="1" applyFont="1" applyFill="1" applyBorder="1" applyProtection="1">
      <protection hidden="1"/>
    </xf>
    <xf numFmtId="0" fontId="157" fillId="16" borderId="9" xfId="0" applyFont="1" applyFill="1" applyBorder="1" applyAlignment="1" applyProtection="1">
      <alignment horizontal="center"/>
      <protection hidden="1"/>
    </xf>
    <xf numFmtId="0" fontId="157" fillId="16" borderId="0" xfId="0" applyFont="1" applyFill="1" applyAlignment="1" applyProtection="1">
      <alignment horizontal="center"/>
      <protection hidden="1"/>
    </xf>
    <xf numFmtId="0" fontId="157" fillId="16" borderId="1" xfId="0" applyFont="1" applyFill="1" applyBorder="1" applyAlignment="1" applyProtection="1">
      <alignment horizontal="center"/>
      <protection hidden="1"/>
    </xf>
    <xf numFmtId="4" fontId="218" fillId="16" borderId="0" xfId="0" applyNumberFormat="1" applyFont="1" applyFill="1" applyProtection="1">
      <protection hidden="1"/>
    </xf>
    <xf numFmtId="4" fontId="218" fillId="16" borderId="0" xfId="0" applyNumberFormat="1" applyFont="1" applyFill="1" applyAlignment="1" applyProtection="1">
      <alignment horizontal="center"/>
      <protection hidden="1"/>
    </xf>
    <xf numFmtId="0" fontId="157" fillId="16" borderId="137" xfId="0" applyFont="1" applyFill="1" applyBorder="1" applyProtection="1">
      <protection hidden="1"/>
    </xf>
    <xf numFmtId="0" fontId="114" fillId="16" borderId="138" xfId="0" applyFont="1" applyFill="1" applyBorder="1" applyProtection="1">
      <protection hidden="1"/>
    </xf>
    <xf numFmtId="0" fontId="157" fillId="16" borderId="139" xfId="0" applyFont="1" applyFill="1" applyBorder="1" applyProtection="1">
      <protection hidden="1"/>
    </xf>
    <xf numFmtId="0" fontId="157" fillId="16" borderId="0" xfId="0" quotePrefix="1" applyFont="1" applyFill="1" applyAlignment="1" applyProtection="1">
      <alignment horizontal="center"/>
      <protection hidden="1"/>
    </xf>
    <xf numFmtId="0" fontId="114" fillId="16" borderId="140" xfId="0" applyFont="1" applyFill="1" applyBorder="1" applyProtection="1">
      <protection hidden="1"/>
    </xf>
    <xf numFmtId="2" fontId="157" fillId="16" borderId="0" xfId="0" applyNumberFormat="1" applyFont="1" applyFill="1" applyProtection="1">
      <protection hidden="1"/>
    </xf>
    <xf numFmtId="4" fontId="157" fillId="16" borderId="0" xfId="0" applyNumberFormat="1" applyFont="1" applyFill="1" applyAlignment="1" applyProtection="1">
      <alignment horizontal="center"/>
      <protection hidden="1"/>
    </xf>
    <xf numFmtId="0" fontId="219" fillId="16" borderId="0" xfId="0" applyFont="1" applyFill="1" applyProtection="1">
      <protection hidden="1"/>
    </xf>
    <xf numFmtId="0" fontId="219" fillId="16" borderId="0" xfId="0" applyFont="1" applyFill="1" applyAlignment="1" applyProtection="1">
      <alignment horizontal="center"/>
      <protection hidden="1"/>
    </xf>
    <xf numFmtId="0" fontId="114" fillId="16" borderId="45" xfId="0" applyFont="1" applyFill="1" applyBorder="1" applyProtection="1">
      <protection hidden="1"/>
    </xf>
    <xf numFmtId="0" fontId="114" fillId="16" borderId="142" xfId="0" applyFont="1" applyFill="1" applyBorder="1" applyProtection="1">
      <protection hidden="1"/>
    </xf>
    <xf numFmtId="0" fontId="114" fillId="16" borderId="145" xfId="0" applyFont="1" applyFill="1" applyBorder="1" applyAlignment="1" applyProtection="1">
      <alignment horizontal="centerContinuous"/>
      <protection hidden="1"/>
    </xf>
    <xf numFmtId="0" fontId="114" fillId="16" borderId="146" xfId="0" applyFont="1" applyFill="1" applyBorder="1" applyAlignment="1" applyProtection="1">
      <alignment horizontal="centerContinuous"/>
      <protection hidden="1"/>
    </xf>
    <xf numFmtId="0" fontId="165" fillId="0" borderId="0" xfId="0" applyFont="1" applyAlignment="1" applyProtection="1">
      <alignment vertical="center"/>
      <protection hidden="1"/>
    </xf>
    <xf numFmtId="3" fontId="165" fillId="0" borderId="0" xfId="0" applyNumberFormat="1" applyFont="1" applyAlignment="1" applyProtection="1">
      <alignment vertical="center"/>
      <protection hidden="1"/>
    </xf>
    <xf numFmtId="3" fontId="166" fillId="0" borderId="0" xfId="0" applyNumberFormat="1" applyFont="1" applyAlignment="1" applyProtection="1">
      <alignment vertical="center"/>
      <protection hidden="1"/>
    </xf>
    <xf numFmtId="0" fontId="165" fillId="0" borderId="0" xfId="0" applyFont="1" applyProtection="1">
      <protection hidden="1"/>
    </xf>
    <xf numFmtId="0" fontId="220" fillId="16" borderId="139" xfId="0" applyFont="1" applyFill="1" applyBorder="1" applyAlignment="1" applyProtection="1">
      <alignment horizontal="right"/>
      <protection hidden="1"/>
    </xf>
    <xf numFmtId="0" fontId="220" fillId="16" borderId="139" xfId="0" applyFont="1" applyFill="1" applyBorder="1" applyProtection="1">
      <protection hidden="1"/>
    </xf>
    <xf numFmtId="0" fontId="221" fillId="16" borderId="141" xfId="0" applyFont="1" applyFill="1" applyBorder="1" applyProtection="1">
      <protection hidden="1"/>
    </xf>
    <xf numFmtId="0" fontId="220" fillId="16" borderId="136" xfId="0" quotePrefix="1" applyFont="1" applyFill="1" applyBorder="1" applyAlignment="1" applyProtection="1">
      <alignment horizontal="center"/>
      <protection hidden="1"/>
    </xf>
    <xf numFmtId="0" fontId="220" fillId="16" borderId="0" xfId="0" quotePrefix="1" applyFont="1" applyFill="1" applyAlignment="1" applyProtection="1">
      <alignment horizontal="center"/>
      <protection hidden="1"/>
    </xf>
    <xf numFmtId="3" fontId="19" fillId="16" borderId="0" xfId="0" applyNumberFormat="1" applyFont="1" applyFill="1" applyAlignment="1" applyProtection="1">
      <alignment horizontal="center"/>
      <protection hidden="1"/>
    </xf>
    <xf numFmtId="3" fontId="19" fillId="16" borderId="5" xfId="0" applyNumberFormat="1" applyFont="1" applyFill="1" applyBorder="1" applyAlignment="1" applyProtection="1">
      <alignment horizontal="center"/>
      <protection hidden="1"/>
    </xf>
    <xf numFmtId="0" fontId="0" fillId="16" borderId="0" xfId="0" applyFill="1" applyAlignment="1" applyProtection="1">
      <alignment horizontal="center" vertical="center"/>
      <protection hidden="1"/>
    </xf>
    <xf numFmtId="3" fontId="0" fillId="16" borderId="0" xfId="0" applyNumberFormat="1" applyFill="1" applyAlignment="1" applyProtection="1">
      <alignment horizontal="center"/>
      <protection hidden="1"/>
    </xf>
    <xf numFmtId="3" fontId="0" fillId="16" borderId="21" xfId="0" applyNumberFormat="1" applyFill="1" applyBorder="1" applyAlignment="1" applyProtection="1">
      <alignment horizontal="center"/>
      <protection hidden="1"/>
    </xf>
    <xf numFmtId="3" fontId="0" fillId="16" borderId="5" xfId="0" applyNumberFormat="1" applyFill="1" applyBorder="1" applyAlignment="1" applyProtection="1">
      <alignment horizontal="center"/>
      <protection hidden="1"/>
    </xf>
    <xf numFmtId="3" fontId="0" fillId="16" borderId="23" xfId="0" applyNumberFormat="1" applyFill="1" applyBorder="1" applyAlignment="1" applyProtection="1">
      <alignment horizontal="center"/>
      <protection hidden="1"/>
    </xf>
    <xf numFmtId="0" fontId="0" fillId="16" borderId="0" xfId="0" applyFill="1" applyProtection="1">
      <protection locked="0"/>
    </xf>
    <xf numFmtId="0" fontId="3" fillId="16" borderId="116" xfId="0" applyFont="1" applyFill="1" applyBorder="1" applyProtection="1">
      <protection hidden="1"/>
    </xf>
    <xf numFmtId="0" fontId="3" fillId="16" borderId="67" xfId="0" applyFont="1" applyFill="1" applyBorder="1" applyProtection="1">
      <protection hidden="1"/>
    </xf>
    <xf numFmtId="0" fontId="3" fillId="16" borderId="47" xfId="0" applyFont="1" applyFill="1" applyBorder="1" applyProtection="1">
      <protection hidden="1"/>
    </xf>
    <xf numFmtId="0" fontId="3" fillId="16" borderId="59" xfId="0" applyFont="1" applyFill="1" applyBorder="1" applyProtection="1">
      <protection hidden="1"/>
    </xf>
    <xf numFmtId="0" fontId="3" fillId="16" borderId="47" xfId="0" applyFont="1" applyFill="1" applyBorder="1" applyAlignment="1" applyProtection="1">
      <alignment horizontal="center"/>
      <protection hidden="1"/>
    </xf>
    <xf numFmtId="0" fontId="3" fillId="16" borderId="59" xfId="0" applyFont="1" applyFill="1" applyBorder="1" applyAlignment="1" applyProtection="1">
      <alignment horizontal="center"/>
      <protection hidden="1"/>
    </xf>
    <xf numFmtId="0" fontId="3" fillId="16" borderId="51" xfId="0" applyFont="1" applyFill="1" applyBorder="1" applyProtection="1">
      <protection hidden="1"/>
    </xf>
    <xf numFmtId="0" fontId="3" fillId="16" borderId="117" xfId="0" applyFont="1" applyFill="1" applyBorder="1" applyProtection="1">
      <protection hidden="1"/>
    </xf>
    <xf numFmtId="0" fontId="140" fillId="2" borderId="131" xfId="0" applyFont="1" applyFill="1" applyBorder="1" applyProtection="1">
      <protection hidden="1"/>
    </xf>
    <xf numFmtId="0" fontId="138" fillId="2" borderId="3" xfId="0" applyFont="1" applyFill="1" applyBorder="1" applyProtection="1">
      <protection hidden="1"/>
    </xf>
    <xf numFmtId="0" fontId="1" fillId="16" borderId="3" xfId="0" applyFont="1" applyFill="1" applyBorder="1" applyAlignment="1" applyProtection="1">
      <alignment horizontal="center" vertical="center"/>
      <protection locked="0"/>
    </xf>
    <xf numFmtId="0" fontId="3" fillId="0" borderId="1" xfId="0" applyFont="1" applyBorder="1"/>
    <xf numFmtId="0" fontId="3" fillId="16" borderId="9" xfId="0" applyFont="1" applyFill="1" applyBorder="1"/>
    <xf numFmtId="0" fontId="3" fillId="16" borderId="15" xfId="0" applyFont="1" applyFill="1" applyBorder="1"/>
    <xf numFmtId="0" fontId="3" fillId="16" borderId="3" xfId="0" applyFont="1" applyFill="1" applyBorder="1"/>
    <xf numFmtId="0" fontId="3" fillId="16" borderId="25" xfId="0" applyFont="1" applyFill="1" applyBorder="1"/>
    <xf numFmtId="0" fontId="3" fillId="16" borderId="10" xfId="0" applyFont="1" applyFill="1" applyBorder="1"/>
    <xf numFmtId="0" fontId="3" fillId="16" borderId="1" xfId="0" applyFont="1" applyFill="1" applyBorder="1"/>
    <xf numFmtId="0" fontId="3" fillId="16" borderId="12" xfId="0" applyFont="1" applyFill="1" applyBorder="1"/>
    <xf numFmtId="0" fontId="57" fillId="9" borderId="26" xfId="0" applyFont="1" applyFill="1" applyBorder="1" applyAlignment="1" applyProtection="1">
      <alignment horizontal="center"/>
      <protection hidden="1"/>
    </xf>
    <xf numFmtId="0" fontId="17" fillId="16" borderId="1" xfId="0" applyFont="1" applyFill="1" applyBorder="1" applyAlignment="1">
      <alignment wrapText="1"/>
    </xf>
    <xf numFmtId="0" fontId="1" fillId="15" borderId="26" xfId="0" applyFont="1" applyFill="1" applyBorder="1" applyAlignment="1" applyProtection="1">
      <alignment horizontal="center"/>
      <protection hidden="1"/>
    </xf>
    <xf numFmtId="0" fontId="1" fillId="15" borderId="9" xfId="0" applyFont="1" applyFill="1" applyBorder="1" applyAlignment="1" applyProtection="1">
      <alignment horizontal="center"/>
      <protection hidden="1"/>
    </xf>
    <xf numFmtId="0" fontId="5" fillId="15" borderId="9" xfId="0" applyFont="1" applyFill="1" applyBorder="1" applyAlignment="1" applyProtection="1">
      <alignment horizontal="left" wrapText="1" indent="1"/>
      <protection hidden="1"/>
    </xf>
    <xf numFmtId="0" fontId="5" fillId="16" borderId="9" xfId="0" applyFont="1" applyFill="1" applyBorder="1" applyAlignment="1" applyProtection="1">
      <alignment horizontal="left" wrapText="1" indent="1"/>
      <protection hidden="1"/>
    </xf>
    <xf numFmtId="37" fontId="5" fillId="3" borderId="0" xfId="0" applyNumberFormat="1" applyFont="1" applyFill="1" applyAlignment="1" applyProtection="1">
      <alignment horizontal="left"/>
      <protection hidden="1"/>
    </xf>
    <xf numFmtId="0" fontId="0" fillId="16" borderId="0" xfId="0" applyFill="1" applyAlignment="1">
      <alignment vertical="top"/>
    </xf>
    <xf numFmtId="0" fontId="1" fillId="21" borderId="13" xfId="0" applyFont="1" applyFill="1" applyBorder="1" applyAlignment="1" applyProtection="1">
      <alignment horizontal="center" vertical="center"/>
      <protection locked="0"/>
    </xf>
    <xf numFmtId="0" fontId="1" fillId="15" borderId="0" xfId="0" applyFont="1" applyFill="1" applyAlignment="1" applyProtection="1">
      <alignment horizontal="center" vertical="center"/>
      <protection locked="0"/>
    </xf>
    <xf numFmtId="1" fontId="154" fillId="3" borderId="0" xfId="0" applyNumberFormat="1" applyFont="1" applyFill="1" applyAlignment="1" applyProtection="1">
      <alignment horizontal="center"/>
      <protection hidden="1"/>
    </xf>
    <xf numFmtId="0" fontId="1" fillId="3" borderId="31" xfId="0" applyFont="1" applyFill="1" applyBorder="1" applyAlignment="1" applyProtection="1">
      <alignment horizontal="center"/>
      <protection hidden="1"/>
    </xf>
    <xf numFmtId="4" fontId="8" fillId="7" borderId="7" xfId="0" applyNumberFormat="1" applyFont="1" applyFill="1" applyBorder="1" applyAlignment="1" applyProtection="1">
      <alignment horizontal="center"/>
      <protection hidden="1"/>
    </xf>
    <xf numFmtId="4" fontId="8" fillId="7" borderId="13" xfId="0" applyNumberFormat="1" applyFont="1" applyFill="1" applyBorder="1" applyAlignment="1" applyProtection="1">
      <alignment horizontal="center"/>
      <protection hidden="1"/>
    </xf>
    <xf numFmtId="0" fontId="4" fillId="3" borderId="11" xfId="0" applyFont="1" applyFill="1" applyBorder="1" applyAlignment="1" applyProtection="1">
      <alignment horizontal="center"/>
      <protection hidden="1"/>
    </xf>
    <xf numFmtId="0" fontId="1" fillId="15" borderId="1" xfId="0" applyFont="1" applyFill="1" applyBorder="1" applyAlignment="1" applyProtection="1">
      <alignment horizontal="center"/>
      <protection hidden="1"/>
    </xf>
    <xf numFmtId="4" fontId="8" fillId="3" borderId="1" xfId="0" applyNumberFormat="1" applyFont="1" applyFill="1" applyBorder="1" applyAlignment="1" applyProtection="1">
      <alignment horizontal="right"/>
      <protection hidden="1"/>
    </xf>
    <xf numFmtId="1" fontId="3" fillId="3" borderId="1" xfId="0" applyNumberFormat="1" applyFont="1" applyFill="1" applyBorder="1" applyAlignment="1" applyProtection="1">
      <alignment horizontal="right"/>
      <protection hidden="1"/>
    </xf>
    <xf numFmtId="37" fontId="138" fillId="3" borderId="31" xfId="0" applyNumberFormat="1" applyFont="1" applyFill="1" applyBorder="1" applyAlignment="1" applyProtection="1">
      <alignment horizontal="right"/>
      <protection hidden="1"/>
    </xf>
    <xf numFmtId="37" fontId="138" fillId="3" borderId="3" xfId="0" applyNumberFormat="1" applyFont="1" applyFill="1" applyBorder="1" applyAlignment="1" applyProtection="1">
      <alignment horizontal="right"/>
      <protection hidden="1"/>
    </xf>
    <xf numFmtId="0" fontId="3" fillId="3" borderId="0" xfId="0" applyFont="1" applyFill="1" applyAlignment="1" applyProtection="1">
      <alignment horizontal="right"/>
      <protection hidden="1"/>
    </xf>
    <xf numFmtId="4" fontId="6" fillId="3" borderId="0" xfId="0" applyNumberFormat="1" applyFont="1" applyFill="1" applyAlignment="1" applyProtection="1">
      <alignment horizontal="center"/>
      <protection hidden="1"/>
    </xf>
    <xf numFmtId="39" fontId="1" fillId="3" borderId="0" xfId="0" applyNumberFormat="1" applyFont="1" applyFill="1" applyAlignment="1" applyProtection="1">
      <alignment horizontal="center" vertical="center"/>
      <protection hidden="1"/>
    </xf>
    <xf numFmtId="0" fontId="222" fillId="5" borderId="0" xfId="0" applyFont="1" applyFill="1" applyAlignment="1" applyProtection="1">
      <alignment horizontal="left"/>
      <protection hidden="1"/>
    </xf>
    <xf numFmtId="4" fontId="1" fillId="3" borderId="25" xfId="0" applyNumberFormat="1" applyFont="1" applyFill="1" applyBorder="1" applyAlignment="1" applyProtection="1">
      <alignment horizontal="right" vertical="center"/>
      <protection hidden="1"/>
    </xf>
    <xf numFmtId="0" fontId="223" fillId="5" borderId="0" xfId="0" applyFont="1" applyFill="1" applyAlignment="1" applyProtection="1">
      <alignment horizontal="center"/>
      <protection hidden="1"/>
    </xf>
    <xf numFmtId="3" fontId="5" fillId="5" borderId="0" xfId="0" applyNumberFormat="1" applyFont="1" applyFill="1" applyAlignment="1" applyProtection="1">
      <alignment horizontal="right"/>
      <protection hidden="1"/>
    </xf>
    <xf numFmtId="39" fontId="138" fillId="3" borderId="31" xfId="0" applyNumberFormat="1" applyFont="1" applyFill="1" applyBorder="1" applyAlignment="1" applyProtection="1">
      <alignment horizontal="right"/>
      <protection hidden="1"/>
    </xf>
    <xf numFmtId="0" fontId="139" fillId="5" borderId="0" xfId="0" applyFont="1" applyFill="1" applyAlignment="1">
      <alignment horizontal="left" vertical="center"/>
    </xf>
    <xf numFmtId="4" fontId="138" fillId="0" borderId="0" xfId="0" applyNumberFormat="1" applyFont="1" applyProtection="1">
      <protection hidden="1"/>
    </xf>
    <xf numFmtId="4" fontId="138" fillId="0" borderId="0" xfId="0" applyNumberFormat="1" applyFont="1" applyAlignment="1" applyProtection="1">
      <alignment horizontal="right"/>
      <protection hidden="1"/>
    </xf>
    <xf numFmtId="4" fontId="138" fillId="0" borderId="0" xfId="0" applyNumberFormat="1" applyFont="1" applyAlignment="1" applyProtection="1">
      <alignment horizontal="center"/>
      <protection hidden="1"/>
    </xf>
    <xf numFmtId="0" fontId="64" fillId="5" borderId="9" xfId="0" applyFont="1" applyFill="1" applyBorder="1" applyProtection="1">
      <protection hidden="1"/>
    </xf>
    <xf numFmtId="0" fontId="0" fillId="5" borderId="9" xfId="0" applyFill="1" applyBorder="1" applyProtection="1">
      <protection hidden="1"/>
    </xf>
    <xf numFmtId="0" fontId="64" fillId="5" borderId="9" xfId="0" applyFont="1" applyFill="1" applyBorder="1" applyAlignment="1" applyProtection="1">
      <alignment horizontal="center"/>
      <protection hidden="1"/>
    </xf>
    <xf numFmtId="3" fontId="224" fillId="0" borderId="8" xfId="0" applyNumberFormat="1" applyFont="1" applyBorder="1" applyAlignment="1" applyProtection="1">
      <alignment horizontal="center" wrapText="1"/>
      <protection hidden="1"/>
    </xf>
    <xf numFmtId="0" fontId="221" fillId="0" borderId="0" xfId="0" applyFont="1" applyProtection="1">
      <protection hidden="1"/>
    </xf>
    <xf numFmtId="3" fontId="220" fillId="0" borderId="0" xfId="0" applyNumberFormat="1" applyFont="1" applyProtection="1">
      <protection hidden="1"/>
    </xf>
    <xf numFmtId="0" fontId="117" fillId="16" borderId="144" xfId="0" applyFont="1" applyFill="1" applyBorder="1" applyAlignment="1" applyProtection="1">
      <alignment horizontal="centerContinuous"/>
      <protection hidden="1"/>
    </xf>
    <xf numFmtId="0" fontId="138" fillId="16" borderId="0" xfId="0" applyFont="1" applyFill="1" applyAlignment="1" applyProtection="1">
      <alignment horizontal="center" vertical="center"/>
      <protection hidden="1"/>
    </xf>
    <xf numFmtId="0" fontId="150" fillId="2" borderId="46" xfId="0" applyFont="1" applyFill="1" applyBorder="1" applyAlignment="1" applyProtection="1">
      <alignment horizontal="left"/>
      <protection hidden="1"/>
    </xf>
    <xf numFmtId="0" fontId="1" fillId="2" borderId="0" xfId="0" applyFont="1" applyFill="1" applyAlignment="1" applyProtection="1">
      <alignment horizontal="left" wrapText="1" indent="1"/>
      <protection hidden="1"/>
    </xf>
    <xf numFmtId="4" fontId="3" fillId="2" borderId="0" xfId="0" applyNumberFormat="1" applyFont="1" applyFill="1" applyAlignment="1" applyProtection="1">
      <alignment horizontal="left" indent="1"/>
      <protection hidden="1"/>
    </xf>
    <xf numFmtId="0" fontId="3" fillId="2" borderId="0" xfId="0" applyFont="1" applyFill="1" applyAlignment="1" applyProtection="1">
      <alignment horizontal="left" indent="1"/>
      <protection hidden="1"/>
    </xf>
    <xf numFmtId="0" fontId="3" fillId="2" borderId="15" xfId="0" applyFont="1" applyFill="1" applyBorder="1" applyAlignment="1" applyProtection="1">
      <alignment horizontal="left" indent="1"/>
      <protection hidden="1"/>
    </xf>
    <xf numFmtId="4" fontId="3" fillId="16" borderId="3" xfId="0" applyNumberFormat="1" applyFont="1" applyFill="1" applyBorder="1" applyAlignment="1" applyProtection="1">
      <alignment horizontal="left" indent="1"/>
      <protection hidden="1"/>
    </xf>
    <xf numFmtId="0" fontId="3"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Continuous" vertical="center"/>
      <protection hidden="1"/>
    </xf>
    <xf numFmtId="0" fontId="0" fillId="2" borderId="0" xfId="0" applyFill="1" applyAlignment="1" applyProtection="1">
      <alignment horizontal="centerContinuous" vertical="center"/>
      <protection hidden="1"/>
    </xf>
    <xf numFmtId="0" fontId="0" fillId="2" borderId="25" xfId="0" applyFill="1" applyBorder="1" applyAlignment="1" applyProtection="1">
      <alignment horizontal="centerContinuous"/>
      <protection hidden="1"/>
    </xf>
    <xf numFmtId="0" fontId="6" fillId="2" borderId="0" xfId="0" applyFont="1" applyFill="1" applyAlignment="1" applyProtection="1">
      <alignment horizontal="center" vertical="center"/>
      <protection hidden="1"/>
    </xf>
    <xf numFmtId="0" fontId="6" fillId="2" borderId="0" xfId="0" applyFont="1" applyFill="1" applyAlignment="1" applyProtection="1">
      <alignment horizontal="left" vertical="center" indent="1"/>
      <protection hidden="1"/>
    </xf>
    <xf numFmtId="0" fontId="1" fillId="0" borderId="2" xfId="0" applyFont="1" applyBorder="1" applyAlignment="1">
      <alignment horizontal="center"/>
    </xf>
    <xf numFmtId="0" fontId="137" fillId="0" borderId="0" xfId="0" applyFont="1"/>
    <xf numFmtId="0" fontId="138" fillId="2" borderId="1" xfId="0" applyFont="1" applyFill="1" applyBorder="1" applyProtection="1">
      <protection hidden="1"/>
    </xf>
    <xf numFmtId="0" fontId="144" fillId="2" borderId="0" xfId="0" applyFont="1" applyFill="1" applyAlignment="1" applyProtection="1">
      <alignment wrapText="1"/>
      <protection hidden="1"/>
    </xf>
    <xf numFmtId="0" fontId="203" fillId="16" borderId="0" xfId="0" applyFont="1" applyFill="1" applyAlignment="1" applyProtection="1">
      <alignment vertical="center"/>
      <protection hidden="1"/>
    </xf>
    <xf numFmtId="0" fontId="0" fillId="8" borderId="72" xfId="0" applyFill="1" applyBorder="1" applyProtection="1">
      <protection hidden="1"/>
    </xf>
    <xf numFmtId="0" fontId="0" fillId="8" borderId="17" xfId="0" applyFill="1" applyBorder="1" applyProtection="1">
      <protection hidden="1"/>
    </xf>
    <xf numFmtId="0" fontId="0" fillId="8" borderId="33" xfId="0" applyFill="1" applyBorder="1" applyProtection="1">
      <protection hidden="1"/>
    </xf>
    <xf numFmtId="0" fontId="0" fillId="8" borderId="105" xfId="0" applyFill="1" applyBorder="1" applyProtection="1">
      <protection hidden="1"/>
    </xf>
    <xf numFmtId="0" fontId="181" fillId="16" borderId="0" xfId="0" applyFont="1" applyFill="1" applyAlignment="1" applyProtection="1">
      <alignment horizontal="center" vertical="center"/>
      <protection hidden="1"/>
    </xf>
    <xf numFmtId="0" fontId="0" fillId="8" borderId="76" xfId="0" applyFill="1" applyBorder="1" applyProtection="1">
      <protection hidden="1"/>
    </xf>
    <xf numFmtId="0" fontId="10" fillId="16" borderId="0" xfId="0" applyFont="1" applyFill="1" applyAlignment="1" applyProtection="1">
      <alignment horizontal="center"/>
      <protection hidden="1"/>
    </xf>
    <xf numFmtId="0" fontId="181" fillId="16" borderId="0" xfId="0" applyFont="1" applyFill="1" applyAlignment="1" applyProtection="1">
      <alignment vertical="top"/>
      <protection hidden="1"/>
    </xf>
    <xf numFmtId="0" fontId="1" fillId="0" borderId="0" xfId="0" applyFont="1" applyAlignment="1" applyProtection="1">
      <alignment horizontal="center"/>
      <protection hidden="1"/>
    </xf>
    <xf numFmtId="0" fontId="0" fillId="8" borderId="73" xfId="0" applyFill="1" applyBorder="1" applyProtection="1">
      <protection hidden="1"/>
    </xf>
    <xf numFmtId="0" fontId="0" fillId="8" borderId="14" xfId="0" applyFill="1" applyBorder="1" applyProtection="1">
      <protection hidden="1"/>
    </xf>
    <xf numFmtId="0" fontId="0" fillId="8" borderId="34" xfId="0" applyFill="1" applyBorder="1" applyProtection="1">
      <protection hidden="1"/>
    </xf>
    <xf numFmtId="0" fontId="138" fillId="2" borderId="3" xfId="0" applyFont="1" applyFill="1" applyBorder="1" applyAlignment="1" applyProtection="1">
      <alignment vertical="top"/>
      <protection hidden="1"/>
    </xf>
    <xf numFmtId="0" fontId="1" fillId="34" borderId="2" xfId="0" applyFont="1" applyFill="1" applyBorder="1" applyAlignment="1" applyProtection="1">
      <alignment horizontal="center" vertical="center" wrapText="1"/>
      <protection hidden="1"/>
    </xf>
    <xf numFmtId="0" fontId="150" fillId="8" borderId="0" xfId="0" applyFont="1" applyFill="1" applyAlignment="1" applyProtection="1">
      <alignment vertical="center"/>
      <protection hidden="1"/>
    </xf>
    <xf numFmtId="0" fontId="11" fillId="16" borderId="0" xfId="0" applyFont="1" applyFill="1" applyAlignment="1" applyProtection="1">
      <alignment horizontal="center" vertical="center"/>
      <protection hidden="1"/>
    </xf>
    <xf numFmtId="0" fontId="208" fillId="16" borderId="0" xfId="0" applyFont="1" applyFill="1" applyProtection="1">
      <protection hidden="1"/>
    </xf>
    <xf numFmtId="0" fontId="150" fillId="8" borderId="0" xfId="0" applyFont="1" applyFill="1" applyAlignment="1" applyProtection="1">
      <alignment horizontal="center"/>
      <protection hidden="1"/>
    </xf>
    <xf numFmtId="0" fontId="150" fillId="8" borderId="0" xfId="0" applyFont="1" applyFill="1" applyAlignment="1" applyProtection="1">
      <alignment horizontal="center" vertical="center"/>
      <protection hidden="1"/>
    </xf>
    <xf numFmtId="0" fontId="150" fillId="8" borderId="0" xfId="0" applyFont="1" applyFill="1" applyAlignment="1" applyProtection="1">
      <alignment horizontal="center" vertical="top"/>
      <protection hidden="1"/>
    </xf>
    <xf numFmtId="39" fontId="6" fillId="3" borderId="5" xfId="0" applyNumberFormat="1" applyFont="1" applyFill="1" applyBorder="1" applyAlignment="1" applyProtection="1">
      <alignment horizontal="right"/>
      <protection hidden="1"/>
    </xf>
    <xf numFmtId="0" fontId="137" fillId="16" borderId="0" xfId="0" applyFont="1" applyFill="1"/>
    <xf numFmtId="0" fontId="16" fillId="2" borderId="1" xfId="0" applyFont="1" applyFill="1" applyBorder="1" applyAlignment="1" applyProtection="1">
      <alignment horizontal="center" wrapText="1"/>
      <protection hidden="1"/>
    </xf>
    <xf numFmtId="0" fontId="22" fillId="2" borderId="149" xfId="0" applyFont="1" applyFill="1" applyBorder="1" applyAlignment="1" applyProtection="1">
      <alignment horizontal="left" vertical="center"/>
      <protection hidden="1"/>
    </xf>
    <xf numFmtId="0" fontId="4" fillId="2" borderId="149" xfId="0" applyFont="1" applyFill="1" applyBorder="1" applyAlignment="1" applyProtection="1">
      <alignment horizontal="left" vertical="center" wrapText="1"/>
      <protection hidden="1"/>
    </xf>
    <xf numFmtId="0" fontId="4" fillId="2" borderId="149" xfId="0" applyFont="1" applyFill="1" applyBorder="1" applyAlignment="1" applyProtection="1">
      <alignment horizontal="center" vertical="center" wrapText="1"/>
      <protection hidden="1"/>
    </xf>
    <xf numFmtId="0" fontId="150" fillId="2" borderId="149" xfId="0" applyFont="1" applyFill="1" applyBorder="1" applyAlignment="1" applyProtection="1">
      <alignment horizontal="left"/>
      <protection hidden="1"/>
    </xf>
    <xf numFmtId="0" fontId="137" fillId="16" borderId="0" xfId="0" applyFont="1" applyFill="1" applyAlignment="1">
      <alignment vertical="top"/>
    </xf>
    <xf numFmtId="4" fontId="137" fillId="0" borderId="0" xfId="0" applyNumberFormat="1" applyFont="1" applyAlignment="1" applyProtection="1">
      <alignment vertical="top"/>
      <protection hidden="1"/>
    </xf>
    <xf numFmtId="0" fontId="136" fillId="2" borderId="0" xfId="0" applyFont="1" applyFill="1" applyAlignment="1" applyProtection="1">
      <alignment vertical="top"/>
      <protection hidden="1"/>
    </xf>
    <xf numFmtId="4" fontId="19" fillId="2" borderId="0" xfId="0" applyNumberFormat="1" applyFont="1" applyFill="1" applyAlignment="1" applyProtection="1">
      <alignment horizontal="right" vertical="top"/>
      <protection hidden="1"/>
    </xf>
    <xf numFmtId="4" fontId="19" fillId="2" borderId="0" xfId="0" applyNumberFormat="1" applyFont="1" applyFill="1" applyAlignment="1" applyProtection="1">
      <alignment vertical="top"/>
      <protection hidden="1"/>
    </xf>
    <xf numFmtId="0" fontId="4" fillId="0" borderId="0" xfId="0" applyFont="1" applyAlignment="1" applyProtection="1">
      <alignment vertical="top"/>
      <protection hidden="1"/>
    </xf>
    <xf numFmtId="0" fontId="22" fillId="16" borderId="149" xfId="0" applyFont="1" applyFill="1" applyBorder="1" applyAlignment="1" applyProtection="1">
      <alignment horizontal="left" vertical="center"/>
      <protection hidden="1"/>
    </xf>
    <xf numFmtId="0" fontId="4" fillId="16" borderId="149" xfId="0" applyFont="1" applyFill="1" applyBorder="1" applyAlignment="1" applyProtection="1">
      <alignment horizontal="left" vertical="center" wrapText="1"/>
      <protection hidden="1"/>
    </xf>
    <xf numFmtId="0" fontId="4" fillId="16" borderId="149" xfId="0" applyFont="1" applyFill="1" applyBorder="1" applyAlignment="1" applyProtection="1">
      <alignment horizontal="center" vertical="center" wrapText="1"/>
      <protection hidden="1"/>
    </xf>
    <xf numFmtId="0" fontId="150" fillId="16" borderId="149" xfId="0" applyFont="1" applyFill="1" applyBorder="1" applyAlignment="1" applyProtection="1">
      <alignment horizontal="left"/>
      <protection hidden="1"/>
    </xf>
    <xf numFmtId="0" fontId="0" fillId="16" borderId="149" xfId="0" applyFill="1" applyBorder="1" applyAlignment="1" applyProtection="1">
      <alignment vertical="center" wrapText="1"/>
      <protection hidden="1"/>
    </xf>
    <xf numFmtId="0" fontId="0" fillId="16" borderId="149" xfId="0" applyFill="1" applyBorder="1"/>
    <xf numFmtId="0" fontId="21" fillId="2" borderId="46" xfId="0" applyFont="1" applyFill="1" applyBorder="1" applyAlignment="1" applyProtection="1">
      <alignment horizontal="left" vertical="center" wrapText="1"/>
      <protection hidden="1"/>
    </xf>
    <xf numFmtId="0" fontId="21" fillId="2" borderId="46" xfId="0" applyFont="1" applyFill="1" applyBorder="1" applyAlignment="1" applyProtection="1">
      <alignment horizontal="center" vertical="center" wrapText="1"/>
      <protection hidden="1"/>
    </xf>
    <xf numFmtId="0" fontId="84" fillId="2" borderId="0" xfId="0" applyFont="1" applyFill="1" applyAlignment="1" applyProtection="1">
      <alignment vertical="center" wrapText="1"/>
      <protection hidden="1"/>
    </xf>
    <xf numFmtId="0" fontId="84" fillId="0" borderId="0" xfId="0" applyFont="1" applyAlignment="1" applyProtection="1">
      <alignment vertical="center" wrapText="1"/>
      <protection hidden="1"/>
    </xf>
    <xf numFmtId="0" fontId="84" fillId="0" borderId="0" xfId="0" applyFont="1"/>
    <xf numFmtId="0" fontId="49" fillId="2" borderId="45" xfId="0" applyFont="1" applyFill="1" applyBorder="1" applyAlignment="1" applyProtection="1">
      <alignment horizontal="left"/>
      <protection hidden="1"/>
    </xf>
    <xf numFmtId="0" fontId="49" fillId="2" borderId="149" xfId="0" applyFont="1" applyFill="1" applyBorder="1" applyAlignment="1" applyProtection="1">
      <alignment horizontal="left"/>
      <protection hidden="1"/>
    </xf>
    <xf numFmtId="0" fontId="21" fillId="2" borderId="45" xfId="0" applyFont="1" applyFill="1" applyBorder="1" applyAlignment="1" applyProtection="1">
      <alignment horizontal="left"/>
      <protection hidden="1"/>
    </xf>
    <xf numFmtId="0" fontId="21" fillId="16" borderId="149" xfId="0" applyFont="1" applyFill="1" applyBorder="1" applyAlignment="1" applyProtection="1">
      <alignment horizontal="left"/>
      <protection hidden="1"/>
    </xf>
    <xf numFmtId="0" fontId="10" fillId="2" borderId="5"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 fontId="19" fillId="28" borderId="50" xfId="0" applyNumberFormat="1" applyFont="1" applyFill="1" applyBorder="1" applyAlignment="1" applyProtection="1">
      <alignment horizontal="right"/>
      <protection hidden="1"/>
    </xf>
    <xf numFmtId="4" fontId="19" fillId="28" borderId="50" xfId="0" applyNumberFormat="1" applyFont="1" applyFill="1" applyBorder="1" applyAlignment="1" applyProtection="1">
      <alignment horizontal="center"/>
      <protection hidden="1"/>
    </xf>
    <xf numFmtId="49" fontId="3" fillId="33" borderId="154" xfId="0" applyNumberFormat="1" applyFont="1" applyFill="1" applyBorder="1" applyAlignment="1" applyProtection="1">
      <alignment horizontal="right"/>
      <protection locked="0"/>
    </xf>
    <xf numFmtId="49" fontId="3" fillId="33" borderId="155" xfId="0" applyNumberFormat="1" applyFont="1" applyFill="1" applyBorder="1" applyAlignment="1" applyProtection="1">
      <alignment horizontal="right"/>
      <protection locked="0"/>
    </xf>
    <xf numFmtId="49" fontId="8" fillId="33" borderId="154" xfId="0" applyNumberFormat="1" applyFont="1" applyFill="1" applyBorder="1" applyAlignment="1" applyProtection="1">
      <alignment horizontal="right"/>
      <protection locked="0"/>
    </xf>
    <xf numFmtId="49" fontId="8" fillId="33" borderId="155" xfId="0" applyNumberFormat="1" applyFont="1" applyFill="1" applyBorder="1" applyAlignment="1" applyProtection="1">
      <alignment horizontal="right"/>
      <protection locked="0"/>
    </xf>
    <xf numFmtId="49" fontId="8" fillId="33" borderId="156" xfId="0" applyNumberFormat="1" applyFont="1" applyFill="1" applyBorder="1" applyAlignment="1" applyProtection="1">
      <alignment horizontal="right"/>
      <protection locked="0"/>
    </xf>
    <xf numFmtId="49" fontId="8" fillId="33" borderId="157" xfId="0" applyNumberFormat="1" applyFont="1" applyFill="1" applyBorder="1" applyAlignment="1" applyProtection="1">
      <alignment horizontal="right"/>
      <protection locked="0"/>
    </xf>
    <xf numFmtId="0" fontId="1" fillId="2" borderId="48" xfId="0" applyFont="1" applyFill="1" applyBorder="1" applyAlignment="1" applyProtection="1">
      <alignment horizontal="right"/>
      <protection hidden="1"/>
    </xf>
    <xf numFmtId="0" fontId="1" fillId="2" borderId="40" xfId="0" applyFont="1" applyFill="1" applyBorder="1" applyAlignment="1" applyProtection="1">
      <alignment horizontal="right"/>
      <protection hidden="1"/>
    </xf>
    <xf numFmtId="0" fontId="1" fillId="2" borderId="53" xfId="0" applyFont="1" applyFill="1" applyBorder="1" applyAlignment="1" applyProtection="1">
      <alignment horizontal="right"/>
      <protection hidden="1"/>
    </xf>
    <xf numFmtId="4" fontId="4" fillId="2" borderId="0" xfId="0" applyNumberFormat="1" applyFont="1" applyFill="1" applyAlignment="1" applyProtection="1">
      <alignment horizontal="center"/>
      <protection hidden="1"/>
    </xf>
    <xf numFmtId="4" fontId="3" fillId="33" borderId="150" xfId="0" applyNumberFormat="1" applyFont="1" applyFill="1" applyBorder="1" applyAlignment="1" applyProtection="1">
      <alignment horizontal="center"/>
      <protection locked="0"/>
    </xf>
    <xf numFmtId="4" fontId="3" fillId="33" borderId="151" xfId="0" applyNumberFormat="1" applyFont="1" applyFill="1" applyBorder="1" applyAlignment="1" applyProtection="1">
      <alignment horizontal="center"/>
      <protection locked="0"/>
    </xf>
    <xf numFmtId="4" fontId="3" fillId="33" borderId="153" xfId="0" applyNumberFormat="1" applyFont="1" applyFill="1" applyBorder="1" applyAlignment="1" applyProtection="1">
      <alignment horizontal="center"/>
      <protection locked="0"/>
    </xf>
    <xf numFmtId="4" fontId="4" fillId="28" borderId="162" xfId="0" applyNumberFormat="1" applyFont="1" applyFill="1" applyBorder="1" applyAlignment="1" applyProtection="1">
      <alignment horizontal="center"/>
      <protection hidden="1"/>
    </xf>
    <xf numFmtId="4" fontId="1" fillId="28" borderId="50" xfId="0" applyNumberFormat="1" applyFont="1" applyFill="1" applyBorder="1" applyAlignment="1" applyProtection="1">
      <alignment horizontal="right"/>
      <protection hidden="1"/>
    </xf>
    <xf numFmtId="4" fontId="3" fillId="33" borderId="150" xfId="0" applyNumberFormat="1" applyFont="1" applyFill="1" applyBorder="1" applyProtection="1">
      <protection locked="0"/>
    </xf>
    <xf numFmtId="4" fontId="3" fillId="33" borderId="151" xfId="0" applyNumberFormat="1" applyFont="1" applyFill="1" applyBorder="1" applyProtection="1">
      <protection locked="0"/>
    </xf>
    <xf numFmtId="4" fontId="3" fillId="33" borderId="154" xfId="0" applyNumberFormat="1" applyFont="1" applyFill="1" applyBorder="1" applyAlignment="1" applyProtection="1">
      <alignment horizontal="right"/>
      <protection locked="0"/>
    </xf>
    <xf numFmtId="4" fontId="3" fillId="33" borderId="155" xfId="0" applyNumberFormat="1" applyFont="1" applyFill="1" applyBorder="1" applyAlignment="1" applyProtection="1">
      <alignment horizontal="right"/>
      <protection locked="0"/>
    </xf>
    <xf numFmtId="4" fontId="3" fillId="33" borderId="156" xfId="0" applyNumberFormat="1" applyFont="1" applyFill="1" applyBorder="1" applyAlignment="1" applyProtection="1">
      <alignment horizontal="right"/>
      <protection locked="0"/>
    </xf>
    <xf numFmtId="4" fontId="3" fillId="33" borderId="157" xfId="0" applyNumberFormat="1" applyFont="1" applyFill="1" applyBorder="1" applyAlignment="1" applyProtection="1">
      <alignment horizontal="right"/>
      <protection locked="0"/>
    </xf>
    <xf numFmtId="49" fontId="3" fillId="33" borderId="156" xfId="0" applyNumberFormat="1" applyFont="1" applyFill="1" applyBorder="1" applyAlignment="1" applyProtection="1">
      <alignment horizontal="right"/>
      <protection locked="0"/>
    </xf>
    <xf numFmtId="49" fontId="3" fillId="33" borderId="157" xfId="0" applyNumberFormat="1" applyFont="1" applyFill="1" applyBorder="1" applyAlignment="1" applyProtection="1">
      <alignment horizontal="right"/>
      <protection locked="0"/>
    </xf>
    <xf numFmtId="171" fontId="3" fillId="33" borderId="154" xfId="0" applyNumberFormat="1" applyFont="1" applyFill="1" applyBorder="1" applyAlignment="1" applyProtection="1">
      <alignment horizontal="right"/>
      <protection locked="0"/>
    </xf>
    <xf numFmtId="171" fontId="3" fillId="33" borderId="155" xfId="0" applyNumberFormat="1" applyFont="1" applyFill="1" applyBorder="1" applyAlignment="1" applyProtection="1">
      <alignment horizontal="right"/>
      <protection locked="0"/>
    </xf>
    <xf numFmtId="171" fontId="3" fillId="33" borderId="156" xfId="0" applyNumberFormat="1" applyFont="1" applyFill="1" applyBorder="1" applyAlignment="1" applyProtection="1">
      <alignment horizontal="right"/>
      <protection locked="0"/>
    </xf>
    <xf numFmtId="171" fontId="3" fillId="33" borderId="157" xfId="0" applyNumberFormat="1" applyFont="1" applyFill="1" applyBorder="1" applyAlignment="1" applyProtection="1">
      <alignment horizontal="right"/>
      <protection locked="0"/>
    </xf>
    <xf numFmtId="4" fontId="3" fillId="33" borderId="158" xfId="0" applyNumberFormat="1" applyFont="1" applyFill="1" applyBorder="1" applyAlignment="1" applyProtection="1">
      <alignment horizontal="right"/>
      <protection locked="0"/>
    </xf>
    <xf numFmtId="4" fontId="3" fillId="33" borderId="159" xfId="0" applyNumberFormat="1" applyFont="1" applyFill="1" applyBorder="1" applyAlignment="1" applyProtection="1">
      <alignment horizontal="right"/>
      <protection locked="0"/>
    </xf>
    <xf numFmtId="4" fontId="3" fillId="33" borderId="160" xfId="0" applyNumberFormat="1" applyFont="1" applyFill="1" applyBorder="1" applyAlignment="1" applyProtection="1">
      <alignment horizontal="right"/>
      <protection locked="0"/>
    </xf>
    <xf numFmtId="4" fontId="3" fillId="33" borderId="161" xfId="0" applyNumberFormat="1" applyFont="1" applyFill="1" applyBorder="1" applyAlignment="1" applyProtection="1">
      <alignment horizontal="right"/>
      <protection locked="0"/>
    </xf>
    <xf numFmtId="4" fontId="3" fillId="2" borderId="50" xfId="0" applyNumberFormat="1" applyFont="1" applyFill="1" applyBorder="1" applyAlignment="1" applyProtection="1">
      <alignment horizontal="right"/>
      <protection hidden="1"/>
    </xf>
    <xf numFmtId="4" fontId="3" fillId="2" borderId="50" xfId="0" applyNumberFormat="1" applyFont="1" applyFill="1" applyBorder="1" applyAlignment="1" applyProtection="1">
      <alignment horizontal="center"/>
      <protection hidden="1"/>
    </xf>
    <xf numFmtId="171" fontId="3" fillId="2" borderId="50" xfId="0" applyNumberFormat="1" applyFont="1" applyFill="1" applyBorder="1" applyAlignment="1" applyProtection="1">
      <alignment horizontal="right"/>
      <protection hidden="1"/>
    </xf>
    <xf numFmtId="4" fontId="3" fillId="2" borderId="54" xfId="0" applyNumberFormat="1" applyFont="1" applyFill="1" applyBorder="1" applyAlignment="1" applyProtection="1">
      <alignment horizontal="right"/>
      <protection hidden="1"/>
    </xf>
    <xf numFmtId="0" fontId="3" fillId="0" borderId="0" xfId="0" applyFont="1" applyAlignment="1">
      <alignment wrapText="1"/>
    </xf>
    <xf numFmtId="4" fontId="117" fillId="0" borderId="8" xfId="0" applyNumberFormat="1" applyFont="1" applyBorder="1" applyAlignment="1" applyProtection="1">
      <alignment horizontal="center" wrapText="1"/>
      <protection hidden="1"/>
    </xf>
    <xf numFmtId="4" fontId="157" fillId="0" borderId="0" xfId="0" applyNumberFormat="1" applyFont="1" applyProtection="1">
      <protection hidden="1"/>
    </xf>
    <xf numFmtId="0" fontId="114" fillId="0" borderId="0" xfId="0" applyFont="1" applyAlignment="1" applyProtection="1">
      <alignment horizontal="center"/>
      <protection hidden="1"/>
    </xf>
    <xf numFmtId="0" fontId="138" fillId="16" borderId="0" xfId="0" applyFont="1" applyFill="1" applyAlignment="1" applyProtection="1">
      <alignment horizontal="right"/>
      <protection hidden="1"/>
    </xf>
    <xf numFmtId="3" fontId="19" fillId="16" borderId="21" xfId="0" applyNumberFormat="1" applyFont="1" applyFill="1" applyBorder="1" applyAlignment="1" applyProtection="1">
      <alignment horizontal="center" vertical="center"/>
      <protection hidden="1"/>
    </xf>
    <xf numFmtId="3" fontId="3" fillId="16" borderId="21" xfId="0" applyNumberFormat="1" applyFont="1" applyFill="1" applyBorder="1" applyAlignment="1" applyProtection="1">
      <alignment horizontal="center"/>
      <protection hidden="1"/>
    </xf>
    <xf numFmtId="4" fontId="1" fillId="2" borderId="6" xfId="0" applyNumberFormat="1" applyFont="1" applyFill="1" applyBorder="1" applyAlignment="1" applyProtection="1">
      <alignment horizontal="left" indent="1"/>
      <protection hidden="1"/>
    </xf>
    <xf numFmtId="4" fontId="64" fillId="2" borderId="0" xfId="0" applyNumberFormat="1" applyFont="1" applyFill="1" applyAlignment="1" applyProtection="1">
      <alignment vertical="top"/>
      <protection hidden="1"/>
    </xf>
    <xf numFmtId="171" fontId="19" fillId="2" borderId="40" xfId="0" applyNumberFormat="1" applyFont="1" applyFill="1" applyBorder="1" applyAlignment="1" applyProtection="1">
      <alignment horizontal="right"/>
      <protection locked="0"/>
    </xf>
    <xf numFmtId="49" fontId="3" fillId="33" borderId="154" xfId="0" applyNumberFormat="1" applyFont="1" applyFill="1" applyBorder="1" applyAlignment="1" applyProtection="1">
      <alignment horizontal="center"/>
      <protection locked="0"/>
    </xf>
    <xf numFmtId="49" fontId="3" fillId="33" borderId="155" xfId="0" applyNumberFormat="1" applyFont="1" applyFill="1" applyBorder="1" applyAlignment="1" applyProtection="1">
      <alignment horizontal="center"/>
      <protection locked="0"/>
    </xf>
    <xf numFmtId="49" fontId="3" fillId="33" borderId="157" xfId="0" applyNumberFormat="1" applyFont="1" applyFill="1" applyBorder="1" applyAlignment="1" applyProtection="1">
      <alignment horizontal="center"/>
      <protection locked="0"/>
    </xf>
    <xf numFmtId="49" fontId="3" fillId="33" borderId="158" xfId="0" applyNumberFormat="1" applyFont="1" applyFill="1" applyBorder="1" applyAlignment="1" applyProtection="1">
      <alignment horizontal="center"/>
      <protection locked="0"/>
    </xf>
    <xf numFmtId="49" fontId="3" fillId="33" borderId="159" xfId="0" applyNumberFormat="1" applyFont="1" applyFill="1" applyBorder="1" applyAlignment="1" applyProtection="1">
      <alignment horizontal="center"/>
      <protection locked="0"/>
    </xf>
    <xf numFmtId="49" fontId="3" fillId="33" borderId="161" xfId="0" applyNumberFormat="1" applyFont="1" applyFill="1" applyBorder="1" applyAlignment="1" applyProtection="1">
      <alignment horizontal="center"/>
      <protection locked="0"/>
    </xf>
    <xf numFmtId="0" fontId="4" fillId="5" borderId="0" xfId="0" applyFont="1" applyFill="1" applyAlignment="1" applyProtection="1">
      <alignment horizontal="left"/>
      <protection hidden="1"/>
    </xf>
    <xf numFmtId="0" fontId="10" fillId="2" borderId="0" xfId="0" applyFont="1" applyFill="1" applyProtection="1">
      <protection hidden="1"/>
    </xf>
    <xf numFmtId="0" fontId="60" fillId="2" borderId="0" xfId="0" applyFont="1" applyFill="1" applyProtection="1">
      <protection hidden="1"/>
    </xf>
    <xf numFmtId="0" fontId="1" fillId="2" borderId="0" xfId="0" quotePrefix="1" applyFont="1" applyFill="1" applyAlignment="1" applyProtection="1">
      <alignment horizontal="right"/>
      <protection hidden="1"/>
    </xf>
    <xf numFmtId="0" fontId="4" fillId="2" borderId="5" xfId="0" quotePrefix="1" applyFont="1" applyFill="1" applyBorder="1" applyAlignment="1" applyProtection="1">
      <alignment horizontal="right"/>
      <protection hidden="1"/>
    </xf>
    <xf numFmtId="0" fontId="0" fillId="16" borderId="0" xfId="0" applyFill="1" applyAlignment="1">
      <alignment horizontal="left" vertical="center"/>
    </xf>
    <xf numFmtId="0" fontId="19" fillId="16" borderId="1" xfId="0" applyFont="1" applyFill="1" applyBorder="1" applyProtection="1">
      <protection hidden="1"/>
    </xf>
    <xf numFmtId="0" fontId="4" fillId="16" borderId="6" xfId="0" applyFont="1" applyFill="1" applyBorder="1" applyProtection="1">
      <protection hidden="1"/>
    </xf>
    <xf numFmtId="0" fontId="4" fillId="16" borderId="22" xfId="0" applyFont="1" applyFill="1" applyBorder="1" applyProtection="1">
      <protection hidden="1"/>
    </xf>
    <xf numFmtId="0" fontId="4" fillId="16" borderId="27" xfId="0" applyFont="1" applyFill="1" applyBorder="1" applyProtection="1">
      <protection hidden="1"/>
    </xf>
    <xf numFmtId="0" fontId="10" fillId="16" borderId="0" xfId="0" applyFont="1" applyFill="1" applyAlignment="1" applyProtection="1">
      <alignment horizontal="left" vertical="center"/>
      <protection hidden="1"/>
    </xf>
    <xf numFmtId="0" fontId="150" fillId="16" borderId="1" xfId="0" applyFont="1" applyFill="1" applyBorder="1" applyAlignment="1" applyProtection="1">
      <alignment horizontal="right" vertical="top"/>
      <protection hidden="1"/>
    </xf>
    <xf numFmtId="0" fontId="13" fillId="16" borderId="1" xfId="0" applyFont="1" applyFill="1" applyBorder="1" applyProtection="1">
      <protection hidden="1"/>
    </xf>
    <xf numFmtId="0" fontId="10" fillId="16"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6" borderId="1" xfId="0" applyFill="1" applyBorder="1" applyAlignment="1">
      <alignment horizontal="left" vertical="center"/>
    </xf>
    <xf numFmtId="0" fontId="24" fillId="2" borderId="1" xfId="0" applyFont="1" applyFill="1" applyBorder="1" applyAlignment="1" applyProtection="1">
      <alignment horizontal="left"/>
      <protection hidden="1"/>
    </xf>
    <xf numFmtId="0" fontId="26" fillId="16" borderId="1" xfId="0" applyFont="1" applyFill="1" applyBorder="1" applyProtection="1">
      <protection hidden="1"/>
    </xf>
    <xf numFmtId="0" fontId="10" fillId="2" borderId="1" xfId="0" applyFont="1" applyFill="1" applyBorder="1" applyAlignment="1" applyProtection="1">
      <alignment horizontal="left"/>
      <protection hidden="1"/>
    </xf>
    <xf numFmtId="0" fontId="4" fillId="5" borderId="21" xfId="0" applyFont="1" applyFill="1" applyBorder="1" applyProtection="1">
      <protection hidden="1"/>
    </xf>
    <xf numFmtId="0" fontId="41" fillId="2" borderId="6" xfId="0" quotePrefix="1" applyFont="1" applyFill="1" applyBorder="1" applyAlignment="1" applyProtection="1">
      <alignment horizontal="left" indent="1"/>
      <protection hidden="1"/>
    </xf>
    <xf numFmtId="37" fontId="5" fillId="27" borderId="10" xfId="0" applyNumberFormat="1" applyFont="1" applyFill="1" applyBorder="1" applyAlignment="1" applyProtection="1">
      <alignment horizontal="right"/>
      <protection hidden="1"/>
    </xf>
    <xf numFmtId="0" fontId="3" fillId="16" borderId="23" xfId="0" applyFont="1" applyFill="1" applyBorder="1" applyProtection="1">
      <protection hidden="1"/>
    </xf>
    <xf numFmtId="0" fontId="1" fillId="0" borderId="0" xfId="0" applyFont="1" applyAlignment="1" applyProtection="1">
      <alignment horizontal="center" vertical="center"/>
      <protection locked="0"/>
    </xf>
    <xf numFmtId="39" fontId="134" fillId="3" borderId="0" xfId="0" applyNumberFormat="1" applyFont="1" applyFill="1" applyProtection="1">
      <protection hidden="1"/>
    </xf>
    <xf numFmtId="1" fontId="150" fillId="10" borderId="0" xfId="0" applyNumberFormat="1" applyFont="1" applyFill="1" applyAlignment="1" applyProtection="1">
      <alignment horizontal="center"/>
      <protection hidden="1"/>
    </xf>
    <xf numFmtId="1" fontId="150" fillId="10" borderId="0" xfId="0" applyNumberFormat="1" applyFont="1" applyFill="1" applyAlignment="1" applyProtection="1">
      <alignment horizontal="center" vertical="center"/>
      <protection hidden="1"/>
    </xf>
    <xf numFmtId="0" fontId="226" fillId="8" borderId="0" xfId="0" applyFont="1" applyFill="1" applyProtection="1">
      <protection hidden="1"/>
    </xf>
    <xf numFmtId="0" fontId="203" fillId="8" borderId="0" xfId="0" applyFont="1" applyFill="1" applyProtection="1">
      <protection hidden="1"/>
    </xf>
    <xf numFmtId="0" fontId="1" fillId="17" borderId="2" xfId="0" applyFont="1" applyFill="1" applyBorder="1" applyAlignment="1" applyProtection="1">
      <alignment horizontal="center" vertical="center"/>
      <protection locked="0" hidden="1"/>
    </xf>
    <xf numFmtId="0" fontId="41" fillId="3" borderId="17" xfId="0" applyFont="1" applyFill="1" applyBorder="1" applyProtection="1">
      <protection hidden="1"/>
    </xf>
    <xf numFmtId="39" fontId="19" fillId="3" borderId="17" xfId="0" applyNumberFormat="1" applyFont="1" applyFill="1" applyBorder="1" applyProtection="1">
      <protection hidden="1"/>
    </xf>
    <xf numFmtId="39" fontId="53" fillId="3" borderId="17" xfId="0" applyNumberFormat="1" applyFont="1" applyFill="1" applyBorder="1" applyProtection="1">
      <protection hidden="1"/>
    </xf>
    <xf numFmtId="0" fontId="74" fillId="5" borderId="0" xfId="0" applyFont="1" applyFill="1" applyProtection="1">
      <protection hidden="1"/>
    </xf>
    <xf numFmtId="0" fontId="8" fillId="2" borderId="9" xfId="0" applyFont="1" applyFill="1" applyBorder="1" applyAlignment="1" applyProtection="1">
      <alignment horizontal="center"/>
      <protection hidden="1"/>
    </xf>
    <xf numFmtId="0" fontId="1" fillId="2" borderId="2" xfId="0" applyFont="1" applyFill="1" applyBorder="1" applyAlignment="1" applyProtection="1">
      <alignment horizontal="center"/>
      <protection locked="0"/>
    </xf>
    <xf numFmtId="37" fontId="138" fillId="3" borderId="0" xfId="0" applyNumberFormat="1" applyFont="1" applyFill="1" applyAlignment="1" applyProtection="1">
      <alignment horizontal="right"/>
      <protection hidden="1"/>
    </xf>
    <xf numFmtId="0" fontId="64" fillId="16" borderId="0" xfId="0" applyFont="1" applyFill="1" applyProtection="1">
      <protection hidden="1"/>
    </xf>
    <xf numFmtId="0" fontId="227" fillId="16" borderId="0" xfId="0" applyFont="1" applyFill="1" applyAlignment="1" applyProtection="1">
      <alignment horizontal="center"/>
      <protection hidden="1"/>
    </xf>
    <xf numFmtId="0" fontId="140" fillId="16" borderId="0" xfId="0" applyFont="1" applyFill="1" applyAlignment="1" applyProtection="1">
      <alignment horizontal="center"/>
      <protection hidden="1"/>
    </xf>
    <xf numFmtId="4" fontId="228" fillId="0" borderId="0" xfId="0" applyNumberFormat="1" applyFont="1" applyProtection="1">
      <protection hidden="1"/>
    </xf>
    <xf numFmtId="0" fontId="8" fillId="2" borderId="131" xfId="0" applyFont="1" applyFill="1" applyBorder="1" applyAlignment="1" applyProtection="1">
      <alignment horizontal="center" vertical="center"/>
      <protection hidden="1"/>
    </xf>
    <xf numFmtId="0" fontId="1" fillId="16" borderId="6" xfId="0" quotePrefix="1" applyFont="1" applyFill="1" applyBorder="1" applyAlignment="1" applyProtection="1">
      <alignment horizontal="right"/>
      <protection hidden="1"/>
    </xf>
    <xf numFmtId="4" fontId="1" fillId="3" borderId="0" xfId="0" applyNumberFormat="1" applyFont="1" applyFill="1" applyAlignment="1" applyProtection="1">
      <alignment horizontal="left"/>
      <protection hidden="1"/>
    </xf>
    <xf numFmtId="0" fontId="1"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4" fillId="2" borderId="46" xfId="0" applyFont="1" applyFill="1" applyBorder="1" applyAlignment="1" applyProtection="1">
      <alignment horizontal="left" vertical="center"/>
      <protection hidden="1"/>
    </xf>
    <xf numFmtId="0" fontId="4" fillId="2" borderId="46" xfId="0" applyFont="1" applyFill="1" applyBorder="1" applyAlignment="1" applyProtection="1">
      <alignment horizontal="center" vertical="center"/>
      <protection hidden="1"/>
    </xf>
    <xf numFmtId="0" fontId="1" fillId="2" borderId="46" xfId="0" applyFont="1" applyFill="1" applyBorder="1" applyAlignment="1" applyProtection="1">
      <alignment horizontal="center" vertical="center"/>
      <protection hidden="1"/>
    </xf>
    <xf numFmtId="0" fontId="1" fillId="33" borderId="26" xfId="0" applyFont="1" applyFill="1" applyBorder="1" applyAlignment="1" applyProtection="1">
      <alignment horizontal="center"/>
      <protection locked="0"/>
    </xf>
    <xf numFmtId="0" fontId="4" fillId="33" borderId="26" xfId="0" applyFont="1" applyFill="1" applyBorder="1" applyAlignment="1" applyProtection="1">
      <alignment horizontal="center"/>
      <protection locked="0"/>
    </xf>
    <xf numFmtId="0" fontId="4" fillId="0" borderId="26" xfId="0" applyFont="1" applyBorder="1" applyAlignment="1" applyProtection="1">
      <alignment horizontal="center"/>
      <protection hidden="1"/>
    </xf>
    <xf numFmtId="0" fontId="60" fillId="0" borderId="0" xfId="0" applyFont="1" applyAlignment="1" applyProtection="1">
      <alignment horizontal="center"/>
      <protection hidden="1"/>
    </xf>
    <xf numFmtId="1" fontId="3" fillId="0" borderId="0" xfId="0" applyNumberFormat="1" applyFont="1" applyProtection="1">
      <protection hidden="1"/>
    </xf>
    <xf numFmtId="4" fontId="3" fillId="33" borderId="121" xfId="0" applyNumberFormat="1" applyFont="1" applyFill="1" applyBorder="1" applyProtection="1">
      <protection locked="0"/>
    </xf>
    <xf numFmtId="4" fontId="3" fillId="33" borderId="122" xfId="0" applyNumberFormat="1" applyFont="1" applyFill="1" applyBorder="1" applyProtection="1">
      <protection locked="0"/>
    </xf>
    <xf numFmtId="4" fontId="3" fillId="33" borderId="123" xfId="0" applyNumberFormat="1" applyFont="1" applyFill="1" applyBorder="1" applyProtection="1">
      <protection locked="0"/>
    </xf>
    <xf numFmtId="4" fontId="19" fillId="28" borderId="90" xfId="0" applyNumberFormat="1" applyFont="1" applyFill="1" applyBorder="1" applyProtection="1">
      <protection hidden="1"/>
    </xf>
    <xf numFmtId="4" fontId="4" fillId="0" borderId="0" xfId="0" applyNumberFormat="1" applyFont="1" applyProtection="1">
      <protection hidden="1"/>
    </xf>
    <xf numFmtId="1" fontId="60" fillId="0" borderId="0" xfId="0" applyNumberFormat="1" applyFont="1" applyProtection="1">
      <protection hidden="1"/>
    </xf>
    <xf numFmtId="4" fontId="3" fillId="33" borderId="124" xfId="0" applyNumberFormat="1" applyFont="1" applyFill="1" applyBorder="1" applyProtection="1">
      <protection locked="0"/>
    </xf>
    <xf numFmtId="4" fontId="3" fillId="33" borderId="125" xfId="0" applyNumberFormat="1" applyFont="1" applyFill="1" applyBorder="1" applyProtection="1">
      <protection locked="0"/>
    </xf>
    <xf numFmtId="4" fontId="3" fillId="33" borderId="126" xfId="0" applyNumberFormat="1" applyFont="1" applyFill="1" applyBorder="1" applyProtection="1">
      <protection locked="0"/>
    </xf>
    <xf numFmtId="4" fontId="19" fillId="28" borderId="120" xfId="0" applyNumberFormat="1" applyFont="1" applyFill="1" applyBorder="1" applyProtection="1">
      <protection hidden="1"/>
    </xf>
    <xf numFmtId="171" fontId="3" fillId="0" borderId="0" xfId="0" applyNumberFormat="1" applyFont="1" applyProtection="1">
      <protection hidden="1"/>
    </xf>
    <xf numFmtId="0" fontId="1" fillId="2" borderId="3" xfId="0" applyFont="1" applyFill="1" applyBorder="1" applyProtection="1">
      <protection hidden="1"/>
    </xf>
    <xf numFmtId="1" fontId="23" fillId="0" borderId="0" xfId="0" applyNumberFormat="1" applyFont="1" applyProtection="1">
      <protection hidden="1"/>
    </xf>
    <xf numFmtId="4" fontId="137" fillId="0" borderId="0" xfId="0" applyNumberFormat="1" applyFont="1" applyProtection="1">
      <protection hidden="1"/>
    </xf>
    <xf numFmtId="0" fontId="160" fillId="2" borderId="3" xfId="0" applyFont="1" applyFill="1" applyBorder="1" applyProtection="1">
      <protection hidden="1"/>
    </xf>
    <xf numFmtId="0" fontId="160" fillId="2" borderId="3" xfId="0" applyFont="1" applyFill="1" applyBorder="1" applyProtection="1">
      <protection locked="0"/>
    </xf>
    <xf numFmtId="0" fontId="6" fillId="2" borderId="3" xfId="0" applyFont="1" applyFill="1" applyBorder="1" applyProtection="1">
      <protection hidden="1"/>
    </xf>
    <xf numFmtId="0" fontId="1" fillId="2" borderId="10" xfId="0" applyFont="1" applyFill="1" applyBorder="1" applyProtection="1">
      <protection hidden="1"/>
    </xf>
    <xf numFmtId="4" fontId="3" fillId="33" borderId="127" xfId="0" applyNumberFormat="1" applyFont="1" applyFill="1" applyBorder="1" applyProtection="1">
      <protection locked="0"/>
    </xf>
    <xf numFmtId="4" fontId="3" fillId="33" borderId="128" xfId="0" applyNumberFormat="1" applyFont="1" applyFill="1" applyBorder="1" applyProtection="1">
      <protection locked="0"/>
    </xf>
    <xf numFmtId="4" fontId="3" fillId="33" borderId="129" xfId="0" applyNumberFormat="1" applyFont="1" applyFill="1" applyBorder="1" applyProtection="1">
      <protection locked="0"/>
    </xf>
    <xf numFmtId="4" fontId="19" fillId="28" borderId="148" xfId="0" applyNumberFormat="1" applyFont="1" applyFill="1" applyBorder="1" applyProtection="1">
      <protection hidden="1"/>
    </xf>
    <xf numFmtId="4" fontId="0" fillId="0" borderId="1" xfId="0" applyNumberFormat="1" applyBorder="1" applyProtection="1">
      <protection hidden="1"/>
    </xf>
    <xf numFmtId="0" fontId="11" fillId="2" borderId="9" xfId="0" applyFont="1" applyFill="1" applyBorder="1" applyAlignment="1" applyProtection="1">
      <alignment horizontal="right"/>
      <protection hidden="1"/>
    </xf>
    <xf numFmtId="0" fontId="4" fillId="2" borderId="9" xfId="0" applyFont="1" applyFill="1" applyBorder="1" applyAlignment="1" applyProtection="1">
      <alignment horizontal="center"/>
      <protection hidden="1"/>
    </xf>
    <xf numFmtId="0" fontId="4" fillId="2" borderId="149" xfId="0" applyFont="1" applyFill="1" applyBorder="1" applyAlignment="1" applyProtection="1">
      <alignment horizontal="left" vertical="center"/>
      <protection hidden="1"/>
    </xf>
    <xf numFmtId="0" fontId="4" fillId="2" borderId="149" xfId="0" applyFont="1" applyFill="1" applyBorder="1" applyAlignment="1" applyProtection="1">
      <alignment horizontal="center" vertical="center"/>
      <protection hidden="1"/>
    </xf>
    <xf numFmtId="0" fontId="1" fillId="2" borderId="149" xfId="0" applyFont="1" applyFill="1" applyBorder="1" applyAlignment="1" applyProtection="1">
      <alignment horizontal="center" vertical="center"/>
      <protection hidden="1"/>
    </xf>
    <xf numFmtId="0" fontId="1" fillId="33" borderId="1" xfId="0" applyFont="1" applyFill="1" applyBorder="1" applyAlignment="1" applyProtection="1">
      <alignment horizontal="center"/>
      <protection locked="0"/>
    </xf>
    <xf numFmtId="0" fontId="4" fillId="33" borderId="1" xfId="0" applyFont="1" applyFill="1" applyBorder="1" applyAlignment="1" applyProtection="1">
      <alignment horizontal="center"/>
      <protection locked="0"/>
    </xf>
    <xf numFmtId="0" fontId="4" fillId="2" borderId="1" xfId="0" applyFont="1" applyFill="1" applyBorder="1" applyAlignment="1" applyProtection="1">
      <alignment horizontal="center"/>
      <protection hidden="1"/>
    </xf>
    <xf numFmtId="4" fontId="3" fillId="28" borderId="90" xfId="0" applyNumberFormat="1" applyFont="1" applyFill="1" applyBorder="1" applyProtection="1">
      <protection hidden="1"/>
    </xf>
    <xf numFmtId="1" fontId="4" fillId="0" borderId="0" xfId="0" applyNumberFormat="1" applyFont="1" applyProtection="1">
      <protection hidden="1"/>
    </xf>
    <xf numFmtId="4" fontId="3" fillId="28" borderId="120" xfId="0" applyNumberFormat="1" applyFont="1" applyFill="1" applyBorder="1" applyProtection="1">
      <protection hidden="1"/>
    </xf>
    <xf numFmtId="4" fontId="60" fillId="0" borderId="0" xfId="0" applyNumberFormat="1" applyFont="1" applyProtection="1">
      <protection hidden="1"/>
    </xf>
    <xf numFmtId="4" fontId="23" fillId="0" borderId="0" xfId="0" applyNumberFormat="1" applyFont="1" applyProtection="1">
      <protection hidden="1"/>
    </xf>
    <xf numFmtId="4" fontId="3" fillId="28" borderId="148" xfId="0" applyNumberFormat="1" applyFont="1" applyFill="1" applyBorder="1" applyProtection="1">
      <protection hidden="1"/>
    </xf>
    <xf numFmtId="0" fontId="4" fillId="2" borderId="1" xfId="0" applyFont="1" applyFill="1" applyBorder="1" applyAlignment="1" applyProtection="1">
      <alignment horizontal="left"/>
      <protection hidden="1"/>
    </xf>
    <xf numFmtId="0" fontId="1" fillId="2" borderId="1" xfId="0" applyFont="1" applyFill="1" applyBorder="1" applyAlignment="1" applyProtection="1">
      <alignment horizontal="center"/>
      <protection hidden="1"/>
    </xf>
    <xf numFmtId="1" fontId="0" fillId="0" borderId="1" xfId="0" applyNumberFormat="1" applyBorder="1" applyProtection="1">
      <protection hidden="1"/>
    </xf>
    <xf numFmtId="4" fontId="19" fillId="16" borderId="9" xfId="0" applyNumberFormat="1" applyFont="1" applyFill="1" applyBorder="1" applyProtection="1">
      <protection hidden="1"/>
    </xf>
    <xf numFmtId="4" fontId="19" fillId="0" borderId="0" xfId="0" applyNumberFormat="1" applyFont="1" applyProtection="1">
      <protection hidden="1"/>
    </xf>
    <xf numFmtId="4" fontId="19" fillId="16" borderId="0" xfId="0" applyNumberFormat="1" applyFont="1" applyFill="1" applyProtection="1">
      <protection hidden="1"/>
    </xf>
    <xf numFmtId="0" fontId="3" fillId="2" borderId="3" xfId="0" applyFont="1" applyFill="1" applyBorder="1" applyProtection="1">
      <protection hidden="1"/>
    </xf>
    <xf numFmtId="3" fontId="0" fillId="34" borderId="13" xfId="0" applyNumberFormat="1" applyFill="1" applyBorder="1" applyProtection="1">
      <protection hidden="1"/>
    </xf>
    <xf numFmtId="4" fontId="3" fillId="0" borderId="0" xfId="0" applyNumberFormat="1" applyFont="1" applyAlignment="1" applyProtection="1">
      <alignment horizontal="left"/>
      <protection hidden="1"/>
    </xf>
    <xf numFmtId="4" fontId="8" fillId="0" borderId="0" xfId="0" applyNumberFormat="1" applyFont="1" applyProtection="1">
      <protection hidden="1"/>
    </xf>
    <xf numFmtId="4" fontId="0" fillId="16" borderId="1" xfId="0" applyNumberFormat="1" applyFill="1" applyBorder="1" applyProtection="1">
      <protection hidden="1"/>
    </xf>
    <xf numFmtId="0" fontId="0" fillId="0" borderId="1" xfId="0" applyBorder="1" applyProtection="1">
      <protection hidden="1"/>
    </xf>
    <xf numFmtId="4" fontId="3" fillId="33" borderId="152" xfId="0" applyNumberFormat="1" applyFont="1" applyFill="1" applyBorder="1" applyProtection="1">
      <protection locked="0"/>
    </xf>
    <xf numFmtId="4" fontId="3" fillId="33" borderId="153" xfId="0" applyNumberFormat="1" applyFont="1" applyFill="1" applyBorder="1" applyProtection="1">
      <protection locked="0"/>
    </xf>
    <xf numFmtId="4" fontId="19" fillId="2" borderId="6" xfId="0" applyNumberFormat="1" applyFont="1" applyFill="1" applyBorder="1" applyProtection="1">
      <protection hidden="1"/>
    </xf>
    <xf numFmtId="0" fontId="4" fillId="2" borderId="42" xfId="0" applyFont="1" applyFill="1" applyBorder="1" applyProtection="1">
      <protection hidden="1"/>
    </xf>
    <xf numFmtId="0" fontId="4" fillId="2" borderId="43" xfId="0" applyFont="1" applyFill="1" applyBorder="1" applyProtection="1">
      <protection hidden="1"/>
    </xf>
    <xf numFmtId="4" fontId="19" fillId="28" borderId="49" xfId="0" applyNumberFormat="1" applyFont="1" applyFill="1" applyBorder="1" applyProtection="1">
      <protection hidden="1"/>
    </xf>
    <xf numFmtId="3" fontId="229" fillId="28" borderId="163" xfId="0" applyNumberFormat="1" applyFont="1" applyFill="1" applyBorder="1" applyAlignment="1" applyProtection="1">
      <alignment horizontal="right"/>
      <protection hidden="1"/>
    </xf>
    <xf numFmtId="3" fontId="229" fillId="28" borderId="164" xfId="0" applyNumberFormat="1" applyFont="1" applyFill="1" applyBorder="1" applyAlignment="1" applyProtection="1">
      <alignment horizontal="right"/>
      <protection hidden="1"/>
    </xf>
    <xf numFmtId="4" fontId="19" fillId="28" borderId="69" xfId="0" applyNumberFormat="1" applyFont="1" applyFill="1" applyBorder="1" applyAlignment="1" applyProtection="1">
      <alignment horizontal="center"/>
      <protection hidden="1"/>
    </xf>
    <xf numFmtId="3" fontId="138" fillId="2" borderId="0" xfId="0" applyNumberFormat="1" applyFont="1" applyFill="1" applyAlignment="1" applyProtection="1">
      <alignment horizontal="left" indent="1"/>
      <protection hidden="1"/>
    </xf>
    <xf numFmtId="4" fontId="0" fillId="2" borderId="6" xfId="0" applyNumberFormat="1" applyFill="1" applyBorder="1" applyProtection="1">
      <protection hidden="1"/>
    </xf>
    <xf numFmtId="0" fontId="4" fillId="2" borderId="41" xfId="0" applyFont="1" applyFill="1" applyBorder="1" applyProtection="1">
      <protection hidden="1"/>
    </xf>
    <xf numFmtId="4" fontId="3" fillId="2" borderId="49" xfId="0" applyNumberFormat="1" applyFont="1" applyFill="1" applyBorder="1" applyProtection="1">
      <protection hidden="1"/>
    </xf>
    <xf numFmtId="0" fontId="4" fillId="0" borderId="13" xfId="0" applyFont="1" applyBorder="1" applyProtection="1">
      <protection hidden="1"/>
    </xf>
    <xf numFmtId="0" fontId="4" fillId="0" borderId="40" xfId="0" applyFont="1" applyBorder="1" applyProtection="1">
      <protection hidden="1"/>
    </xf>
    <xf numFmtId="4" fontId="3" fillId="2" borderId="50" xfId="0" applyNumberFormat="1" applyFont="1" applyFill="1" applyBorder="1" applyProtection="1">
      <protection hidden="1"/>
    </xf>
    <xf numFmtId="0" fontId="136" fillId="2" borderId="43" xfId="0" applyFont="1" applyFill="1" applyBorder="1" applyProtection="1">
      <protection hidden="1"/>
    </xf>
    <xf numFmtId="4" fontId="3" fillId="2" borderId="54" xfId="0" applyNumberFormat="1" applyFont="1" applyFill="1" applyBorder="1" applyProtection="1">
      <protection hidden="1"/>
    </xf>
    <xf numFmtId="4" fontId="4" fillId="2" borderId="49" xfId="0" applyNumberFormat="1" applyFont="1" applyFill="1" applyBorder="1" applyProtection="1">
      <protection hidden="1"/>
    </xf>
    <xf numFmtId="4" fontId="3" fillId="2" borderId="6" xfId="0" applyNumberFormat="1" applyFont="1" applyFill="1" applyBorder="1" applyAlignment="1" applyProtection="1">
      <alignment horizontal="left"/>
      <protection hidden="1"/>
    </xf>
    <xf numFmtId="4" fontId="4" fillId="2" borderId="50" xfId="0" applyNumberFormat="1" applyFont="1" applyFill="1" applyBorder="1" applyProtection="1">
      <protection hidden="1"/>
    </xf>
    <xf numFmtId="4" fontId="136" fillId="2" borderId="50" xfId="0" applyNumberFormat="1" applyFont="1" applyFill="1" applyBorder="1" applyProtection="1">
      <protection hidden="1"/>
    </xf>
    <xf numFmtId="4" fontId="137" fillId="2" borderId="6" xfId="0" applyNumberFormat="1" applyFont="1" applyFill="1" applyBorder="1" applyProtection="1">
      <protection hidden="1"/>
    </xf>
    <xf numFmtId="4" fontId="64" fillId="2" borderId="6" xfId="0" applyNumberFormat="1" applyFont="1" applyFill="1" applyBorder="1" applyProtection="1">
      <protection hidden="1"/>
    </xf>
    <xf numFmtId="1" fontId="23" fillId="2" borderId="0" xfId="0" applyNumberFormat="1" applyFont="1" applyFill="1" applyProtection="1">
      <protection hidden="1"/>
    </xf>
    <xf numFmtId="171" fontId="136" fillId="2" borderId="50" xfId="0" applyNumberFormat="1" applyFont="1" applyFill="1" applyBorder="1" applyProtection="1">
      <protection hidden="1"/>
    </xf>
    <xf numFmtId="4" fontId="136" fillId="2" borderId="54" xfId="0" applyNumberFormat="1" applyFont="1" applyFill="1" applyBorder="1" applyProtection="1">
      <protection hidden="1"/>
    </xf>
    <xf numFmtId="4" fontId="4" fillId="2" borderId="0" xfId="0" applyNumberFormat="1" applyFont="1" applyFill="1" applyAlignment="1" applyProtection="1">
      <alignment horizontal="left" indent="1"/>
      <protection hidden="1"/>
    </xf>
    <xf numFmtId="4" fontId="16" fillId="25" borderId="0" xfId="0" applyNumberFormat="1" applyFont="1" applyFill="1" applyProtection="1">
      <protection locked="0"/>
    </xf>
    <xf numFmtId="4" fontId="0" fillId="25" borderId="0" xfId="0" applyNumberFormat="1" applyFill="1" applyProtection="1">
      <protection locked="0"/>
    </xf>
    <xf numFmtId="39" fontId="16" fillId="25" borderId="0" xfId="0" applyNumberFormat="1" applyFont="1" applyFill="1" applyProtection="1">
      <protection locked="0"/>
    </xf>
    <xf numFmtId="39" fontId="0" fillId="25" borderId="0" xfId="0" applyNumberFormat="1" applyFill="1" applyProtection="1">
      <protection locked="0"/>
    </xf>
    <xf numFmtId="39" fontId="8" fillId="25" borderId="0" xfId="0" applyNumberFormat="1" applyFont="1" applyFill="1" applyProtection="1">
      <protection locked="0"/>
    </xf>
    <xf numFmtId="39" fontId="16" fillId="25" borderId="5" xfId="0" applyNumberFormat="1" applyFont="1" applyFill="1" applyBorder="1" applyAlignment="1" applyProtection="1">
      <alignment horizontal="left"/>
      <protection locked="0"/>
    </xf>
    <xf numFmtId="39" fontId="22" fillId="25" borderId="5" xfId="0" applyNumberFormat="1" applyFont="1" applyFill="1" applyBorder="1" applyAlignment="1" applyProtection="1">
      <alignment horizontal="left" vertical="center"/>
      <protection locked="0"/>
    </xf>
    <xf numFmtId="39" fontId="0" fillId="25" borderId="0" xfId="0" applyNumberFormat="1" applyFill="1" applyAlignment="1" applyProtection="1">
      <alignment vertical="top"/>
      <protection locked="0"/>
    </xf>
    <xf numFmtId="39" fontId="84" fillId="25" borderId="0" xfId="0" applyNumberFormat="1" applyFont="1" applyFill="1" applyProtection="1">
      <protection locked="0"/>
    </xf>
    <xf numFmtId="39" fontId="3" fillId="25" borderId="0" xfId="0" applyNumberFormat="1" applyFont="1" applyFill="1" applyProtection="1">
      <protection locked="0"/>
    </xf>
    <xf numFmtId="39" fontId="0" fillId="25" borderId="0" xfId="0" applyNumberFormat="1" applyFill="1" applyAlignment="1" applyProtection="1">
      <alignment vertical="center"/>
      <protection locked="0"/>
    </xf>
    <xf numFmtId="39" fontId="19" fillId="25" borderId="0" xfId="0" applyNumberFormat="1" applyFont="1" applyFill="1" applyProtection="1">
      <protection locked="0"/>
    </xf>
    <xf numFmtId="39" fontId="16" fillId="25" borderId="0" xfId="0" applyNumberFormat="1" applyFont="1" applyFill="1" applyAlignment="1" applyProtection="1">
      <alignment vertical="top"/>
      <protection locked="0"/>
    </xf>
    <xf numFmtId="39" fontId="3" fillId="25" borderId="0" xfId="4" applyNumberFormat="1" applyFill="1" applyProtection="1">
      <protection locked="0"/>
    </xf>
    <xf numFmtId="39" fontId="32" fillId="25" borderId="0" xfId="4" applyNumberFormat="1" applyFont="1" applyFill="1" applyProtection="1">
      <protection locked="0"/>
    </xf>
    <xf numFmtId="39" fontId="3" fillId="25" borderId="0" xfId="4" applyNumberFormat="1" applyFill="1" applyAlignment="1" applyProtection="1">
      <alignment vertical="center"/>
      <protection locked="0"/>
    </xf>
    <xf numFmtId="39" fontId="16" fillId="25" borderId="0" xfId="4" applyNumberFormat="1" applyFont="1" applyFill="1" applyProtection="1">
      <protection locked="0"/>
    </xf>
    <xf numFmtId="39" fontId="23" fillId="25" borderId="0" xfId="0" applyNumberFormat="1" applyFont="1" applyFill="1" applyAlignment="1" applyProtection="1">
      <alignment vertical="center"/>
      <protection locked="0"/>
    </xf>
    <xf numFmtId="39" fontId="14" fillId="25" borderId="0" xfId="0" applyNumberFormat="1" applyFont="1" applyFill="1" applyProtection="1">
      <protection locked="0"/>
    </xf>
    <xf numFmtId="39" fontId="98" fillId="25" borderId="0" xfId="0" applyNumberFormat="1" applyFont="1" applyFill="1" applyProtection="1">
      <protection locked="0"/>
    </xf>
    <xf numFmtId="39" fontId="23" fillId="25" borderId="0" xfId="0" applyNumberFormat="1" applyFont="1" applyFill="1" applyProtection="1">
      <protection locked="0"/>
    </xf>
    <xf numFmtId="39" fontId="0" fillId="25" borderId="65" xfId="0" applyNumberFormat="1" applyFill="1" applyBorder="1" applyProtection="1">
      <protection locked="0"/>
    </xf>
    <xf numFmtId="39" fontId="23" fillId="25" borderId="65" xfId="0" applyNumberFormat="1" applyFont="1" applyFill="1" applyBorder="1" applyProtection="1">
      <protection locked="0"/>
    </xf>
    <xf numFmtId="39" fontId="64" fillId="25" borderId="0" xfId="0" applyNumberFormat="1" applyFont="1" applyFill="1" applyProtection="1">
      <protection locked="0"/>
    </xf>
    <xf numFmtId="39" fontId="3" fillId="25" borderId="24" xfId="0" applyNumberFormat="1" applyFont="1" applyFill="1" applyBorder="1" applyAlignment="1" applyProtection="1">
      <alignment horizontal="right"/>
      <protection locked="0"/>
    </xf>
    <xf numFmtId="39" fontId="3" fillId="25" borderId="6" xfId="0" applyNumberFormat="1" applyFont="1" applyFill="1" applyBorder="1" applyAlignment="1" applyProtection="1">
      <alignment horizontal="right"/>
      <protection locked="0"/>
    </xf>
    <xf numFmtId="39" fontId="3" fillId="25" borderId="27" xfId="0" applyNumberFormat="1" applyFont="1" applyFill="1" applyBorder="1" applyAlignment="1" applyProtection="1">
      <alignment horizontal="center"/>
      <protection locked="0"/>
    </xf>
    <xf numFmtId="39" fontId="3" fillId="25" borderId="30" xfId="0" applyNumberFormat="1" applyFont="1" applyFill="1" applyBorder="1" applyAlignment="1" applyProtection="1">
      <alignment horizontal="center"/>
      <protection locked="0"/>
    </xf>
    <xf numFmtId="39" fontId="3" fillId="25" borderId="21" xfId="0" applyNumberFormat="1" applyFont="1" applyFill="1" applyBorder="1" applyAlignment="1" applyProtection="1">
      <alignment horizontal="center"/>
      <protection locked="0"/>
    </xf>
    <xf numFmtId="39" fontId="3" fillId="25" borderId="47" xfId="0" applyNumberFormat="1" applyFont="1" applyFill="1" applyBorder="1" applyAlignment="1" applyProtection="1">
      <alignment horizontal="right"/>
      <protection locked="0"/>
    </xf>
    <xf numFmtId="39" fontId="3" fillId="25" borderId="59" xfId="0" applyNumberFormat="1" applyFont="1" applyFill="1" applyBorder="1" applyAlignment="1" applyProtection="1">
      <alignment horizontal="right"/>
      <protection locked="0"/>
    </xf>
    <xf numFmtId="39" fontId="3" fillId="25" borderId="55" xfId="0" applyNumberFormat="1" applyFont="1" applyFill="1" applyBorder="1" applyAlignment="1" applyProtection="1">
      <alignment horizontal="right"/>
      <protection locked="0"/>
    </xf>
    <xf numFmtId="39" fontId="3" fillId="25" borderId="60" xfId="0" applyNumberFormat="1" applyFont="1" applyFill="1" applyBorder="1" applyAlignment="1" applyProtection="1">
      <alignment horizontal="right"/>
      <protection locked="0"/>
    </xf>
    <xf numFmtId="39" fontId="3" fillId="25" borderId="118" xfId="0" applyNumberFormat="1" applyFont="1" applyFill="1" applyBorder="1" applyAlignment="1" applyProtection="1">
      <alignment horizontal="right"/>
      <protection locked="0"/>
    </xf>
    <xf numFmtId="39" fontId="3" fillId="25" borderId="119" xfId="0" applyNumberFormat="1" applyFont="1" applyFill="1" applyBorder="1" applyAlignment="1" applyProtection="1">
      <alignment horizontal="right"/>
      <protection locked="0"/>
    </xf>
    <xf numFmtId="39" fontId="3" fillId="25" borderId="32" xfId="0" applyNumberFormat="1" applyFont="1" applyFill="1" applyBorder="1" applyAlignment="1" applyProtection="1">
      <alignment horizontal="right"/>
      <protection locked="0"/>
    </xf>
    <xf numFmtId="39" fontId="16" fillId="25" borderId="0" xfId="0" applyNumberFormat="1" applyFont="1" applyFill="1" applyAlignment="1" applyProtection="1">
      <alignment horizontal="left"/>
      <protection locked="0"/>
    </xf>
    <xf numFmtId="39" fontId="189" fillId="25" borderId="0" xfId="0" applyNumberFormat="1" applyFont="1" applyFill="1" applyProtection="1">
      <protection locked="0"/>
    </xf>
    <xf numFmtId="39" fontId="19" fillId="25" borderId="0" xfId="0" applyNumberFormat="1" applyFont="1" applyFill="1" applyAlignment="1" applyProtection="1">
      <alignment vertical="center"/>
      <protection locked="0"/>
    </xf>
    <xf numFmtId="39" fontId="110" fillId="25" borderId="0" xfId="0" applyNumberFormat="1" applyFont="1" applyFill="1" applyProtection="1">
      <protection locked="0"/>
    </xf>
    <xf numFmtId="39" fontId="0" fillId="25" borderId="66" xfId="0" applyNumberFormat="1" applyFill="1" applyBorder="1" applyProtection="1">
      <protection locked="0"/>
    </xf>
    <xf numFmtId="37" fontId="3" fillId="27" borderId="10" xfId="0" applyNumberFormat="1" applyFont="1" applyFill="1" applyBorder="1" applyAlignment="1" applyProtection="1">
      <alignment horizontal="right"/>
      <protection hidden="1"/>
    </xf>
    <xf numFmtId="4" fontId="138" fillId="3" borderId="3" xfId="0" applyNumberFormat="1" applyFont="1" applyFill="1" applyBorder="1" applyProtection="1">
      <protection hidden="1"/>
    </xf>
    <xf numFmtId="0" fontId="1" fillId="21" borderId="2" xfId="0" applyFont="1" applyFill="1" applyBorder="1" applyAlignment="1" applyProtection="1">
      <alignment horizontal="center" vertical="center"/>
      <protection locked="0" hidden="1"/>
    </xf>
    <xf numFmtId="0" fontId="101" fillId="16" borderId="0" xfId="0" applyFont="1" applyFill="1" applyAlignment="1" applyProtection="1">
      <alignment horizontal="center"/>
      <protection hidden="1"/>
    </xf>
    <xf numFmtId="0" fontId="8" fillId="0" borderId="0" xfId="0" applyFont="1" applyAlignment="1">
      <alignment horizontal="center"/>
    </xf>
    <xf numFmtId="3" fontId="8" fillId="0" borderId="0" xfId="0" applyNumberFormat="1" applyFont="1"/>
    <xf numFmtId="37" fontId="19" fillId="3" borderId="31" xfId="0" applyNumberFormat="1" applyFont="1" applyFill="1" applyBorder="1" applyAlignment="1" applyProtection="1">
      <alignment horizontal="right"/>
      <protection hidden="1"/>
    </xf>
    <xf numFmtId="37" fontId="19" fillId="3" borderId="3" xfId="0" applyNumberFormat="1" applyFont="1" applyFill="1" applyBorder="1" applyAlignment="1" applyProtection="1">
      <alignment horizontal="right"/>
      <protection hidden="1"/>
    </xf>
    <xf numFmtId="37" fontId="3" fillId="3" borderId="31" xfId="0" applyNumberFormat="1" applyFont="1" applyFill="1" applyBorder="1" applyAlignment="1" applyProtection="1">
      <alignment horizontal="right"/>
      <protection hidden="1"/>
    </xf>
    <xf numFmtId="37" fontId="3" fillId="3" borderId="3" xfId="0" applyNumberFormat="1" applyFont="1" applyFill="1" applyBorder="1" applyAlignment="1" applyProtection="1">
      <alignment horizontal="right"/>
      <protection hidden="1"/>
    </xf>
    <xf numFmtId="4" fontId="5" fillId="16" borderId="6" xfId="0" applyNumberFormat="1" applyFont="1" applyFill="1" applyBorder="1" applyProtection="1">
      <protection hidden="1"/>
    </xf>
    <xf numFmtId="0" fontId="19" fillId="16" borderId="6" xfId="0" applyFont="1" applyFill="1" applyBorder="1" applyProtection="1">
      <protection hidden="1"/>
    </xf>
    <xf numFmtId="0" fontId="8" fillId="16" borderId="6" xfId="0" applyFont="1" applyFill="1" applyBorder="1" applyAlignment="1" applyProtection="1">
      <alignment horizontal="center"/>
      <protection hidden="1"/>
    </xf>
    <xf numFmtId="0" fontId="8" fillId="16" borderId="6" xfId="0" applyFont="1" applyFill="1" applyBorder="1" applyProtection="1">
      <protection hidden="1"/>
    </xf>
    <xf numFmtId="0" fontId="11" fillId="16" borderId="6" xfId="0" applyFont="1" applyFill="1" applyBorder="1" applyProtection="1">
      <protection hidden="1"/>
    </xf>
    <xf numFmtId="0" fontId="8" fillId="16" borderId="6" xfId="0" applyFont="1" applyFill="1" applyBorder="1" applyAlignment="1" applyProtection="1">
      <alignment horizontal="right"/>
      <protection hidden="1"/>
    </xf>
    <xf numFmtId="3" fontId="8" fillId="16" borderId="0" xfId="0" applyNumberFormat="1" applyFont="1" applyFill="1" applyProtection="1">
      <protection hidden="1"/>
    </xf>
    <xf numFmtId="0" fontId="3" fillId="16" borderId="21" xfId="0" applyFont="1" applyFill="1" applyBorder="1" applyProtection="1">
      <protection hidden="1"/>
    </xf>
    <xf numFmtId="3" fontId="8" fillId="16" borderId="45" xfId="0" applyNumberFormat="1" applyFont="1" applyFill="1" applyBorder="1" applyProtection="1">
      <protection hidden="1"/>
    </xf>
    <xf numFmtId="0" fontId="8" fillId="17" borderId="0" xfId="0" applyFont="1" applyFill="1" applyAlignment="1" applyProtection="1">
      <alignment horizontal="center"/>
      <protection locked="0" hidden="1"/>
    </xf>
    <xf numFmtId="0" fontId="19" fillId="16" borderId="0" xfId="0" applyFont="1" applyFill="1" applyAlignment="1">
      <alignment horizontal="center"/>
    </xf>
    <xf numFmtId="0" fontId="13" fillId="16" borderId="0" xfId="0" applyFont="1" applyFill="1" applyAlignment="1" applyProtection="1">
      <alignment horizontal="center"/>
      <protection hidden="1"/>
    </xf>
    <xf numFmtId="0" fontId="5" fillId="16" borderId="0" xfId="0" applyFont="1" applyFill="1" applyAlignment="1" applyProtection="1">
      <alignment horizontal="center"/>
      <protection hidden="1"/>
    </xf>
    <xf numFmtId="0" fontId="19" fillId="16" borderId="0" xfId="0" quotePrefix="1" applyFont="1" applyFill="1" applyAlignment="1" applyProtection="1">
      <alignment horizontal="center"/>
      <protection hidden="1"/>
    </xf>
    <xf numFmtId="4" fontId="5" fillId="16" borderId="0" xfId="0" applyNumberFormat="1" applyFont="1" applyFill="1" applyAlignment="1" applyProtection="1">
      <alignment horizontal="center"/>
      <protection hidden="1"/>
    </xf>
    <xf numFmtId="3" fontId="8" fillId="16" borderId="0" xfId="0" applyNumberFormat="1" applyFont="1" applyFill="1" applyAlignment="1" applyProtection="1">
      <alignment horizontal="center"/>
      <protection hidden="1"/>
    </xf>
    <xf numFmtId="0" fontId="19" fillId="16" borderId="0" xfId="0" applyFont="1" applyFill="1"/>
    <xf numFmtId="0" fontId="8" fillId="16" borderId="0" xfId="0" applyFont="1" applyFill="1" applyAlignment="1">
      <alignment horizontal="center"/>
    </xf>
    <xf numFmtId="3" fontId="8" fillId="16" borderId="0" xfId="0" applyNumberFormat="1" applyFont="1" applyFill="1"/>
    <xf numFmtId="0" fontId="13" fillId="16" borderId="0" xfId="0" applyFont="1" applyFill="1" applyProtection="1">
      <protection hidden="1"/>
    </xf>
    <xf numFmtId="0" fontId="19" fillId="16" borderId="0" xfId="0" quotePrefix="1" applyFont="1" applyFill="1" applyAlignment="1" applyProtection="1">
      <alignment horizontal="right"/>
      <protection hidden="1"/>
    </xf>
    <xf numFmtId="4" fontId="5" fillId="16" borderId="0" xfId="0" applyNumberFormat="1" applyFont="1" applyFill="1" applyProtection="1">
      <protection hidden="1"/>
    </xf>
    <xf numFmtId="0" fontId="101" fillId="16" borderId="0" xfId="0" applyFont="1" applyFill="1" applyProtection="1">
      <protection hidden="1"/>
    </xf>
    <xf numFmtId="0" fontId="19" fillId="0" borderId="0" xfId="0" applyFont="1" applyAlignment="1">
      <alignment horizontal="center"/>
    </xf>
    <xf numFmtId="0" fontId="13" fillId="0" borderId="0" xfId="0" applyFont="1" applyAlignment="1" applyProtection="1">
      <alignment horizontal="center"/>
      <protection hidden="1"/>
    </xf>
    <xf numFmtId="0" fontId="5" fillId="0" borderId="0" xfId="0" applyFont="1" applyAlignment="1" applyProtection="1">
      <alignment horizontal="center"/>
      <protection hidden="1"/>
    </xf>
    <xf numFmtId="0" fontId="19" fillId="0" borderId="0" xfId="0" quotePrefix="1" applyFont="1" applyAlignment="1" applyProtection="1">
      <alignment horizontal="center"/>
      <protection hidden="1"/>
    </xf>
    <xf numFmtId="0" fontId="19" fillId="0" borderId="0" xfId="0" applyFont="1" applyAlignment="1" applyProtection="1">
      <alignment horizontal="center"/>
      <protection hidden="1"/>
    </xf>
    <xf numFmtId="0" fontId="101" fillId="0" borderId="0" xfId="0" applyFont="1" applyAlignment="1" applyProtection="1">
      <alignment horizontal="center"/>
      <protection hidden="1"/>
    </xf>
    <xf numFmtId="0" fontId="230" fillId="5" borderId="0" xfId="0" applyFont="1" applyFill="1" applyAlignment="1" applyProtection="1">
      <alignment horizontal="center"/>
      <protection hidden="1"/>
    </xf>
    <xf numFmtId="0" fontId="53" fillId="2" borderId="0" xfId="0" applyFont="1" applyFill="1" applyAlignment="1" applyProtection="1">
      <alignment vertical="center"/>
      <protection hidden="1"/>
    </xf>
    <xf numFmtId="0" fontId="53" fillId="2" borderId="1" xfId="0" applyFont="1" applyFill="1" applyBorder="1" applyProtection="1">
      <protection hidden="1"/>
    </xf>
    <xf numFmtId="0" fontId="1" fillId="16" borderId="1" xfId="0" applyFont="1" applyFill="1" applyBorder="1" applyAlignment="1" applyProtection="1">
      <alignment horizontal="right"/>
      <protection hidden="1"/>
    </xf>
    <xf numFmtId="0" fontId="16" fillId="16" borderId="25" xfId="0" quotePrefix="1" applyFont="1" applyFill="1" applyBorder="1" applyAlignment="1" applyProtection="1">
      <alignment horizontal="center"/>
      <protection hidden="1"/>
    </xf>
    <xf numFmtId="37" fontId="6" fillId="15" borderId="3" xfId="0" applyNumberFormat="1" applyFont="1" applyFill="1" applyBorder="1" applyAlignment="1" applyProtection="1">
      <alignment horizontal="right"/>
      <protection hidden="1"/>
    </xf>
    <xf numFmtId="0" fontId="1" fillId="16" borderId="52" xfId="0" applyFont="1" applyFill="1" applyBorder="1" applyAlignment="1" applyProtection="1">
      <alignment horizontal="center"/>
      <protection hidden="1"/>
    </xf>
    <xf numFmtId="0" fontId="188" fillId="0" borderId="0" xfId="0" applyFont="1" applyAlignment="1">
      <alignment vertical="center"/>
    </xf>
    <xf numFmtId="37" fontId="0" fillId="16" borderId="25" xfId="0" applyNumberFormat="1" applyFill="1" applyBorder="1" applyProtection="1">
      <protection hidden="1"/>
    </xf>
    <xf numFmtId="0" fontId="3" fillId="0" borderId="47" xfId="0" applyFont="1" applyBorder="1" applyAlignment="1" applyProtection="1">
      <alignment horizontal="center"/>
      <protection hidden="1"/>
    </xf>
    <xf numFmtId="0" fontId="3" fillId="0" borderId="13" xfId="0" applyFont="1" applyBorder="1" applyAlignment="1" applyProtection="1">
      <alignment horizontal="center" wrapText="1"/>
      <protection hidden="1"/>
    </xf>
    <xf numFmtId="0" fontId="3" fillId="0" borderId="59" xfId="0" applyFont="1" applyBorder="1" applyAlignment="1" applyProtection="1">
      <alignment horizontal="center" wrapText="1"/>
      <protection hidden="1"/>
    </xf>
    <xf numFmtId="0" fontId="3" fillId="0" borderId="51" xfId="0" quotePrefix="1" applyFont="1" applyBorder="1" applyAlignment="1" applyProtection="1">
      <alignment horizontal="center"/>
      <protection hidden="1"/>
    </xf>
    <xf numFmtId="0" fontId="5" fillId="0" borderId="56" xfId="0" applyFont="1" applyBorder="1" applyAlignment="1" applyProtection="1">
      <alignment horizontal="center"/>
      <protection hidden="1"/>
    </xf>
    <xf numFmtId="0" fontId="5" fillId="0" borderId="11" xfId="0" applyFont="1" applyBorder="1" applyAlignment="1" applyProtection="1">
      <alignment horizontal="center"/>
      <protection hidden="1"/>
    </xf>
    <xf numFmtId="0" fontId="5" fillId="0" borderId="82" xfId="0" applyFont="1" applyBorder="1" applyAlignment="1" applyProtection="1">
      <alignment horizontal="center"/>
      <protection hidden="1"/>
    </xf>
    <xf numFmtId="0" fontId="6" fillId="0" borderId="86" xfId="0" applyFont="1" applyBorder="1" applyAlignment="1" applyProtection="1">
      <alignment horizontal="centerContinuous"/>
      <protection hidden="1"/>
    </xf>
    <xf numFmtId="0" fontId="3" fillId="0" borderId="88" xfId="0" applyFont="1" applyBorder="1" applyAlignment="1" applyProtection="1">
      <alignment horizontal="centerContinuous"/>
      <protection hidden="1"/>
    </xf>
    <xf numFmtId="0" fontId="3" fillId="0" borderId="87" xfId="0" applyFont="1" applyBorder="1" applyAlignment="1" applyProtection="1">
      <alignment horizontal="centerContinuous"/>
      <protection hidden="1"/>
    </xf>
    <xf numFmtId="0" fontId="195" fillId="0" borderId="47" xfId="0" applyFont="1" applyBorder="1" applyAlignment="1" applyProtection="1">
      <alignment horizontal="center" vertical="center" wrapText="1"/>
      <protection hidden="1"/>
    </xf>
    <xf numFmtId="180" fontId="195" fillId="0" borderId="59" xfId="0" applyNumberFormat="1" applyFont="1" applyBorder="1" applyAlignment="1" applyProtection="1">
      <alignment horizontal="center" vertical="center" wrapText="1"/>
      <protection hidden="1"/>
    </xf>
    <xf numFmtId="0" fontId="195" fillId="0" borderId="51" xfId="0" applyFont="1" applyBorder="1" applyAlignment="1" applyProtection="1">
      <alignment horizontal="center" vertical="center" wrapText="1"/>
      <protection hidden="1"/>
    </xf>
    <xf numFmtId="180" fontId="195" fillId="0" borderId="117" xfId="0" applyNumberFormat="1" applyFont="1" applyBorder="1" applyAlignment="1" applyProtection="1">
      <alignment horizontal="center" vertical="center" wrapText="1"/>
      <protection hidden="1"/>
    </xf>
    <xf numFmtId="0" fontId="53" fillId="16" borderId="0" xfId="0" applyFont="1" applyFill="1" applyProtection="1">
      <protection hidden="1"/>
    </xf>
    <xf numFmtId="0" fontId="49" fillId="16" borderId="0" xfId="0" applyFont="1" applyFill="1" applyProtection="1">
      <protection hidden="1"/>
    </xf>
    <xf numFmtId="0" fontId="53" fillId="16" borderId="26" xfId="0" applyFont="1" applyFill="1" applyBorder="1" applyProtection="1">
      <protection hidden="1"/>
    </xf>
    <xf numFmtId="0" fontId="14" fillId="0" borderId="0" xfId="0" applyFont="1" applyProtection="1">
      <protection hidden="1"/>
    </xf>
    <xf numFmtId="0" fontId="14" fillId="16" borderId="26" xfId="0" applyFont="1" applyFill="1" applyBorder="1" applyProtection="1">
      <protection hidden="1"/>
    </xf>
    <xf numFmtId="0" fontId="0" fillId="16" borderId="9" xfId="0" applyFill="1" applyBorder="1" applyAlignment="1" applyProtection="1">
      <alignment horizontal="center" vertical="center" wrapText="1"/>
      <protection hidden="1"/>
    </xf>
    <xf numFmtId="0" fontId="0" fillId="16" borderId="15" xfId="0" applyFill="1" applyBorder="1" applyAlignment="1" applyProtection="1">
      <alignment horizontal="center" vertical="center" wrapText="1"/>
      <protection hidden="1"/>
    </xf>
    <xf numFmtId="0" fontId="0" fillId="16" borderId="31" xfId="0" applyFill="1" applyBorder="1" applyAlignment="1" applyProtection="1">
      <alignment horizontal="center" vertical="center" wrapText="1"/>
      <protection hidden="1"/>
    </xf>
    <xf numFmtId="0" fontId="1" fillId="17" borderId="16" xfId="0" applyFont="1" applyFill="1" applyBorder="1" applyAlignment="1" applyProtection="1">
      <alignment horizontal="center" vertical="center"/>
      <protection locked="0"/>
    </xf>
    <xf numFmtId="0" fontId="16" fillId="16" borderId="26" xfId="0" applyFont="1" applyFill="1" applyBorder="1" applyProtection="1">
      <protection hidden="1"/>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1" xfId="0" applyFill="1" applyBorder="1" applyProtection="1">
      <protection hidden="1"/>
    </xf>
    <xf numFmtId="0" fontId="0" fillId="20" borderId="12" xfId="0" applyFill="1" applyBorder="1" applyProtection="1">
      <protection hidden="1"/>
    </xf>
    <xf numFmtId="0" fontId="10" fillId="16" borderId="9" xfId="0" applyFont="1" applyFill="1" applyBorder="1" applyProtection="1">
      <protection hidden="1"/>
    </xf>
    <xf numFmtId="49" fontId="16" fillId="16" borderId="0" xfId="0" applyNumberFormat="1" applyFont="1" applyFill="1" applyAlignment="1" applyProtection="1">
      <alignment horizontal="right" vertical="center"/>
      <protection hidden="1"/>
    </xf>
    <xf numFmtId="0" fontId="0" fillId="16" borderId="0" xfId="0" applyFill="1" applyAlignment="1" applyProtection="1">
      <alignment horizontal="right" indent="1"/>
      <protection hidden="1"/>
    </xf>
    <xf numFmtId="0" fontId="16" fillId="16" borderId="0" xfId="0" applyFont="1" applyFill="1" applyAlignment="1" applyProtection="1">
      <alignment horizontal="right" vertical="center" wrapText="1" indent="1"/>
      <protection hidden="1"/>
    </xf>
    <xf numFmtId="0" fontId="1" fillId="16" borderId="0" xfId="0" applyFont="1" applyFill="1" applyAlignment="1" applyProtection="1">
      <alignment horizontal="left" indent="1"/>
      <protection hidden="1"/>
    </xf>
    <xf numFmtId="0" fontId="53" fillId="16" borderId="5" xfId="0" applyFont="1" applyFill="1" applyBorder="1" applyProtection="1">
      <protection hidden="1"/>
    </xf>
    <xf numFmtId="0" fontId="0" fillId="20" borderId="9" xfId="0" applyFill="1" applyBorder="1" applyProtection="1">
      <protection hidden="1"/>
    </xf>
    <xf numFmtId="0" fontId="232" fillId="16" borderId="0" xfId="0" applyFont="1" applyFill="1" applyProtection="1">
      <protection hidden="1"/>
    </xf>
    <xf numFmtId="0" fontId="10" fillId="16" borderId="5" xfId="0" applyFont="1" applyFill="1" applyBorder="1" applyAlignment="1" applyProtection="1">
      <alignment horizontal="right"/>
      <protection hidden="1"/>
    </xf>
    <xf numFmtId="0" fontId="10" fillId="16" borderId="25" xfId="0" applyFont="1" applyFill="1" applyBorder="1" applyAlignment="1" applyProtection="1">
      <alignment horizontal="right"/>
      <protection hidden="1"/>
    </xf>
    <xf numFmtId="0" fontId="143" fillId="2" borderId="0" xfId="0" quotePrefix="1" applyFont="1" applyFill="1" applyProtection="1">
      <protection hidden="1"/>
    </xf>
    <xf numFmtId="164" fontId="1" fillId="2" borderId="6" xfId="0" quotePrefix="1" applyNumberFormat="1" applyFont="1" applyFill="1" applyBorder="1" applyAlignment="1" applyProtection="1">
      <alignment horizontal="right"/>
      <protection hidden="1"/>
    </xf>
    <xf numFmtId="164" fontId="1" fillId="2" borderId="0" xfId="0" quotePrefix="1" applyNumberFormat="1" applyFont="1" applyFill="1" applyAlignment="1" applyProtection="1">
      <alignment horizontal="right"/>
      <protection hidden="1"/>
    </xf>
    <xf numFmtId="38" fontId="5" fillId="16" borderId="0" xfId="0" applyNumberFormat="1" applyFont="1" applyFill="1" applyProtection="1">
      <protection hidden="1"/>
    </xf>
    <xf numFmtId="0" fontId="150" fillId="2" borderId="0" xfId="0" applyFont="1" applyFill="1" applyAlignment="1" applyProtection="1">
      <alignment horizontal="right"/>
      <protection hidden="1"/>
    </xf>
    <xf numFmtId="3" fontId="1" fillId="2" borderId="0" xfId="0" applyNumberFormat="1" applyFont="1" applyFill="1" applyAlignment="1" applyProtection="1">
      <alignment horizontal="right"/>
      <protection hidden="1"/>
    </xf>
    <xf numFmtId="0" fontId="41" fillId="2" borderId="22" xfId="0" quotePrefix="1" applyFont="1" applyFill="1" applyBorder="1" applyAlignment="1" applyProtection="1">
      <alignment horizontal="left" vertical="top"/>
      <protection hidden="1"/>
    </xf>
    <xf numFmtId="0" fontId="5" fillId="25" borderId="0" xfId="0" applyFont="1" applyFill="1" applyAlignment="1" applyProtection="1">
      <alignment horizontal="left"/>
      <protection hidden="1"/>
    </xf>
    <xf numFmtId="49" fontId="6" fillId="25" borderId="0" xfId="0" applyNumberFormat="1" applyFont="1" applyFill="1" applyAlignment="1" applyProtection="1">
      <alignment horizontal="center"/>
      <protection hidden="1"/>
    </xf>
    <xf numFmtId="0" fontId="5" fillId="25" borderId="0" xfId="0" applyFont="1" applyFill="1" applyAlignment="1" applyProtection="1">
      <alignment horizontal="center"/>
      <protection hidden="1"/>
    </xf>
    <xf numFmtId="0" fontId="41" fillId="2" borderId="0" xfId="0" applyFont="1" applyFill="1" applyAlignment="1" applyProtection="1">
      <alignment horizontal="left"/>
      <protection hidden="1"/>
    </xf>
    <xf numFmtId="0" fontId="41" fillId="2" borderId="0" xfId="0" applyFont="1" applyFill="1" applyProtection="1">
      <protection hidden="1"/>
    </xf>
    <xf numFmtId="176" fontId="140" fillId="3" borderId="0" xfId="0" applyNumberFormat="1" applyFont="1" applyFill="1" applyAlignment="1" applyProtection="1">
      <alignment horizontal="center"/>
      <protection hidden="1"/>
    </xf>
    <xf numFmtId="39" fontId="144" fillId="3" borderId="0" xfId="0" applyNumberFormat="1" applyFont="1" applyFill="1" applyAlignment="1" applyProtection="1">
      <alignment horizontal="center"/>
      <protection hidden="1"/>
    </xf>
    <xf numFmtId="0" fontId="18" fillId="2" borderId="6" xfId="0" applyFont="1" applyFill="1" applyBorder="1" applyAlignment="1" applyProtection="1">
      <alignment vertical="top"/>
      <protection hidden="1"/>
    </xf>
    <xf numFmtId="0" fontId="39" fillId="2" borderId="22" xfId="0" applyFont="1" applyFill="1" applyBorder="1" applyAlignment="1" applyProtection="1">
      <alignment horizontal="right" vertical="top"/>
      <protection hidden="1"/>
    </xf>
    <xf numFmtId="0" fontId="1" fillId="2" borderId="0" xfId="0" applyFont="1" applyFill="1" applyAlignment="1" applyProtection="1">
      <alignment horizontal="right"/>
      <protection hidden="1"/>
    </xf>
    <xf numFmtId="0" fontId="22" fillId="16" borderId="0" xfId="0" applyFont="1" applyFill="1" applyAlignment="1" applyProtection="1">
      <alignment horizontal="centerContinuous"/>
      <protection hidden="1"/>
    </xf>
    <xf numFmtId="0" fontId="96" fillId="16" borderId="0" xfId="0" applyFont="1" applyFill="1" applyAlignment="1" applyProtection="1">
      <alignment horizontal="centerContinuous"/>
      <protection hidden="1"/>
    </xf>
    <xf numFmtId="0" fontId="75" fillId="16" borderId="0" xfId="2" applyFill="1" applyAlignment="1" applyProtection="1">
      <protection hidden="1"/>
    </xf>
    <xf numFmtId="0" fontId="3" fillId="16" borderId="0" xfId="0" quotePrefix="1" applyFont="1" applyFill="1" applyAlignment="1" applyProtection="1">
      <alignment horizontal="left" indent="1"/>
      <protection hidden="1"/>
    </xf>
    <xf numFmtId="0" fontId="39" fillId="2" borderId="0" xfId="0" applyFont="1" applyFill="1" applyProtection="1">
      <protection hidden="1"/>
    </xf>
    <xf numFmtId="0" fontId="5" fillId="16" borderId="9" xfId="0" applyFont="1" applyFill="1" applyBorder="1" applyProtection="1">
      <protection hidden="1"/>
    </xf>
    <xf numFmtId="0" fontId="5" fillId="16" borderId="15" xfId="0" applyFont="1" applyFill="1" applyBorder="1" applyProtection="1">
      <protection hidden="1"/>
    </xf>
    <xf numFmtId="0" fontId="1" fillId="3" borderId="0" xfId="0" applyFont="1" applyFill="1" applyAlignment="1" applyProtection="1">
      <alignment vertical="top"/>
      <protection hidden="1"/>
    </xf>
    <xf numFmtId="1" fontId="12" fillId="3" borderId="6" xfId="0" applyNumberFormat="1" applyFont="1" applyFill="1" applyBorder="1" applyAlignment="1" applyProtection="1">
      <alignment horizontal="center" vertical="center"/>
      <protection hidden="1"/>
    </xf>
    <xf numFmtId="0" fontId="17" fillId="3" borderId="5" xfId="0" applyFont="1" applyFill="1" applyBorder="1" applyAlignment="1" applyProtection="1">
      <alignment vertical="top"/>
      <protection hidden="1"/>
    </xf>
    <xf numFmtId="4" fontId="8" fillId="3" borderId="22" xfId="0" applyNumberFormat="1" applyFont="1" applyFill="1" applyBorder="1" applyAlignment="1" applyProtection="1">
      <alignment horizontal="center"/>
      <protection hidden="1"/>
    </xf>
    <xf numFmtId="4" fontId="8" fillId="3" borderId="5" xfId="0" applyNumberFormat="1" applyFont="1" applyFill="1" applyBorder="1" applyProtection="1">
      <protection hidden="1"/>
    </xf>
    <xf numFmtId="0" fontId="17" fillId="3" borderId="0" xfId="0" applyFont="1" applyFill="1" applyProtection="1">
      <protection hidden="1"/>
    </xf>
    <xf numFmtId="49" fontId="8" fillId="3" borderId="5" xfId="0" applyNumberFormat="1" applyFont="1" applyFill="1" applyBorder="1" applyAlignment="1" applyProtection="1">
      <alignment horizontal="center"/>
      <protection hidden="1"/>
    </xf>
    <xf numFmtId="0" fontId="112" fillId="16" borderId="3" xfId="0" applyFont="1" applyFill="1" applyBorder="1" applyAlignment="1">
      <alignment horizontal="right" wrapText="1"/>
    </xf>
    <xf numFmtId="168" fontId="5" fillId="25" borderId="0" xfId="0" applyNumberFormat="1" applyFont="1" applyFill="1" applyAlignment="1" applyProtection="1">
      <alignment horizontal="center"/>
      <protection hidden="1"/>
    </xf>
    <xf numFmtId="0" fontId="16" fillId="3" borderId="0" xfId="0" applyFont="1" applyFill="1" applyAlignment="1" applyProtection="1">
      <alignment vertical="top"/>
      <protection hidden="1"/>
    </xf>
    <xf numFmtId="168" fontId="233" fillId="5" borderId="0" xfId="0" applyNumberFormat="1" applyFont="1" applyFill="1" applyAlignment="1" applyProtection="1">
      <alignment horizontal="right"/>
      <protection hidden="1"/>
    </xf>
    <xf numFmtId="168" fontId="209" fillId="2" borderId="3" xfId="0" applyNumberFormat="1" applyFont="1" applyFill="1" applyBorder="1" applyAlignment="1" applyProtection="1">
      <alignment horizontal="left" vertical="center" indent="1"/>
      <protection hidden="1"/>
    </xf>
    <xf numFmtId="168" fontId="209" fillId="2" borderId="0" xfId="0" applyNumberFormat="1" applyFont="1" applyFill="1" applyAlignment="1" applyProtection="1">
      <alignment horizontal="left" vertical="center"/>
      <protection hidden="1"/>
    </xf>
    <xf numFmtId="168" fontId="144" fillId="2" borderId="0" xfId="0" applyNumberFormat="1" applyFont="1" applyFill="1" applyAlignment="1" applyProtection="1">
      <alignment horizontal="center" vertical="center"/>
      <protection hidden="1"/>
    </xf>
    <xf numFmtId="0" fontId="1" fillId="8" borderId="31" xfId="0" applyFont="1" applyFill="1" applyBorder="1" applyAlignment="1" applyProtection="1">
      <alignment horizontal="center" vertical="center" wrapText="1"/>
      <protection hidden="1"/>
    </xf>
    <xf numFmtId="0" fontId="3" fillId="16" borderId="5" xfId="0" applyFont="1" applyFill="1" applyBorder="1" applyAlignment="1" applyProtection="1">
      <alignment horizontal="right"/>
      <protection hidden="1"/>
    </xf>
    <xf numFmtId="1" fontId="10" fillId="16" borderId="26" xfId="0" applyNumberFormat="1" applyFont="1" applyFill="1" applyBorder="1" applyAlignment="1" applyProtection="1">
      <alignment horizontal="center" vertical="center" wrapText="1"/>
      <protection hidden="1"/>
    </xf>
    <xf numFmtId="0" fontId="75" fillId="16" borderId="5" xfId="2" applyFill="1" applyBorder="1" applyAlignment="1" applyProtection="1">
      <alignment horizontal="left"/>
      <protection hidden="1"/>
    </xf>
    <xf numFmtId="0" fontId="0" fillId="16" borderId="5" xfId="0" applyFill="1" applyBorder="1" applyAlignment="1">
      <alignment horizontal="left"/>
    </xf>
    <xf numFmtId="0" fontId="75" fillId="16" borderId="5" xfId="2" applyFill="1" applyBorder="1" applyAlignment="1" applyProtection="1">
      <alignment horizontal="right"/>
    </xf>
    <xf numFmtId="0" fontId="235" fillId="35" borderId="165" xfId="0" applyFont="1" applyFill="1" applyBorder="1" applyAlignment="1" applyProtection="1">
      <alignment horizontal="center"/>
      <protection hidden="1"/>
    </xf>
    <xf numFmtId="0" fontId="235" fillId="35" borderId="166" xfId="0" applyFont="1" applyFill="1" applyBorder="1" applyAlignment="1" applyProtection="1">
      <alignment horizontal="left"/>
      <protection hidden="1"/>
    </xf>
    <xf numFmtId="0" fontId="235" fillId="35" borderId="166" xfId="0" applyFont="1" applyFill="1" applyBorder="1" applyAlignment="1" applyProtection="1">
      <alignment horizontal="center"/>
      <protection hidden="1"/>
    </xf>
    <xf numFmtId="0" fontId="236" fillId="0" borderId="0" xfId="0" applyFont="1" applyAlignment="1" applyProtection="1">
      <alignment horizontal="center" vertical="center"/>
      <protection hidden="1"/>
    </xf>
    <xf numFmtId="0" fontId="236" fillId="0" borderId="0" xfId="0" applyFont="1" applyProtection="1">
      <protection hidden="1"/>
    </xf>
    <xf numFmtId="0" fontId="236" fillId="0" borderId="0" xfId="0" applyFont="1" applyAlignment="1" applyProtection="1">
      <alignment horizontal="right"/>
      <protection hidden="1"/>
    </xf>
    <xf numFmtId="0" fontId="237" fillId="0" borderId="0" xfId="0" applyFont="1" applyAlignment="1" applyProtection="1">
      <alignment horizontal="center" vertical="center"/>
      <protection hidden="1"/>
    </xf>
    <xf numFmtId="0" fontId="237" fillId="0" borderId="0" xfId="0" applyFont="1" applyAlignment="1" applyProtection="1">
      <alignment horizontal="center"/>
      <protection hidden="1"/>
    </xf>
    <xf numFmtId="0" fontId="235" fillId="35" borderId="166" xfId="0" applyFont="1" applyFill="1" applyBorder="1" applyAlignment="1" applyProtection="1">
      <alignment horizontal="left" vertical="center"/>
      <protection hidden="1"/>
    </xf>
    <xf numFmtId="0" fontId="239" fillId="36" borderId="166" xfId="0" applyFont="1" applyFill="1" applyBorder="1" applyAlignment="1" applyProtection="1">
      <alignment vertical="center"/>
      <protection hidden="1"/>
    </xf>
    <xf numFmtId="0" fontId="239" fillId="35" borderId="166" xfId="0" applyFont="1" applyFill="1" applyBorder="1" applyAlignment="1" applyProtection="1">
      <alignment vertical="center"/>
      <protection hidden="1"/>
    </xf>
    <xf numFmtId="0" fontId="239" fillId="36" borderId="166" xfId="0" applyFont="1" applyFill="1" applyBorder="1" applyAlignment="1" applyProtection="1">
      <alignment vertical="center" wrapText="1"/>
      <protection hidden="1"/>
    </xf>
    <xf numFmtId="3" fontId="240" fillId="0" borderId="8" xfId="0" applyNumberFormat="1" applyFont="1" applyBorder="1" applyAlignment="1" applyProtection="1">
      <alignment horizontal="center" wrapText="1"/>
      <protection hidden="1"/>
    </xf>
    <xf numFmtId="0" fontId="0" fillId="24" borderId="0" xfId="0" applyFill="1" applyProtection="1">
      <protection hidden="1"/>
    </xf>
    <xf numFmtId="0" fontId="14" fillId="24" borderId="0" xfId="0" applyFont="1" applyFill="1" applyProtection="1">
      <protection hidden="1"/>
    </xf>
    <xf numFmtId="182" fontId="138" fillId="16" borderId="0" xfId="0" applyNumberFormat="1" applyFont="1" applyFill="1" applyAlignment="1" applyProtection="1">
      <alignment horizontal="right"/>
      <protection hidden="1"/>
    </xf>
    <xf numFmtId="3" fontId="3" fillId="16" borderId="2" xfId="0" applyNumberFormat="1" applyFont="1" applyFill="1" applyBorder="1" applyProtection="1">
      <protection locked="0"/>
    </xf>
    <xf numFmtId="3" fontId="3" fillId="16" borderId="0" xfId="0" applyNumberFormat="1" applyFont="1" applyFill="1" applyProtection="1">
      <protection locked="0"/>
    </xf>
    <xf numFmtId="3" fontId="3" fillId="16" borderId="0" xfId="0" applyNumberFormat="1" applyFont="1" applyFill="1" applyProtection="1">
      <protection hidden="1"/>
    </xf>
    <xf numFmtId="49" fontId="0" fillId="16" borderId="0" xfId="0" applyNumberFormat="1" applyFill="1" applyAlignment="1" applyProtection="1">
      <alignment horizontal="right"/>
      <protection hidden="1"/>
    </xf>
    <xf numFmtId="0" fontId="171" fillId="16" borderId="0" xfId="0" applyFont="1" applyFill="1" applyAlignment="1" applyProtection="1">
      <alignment vertical="center" wrapText="1"/>
      <protection hidden="1"/>
    </xf>
    <xf numFmtId="3" fontId="138" fillId="16" borderId="0" xfId="0" applyNumberFormat="1" applyFont="1" applyFill="1" applyAlignment="1" applyProtection="1">
      <alignment horizontal="center"/>
      <protection hidden="1"/>
    </xf>
    <xf numFmtId="6" fontId="0" fillId="16" borderId="0" xfId="0" applyNumberFormat="1" applyFill="1" applyProtection="1">
      <protection hidden="1"/>
    </xf>
    <xf numFmtId="0" fontId="188" fillId="16" borderId="0" xfId="0" applyFont="1" applyFill="1" applyAlignment="1" applyProtection="1">
      <alignment vertical="center" wrapText="1"/>
      <protection hidden="1"/>
    </xf>
    <xf numFmtId="0" fontId="188" fillId="16" borderId="0" xfId="0" applyFont="1" applyFill="1" applyAlignment="1">
      <alignment vertical="center" wrapText="1"/>
    </xf>
    <xf numFmtId="0" fontId="188" fillId="16" borderId="0" xfId="0" applyFont="1" applyFill="1" applyAlignment="1">
      <alignment vertical="center"/>
    </xf>
    <xf numFmtId="0" fontId="231" fillId="16" borderId="0" xfId="0" applyFont="1" applyFill="1" applyAlignment="1">
      <alignment vertical="center" wrapText="1"/>
    </xf>
    <xf numFmtId="0" fontId="1" fillId="16" borderId="0" xfId="0" applyFont="1" applyFill="1" applyAlignment="1" applyProtection="1">
      <alignment horizontal="center" vertical="center"/>
      <protection locked="0"/>
    </xf>
    <xf numFmtId="0" fontId="241" fillId="16" borderId="0" xfId="0" applyFont="1" applyFill="1" applyAlignment="1" applyProtection="1">
      <alignment vertical="center"/>
      <protection hidden="1"/>
    </xf>
    <xf numFmtId="0" fontId="16" fillId="16" borderId="0" xfId="0" applyFont="1" applyFill="1" applyAlignment="1" applyProtection="1">
      <alignment horizontal="center"/>
      <protection hidden="1"/>
    </xf>
    <xf numFmtId="0" fontId="16" fillId="16" borderId="0" xfId="0" applyFont="1" applyFill="1" applyAlignment="1">
      <alignment horizontal="right" vertical="center" wrapText="1" indent="1"/>
    </xf>
    <xf numFmtId="0" fontId="5" fillId="24" borderId="0" xfId="0" applyFont="1" applyFill="1" applyProtection="1">
      <protection hidden="1"/>
    </xf>
    <xf numFmtId="0" fontId="5" fillId="20" borderId="9" xfId="0" applyFont="1" applyFill="1" applyBorder="1" applyProtection="1">
      <protection hidden="1"/>
    </xf>
    <xf numFmtId="39" fontId="5" fillId="25" borderId="0" xfId="0" applyNumberFormat="1" applyFont="1" applyFill="1" applyProtection="1">
      <protection locked="0"/>
    </xf>
    <xf numFmtId="0" fontId="5" fillId="20" borderId="0" xfId="0" applyFont="1" applyFill="1" applyProtection="1">
      <protection hidden="1"/>
    </xf>
    <xf numFmtId="0" fontId="10" fillId="16" borderId="26" xfId="0" applyFont="1" applyFill="1" applyBorder="1" applyProtection="1">
      <protection hidden="1"/>
    </xf>
    <xf numFmtId="0" fontId="150" fillId="16" borderId="1" xfId="0" applyFont="1" applyFill="1" applyBorder="1" applyProtection="1">
      <protection hidden="1"/>
    </xf>
    <xf numFmtId="0" fontId="0" fillId="24" borderId="0" xfId="0" applyFill="1" applyAlignment="1" applyProtection="1">
      <alignment horizontal="left"/>
      <protection hidden="1"/>
    </xf>
    <xf numFmtId="39" fontId="0" fillId="25" borderId="0" xfId="0" applyNumberFormat="1" applyFill="1" applyAlignment="1" applyProtection="1">
      <alignment horizontal="left"/>
      <protection locked="0"/>
    </xf>
    <xf numFmtId="0" fontId="8" fillId="16" borderId="1" xfId="0" applyFont="1" applyFill="1" applyBorder="1" applyProtection="1">
      <protection hidden="1"/>
    </xf>
    <xf numFmtId="0" fontId="150" fillId="16" borderId="0" xfId="0" applyFont="1" applyFill="1" applyAlignment="1" applyProtection="1">
      <alignment horizontal="center"/>
      <protection hidden="1"/>
    </xf>
    <xf numFmtId="0" fontId="1" fillId="16" borderId="31" xfId="0" applyFont="1" applyFill="1" applyBorder="1" applyProtection="1">
      <protection hidden="1"/>
    </xf>
    <xf numFmtId="0" fontId="3" fillId="16" borderId="31" xfId="0" applyFont="1" applyFill="1" applyBorder="1" applyProtection="1">
      <protection hidden="1"/>
    </xf>
    <xf numFmtId="0" fontId="1" fillId="16" borderId="0" xfId="0" applyFont="1" applyFill="1" applyAlignment="1" applyProtection="1">
      <alignment vertical="center"/>
      <protection hidden="1"/>
    </xf>
    <xf numFmtId="185" fontId="1" fillId="0" borderId="5" xfId="0" applyNumberFormat="1" applyFont="1" applyBorder="1" applyAlignment="1" applyProtection="1">
      <alignment horizontal="left"/>
      <protection hidden="1"/>
    </xf>
    <xf numFmtId="0" fontId="138" fillId="0" borderId="5" xfId="0" applyFont="1" applyBorder="1" applyAlignment="1">
      <alignment horizontal="center" vertical="top" wrapText="1"/>
    </xf>
    <xf numFmtId="0" fontId="138" fillId="0" borderId="5" xfId="0" applyFont="1" applyBorder="1" applyAlignment="1">
      <alignment vertical="top" wrapText="1"/>
    </xf>
    <xf numFmtId="0" fontId="5" fillId="16" borderId="0" xfId="0" applyFont="1" applyFill="1" applyAlignment="1" applyProtection="1">
      <alignment horizontal="left" indent="1"/>
      <protection hidden="1"/>
    </xf>
    <xf numFmtId="0" fontId="16" fillId="16" borderId="26" xfId="0" applyFont="1" applyFill="1" applyBorder="1" applyAlignment="1" applyProtection="1">
      <alignment horizontal="center"/>
      <protection hidden="1"/>
    </xf>
    <xf numFmtId="0" fontId="3" fillId="16" borderId="26" xfId="0" applyFont="1" applyFill="1" applyBorder="1" applyProtection="1">
      <protection hidden="1"/>
    </xf>
    <xf numFmtId="0" fontId="0" fillId="16" borderId="1" xfId="0" applyFill="1" applyBorder="1" applyAlignment="1" applyProtection="1">
      <alignment horizontal="right" indent="1"/>
      <protection hidden="1"/>
    </xf>
    <xf numFmtId="0" fontId="53" fillId="16" borderId="1" xfId="0" applyFont="1" applyFill="1" applyBorder="1" applyProtection="1">
      <protection hidden="1"/>
    </xf>
    <xf numFmtId="0" fontId="0" fillId="24" borderId="0" xfId="0" applyFill="1" applyAlignment="1" applyProtection="1">
      <alignment vertical="top"/>
      <protection hidden="1"/>
    </xf>
    <xf numFmtId="0" fontId="3" fillId="16" borderId="1" xfId="0" applyFont="1" applyFill="1" applyBorder="1" applyAlignment="1" applyProtection="1">
      <alignment vertical="top"/>
      <protection hidden="1"/>
    </xf>
    <xf numFmtId="0" fontId="0" fillId="20" borderId="10" xfId="0" applyFill="1" applyBorder="1" applyProtection="1">
      <protection hidden="1"/>
    </xf>
    <xf numFmtId="0" fontId="16" fillId="16" borderId="0" xfId="0" applyFont="1" applyFill="1" applyAlignment="1" applyProtection="1">
      <alignment horizontal="right" vertical="center"/>
      <protection hidden="1"/>
    </xf>
    <xf numFmtId="0" fontId="10" fillId="16" borderId="25" xfId="0" applyFont="1" applyFill="1" applyBorder="1" applyAlignment="1" applyProtection="1">
      <alignment horizontal="left"/>
      <protection hidden="1"/>
    </xf>
    <xf numFmtId="0" fontId="16" fillId="16" borderId="1" xfId="0" applyFont="1" applyFill="1" applyBorder="1" applyAlignment="1" applyProtection="1">
      <alignment horizontal="right" vertical="center"/>
      <protection hidden="1"/>
    </xf>
    <xf numFmtId="0" fontId="5" fillId="16" borderId="25" xfId="0" applyFont="1" applyFill="1" applyBorder="1" applyProtection="1">
      <protection hidden="1"/>
    </xf>
    <xf numFmtId="0" fontId="6" fillId="16" borderId="10" xfId="0" applyFont="1" applyFill="1" applyBorder="1" applyAlignment="1" applyProtection="1">
      <alignment horizontal="right" vertical="center"/>
      <protection hidden="1"/>
    </xf>
    <xf numFmtId="0" fontId="5" fillId="16" borderId="12" xfId="0" applyFont="1" applyFill="1" applyBorder="1" applyProtection="1">
      <protection hidden="1"/>
    </xf>
    <xf numFmtId="0" fontId="11" fillId="16" borderId="10" xfId="0" applyFont="1" applyFill="1" applyBorder="1" applyAlignment="1" applyProtection="1">
      <alignment horizontal="right" vertical="center"/>
      <protection hidden="1"/>
    </xf>
    <xf numFmtId="0" fontId="8" fillId="16" borderId="12" xfId="0" applyFont="1" applyFill="1" applyBorder="1" applyProtection="1">
      <protection hidden="1"/>
    </xf>
    <xf numFmtId="0" fontId="3" fillId="16" borderId="1" xfId="0" applyFont="1" applyFill="1" applyBorder="1" applyAlignment="1" applyProtection="1">
      <alignment horizontal="left"/>
      <protection hidden="1"/>
    </xf>
    <xf numFmtId="0" fontId="11" fillId="25" borderId="0" xfId="0" applyFont="1" applyFill="1" applyAlignment="1" applyProtection="1">
      <alignment horizontal="right" vertical="top"/>
      <protection hidden="1"/>
    </xf>
    <xf numFmtId="0" fontId="1" fillId="16" borderId="9" xfId="0" applyFont="1" applyFill="1" applyBorder="1" applyAlignment="1" applyProtection="1">
      <alignment horizontal="center"/>
      <protection hidden="1"/>
    </xf>
    <xf numFmtId="0" fontId="0" fillId="16" borderId="9" xfId="0" applyFill="1" applyBorder="1" applyAlignment="1" applyProtection="1">
      <alignment vertical="top"/>
      <protection hidden="1"/>
    </xf>
    <xf numFmtId="0" fontId="1" fillId="16" borderId="26" xfId="0" applyFont="1" applyFill="1" applyBorder="1" applyProtection="1">
      <protection hidden="1"/>
    </xf>
    <xf numFmtId="0" fontId="6" fillId="16" borderId="0" xfId="0" applyFont="1" applyFill="1" applyProtection="1">
      <protection hidden="1"/>
    </xf>
    <xf numFmtId="0" fontId="6" fillId="16" borderId="0" xfId="0" applyFont="1" applyFill="1" applyAlignment="1" applyProtection="1">
      <alignment vertical="top"/>
      <protection hidden="1"/>
    </xf>
    <xf numFmtId="0" fontId="140" fillId="16" borderId="3" xfId="0" applyFont="1" applyFill="1" applyBorder="1" applyAlignment="1" applyProtection="1">
      <alignment horizontal="center"/>
      <protection hidden="1"/>
    </xf>
    <xf numFmtId="0" fontId="210" fillId="16" borderId="3" xfId="0" applyFont="1" applyFill="1" applyBorder="1" applyAlignment="1" applyProtection="1">
      <alignment horizontal="left" vertical="center"/>
      <protection hidden="1"/>
    </xf>
    <xf numFmtId="0" fontId="16" fillId="16" borderId="5" xfId="0" applyFont="1" applyFill="1" applyBorder="1" applyAlignment="1" applyProtection="1">
      <alignment horizontal="center" wrapText="1"/>
      <protection hidden="1"/>
    </xf>
    <xf numFmtId="0" fontId="150" fillId="16" borderId="5" xfId="0" applyFont="1" applyFill="1" applyBorder="1" applyProtection="1">
      <protection hidden="1"/>
    </xf>
    <xf numFmtId="0" fontId="10" fillId="16" borderId="26" xfId="0" applyFont="1" applyFill="1" applyBorder="1" applyAlignment="1" applyProtection="1">
      <alignment vertical="center"/>
      <protection hidden="1"/>
    </xf>
    <xf numFmtId="0" fontId="242" fillId="16" borderId="0" xfId="0" applyFont="1" applyFill="1" applyProtection="1">
      <protection hidden="1"/>
    </xf>
    <xf numFmtId="0" fontId="163" fillId="16" borderId="0" xfId="0" applyFont="1" applyFill="1" applyProtection="1">
      <protection hidden="1"/>
    </xf>
    <xf numFmtId="0" fontId="3" fillId="16" borderId="26" xfId="0" applyFont="1" applyFill="1" applyBorder="1" applyAlignment="1" applyProtection="1">
      <alignment vertical="center"/>
      <protection hidden="1"/>
    </xf>
    <xf numFmtId="0" fontId="0" fillId="16" borderId="31" xfId="0" applyFill="1" applyBorder="1" applyAlignment="1" applyProtection="1">
      <alignment vertical="top"/>
      <protection hidden="1"/>
    </xf>
    <xf numFmtId="0" fontId="3" fillId="20" borderId="3" xfId="0" applyFont="1" applyFill="1" applyBorder="1" applyProtection="1">
      <protection hidden="1"/>
    </xf>
    <xf numFmtId="0" fontId="3" fillId="20" borderId="0" xfId="0" applyFont="1" applyFill="1" applyProtection="1">
      <protection hidden="1"/>
    </xf>
    <xf numFmtId="0" fontId="3" fillId="20" borderId="25" xfId="0" applyFont="1" applyFill="1" applyBorder="1" applyProtection="1">
      <protection hidden="1"/>
    </xf>
    <xf numFmtId="0" fontId="3" fillId="16" borderId="3" xfId="0" applyFont="1" applyFill="1" applyBorder="1" applyProtection="1">
      <protection hidden="1"/>
    </xf>
    <xf numFmtId="0" fontId="3" fillId="16" borderId="25" xfId="0" applyFont="1" applyFill="1" applyBorder="1" applyProtection="1">
      <protection hidden="1"/>
    </xf>
    <xf numFmtId="0" fontId="3" fillId="20" borderId="10" xfId="0" applyFont="1" applyFill="1" applyBorder="1" applyProtection="1">
      <protection hidden="1"/>
    </xf>
    <xf numFmtId="0" fontId="3" fillId="20" borderId="1" xfId="0" applyFont="1" applyFill="1" applyBorder="1" applyProtection="1">
      <protection hidden="1"/>
    </xf>
    <xf numFmtId="0" fontId="3" fillId="20" borderId="12" xfId="0" applyFont="1" applyFill="1" applyBorder="1" applyProtection="1">
      <protection hidden="1"/>
    </xf>
    <xf numFmtId="0" fontId="140" fillId="0" borderId="21" xfId="0" applyFont="1" applyBorder="1"/>
    <xf numFmtId="4" fontId="1" fillId="28" borderId="67" xfId="0" applyNumberFormat="1" applyFont="1" applyFill="1" applyBorder="1" applyProtection="1">
      <protection hidden="1"/>
    </xf>
    <xf numFmtId="4" fontId="1" fillId="28" borderId="59" xfId="0" applyNumberFormat="1" applyFont="1" applyFill="1" applyBorder="1" applyProtection="1">
      <protection hidden="1"/>
    </xf>
    <xf numFmtId="4" fontId="3" fillId="28" borderId="59" xfId="0" applyNumberFormat="1" applyFont="1" applyFill="1" applyBorder="1" applyProtection="1">
      <protection hidden="1"/>
    </xf>
    <xf numFmtId="4" fontId="3" fillId="25" borderId="0" xfId="0" applyNumberFormat="1" applyFont="1" applyFill="1" applyAlignment="1" applyProtection="1">
      <alignment wrapText="1"/>
      <protection locked="0"/>
    </xf>
    <xf numFmtId="0" fontId="3" fillId="0" borderId="0" xfId="0" applyFont="1" applyAlignment="1">
      <alignment horizontal="left" wrapText="1"/>
    </xf>
    <xf numFmtId="4" fontId="1" fillId="28" borderId="117" xfId="0" applyNumberFormat="1" applyFont="1" applyFill="1" applyBorder="1" applyProtection="1">
      <protection hidden="1"/>
    </xf>
    <xf numFmtId="0" fontId="152" fillId="0" borderId="0" xfId="0" applyFont="1" applyProtection="1">
      <protection hidden="1"/>
    </xf>
    <xf numFmtId="0" fontId="144" fillId="0" borderId="0" xfId="0" applyFont="1" applyProtection="1">
      <protection hidden="1"/>
    </xf>
    <xf numFmtId="0" fontId="138" fillId="0" borderId="0" xfId="0" quotePrefix="1" applyFont="1" applyAlignment="1" applyProtection="1">
      <alignment horizontal="right"/>
      <protection hidden="1"/>
    </xf>
    <xf numFmtId="4" fontId="144" fillId="0" borderId="0" xfId="0" applyNumberFormat="1" applyFont="1" applyProtection="1">
      <protection hidden="1"/>
    </xf>
    <xf numFmtId="4" fontId="140" fillId="0" borderId="0" xfId="0" applyNumberFormat="1" applyFont="1" applyAlignment="1" applyProtection="1">
      <alignment horizontal="center"/>
      <protection hidden="1"/>
    </xf>
    <xf numFmtId="0" fontId="0" fillId="16" borderId="72" xfId="0" applyFill="1" applyBorder="1"/>
    <xf numFmtId="0" fontId="0" fillId="16" borderId="33" xfId="0" applyFill="1" applyBorder="1"/>
    <xf numFmtId="0" fontId="0" fillId="16" borderId="105" xfId="0" applyFill="1" applyBorder="1"/>
    <xf numFmtId="0" fontId="0" fillId="16" borderId="76" xfId="0" applyFill="1" applyBorder="1"/>
    <xf numFmtId="0" fontId="0" fillId="16" borderId="73" xfId="0" applyFill="1" applyBorder="1"/>
    <xf numFmtId="0" fontId="0" fillId="16" borderId="14" xfId="0" applyFill="1" applyBorder="1"/>
    <xf numFmtId="0" fontId="0" fillId="16" borderId="34" xfId="0" applyFill="1" applyBorder="1"/>
    <xf numFmtId="0" fontId="0" fillId="20" borderId="0" xfId="0" applyFill="1"/>
    <xf numFmtId="0" fontId="244" fillId="16" borderId="0" xfId="0" applyFont="1" applyFill="1"/>
    <xf numFmtId="0" fontId="184" fillId="16" borderId="0" xfId="0" applyFont="1" applyFill="1"/>
    <xf numFmtId="0" fontId="75" fillId="16" borderId="0" xfId="2" applyFill="1" applyAlignment="1" applyProtection="1"/>
    <xf numFmtId="0" fontId="3" fillId="16" borderId="16" xfId="0" applyFont="1" applyFill="1" applyBorder="1" applyAlignment="1">
      <alignment horizontal="center"/>
    </xf>
    <xf numFmtId="0" fontId="0" fillId="16" borderId="7" xfId="0" applyFill="1" applyBorder="1"/>
    <xf numFmtId="0" fontId="0" fillId="16" borderId="11" xfId="0" applyFill="1" applyBorder="1"/>
    <xf numFmtId="4" fontId="150" fillId="2" borderId="0" xfId="0" applyNumberFormat="1" applyFont="1" applyFill="1" applyAlignment="1" applyProtection="1">
      <alignment horizontal="left" indent="1"/>
      <protection hidden="1"/>
    </xf>
    <xf numFmtId="4" fontId="138" fillId="2" borderId="0" xfId="0" applyNumberFormat="1" applyFont="1" applyFill="1" applyAlignment="1" applyProtection="1">
      <alignment horizontal="left" indent="1"/>
      <protection hidden="1"/>
    </xf>
    <xf numFmtId="0" fontId="210" fillId="16" borderId="0" xfId="0" applyFont="1" applyFill="1" applyAlignment="1" applyProtection="1">
      <alignment horizontal="right" vertical="center"/>
      <protection hidden="1"/>
    </xf>
    <xf numFmtId="4" fontId="1" fillId="22" borderId="0" xfId="0" applyNumberFormat="1" applyFont="1" applyFill="1" applyAlignment="1" applyProtection="1">
      <alignment horizontal="center" vertical="center"/>
      <protection locked="0"/>
    </xf>
    <xf numFmtId="1" fontId="1" fillId="3" borderId="0" xfId="0" applyNumberFormat="1" applyFont="1" applyFill="1" applyAlignment="1" applyProtection="1">
      <alignment horizontal="center"/>
      <protection hidden="1"/>
    </xf>
    <xf numFmtId="1" fontId="1" fillId="3" borderId="0" xfId="0" applyNumberFormat="1" applyFont="1" applyFill="1" applyAlignment="1" applyProtection="1">
      <alignment horizontal="center" vertical="center"/>
      <protection hidden="1"/>
    </xf>
    <xf numFmtId="39" fontId="154" fillId="3" borderId="0" xfId="0" applyNumberFormat="1" applyFont="1" applyFill="1" applyAlignment="1" applyProtection="1">
      <alignment horizontal="center"/>
      <protection hidden="1"/>
    </xf>
    <xf numFmtId="1" fontId="3" fillId="3" borderId="0" xfId="0" applyNumberFormat="1" applyFont="1" applyFill="1" applyAlignment="1" applyProtection="1">
      <alignment horizontal="center"/>
      <protection hidden="1"/>
    </xf>
    <xf numFmtId="0" fontId="3" fillId="2" borderId="0" xfId="0" applyFont="1" applyFill="1" applyAlignment="1">
      <alignment horizontal="center"/>
    </xf>
    <xf numFmtId="0" fontId="23" fillId="2" borderId="0" xfId="0" applyFont="1" applyFill="1" applyAlignment="1">
      <alignment horizontal="center"/>
    </xf>
    <xf numFmtId="39" fontId="13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protection hidden="1"/>
    </xf>
    <xf numFmtId="39" fontId="23" fillId="3" borderId="0" xfId="0" applyNumberFormat="1" applyFont="1" applyFill="1" applyAlignment="1" applyProtection="1">
      <alignment horizontal="center"/>
      <protection hidden="1"/>
    </xf>
    <xf numFmtId="4" fontId="3" fillId="3" borderId="0" xfId="0" applyNumberFormat="1" applyFont="1" applyFill="1" applyAlignment="1" applyProtection="1">
      <alignment horizontal="center"/>
      <protection hidden="1"/>
    </xf>
    <xf numFmtId="4" fontId="138" fillId="2" borderId="0" xfId="0" applyNumberFormat="1" applyFont="1" applyFill="1" applyAlignment="1" applyProtection="1">
      <alignment horizontal="center"/>
      <protection hidden="1"/>
    </xf>
    <xf numFmtId="4" fontId="3" fillId="2" borderId="0" xfId="0" applyNumberFormat="1" applyFont="1" applyFill="1" applyAlignment="1" applyProtection="1">
      <alignment horizontal="center"/>
      <protection hidden="1"/>
    </xf>
    <xf numFmtId="4" fontId="3" fillId="0" borderId="0" xfId="0" applyNumberFormat="1" applyFont="1" applyAlignment="1" applyProtection="1">
      <alignment horizontal="center"/>
      <protection hidden="1"/>
    </xf>
    <xf numFmtId="4" fontId="3" fillId="16" borderId="0" xfId="0" applyNumberFormat="1" applyFont="1" applyFill="1" applyAlignment="1" applyProtection="1">
      <alignment horizontal="center"/>
      <protection hidden="1"/>
    </xf>
    <xf numFmtId="0" fontId="3" fillId="16" borderId="0" xfId="0" applyFont="1" applyFill="1" applyAlignment="1">
      <alignment horizontal="center"/>
    </xf>
    <xf numFmtId="37" fontId="34" fillId="2" borderId="11" xfId="0" applyNumberFormat="1" applyFont="1" applyFill="1" applyBorder="1" applyProtection="1">
      <protection locked="0"/>
    </xf>
    <xf numFmtId="37" fontId="34" fillId="2" borderId="13" xfId="0" applyNumberFormat="1" applyFont="1" applyFill="1" applyBorder="1" applyProtection="1">
      <protection locked="0"/>
    </xf>
    <xf numFmtId="195" fontId="34" fillId="2" borderId="116" xfId="0" applyNumberFormat="1" applyFont="1" applyFill="1" applyBorder="1" applyProtection="1">
      <protection locked="0"/>
    </xf>
    <xf numFmtId="195" fontId="34" fillId="2" borderId="67" xfId="0" applyNumberFormat="1" applyFont="1" applyFill="1" applyBorder="1" applyProtection="1">
      <protection locked="0"/>
    </xf>
    <xf numFmtId="195" fontId="34" fillId="2" borderId="51" xfId="0" applyNumberFormat="1" applyFont="1" applyFill="1" applyBorder="1" applyProtection="1">
      <protection locked="0"/>
    </xf>
    <xf numFmtId="195" fontId="34" fillId="2" borderId="117" xfId="0" applyNumberFormat="1" applyFont="1" applyFill="1" applyBorder="1" applyProtection="1">
      <protection locked="0"/>
    </xf>
    <xf numFmtId="0" fontId="0" fillId="2" borderId="169" xfId="0" applyFill="1" applyBorder="1" applyProtection="1">
      <protection hidden="1"/>
    </xf>
    <xf numFmtId="0" fontId="150" fillId="2" borderId="5" xfId="0" applyFont="1" applyFill="1" applyBorder="1" applyAlignment="1" applyProtection="1">
      <alignment vertical="center"/>
      <protection hidden="1"/>
    </xf>
    <xf numFmtId="0" fontId="1" fillId="2" borderId="28" xfId="0" applyFont="1" applyFill="1" applyBorder="1" applyAlignment="1" applyProtection="1">
      <alignment vertical="center"/>
      <protection hidden="1"/>
    </xf>
    <xf numFmtId="0" fontId="6" fillId="16" borderId="0" xfId="0" applyFont="1" applyFill="1" applyAlignment="1">
      <alignment horizontal="center"/>
    </xf>
    <xf numFmtId="190" fontId="5" fillId="0" borderId="0" xfId="0" applyNumberFormat="1" applyFont="1" applyAlignment="1" applyProtection="1">
      <alignment horizontal="center"/>
      <protection hidden="1"/>
    </xf>
    <xf numFmtId="190" fontId="5" fillId="0" borderId="136" xfId="0" applyNumberFormat="1" applyFont="1" applyBorder="1" applyAlignment="1">
      <alignment horizontal="center"/>
    </xf>
    <xf numFmtId="0" fontId="16" fillId="16" borderId="0" xfId="0" quotePrefix="1" applyFont="1" applyFill="1" applyAlignment="1">
      <alignment horizontal="right" vertical="center"/>
    </xf>
    <xf numFmtId="0" fontId="16" fillId="16" borderId="6" xfId="0" quotePrefix="1" applyFont="1" applyFill="1" applyBorder="1" applyAlignment="1">
      <alignment horizontal="right"/>
    </xf>
    <xf numFmtId="3" fontId="138" fillId="16" borderId="0" xfId="0" applyNumberFormat="1" applyFont="1" applyFill="1" applyAlignment="1">
      <alignment wrapText="1"/>
    </xf>
    <xf numFmtId="4" fontId="1" fillId="33" borderId="154" xfId="0" applyNumberFormat="1" applyFont="1" applyFill="1" applyBorder="1" applyAlignment="1" applyProtection="1">
      <alignment horizontal="center"/>
      <protection locked="0"/>
    </xf>
    <xf numFmtId="4" fontId="1" fillId="33" borderId="155" xfId="0" applyNumberFormat="1" applyFont="1" applyFill="1" applyBorder="1" applyAlignment="1" applyProtection="1">
      <alignment horizontal="center"/>
      <protection locked="0"/>
    </xf>
    <xf numFmtId="4" fontId="1" fillId="33" borderId="156" xfId="0" applyNumberFormat="1" applyFont="1" applyFill="1" applyBorder="1" applyAlignment="1" applyProtection="1">
      <alignment horizontal="center"/>
      <protection locked="0"/>
    </xf>
    <xf numFmtId="4" fontId="1" fillId="33" borderId="157" xfId="0" applyNumberFormat="1" applyFont="1" applyFill="1" applyBorder="1" applyAlignment="1" applyProtection="1">
      <alignment horizontal="center"/>
      <protection locked="0"/>
    </xf>
    <xf numFmtId="4" fontId="0" fillId="16" borderId="0" xfId="0" applyNumberFormat="1" applyFill="1"/>
    <xf numFmtId="49" fontId="1" fillId="33" borderId="154" xfId="0" applyNumberFormat="1" applyFont="1" applyFill="1" applyBorder="1" applyAlignment="1" applyProtection="1">
      <alignment horizontal="center"/>
      <protection locked="0"/>
    </xf>
    <xf numFmtId="49" fontId="1" fillId="33" borderId="155" xfId="0" applyNumberFormat="1" applyFont="1" applyFill="1" applyBorder="1" applyAlignment="1" applyProtection="1">
      <alignment horizontal="center"/>
      <protection locked="0"/>
    </xf>
    <xf numFmtId="49" fontId="1" fillId="33" borderId="156" xfId="0" applyNumberFormat="1" applyFont="1" applyFill="1" applyBorder="1" applyAlignment="1" applyProtection="1">
      <alignment horizontal="center"/>
      <protection locked="0"/>
    </xf>
    <xf numFmtId="49" fontId="1" fillId="33" borderId="157" xfId="0" applyNumberFormat="1" applyFont="1" applyFill="1" applyBorder="1" applyAlignment="1" applyProtection="1">
      <alignment horizontal="center"/>
      <protection locked="0"/>
    </xf>
    <xf numFmtId="4" fontId="137" fillId="16" borderId="0" xfId="0" applyNumberFormat="1" applyFont="1" applyFill="1" applyAlignment="1" applyProtection="1">
      <alignment vertical="top"/>
      <protection hidden="1"/>
    </xf>
    <xf numFmtId="4" fontId="137" fillId="16" borderId="0" xfId="0" applyNumberFormat="1" applyFont="1" applyFill="1" applyProtection="1">
      <protection hidden="1"/>
    </xf>
    <xf numFmtId="0" fontId="4" fillId="2" borderId="136" xfId="0" applyFont="1" applyFill="1" applyBorder="1" applyAlignment="1" applyProtection="1">
      <alignment horizontal="left" wrapText="1"/>
      <protection hidden="1"/>
    </xf>
    <xf numFmtId="0" fontId="4" fillId="2" borderId="136" xfId="0" applyFont="1" applyFill="1" applyBorder="1" applyAlignment="1" applyProtection="1">
      <alignment horizontal="center" wrapText="1"/>
      <protection hidden="1"/>
    </xf>
    <xf numFmtId="0" fontId="0" fillId="16" borderId="45" xfId="0" applyFill="1" applyBorder="1"/>
    <xf numFmtId="4" fontId="3" fillId="2" borderId="6" xfId="0" applyNumberFormat="1" applyFont="1" applyFill="1" applyBorder="1" applyProtection="1">
      <protection hidden="1"/>
    </xf>
    <xf numFmtId="37" fontId="245" fillId="3" borderId="3" xfId="0" applyNumberFormat="1" applyFont="1" applyFill="1" applyBorder="1" applyAlignment="1" applyProtection="1">
      <alignment horizontal="left"/>
      <protection hidden="1"/>
    </xf>
    <xf numFmtId="39" fontId="245" fillId="3" borderId="3" xfId="0" applyNumberFormat="1" applyFont="1" applyFill="1" applyBorder="1" applyAlignment="1" applyProtection="1">
      <alignment horizontal="left"/>
      <protection hidden="1"/>
    </xf>
    <xf numFmtId="0" fontId="6" fillId="5" borderId="0" xfId="0" applyFont="1" applyFill="1" applyAlignment="1" applyProtection="1">
      <alignment horizontal="left"/>
      <protection hidden="1"/>
    </xf>
    <xf numFmtId="39" fontId="138" fillId="3" borderId="0" xfId="0" applyNumberFormat="1" applyFont="1" applyFill="1" applyAlignment="1" applyProtection="1">
      <alignment horizontal="right"/>
      <protection hidden="1"/>
    </xf>
    <xf numFmtId="39" fontId="1" fillId="7" borderId="0" xfId="0" applyNumberFormat="1" applyFont="1" applyFill="1" applyAlignment="1" applyProtection="1">
      <alignment horizontal="center" vertical="center"/>
      <protection locked="0"/>
    </xf>
    <xf numFmtId="4" fontId="137" fillId="16" borderId="0" xfId="0" applyNumberFormat="1" applyFont="1" applyFill="1"/>
    <xf numFmtId="0" fontId="137" fillId="2" borderId="0" xfId="0" applyFont="1" applyFill="1" applyAlignment="1" applyProtection="1">
      <alignment vertical="center" wrapText="1"/>
      <protection hidden="1"/>
    </xf>
    <xf numFmtId="39" fontId="137" fillId="25"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applyAlignment="1">
      <alignment horizontal="center"/>
    </xf>
    <xf numFmtId="0" fontId="10" fillId="0" borderId="0" xfId="0" applyFont="1"/>
    <xf numFmtId="39" fontId="10" fillId="25" borderId="0" xfId="0" applyNumberFormat="1" applyFont="1" applyFill="1" applyProtection="1">
      <protection locked="0"/>
    </xf>
    <xf numFmtId="0" fontId="138" fillId="2" borderId="0" xfId="4" applyFont="1" applyFill="1" applyAlignment="1" applyProtection="1">
      <alignment vertical="center"/>
      <protection hidden="1"/>
    </xf>
    <xf numFmtId="0" fontId="8" fillId="0" borderId="0" xfId="0" quotePrefix="1" applyFont="1" applyAlignment="1" applyProtection="1">
      <alignment horizontal="center"/>
      <protection hidden="1"/>
    </xf>
    <xf numFmtId="0" fontId="1" fillId="16" borderId="0" xfId="0" quotePrefix="1" applyFont="1" applyFill="1" applyAlignment="1" applyProtection="1">
      <alignment horizontal="left"/>
      <protection hidden="1"/>
    </xf>
    <xf numFmtId="0" fontId="8" fillId="16" borderId="102" xfId="0" applyFont="1" applyFill="1" applyBorder="1" applyProtection="1">
      <protection hidden="1"/>
    </xf>
    <xf numFmtId="0" fontId="0" fillId="16" borderId="99" xfId="0" applyFill="1" applyBorder="1" applyProtection="1">
      <protection hidden="1"/>
    </xf>
    <xf numFmtId="0" fontId="0" fillId="16" borderId="99" xfId="0" applyFill="1" applyBorder="1"/>
    <xf numFmtId="0" fontId="8" fillId="16" borderId="99" xfId="0" quotePrefix="1" applyFont="1" applyFill="1" applyBorder="1"/>
    <xf numFmtId="0" fontId="0" fillId="16" borderId="100" xfId="0" applyFill="1" applyBorder="1"/>
    <xf numFmtId="0" fontId="8" fillId="16" borderId="170" xfId="0" applyFont="1" applyFill="1" applyBorder="1" applyProtection="1">
      <protection hidden="1"/>
    </xf>
    <xf numFmtId="0" fontId="0" fillId="16" borderId="167" xfId="0" applyFill="1" applyBorder="1" applyProtection="1">
      <protection hidden="1"/>
    </xf>
    <xf numFmtId="0" fontId="0" fillId="16" borderId="167" xfId="0" applyFill="1" applyBorder="1"/>
    <xf numFmtId="0" fontId="8" fillId="16" borderId="167" xfId="0" quotePrefix="1" applyFont="1" applyFill="1" applyBorder="1"/>
    <xf numFmtId="0" fontId="0" fillId="16" borderId="89" xfId="0" applyFill="1" applyBorder="1"/>
    <xf numFmtId="0" fontId="8" fillId="16" borderId="103" xfId="0" applyFont="1" applyFill="1" applyBorder="1" applyProtection="1">
      <protection hidden="1"/>
    </xf>
    <xf numFmtId="0" fontId="140" fillId="16" borderId="0" xfId="0" applyFont="1" applyFill="1"/>
    <xf numFmtId="0" fontId="134" fillId="16" borderId="0" xfId="0" applyFont="1" applyFill="1" applyProtection="1">
      <protection hidden="1"/>
    </xf>
    <xf numFmtId="0" fontId="8" fillId="16" borderId="45" xfId="0" applyFont="1" applyFill="1" applyBorder="1"/>
    <xf numFmtId="3" fontId="3" fillId="26" borderId="13" xfId="4" applyNumberFormat="1" applyFill="1" applyBorder="1" applyAlignment="1" applyProtection="1">
      <alignment horizontal="right"/>
      <protection hidden="1"/>
    </xf>
    <xf numFmtId="0" fontId="3" fillId="26" borderId="1" xfId="4" applyFill="1" applyBorder="1" applyAlignment="1" applyProtection="1">
      <alignment horizontal="center" vertical="center"/>
      <protection hidden="1"/>
    </xf>
    <xf numFmtId="0" fontId="1" fillId="2" borderId="1" xfId="0" applyFont="1" applyFill="1" applyBorder="1" applyAlignment="1" applyProtection="1">
      <alignment horizontal="right"/>
      <protection hidden="1"/>
    </xf>
    <xf numFmtId="0" fontId="4" fillId="0" borderId="1" xfId="0" applyFont="1" applyBorder="1" applyAlignment="1" applyProtection="1">
      <alignment horizontal="center"/>
      <protection hidden="1"/>
    </xf>
    <xf numFmtId="39" fontId="8" fillId="3" borderId="21" xfId="0" applyNumberFormat="1" applyFont="1" applyFill="1" applyBorder="1" applyAlignment="1" applyProtection="1">
      <alignment horizontal="right"/>
      <protection hidden="1"/>
    </xf>
    <xf numFmtId="0" fontId="8" fillId="3" borderId="171" xfId="0" applyFont="1" applyFill="1" applyBorder="1" applyAlignment="1" applyProtection="1">
      <alignment horizontal="left"/>
      <protection hidden="1"/>
    </xf>
    <xf numFmtId="37" fontId="6" fillId="21" borderId="30" xfId="0" applyNumberFormat="1" applyFont="1" applyFill="1" applyBorder="1" applyAlignment="1" applyProtection="1">
      <alignment horizontal="right"/>
      <protection locked="0"/>
    </xf>
    <xf numFmtId="37" fontId="6" fillId="17" borderId="82" xfId="0" applyNumberFormat="1" applyFont="1" applyFill="1" applyBorder="1" applyAlignment="1" applyProtection="1">
      <alignment horizontal="right"/>
      <protection locked="0"/>
    </xf>
    <xf numFmtId="37" fontId="6" fillId="17" borderId="30" xfId="0" applyNumberFormat="1" applyFont="1" applyFill="1" applyBorder="1" applyAlignment="1" applyProtection="1">
      <alignment horizontal="right"/>
      <protection locked="0"/>
    </xf>
    <xf numFmtId="37" fontId="6" fillId="17" borderId="84" xfId="0" applyNumberFormat="1" applyFont="1" applyFill="1" applyBorder="1" applyAlignment="1" applyProtection="1">
      <alignment horizontal="right"/>
      <protection locked="0"/>
    </xf>
    <xf numFmtId="4" fontId="0" fillId="0" borderId="2" xfId="0" applyNumberFormat="1" applyBorder="1" applyProtection="1">
      <protection locked="0"/>
    </xf>
    <xf numFmtId="0" fontId="181" fillId="0" borderId="0" xfId="0" applyFont="1" applyAlignment="1">
      <alignment vertical="center"/>
    </xf>
    <xf numFmtId="0" fontId="16" fillId="5" borderId="0" xfId="0" applyFont="1" applyFill="1" applyAlignment="1" applyProtection="1">
      <alignment horizontal="center" vertical="center"/>
      <protection locked="0"/>
    </xf>
    <xf numFmtId="0" fontId="0" fillId="0" borderId="17" xfId="0" applyBorder="1"/>
    <xf numFmtId="39" fontId="138" fillId="3" borderId="31" xfId="0" applyNumberFormat="1" applyFont="1" applyFill="1" applyBorder="1" applyAlignment="1" applyProtection="1">
      <alignment horizontal="center"/>
      <protection hidden="1"/>
    </xf>
    <xf numFmtId="39" fontId="138" fillId="3" borderId="3" xfId="0" applyNumberFormat="1" applyFont="1" applyFill="1" applyBorder="1" applyAlignment="1" applyProtection="1">
      <alignment horizontal="center"/>
      <protection hidden="1"/>
    </xf>
    <xf numFmtId="0" fontId="5" fillId="25" borderId="0" xfId="0" applyFont="1" applyFill="1" applyAlignment="1" applyProtection="1">
      <alignment horizontal="left" vertical="top"/>
      <protection hidden="1"/>
    </xf>
    <xf numFmtId="39" fontId="140" fillId="3" borderId="0" xfId="0" applyNumberFormat="1" applyFont="1" applyFill="1" applyAlignment="1" applyProtection="1">
      <alignment horizontal="center"/>
      <protection hidden="1"/>
    </xf>
    <xf numFmtId="39" fontId="19" fillId="3" borderId="0" xfId="0" applyNumberFormat="1" applyFont="1" applyFill="1" applyAlignment="1" applyProtection="1">
      <alignment horizontal="center"/>
      <protection hidden="1"/>
    </xf>
    <xf numFmtId="0" fontId="0" fillId="2" borderId="0" xfId="0" applyFill="1" applyAlignment="1">
      <alignment horizontal="center"/>
    </xf>
    <xf numFmtId="1" fontId="138" fillId="3" borderId="0" xfId="0" applyNumberFormat="1" applyFont="1" applyFill="1" applyAlignment="1" applyProtection="1">
      <alignment horizontal="center"/>
      <protection hidden="1"/>
    </xf>
    <xf numFmtId="1" fontId="140" fillId="3" borderId="0" xfId="0" applyNumberFormat="1" applyFont="1" applyFill="1" applyAlignment="1" applyProtection="1">
      <alignment horizontal="center"/>
      <protection hidden="1"/>
    </xf>
    <xf numFmtId="0" fontId="1" fillId="2" borderId="0" xfId="0" applyFont="1" applyFill="1" applyAlignment="1" applyProtection="1">
      <alignment horizontal="center" wrapText="1"/>
      <protection locked="0"/>
    </xf>
    <xf numFmtId="0" fontId="3" fillId="16" borderId="6" xfId="0" applyFont="1" applyFill="1" applyBorder="1" applyAlignment="1" applyProtection="1">
      <alignment horizontal="left" vertical="center" wrapText="1" indent="2"/>
      <protection hidden="1"/>
    </xf>
    <xf numFmtId="0" fontId="8" fillId="16" borderId="0" xfId="0" applyFont="1" applyFill="1" applyAlignment="1" applyProtection="1">
      <alignment horizontal="left" vertical="top" wrapText="1"/>
      <protection hidden="1"/>
    </xf>
    <xf numFmtId="0" fontId="0" fillId="16" borderId="0" xfId="0" applyFill="1" applyAlignment="1" applyProtection="1">
      <alignment horizontal="left" vertical="center" wrapText="1" indent="2"/>
      <protection hidden="1"/>
    </xf>
    <xf numFmtId="0" fontId="0" fillId="16" borderId="6" xfId="0" applyFill="1" applyBorder="1" applyAlignment="1" applyProtection="1">
      <alignment horizontal="left" vertical="center" wrapText="1" indent="2"/>
      <protection hidden="1"/>
    </xf>
    <xf numFmtId="0" fontId="0" fillId="16" borderId="22" xfId="0" applyFill="1" applyBorder="1" applyAlignment="1" applyProtection="1">
      <alignment horizontal="left" vertical="center" wrapText="1" indent="2"/>
      <protection hidden="1"/>
    </xf>
    <xf numFmtId="0" fontId="8" fillId="16" borderId="5" xfId="0" applyFont="1" applyFill="1" applyBorder="1" applyAlignment="1" applyProtection="1">
      <alignment horizontal="left" vertical="top" wrapText="1"/>
      <protection hidden="1"/>
    </xf>
    <xf numFmtId="0" fontId="1" fillId="16" borderId="0" xfId="0" applyFont="1" applyFill="1" applyAlignment="1" applyProtection="1">
      <alignment horizontal="center" vertical="center" wrapText="1"/>
      <protection hidden="1"/>
    </xf>
    <xf numFmtId="0" fontId="1" fillId="16" borderId="0" xfId="0" applyFont="1" applyFill="1" applyAlignment="1" applyProtection="1">
      <alignment horizontal="center" vertical="top" wrapText="1"/>
      <protection hidden="1"/>
    </xf>
    <xf numFmtId="0" fontId="1" fillId="16" borderId="0" xfId="0" applyFont="1" applyFill="1" applyAlignment="1" applyProtection="1">
      <alignment horizontal="center" vertical="center"/>
      <protection hidden="1"/>
    </xf>
    <xf numFmtId="0" fontId="3" fillId="16" borderId="0" xfId="0" applyFont="1" applyFill="1" applyAlignment="1" applyProtection="1">
      <alignment horizontal="center" vertical="center"/>
      <protection hidden="1"/>
    </xf>
    <xf numFmtId="0" fontId="1" fillId="16" borderId="0" xfId="0" applyFont="1" applyFill="1" applyAlignment="1" applyProtection="1">
      <alignment horizontal="right" vertical="center"/>
      <protection hidden="1"/>
    </xf>
    <xf numFmtId="0" fontId="3" fillId="16" borderId="0" xfId="0" applyFont="1" applyFill="1" applyAlignment="1" applyProtection="1">
      <alignment vertical="center"/>
      <protection hidden="1"/>
    </xf>
    <xf numFmtId="0" fontId="1" fillId="16" borderId="5" xfId="0" applyFont="1" applyFill="1" applyBorder="1" applyProtection="1">
      <protection hidden="1"/>
    </xf>
    <xf numFmtId="0" fontId="0" fillId="24" borderId="0" xfId="0" applyFill="1" applyAlignment="1" applyProtection="1">
      <alignment vertical="center"/>
      <protection hidden="1"/>
    </xf>
    <xf numFmtId="0" fontId="0" fillId="16" borderId="31" xfId="0" applyFill="1" applyBorder="1" applyAlignment="1">
      <alignment vertical="center"/>
    </xf>
    <xf numFmtId="0" fontId="3" fillId="16" borderId="3" xfId="0" applyFont="1" applyFill="1" applyBorder="1" applyAlignment="1" applyProtection="1">
      <alignment horizontal="left" vertical="center"/>
      <protection hidden="1"/>
    </xf>
    <xf numFmtId="0" fontId="1" fillId="16" borderId="3" xfId="0" applyFont="1" applyFill="1" applyBorder="1" applyAlignment="1" applyProtection="1">
      <alignment horizontal="center" vertical="center"/>
      <protection hidden="1"/>
    </xf>
    <xf numFmtId="0" fontId="3" fillId="16" borderId="25" xfId="0" applyFont="1" applyFill="1" applyBorder="1" applyAlignment="1" applyProtection="1">
      <alignment horizontal="left" vertical="center"/>
      <protection hidden="1"/>
    </xf>
    <xf numFmtId="0" fontId="1" fillId="16" borderId="25" xfId="0" applyFont="1" applyFill="1" applyBorder="1" applyAlignment="1" applyProtection="1">
      <alignment horizontal="center" vertical="center"/>
      <protection hidden="1"/>
    </xf>
    <xf numFmtId="0" fontId="3" fillId="16" borderId="3" xfId="0" applyFont="1" applyFill="1" applyBorder="1" applyAlignment="1" applyProtection="1">
      <alignment horizontal="center" vertical="center"/>
      <protection hidden="1"/>
    </xf>
    <xf numFmtId="0" fontId="3" fillId="16" borderId="25" xfId="0" applyFont="1" applyFill="1" applyBorder="1" applyAlignment="1" applyProtection="1">
      <alignment horizontal="center" vertical="center"/>
      <protection hidden="1"/>
    </xf>
    <xf numFmtId="0" fontId="1" fillId="16" borderId="31" xfId="0" applyFont="1" applyFill="1" applyBorder="1" applyAlignment="1" applyProtection="1">
      <alignment horizontal="center" vertical="center"/>
      <protection hidden="1"/>
    </xf>
    <xf numFmtId="0" fontId="1" fillId="16" borderId="9" xfId="0" applyFont="1" applyFill="1" applyBorder="1" applyAlignment="1" applyProtection="1">
      <alignment horizontal="center" vertical="center"/>
      <protection hidden="1"/>
    </xf>
    <xf numFmtId="0" fontId="1" fillId="16" borderId="15" xfId="0" applyFont="1" applyFill="1" applyBorder="1" applyAlignment="1" applyProtection="1">
      <alignment horizontal="center" vertical="center"/>
      <protection hidden="1"/>
    </xf>
    <xf numFmtId="0" fontId="3" fillId="20" borderId="31" xfId="0" applyFont="1" applyFill="1" applyBorder="1" applyAlignment="1" applyProtection="1">
      <alignment horizontal="center" vertical="center"/>
      <protection hidden="1"/>
    </xf>
    <xf numFmtId="0" fontId="3" fillId="20" borderId="9" xfId="0" applyFont="1" applyFill="1" applyBorder="1" applyAlignment="1" applyProtection="1">
      <alignment horizontal="center" vertical="center"/>
      <protection hidden="1"/>
    </xf>
    <xf numFmtId="0" fontId="1" fillId="20" borderId="3" xfId="0" applyFont="1" applyFill="1" applyBorder="1" applyAlignment="1" applyProtection="1">
      <alignment horizontal="center" vertical="center"/>
      <protection hidden="1"/>
    </xf>
    <xf numFmtId="0" fontId="1" fillId="20" borderId="0" xfId="0" applyFont="1" applyFill="1" applyAlignment="1" applyProtection="1">
      <alignment horizontal="center" vertical="center"/>
      <protection hidden="1"/>
    </xf>
    <xf numFmtId="0" fontId="0" fillId="20" borderId="31" xfId="0" applyFill="1" applyBorder="1" applyAlignment="1">
      <alignment vertical="center"/>
    </xf>
    <xf numFmtId="0" fontId="0" fillId="20" borderId="3" xfId="0" applyFill="1" applyBorder="1" applyAlignment="1">
      <alignment vertical="center"/>
    </xf>
    <xf numFmtId="0" fontId="3" fillId="20" borderId="3" xfId="0" applyFont="1" applyFill="1" applyBorder="1" applyAlignment="1" applyProtection="1">
      <alignment horizontal="left" vertical="center"/>
      <protection hidden="1"/>
    </xf>
    <xf numFmtId="0" fontId="0" fillId="20" borderId="15" xfId="0" applyFill="1" applyBorder="1" applyAlignment="1">
      <alignment vertical="center"/>
    </xf>
    <xf numFmtId="0" fontId="0" fillId="20" borderId="25" xfId="0" applyFill="1" applyBorder="1" applyAlignment="1">
      <alignment vertical="center"/>
    </xf>
    <xf numFmtId="0" fontId="3" fillId="20" borderId="25" xfId="0" applyFont="1" applyFill="1" applyBorder="1" applyAlignment="1" applyProtection="1">
      <alignment horizontal="left" vertical="center"/>
      <protection hidden="1"/>
    </xf>
    <xf numFmtId="0" fontId="3" fillId="20" borderId="15" xfId="0" applyFont="1" applyFill="1" applyBorder="1" applyAlignment="1" applyProtection="1">
      <alignment horizontal="center" vertical="center"/>
      <protection hidden="1"/>
    </xf>
    <xf numFmtId="0" fontId="246" fillId="16" borderId="0" xfId="0" applyFont="1" applyFill="1" applyAlignment="1" applyProtection="1">
      <alignment horizontal="right"/>
      <protection hidden="1"/>
    </xf>
    <xf numFmtId="0" fontId="247" fillId="16" borderId="0" xfId="0" applyFont="1" applyFill="1" applyAlignment="1">
      <alignment vertical="center"/>
    </xf>
    <xf numFmtId="0" fontId="247" fillId="16" borderId="0" xfId="0" applyFont="1" applyFill="1" applyAlignment="1" applyProtection="1">
      <alignment horizontal="left" vertical="center"/>
      <protection hidden="1"/>
    </xf>
    <xf numFmtId="0" fontId="247" fillId="16" borderId="0" xfId="0" applyFont="1" applyFill="1" applyAlignment="1" applyProtection="1">
      <alignment horizontal="left"/>
      <protection hidden="1"/>
    </xf>
    <xf numFmtId="0" fontId="247" fillId="16" borderId="0" xfId="0" applyFont="1" applyFill="1" applyProtection="1">
      <protection hidden="1"/>
    </xf>
    <xf numFmtId="0" fontId="247" fillId="16" borderId="0" xfId="0" applyFont="1" applyFill="1" applyAlignment="1" applyProtection="1">
      <alignment horizontal="center" vertical="center"/>
      <protection hidden="1"/>
    </xf>
    <xf numFmtId="0" fontId="248" fillId="16" borderId="0" xfId="0" applyFont="1" applyFill="1" applyAlignment="1" applyProtection="1">
      <alignment horizontal="center" vertical="center"/>
      <protection hidden="1"/>
    </xf>
    <xf numFmtId="0" fontId="248" fillId="16" borderId="0" xfId="0" applyFont="1" applyFill="1" applyAlignment="1" applyProtection="1">
      <alignment horizontal="left" vertical="center"/>
      <protection hidden="1"/>
    </xf>
    <xf numFmtId="0" fontId="3" fillId="20" borderId="3"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248" fillId="16" borderId="0" xfId="0" applyFont="1" applyFill="1" applyAlignment="1" applyProtection="1">
      <alignment horizontal="left" indent="1"/>
      <protection hidden="1"/>
    </xf>
    <xf numFmtId="0" fontId="83" fillId="16" borderId="26" xfId="0" applyFont="1" applyFill="1" applyBorder="1" applyProtection="1">
      <protection hidden="1"/>
    </xf>
    <xf numFmtId="0" fontId="249" fillId="16" borderId="0" xfId="0" applyFont="1" applyFill="1" applyAlignment="1">
      <alignment vertical="center"/>
    </xf>
    <xf numFmtId="0" fontId="249" fillId="16" borderId="0" xfId="0" applyFont="1" applyFill="1" applyAlignment="1" applyProtection="1">
      <alignment horizontal="left" vertical="center"/>
      <protection hidden="1"/>
    </xf>
    <xf numFmtId="0" fontId="249" fillId="16" borderId="0" xfId="0" applyFont="1" applyFill="1" applyAlignment="1" applyProtection="1">
      <alignment horizontal="left"/>
      <protection hidden="1"/>
    </xf>
    <xf numFmtId="0" fontId="249" fillId="16" borderId="0" xfId="0" applyFont="1" applyFill="1" applyProtection="1">
      <protection hidden="1"/>
    </xf>
    <xf numFmtId="0" fontId="249" fillId="16" borderId="0" xfId="0" applyFont="1" applyFill="1" applyAlignment="1" applyProtection="1">
      <alignment horizontal="center" vertical="center"/>
      <protection hidden="1"/>
    </xf>
    <xf numFmtId="0" fontId="10" fillId="16" borderId="0" xfId="0" applyFont="1" applyFill="1" applyAlignment="1" applyProtection="1">
      <alignment horizontal="center" vertical="center"/>
      <protection hidden="1"/>
    </xf>
    <xf numFmtId="0" fontId="1" fillId="16" borderId="0" xfId="0" applyFont="1" applyFill="1" applyAlignment="1" applyProtection="1">
      <alignment horizontal="left" vertical="center"/>
      <protection hidden="1"/>
    </xf>
    <xf numFmtId="0" fontId="1" fillId="20" borderId="25" xfId="0" applyFont="1" applyFill="1" applyBorder="1" applyAlignment="1" applyProtection="1">
      <alignment horizontal="center" vertical="center"/>
      <protection hidden="1"/>
    </xf>
    <xf numFmtId="0" fontId="10" fillId="16" borderId="3" xfId="0" applyFont="1" applyFill="1" applyBorder="1" applyAlignment="1" applyProtection="1">
      <alignment horizontal="center" vertical="center"/>
      <protection hidden="1"/>
    </xf>
    <xf numFmtId="0" fontId="1" fillId="20" borderId="40" xfId="0" applyFont="1" applyFill="1" applyBorder="1" applyAlignment="1" applyProtection="1">
      <alignment horizontal="center" vertical="center"/>
      <protection hidden="1"/>
    </xf>
    <xf numFmtId="0" fontId="0" fillId="20" borderId="26" xfId="0" applyFill="1" applyBorder="1" applyAlignment="1">
      <alignment horizontal="center" vertical="center"/>
    </xf>
    <xf numFmtId="3" fontId="1" fillId="20" borderId="26" xfId="0" applyNumberFormat="1" applyFont="1" applyFill="1" applyBorder="1" applyAlignment="1" applyProtection="1">
      <alignment horizontal="center" vertical="center" wrapText="1"/>
      <protection hidden="1"/>
    </xf>
    <xf numFmtId="3" fontId="0" fillId="20" borderId="26" xfId="0" applyNumberFormat="1" applyFill="1" applyBorder="1" applyAlignment="1">
      <alignment horizontal="center" vertical="center" wrapText="1"/>
    </xf>
    <xf numFmtId="4" fontId="138" fillId="16" borderId="0" xfId="0" applyNumberFormat="1" applyFont="1" applyFill="1" applyProtection="1">
      <protection hidden="1"/>
    </xf>
    <xf numFmtId="3" fontId="0" fillId="0" borderId="1" xfId="0" applyNumberFormat="1" applyBorder="1" applyProtection="1">
      <protection locked="0"/>
    </xf>
    <xf numFmtId="0" fontId="1" fillId="20" borderId="0" xfId="0" applyFont="1" applyFill="1" applyAlignment="1" applyProtection="1">
      <alignment horizontal="center" vertical="center"/>
      <protection locked="0"/>
    </xf>
    <xf numFmtId="0" fontId="148" fillId="20" borderId="0" xfId="0" applyFont="1" applyFill="1" applyAlignment="1" applyProtection="1">
      <alignment horizontal="center" vertical="center"/>
      <protection hidden="1"/>
    </xf>
    <xf numFmtId="0" fontId="3" fillId="16" borderId="0" xfId="0" applyFont="1" applyFill="1" applyAlignment="1">
      <alignment horizontal="left"/>
    </xf>
    <xf numFmtId="0" fontId="3" fillId="16" borderId="0" xfId="0" applyFont="1" applyFill="1" applyAlignment="1" applyProtection="1">
      <alignment horizontal="left" vertical="top"/>
      <protection hidden="1"/>
    </xf>
    <xf numFmtId="0" fontId="138" fillId="16" borderId="24" xfId="4" applyFont="1" applyFill="1" applyBorder="1" applyProtection="1">
      <protection hidden="1"/>
    </xf>
    <xf numFmtId="0" fontId="138" fillId="16" borderId="8" xfId="4" applyFont="1" applyFill="1" applyBorder="1" applyProtection="1">
      <protection hidden="1"/>
    </xf>
    <xf numFmtId="0" fontId="152" fillId="16" borderId="8" xfId="4" applyFont="1" applyFill="1" applyBorder="1" applyProtection="1">
      <protection hidden="1"/>
    </xf>
    <xf numFmtId="0" fontId="138" fillId="16" borderId="8" xfId="4" applyFont="1" applyFill="1" applyBorder="1" applyAlignment="1" applyProtection="1">
      <alignment horizontal="center"/>
      <protection hidden="1"/>
    </xf>
    <xf numFmtId="0" fontId="138" fillId="16" borderId="20" xfId="4" applyFont="1" applyFill="1" applyBorder="1" applyAlignment="1" applyProtection="1">
      <alignment horizontal="center"/>
      <protection hidden="1"/>
    </xf>
    <xf numFmtId="0" fontId="148" fillId="24" borderId="0" xfId="0" applyFont="1" applyFill="1" applyAlignment="1" applyProtection="1">
      <alignment horizontal="center" vertical="center"/>
      <protection hidden="1"/>
    </xf>
    <xf numFmtId="8" fontId="239" fillId="36" borderId="13" xfId="0" applyNumberFormat="1" applyFont="1" applyFill="1" applyBorder="1" applyAlignment="1" applyProtection="1">
      <alignment horizontal="right" vertical="center"/>
      <protection hidden="1"/>
    </xf>
    <xf numFmtId="8" fontId="239" fillId="35" borderId="13" xfId="0" applyNumberFormat="1" applyFont="1" applyFill="1" applyBorder="1" applyAlignment="1" applyProtection="1">
      <alignment horizontal="right" vertical="center"/>
      <protection hidden="1"/>
    </xf>
    <xf numFmtId="0" fontId="145" fillId="19" borderId="0" xfId="0" applyFont="1" applyFill="1" applyProtection="1">
      <protection hidden="1"/>
    </xf>
    <xf numFmtId="4" fontId="143" fillId="15" borderId="3" xfId="0" applyNumberFormat="1" applyFont="1" applyFill="1" applyBorder="1" applyAlignment="1" applyProtection="1">
      <alignment horizontal="center"/>
      <protection hidden="1"/>
    </xf>
    <xf numFmtId="4" fontId="143" fillId="3" borderId="3" xfId="0" applyNumberFormat="1" applyFont="1" applyFill="1" applyBorder="1" applyAlignment="1" applyProtection="1">
      <alignment horizontal="center"/>
      <protection hidden="1"/>
    </xf>
    <xf numFmtId="0" fontId="1" fillId="3" borderId="0" xfId="0" applyFont="1" applyFill="1" applyAlignment="1" applyProtection="1">
      <alignment horizontal="center" vertical="center"/>
      <protection locked="0"/>
    </xf>
    <xf numFmtId="0" fontId="242" fillId="16" borderId="26" xfId="0" applyFont="1" applyFill="1" applyBorder="1" applyProtection="1">
      <protection hidden="1"/>
    </xf>
    <xf numFmtId="180" fontId="0" fillId="16" borderId="0" xfId="0" applyNumberFormat="1" applyFill="1" applyProtection="1">
      <protection hidden="1"/>
    </xf>
    <xf numFmtId="196" fontId="0" fillId="16" borderId="0" xfId="0" applyNumberFormat="1" applyFill="1" applyProtection="1">
      <protection hidden="1"/>
    </xf>
    <xf numFmtId="197" fontId="1" fillId="16" borderId="0" xfId="0" applyNumberFormat="1" applyFont="1" applyFill="1" applyProtection="1">
      <protection hidden="1"/>
    </xf>
    <xf numFmtId="196" fontId="1" fillId="16" borderId="0" xfId="0" applyNumberFormat="1" applyFont="1" applyFill="1" applyProtection="1">
      <protection hidden="1"/>
    </xf>
    <xf numFmtId="0" fontId="235" fillId="35" borderId="172" xfId="0" applyFont="1" applyFill="1" applyBorder="1" applyAlignment="1" applyProtection="1">
      <alignment horizontal="center" vertical="center"/>
      <protection hidden="1"/>
    </xf>
    <xf numFmtId="9" fontId="238" fillId="36" borderId="13" xfId="0" applyNumberFormat="1" applyFont="1" applyFill="1" applyBorder="1" applyAlignment="1" applyProtection="1">
      <alignment horizontal="center" vertical="center"/>
      <protection hidden="1"/>
    </xf>
    <xf numFmtId="9" fontId="238" fillId="35" borderId="13" xfId="0" applyNumberFormat="1" applyFont="1" applyFill="1" applyBorder="1" applyAlignment="1" applyProtection="1">
      <alignment horizontal="center" vertical="center"/>
      <protection hidden="1"/>
    </xf>
    <xf numFmtId="0" fontId="1" fillId="17" borderId="54" xfId="0" applyFont="1" applyFill="1" applyBorder="1" applyAlignment="1" applyProtection="1">
      <alignment horizontal="center" vertical="center"/>
      <protection locked="0"/>
    </xf>
    <xf numFmtId="0" fontId="1" fillId="28" borderId="49" xfId="0" applyFont="1" applyFill="1" applyBorder="1" applyAlignment="1" applyProtection="1">
      <alignment horizontal="center" vertical="center"/>
      <protection hidden="1"/>
    </xf>
    <xf numFmtId="0" fontId="1" fillId="28" borderId="50" xfId="0" applyFont="1" applyFill="1" applyBorder="1" applyAlignment="1" applyProtection="1">
      <alignment horizontal="center" vertical="center"/>
      <protection hidden="1"/>
    </xf>
    <xf numFmtId="0" fontId="1" fillId="28" borderId="54" xfId="0" applyFont="1" applyFill="1" applyBorder="1" applyAlignment="1" applyProtection="1">
      <alignment horizontal="center" vertical="center"/>
      <protection hidden="1"/>
    </xf>
    <xf numFmtId="0" fontId="0" fillId="37" borderId="0" xfId="0" applyFill="1" applyProtection="1">
      <protection hidden="1"/>
    </xf>
    <xf numFmtId="3" fontId="1" fillId="16" borderId="2" xfId="0" applyNumberFormat="1" applyFont="1" applyFill="1" applyBorder="1" applyAlignment="1" applyProtection="1">
      <alignment horizontal="right" vertical="center"/>
      <protection locked="0"/>
    </xf>
    <xf numFmtId="3" fontId="3" fillId="28" borderId="2" xfId="0" applyNumberFormat="1" applyFont="1" applyFill="1" applyBorder="1" applyAlignment="1" applyProtection="1">
      <alignment horizontal="right" vertical="center" indent="1"/>
      <protection hidden="1"/>
    </xf>
    <xf numFmtId="3" fontId="3" fillId="17" borderId="2" xfId="0" applyNumberFormat="1" applyFont="1" applyFill="1" applyBorder="1" applyAlignment="1" applyProtection="1">
      <alignment horizontal="right" vertical="center" indent="1"/>
      <protection locked="0"/>
    </xf>
    <xf numFmtId="3" fontId="1" fillId="28" borderId="2" xfId="0" applyNumberFormat="1" applyFont="1" applyFill="1" applyBorder="1" applyAlignment="1" applyProtection="1">
      <alignment horizontal="center" vertical="center"/>
      <protection hidden="1"/>
    </xf>
    <xf numFmtId="3" fontId="1" fillId="17" borderId="2" xfId="0" applyNumberFormat="1" applyFont="1" applyFill="1" applyBorder="1" applyAlignment="1" applyProtection="1">
      <alignment horizontal="center" vertical="center"/>
      <protection locked="0"/>
    </xf>
    <xf numFmtId="3" fontId="3" fillId="17" borderId="49" xfId="0" applyNumberFormat="1" applyFont="1" applyFill="1" applyBorder="1" applyAlignment="1" applyProtection="1">
      <alignment horizontal="right" vertical="center" indent="1"/>
      <protection locked="0"/>
    </xf>
    <xf numFmtId="3" fontId="3" fillId="17" borderId="50" xfId="0" applyNumberFormat="1" applyFont="1" applyFill="1" applyBorder="1" applyAlignment="1" applyProtection="1">
      <alignment horizontal="right" vertical="center" indent="1"/>
      <protection locked="0"/>
    </xf>
    <xf numFmtId="3" fontId="3" fillId="17" borderId="54" xfId="0" applyNumberFormat="1" applyFont="1" applyFill="1" applyBorder="1" applyAlignment="1" applyProtection="1">
      <alignment horizontal="right" vertical="center" indent="1"/>
      <protection locked="0"/>
    </xf>
    <xf numFmtId="0" fontId="0" fillId="37" borderId="112" xfId="0" applyFill="1" applyBorder="1" applyProtection="1">
      <protection hidden="1"/>
    </xf>
    <xf numFmtId="0" fontId="3" fillId="37" borderId="112" xfId="0" applyFont="1" applyFill="1" applyBorder="1" applyProtection="1">
      <protection hidden="1"/>
    </xf>
    <xf numFmtId="0" fontId="150" fillId="37" borderId="112" xfId="0" applyFont="1" applyFill="1" applyBorder="1" applyProtection="1">
      <protection hidden="1"/>
    </xf>
    <xf numFmtId="0" fontId="198" fillId="37" borderId="112" xfId="0" applyFont="1" applyFill="1" applyBorder="1" applyProtection="1">
      <protection hidden="1"/>
    </xf>
    <xf numFmtId="0" fontId="245" fillId="37" borderId="112" xfId="0" applyFont="1" applyFill="1" applyBorder="1" applyProtection="1">
      <protection hidden="1"/>
    </xf>
    <xf numFmtId="0" fontId="250" fillId="37" borderId="112" xfId="0" applyFont="1" applyFill="1" applyBorder="1" applyProtection="1">
      <protection hidden="1"/>
    </xf>
    <xf numFmtId="0" fontId="1" fillId="37" borderId="112" xfId="0" applyFont="1" applyFill="1" applyBorder="1" applyProtection="1">
      <protection hidden="1"/>
    </xf>
    <xf numFmtId="0" fontId="3" fillId="37" borderId="0" xfId="0" applyFont="1" applyFill="1" applyAlignment="1" applyProtection="1">
      <alignment horizontal="right"/>
      <protection hidden="1"/>
    </xf>
    <xf numFmtId="0" fontId="3" fillId="37" borderId="0" xfId="0" applyFont="1" applyFill="1" applyAlignment="1" applyProtection="1">
      <alignment horizontal="center"/>
      <protection hidden="1"/>
    </xf>
    <xf numFmtId="0" fontId="198" fillId="37" borderId="0" xfId="0" applyFont="1" applyFill="1" applyProtection="1">
      <protection hidden="1"/>
    </xf>
    <xf numFmtId="0" fontId="3" fillId="37" borderId="0" xfId="0" applyFont="1" applyFill="1" applyProtection="1">
      <protection hidden="1"/>
    </xf>
    <xf numFmtId="0" fontId="251" fillId="37" borderId="0" xfId="0" applyFont="1" applyFill="1" applyProtection="1">
      <protection hidden="1"/>
    </xf>
    <xf numFmtId="0" fontId="184" fillId="37" borderId="0" xfId="0" applyFont="1" applyFill="1" applyProtection="1">
      <protection hidden="1"/>
    </xf>
    <xf numFmtId="0" fontId="0" fillId="37" borderId="3" xfId="0" applyFill="1" applyBorder="1" applyProtection="1">
      <protection hidden="1"/>
    </xf>
    <xf numFmtId="0" fontId="0" fillId="37" borderId="25" xfId="0" applyFill="1" applyBorder="1" applyProtection="1">
      <protection hidden="1"/>
    </xf>
    <xf numFmtId="0" fontId="1" fillId="37" borderId="0" xfId="0" applyFont="1" applyFill="1" applyAlignment="1" applyProtection="1">
      <alignment horizontal="center"/>
      <protection hidden="1"/>
    </xf>
    <xf numFmtId="0" fontId="1" fillId="37" borderId="0" xfId="0" applyFont="1" applyFill="1" applyProtection="1">
      <protection hidden="1"/>
    </xf>
    <xf numFmtId="0" fontId="1" fillId="37" borderId="0" xfId="0" applyFont="1" applyFill="1" applyAlignment="1" applyProtection="1">
      <alignment horizontal="right" indent="1"/>
      <protection hidden="1"/>
    </xf>
    <xf numFmtId="0" fontId="150" fillId="37" borderId="0" xfId="0" applyFont="1" applyFill="1" applyProtection="1">
      <protection hidden="1"/>
    </xf>
    <xf numFmtId="0" fontId="250" fillId="37" borderId="0" xfId="0" applyFont="1" applyFill="1" applyProtection="1">
      <protection hidden="1"/>
    </xf>
    <xf numFmtId="0" fontId="169" fillId="37" borderId="0" xfId="0" applyFont="1" applyFill="1" applyProtection="1">
      <protection hidden="1"/>
    </xf>
    <xf numFmtId="0" fontId="0" fillId="37" borderId="3" xfId="0" applyFill="1" applyBorder="1"/>
    <xf numFmtId="0" fontId="0" fillId="37" borderId="173" xfId="0" applyFill="1" applyBorder="1"/>
    <xf numFmtId="0" fontId="0" fillId="37" borderId="113" xfId="0" applyFill="1" applyBorder="1" applyProtection="1">
      <protection hidden="1"/>
    </xf>
    <xf numFmtId="0" fontId="6" fillId="37" borderId="0" xfId="0" applyFont="1" applyFill="1" applyAlignment="1" applyProtection="1">
      <alignment horizontal="right" indent="1"/>
      <protection hidden="1"/>
    </xf>
    <xf numFmtId="0" fontId="3" fillId="37" borderId="0" xfId="0" applyFont="1" applyFill="1" applyAlignment="1" applyProtection="1">
      <alignment horizontal="left" indent="1"/>
      <protection hidden="1"/>
    </xf>
    <xf numFmtId="0" fontId="1" fillId="37" borderId="0" xfId="0" applyFont="1" applyFill="1" applyAlignment="1" applyProtection="1">
      <alignment horizontal="right"/>
      <protection hidden="1"/>
    </xf>
    <xf numFmtId="0" fontId="3" fillId="37" borderId="0" xfId="0" applyFont="1" applyFill="1" applyAlignment="1" applyProtection="1">
      <alignment horizontal="left"/>
      <protection hidden="1"/>
    </xf>
    <xf numFmtId="0" fontId="3" fillId="37" borderId="0" xfId="0" applyFont="1" applyFill="1" applyAlignment="1" applyProtection="1">
      <alignment horizontal="right" indent="1"/>
      <protection hidden="1"/>
    </xf>
    <xf numFmtId="0" fontId="245" fillId="37" borderId="0" xfId="0" applyFont="1" applyFill="1" applyProtection="1">
      <protection hidden="1"/>
    </xf>
    <xf numFmtId="3" fontId="0" fillId="37" borderId="0" xfId="0" applyNumberFormat="1" applyFill="1" applyAlignment="1" applyProtection="1">
      <alignment horizontal="center"/>
      <protection hidden="1"/>
    </xf>
    <xf numFmtId="0" fontId="251" fillId="37" borderId="25" xfId="0" applyFont="1" applyFill="1" applyBorder="1" applyProtection="1">
      <protection hidden="1"/>
    </xf>
    <xf numFmtId="0" fontId="0" fillId="37" borderId="3" xfId="0" applyFill="1" applyBorder="1" applyAlignment="1">
      <alignment vertical="center"/>
    </xf>
    <xf numFmtId="0" fontId="1" fillId="37" borderId="0" xfId="0" applyFont="1" applyFill="1" applyAlignment="1" applyProtection="1">
      <alignment vertical="center"/>
      <protection hidden="1"/>
    </xf>
    <xf numFmtId="0" fontId="0" fillId="37" borderId="0" xfId="0" applyFill="1" applyAlignment="1" applyProtection="1">
      <alignment vertical="center"/>
      <protection hidden="1"/>
    </xf>
    <xf numFmtId="0" fontId="3" fillId="37" borderId="0" xfId="0" applyFont="1" applyFill="1" applyAlignment="1" applyProtection="1">
      <alignment vertical="center"/>
      <protection hidden="1"/>
    </xf>
    <xf numFmtId="0" fontId="0" fillId="37" borderId="25" xfId="0" applyFill="1" applyBorder="1" applyAlignment="1" applyProtection="1">
      <alignment vertical="center"/>
      <protection hidden="1"/>
    </xf>
    <xf numFmtId="171" fontId="3" fillId="37" borderId="0" xfId="0" applyNumberFormat="1" applyFont="1" applyFill="1" applyAlignment="1" applyProtection="1">
      <alignment horizontal="center"/>
      <protection hidden="1"/>
    </xf>
    <xf numFmtId="177" fontId="251" fillId="37" borderId="0" xfId="0" applyNumberFormat="1" applyFont="1" applyFill="1" applyProtection="1">
      <protection hidden="1"/>
    </xf>
    <xf numFmtId="0" fontId="3" fillId="37" borderId="3" xfId="0" applyFont="1" applyFill="1" applyBorder="1" applyAlignment="1" applyProtection="1">
      <alignment horizontal="left" indent="1"/>
      <protection hidden="1"/>
    </xf>
    <xf numFmtId="0" fontId="0" fillId="37" borderId="0" xfId="0" applyFill="1" applyAlignment="1" applyProtection="1">
      <alignment horizontal="right"/>
      <protection hidden="1"/>
    </xf>
    <xf numFmtId="171" fontId="245" fillId="37" borderId="0" xfId="0" applyNumberFormat="1" applyFont="1" applyFill="1" applyProtection="1">
      <protection hidden="1"/>
    </xf>
    <xf numFmtId="2" fontId="251" fillId="37" borderId="0" xfId="0" applyNumberFormat="1" applyFont="1" applyFill="1" applyProtection="1">
      <protection hidden="1"/>
    </xf>
    <xf numFmtId="0" fontId="0" fillId="37" borderId="0" xfId="0" applyFill="1" applyAlignment="1" applyProtection="1">
      <alignment horizontal="left"/>
      <protection hidden="1"/>
    </xf>
    <xf numFmtId="0" fontId="0" fillId="37" borderId="0" xfId="0" applyFill="1" applyAlignment="1" applyProtection="1">
      <alignment horizontal="center"/>
      <protection hidden="1"/>
    </xf>
    <xf numFmtId="0" fontId="0" fillId="37" borderId="173" xfId="0" applyFill="1" applyBorder="1" applyProtection="1">
      <protection hidden="1"/>
    </xf>
    <xf numFmtId="0" fontId="1" fillId="37" borderId="3" xfId="0" applyFont="1" applyFill="1" applyBorder="1" applyAlignment="1">
      <alignment horizontal="center"/>
    </xf>
    <xf numFmtId="0" fontId="1" fillId="37" borderId="0" xfId="0" applyFont="1" applyFill="1" applyAlignment="1" applyProtection="1">
      <alignment horizontal="left"/>
      <protection hidden="1"/>
    </xf>
    <xf numFmtId="0" fontId="8" fillId="37" borderId="0" xfId="0" applyFont="1" applyFill="1" applyAlignment="1" applyProtection="1">
      <alignment horizontal="left"/>
      <protection hidden="1"/>
    </xf>
    <xf numFmtId="3" fontId="3" fillId="37" borderId="0" xfId="0" applyNumberFormat="1" applyFont="1" applyFill="1" applyAlignment="1" applyProtection="1">
      <alignment horizontal="center"/>
      <protection hidden="1"/>
    </xf>
    <xf numFmtId="0" fontId="3" fillId="37" borderId="25" xfId="0" applyFont="1" applyFill="1" applyBorder="1" applyProtection="1">
      <protection hidden="1"/>
    </xf>
    <xf numFmtId="0" fontId="0" fillId="37" borderId="10" xfId="0" applyFill="1" applyBorder="1"/>
    <xf numFmtId="0" fontId="0" fillId="37" borderId="1" xfId="0" applyFill="1" applyBorder="1" applyProtection="1">
      <protection hidden="1"/>
    </xf>
    <xf numFmtId="0" fontId="3" fillId="37" borderId="1" xfId="0" applyFont="1" applyFill="1" applyBorder="1" applyProtection="1">
      <protection hidden="1"/>
    </xf>
    <xf numFmtId="0" fontId="0" fillId="37" borderId="12" xfId="0" applyFill="1" applyBorder="1" applyProtection="1">
      <protection hidden="1"/>
    </xf>
    <xf numFmtId="3" fontId="8" fillId="37" borderId="0" xfId="0" applyNumberFormat="1" applyFont="1" applyFill="1" applyAlignment="1" applyProtection="1">
      <alignment horizontal="center"/>
      <protection hidden="1"/>
    </xf>
    <xf numFmtId="0" fontId="0" fillId="0" borderId="25" xfId="0" applyBorder="1" applyAlignment="1">
      <alignment horizontal="center" vertical="center"/>
    </xf>
    <xf numFmtId="0" fontId="247" fillId="16" borderId="0" xfId="0" applyFont="1" applyFill="1" applyAlignment="1" applyProtection="1">
      <alignment horizontal="left" vertical="center" indent="1"/>
      <protection hidden="1"/>
    </xf>
    <xf numFmtId="0" fontId="247" fillId="16" borderId="0" xfId="0" applyFont="1" applyFill="1" applyAlignment="1" applyProtection="1">
      <alignment horizontal="right" vertical="center"/>
      <protection hidden="1"/>
    </xf>
    <xf numFmtId="0" fontId="1" fillId="16" borderId="3" xfId="0" applyFont="1" applyFill="1" applyBorder="1" applyAlignment="1">
      <alignment horizontal="center" vertical="center"/>
    </xf>
    <xf numFmtId="0" fontId="1" fillId="16" borderId="25" xfId="0" applyFont="1" applyFill="1" applyBorder="1" applyAlignment="1">
      <alignment horizontal="center" vertical="center"/>
    </xf>
    <xf numFmtId="3" fontId="1" fillId="16" borderId="0" xfId="0" applyNumberFormat="1" applyFont="1" applyFill="1" applyAlignment="1" applyProtection="1">
      <alignment horizontal="right" vertical="center" wrapText="1" indent="1"/>
      <protection hidden="1"/>
    </xf>
    <xf numFmtId="0" fontId="0" fillId="16" borderId="0" xfId="0" applyFill="1" applyAlignment="1" applyProtection="1">
      <alignment horizontal="right" vertical="center" wrapText="1" indent="1"/>
      <protection hidden="1"/>
    </xf>
    <xf numFmtId="0" fontId="6" fillId="16" borderId="8" xfId="0" applyFont="1" applyFill="1" applyBorder="1" applyAlignment="1" applyProtection="1">
      <alignment horizontal="right" vertical="center"/>
      <protection hidden="1"/>
    </xf>
    <xf numFmtId="0" fontId="6" fillId="16" borderId="8" xfId="0" applyFont="1" applyFill="1" applyBorder="1" applyAlignment="1" applyProtection="1">
      <alignment horizontal="left" vertical="center"/>
      <protection hidden="1"/>
    </xf>
    <xf numFmtId="0" fontId="0" fillId="16" borderId="8" xfId="0" applyFill="1" applyBorder="1" applyAlignment="1" applyProtection="1">
      <alignment horizontal="right" vertical="center"/>
      <protection hidden="1"/>
    </xf>
    <xf numFmtId="0" fontId="0" fillId="16" borderId="8" xfId="0" applyFill="1" applyBorder="1" applyAlignment="1" applyProtection="1">
      <alignment vertical="center"/>
      <protection hidden="1"/>
    </xf>
    <xf numFmtId="0" fontId="5" fillId="16" borderId="8" xfId="0" applyFont="1" applyFill="1" applyBorder="1" applyAlignment="1" applyProtection="1">
      <alignment vertical="center"/>
      <protection hidden="1"/>
    </xf>
    <xf numFmtId="0" fontId="3" fillId="16" borderId="8" xfId="0" applyFont="1" applyFill="1" applyBorder="1" applyAlignment="1" applyProtection="1">
      <alignment horizontal="right" vertical="center"/>
      <protection hidden="1"/>
    </xf>
    <xf numFmtId="0" fontId="1" fillId="16" borderId="1" xfId="0" applyFont="1" applyFill="1" applyBorder="1" applyAlignment="1" applyProtection="1">
      <alignment horizontal="center"/>
      <protection hidden="1"/>
    </xf>
    <xf numFmtId="0" fontId="0" fillId="16" borderId="8" xfId="0" applyFill="1" applyBorder="1" applyAlignment="1" applyProtection="1">
      <alignment horizontal="right" indent="1"/>
      <protection hidden="1"/>
    </xf>
    <xf numFmtId="0" fontId="1" fillId="16" borderId="8" xfId="0" applyFont="1" applyFill="1" applyBorder="1" applyAlignment="1" applyProtection="1">
      <alignment horizontal="right"/>
      <protection hidden="1"/>
    </xf>
    <xf numFmtId="0" fontId="5" fillId="16" borderId="8" xfId="0" applyFont="1" applyFill="1" applyBorder="1" applyProtection="1">
      <protection hidden="1"/>
    </xf>
    <xf numFmtId="0" fontId="3" fillId="16" borderId="6" xfId="0" applyFont="1" applyFill="1" applyBorder="1" applyAlignment="1" applyProtection="1">
      <alignment horizontal="center" vertical="center" wrapText="1"/>
      <protection hidden="1"/>
    </xf>
    <xf numFmtId="0" fontId="0" fillId="16" borderId="22" xfId="0" applyFill="1" applyBorder="1" applyAlignment="1">
      <alignment horizontal="center" vertical="center" wrapText="1"/>
    </xf>
    <xf numFmtId="0" fontId="0" fillId="20" borderId="0" xfId="0" applyFill="1" applyAlignment="1" applyProtection="1">
      <alignment horizontal="right"/>
      <protection hidden="1"/>
    </xf>
    <xf numFmtId="0" fontId="49" fillId="16" borderId="6" xfId="0" applyFont="1" applyFill="1" applyBorder="1" applyAlignment="1" applyProtection="1">
      <alignment horizontal="centerContinuous"/>
      <protection hidden="1"/>
    </xf>
    <xf numFmtId="0" fontId="0" fillId="0" borderId="0" xfId="0" applyAlignment="1">
      <alignment horizontal="centerContinuous"/>
    </xf>
    <xf numFmtId="0" fontId="0" fillId="0" borderId="21" xfId="0" applyBorder="1" applyAlignment="1">
      <alignment horizontal="centerContinuous"/>
    </xf>
    <xf numFmtId="0" fontId="1" fillId="16" borderId="7" xfId="0" applyFont="1" applyFill="1" applyBorder="1" applyAlignment="1" applyProtection="1">
      <alignment horizontal="center"/>
      <protection hidden="1"/>
    </xf>
    <xf numFmtId="0" fontId="0" fillId="24" borderId="26" xfId="0" applyFill="1" applyBorder="1" applyProtection="1">
      <protection hidden="1"/>
    </xf>
    <xf numFmtId="0" fontId="0" fillId="24" borderId="26" xfId="0" applyFill="1" applyBorder="1" applyAlignment="1" applyProtection="1">
      <alignment horizontal="right"/>
      <protection hidden="1"/>
    </xf>
    <xf numFmtId="0" fontId="1" fillId="16" borderId="16" xfId="0" applyFont="1" applyFill="1" applyBorder="1" applyAlignment="1" applyProtection="1">
      <alignment horizontal="center"/>
      <protection hidden="1"/>
    </xf>
    <xf numFmtId="0" fontId="209" fillId="16" borderId="6" xfId="0" applyFont="1" applyFill="1" applyBorder="1" applyAlignment="1" applyProtection="1">
      <alignment horizontal="left" vertical="center" indent="1"/>
      <protection hidden="1"/>
    </xf>
    <xf numFmtId="0" fontId="1" fillId="16" borderId="1" xfId="0" applyFont="1" applyFill="1" applyBorder="1" applyAlignment="1" applyProtection="1">
      <alignment horizontal="left" indent="1"/>
      <protection hidden="1"/>
    </xf>
    <xf numFmtId="0" fontId="0" fillId="16" borderId="12" xfId="0" applyFill="1" applyBorder="1" applyProtection="1">
      <protection hidden="1"/>
    </xf>
    <xf numFmtId="0" fontId="0" fillId="24" borderId="7" xfId="0" applyFill="1" applyBorder="1" applyProtection="1">
      <protection hidden="1"/>
    </xf>
    <xf numFmtId="0" fontId="8" fillId="16" borderId="8" xfId="0" applyFont="1" applyFill="1" applyBorder="1" applyProtection="1">
      <protection hidden="1"/>
    </xf>
    <xf numFmtId="0" fontId="11" fillId="16" borderId="57" xfId="0" applyFont="1" applyFill="1" applyBorder="1" applyProtection="1">
      <protection hidden="1"/>
    </xf>
    <xf numFmtId="14" fontId="16" fillId="25" borderId="0" xfId="0" applyNumberFormat="1" applyFont="1" applyFill="1" applyProtection="1">
      <protection locked="0"/>
    </xf>
    <xf numFmtId="14" fontId="0" fillId="25" borderId="0" xfId="0" applyNumberFormat="1" applyFill="1" applyProtection="1">
      <protection locked="0"/>
    </xf>
    <xf numFmtId="1" fontId="254" fillId="10" borderId="0" xfId="0" applyNumberFormat="1" applyFont="1" applyFill="1" applyProtection="1">
      <protection hidden="1"/>
    </xf>
    <xf numFmtId="37" fontId="6" fillId="16" borderId="31" xfId="0" applyNumberFormat="1" applyFont="1" applyFill="1" applyBorder="1" applyProtection="1">
      <protection hidden="1"/>
    </xf>
    <xf numFmtId="0" fontId="1" fillId="16" borderId="5" xfId="0" applyFont="1" applyFill="1" applyBorder="1" applyAlignment="1" applyProtection="1">
      <alignment horizontal="centerContinuous"/>
      <protection hidden="1"/>
    </xf>
    <xf numFmtId="0" fontId="0" fillId="16" borderId="5" xfId="0" applyFill="1" applyBorder="1" applyAlignment="1" applyProtection="1">
      <alignment horizontal="centerContinuous"/>
      <protection hidden="1"/>
    </xf>
    <xf numFmtId="0" fontId="3" fillId="16" borderId="5" xfId="0" applyFont="1" applyFill="1" applyBorder="1" applyAlignment="1" applyProtection="1">
      <alignment horizontal="centerContinuous"/>
      <protection hidden="1"/>
    </xf>
    <xf numFmtId="37" fontId="6" fillId="16" borderId="3" xfId="0" applyNumberFormat="1" applyFont="1" applyFill="1" applyBorder="1" applyProtection="1">
      <protection hidden="1"/>
    </xf>
    <xf numFmtId="37" fontId="6" fillId="16" borderId="9" xfId="0" applyNumberFormat="1" applyFont="1" applyFill="1" applyBorder="1" applyProtection="1">
      <protection hidden="1"/>
    </xf>
    <xf numFmtId="0" fontId="1" fillId="16" borderId="9" xfId="0" applyFont="1" applyFill="1" applyBorder="1" applyProtection="1">
      <protection hidden="1"/>
    </xf>
    <xf numFmtId="0" fontId="0" fillId="20" borderId="26" xfId="0" applyFill="1" applyBorder="1" applyProtection="1">
      <protection hidden="1"/>
    </xf>
    <xf numFmtId="0" fontId="5" fillId="16" borderId="31" xfId="0" applyFont="1" applyFill="1" applyBorder="1" applyProtection="1">
      <protection hidden="1"/>
    </xf>
    <xf numFmtId="0" fontId="1" fillId="16" borderId="9" xfId="0" applyFont="1" applyFill="1" applyBorder="1" applyAlignment="1" applyProtection="1">
      <alignment horizontal="left"/>
      <protection hidden="1"/>
    </xf>
    <xf numFmtId="0" fontId="16" fillId="17" borderId="13" xfId="0" applyFont="1" applyFill="1" applyBorder="1" applyAlignment="1" applyProtection="1">
      <alignment horizontal="center" vertical="center"/>
      <protection locked="0"/>
    </xf>
    <xf numFmtId="166" fontId="1" fillId="19" borderId="0" xfId="0" applyNumberFormat="1" applyFont="1" applyFill="1" applyAlignment="1" applyProtection="1">
      <alignment horizontal="right"/>
      <protection locked="0"/>
    </xf>
    <xf numFmtId="0" fontId="137" fillId="16" borderId="0" xfId="0" applyFont="1" applyFill="1" applyProtection="1">
      <protection hidden="1"/>
    </xf>
    <xf numFmtId="0" fontId="1" fillId="24" borderId="0" xfId="0" applyFont="1" applyFill="1" applyAlignment="1" applyProtection="1">
      <alignment horizontal="center" vertical="center"/>
      <protection locked="0"/>
    </xf>
    <xf numFmtId="0" fontId="8" fillId="19" borderId="0" xfId="0" applyFont="1" applyFill="1" applyAlignment="1">
      <alignment horizontal="left" vertical="top" wrapText="1"/>
    </xf>
    <xf numFmtId="0" fontId="8" fillId="19" borderId="1" xfId="0" applyFont="1" applyFill="1" applyBorder="1" applyAlignment="1" applyProtection="1">
      <alignment horizontal="center" vertical="center"/>
      <protection hidden="1"/>
    </xf>
    <xf numFmtId="0" fontId="0" fillId="19" borderId="0" xfId="0" applyFill="1" applyAlignment="1">
      <alignment horizontal="center"/>
    </xf>
    <xf numFmtId="0" fontId="3" fillId="19" borderId="0" xfId="0" applyFont="1" applyFill="1" applyProtection="1">
      <protection hidden="1"/>
    </xf>
    <xf numFmtId="195" fontId="34" fillId="2" borderId="47" xfId="0" applyNumberFormat="1" applyFont="1" applyFill="1" applyBorder="1" applyProtection="1">
      <protection locked="0"/>
    </xf>
    <xf numFmtId="195" fontId="34" fillId="2" borderId="59" xfId="0" applyNumberFormat="1" applyFont="1" applyFill="1" applyBorder="1" applyProtection="1">
      <protection locked="0"/>
    </xf>
    <xf numFmtId="0" fontId="3" fillId="19" borderId="0" xfId="0" applyFont="1" applyFill="1" applyAlignment="1" applyProtection="1">
      <alignment horizontal="left"/>
      <protection hidden="1"/>
    </xf>
    <xf numFmtId="4" fontId="23" fillId="16" borderId="0" xfId="0" applyNumberFormat="1" applyFont="1" applyFill="1" applyProtection="1">
      <protection hidden="1"/>
    </xf>
    <xf numFmtId="4" fontId="134" fillId="16" borderId="0" xfId="0" applyNumberFormat="1" applyFont="1" applyFill="1" applyAlignment="1" applyProtection="1">
      <alignment horizontal="right" vertical="center"/>
      <protection hidden="1"/>
    </xf>
    <xf numFmtId="0" fontId="1" fillId="19" borderId="26" xfId="0" applyFont="1" applyFill="1" applyBorder="1" applyAlignment="1" applyProtection="1">
      <alignment horizontal="right"/>
      <protection hidden="1"/>
    </xf>
    <xf numFmtId="0" fontId="11" fillId="2" borderId="25" xfId="0" applyFont="1" applyFill="1" applyBorder="1" applyProtection="1">
      <protection hidden="1"/>
    </xf>
    <xf numFmtId="0" fontId="8" fillId="2" borderId="25" xfId="0" applyFont="1" applyFill="1" applyBorder="1" applyProtection="1">
      <protection hidden="1"/>
    </xf>
    <xf numFmtId="0" fontId="3" fillId="2" borderId="3" xfId="0" applyFont="1" applyFill="1" applyBorder="1"/>
    <xf numFmtId="6" fontId="8" fillId="2" borderId="25" xfId="0" applyNumberFormat="1" applyFont="1" applyFill="1" applyBorder="1" applyAlignment="1" applyProtection="1">
      <alignment horizontal="left"/>
      <protection hidden="1"/>
    </xf>
    <xf numFmtId="0" fontId="8" fillId="2" borderId="10" xfId="0" applyFont="1" applyFill="1" applyBorder="1" applyProtection="1">
      <protection hidden="1"/>
    </xf>
    <xf numFmtId="0" fontId="8" fillId="2" borderId="12" xfId="0" applyFont="1" applyFill="1" applyBorder="1" applyProtection="1">
      <protection hidden="1"/>
    </xf>
    <xf numFmtId="3" fontId="6" fillId="19" borderId="0" xfId="0" applyNumberFormat="1" applyFont="1" applyFill="1" applyAlignment="1" applyProtection="1">
      <alignment horizontal="right"/>
      <protection hidden="1"/>
    </xf>
    <xf numFmtId="0" fontId="12" fillId="19" borderId="5" xfId="0" applyFont="1" applyFill="1" applyBorder="1" applyProtection="1">
      <protection hidden="1"/>
    </xf>
    <xf numFmtId="0" fontId="86" fillId="19" borderId="5" xfId="0" applyFont="1" applyFill="1" applyBorder="1" applyProtection="1">
      <protection hidden="1"/>
    </xf>
    <xf numFmtId="0" fontId="4" fillId="19" borderId="5" xfId="0" applyFont="1" applyFill="1" applyBorder="1" applyAlignment="1" applyProtection="1">
      <alignment horizontal="right"/>
      <protection hidden="1"/>
    </xf>
    <xf numFmtId="4" fontId="5" fillId="19" borderId="5" xfId="0" applyNumberFormat="1" applyFont="1" applyFill="1" applyBorder="1" applyProtection="1">
      <protection hidden="1"/>
    </xf>
    <xf numFmtId="0" fontId="86" fillId="19" borderId="5" xfId="0" applyFont="1" applyFill="1" applyBorder="1" applyAlignment="1" applyProtection="1">
      <alignment horizontal="right"/>
      <protection hidden="1"/>
    </xf>
    <xf numFmtId="4" fontId="8" fillId="19" borderId="5" xfId="0" applyNumberFormat="1" applyFont="1" applyFill="1" applyBorder="1" applyAlignment="1" applyProtection="1">
      <alignment horizontal="right"/>
      <protection hidden="1"/>
    </xf>
    <xf numFmtId="0" fontId="0" fillId="16" borderId="8" xfId="0" applyFill="1" applyBorder="1" applyAlignment="1">
      <alignment horizontal="centerContinuous" vertical="center"/>
    </xf>
    <xf numFmtId="0" fontId="0" fillId="16" borderId="8" xfId="0" applyFill="1" applyBorder="1" applyAlignment="1" applyProtection="1">
      <alignment horizontal="centerContinuous"/>
      <protection hidden="1"/>
    </xf>
    <xf numFmtId="0" fontId="0" fillId="16" borderId="20" xfId="0" applyFill="1" applyBorder="1" applyAlignment="1" applyProtection="1">
      <alignment horizontal="centerContinuous"/>
      <protection hidden="1"/>
    </xf>
    <xf numFmtId="0" fontId="0" fillId="16" borderId="0" xfId="0" applyFill="1" applyAlignment="1">
      <alignment horizontal="centerContinuous" vertical="center"/>
    </xf>
    <xf numFmtId="0" fontId="0" fillId="16" borderId="21" xfId="0" applyFill="1" applyBorder="1" applyAlignment="1" applyProtection="1">
      <alignment horizontal="centerContinuous"/>
      <protection hidden="1"/>
    </xf>
    <xf numFmtId="0" fontId="1" fillId="19" borderId="16" xfId="0" applyFont="1" applyFill="1" applyBorder="1" applyAlignment="1" applyProtection="1">
      <alignment horizontal="center"/>
      <protection hidden="1"/>
    </xf>
    <xf numFmtId="0" fontId="5" fillId="19" borderId="0" xfId="0" applyFont="1" applyFill="1" applyAlignment="1" applyProtection="1">
      <alignment horizontal="left" indent="1"/>
      <protection hidden="1"/>
    </xf>
    <xf numFmtId="195" fontId="34" fillId="2" borderId="86" xfId="0" applyNumberFormat="1" applyFont="1" applyFill="1" applyBorder="1" applyProtection="1">
      <protection locked="0"/>
    </xf>
    <xf numFmtId="195" fontId="34" fillId="2" borderId="87" xfId="0" applyNumberFormat="1" applyFont="1" applyFill="1" applyBorder="1" applyProtection="1">
      <protection locked="0"/>
    </xf>
    <xf numFmtId="1" fontId="1" fillId="8" borderId="8" xfId="0" applyNumberFormat="1" applyFont="1" applyFill="1" applyBorder="1" applyProtection="1">
      <protection hidden="1"/>
    </xf>
    <xf numFmtId="0" fontId="1" fillId="20" borderId="16" xfId="0" applyFont="1" applyFill="1" applyBorder="1" applyAlignment="1" applyProtection="1">
      <alignment horizontal="center"/>
      <protection hidden="1"/>
    </xf>
    <xf numFmtId="168" fontId="8" fillId="2" borderId="0" xfId="0" applyNumberFormat="1" applyFont="1" applyFill="1" applyAlignment="1" applyProtection="1">
      <alignment horizontal="left"/>
      <protection hidden="1"/>
    </xf>
    <xf numFmtId="0" fontId="1" fillId="19" borderId="1" xfId="0" applyFont="1" applyFill="1" applyBorder="1" applyProtection="1">
      <protection hidden="1"/>
    </xf>
    <xf numFmtId="0" fontId="5" fillId="19" borderId="1" xfId="0" applyFont="1" applyFill="1" applyBorder="1" applyProtection="1">
      <protection hidden="1"/>
    </xf>
    <xf numFmtId="0" fontId="8" fillId="19" borderId="1" xfId="0" applyFont="1" applyFill="1" applyBorder="1" applyProtection="1">
      <protection hidden="1"/>
    </xf>
    <xf numFmtId="166" fontId="1" fillId="19" borderId="1" xfId="0" applyNumberFormat="1" applyFont="1" applyFill="1" applyBorder="1" applyAlignment="1" applyProtection="1">
      <alignment horizontal="right"/>
      <protection locked="0"/>
    </xf>
    <xf numFmtId="0" fontId="5" fillId="19" borderId="0" xfId="0" applyFont="1" applyFill="1" applyAlignment="1" applyProtection="1">
      <alignment horizontal="center" vertical="center"/>
      <protection hidden="1"/>
    </xf>
    <xf numFmtId="0" fontId="0" fillId="11" borderId="31" xfId="0" applyFill="1" applyBorder="1" applyProtection="1">
      <protection hidden="1"/>
    </xf>
    <xf numFmtId="0" fontId="0" fillId="11" borderId="15" xfId="0" applyFill="1" applyBorder="1" applyProtection="1">
      <protection hidden="1"/>
    </xf>
    <xf numFmtId="0" fontId="1" fillId="20" borderId="7" xfId="0" applyFont="1" applyFill="1" applyBorder="1" applyAlignment="1" applyProtection="1">
      <alignment horizontal="center"/>
      <protection hidden="1"/>
    </xf>
    <xf numFmtId="0" fontId="1" fillId="19" borderId="5" xfId="0" applyFont="1" applyFill="1" applyBorder="1" applyProtection="1">
      <protection hidden="1"/>
    </xf>
    <xf numFmtId="0" fontId="1" fillId="19" borderId="52" xfId="0" applyFont="1" applyFill="1" applyBorder="1" applyAlignment="1" applyProtection="1">
      <alignment horizontal="center"/>
      <protection hidden="1"/>
    </xf>
    <xf numFmtId="0" fontId="0" fillId="11" borderId="53" xfId="0" applyFill="1" applyBorder="1" applyProtection="1">
      <protection hidden="1"/>
    </xf>
    <xf numFmtId="0" fontId="0" fillId="11" borderId="74" xfId="0" applyFill="1" applyBorder="1" applyProtection="1">
      <protection hidden="1"/>
    </xf>
    <xf numFmtId="0" fontId="0" fillId="19" borderId="0" xfId="0" applyFill="1" applyAlignment="1">
      <alignment horizontal="right" indent="1"/>
    </xf>
    <xf numFmtId="0" fontId="1" fillId="2" borderId="5" xfId="0" applyFont="1" applyFill="1" applyBorder="1" applyProtection="1">
      <protection hidden="1"/>
    </xf>
    <xf numFmtId="0" fontId="6" fillId="2" borderId="9" xfId="0" applyFont="1" applyFill="1" applyBorder="1" applyAlignment="1" applyProtection="1">
      <alignment horizontal="left"/>
      <protection hidden="1"/>
    </xf>
    <xf numFmtId="0" fontId="1" fillId="19" borderId="9" xfId="0" applyFont="1" applyFill="1" applyBorder="1" applyProtection="1">
      <protection hidden="1"/>
    </xf>
    <xf numFmtId="0" fontId="8" fillId="19" borderId="9" xfId="0" applyFont="1" applyFill="1" applyBorder="1" applyProtection="1">
      <protection hidden="1"/>
    </xf>
    <xf numFmtId="0" fontId="15" fillId="19" borderId="9" xfId="0" applyFont="1" applyFill="1" applyBorder="1" applyProtection="1">
      <protection hidden="1"/>
    </xf>
    <xf numFmtId="0" fontId="5" fillId="19" borderId="9" xfId="0" applyFont="1" applyFill="1" applyBorder="1" applyAlignment="1" applyProtection="1">
      <alignment horizontal="center" vertical="center"/>
      <protection hidden="1"/>
    </xf>
    <xf numFmtId="0" fontId="0" fillId="19" borderId="9" xfId="0" applyFill="1" applyBorder="1" applyAlignment="1">
      <alignment horizontal="center"/>
    </xf>
    <xf numFmtId="4" fontId="6" fillId="17" borderId="13" xfId="0" applyNumberFormat="1" applyFont="1" applyFill="1" applyBorder="1" applyAlignment="1" applyProtection="1">
      <alignment horizontal="center"/>
      <protection locked="0"/>
    </xf>
    <xf numFmtId="0" fontId="15" fillId="2" borderId="0" xfId="0" applyFont="1" applyFill="1" applyAlignment="1">
      <alignment horizontal="center" wrapText="1"/>
    </xf>
    <xf numFmtId="0" fontId="10" fillId="19" borderId="14" xfId="0" applyFont="1" applyFill="1" applyBorder="1" applyAlignment="1" applyProtection="1">
      <alignment horizontal="left"/>
      <protection hidden="1"/>
    </xf>
    <xf numFmtId="0" fontId="8" fillId="19" borderId="0" xfId="0" applyFont="1" applyFill="1" applyAlignment="1">
      <alignment horizontal="left" vertical="center"/>
    </xf>
    <xf numFmtId="0" fontId="8" fillId="19" borderId="1" xfId="0" applyFont="1" applyFill="1" applyBorder="1" applyAlignment="1">
      <alignment horizontal="left" vertical="top" wrapText="1"/>
    </xf>
    <xf numFmtId="0" fontId="8" fillId="19" borderId="1" xfId="0" applyFont="1" applyFill="1" applyBorder="1" applyAlignment="1">
      <alignment horizontal="left" vertical="center"/>
    </xf>
    <xf numFmtId="0" fontId="6" fillId="19" borderId="1" xfId="0" applyFont="1" applyFill="1" applyBorder="1" applyAlignment="1" applyProtection="1">
      <alignment horizontal="left" vertical="center"/>
      <protection hidden="1"/>
    </xf>
    <xf numFmtId="0" fontId="8" fillId="5" borderId="0" xfId="0" applyFont="1" applyFill="1" applyAlignment="1" applyProtection="1">
      <alignment horizontal="center" vertical="center"/>
      <protection locked="0"/>
    </xf>
    <xf numFmtId="0" fontId="8" fillId="19" borderId="15" xfId="0" applyFont="1" applyFill="1" applyBorder="1" applyAlignment="1">
      <alignment horizontal="left" vertical="center"/>
    </xf>
    <xf numFmtId="0" fontId="8" fillId="19" borderId="12" xfId="0" applyFont="1" applyFill="1" applyBorder="1" applyAlignment="1">
      <alignment horizontal="left" vertical="center"/>
    </xf>
    <xf numFmtId="0" fontId="8" fillId="19" borderId="12" xfId="0" applyFont="1" applyFill="1" applyBorder="1" applyAlignment="1">
      <alignment horizontal="left" vertical="top" wrapText="1"/>
    </xf>
    <xf numFmtId="0" fontId="8" fillId="19" borderId="31" xfId="0" applyFont="1" applyFill="1" applyBorder="1" applyAlignment="1">
      <alignment horizontal="centerContinuous" vertical="center"/>
    </xf>
    <xf numFmtId="0" fontId="8" fillId="19" borderId="0" xfId="0" applyFont="1" applyFill="1" applyAlignment="1">
      <alignment horizontal="centerContinuous" vertical="center"/>
    </xf>
    <xf numFmtId="0" fontId="8" fillId="19" borderId="15" xfId="0" applyFont="1" applyFill="1" applyBorder="1" applyAlignment="1">
      <alignment horizontal="centerContinuous" vertical="center"/>
    </xf>
    <xf numFmtId="0" fontId="8" fillId="19" borderId="9" xfId="0" applyFont="1" applyFill="1" applyBorder="1" applyAlignment="1" applyProtection="1">
      <alignment horizontal="centerContinuous" vertical="top" wrapText="1"/>
      <protection hidden="1"/>
    </xf>
    <xf numFmtId="0" fontId="8" fillId="19" borderId="9" xfId="0" applyFont="1" applyFill="1" applyBorder="1" applyAlignment="1">
      <alignment horizontal="centerContinuous" vertical="top" wrapText="1"/>
    </xf>
    <xf numFmtId="1" fontId="115" fillId="17" borderId="2" xfId="0" applyNumberFormat="1" applyFont="1" applyFill="1" applyBorder="1" applyAlignment="1" applyProtection="1">
      <alignment horizontal="center" vertical="center"/>
      <protection locked="0"/>
    </xf>
    <xf numFmtId="0" fontId="150" fillId="2" borderId="0" xfId="0" applyFont="1" applyFill="1" applyAlignment="1" applyProtection="1">
      <alignment horizontal="left"/>
      <protection hidden="1"/>
    </xf>
    <xf numFmtId="0" fontId="4" fillId="16" borderId="8" xfId="0" applyFont="1" applyFill="1" applyBorder="1" applyAlignment="1" applyProtection="1">
      <alignment horizontal="right"/>
      <protection hidden="1"/>
    </xf>
    <xf numFmtId="0" fontId="116" fillId="16" borderId="0" xfId="0" applyFont="1" applyFill="1" applyAlignment="1">
      <alignment horizontal="center"/>
    </xf>
    <xf numFmtId="165" fontId="6" fillId="16" borderId="5" xfId="0" applyNumberFormat="1" applyFont="1" applyFill="1" applyBorder="1" applyAlignment="1" applyProtection="1">
      <alignment horizontal="center" vertical="center"/>
      <protection locked="0"/>
    </xf>
    <xf numFmtId="0" fontId="17" fillId="16" borderId="0" xfId="0" applyFont="1" applyFill="1" applyAlignment="1">
      <alignment horizontal="left"/>
    </xf>
    <xf numFmtId="0" fontId="8" fillId="16" borderId="57" xfId="0" applyFont="1" applyFill="1" applyBorder="1" applyAlignment="1" applyProtection="1">
      <alignment horizontal="left" indent="1"/>
      <protection hidden="1"/>
    </xf>
    <xf numFmtId="4" fontId="64" fillId="16" borderId="0" xfId="0" applyNumberFormat="1" applyFont="1" applyFill="1" applyProtection="1">
      <protection hidden="1"/>
    </xf>
    <xf numFmtId="37" fontId="34" fillId="2" borderId="52" xfId="0" applyNumberFormat="1" applyFont="1" applyFill="1" applyBorder="1" applyProtection="1">
      <protection locked="0"/>
    </xf>
    <xf numFmtId="0" fontId="19" fillId="16" borderId="3" xfId="0" applyFont="1" applyFill="1" applyBorder="1" applyProtection="1">
      <protection hidden="1"/>
    </xf>
    <xf numFmtId="0" fontId="26" fillId="16" borderId="3" xfId="0" applyFont="1" applyFill="1" applyBorder="1" applyAlignment="1" applyProtection="1">
      <alignment horizontal="right"/>
      <protection hidden="1"/>
    </xf>
    <xf numFmtId="0" fontId="26" fillId="16" borderId="0" xfId="0" applyFont="1" applyFill="1" applyAlignment="1" applyProtection="1">
      <alignment horizontal="right"/>
      <protection hidden="1"/>
    </xf>
    <xf numFmtId="0" fontId="19" fillId="16" borderId="10" xfId="0" applyFont="1" applyFill="1" applyBorder="1" applyProtection="1">
      <protection hidden="1"/>
    </xf>
    <xf numFmtId="0" fontId="19" fillId="16" borderId="12" xfId="0" applyFont="1" applyFill="1" applyBorder="1" applyProtection="1">
      <protection hidden="1"/>
    </xf>
    <xf numFmtId="37" fontId="34" fillId="2" borderId="12" xfId="0" applyNumberFormat="1" applyFont="1" applyFill="1" applyBorder="1" applyProtection="1">
      <protection locked="0"/>
    </xf>
    <xf numFmtId="14" fontId="3" fillId="16" borderId="1" xfId="0" applyNumberFormat="1" applyFont="1" applyFill="1" applyBorder="1" applyAlignment="1" applyProtection="1">
      <alignment horizontal="center"/>
      <protection hidden="1"/>
    </xf>
    <xf numFmtId="0" fontId="198" fillId="0" borderId="1" xfId="0" applyFont="1" applyBorder="1"/>
    <xf numFmtId="0" fontId="140" fillId="2" borderId="0" xfId="0" applyFont="1" applyFill="1" applyAlignment="1" applyProtection="1">
      <alignment horizontal="center" wrapText="1"/>
      <protection hidden="1"/>
    </xf>
    <xf numFmtId="164" fontId="10" fillId="2" borderId="5" xfId="0" applyNumberFormat="1" applyFont="1" applyFill="1" applyBorder="1" applyProtection="1">
      <protection hidden="1"/>
    </xf>
    <xf numFmtId="0" fontId="154" fillId="0" borderId="0" xfId="0" applyFont="1" applyAlignment="1" applyProtection="1">
      <alignment horizontal="center"/>
      <protection hidden="1"/>
    </xf>
    <xf numFmtId="0" fontId="115" fillId="17" borderId="2" xfId="0" applyFont="1" applyFill="1" applyBorder="1" applyAlignment="1" applyProtection="1">
      <alignment horizontal="center" vertical="center"/>
      <protection locked="0"/>
    </xf>
    <xf numFmtId="0" fontId="11" fillId="17" borderId="13" xfId="0" applyFont="1" applyFill="1" applyBorder="1" applyAlignment="1" applyProtection="1">
      <alignment horizontal="center" vertical="center"/>
      <protection locked="0"/>
    </xf>
    <xf numFmtId="4" fontId="254" fillId="2" borderId="0" xfId="0" applyNumberFormat="1" applyFont="1" applyFill="1" applyProtection="1">
      <protection hidden="1"/>
    </xf>
    <xf numFmtId="1" fontId="16" fillId="28" borderId="2" xfId="0" applyNumberFormat="1" applyFont="1" applyFill="1" applyBorder="1" applyAlignment="1" applyProtection="1">
      <alignment horizontal="center"/>
      <protection hidden="1"/>
    </xf>
    <xf numFmtId="0" fontId="254" fillId="16" borderId="0" xfId="0" applyFont="1" applyFill="1" applyProtection="1">
      <protection hidden="1"/>
    </xf>
    <xf numFmtId="0" fontId="5" fillId="16" borderId="1" xfId="0" applyFont="1" applyFill="1" applyBorder="1" applyAlignment="1">
      <alignment horizontal="center" vertical="center" wrapText="1"/>
    </xf>
    <xf numFmtId="0" fontId="5" fillId="16" borderId="9" xfId="0" applyFont="1" applyFill="1" applyBorder="1" applyAlignment="1" applyProtection="1">
      <alignment horizontal="center" vertical="center" wrapText="1"/>
      <protection hidden="1"/>
    </xf>
    <xf numFmtId="0" fontId="3" fillId="16" borderId="26" xfId="0" applyFont="1" applyFill="1" applyBorder="1" applyAlignment="1" applyProtection="1">
      <alignment horizontal="left"/>
      <protection hidden="1"/>
    </xf>
    <xf numFmtId="0" fontId="3" fillId="16" borderId="6" xfId="0" applyFont="1" applyFill="1" applyBorder="1" applyAlignment="1">
      <alignment horizontal="center" wrapText="1"/>
    </xf>
    <xf numFmtId="0" fontId="3" fillId="16" borderId="27" xfId="0" applyFont="1" applyFill="1" applyBorder="1" applyAlignment="1">
      <alignment horizontal="center" wrapText="1"/>
    </xf>
    <xf numFmtId="0" fontId="181" fillId="16" borderId="0" xfId="0" applyFont="1" applyFill="1" applyAlignment="1" applyProtection="1">
      <alignment horizontal="left" indent="1"/>
      <protection hidden="1"/>
    </xf>
    <xf numFmtId="0" fontId="8" fillId="16" borderId="0" xfId="0" applyFont="1" applyFill="1" applyAlignment="1" applyProtection="1">
      <alignment horizontal="left" vertical="top"/>
      <protection hidden="1"/>
    </xf>
    <xf numFmtId="0" fontId="21" fillId="16" borderId="0" xfId="0" applyFont="1" applyFill="1" applyProtection="1">
      <protection hidden="1"/>
    </xf>
    <xf numFmtId="0" fontId="1" fillId="16" borderId="22" xfId="0" applyFont="1" applyFill="1" applyBorder="1" applyAlignment="1" applyProtection="1">
      <alignment horizontal="centerContinuous"/>
      <protection hidden="1"/>
    </xf>
    <xf numFmtId="0" fontId="0" fillId="16" borderId="9" xfId="0" applyFill="1" applyBorder="1" applyAlignment="1" applyProtection="1">
      <alignment horizontal="center" vertical="center"/>
      <protection hidden="1"/>
    </xf>
    <xf numFmtId="0" fontId="0" fillId="16" borderId="3" xfId="0" applyFill="1" applyBorder="1" applyAlignment="1" applyProtection="1">
      <alignment horizontal="center" vertical="center"/>
      <protection hidden="1"/>
    </xf>
    <xf numFmtId="0" fontId="0" fillId="16" borderId="1" xfId="0" applyFill="1" applyBorder="1" applyAlignment="1" applyProtection="1">
      <alignment horizontal="center" vertical="center"/>
      <protection hidden="1"/>
    </xf>
    <xf numFmtId="0" fontId="152" fillId="16" borderId="26" xfId="0" applyFont="1" applyFill="1" applyBorder="1" applyAlignment="1" applyProtection="1">
      <alignment horizontal="center"/>
      <protection hidden="1"/>
    </xf>
    <xf numFmtId="0" fontId="138" fillId="16" borderId="26" xfId="0" applyFont="1" applyFill="1" applyBorder="1" applyAlignment="1" applyProtection="1">
      <alignment horizontal="center"/>
      <protection hidden="1"/>
    </xf>
    <xf numFmtId="0" fontId="16" fillId="16" borderId="9" xfId="0" applyFont="1" applyFill="1" applyBorder="1" applyProtection="1">
      <protection hidden="1"/>
    </xf>
    <xf numFmtId="0" fontId="53" fillId="16" borderId="9" xfId="0" applyFont="1" applyFill="1" applyBorder="1" applyProtection="1">
      <protection hidden="1"/>
    </xf>
    <xf numFmtId="0" fontId="3" fillId="16" borderId="9" xfId="0" applyFont="1" applyFill="1" applyBorder="1" applyAlignment="1" applyProtection="1">
      <alignment horizontal="left"/>
      <protection hidden="1"/>
    </xf>
    <xf numFmtId="0" fontId="1" fillId="16" borderId="0" xfId="0" applyFont="1" applyFill="1" applyAlignment="1" applyProtection="1">
      <alignment horizontal="left" vertical="center" indent="1"/>
      <protection hidden="1"/>
    </xf>
    <xf numFmtId="0" fontId="0" fillId="16" borderId="26" xfId="0" applyFill="1" applyBorder="1" applyAlignment="1" applyProtection="1">
      <alignment horizontal="center" vertical="center"/>
      <protection hidden="1"/>
    </xf>
    <xf numFmtId="0" fontId="152" fillId="16" borderId="1" xfId="0" applyFont="1" applyFill="1" applyBorder="1" applyAlignment="1" applyProtection="1">
      <alignment horizontal="center"/>
      <protection hidden="1"/>
    </xf>
    <xf numFmtId="0" fontId="152" fillId="16" borderId="12" xfId="0" applyFont="1" applyFill="1" applyBorder="1" applyAlignment="1" applyProtection="1">
      <alignment horizontal="center"/>
      <protection hidden="1"/>
    </xf>
    <xf numFmtId="0" fontId="0" fillId="16" borderId="40" xfId="0" applyFill="1" applyBorder="1"/>
    <xf numFmtId="0" fontId="0" fillId="16" borderId="26" xfId="0" applyFill="1" applyBorder="1"/>
    <xf numFmtId="0" fontId="14" fillId="16" borderId="0" xfId="0" applyFont="1" applyFill="1" applyAlignment="1" applyProtection="1">
      <alignment horizontal="left"/>
      <protection hidden="1"/>
    </xf>
    <xf numFmtId="0" fontId="53" fillId="16" borderId="0" xfId="0" applyFont="1" applyFill="1" applyAlignment="1" applyProtection="1">
      <alignment horizontal="left"/>
      <protection hidden="1"/>
    </xf>
    <xf numFmtId="0" fontId="16" fillId="16" borderId="0" xfId="0" applyFont="1" applyFill="1" applyAlignment="1" applyProtection="1">
      <alignment horizontal="left"/>
      <protection hidden="1"/>
    </xf>
    <xf numFmtId="0" fontId="53" fillId="16" borderId="0" xfId="0" applyFont="1" applyFill="1" applyAlignment="1" applyProtection="1">
      <alignment horizontal="left" vertical="center"/>
      <protection hidden="1"/>
    </xf>
    <xf numFmtId="0" fontId="14" fillId="16" borderId="0" xfId="0" applyFont="1" applyFill="1" applyAlignment="1" applyProtection="1">
      <alignment horizontal="left" vertical="center"/>
      <protection hidden="1"/>
    </xf>
    <xf numFmtId="0" fontId="14" fillId="16" borderId="1" xfId="0" applyFont="1" applyFill="1" applyBorder="1" applyAlignment="1" applyProtection="1">
      <alignment horizontal="left"/>
      <protection hidden="1"/>
    </xf>
    <xf numFmtId="0" fontId="14" fillId="16" borderId="1" xfId="0" applyFont="1" applyFill="1" applyBorder="1" applyAlignment="1" applyProtection="1">
      <alignment horizontal="left" vertical="center"/>
      <protection hidden="1"/>
    </xf>
    <xf numFmtId="0" fontId="3" fillId="16" borderId="40" xfId="0" applyFont="1" applyFill="1" applyBorder="1" applyAlignment="1" applyProtection="1">
      <alignment horizontal="left" vertical="center"/>
      <protection hidden="1"/>
    </xf>
    <xf numFmtId="0" fontId="3" fillId="16" borderId="26" xfId="0" applyFont="1" applyFill="1" applyBorder="1" applyAlignment="1" applyProtection="1">
      <alignment horizontal="left" vertical="center"/>
      <protection hidden="1"/>
    </xf>
    <xf numFmtId="0" fontId="3" fillId="16" borderId="55" xfId="0" applyFont="1" applyFill="1" applyBorder="1" applyAlignment="1" applyProtection="1">
      <alignment horizontal="left" vertical="center"/>
      <protection hidden="1"/>
    </xf>
    <xf numFmtId="0" fontId="14" fillId="16" borderId="26" xfId="0" applyFont="1" applyFill="1" applyBorder="1" applyAlignment="1" applyProtection="1">
      <alignment horizontal="left"/>
      <protection hidden="1"/>
    </xf>
    <xf numFmtId="0" fontId="10" fillId="16" borderId="26" xfId="0" applyFont="1" applyFill="1" applyBorder="1" applyAlignment="1" applyProtection="1">
      <alignment horizontal="right" vertical="center"/>
      <protection hidden="1"/>
    </xf>
    <xf numFmtId="0" fontId="10" fillId="16" borderId="26" xfId="0" applyFont="1" applyFill="1" applyBorder="1" applyAlignment="1" applyProtection="1">
      <alignment horizontal="left"/>
      <protection hidden="1"/>
    </xf>
    <xf numFmtId="0" fontId="10" fillId="16" borderId="40" xfId="0" applyFont="1" applyFill="1" applyBorder="1" applyAlignment="1" applyProtection="1">
      <alignment horizontal="right" vertical="center"/>
      <protection hidden="1"/>
    </xf>
    <xf numFmtId="0" fontId="53" fillId="16" borderId="26" xfId="0" applyFont="1" applyFill="1" applyBorder="1" applyAlignment="1" applyProtection="1">
      <alignment horizontal="left"/>
      <protection hidden="1"/>
    </xf>
    <xf numFmtId="0" fontId="53" fillId="16" borderId="1" xfId="0" applyFont="1" applyFill="1" applyBorder="1" applyAlignment="1" applyProtection="1">
      <alignment horizontal="left"/>
      <protection hidden="1"/>
    </xf>
    <xf numFmtId="0" fontId="14" fillId="16" borderId="9" xfId="0" applyFont="1" applyFill="1" applyBorder="1" applyAlignment="1" applyProtection="1">
      <alignment horizontal="left"/>
      <protection hidden="1"/>
    </xf>
    <xf numFmtId="0" fontId="3" fillId="16" borderId="9" xfId="0" applyFont="1" applyFill="1" applyBorder="1" applyAlignment="1" applyProtection="1">
      <alignment horizontal="left" vertical="center"/>
      <protection hidden="1"/>
    </xf>
    <xf numFmtId="0" fontId="3" fillId="16" borderId="31" xfId="0" applyFont="1" applyFill="1" applyBorder="1" applyAlignment="1" applyProtection="1">
      <alignment horizontal="left" vertical="center"/>
      <protection hidden="1"/>
    </xf>
    <xf numFmtId="0" fontId="3" fillId="16" borderId="15" xfId="0" applyFont="1" applyFill="1" applyBorder="1" applyAlignment="1" applyProtection="1">
      <alignment horizontal="left" vertical="center"/>
      <protection hidden="1"/>
    </xf>
    <xf numFmtId="0" fontId="10" fillId="16" borderId="9" xfId="0" applyFont="1" applyFill="1" applyBorder="1" applyAlignment="1" applyProtection="1">
      <alignment horizontal="left"/>
      <protection hidden="1"/>
    </xf>
    <xf numFmtId="0" fontId="0" fillId="16" borderId="0" xfId="0" applyFill="1" applyAlignment="1">
      <alignment horizontal="right" vertical="center" wrapText="1" indent="1"/>
    </xf>
    <xf numFmtId="0" fontId="10" fillId="16" borderId="0" xfId="0" applyFont="1" applyFill="1" applyAlignment="1">
      <alignment horizontal="center" vertical="center"/>
    </xf>
    <xf numFmtId="3" fontId="16" fillId="16" borderId="0" xfId="0" applyNumberFormat="1" applyFont="1" applyFill="1" applyAlignment="1" applyProtection="1">
      <alignment horizontal="right" vertical="center"/>
      <protection hidden="1"/>
    </xf>
    <xf numFmtId="0" fontId="256" fillId="16" borderId="0" xfId="0" applyFont="1" applyFill="1" applyAlignment="1" applyProtection="1">
      <alignment horizontal="left"/>
      <protection hidden="1"/>
    </xf>
    <xf numFmtId="3" fontId="16" fillId="16" borderId="31" xfId="0" applyNumberFormat="1" applyFont="1" applyFill="1" applyBorder="1" applyAlignment="1" applyProtection="1">
      <alignment horizontal="right" vertical="center"/>
      <protection hidden="1"/>
    </xf>
    <xf numFmtId="3" fontId="16" fillId="16" borderId="15" xfId="0" applyNumberFormat="1" applyFont="1" applyFill="1" applyBorder="1" applyAlignment="1" applyProtection="1">
      <alignment horizontal="right" vertical="center"/>
      <protection hidden="1"/>
    </xf>
    <xf numFmtId="3" fontId="16" fillId="16" borderId="3" xfId="0" applyNumberFormat="1" applyFont="1" applyFill="1" applyBorder="1" applyAlignment="1" applyProtection="1">
      <alignment horizontal="right" vertical="center"/>
      <protection hidden="1"/>
    </xf>
    <xf numFmtId="3" fontId="16" fillId="16" borderId="25" xfId="0" applyNumberFormat="1" applyFont="1" applyFill="1" applyBorder="1" applyAlignment="1" applyProtection="1">
      <alignment horizontal="right" vertical="center"/>
      <protection hidden="1"/>
    </xf>
    <xf numFmtId="0" fontId="14" fillId="16" borderId="5" xfId="0" applyFont="1" applyFill="1" applyBorder="1" applyAlignment="1" applyProtection="1">
      <alignment horizontal="right" vertical="center" wrapText="1" indent="1"/>
      <protection hidden="1"/>
    </xf>
    <xf numFmtId="0" fontId="0" fillId="16" borderId="5" xfId="0" applyFill="1" applyBorder="1" applyAlignment="1">
      <alignment horizontal="right" vertical="center" wrapText="1" indent="1"/>
    </xf>
    <xf numFmtId="0" fontId="53" fillId="16" borderId="5" xfId="0" applyFont="1" applyFill="1" applyBorder="1" applyAlignment="1" applyProtection="1">
      <alignment horizontal="left"/>
      <protection hidden="1"/>
    </xf>
    <xf numFmtId="0" fontId="3" fillId="16" borderId="5" xfId="0" applyFont="1" applyFill="1" applyBorder="1" applyAlignment="1" applyProtection="1">
      <alignment horizontal="left" vertical="center"/>
      <protection hidden="1"/>
    </xf>
    <xf numFmtId="0" fontId="10" fillId="16" borderId="5" xfId="0" applyFont="1" applyFill="1" applyBorder="1" applyAlignment="1" applyProtection="1">
      <alignment horizontal="center" vertical="center"/>
      <protection hidden="1"/>
    </xf>
    <xf numFmtId="0" fontId="10" fillId="16" borderId="5" xfId="0" applyFont="1" applyFill="1" applyBorder="1" applyAlignment="1">
      <alignment horizontal="center" vertical="center"/>
    </xf>
    <xf numFmtId="3" fontId="16" fillId="16" borderId="5" xfId="0" applyNumberFormat="1" applyFont="1" applyFill="1" applyBorder="1" applyAlignment="1" applyProtection="1">
      <alignment horizontal="right" vertical="center"/>
      <protection hidden="1"/>
    </xf>
    <xf numFmtId="0" fontId="6" fillId="16" borderId="0" xfId="0" applyFont="1" applyFill="1" applyAlignment="1" applyProtection="1">
      <alignment horizontal="right"/>
      <protection hidden="1"/>
    </xf>
    <xf numFmtId="0" fontId="6" fillId="16" borderId="0" xfId="0" applyFont="1" applyFill="1" applyAlignment="1" applyProtection="1">
      <alignment horizontal="centerContinuous"/>
      <protection hidden="1"/>
    </xf>
    <xf numFmtId="0" fontId="149" fillId="16" borderId="0" xfId="0" applyFont="1" applyFill="1" applyAlignment="1" applyProtection="1">
      <alignment horizontal="centerContinuous"/>
      <protection hidden="1"/>
    </xf>
    <xf numFmtId="0" fontId="149" fillId="16" borderId="21" xfId="0" applyFont="1" applyFill="1" applyBorder="1" applyAlignment="1" applyProtection="1">
      <alignment horizontal="centerContinuous"/>
      <protection hidden="1"/>
    </xf>
    <xf numFmtId="0" fontId="10" fillId="16" borderId="1" xfId="0" applyFont="1" applyFill="1" applyBorder="1" applyAlignment="1" applyProtection="1">
      <alignment horizontal="left"/>
      <protection hidden="1"/>
    </xf>
    <xf numFmtId="0" fontId="3" fillId="16" borderId="1" xfId="0" applyFont="1" applyFill="1" applyBorder="1" applyAlignment="1" applyProtection="1">
      <alignment horizontal="right"/>
      <protection hidden="1"/>
    </xf>
    <xf numFmtId="0" fontId="0" fillId="16" borderId="40" xfId="0" applyFill="1" applyBorder="1" applyProtection="1">
      <protection hidden="1"/>
    </xf>
    <xf numFmtId="0" fontId="0" fillId="16" borderId="55" xfId="0" applyFill="1" applyBorder="1" applyProtection="1">
      <protection hidden="1"/>
    </xf>
    <xf numFmtId="0" fontId="16" fillId="16" borderId="55" xfId="0" applyFont="1" applyFill="1" applyBorder="1" applyAlignment="1" applyProtection="1">
      <alignment horizontal="center"/>
      <protection hidden="1"/>
    </xf>
    <xf numFmtId="0" fontId="16" fillId="16" borderId="12" xfId="0" applyFont="1" applyFill="1" applyBorder="1" applyAlignment="1" applyProtection="1">
      <alignment horizontal="center"/>
      <protection hidden="1"/>
    </xf>
    <xf numFmtId="0" fontId="0" fillId="20" borderId="68" xfId="0" applyFill="1" applyBorder="1" applyProtection="1">
      <protection hidden="1"/>
    </xf>
    <xf numFmtId="0" fontId="0" fillId="24" borderId="40" xfId="0" applyFill="1" applyBorder="1" applyProtection="1">
      <protection hidden="1"/>
    </xf>
    <xf numFmtId="0" fontId="0" fillId="24" borderId="69" xfId="0" applyFill="1" applyBorder="1" applyProtection="1">
      <protection hidden="1"/>
    </xf>
    <xf numFmtId="0" fontId="17" fillId="16" borderId="0" xfId="0" applyFont="1" applyFill="1" applyProtection="1">
      <protection hidden="1"/>
    </xf>
    <xf numFmtId="0" fontId="16" fillId="16" borderId="5" xfId="0" applyFont="1" applyFill="1" applyBorder="1" applyAlignment="1" applyProtection="1">
      <alignment horizontal="center"/>
      <protection hidden="1"/>
    </xf>
    <xf numFmtId="0" fontId="0" fillId="20" borderId="5" xfId="0" applyFill="1" applyBorder="1" applyProtection="1">
      <protection hidden="1"/>
    </xf>
    <xf numFmtId="0" fontId="0" fillId="16" borderId="0" xfId="0" applyFill="1" applyAlignment="1" applyProtection="1">
      <alignment horizontal="centerContinuous" vertical="center"/>
      <protection hidden="1"/>
    </xf>
    <xf numFmtId="0" fontId="0" fillId="16" borderId="21" xfId="0" applyFill="1" applyBorder="1" applyAlignment="1" applyProtection="1">
      <alignment horizontal="centerContinuous" vertical="center"/>
      <protection hidden="1"/>
    </xf>
    <xf numFmtId="0" fontId="0" fillId="16" borderId="6" xfId="0" applyFill="1" applyBorder="1" applyAlignment="1">
      <alignment horizontal="left" wrapText="1"/>
    </xf>
    <xf numFmtId="0" fontId="0" fillId="16" borderId="22" xfId="0" applyFill="1" applyBorder="1" applyAlignment="1">
      <alignment horizontal="left" wrapText="1"/>
    </xf>
    <xf numFmtId="0" fontId="1" fillId="16" borderId="6" xfId="0" applyFont="1" applyFill="1" applyBorder="1" applyAlignment="1" applyProtection="1">
      <alignment horizontal="centerContinuous"/>
      <protection hidden="1"/>
    </xf>
    <xf numFmtId="0" fontId="209" fillId="2" borderId="1" xfId="0" applyFont="1" applyFill="1" applyBorder="1" applyAlignment="1" applyProtection="1">
      <alignment horizontal="left"/>
      <protection hidden="1"/>
    </xf>
    <xf numFmtId="0" fontId="181" fillId="16" borderId="1" xfId="0" applyFont="1" applyFill="1" applyBorder="1" applyAlignment="1" applyProtection="1">
      <alignment horizontal="left" indent="1"/>
      <protection hidden="1"/>
    </xf>
    <xf numFmtId="37" fontId="1" fillId="28" borderId="40" xfId="0" applyNumberFormat="1" applyFont="1" applyFill="1" applyBorder="1" applyProtection="1">
      <protection hidden="1"/>
    </xf>
    <xf numFmtId="0" fontId="53" fillId="16" borderId="1" xfId="0" applyFont="1" applyFill="1" applyBorder="1" applyAlignment="1" applyProtection="1">
      <alignment horizontal="left" vertical="center"/>
      <protection hidden="1"/>
    </xf>
    <xf numFmtId="0" fontId="3" fillId="0" borderId="0" xfId="0" applyFont="1" applyAlignment="1" applyProtection="1">
      <alignment horizontal="right"/>
      <protection hidden="1"/>
    </xf>
    <xf numFmtId="0" fontId="216" fillId="16" borderId="0" xfId="0" applyFont="1" applyFill="1" applyAlignment="1" applyProtection="1">
      <alignment horizontal="left" vertical="center"/>
      <protection hidden="1"/>
    </xf>
    <xf numFmtId="0" fontId="258" fillId="16" borderId="9" xfId="0" applyFont="1" applyFill="1" applyBorder="1" applyAlignment="1" applyProtection="1">
      <alignment horizontal="left" vertical="center"/>
      <protection hidden="1"/>
    </xf>
    <xf numFmtId="0" fontId="0" fillId="16" borderId="13" xfId="0" applyFill="1" applyBorder="1" applyProtection="1">
      <protection locked="0"/>
    </xf>
    <xf numFmtId="0" fontId="0" fillId="0" borderId="31" xfId="0" applyBorder="1" applyProtection="1">
      <protection hidden="1"/>
    </xf>
    <xf numFmtId="0" fontId="0" fillId="0" borderId="15" xfId="0" applyBorder="1" applyProtection="1">
      <protection hidden="1"/>
    </xf>
    <xf numFmtId="0" fontId="0" fillId="0" borderId="3" xfId="0" applyBorder="1" applyProtection="1">
      <protection hidden="1"/>
    </xf>
    <xf numFmtId="0" fontId="0" fillId="0" borderId="25" xfId="0" applyBorder="1" applyProtection="1">
      <protection hidden="1"/>
    </xf>
    <xf numFmtId="0" fontId="0" fillId="0" borderId="10" xfId="0" applyBorder="1" applyProtection="1">
      <protection hidden="1"/>
    </xf>
    <xf numFmtId="0" fontId="0" fillId="0" borderId="12" xfId="0" applyBorder="1" applyProtection="1">
      <protection hidden="1"/>
    </xf>
    <xf numFmtId="37" fontId="0" fillId="16" borderId="13" xfId="0" applyNumberFormat="1" applyFill="1" applyBorder="1" applyProtection="1">
      <protection locked="0"/>
    </xf>
    <xf numFmtId="37" fontId="1" fillId="28" borderId="26" xfId="0" applyNumberFormat="1" applyFont="1" applyFill="1" applyBorder="1" applyAlignment="1" applyProtection="1">
      <alignment horizontal="center"/>
      <protection hidden="1"/>
    </xf>
    <xf numFmtId="37" fontId="16" fillId="28" borderId="1" xfId="0" applyNumberFormat="1" applyFont="1" applyFill="1" applyBorder="1" applyAlignment="1" applyProtection="1">
      <alignment horizontal="right" vertical="center"/>
      <protection hidden="1"/>
    </xf>
    <xf numFmtId="37" fontId="16" fillId="28" borderId="12" xfId="0" applyNumberFormat="1" applyFont="1" applyFill="1" applyBorder="1" applyAlignment="1" applyProtection="1">
      <alignment horizontal="right" vertical="center"/>
      <protection hidden="1"/>
    </xf>
    <xf numFmtId="37" fontId="16" fillId="28" borderId="10" xfId="0" applyNumberFormat="1" applyFont="1" applyFill="1" applyBorder="1" applyAlignment="1" applyProtection="1">
      <alignment horizontal="left" vertical="center"/>
      <protection hidden="1"/>
    </xf>
    <xf numFmtId="37" fontId="16" fillId="28" borderId="40" xfId="0" applyNumberFormat="1" applyFont="1" applyFill="1" applyBorder="1" applyAlignment="1" applyProtection="1">
      <alignment horizontal="right" vertical="center"/>
      <protection hidden="1"/>
    </xf>
    <xf numFmtId="37" fontId="16" fillId="28" borderId="26" xfId="0" applyNumberFormat="1" applyFont="1" applyFill="1" applyBorder="1" applyAlignment="1" applyProtection="1">
      <alignment horizontal="right" vertical="center"/>
      <protection hidden="1"/>
    </xf>
    <xf numFmtId="3" fontId="0" fillId="0" borderId="0" xfId="0" applyNumberFormat="1" applyProtection="1">
      <protection hidden="1"/>
    </xf>
    <xf numFmtId="4" fontId="168" fillId="16" borderId="0" xfId="0" applyNumberFormat="1" applyFont="1" applyFill="1" applyAlignment="1" applyProtection="1">
      <alignment horizontal="right" vertical="center"/>
      <protection hidden="1"/>
    </xf>
    <xf numFmtId="4" fontId="1" fillId="5" borderId="0" xfId="0" applyNumberFormat="1" applyFont="1" applyFill="1" applyAlignment="1" applyProtection="1">
      <alignment horizontal="center" vertical="center"/>
      <protection locked="0"/>
    </xf>
    <xf numFmtId="3" fontId="1" fillId="16" borderId="2" xfId="0" applyNumberFormat="1" applyFont="1" applyFill="1" applyBorder="1" applyAlignment="1" applyProtection="1">
      <alignment horizontal="center" vertical="center"/>
      <protection locked="0"/>
    </xf>
    <xf numFmtId="0" fontId="259" fillId="16" borderId="0" xfId="0" applyFont="1" applyFill="1" applyAlignment="1" applyProtection="1">
      <alignment vertical="center"/>
      <protection hidden="1"/>
    </xf>
    <xf numFmtId="3" fontId="7" fillId="29" borderId="11" xfId="0" applyNumberFormat="1" applyFont="1" applyFill="1" applyBorder="1" applyProtection="1">
      <protection hidden="1"/>
    </xf>
    <xf numFmtId="0" fontId="21" fillId="3" borderId="0" xfId="0" applyFont="1" applyFill="1" applyAlignment="1" applyProtection="1">
      <alignment horizontal="center"/>
      <protection hidden="1"/>
    </xf>
    <xf numFmtId="0" fontId="145" fillId="16" borderId="0" xfId="0" applyFont="1" applyFill="1" applyAlignment="1" applyProtection="1">
      <alignment horizontal="right" vertical="center"/>
      <protection hidden="1"/>
    </xf>
    <xf numFmtId="0" fontId="140" fillId="16" borderId="0" xfId="0" applyFont="1" applyFill="1" applyAlignment="1" applyProtection="1">
      <alignment horizontal="right" vertical="center"/>
      <protection hidden="1"/>
    </xf>
    <xf numFmtId="0" fontId="168" fillId="16" borderId="0" xfId="0" applyFont="1" applyFill="1" applyAlignment="1" applyProtection="1">
      <alignment horizontal="center" vertical="center"/>
      <protection hidden="1"/>
    </xf>
    <xf numFmtId="0" fontId="0" fillId="38" borderId="15" xfId="0" applyFill="1" applyBorder="1" applyProtection="1">
      <protection hidden="1"/>
    </xf>
    <xf numFmtId="0" fontId="1" fillId="38" borderId="0" xfId="0" applyFont="1" applyFill="1" applyAlignment="1" applyProtection="1">
      <alignment horizontal="center"/>
      <protection hidden="1"/>
    </xf>
    <xf numFmtId="0" fontId="1" fillId="38" borderId="25" xfId="0" applyFont="1" applyFill="1" applyBorder="1" applyProtection="1">
      <protection hidden="1"/>
    </xf>
    <xf numFmtId="0" fontId="1" fillId="38" borderId="25" xfId="0" applyFont="1" applyFill="1" applyBorder="1" applyAlignment="1" applyProtection="1">
      <alignment horizontal="center"/>
      <protection hidden="1"/>
    </xf>
    <xf numFmtId="0" fontId="0" fillId="38" borderId="0" xfId="0" applyFill="1" applyProtection="1">
      <protection hidden="1"/>
    </xf>
    <xf numFmtId="0" fontId="1" fillId="38" borderId="15" xfId="0" applyFont="1" applyFill="1" applyBorder="1" applyProtection="1">
      <protection hidden="1"/>
    </xf>
    <xf numFmtId="0" fontId="1" fillId="38" borderId="15" xfId="0" applyFont="1" applyFill="1" applyBorder="1" applyAlignment="1" applyProtection="1">
      <alignment horizontal="center"/>
      <protection hidden="1"/>
    </xf>
    <xf numFmtId="0" fontId="0" fillId="38" borderId="1" xfId="0" applyFill="1" applyBorder="1" applyProtection="1">
      <protection hidden="1"/>
    </xf>
    <xf numFmtId="3" fontId="7" fillId="15" borderId="7" xfId="0" applyNumberFormat="1" applyFont="1" applyFill="1" applyBorder="1" applyProtection="1">
      <protection hidden="1"/>
    </xf>
    <xf numFmtId="0" fontId="0" fillId="5" borderId="16" xfId="0" applyFill="1" applyBorder="1" applyAlignment="1">
      <alignment horizontal="center"/>
    </xf>
    <xf numFmtId="0" fontId="1" fillId="39" borderId="7" xfId="0" applyFont="1" applyFill="1" applyBorder="1" applyProtection="1">
      <protection hidden="1"/>
    </xf>
    <xf numFmtId="0" fontId="1" fillId="39" borderId="7" xfId="0" applyFont="1" applyFill="1" applyBorder="1" applyAlignment="1" applyProtection="1">
      <alignment horizontal="center"/>
      <protection hidden="1"/>
    </xf>
    <xf numFmtId="0" fontId="140" fillId="16" borderId="3" xfId="0" applyFont="1" applyFill="1" applyBorder="1" applyAlignment="1">
      <alignment horizontal="right" vertical="center" wrapText="1"/>
    </xf>
    <xf numFmtId="3" fontId="7" fillId="27" borderId="10" xfId="0" applyNumberFormat="1" applyFont="1" applyFill="1" applyBorder="1" applyProtection="1">
      <protection hidden="1"/>
    </xf>
    <xf numFmtId="0" fontId="8" fillId="15" borderId="0" xfId="0" applyFont="1" applyFill="1" applyProtection="1">
      <protection locked="0"/>
    </xf>
    <xf numFmtId="0" fontId="0" fillId="15" borderId="0" xfId="0" applyFill="1" applyProtection="1">
      <protection locked="0"/>
    </xf>
    <xf numFmtId="49" fontId="8" fillId="15" borderId="0" xfId="1" applyNumberFormat="1" applyFont="1" applyFill="1" applyProtection="1">
      <protection locked="0"/>
    </xf>
    <xf numFmtId="3" fontId="7" fillId="15" borderId="16" xfId="0" applyNumberFormat="1" applyFont="1" applyFill="1" applyBorder="1" applyProtection="1">
      <protection hidden="1"/>
    </xf>
    <xf numFmtId="3" fontId="144" fillId="3" borderId="0" xfId="0" applyNumberFormat="1" applyFont="1" applyFill="1" applyProtection="1">
      <protection hidden="1"/>
    </xf>
    <xf numFmtId="175" fontId="144" fillId="3" borderId="0" xfId="0" applyNumberFormat="1" applyFont="1" applyFill="1" applyProtection="1">
      <protection hidden="1"/>
    </xf>
    <xf numFmtId="0" fontId="0" fillId="5" borderId="7" xfId="0" applyFill="1" applyBorder="1" applyAlignment="1">
      <alignment horizontal="center"/>
    </xf>
    <xf numFmtId="0" fontId="8" fillId="15" borderId="0" xfId="0" applyFont="1" applyFill="1" applyAlignment="1" applyProtection="1">
      <alignment vertical="top" wrapText="1"/>
      <protection hidden="1"/>
    </xf>
    <xf numFmtId="0" fontId="8" fillId="16" borderId="0" xfId="0" applyFont="1" applyFill="1" applyAlignment="1">
      <alignment vertical="top" wrapText="1"/>
    </xf>
    <xf numFmtId="0" fontId="0" fillId="21" borderId="92" xfId="0" applyFill="1" applyBorder="1" applyProtection="1">
      <protection locked="0"/>
    </xf>
    <xf numFmtId="3" fontId="7" fillId="39" borderId="10" xfId="0" applyNumberFormat="1" applyFont="1" applyFill="1" applyBorder="1" applyProtection="1">
      <protection hidden="1"/>
    </xf>
    <xf numFmtId="0" fontId="1" fillId="3" borderId="0" xfId="0" applyFont="1" applyFill="1" applyAlignment="1" applyProtection="1">
      <alignment vertical="center"/>
      <protection hidden="1"/>
    </xf>
    <xf numFmtId="0" fontId="1" fillId="39" borderId="3" xfId="0" applyFont="1" applyFill="1" applyBorder="1" applyProtection="1">
      <protection hidden="1"/>
    </xf>
    <xf numFmtId="0" fontId="140" fillId="3" borderId="5" xfId="0" applyFont="1" applyFill="1" applyBorder="1" applyAlignment="1" applyProtection="1">
      <alignment vertical="center"/>
      <protection hidden="1"/>
    </xf>
    <xf numFmtId="0" fontId="1" fillId="39" borderId="70" xfId="0" applyFont="1" applyFill="1" applyBorder="1" applyProtection="1">
      <protection hidden="1"/>
    </xf>
    <xf numFmtId="0" fontId="21" fillId="3" borderId="0" xfId="0" applyFont="1" applyFill="1" applyAlignment="1" applyProtection="1">
      <alignment wrapText="1"/>
      <protection hidden="1"/>
    </xf>
    <xf numFmtId="0" fontId="253" fillId="3" borderId="6" xfId="0" applyFont="1" applyFill="1" applyBorder="1" applyProtection="1">
      <protection hidden="1"/>
    </xf>
    <xf numFmtId="0" fontId="253" fillId="3" borderId="0" xfId="0" applyFont="1" applyFill="1" applyProtection="1">
      <protection hidden="1"/>
    </xf>
    <xf numFmtId="0" fontId="8" fillId="2" borderId="22" xfId="0" applyFont="1" applyFill="1" applyBorder="1" applyAlignment="1" applyProtection="1">
      <alignment horizontal="left" vertical="center"/>
      <protection hidden="1"/>
    </xf>
    <xf numFmtId="0" fontId="11" fillId="15" borderId="0" xfId="0" applyFont="1" applyFill="1" applyProtection="1">
      <protection hidden="1"/>
    </xf>
    <xf numFmtId="0" fontId="11" fillId="15" borderId="21" xfId="0" applyFont="1" applyFill="1" applyBorder="1" applyProtection="1">
      <protection hidden="1"/>
    </xf>
    <xf numFmtId="0" fontId="253" fillId="2" borderId="0" xfId="0" applyFont="1" applyFill="1" applyProtection="1">
      <protection hidden="1"/>
    </xf>
    <xf numFmtId="0" fontId="253" fillId="15" borderId="6" xfId="0" applyFont="1" applyFill="1" applyBorder="1" applyAlignment="1" applyProtection="1">
      <alignment horizontal="center" vertical="center"/>
      <protection hidden="1"/>
    </xf>
    <xf numFmtId="0" fontId="0" fillId="5" borderId="3" xfId="0" applyFill="1" applyBorder="1"/>
    <xf numFmtId="0" fontId="0" fillId="5" borderId="25" xfId="0" applyFill="1" applyBorder="1"/>
    <xf numFmtId="4" fontId="0" fillId="3" borderId="5" xfId="0" applyNumberFormat="1" applyFill="1" applyBorder="1" applyProtection="1">
      <protection hidden="1"/>
    </xf>
    <xf numFmtId="4" fontId="0" fillId="3" borderId="10" xfId="0" applyNumberFormat="1" applyFill="1" applyBorder="1" applyProtection="1">
      <protection hidden="1"/>
    </xf>
    <xf numFmtId="4" fontId="4" fillId="3" borderId="1" xfId="0" applyNumberFormat="1" applyFont="1" applyFill="1" applyBorder="1" applyAlignment="1" applyProtection="1">
      <alignment horizontal="center"/>
      <protection hidden="1"/>
    </xf>
    <xf numFmtId="184" fontId="209" fillId="3" borderId="0" xfId="0" applyNumberFormat="1" applyFont="1" applyFill="1" applyAlignment="1" applyProtection="1">
      <alignment horizontal="left" vertical="center"/>
      <protection hidden="1"/>
    </xf>
    <xf numFmtId="0" fontId="215" fillId="3" borderId="0" xfId="0" applyFont="1" applyFill="1" applyAlignment="1" applyProtection="1">
      <alignment horizontal="right" indent="1"/>
      <protection hidden="1"/>
    </xf>
    <xf numFmtId="0" fontId="209" fillId="3" borderId="0" xfId="0" applyFont="1" applyFill="1" applyAlignment="1" applyProtection="1">
      <alignment horizontal="left" indent="1"/>
      <protection hidden="1"/>
    </xf>
    <xf numFmtId="0" fontId="3" fillId="15" borderId="0" xfId="0" applyFont="1" applyFill="1" applyProtection="1">
      <protection hidden="1"/>
    </xf>
    <xf numFmtId="0" fontId="181" fillId="2" borderId="0" xfId="0" applyFont="1" applyFill="1" applyAlignment="1" applyProtection="1">
      <alignment horizontal="left" indent="1"/>
      <protection hidden="1"/>
    </xf>
    <xf numFmtId="0" fontId="181" fillId="2" borderId="0" xfId="0" applyFont="1" applyFill="1" applyAlignment="1" applyProtection="1">
      <alignment horizontal="right"/>
      <protection hidden="1"/>
    </xf>
    <xf numFmtId="0" fontId="1" fillId="2" borderId="0" xfId="0" applyFont="1" applyFill="1" applyAlignment="1" applyProtection="1">
      <alignment horizontal="right" vertical="top"/>
      <protection hidden="1"/>
    </xf>
    <xf numFmtId="0" fontId="0" fillId="2" borderId="0" xfId="0" applyFill="1" applyProtection="1">
      <protection locked="0"/>
    </xf>
    <xf numFmtId="0" fontId="5" fillId="2" borderId="0" xfId="0" applyFont="1" applyFill="1" applyAlignment="1" applyProtection="1">
      <alignment horizontal="right" indent="2"/>
      <protection hidden="1"/>
    </xf>
    <xf numFmtId="0" fontId="181" fillId="16" borderId="6" xfId="0" applyFont="1" applyFill="1" applyBorder="1" applyAlignment="1" applyProtection="1">
      <alignment vertical="center"/>
      <protection hidden="1"/>
    </xf>
    <xf numFmtId="0" fontId="181" fillId="16" borderId="0" xfId="0" applyFont="1" applyFill="1" applyAlignment="1" applyProtection="1">
      <alignment horizontal="right"/>
      <protection hidden="1"/>
    </xf>
    <xf numFmtId="39" fontId="9" fillId="15" borderId="0" xfId="0" applyNumberFormat="1" applyFont="1" applyFill="1" applyAlignment="1" applyProtection="1">
      <alignment horizontal="center"/>
      <protection hidden="1"/>
    </xf>
    <xf numFmtId="39" fontId="148" fillId="15" borderId="0" xfId="0" applyNumberFormat="1" applyFont="1" applyFill="1" applyProtection="1">
      <protection hidden="1"/>
    </xf>
    <xf numFmtId="0" fontId="150" fillId="16" borderId="0" xfId="0" applyFont="1" applyFill="1"/>
    <xf numFmtId="0" fontId="181" fillId="16" borderId="0" xfId="0" applyFont="1" applyFill="1" applyAlignment="1" applyProtection="1">
      <alignment horizontal="right" vertical="top"/>
      <protection hidden="1"/>
    </xf>
    <xf numFmtId="0" fontId="1" fillId="20" borderId="10" xfId="0" applyFont="1" applyFill="1" applyBorder="1" applyAlignment="1" applyProtection="1">
      <alignment horizontal="center"/>
      <protection hidden="1"/>
    </xf>
    <xf numFmtId="0" fontId="140" fillId="2" borderId="0" xfId="0" applyFont="1" applyFill="1" applyAlignment="1" applyProtection="1">
      <alignment horizontal="center"/>
      <protection hidden="1"/>
    </xf>
    <xf numFmtId="0" fontId="1" fillId="17" borderId="13" xfId="0" applyFont="1" applyFill="1" applyBorder="1" applyAlignment="1" applyProtection="1">
      <alignment horizontal="center" vertical="center" wrapText="1"/>
      <protection locked="0"/>
    </xf>
    <xf numFmtId="0" fontId="1" fillId="16" borderId="2" xfId="0" applyFont="1" applyFill="1" applyBorder="1" applyAlignment="1" applyProtection="1">
      <alignment horizontal="center" vertical="center"/>
      <protection locked="0"/>
    </xf>
    <xf numFmtId="14" fontId="3" fillId="25" borderId="0" xfId="0" applyNumberFormat="1" applyFont="1" applyFill="1" applyProtection="1">
      <protection locked="0"/>
    </xf>
    <xf numFmtId="0" fontId="1" fillId="40" borderId="13" xfId="0" applyFont="1" applyFill="1" applyBorder="1" applyAlignment="1" applyProtection="1">
      <alignment horizontal="center" vertical="center"/>
      <protection locked="0"/>
    </xf>
    <xf numFmtId="0" fontId="6" fillId="16" borderId="8" xfId="0" applyFont="1" applyFill="1" applyBorder="1" applyAlignment="1" applyProtection="1">
      <alignment horizontal="right"/>
      <protection hidden="1"/>
    </xf>
    <xf numFmtId="0" fontId="6" fillId="16" borderId="8" xfId="0" applyFont="1" applyFill="1" applyBorder="1" applyAlignment="1" applyProtection="1">
      <alignment horizontal="left"/>
      <protection hidden="1"/>
    </xf>
    <xf numFmtId="0" fontId="11" fillId="2" borderId="13" xfId="0" applyFont="1" applyFill="1" applyBorder="1" applyAlignment="1" applyProtection="1">
      <alignment horizontal="center" vertical="center" wrapText="1"/>
      <protection hidden="1"/>
    </xf>
    <xf numFmtId="0" fontId="8" fillId="19" borderId="35" xfId="0" applyFont="1" applyFill="1" applyBorder="1" applyAlignment="1" applyProtection="1">
      <alignment horizontal="left"/>
      <protection hidden="1"/>
    </xf>
    <xf numFmtId="0" fontId="8" fillId="19" borderId="1" xfId="0" applyFont="1" applyFill="1" applyBorder="1" applyAlignment="1" applyProtection="1">
      <alignment horizontal="left"/>
      <protection hidden="1"/>
    </xf>
    <xf numFmtId="0" fontId="8" fillId="19" borderId="10" xfId="0" applyFont="1" applyFill="1" applyBorder="1" applyAlignment="1">
      <alignment horizontal="left" vertical="top" wrapText="1"/>
    </xf>
    <xf numFmtId="0" fontId="134" fillId="2" borderId="0" xfId="0" applyFont="1" applyFill="1" applyAlignment="1" applyProtection="1">
      <alignment horizontal="left"/>
      <protection hidden="1"/>
    </xf>
    <xf numFmtId="0" fontId="8" fillId="19" borderId="9" xfId="0" applyFont="1" applyFill="1" applyBorder="1" applyAlignment="1" applyProtection="1">
      <alignment horizontal="centerContinuous" vertical="center"/>
      <protection hidden="1"/>
    </xf>
    <xf numFmtId="0" fontId="8" fillId="19" borderId="1" xfId="0" applyFont="1" applyFill="1" applyBorder="1" applyAlignment="1" applyProtection="1">
      <alignment horizontal="centerContinuous" vertical="center"/>
      <protection hidden="1"/>
    </xf>
    <xf numFmtId="0" fontId="5" fillId="19" borderId="10" xfId="0" applyFont="1" applyFill="1" applyBorder="1" applyAlignment="1" applyProtection="1">
      <alignment horizontal="left" vertical="top" indent="1"/>
      <protection hidden="1"/>
    </xf>
    <xf numFmtId="0" fontId="5" fillId="19" borderId="31" xfId="0" applyFont="1" applyFill="1" applyBorder="1" applyAlignment="1" applyProtection="1">
      <alignment horizontal="left" indent="1"/>
      <protection hidden="1"/>
    </xf>
    <xf numFmtId="0" fontId="143" fillId="2" borderId="0" xfId="0" applyFont="1" applyFill="1" applyAlignment="1" applyProtection="1">
      <alignment horizontal="left" vertical="center"/>
      <protection hidden="1"/>
    </xf>
    <xf numFmtId="0" fontId="1" fillId="2" borderId="0" xfId="0" applyFont="1" applyFill="1" applyAlignment="1" applyProtection="1">
      <alignment horizontal="center" vertical="center"/>
      <protection hidden="1"/>
    </xf>
    <xf numFmtId="0" fontId="261" fillId="2" borderId="0" xfId="0" applyFont="1" applyFill="1" applyAlignment="1" applyProtection="1">
      <alignment horizontal="center" vertical="center"/>
      <protection hidden="1"/>
    </xf>
    <xf numFmtId="1" fontId="1" fillId="19" borderId="11" xfId="0" applyNumberFormat="1" applyFont="1" applyFill="1" applyBorder="1" applyAlignment="1" applyProtection="1">
      <alignment horizontal="center" vertical="center"/>
      <protection hidden="1"/>
    </xf>
    <xf numFmtId="0" fontId="1" fillId="19" borderId="7" xfId="0" applyFont="1" applyFill="1" applyBorder="1" applyAlignment="1" applyProtection="1">
      <alignment horizontal="center"/>
      <protection hidden="1"/>
    </xf>
    <xf numFmtId="0" fontId="5" fillId="19" borderId="0" xfId="0" applyFont="1" applyFill="1" applyAlignment="1" applyProtection="1">
      <alignment horizontal="left"/>
      <protection hidden="1"/>
    </xf>
    <xf numFmtId="0" fontId="8" fillId="19" borderId="0" xfId="0" applyFont="1" applyFill="1" applyAlignment="1" applyProtection="1">
      <alignment horizontal="right"/>
      <protection hidden="1"/>
    </xf>
    <xf numFmtId="0" fontId="8" fillId="19" borderId="0" xfId="0" applyFont="1" applyFill="1" applyAlignment="1" applyProtection="1">
      <alignment horizontal="left" indent="1"/>
      <protection hidden="1"/>
    </xf>
    <xf numFmtId="0" fontId="8" fillId="19" borderId="0" xfId="0" applyFont="1" applyFill="1" applyAlignment="1" applyProtection="1">
      <alignment horizontal="left" vertical="top"/>
      <protection hidden="1"/>
    </xf>
    <xf numFmtId="195" fontId="34" fillId="2" borderId="11" xfId="0" applyNumberFormat="1" applyFont="1" applyFill="1" applyBorder="1" applyProtection="1">
      <protection locked="0"/>
    </xf>
    <xf numFmtId="166" fontId="1" fillId="19" borderId="25" xfId="0" applyNumberFormat="1" applyFont="1" applyFill="1" applyBorder="1" applyAlignment="1" applyProtection="1">
      <alignment horizontal="right"/>
      <protection locked="0"/>
    </xf>
    <xf numFmtId="166" fontId="1" fillId="19" borderId="71" xfId="0" applyNumberFormat="1" applyFont="1" applyFill="1" applyBorder="1" applyAlignment="1" applyProtection="1">
      <alignment horizontal="right" indent="1"/>
      <protection locked="0"/>
    </xf>
    <xf numFmtId="167" fontId="46" fillId="19" borderId="25" xfId="0" applyNumberFormat="1" applyFont="1" applyFill="1" applyBorder="1" applyAlignment="1" applyProtection="1">
      <alignment horizontal="right" vertical="center"/>
      <protection hidden="1"/>
    </xf>
    <xf numFmtId="0" fontId="1" fillId="17" borderId="175" xfId="0" applyFont="1" applyFill="1" applyBorder="1" applyAlignment="1" applyProtection="1">
      <alignment horizontal="center" vertical="center"/>
      <protection locked="0"/>
    </xf>
    <xf numFmtId="0" fontId="262" fillId="16" borderId="0" xfId="0" applyFont="1" applyFill="1" applyAlignment="1" applyProtection="1">
      <alignment horizontal="centerContinuous" vertical="center"/>
      <protection hidden="1"/>
    </xf>
    <xf numFmtId="3" fontId="34" fillId="16" borderId="0" xfId="0" applyNumberFormat="1" applyFont="1" applyFill="1" applyAlignment="1" applyProtection="1">
      <alignment horizontal="center"/>
      <protection hidden="1"/>
    </xf>
    <xf numFmtId="0" fontId="144" fillId="16" borderId="24" xfId="0" applyFont="1" applyFill="1" applyBorder="1" applyAlignment="1" applyProtection="1">
      <alignment horizontal="center" vertical="center"/>
      <protection hidden="1"/>
    </xf>
    <xf numFmtId="37" fontId="34" fillId="2" borderId="25" xfId="0" applyNumberFormat="1" applyFont="1" applyFill="1" applyBorder="1" applyProtection="1">
      <protection locked="0"/>
    </xf>
    <xf numFmtId="37" fontId="34" fillId="2" borderId="2" xfId="0" applyNumberFormat="1" applyFont="1" applyFill="1" applyBorder="1" applyProtection="1">
      <protection locked="0"/>
    </xf>
    <xf numFmtId="0" fontId="19" fillId="16" borderId="85" xfId="0" applyFont="1" applyFill="1" applyBorder="1" applyAlignment="1" applyProtection="1">
      <alignment horizontal="center"/>
      <protection hidden="1"/>
    </xf>
    <xf numFmtId="37" fontId="1" fillId="17" borderId="2" xfId="0" applyNumberFormat="1" applyFont="1" applyFill="1" applyBorder="1" applyProtection="1">
      <protection locked="0"/>
    </xf>
    <xf numFmtId="0" fontId="1" fillId="19" borderId="0" xfId="0" applyFont="1" applyFill="1" applyAlignment="1" applyProtection="1">
      <alignment horizontal="right" indent="1"/>
      <protection hidden="1"/>
    </xf>
    <xf numFmtId="164" fontId="10" fillId="2" borderId="0" xfId="0" applyNumberFormat="1" applyFont="1" applyFill="1" applyProtection="1">
      <protection hidden="1"/>
    </xf>
    <xf numFmtId="0" fontId="24" fillId="2" borderId="8" xfId="0" applyFont="1" applyFill="1" applyBorder="1" applyAlignment="1" applyProtection="1">
      <alignment horizontal="right"/>
      <protection hidden="1"/>
    </xf>
    <xf numFmtId="0" fontId="3" fillId="19" borderId="1" xfId="0" applyFont="1" applyFill="1" applyBorder="1" applyAlignment="1" applyProtection="1">
      <alignment horizontal="right" vertical="top"/>
      <protection hidden="1"/>
    </xf>
    <xf numFmtId="0" fontId="184" fillId="0" borderId="0" xfId="0" applyFont="1" applyAlignment="1">
      <alignment vertical="center"/>
    </xf>
    <xf numFmtId="0" fontId="148" fillId="2" borderId="0" xfId="0" applyFont="1" applyFill="1" applyAlignment="1" applyProtection="1">
      <alignment horizontal="left" indent="1"/>
      <protection hidden="1"/>
    </xf>
    <xf numFmtId="0" fontId="16" fillId="2" borderId="0" xfId="0" applyFont="1" applyFill="1" applyAlignment="1" applyProtection="1">
      <alignment horizontal="center" vertical="center"/>
      <protection locked="0"/>
    </xf>
    <xf numFmtId="0" fontId="101" fillId="2" borderId="0" xfId="0" applyFont="1" applyFill="1" applyProtection="1">
      <protection hidden="1"/>
    </xf>
    <xf numFmtId="0" fontId="100" fillId="2" borderId="0" xfId="0" applyFont="1" applyFill="1" applyAlignment="1" applyProtection="1">
      <alignment horizontal="right"/>
      <protection hidden="1"/>
    </xf>
    <xf numFmtId="0" fontId="181" fillId="2" borderId="21" xfId="0" applyFont="1" applyFill="1" applyBorder="1"/>
    <xf numFmtId="0" fontId="86" fillId="2" borderId="0" xfId="0" applyFont="1" applyFill="1" applyAlignment="1" applyProtection="1">
      <alignment horizontal="center"/>
      <protection hidden="1"/>
    </xf>
    <xf numFmtId="0" fontId="11" fillId="2" borderId="16" xfId="0" applyFont="1" applyFill="1" applyBorder="1" applyAlignment="1" applyProtection="1">
      <alignment horizontal="center" vertical="center" wrapText="1"/>
      <protection locked="0"/>
    </xf>
    <xf numFmtId="0" fontId="1" fillId="2" borderId="40" xfId="0" applyFont="1" applyFill="1" applyBorder="1" applyAlignment="1" applyProtection="1">
      <alignment horizontal="left" vertical="center"/>
      <protection hidden="1"/>
    </xf>
    <xf numFmtId="0" fontId="148" fillId="2" borderId="26" xfId="0" applyFont="1" applyFill="1" applyBorder="1" applyAlignment="1" applyProtection="1">
      <alignment horizontal="left" vertical="top"/>
      <protection hidden="1"/>
    </xf>
    <xf numFmtId="0" fontId="198" fillId="16" borderId="26" xfId="0" applyFont="1" applyFill="1" applyBorder="1" applyAlignment="1" applyProtection="1">
      <alignment vertical="center"/>
      <protection hidden="1"/>
    </xf>
    <xf numFmtId="0" fontId="86" fillId="2" borderId="0" xfId="0" applyFont="1" applyFill="1" applyAlignment="1" applyProtection="1">
      <alignment horizontal="left"/>
      <protection hidden="1"/>
    </xf>
    <xf numFmtId="0" fontId="140" fillId="16" borderId="0" xfId="0" applyFont="1" applyFill="1" applyAlignment="1" applyProtection="1">
      <alignment horizontal="center" vertical="center"/>
      <protection hidden="1"/>
    </xf>
    <xf numFmtId="183" fontId="3" fillId="16" borderId="0" xfId="0" applyNumberFormat="1" applyFont="1" applyFill="1" applyAlignment="1" applyProtection="1">
      <alignment horizontal="center"/>
      <protection hidden="1"/>
    </xf>
    <xf numFmtId="0" fontId="0" fillId="16" borderId="0" xfId="0" applyFill="1" applyAlignment="1">
      <alignment wrapText="1"/>
    </xf>
    <xf numFmtId="0" fontId="181" fillId="16" borderId="0" xfId="0" applyFont="1" applyFill="1" applyAlignment="1" applyProtection="1">
      <alignment horizontal="left"/>
      <protection hidden="1"/>
    </xf>
    <xf numFmtId="0" fontId="184" fillId="5" borderId="0" xfId="0" applyFont="1" applyFill="1" applyAlignment="1" applyProtection="1">
      <alignment horizontal="center"/>
      <protection hidden="1"/>
    </xf>
    <xf numFmtId="0" fontId="137" fillId="5" borderId="0" xfId="0" applyFont="1" applyFill="1" applyAlignment="1" applyProtection="1">
      <alignment horizontal="center" vertical="center" wrapText="1"/>
      <protection hidden="1"/>
    </xf>
    <xf numFmtId="4" fontId="1" fillId="3" borderId="25" xfId="0" applyNumberFormat="1" applyFont="1" applyFill="1" applyBorder="1" applyAlignment="1" applyProtection="1">
      <alignment horizontal="right" indent="1"/>
      <protection hidden="1"/>
    </xf>
    <xf numFmtId="0" fontId="209" fillId="2" borderId="0" xfId="0" applyFont="1" applyFill="1" applyProtection="1">
      <protection hidden="1"/>
    </xf>
    <xf numFmtId="4" fontId="3" fillId="0" borderId="0" xfId="0" applyNumberFormat="1" applyFont="1" applyProtection="1">
      <protection hidden="1"/>
    </xf>
    <xf numFmtId="0" fontId="3" fillId="0" borderId="0" xfId="0" applyFont="1" applyAlignment="1" applyProtection="1">
      <alignment horizontal="center" vertical="top"/>
      <protection hidden="1"/>
    </xf>
    <xf numFmtId="4" fontId="1" fillId="3" borderId="25" xfId="0" applyNumberFormat="1" applyFont="1" applyFill="1" applyBorder="1" applyAlignment="1" applyProtection="1">
      <alignment horizontal="right" vertical="center" indent="2"/>
      <protection hidden="1"/>
    </xf>
    <xf numFmtId="37" fontId="3" fillId="0" borderId="1" xfId="0" applyNumberFormat="1" applyFont="1" applyBorder="1" applyProtection="1">
      <protection hidden="1"/>
    </xf>
    <xf numFmtId="0" fontId="3" fillId="0" borderId="0" xfId="0" applyFont="1" applyAlignment="1">
      <alignment horizontal="right"/>
    </xf>
    <xf numFmtId="0" fontId="3" fillId="0" borderId="0" xfId="0" applyFont="1" applyAlignment="1">
      <alignment horizontal="left"/>
    </xf>
    <xf numFmtId="0" fontId="26" fillId="0" borderId="0" xfId="0" applyFont="1" applyAlignment="1">
      <alignment horizontal="center"/>
    </xf>
    <xf numFmtId="37" fontId="5" fillId="3" borderId="0" xfId="0" applyNumberFormat="1" applyFont="1" applyFill="1" applyAlignment="1" applyProtection="1">
      <alignment horizontal="right"/>
      <protection locked="0"/>
    </xf>
    <xf numFmtId="0" fontId="1" fillId="3" borderId="7" xfId="0" applyFont="1" applyFill="1" applyBorder="1" applyAlignment="1" applyProtection="1">
      <alignment horizontal="right"/>
      <protection hidden="1"/>
    </xf>
    <xf numFmtId="0" fontId="181" fillId="2" borderId="0" xfId="0" applyFont="1" applyFill="1" applyAlignment="1" applyProtection="1">
      <alignment horizontal="right" indent="2"/>
      <protection hidden="1"/>
    </xf>
    <xf numFmtId="37" fontId="245" fillId="3" borderId="31" xfId="0" applyNumberFormat="1" applyFont="1" applyFill="1" applyBorder="1" applyAlignment="1" applyProtection="1">
      <alignment horizontal="right"/>
      <protection hidden="1"/>
    </xf>
    <xf numFmtId="37" fontId="245" fillId="3" borderId="3" xfId="0" applyNumberFormat="1" applyFont="1" applyFill="1" applyBorder="1" applyAlignment="1" applyProtection="1">
      <alignment horizontal="right"/>
      <protection hidden="1"/>
    </xf>
    <xf numFmtId="0" fontId="245" fillId="0" borderId="0" xfId="0" applyFont="1" applyAlignment="1" applyProtection="1">
      <alignment horizontal="center"/>
      <protection hidden="1"/>
    </xf>
    <xf numFmtId="37" fontId="140" fillId="3" borderId="21" xfId="0" applyNumberFormat="1" applyFont="1" applyFill="1" applyBorder="1" applyAlignment="1" applyProtection="1">
      <alignment horizontal="center"/>
      <protection hidden="1"/>
    </xf>
    <xf numFmtId="0" fontId="39" fillId="3" borderId="0" xfId="0" applyFont="1" applyFill="1" applyAlignment="1" applyProtection="1">
      <alignment horizontal="center"/>
      <protection hidden="1"/>
    </xf>
    <xf numFmtId="39" fontId="138" fillId="0" borderId="0" xfId="0" applyNumberFormat="1" applyFont="1" applyAlignment="1" applyProtection="1">
      <alignment horizontal="right"/>
      <protection hidden="1"/>
    </xf>
    <xf numFmtId="4" fontId="143" fillId="0" borderId="0" xfId="0" applyNumberFormat="1" applyFont="1" applyProtection="1">
      <protection hidden="1"/>
    </xf>
    <xf numFmtId="0" fontId="263" fillId="5" borderId="0" xfId="0" applyFont="1" applyFill="1" applyProtection="1">
      <protection hidden="1"/>
    </xf>
    <xf numFmtId="0" fontId="156" fillId="5" borderId="0" xfId="0" applyFont="1" applyFill="1" applyProtection="1">
      <protection hidden="1"/>
    </xf>
    <xf numFmtId="3" fontId="156" fillId="5" borderId="0" xfId="0" applyNumberFormat="1" applyFont="1" applyFill="1" applyProtection="1">
      <protection hidden="1"/>
    </xf>
    <xf numFmtId="37" fontId="156" fillId="5" borderId="0" xfId="0" applyNumberFormat="1" applyFont="1" applyFill="1" applyProtection="1">
      <protection hidden="1"/>
    </xf>
    <xf numFmtId="0" fontId="1" fillId="28" borderId="13" xfId="0" applyFont="1" applyFill="1" applyBorder="1" applyAlignment="1" applyProtection="1">
      <alignment horizontal="center" vertical="center" wrapText="1"/>
      <protection hidden="1"/>
    </xf>
    <xf numFmtId="0" fontId="8" fillId="2" borderId="3" xfId="0" applyFont="1" applyFill="1" applyBorder="1" applyAlignment="1" applyProtection="1">
      <alignment horizontal="center" vertical="center" wrapText="1"/>
      <protection hidden="1"/>
    </xf>
    <xf numFmtId="0" fontId="3" fillId="24" borderId="0" xfId="0" applyFont="1" applyFill="1" applyProtection="1">
      <protection hidden="1"/>
    </xf>
    <xf numFmtId="0" fontId="21" fillId="16" borderId="6" xfId="0" applyFont="1" applyFill="1" applyBorder="1" applyAlignment="1" applyProtection="1">
      <alignment horizontal="centerContinuous"/>
      <protection hidden="1"/>
    </xf>
    <xf numFmtId="0" fontId="5" fillId="19" borderId="0" xfId="0" applyFont="1" applyFill="1" applyAlignment="1">
      <alignment horizontal="left" vertical="center"/>
    </xf>
    <xf numFmtId="0" fontId="6" fillId="19" borderId="0" xfId="0" applyFont="1" applyFill="1" applyAlignment="1" applyProtection="1">
      <alignment horizontal="left" vertical="center"/>
      <protection hidden="1"/>
    </xf>
    <xf numFmtId="0" fontId="16" fillId="19" borderId="0" xfId="0" applyFont="1" applyFill="1" applyAlignment="1" applyProtection="1">
      <alignment vertical="top"/>
      <protection hidden="1"/>
    </xf>
    <xf numFmtId="0" fontId="16" fillId="19" borderId="0" xfId="0" applyFont="1" applyFill="1" applyProtection="1">
      <protection hidden="1"/>
    </xf>
    <xf numFmtId="0" fontId="17" fillId="19" borderId="1" xfId="0" applyFont="1" applyFill="1" applyBorder="1" applyAlignment="1" applyProtection="1">
      <alignment vertical="top" wrapText="1"/>
      <protection hidden="1"/>
    </xf>
    <xf numFmtId="0" fontId="16" fillId="19" borderId="0" xfId="0" applyFont="1" applyFill="1" applyAlignment="1" applyProtection="1">
      <alignment vertical="center" wrapText="1"/>
      <protection hidden="1"/>
    </xf>
    <xf numFmtId="0" fontId="16" fillId="19" borderId="5" xfId="0" applyFont="1" applyFill="1" applyBorder="1" applyAlignment="1" applyProtection="1">
      <alignment vertical="center" wrapText="1"/>
      <protection hidden="1"/>
    </xf>
    <xf numFmtId="165" fontId="6" fillId="16" borderId="0" xfId="0" applyNumberFormat="1" applyFont="1" applyFill="1" applyAlignment="1" applyProtection="1">
      <alignment horizontal="center" vertical="center"/>
      <protection locked="0"/>
    </xf>
    <xf numFmtId="0" fontId="8" fillId="16" borderId="3" xfId="0" applyFont="1" applyFill="1" applyBorder="1" applyAlignment="1">
      <alignment horizontal="left"/>
    </xf>
    <xf numFmtId="0" fontId="8" fillId="16" borderId="5" xfId="0" applyFont="1" applyFill="1" applyBorder="1" applyAlignment="1">
      <alignment horizontal="left"/>
    </xf>
    <xf numFmtId="0" fontId="1" fillId="16" borderId="53" xfId="0" applyFont="1" applyFill="1" applyBorder="1" applyAlignment="1" applyProtection="1">
      <alignment horizontal="center" vertical="center"/>
      <protection locked="0"/>
    </xf>
    <xf numFmtId="166" fontId="1" fillId="19" borderId="0" xfId="0" applyNumberFormat="1" applyFont="1" applyFill="1" applyAlignment="1" applyProtection="1">
      <alignment horizontal="right" indent="1"/>
      <protection locked="0"/>
    </xf>
    <xf numFmtId="0" fontId="6" fillId="19" borderId="0" xfId="0" applyFont="1" applyFill="1" applyAlignment="1" applyProtection="1">
      <alignment horizontal="right"/>
      <protection hidden="1"/>
    </xf>
    <xf numFmtId="1" fontId="1" fillId="19" borderId="15" xfId="0" applyNumberFormat="1" applyFont="1" applyFill="1" applyBorder="1" applyAlignment="1" applyProtection="1">
      <alignment horizontal="right" indent="1"/>
      <protection hidden="1"/>
    </xf>
    <xf numFmtId="0" fontId="11" fillId="19" borderId="0" xfId="0" applyFont="1" applyFill="1" applyProtection="1">
      <protection hidden="1"/>
    </xf>
    <xf numFmtId="0" fontId="1" fillId="8" borderId="9" xfId="0" applyFont="1" applyFill="1" applyBorder="1" applyAlignment="1" applyProtection="1">
      <alignment horizontal="center" vertical="center" wrapText="1"/>
      <protection hidden="1"/>
    </xf>
    <xf numFmtId="0" fontId="1" fillId="8" borderId="0" xfId="0" applyFont="1" applyFill="1" applyAlignment="1" applyProtection="1">
      <alignment horizontal="center" vertical="center" wrapText="1"/>
      <protection hidden="1"/>
    </xf>
    <xf numFmtId="0" fontId="1" fillId="8" borderId="1" xfId="0" applyFont="1" applyFill="1" applyBorder="1" applyAlignment="1" applyProtection="1">
      <alignment horizontal="center" vertical="center" wrapText="1"/>
      <protection hidden="1"/>
    </xf>
    <xf numFmtId="0" fontId="1" fillId="2" borderId="0" xfId="0" applyFont="1" applyFill="1" applyAlignment="1" applyProtection="1">
      <alignment horizontal="center" vertical="center" wrapText="1"/>
      <protection hidden="1"/>
    </xf>
    <xf numFmtId="189" fontId="140" fillId="2" borderId="0" xfId="0" applyNumberFormat="1" applyFont="1" applyFill="1" applyAlignment="1" applyProtection="1">
      <alignment horizontal="center" vertical="center" wrapText="1"/>
      <protection hidden="1"/>
    </xf>
    <xf numFmtId="0" fontId="1" fillId="2" borderId="0" xfId="4" applyFont="1" applyFill="1" applyProtection="1">
      <protection hidden="1"/>
    </xf>
    <xf numFmtId="0" fontId="1" fillId="2" borderId="0" xfId="4" applyFont="1" applyFill="1" applyAlignment="1" applyProtection="1">
      <alignment horizontal="right"/>
      <protection hidden="1"/>
    </xf>
    <xf numFmtId="37" fontId="3" fillId="17" borderId="1" xfId="4" applyNumberFormat="1" applyFill="1" applyBorder="1" applyAlignment="1" applyProtection="1">
      <alignment horizontal="right"/>
      <protection locked="0"/>
    </xf>
    <xf numFmtId="37" fontId="3" fillId="26" borderId="1" xfId="4" applyNumberFormat="1" applyFill="1" applyBorder="1" applyAlignment="1" applyProtection="1">
      <alignment horizontal="right"/>
      <protection hidden="1"/>
    </xf>
    <xf numFmtId="37" fontId="0" fillId="0" borderId="0" xfId="0" applyNumberFormat="1"/>
    <xf numFmtId="37" fontId="0" fillId="0" borderId="13" xfId="0" applyNumberFormat="1" applyBorder="1"/>
    <xf numFmtId="3" fontId="0" fillId="0" borderId="0" xfId="0" applyNumberFormat="1" applyAlignment="1">
      <alignment vertical="top"/>
    </xf>
    <xf numFmtId="3" fontId="0" fillId="0" borderId="13" xfId="0" applyNumberFormat="1" applyBorder="1"/>
    <xf numFmtId="3" fontId="137" fillId="2" borderId="3" xfId="0" applyNumberFormat="1" applyFont="1" applyFill="1" applyBorder="1" applyProtection="1">
      <protection hidden="1"/>
    </xf>
    <xf numFmtId="0" fontId="137" fillId="2" borderId="0" xfId="0" applyFont="1" applyFill="1" applyProtection="1">
      <protection hidden="1"/>
    </xf>
    <xf numFmtId="3" fontId="6" fillId="21" borderId="10" xfId="0" applyNumberFormat="1" applyFont="1" applyFill="1" applyBorder="1" applyProtection="1">
      <protection locked="0"/>
    </xf>
    <xf numFmtId="0" fontId="84" fillId="16" borderId="21" xfId="0" applyFont="1" applyFill="1" applyBorder="1" applyAlignment="1">
      <alignment vertical="center"/>
    </xf>
    <xf numFmtId="0" fontId="253" fillId="3" borderId="6" xfId="0" applyFont="1" applyFill="1" applyBorder="1" applyAlignment="1" applyProtection="1">
      <alignment horizontal="left" vertical="center"/>
      <protection hidden="1"/>
    </xf>
    <xf numFmtId="0" fontId="145" fillId="0" borderId="0" xfId="0" applyFont="1" applyAlignment="1" applyProtection="1">
      <alignment horizontal="center"/>
      <protection hidden="1"/>
    </xf>
    <xf numFmtId="37" fontId="6" fillId="2" borderId="1" xfId="0" applyNumberFormat="1" applyFont="1" applyFill="1" applyBorder="1" applyProtection="1">
      <protection locked="0"/>
    </xf>
    <xf numFmtId="0" fontId="215" fillId="3" borderId="0" xfId="0" applyFont="1" applyFill="1" applyAlignment="1" applyProtection="1">
      <alignment vertical="center"/>
      <protection hidden="1"/>
    </xf>
    <xf numFmtId="0" fontId="215" fillId="3" borderId="6" xfId="0" applyFont="1" applyFill="1" applyBorder="1" applyAlignment="1" applyProtection="1">
      <alignment horizontal="center" vertical="center"/>
      <protection hidden="1"/>
    </xf>
    <xf numFmtId="0" fontId="6" fillId="3" borderId="176" xfId="0" applyFont="1" applyFill="1" applyBorder="1" applyAlignment="1" applyProtection="1">
      <alignment vertical="center"/>
      <protection hidden="1"/>
    </xf>
    <xf numFmtId="0" fontId="5" fillId="3" borderId="176" xfId="0" applyFont="1" applyFill="1" applyBorder="1" applyAlignment="1" applyProtection="1">
      <alignment vertical="center"/>
      <protection hidden="1"/>
    </xf>
    <xf numFmtId="4" fontId="5" fillId="3" borderId="176" xfId="0" applyNumberFormat="1" applyFont="1" applyFill="1" applyBorder="1" applyAlignment="1" applyProtection="1">
      <alignment vertical="center"/>
      <protection hidden="1"/>
    </xf>
    <xf numFmtId="4" fontId="6" fillId="3" borderId="176" xfId="0" applyNumberFormat="1" applyFont="1" applyFill="1" applyBorder="1" applyAlignment="1" applyProtection="1">
      <alignment horizontal="right" vertical="center"/>
      <protection hidden="1"/>
    </xf>
    <xf numFmtId="39" fontId="5" fillId="3" borderId="176" xfId="0" applyNumberFormat="1" applyFont="1" applyFill="1" applyBorder="1" applyAlignment="1" applyProtection="1">
      <alignment horizontal="right" vertical="center"/>
      <protection hidden="1"/>
    </xf>
    <xf numFmtId="0" fontId="1" fillId="3" borderId="176" xfId="0" applyFont="1" applyFill="1" applyBorder="1" applyAlignment="1" applyProtection="1">
      <alignment horizontal="right" vertical="center"/>
      <protection hidden="1"/>
    </xf>
    <xf numFmtId="37" fontId="138" fillId="0" borderId="0" xfId="0" applyNumberFormat="1" applyFont="1"/>
    <xf numFmtId="0" fontId="150" fillId="16" borderId="6" xfId="0" applyFont="1" applyFill="1" applyBorder="1" applyAlignment="1" applyProtection="1">
      <alignment horizontal="left" indent="1"/>
      <protection hidden="1"/>
    </xf>
    <xf numFmtId="39" fontId="0" fillId="25" borderId="0" xfId="0" applyNumberFormat="1" applyFill="1" applyAlignment="1" applyProtection="1">
      <alignment horizontal="center"/>
      <protection locked="0"/>
    </xf>
    <xf numFmtId="0" fontId="0" fillId="16" borderId="26" xfId="0" applyFill="1" applyBorder="1" applyAlignment="1" applyProtection="1">
      <alignment horizontal="center"/>
      <protection hidden="1"/>
    </xf>
    <xf numFmtId="0" fontId="6" fillId="16" borderId="0" xfId="0" quotePrefix="1" applyFont="1" applyFill="1" applyProtection="1">
      <protection hidden="1"/>
    </xf>
    <xf numFmtId="0" fontId="25" fillId="16" borderId="0" xfId="0" applyFont="1" applyFill="1" applyAlignment="1" applyProtection="1">
      <alignment horizontal="right"/>
      <protection hidden="1"/>
    </xf>
    <xf numFmtId="0" fontId="0" fillId="16" borderId="26" xfId="0" applyFill="1" applyBorder="1" applyAlignment="1" applyProtection="1">
      <alignment horizontal="left" vertical="center"/>
      <protection hidden="1"/>
    </xf>
    <xf numFmtId="37" fontId="0" fillId="0" borderId="1" xfId="0" applyNumberFormat="1" applyBorder="1" applyProtection="1">
      <protection locked="0"/>
    </xf>
    <xf numFmtId="37" fontId="3" fillId="0" borderId="1" xfId="0" applyNumberFormat="1" applyFont="1" applyBorder="1" applyProtection="1">
      <protection locked="0"/>
    </xf>
    <xf numFmtId="0" fontId="134" fillId="16" borderId="0" xfId="0" applyFont="1" applyFill="1" applyAlignment="1" applyProtection="1">
      <alignment horizontal="center"/>
      <protection hidden="1"/>
    </xf>
    <xf numFmtId="0" fontId="134" fillId="16" borderId="0" xfId="0" applyFont="1" applyFill="1" applyAlignment="1">
      <alignment horizontal="center"/>
    </xf>
    <xf numFmtId="0" fontId="134" fillId="16" borderId="25" xfId="0" applyFont="1" applyFill="1" applyBorder="1" applyAlignment="1">
      <alignment horizontal="center"/>
    </xf>
    <xf numFmtId="0" fontId="134" fillId="8" borderId="0" xfId="0" applyFont="1" applyFill="1" applyAlignment="1" applyProtection="1">
      <alignment horizontal="center"/>
      <protection hidden="1"/>
    </xf>
    <xf numFmtId="0" fontId="134" fillId="8" borderId="0" xfId="0" applyFont="1" applyFill="1" applyAlignment="1" applyProtection="1">
      <alignment horizontal="center" vertical="center"/>
      <protection hidden="1"/>
    </xf>
    <xf numFmtId="0" fontId="134" fillId="16" borderId="0" xfId="0" applyFont="1" applyFill="1" applyAlignment="1" applyProtection="1">
      <alignment horizontal="right"/>
      <protection hidden="1"/>
    </xf>
    <xf numFmtId="0" fontId="134" fillId="16" borderId="0" xfId="0" applyFont="1" applyFill="1" applyAlignment="1">
      <alignment horizontal="right"/>
    </xf>
    <xf numFmtId="0" fontId="134" fillId="16" borderId="25" xfId="0" applyFont="1" applyFill="1" applyBorder="1" applyAlignment="1">
      <alignment horizontal="right"/>
    </xf>
    <xf numFmtId="0" fontId="64" fillId="2" borderId="26" xfId="0" applyFont="1" applyFill="1" applyBorder="1" applyAlignment="1" applyProtection="1">
      <alignment horizontal="center"/>
      <protection hidden="1"/>
    </xf>
    <xf numFmtId="0" fontId="64" fillId="2" borderId="55" xfId="0" applyFont="1" applyFill="1" applyBorder="1" applyAlignment="1" applyProtection="1">
      <alignment horizontal="center"/>
      <protection hidden="1"/>
    </xf>
    <xf numFmtId="0" fontId="1" fillId="5" borderId="0" xfId="0" applyFont="1" applyFill="1" applyAlignment="1" applyProtection="1">
      <alignment horizontal="center" vertical="center"/>
      <protection locked="0"/>
    </xf>
    <xf numFmtId="0" fontId="206" fillId="5" borderId="0" xfId="0" applyFont="1" applyFill="1" applyAlignment="1" applyProtection="1">
      <alignment horizontal="center" vertical="center"/>
      <protection hidden="1"/>
    </xf>
    <xf numFmtId="0" fontId="6" fillId="16" borderId="0" xfId="0" applyFont="1" applyFill="1"/>
    <xf numFmtId="0" fontId="144" fillId="0" borderId="0" xfId="0" applyFont="1" applyAlignment="1">
      <alignment horizontal="centerContinuous"/>
    </xf>
    <xf numFmtId="0" fontId="138" fillId="0" borderId="0" xfId="0" applyFont="1" applyAlignment="1">
      <alignment horizontal="centerContinuous"/>
    </xf>
    <xf numFmtId="0" fontId="0" fillId="8" borderId="177" xfId="0" applyFill="1" applyBorder="1" applyProtection="1">
      <protection hidden="1"/>
    </xf>
    <xf numFmtId="0" fontId="0" fillId="0" borderId="177" xfId="0" applyBorder="1"/>
    <xf numFmtId="0" fontId="0" fillId="5" borderId="177" xfId="0" applyFill="1" applyBorder="1" applyAlignment="1" applyProtection="1">
      <alignment vertical="top"/>
      <protection hidden="1"/>
    </xf>
    <xf numFmtId="0" fontId="0" fillId="5" borderId="177" xfId="0" applyFill="1" applyBorder="1"/>
    <xf numFmtId="37" fontId="0" fillId="0" borderId="0" xfId="0" applyNumberFormat="1" applyProtection="1">
      <protection hidden="1"/>
    </xf>
    <xf numFmtId="37" fontId="0" fillId="0" borderId="13" xfId="0" applyNumberFormat="1" applyBorder="1" applyProtection="1">
      <protection hidden="1"/>
    </xf>
    <xf numFmtId="37" fontId="0" fillId="0" borderId="44" xfId="0" applyNumberFormat="1" applyBorder="1" applyProtection="1">
      <protection hidden="1"/>
    </xf>
    <xf numFmtId="0" fontId="3" fillId="0" borderId="8" xfId="0" applyFont="1" applyBorder="1" applyProtection="1">
      <protection hidden="1"/>
    </xf>
    <xf numFmtId="0" fontId="0" fillId="0" borderId="20" xfId="0" applyBorder="1" applyProtection="1">
      <protection hidden="1"/>
    </xf>
    <xf numFmtId="0" fontId="0" fillId="0" borderId="21" xfId="0" applyBorder="1" applyProtection="1">
      <protection hidden="1"/>
    </xf>
    <xf numFmtId="37" fontId="0" fillId="0" borderId="5" xfId="0" applyNumberFormat="1" applyBorder="1" applyProtection="1">
      <protection hidden="1"/>
    </xf>
    <xf numFmtId="0" fontId="0" fillId="0" borderId="5" xfId="0" applyBorder="1" applyProtection="1">
      <protection hidden="1"/>
    </xf>
    <xf numFmtId="0" fontId="0" fillId="0" borderId="23" xfId="0" applyBorder="1" applyProtection="1">
      <protection hidden="1"/>
    </xf>
    <xf numFmtId="0" fontId="1" fillId="0" borderId="8" xfId="0" applyFont="1" applyBorder="1" applyProtection="1">
      <protection hidden="1"/>
    </xf>
    <xf numFmtId="0" fontId="1" fillId="0" borderId="5" xfId="0" applyFont="1" applyBorder="1" applyProtection="1">
      <protection hidden="1"/>
    </xf>
    <xf numFmtId="37" fontId="144" fillId="2" borderId="9" xfId="0" applyNumberFormat="1" applyFont="1" applyFill="1" applyBorder="1" applyProtection="1">
      <protection hidden="1"/>
    </xf>
    <xf numFmtId="0" fontId="8" fillId="19" borderId="0" xfId="0" applyFont="1" applyFill="1" applyAlignment="1" applyProtection="1">
      <alignment horizontal="left" vertical="center"/>
      <protection hidden="1"/>
    </xf>
    <xf numFmtId="0" fontId="8" fillId="19" borderId="1" xfId="0" applyFont="1" applyFill="1" applyBorder="1" applyAlignment="1" applyProtection="1">
      <alignment horizontal="left" vertical="center"/>
      <protection hidden="1"/>
    </xf>
    <xf numFmtId="0" fontId="8" fillId="19" borderId="1" xfId="0" applyFont="1" applyFill="1" applyBorder="1" applyAlignment="1" applyProtection="1">
      <alignment horizontal="left" vertical="top" wrapText="1"/>
      <protection hidden="1"/>
    </xf>
    <xf numFmtId="0" fontId="10" fillId="0" borderId="0" xfId="0" applyFont="1" applyAlignment="1">
      <alignment vertical="center"/>
    </xf>
    <xf numFmtId="0" fontId="3" fillId="0" borderId="0" xfId="0" applyFont="1" applyAlignment="1" applyProtection="1">
      <alignment horizontal="left" vertical="top"/>
      <protection hidden="1"/>
    </xf>
    <xf numFmtId="0" fontId="150" fillId="3" borderId="25" xfId="0" applyFont="1" applyFill="1" applyBorder="1" applyAlignment="1" applyProtection="1">
      <alignment horizontal="right" indent="2"/>
      <protection hidden="1"/>
    </xf>
    <xf numFmtId="0" fontId="3" fillId="16" borderId="3" xfId="0" applyFont="1" applyFill="1" applyBorder="1" applyAlignment="1" applyProtection="1">
      <alignment horizontal="left" vertical="top"/>
      <protection hidden="1"/>
    </xf>
    <xf numFmtId="0" fontId="16" fillId="16" borderId="0" xfId="0" applyFont="1" applyFill="1" applyAlignment="1">
      <alignment horizontal="right" vertical="center"/>
    </xf>
    <xf numFmtId="37" fontId="3" fillId="16" borderId="1" xfId="0" applyNumberFormat="1" applyFont="1" applyFill="1" applyBorder="1" applyProtection="1">
      <protection hidden="1"/>
    </xf>
    <xf numFmtId="0" fontId="16" fillId="16" borderId="1" xfId="0" applyFont="1" applyFill="1" applyBorder="1" applyAlignment="1">
      <alignment horizontal="right" vertical="center"/>
    </xf>
    <xf numFmtId="37" fontId="3" fillId="16" borderId="9" xfId="0" applyNumberFormat="1" applyFont="1" applyFill="1" applyBorder="1" applyProtection="1">
      <protection hidden="1"/>
    </xf>
    <xf numFmtId="0" fontId="0" fillId="0" borderId="3" xfId="0" applyBorder="1" applyAlignment="1">
      <alignment vertical="center"/>
    </xf>
    <xf numFmtId="0" fontId="21" fillId="19" borderId="14" xfId="0" applyFont="1" applyFill="1" applyBorder="1" applyAlignment="1" applyProtection="1">
      <alignment vertical="center"/>
      <protection hidden="1"/>
    </xf>
    <xf numFmtId="0" fontId="49" fillId="16" borderId="6" xfId="0" applyFont="1" applyFill="1" applyBorder="1" applyAlignment="1" applyProtection="1">
      <alignment wrapText="1"/>
      <protection hidden="1"/>
    </xf>
    <xf numFmtId="0" fontId="49" fillId="16" borderId="0" xfId="0" applyFont="1" applyFill="1" applyAlignment="1" applyProtection="1">
      <alignment horizontal="center"/>
      <protection hidden="1"/>
    </xf>
    <xf numFmtId="0" fontId="0" fillId="16" borderId="21" xfId="0" applyFill="1" applyBorder="1" applyAlignment="1">
      <alignment wrapText="1"/>
    </xf>
    <xf numFmtId="0" fontId="0" fillId="16" borderId="6" xfId="0" applyFill="1" applyBorder="1" applyAlignment="1">
      <alignment wrapText="1"/>
    </xf>
    <xf numFmtId="0" fontId="0" fillId="16" borderId="37" xfId="0" applyFill="1" applyBorder="1" applyProtection="1">
      <protection hidden="1"/>
    </xf>
    <xf numFmtId="0" fontId="1" fillId="16" borderId="71" xfId="0" applyFont="1" applyFill="1" applyBorder="1" applyAlignment="1" applyProtection="1">
      <alignment horizontal="right"/>
      <protection hidden="1"/>
    </xf>
    <xf numFmtId="37" fontId="34" fillId="2" borderId="44" xfId="0" applyNumberFormat="1" applyFont="1" applyFill="1" applyBorder="1" applyProtection="1">
      <protection locked="0"/>
    </xf>
    <xf numFmtId="0" fontId="21" fillId="15" borderId="6" xfId="0" applyFont="1" applyFill="1" applyBorder="1" applyProtection="1">
      <protection hidden="1"/>
    </xf>
    <xf numFmtId="0" fontId="21" fillId="15" borderId="0" xfId="0" applyFont="1" applyFill="1" applyProtection="1">
      <protection hidden="1"/>
    </xf>
    <xf numFmtId="0" fontId="21" fillId="15" borderId="0" xfId="0" applyFont="1" applyFill="1" applyAlignment="1" applyProtection="1">
      <alignment horizontal="center"/>
      <protection hidden="1"/>
    </xf>
    <xf numFmtId="0" fontId="181" fillId="16" borderId="0" xfId="0" applyFont="1" applyFill="1" applyProtection="1">
      <protection hidden="1"/>
    </xf>
    <xf numFmtId="0" fontId="16" fillId="16" borderId="0" xfId="0" applyFont="1" applyFill="1"/>
    <xf numFmtId="0" fontId="19" fillId="16" borderId="21" xfId="0" applyFont="1" applyFill="1" applyBorder="1"/>
    <xf numFmtId="0" fontId="19" fillId="16" borderId="5" xfId="0" applyFont="1" applyFill="1" applyBorder="1"/>
    <xf numFmtId="0" fontId="19" fillId="16" borderId="23" xfId="0" applyFont="1" applyFill="1" applyBorder="1"/>
    <xf numFmtId="0" fontId="8" fillId="16" borderId="6" xfId="0" applyFont="1" applyFill="1" applyBorder="1" applyAlignment="1" applyProtection="1">
      <alignment horizontal="left"/>
      <protection hidden="1"/>
    </xf>
    <xf numFmtId="0" fontId="39" fillId="16" borderId="0" xfId="0" applyFont="1" applyFill="1" applyAlignment="1" applyProtection="1">
      <alignment horizontal="left"/>
      <protection hidden="1"/>
    </xf>
    <xf numFmtId="164" fontId="6" fillId="2" borderId="0" xfId="0" applyNumberFormat="1" applyFont="1" applyFill="1" applyAlignment="1" applyProtection="1">
      <alignment horizontal="right"/>
      <protection hidden="1"/>
    </xf>
    <xf numFmtId="0" fontId="3" fillId="37" borderId="178" xfId="0" applyFont="1" applyFill="1" applyBorder="1" applyAlignment="1" applyProtection="1">
      <alignment horizontal="right"/>
      <protection hidden="1"/>
    </xf>
    <xf numFmtId="0" fontId="3" fillId="37" borderId="179" xfId="0" applyFont="1" applyFill="1" applyBorder="1" applyAlignment="1" applyProtection="1">
      <alignment horizontal="center"/>
      <protection hidden="1"/>
    </xf>
    <xf numFmtId="0" fontId="3" fillId="37" borderId="180" xfId="0" applyFont="1" applyFill="1" applyBorder="1" applyAlignment="1" applyProtection="1">
      <alignment horizontal="center"/>
      <protection hidden="1"/>
    </xf>
    <xf numFmtId="0" fontId="3" fillId="37" borderId="181" xfId="0" applyFont="1" applyFill="1" applyBorder="1" applyAlignment="1" applyProtection="1">
      <alignment horizontal="center"/>
      <protection hidden="1"/>
    </xf>
    <xf numFmtId="0" fontId="0" fillId="37" borderId="96" xfId="0" applyFill="1" applyBorder="1" applyProtection="1">
      <protection hidden="1"/>
    </xf>
    <xf numFmtId="3" fontId="3" fillId="37" borderId="92" xfId="0" applyNumberFormat="1" applyFont="1" applyFill="1" applyBorder="1" applyProtection="1">
      <protection hidden="1"/>
    </xf>
    <xf numFmtId="0" fontId="215" fillId="3" borderId="0" xfId="0" applyFont="1" applyFill="1" applyAlignment="1" applyProtection="1">
      <alignment horizontal="left" vertical="center"/>
      <protection hidden="1"/>
    </xf>
    <xf numFmtId="0" fontId="209" fillId="16" borderId="21" xfId="0" applyFont="1" applyFill="1" applyBorder="1" applyAlignment="1" applyProtection="1">
      <alignment horizontal="center" vertical="center"/>
      <protection hidden="1"/>
    </xf>
    <xf numFmtId="3" fontId="157" fillId="16" borderId="25" xfId="0" applyNumberFormat="1" applyFont="1" applyFill="1" applyBorder="1" applyProtection="1">
      <protection hidden="1"/>
    </xf>
    <xf numFmtId="3" fontId="157" fillId="16" borderId="25" xfId="0" applyNumberFormat="1" applyFont="1" applyFill="1" applyBorder="1" applyAlignment="1" applyProtection="1">
      <alignment vertical="center"/>
      <protection hidden="1"/>
    </xf>
    <xf numFmtId="3" fontId="157" fillId="16" borderId="12" xfId="0" applyNumberFormat="1" applyFont="1" applyFill="1" applyBorder="1" applyProtection="1">
      <protection hidden="1"/>
    </xf>
    <xf numFmtId="0" fontId="10" fillId="16" borderId="31" xfId="0" applyFont="1" applyFill="1" applyBorder="1" applyAlignment="1">
      <alignment horizontal="left" indent="1"/>
    </xf>
    <xf numFmtId="0" fontId="5" fillId="16" borderId="9" xfId="0" applyFont="1" applyFill="1" applyBorder="1"/>
    <xf numFmtId="0" fontId="0" fillId="16" borderId="1" xfId="0" applyFill="1" applyBorder="1" applyAlignment="1">
      <alignment vertical="top"/>
    </xf>
    <xf numFmtId="0" fontId="3" fillId="16" borderId="3" xfId="0" applyFont="1" applyFill="1" applyBorder="1" applyAlignment="1">
      <alignment horizontal="left" indent="1"/>
    </xf>
    <xf numFmtId="168" fontId="3" fillId="16" borderId="0" xfId="0" applyNumberFormat="1" applyFont="1" applyFill="1" applyProtection="1">
      <protection hidden="1"/>
    </xf>
    <xf numFmtId="198" fontId="0" fillId="16" borderId="0" xfId="0" applyNumberFormat="1" applyFill="1" applyAlignment="1" applyProtection="1">
      <alignment horizontal="center"/>
      <protection hidden="1"/>
    </xf>
    <xf numFmtId="0" fontId="25" fillId="16" borderId="0" xfId="0" applyFont="1" applyFill="1" applyAlignment="1">
      <alignment horizontal="right"/>
    </xf>
    <xf numFmtId="0" fontId="154" fillId="16" borderId="0" xfId="0" quotePrefix="1" applyFont="1" applyFill="1" applyAlignment="1">
      <alignment horizontal="right"/>
    </xf>
    <xf numFmtId="3" fontId="3" fillId="16" borderId="0" xfId="0" applyNumberFormat="1" applyFont="1" applyFill="1" applyAlignment="1" applyProtection="1">
      <alignment horizontal="center"/>
      <protection hidden="1"/>
    </xf>
    <xf numFmtId="0" fontId="3" fillId="16" borderId="0" xfId="0" applyFont="1" applyFill="1" applyAlignment="1">
      <alignment vertical="top" wrapText="1"/>
    </xf>
    <xf numFmtId="0" fontId="3" fillId="16" borderId="21" xfId="0" applyFont="1" applyFill="1" applyBorder="1" applyAlignment="1">
      <alignment vertical="top" wrapText="1"/>
    </xf>
    <xf numFmtId="0" fontId="3" fillId="16" borderId="6" xfId="0" applyFont="1" applyFill="1" applyBorder="1" applyAlignment="1">
      <alignment vertical="top"/>
    </xf>
    <xf numFmtId="0" fontId="1" fillId="16" borderId="22" xfId="0" quotePrefix="1" applyFont="1" applyFill="1" applyBorder="1" applyAlignment="1" applyProtection="1">
      <alignment horizontal="right"/>
      <protection hidden="1"/>
    </xf>
    <xf numFmtId="0" fontId="3" fillId="16" borderId="6" xfId="0" applyFont="1" applyFill="1" applyBorder="1" applyAlignment="1">
      <alignment horizontal="left" indent="1"/>
    </xf>
    <xf numFmtId="0" fontId="10" fillId="16" borderId="6" xfId="0" applyFont="1" applyFill="1" applyBorder="1" applyAlignment="1">
      <alignment horizontal="left" indent="1"/>
    </xf>
    <xf numFmtId="0" fontId="63" fillId="16" borderId="22" xfId="0" applyFont="1" applyFill="1" applyBorder="1" applyAlignment="1">
      <alignment horizontal="left" indent="1"/>
    </xf>
    <xf numFmtId="0" fontId="5" fillId="16" borderId="5" xfId="0" applyFont="1" applyFill="1" applyBorder="1"/>
    <xf numFmtId="0" fontId="0" fillId="0" borderId="21" xfId="0" applyBorder="1" applyAlignment="1">
      <alignment horizontal="center"/>
    </xf>
    <xf numFmtId="0" fontId="0" fillId="0" borderId="0" xfId="0" applyAlignment="1">
      <alignment horizontal="right" vertical="top"/>
    </xf>
    <xf numFmtId="0" fontId="3" fillId="0" borderId="0" xfId="0" quotePrefix="1" applyFont="1" applyAlignment="1" applyProtection="1">
      <alignment horizontal="right"/>
      <protection hidden="1"/>
    </xf>
    <xf numFmtId="0" fontId="0" fillId="0" borderId="0" xfId="0" applyAlignment="1">
      <alignment horizontal="right" vertical="center"/>
    </xf>
    <xf numFmtId="182" fontId="0" fillId="0" borderId="0" xfId="0" applyNumberFormat="1" applyProtection="1">
      <protection hidden="1"/>
    </xf>
    <xf numFmtId="37" fontId="0" fillId="2" borderId="2" xfId="0" applyNumberFormat="1" applyFill="1" applyBorder="1" applyProtection="1">
      <protection locked="0"/>
    </xf>
    <xf numFmtId="0" fontId="0" fillId="0" borderId="105" xfId="0" applyBorder="1"/>
    <xf numFmtId="3" fontId="19" fillId="16" borderId="105" xfId="0" applyNumberFormat="1" applyFont="1" applyFill="1" applyBorder="1" applyAlignment="1" applyProtection="1">
      <alignment horizontal="right"/>
      <protection hidden="1"/>
    </xf>
    <xf numFmtId="3" fontId="19" fillId="16" borderId="73" xfId="0" applyNumberFormat="1" applyFont="1" applyFill="1" applyBorder="1" applyAlignment="1" applyProtection="1">
      <alignment horizontal="right"/>
      <protection hidden="1"/>
    </xf>
    <xf numFmtId="0" fontId="19" fillId="16" borderId="14" xfId="0" applyFont="1" applyFill="1" applyBorder="1" applyAlignment="1" applyProtection="1">
      <alignment horizontal="right"/>
      <protection hidden="1"/>
    </xf>
    <xf numFmtId="0" fontId="19" fillId="16" borderId="76" xfId="0" applyFont="1" applyFill="1" applyBorder="1" applyAlignment="1" applyProtection="1">
      <alignment horizontal="right"/>
      <protection hidden="1"/>
    </xf>
    <xf numFmtId="3" fontId="19" fillId="16" borderId="184" xfId="0" applyNumberFormat="1" applyFont="1" applyFill="1" applyBorder="1" applyAlignment="1" applyProtection="1">
      <alignment horizontal="right"/>
      <protection hidden="1"/>
    </xf>
    <xf numFmtId="3" fontId="19" fillId="16" borderId="183" xfId="0" applyNumberFormat="1" applyFont="1" applyFill="1" applyBorder="1" applyAlignment="1" applyProtection="1">
      <alignment horizontal="right"/>
      <protection hidden="1"/>
    </xf>
    <xf numFmtId="3" fontId="19" fillId="16" borderId="2" xfId="0" applyNumberFormat="1" applyFont="1" applyFill="1" applyBorder="1" applyAlignment="1" applyProtection="1">
      <alignment horizontal="right"/>
      <protection hidden="1"/>
    </xf>
    <xf numFmtId="3" fontId="19" fillId="16" borderId="185" xfId="0" applyNumberFormat="1" applyFont="1" applyFill="1" applyBorder="1" applyAlignment="1" applyProtection="1">
      <alignment horizontal="right"/>
      <protection hidden="1"/>
    </xf>
    <xf numFmtId="0" fontId="3" fillId="16" borderId="14" xfId="0" applyFont="1" applyFill="1" applyBorder="1" applyAlignment="1" applyProtection="1">
      <alignment horizontal="right"/>
      <protection hidden="1"/>
    </xf>
    <xf numFmtId="3" fontId="19" fillId="16" borderId="186" xfId="0" applyNumberFormat="1" applyFont="1" applyFill="1" applyBorder="1" applyAlignment="1" applyProtection="1">
      <alignment horizontal="right"/>
      <protection hidden="1"/>
    </xf>
    <xf numFmtId="3" fontId="19" fillId="16" borderId="187" xfId="0" applyNumberFormat="1" applyFont="1" applyFill="1" applyBorder="1" applyAlignment="1" applyProtection="1">
      <alignment horizontal="right"/>
      <protection hidden="1"/>
    </xf>
    <xf numFmtId="0" fontId="4" fillId="16" borderId="0" xfId="0" applyFont="1" applyFill="1" applyAlignment="1" applyProtection="1">
      <alignment horizontal="center" wrapText="1"/>
      <protection hidden="1"/>
    </xf>
    <xf numFmtId="0" fontId="4" fillId="2" borderId="6" xfId="0" applyFont="1" applyFill="1" applyBorder="1" applyAlignment="1" applyProtection="1">
      <alignment horizontal="right" vertical="center"/>
      <protection hidden="1"/>
    </xf>
    <xf numFmtId="0" fontId="53" fillId="16" borderId="0" xfId="0" applyFont="1" applyFill="1" applyAlignment="1" applyProtection="1">
      <alignment vertical="center"/>
      <protection hidden="1"/>
    </xf>
    <xf numFmtId="0" fontId="0" fillId="2" borderId="21" xfId="0" applyFill="1" applyBorder="1" applyAlignment="1" applyProtection="1">
      <alignment vertical="center"/>
      <protection hidden="1"/>
    </xf>
    <xf numFmtId="0" fontId="0" fillId="16" borderId="0" xfId="0" applyFill="1" applyAlignment="1" applyProtection="1">
      <alignment vertical="top" wrapText="1"/>
      <protection hidden="1"/>
    </xf>
    <xf numFmtId="0" fontId="3" fillId="16" borderId="0" xfId="0" applyFont="1" applyFill="1" applyAlignment="1" applyProtection="1">
      <alignment vertical="top" wrapText="1"/>
      <protection hidden="1"/>
    </xf>
    <xf numFmtId="0" fontId="0" fillId="16" borderId="5" xfId="0" applyFill="1" applyBorder="1" applyAlignment="1" applyProtection="1">
      <alignment vertical="top"/>
      <protection hidden="1"/>
    </xf>
    <xf numFmtId="0" fontId="21" fillId="2" borderId="5" xfId="0" applyFont="1" applyFill="1" applyBorder="1" applyAlignment="1" applyProtection="1">
      <alignment horizontal="left"/>
      <protection hidden="1"/>
    </xf>
    <xf numFmtId="37" fontId="138" fillId="2" borderId="0" xfId="0" applyNumberFormat="1" applyFont="1" applyFill="1" applyAlignment="1" applyProtection="1">
      <alignment vertical="top" wrapText="1"/>
      <protection hidden="1"/>
    </xf>
    <xf numFmtId="1" fontId="16" fillId="17" borderId="38" xfId="0" applyNumberFormat="1" applyFont="1" applyFill="1" applyBorder="1" applyAlignment="1" applyProtection="1">
      <alignment horizontal="center" vertical="center" wrapText="1"/>
      <protection locked="0"/>
    </xf>
    <xf numFmtId="0" fontId="5" fillId="16" borderId="0" xfId="0" applyFont="1" applyFill="1" applyAlignment="1" applyProtection="1">
      <alignment vertical="top"/>
      <protection hidden="1"/>
    </xf>
    <xf numFmtId="37" fontId="3" fillId="0" borderId="0" xfId="0" applyNumberFormat="1" applyFont="1" applyAlignment="1">
      <alignment horizontal="center"/>
    </xf>
    <xf numFmtId="0" fontId="1" fillId="0" borderId="21" xfId="0" applyFont="1" applyBorder="1" applyAlignment="1" applyProtection="1">
      <alignment horizontal="right"/>
      <protection hidden="1"/>
    </xf>
    <xf numFmtId="3" fontId="19" fillId="16" borderId="188" xfId="0" applyNumberFormat="1" applyFont="1" applyFill="1" applyBorder="1" applyAlignment="1" applyProtection="1">
      <alignment horizontal="right"/>
      <protection hidden="1"/>
    </xf>
    <xf numFmtId="0" fontId="8" fillId="37" borderId="0" xfId="0" applyFont="1" applyFill="1" applyProtection="1">
      <protection hidden="1"/>
    </xf>
    <xf numFmtId="0" fontId="1" fillId="2" borderId="22" xfId="0" applyFont="1" applyFill="1" applyBorder="1" applyAlignment="1" applyProtection="1">
      <alignment horizontal="right"/>
      <protection hidden="1"/>
    </xf>
    <xf numFmtId="0" fontId="208" fillId="2" borderId="1" xfId="0" applyFont="1" applyFill="1" applyBorder="1" applyAlignment="1" applyProtection="1">
      <alignment horizontal="center"/>
      <protection hidden="1"/>
    </xf>
    <xf numFmtId="0" fontId="3" fillId="2" borderId="0" xfId="0" applyFont="1" applyFill="1" applyAlignment="1" applyProtection="1">
      <alignment horizontal="left" vertical="center"/>
      <protection hidden="1"/>
    </xf>
    <xf numFmtId="176" fontId="1" fillId="26" borderId="1" xfId="0" applyNumberFormat="1" applyFont="1" applyFill="1" applyBorder="1" applyAlignment="1" applyProtection="1">
      <alignment horizontal="center"/>
      <protection hidden="1"/>
    </xf>
    <xf numFmtId="0" fontId="154" fillId="2" borderId="1" xfId="0" applyFont="1" applyFill="1" applyBorder="1" applyAlignment="1" applyProtection="1">
      <alignment horizontal="center"/>
      <protection hidden="1"/>
    </xf>
    <xf numFmtId="0" fontId="2" fillId="2" borderId="0" xfId="0" applyFont="1" applyFill="1" applyAlignment="1" applyProtection="1">
      <alignment horizontal="left" indent="3"/>
      <protection hidden="1"/>
    </xf>
    <xf numFmtId="0" fontId="2" fillId="2" borderId="0" xfId="0" applyFont="1" applyFill="1" applyAlignment="1" applyProtection="1">
      <alignment horizontal="right"/>
      <protection hidden="1"/>
    </xf>
    <xf numFmtId="0" fontId="2" fillId="2" borderId="0" xfId="0" applyFont="1" applyFill="1" applyAlignment="1" applyProtection="1">
      <alignment horizontal="right" indent="4"/>
      <protection hidden="1"/>
    </xf>
    <xf numFmtId="37" fontId="19" fillId="28" borderId="1" xfId="0" applyNumberFormat="1" applyFont="1" applyFill="1" applyBorder="1" applyAlignment="1" applyProtection="1">
      <alignment horizontal="right"/>
      <protection hidden="1"/>
    </xf>
    <xf numFmtId="49" fontId="1" fillId="17" borderId="13" xfId="0" applyNumberFormat="1" applyFont="1" applyFill="1" applyBorder="1" applyAlignment="1" applyProtection="1">
      <alignment horizontal="center"/>
      <protection locked="0"/>
    </xf>
    <xf numFmtId="0" fontId="215" fillId="2" borderId="0" xfId="0" applyFont="1" applyFill="1" applyProtection="1">
      <protection hidden="1"/>
    </xf>
    <xf numFmtId="0" fontId="208" fillId="2" borderId="0" xfId="0" applyFont="1" applyFill="1" applyAlignment="1" applyProtection="1">
      <alignment vertical="top"/>
      <protection hidden="1"/>
    </xf>
    <xf numFmtId="0" fontId="63" fillId="2" borderId="1" xfId="0" applyFont="1" applyFill="1" applyBorder="1" applyAlignment="1" applyProtection="1">
      <alignment horizontal="left" indent="1"/>
      <protection hidden="1"/>
    </xf>
    <xf numFmtId="0" fontId="3" fillId="0" borderId="24" xfId="0" quotePrefix="1" applyFont="1" applyBorder="1" applyAlignment="1" applyProtection="1">
      <alignment horizontal="center"/>
      <protection hidden="1"/>
    </xf>
    <xf numFmtId="0" fontId="3" fillId="0" borderId="6" xfId="0" quotePrefix="1" applyFont="1" applyBorder="1" applyAlignment="1" applyProtection="1">
      <alignment horizontal="left" indent="1"/>
      <protection hidden="1"/>
    </xf>
    <xf numFmtId="0" fontId="3" fillId="0" borderId="6" xfId="0" quotePrefix="1" applyFont="1" applyBorder="1" applyAlignment="1" applyProtection="1">
      <alignment horizontal="center"/>
      <protection hidden="1"/>
    </xf>
    <xf numFmtId="0" fontId="1" fillId="0" borderId="6" xfId="0" quotePrefix="1" applyFont="1" applyBorder="1" applyAlignment="1" applyProtection="1">
      <alignment horizontal="right"/>
      <protection hidden="1"/>
    </xf>
    <xf numFmtId="0" fontId="1" fillId="0" borderId="22" xfId="0" quotePrefix="1" applyFont="1" applyBorder="1" applyAlignment="1" applyProtection="1">
      <alignment horizontal="right"/>
      <protection hidden="1"/>
    </xf>
    <xf numFmtId="49" fontId="1" fillId="2" borderId="0" xfId="4" applyNumberFormat="1" applyFont="1" applyFill="1" applyAlignment="1" applyProtection="1">
      <alignment horizontal="left" vertical="center"/>
      <protection hidden="1"/>
    </xf>
    <xf numFmtId="0" fontId="2" fillId="2" borderId="0" xfId="4" applyFont="1" applyFill="1" applyAlignment="1" applyProtection="1">
      <alignment vertical="center"/>
      <protection hidden="1"/>
    </xf>
    <xf numFmtId="0" fontId="3" fillId="2" borderId="0" xfId="4" applyFill="1" applyAlignment="1" applyProtection="1">
      <alignment horizontal="right"/>
      <protection hidden="1"/>
    </xf>
    <xf numFmtId="0" fontId="2" fillId="2" borderId="0" xfId="4" applyFont="1" applyFill="1" applyAlignment="1" applyProtection="1">
      <alignment vertical="top"/>
      <protection hidden="1"/>
    </xf>
    <xf numFmtId="0" fontId="3" fillId="2" borderId="0" xfId="4" applyFill="1" applyAlignment="1" applyProtection="1">
      <alignment horizontal="center" vertical="center"/>
      <protection locked="0"/>
    </xf>
    <xf numFmtId="37" fontId="0" fillId="0" borderId="0" xfId="0" applyNumberFormat="1" applyAlignment="1">
      <alignment vertical="center"/>
    </xf>
    <xf numFmtId="37" fontId="0" fillId="0" borderId="0" xfId="0" applyNumberFormat="1" applyAlignment="1">
      <alignment horizontal="center" vertical="center"/>
    </xf>
    <xf numFmtId="0" fontId="3" fillId="2" borderId="1" xfId="4" applyFill="1" applyBorder="1" applyAlignment="1" applyProtection="1">
      <alignment vertical="top"/>
      <protection hidden="1"/>
    </xf>
    <xf numFmtId="49" fontId="4" fillId="2" borderId="1" xfId="4" applyNumberFormat="1" applyFont="1" applyFill="1" applyBorder="1" applyAlignment="1" applyProtection="1">
      <alignment horizontal="right" vertical="top"/>
      <protection hidden="1"/>
    </xf>
    <xf numFmtId="3" fontId="23" fillId="2" borderId="1" xfId="4" applyNumberFormat="1" applyFont="1" applyFill="1" applyBorder="1" applyAlignment="1" applyProtection="1">
      <alignment vertical="top"/>
      <protection hidden="1"/>
    </xf>
    <xf numFmtId="0" fontId="3" fillId="2" borderId="0" xfId="4" applyFill="1" applyAlignment="1">
      <alignment vertical="top"/>
    </xf>
    <xf numFmtId="0" fontId="3" fillId="0" borderId="0" xfId="4" applyAlignment="1">
      <alignment vertical="top"/>
    </xf>
    <xf numFmtId="39" fontId="3" fillId="25" borderId="0" xfId="4" applyNumberFormat="1" applyFill="1" applyAlignment="1" applyProtection="1">
      <alignment vertical="top"/>
      <protection locked="0"/>
    </xf>
    <xf numFmtId="0" fontId="1" fillId="2" borderId="0" xfId="4" quotePrefix="1" applyFont="1" applyFill="1" applyAlignment="1" applyProtection="1">
      <alignment horizontal="center"/>
      <protection hidden="1"/>
    </xf>
    <xf numFmtId="49" fontId="1" fillId="2" borderId="13" xfId="4" quotePrefix="1" applyNumberFormat="1" applyFont="1" applyFill="1" applyBorder="1" applyAlignment="1" applyProtection="1">
      <alignment horizontal="center" vertical="center"/>
      <protection hidden="1"/>
    </xf>
    <xf numFmtId="37" fontId="138" fillId="2" borderId="0" xfId="4" applyNumberFormat="1" applyFont="1" applyFill="1" applyAlignment="1" applyProtection="1">
      <alignment horizontal="right" vertical="center"/>
      <protection hidden="1"/>
    </xf>
    <xf numFmtId="0" fontId="156" fillId="5" borderId="0" xfId="0" applyFont="1" applyFill="1" applyAlignment="1" applyProtection="1">
      <alignment horizontal="center" vertical="center"/>
      <protection hidden="1"/>
    </xf>
    <xf numFmtId="1" fontId="16" fillId="17" borderId="2" xfId="0" applyNumberFormat="1" applyFont="1" applyFill="1" applyBorder="1" applyAlignment="1" applyProtection="1">
      <alignment horizontal="center" vertical="center" wrapText="1"/>
      <protection locked="0"/>
    </xf>
    <xf numFmtId="1" fontId="1" fillId="2" borderId="13" xfId="4" quotePrefix="1" applyNumberFormat="1" applyFont="1" applyFill="1" applyBorder="1" applyAlignment="1" applyProtection="1">
      <alignment horizontal="center" vertical="center"/>
      <protection hidden="1"/>
    </xf>
    <xf numFmtId="49" fontId="1" fillId="2" borderId="58" xfId="4" quotePrefix="1" applyNumberFormat="1" applyFont="1" applyFill="1" applyBorder="1" applyAlignment="1" applyProtection="1">
      <alignment horizontal="center" vertical="center"/>
      <protection hidden="1"/>
    </xf>
    <xf numFmtId="40" fontId="1" fillId="2" borderId="0" xfId="4" applyNumberFormat="1" applyFont="1" applyFill="1" applyAlignment="1" applyProtection="1">
      <alignment horizontal="center" vertical="center"/>
      <protection hidden="1"/>
    </xf>
    <xf numFmtId="0" fontId="35" fillId="24" borderId="0" xfId="0" applyFont="1" applyFill="1" applyAlignment="1" applyProtection="1">
      <alignment horizontal="center" vertical="center"/>
      <protection hidden="1"/>
    </xf>
    <xf numFmtId="37" fontId="138" fillId="0" borderId="0" xfId="0" applyNumberFormat="1" applyFont="1" applyProtection="1">
      <protection hidden="1"/>
    </xf>
    <xf numFmtId="0" fontId="138" fillId="0" borderId="0" xfId="0" applyFont="1" applyAlignment="1" applyProtection="1">
      <alignment horizontal="left"/>
      <protection hidden="1"/>
    </xf>
    <xf numFmtId="0" fontId="3" fillId="24" borderId="0" xfId="0" applyFont="1" applyFill="1" applyAlignment="1" applyProtection="1">
      <alignment horizontal="right"/>
      <protection hidden="1"/>
    </xf>
    <xf numFmtId="164" fontId="10" fillId="4" borderId="0" xfId="0" applyNumberFormat="1" applyFont="1" applyFill="1" applyAlignment="1" applyProtection="1">
      <alignment vertical="center"/>
      <protection locked="0" hidden="1"/>
    </xf>
    <xf numFmtId="0" fontId="265" fillId="2" borderId="0" xfId="0" applyFont="1" applyFill="1" applyAlignment="1" applyProtection="1">
      <alignment vertical="center"/>
      <protection hidden="1"/>
    </xf>
    <xf numFmtId="0" fontId="3" fillId="16" borderId="6" xfId="0" applyFont="1" applyFill="1" applyBorder="1" applyAlignment="1" applyProtection="1">
      <alignment vertical="center" wrapText="1"/>
      <protection hidden="1"/>
    </xf>
    <xf numFmtId="0" fontId="3" fillId="16" borderId="22" xfId="0" applyFont="1" applyFill="1" applyBorder="1" applyAlignment="1" applyProtection="1">
      <alignment vertical="center" wrapText="1"/>
      <protection hidden="1"/>
    </xf>
    <xf numFmtId="166" fontId="5" fillId="19" borderId="0" xfId="0" applyNumberFormat="1" applyFont="1" applyFill="1" applyAlignment="1" applyProtection="1">
      <alignment horizontal="left"/>
      <protection locked="0"/>
    </xf>
    <xf numFmtId="0" fontId="181" fillId="3" borderId="0" xfId="0" applyFont="1" applyFill="1" applyAlignment="1" applyProtection="1">
      <alignment horizontal="center"/>
      <protection hidden="1"/>
    </xf>
    <xf numFmtId="0" fontId="215" fillId="2" borderId="0" xfId="0" applyFont="1" applyFill="1"/>
    <xf numFmtId="3" fontId="23" fillId="3" borderId="0" xfId="0" applyNumberFormat="1" applyFont="1" applyFill="1" applyProtection="1">
      <protection hidden="1"/>
    </xf>
    <xf numFmtId="4" fontId="23" fillId="3" borderId="0" xfId="0" applyNumberFormat="1" applyFont="1" applyFill="1" applyProtection="1">
      <protection hidden="1"/>
    </xf>
    <xf numFmtId="4" fontId="138" fillId="3" borderId="0" xfId="0" applyNumberFormat="1" applyFont="1" applyFill="1" applyProtection="1">
      <protection hidden="1"/>
    </xf>
    <xf numFmtId="0" fontId="1" fillId="3" borderId="0" xfId="0" applyFont="1" applyFill="1" applyAlignment="1" applyProtection="1">
      <alignment horizontal="right" vertical="center"/>
      <protection hidden="1"/>
    </xf>
    <xf numFmtId="3" fontId="3" fillId="3" borderId="0" xfId="0" applyNumberFormat="1" applyFont="1" applyFill="1" applyProtection="1">
      <protection locked="0"/>
    </xf>
    <xf numFmtId="3" fontId="138" fillId="3" borderId="0" xfId="0" applyNumberFormat="1" applyFont="1" applyFill="1" applyProtection="1">
      <protection locked="0"/>
    </xf>
    <xf numFmtId="3" fontId="150" fillId="3" borderId="0" xfId="0" applyNumberFormat="1" applyFont="1" applyFill="1" applyAlignment="1" applyProtection="1">
      <alignment horizontal="center"/>
      <protection hidden="1"/>
    </xf>
    <xf numFmtId="3" fontId="3" fillId="3" borderId="0" xfId="0" applyNumberFormat="1" applyFont="1" applyFill="1" applyProtection="1">
      <protection hidden="1"/>
    </xf>
    <xf numFmtId="0" fontId="0" fillId="3" borderId="28" xfId="0" applyFill="1" applyBorder="1" applyAlignment="1" applyProtection="1">
      <alignment vertical="center"/>
      <protection hidden="1"/>
    </xf>
    <xf numFmtId="37" fontId="3" fillId="21" borderId="10" xfId="0" applyNumberFormat="1" applyFont="1" applyFill="1" applyBorder="1" applyProtection="1">
      <protection locked="0"/>
    </xf>
    <xf numFmtId="0" fontId="178" fillId="3" borderId="1" xfId="0" applyFont="1" applyFill="1" applyBorder="1" applyProtection="1">
      <protection hidden="1"/>
    </xf>
    <xf numFmtId="0" fontId="95" fillId="3" borderId="1" xfId="0" applyFont="1" applyFill="1" applyBorder="1" applyProtection="1">
      <protection hidden="1"/>
    </xf>
    <xf numFmtId="0" fontId="8" fillId="3" borderId="10" xfId="0" applyFont="1" applyFill="1" applyBorder="1" applyAlignment="1" applyProtection="1">
      <alignment vertical="top"/>
      <protection hidden="1"/>
    </xf>
    <xf numFmtId="0" fontId="8" fillId="3" borderId="1" xfId="0" applyFont="1" applyFill="1" applyBorder="1" applyAlignment="1" applyProtection="1">
      <alignment vertical="top"/>
      <protection hidden="1"/>
    </xf>
    <xf numFmtId="0" fontId="8" fillId="3" borderId="1" xfId="0" applyFont="1" applyFill="1" applyBorder="1" applyAlignment="1" applyProtection="1">
      <alignment horizontal="left" vertical="top"/>
      <protection hidden="1"/>
    </xf>
    <xf numFmtId="0" fontId="1" fillId="27" borderId="13" xfId="0" applyFont="1" applyFill="1" applyBorder="1" applyAlignment="1" applyProtection="1">
      <alignment horizontal="center" vertical="center"/>
      <protection hidden="1"/>
    </xf>
    <xf numFmtId="0" fontId="3"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3" fillId="25" borderId="0" xfId="0" applyNumberFormat="1" applyFont="1" applyFill="1" applyAlignment="1" applyProtection="1">
      <alignment vertical="top"/>
      <protection locked="0"/>
    </xf>
    <xf numFmtId="0" fontId="13" fillId="16" borderId="8" xfId="0" applyFont="1" applyFill="1" applyBorder="1" applyProtection="1">
      <protection hidden="1"/>
    </xf>
    <xf numFmtId="0" fontId="19" fillId="16" borderId="8" xfId="0" applyFont="1" applyFill="1" applyBorder="1" applyProtection="1">
      <protection hidden="1"/>
    </xf>
    <xf numFmtId="0" fontId="26" fillId="16" borderId="8" xfId="0" applyFont="1" applyFill="1" applyBorder="1" applyProtection="1">
      <protection hidden="1"/>
    </xf>
    <xf numFmtId="0" fontId="161" fillId="16" borderId="20" xfId="0" applyFont="1" applyFill="1" applyBorder="1" applyAlignment="1" applyProtection="1">
      <alignment horizontal="right"/>
      <protection hidden="1"/>
    </xf>
    <xf numFmtId="0" fontId="161" fillId="16" borderId="21" xfId="0" applyFont="1" applyFill="1" applyBorder="1" applyAlignment="1" applyProtection="1">
      <alignment horizontal="right"/>
      <protection hidden="1"/>
    </xf>
    <xf numFmtId="0" fontId="1" fillId="16" borderId="6" xfId="0" applyFont="1" applyFill="1" applyBorder="1" applyProtection="1">
      <protection hidden="1"/>
    </xf>
    <xf numFmtId="37" fontId="19" fillId="16" borderId="0" xfId="0" applyNumberFormat="1" applyFont="1" applyFill="1" applyProtection="1">
      <protection hidden="1"/>
    </xf>
    <xf numFmtId="37" fontId="1" fillId="16" borderId="0" xfId="0" applyNumberFormat="1" applyFont="1" applyFill="1" applyAlignment="1" applyProtection="1">
      <alignment horizontal="right"/>
      <protection hidden="1"/>
    </xf>
    <xf numFmtId="0" fontId="140" fillId="16" borderId="21" xfId="0" applyFont="1" applyFill="1" applyBorder="1" applyAlignment="1" applyProtection="1">
      <alignment horizontal="center" vertical="center"/>
      <protection hidden="1"/>
    </xf>
    <xf numFmtId="0" fontId="8" fillId="16" borderId="6" xfId="0" applyFont="1" applyFill="1" applyBorder="1" applyAlignment="1" applyProtection="1">
      <alignment horizontal="center" vertical="center"/>
      <protection hidden="1"/>
    </xf>
    <xf numFmtId="37" fontId="23" fillId="16" borderId="0" xfId="0" applyNumberFormat="1" applyFont="1" applyFill="1" applyProtection="1">
      <protection hidden="1"/>
    </xf>
    <xf numFmtId="3" fontId="121" fillId="16" borderId="0" xfId="0" applyNumberFormat="1" applyFont="1" applyFill="1" applyProtection="1">
      <protection hidden="1"/>
    </xf>
    <xf numFmtId="0" fontId="8" fillId="16" borderId="6" xfId="0" applyFont="1" applyFill="1" applyBorder="1" applyAlignment="1" applyProtection="1">
      <alignment horizontal="center" vertical="center"/>
      <protection locked="0"/>
    </xf>
    <xf numFmtId="3" fontId="140" fillId="16" borderId="21" xfId="0" applyNumberFormat="1" applyFont="1" applyFill="1" applyBorder="1" applyProtection="1">
      <protection hidden="1"/>
    </xf>
    <xf numFmtId="0" fontId="8" fillId="16" borderId="27" xfId="0" applyFont="1" applyFill="1" applyBorder="1" applyAlignment="1" applyProtection="1">
      <alignment horizontal="center" vertical="center"/>
      <protection hidden="1"/>
    </xf>
    <xf numFmtId="0" fontId="4" fillId="16" borderId="1" xfId="0" applyFont="1" applyFill="1" applyBorder="1" applyProtection="1">
      <protection hidden="1"/>
    </xf>
    <xf numFmtId="37" fontId="19" fillId="16" borderId="1" xfId="0" applyNumberFormat="1" applyFont="1" applyFill="1" applyBorder="1" applyProtection="1">
      <protection hidden="1"/>
    </xf>
    <xf numFmtId="37" fontId="150" fillId="16" borderId="1" xfId="0" applyNumberFormat="1" applyFont="1" applyFill="1" applyBorder="1" applyProtection="1">
      <protection hidden="1"/>
    </xf>
    <xf numFmtId="3" fontId="121" fillId="16" borderId="1" xfId="0" applyNumberFormat="1" applyFont="1" applyFill="1" applyBorder="1" applyProtection="1">
      <protection hidden="1"/>
    </xf>
    <xf numFmtId="3" fontId="138" fillId="16" borderId="1" xfId="0" applyNumberFormat="1" applyFont="1" applyFill="1" applyBorder="1" applyProtection="1">
      <protection hidden="1"/>
    </xf>
    <xf numFmtId="3" fontId="140" fillId="16" borderId="30" xfId="0" applyNumberFormat="1" applyFont="1" applyFill="1" applyBorder="1" applyProtection="1">
      <protection hidden="1"/>
    </xf>
    <xf numFmtId="0" fontId="4" fillId="16" borderId="6" xfId="0" quotePrefix="1" applyFont="1" applyFill="1" applyBorder="1" applyAlignment="1" applyProtection="1">
      <alignment horizontal="right"/>
      <protection hidden="1"/>
    </xf>
    <xf numFmtId="0" fontId="121" fillId="16" borderId="0" xfId="0" applyFont="1" applyFill="1" applyProtection="1">
      <protection hidden="1"/>
    </xf>
    <xf numFmtId="0" fontId="140" fillId="16" borderId="21" xfId="0" applyFont="1" applyFill="1" applyBorder="1" applyProtection="1">
      <protection hidden="1"/>
    </xf>
    <xf numFmtId="3" fontId="23" fillId="16" borderId="0" xfId="0" applyNumberFormat="1" applyFont="1" applyFill="1" applyProtection="1">
      <protection hidden="1"/>
    </xf>
    <xf numFmtId="0" fontId="23" fillId="16" borderId="0" xfId="0" applyFont="1" applyFill="1" applyProtection="1">
      <protection hidden="1"/>
    </xf>
    <xf numFmtId="3" fontId="168" fillId="16" borderId="21" xfId="0" applyNumberFormat="1" applyFont="1" applyFill="1" applyBorder="1" applyAlignment="1" applyProtection="1">
      <alignment horizontal="right"/>
      <protection hidden="1"/>
    </xf>
    <xf numFmtId="3" fontId="4" fillId="16" borderId="0" xfId="0" applyNumberFormat="1" applyFont="1" applyFill="1" applyAlignment="1" applyProtection="1">
      <alignment horizontal="right"/>
      <protection hidden="1"/>
    </xf>
    <xf numFmtId="0" fontId="2" fillId="16" borderId="0" xfId="0" applyFont="1" applyFill="1" applyAlignment="1" applyProtection="1">
      <alignment horizontal="left" indent="1"/>
      <protection hidden="1"/>
    </xf>
    <xf numFmtId="0" fontId="168" fillId="16" borderId="21" xfId="0" quotePrefix="1" applyFont="1" applyFill="1" applyBorder="1" applyProtection="1">
      <protection hidden="1"/>
    </xf>
    <xf numFmtId="0" fontId="140" fillId="16" borderId="21" xfId="0" quotePrefix="1" applyFont="1" applyFill="1" applyBorder="1" applyProtection="1">
      <protection hidden="1"/>
    </xf>
    <xf numFmtId="0" fontId="4" fillId="16" borderId="22" xfId="0" quotePrefix="1" applyFont="1" applyFill="1" applyBorder="1" applyAlignment="1" applyProtection="1">
      <alignment horizontal="right"/>
      <protection hidden="1"/>
    </xf>
    <xf numFmtId="0" fontId="19" fillId="16" borderId="5" xfId="0" quotePrefix="1" applyFont="1" applyFill="1" applyBorder="1" applyAlignment="1" applyProtection="1">
      <alignment horizontal="right"/>
      <protection hidden="1"/>
    </xf>
    <xf numFmtId="0" fontId="19" fillId="16" borderId="5" xfId="0" applyFont="1" applyFill="1" applyBorder="1" applyProtection="1">
      <protection hidden="1"/>
    </xf>
    <xf numFmtId="37" fontId="23" fillId="16" borderId="5" xfId="0" applyNumberFormat="1" applyFont="1" applyFill="1" applyBorder="1" applyProtection="1">
      <protection hidden="1"/>
    </xf>
    <xf numFmtId="3" fontId="23" fillId="16" borderId="5" xfId="0" applyNumberFormat="1" applyFont="1" applyFill="1" applyBorder="1" applyProtection="1">
      <protection hidden="1"/>
    </xf>
    <xf numFmtId="0" fontId="23" fillId="16" borderId="5" xfId="0" applyFont="1" applyFill="1" applyBorder="1" applyProtection="1">
      <protection hidden="1"/>
    </xf>
    <xf numFmtId="0" fontId="140" fillId="16" borderId="23" xfId="0" applyFont="1" applyFill="1" applyBorder="1" applyProtection="1">
      <protection hidden="1"/>
    </xf>
    <xf numFmtId="37" fontId="1" fillId="17" borderId="0" xfId="0" applyNumberFormat="1" applyFont="1" applyFill="1" applyAlignment="1" applyProtection="1">
      <alignment horizontal="center" vertical="center"/>
      <protection locked="0"/>
    </xf>
    <xf numFmtId="37" fontId="3" fillId="28" borderId="1" xfId="0" applyNumberFormat="1" applyFont="1" applyFill="1" applyBorder="1" applyAlignment="1" applyProtection="1">
      <alignment horizontal="right"/>
      <protection hidden="1"/>
    </xf>
    <xf numFmtId="0" fontId="1" fillId="16" borderId="0" xfId="0" applyFont="1" applyFill="1" applyAlignment="1">
      <alignment horizontal="center"/>
    </xf>
    <xf numFmtId="0" fontId="0" fillId="20" borderId="6" xfId="0" applyFill="1" applyBorder="1" applyProtection="1">
      <protection hidden="1"/>
    </xf>
    <xf numFmtId="0" fontId="0" fillId="20" borderId="5" xfId="0" applyFill="1" applyBorder="1"/>
    <xf numFmtId="0" fontId="8" fillId="20" borderId="0" xfId="0" applyFont="1" applyFill="1" applyProtection="1">
      <protection hidden="1"/>
    </xf>
    <xf numFmtId="14" fontId="3" fillId="25" borderId="0" xfId="0" applyNumberFormat="1" applyFont="1" applyFill="1" applyAlignment="1" applyProtection="1">
      <alignment horizontal="center"/>
      <protection locked="0"/>
    </xf>
    <xf numFmtId="14" fontId="0" fillId="25" borderId="0" xfId="0" applyNumberFormat="1" applyFill="1" applyAlignment="1" applyProtection="1">
      <alignment horizontal="center"/>
      <protection locked="0"/>
    </xf>
    <xf numFmtId="14" fontId="0" fillId="0" borderId="0" xfId="0" applyNumberFormat="1" applyAlignment="1" applyProtection="1">
      <alignment horizontal="center"/>
      <protection locked="0"/>
    </xf>
    <xf numFmtId="14" fontId="16" fillId="25" borderId="0" xfId="0" applyNumberFormat="1" applyFont="1" applyFill="1" applyAlignment="1" applyProtection="1">
      <alignment horizontal="left"/>
      <protection locked="0"/>
    </xf>
    <xf numFmtId="0" fontId="1" fillId="2" borderId="46" xfId="0" applyFont="1" applyFill="1" applyBorder="1" applyAlignment="1" applyProtection="1">
      <alignment horizontal="right"/>
      <protection hidden="1"/>
    </xf>
    <xf numFmtId="171" fontId="4" fillId="2" borderId="46" xfId="0" applyNumberFormat="1" applyFont="1" applyFill="1" applyBorder="1" applyAlignment="1" applyProtection="1">
      <alignment horizontal="center"/>
      <protection hidden="1"/>
    </xf>
    <xf numFmtId="1" fontId="3" fillId="16" borderId="0" xfId="0" applyNumberFormat="1" applyFont="1" applyFill="1" applyProtection="1">
      <protection locked="0"/>
    </xf>
    <xf numFmtId="4" fontId="3" fillId="16" borderId="10" xfId="0" applyNumberFormat="1" applyFont="1" applyFill="1" applyBorder="1" applyAlignment="1" applyProtection="1">
      <alignment horizontal="left" indent="1"/>
      <protection hidden="1"/>
    </xf>
    <xf numFmtId="4" fontId="3" fillId="16" borderId="31" xfId="0" applyNumberFormat="1" applyFont="1" applyFill="1" applyBorder="1" applyAlignment="1" applyProtection="1">
      <alignment horizontal="left" indent="1"/>
      <protection hidden="1"/>
    </xf>
    <xf numFmtId="1" fontId="16" fillId="17" borderId="2" xfId="0" applyNumberFormat="1" applyFont="1" applyFill="1" applyBorder="1" applyAlignment="1" applyProtection="1">
      <alignment horizontal="center"/>
      <protection locked="0"/>
    </xf>
    <xf numFmtId="0" fontId="198" fillId="16" borderId="0" xfId="0" applyFont="1" applyFill="1" applyProtection="1">
      <protection hidden="1"/>
    </xf>
    <xf numFmtId="3" fontId="11" fillId="17" borderId="1" xfId="0" applyNumberFormat="1" applyFont="1" applyFill="1" applyBorder="1" applyProtection="1">
      <protection locked="0"/>
    </xf>
    <xf numFmtId="3" fontId="11" fillId="28" borderId="1" xfId="0" applyNumberFormat="1" applyFont="1" applyFill="1" applyBorder="1" applyProtection="1">
      <protection hidden="1"/>
    </xf>
    <xf numFmtId="0" fontId="138" fillId="16" borderId="20" xfId="0" applyFont="1" applyFill="1" applyBorder="1" applyProtection="1">
      <protection hidden="1"/>
    </xf>
    <xf numFmtId="0" fontId="138" fillId="16" borderId="21" xfId="0" applyFont="1" applyFill="1" applyBorder="1" applyProtection="1">
      <protection hidden="1"/>
    </xf>
    <xf numFmtId="0" fontId="138" fillId="16" borderId="23" xfId="0" applyFont="1" applyFill="1" applyBorder="1" applyProtection="1">
      <protection hidden="1"/>
    </xf>
    <xf numFmtId="0" fontId="1" fillId="25" borderId="24" xfId="0" quotePrefix="1" applyFont="1" applyFill="1" applyBorder="1" applyAlignment="1" applyProtection="1">
      <alignment horizontal="right"/>
      <protection hidden="1"/>
    </xf>
    <xf numFmtId="0" fontId="3" fillId="25" borderId="8" xfId="0" applyFont="1" applyFill="1" applyBorder="1" applyProtection="1">
      <protection hidden="1"/>
    </xf>
    <xf numFmtId="0" fontId="8" fillId="25" borderId="8" xfId="0" applyFont="1" applyFill="1" applyBorder="1" applyAlignment="1" applyProtection="1">
      <alignment horizontal="left" vertical="top" wrapText="1"/>
      <protection hidden="1"/>
    </xf>
    <xf numFmtId="0" fontId="11" fillId="25" borderId="8" xfId="0" applyFont="1" applyFill="1" applyBorder="1" applyAlignment="1" applyProtection="1">
      <alignment horizontal="center" wrapText="1"/>
      <protection hidden="1"/>
    </xf>
    <xf numFmtId="0" fontId="8" fillId="25" borderId="8" xfId="0" applyFont="1" applyFill="1" applyBorder="1" applyAlignment="1" applyProtection="1">
      <alignment horizontal="right" vertical="top" wrapText="1"/>
      <protection hidden="1"/>
    </xf>
    <xf numFmtId="0" fontId="1" fillId="25" borderId="0" xfId="0" quotePrefix="1" applyFont="1" applyFill="1" applyAlignment="1" applyProtection="1">
      <alignment horizontal="right"/>
      <protection hidden="1"/>
    </xf>
    <xf numFmtId="0" fontId="8" fillId="25" borderId="0" xfId="0" applyFont="1" applyFill="1" applyAlignment="1" applyProtection="1">
      <alignment horizontal="left" vertical="top" wrapText="1"/>
      <protection hidden="1"/>
    </xf>
    <xf numFmtId="0" fontId="1" fillId="25" borderId="22" xfId="0" applyFont="1" applyFill="1" applyBorder="1" applyAlignment="1" applyProtection="1">
      <alignment horizontal="left"/>
      <protection hidden="1"/>
    </xf>
    <xf numFmtId="0" fontId="8" fillId="25" borderId="8" xfId="0" applyFont="1" applyFill="1" applyBorder="1" applyAlignment="1" applyProtection="1">
      <alignment horizontal="center" vertical="top" wrapText="1"/>
      <protection hidden="1"/>
    </xf>
    <xf numFmtId="0" fontId="155" fillId="25" borderId="20" xfId="0" applyFont="1" applyFill="1" applyBorder="1" applyProtection="1">
      <protection hidden="1"/>
    </xf>
    <xf numFmtId="0" fontId="155" fillId="25" borderId="21" xfId="0" applyFont="1" applyFill="1" applyBorder="1" applyProtection="1">
      <protection hidden="1"/>
    </xf>
    <xf numFmtId="0" fontId="11" fillId="25" borderId="28" xfId="0" applyFont="1" applyFill="1" applyBorder="1" applyAlignment="1" applyProtection="1">
      <alignment horizontal="center" wrapText="1"/>
      <protection hidden="1"/>
    </xf>
    <xf numFmtId="3" fontId="3" fillId="0" borderId="0" xfId="0" applyNumberFormat="1" applyFont="1"/>
    <xf numFmtId="0" fontId="11" fillId="16" borderId="6" xfId="0" applyFont="1" applyFill="1" applyBorder="1" applyAlignment="1" applyProtection="1">
      <alignment horizontal="left" indent="1"/>
      <protection hidden="1"/>
    </xf>
    <xf numFmtId="0" fontId="0" fillId="16" borderId="0" xfId="0" applyFill="1" applyAlignment="1" applyProtection="1">
      <alignment wrapText="1"/>
      <protection hidden="1"/>
    </xf>
    <xf numFmtId="0" fontId="3" fillId="16" borderId="0" xfId="0" quotePrefix="1" applyFont="1" applyFill="1" applyProtection="1">
      <protection hidden="1"/>
    </xf>
    <xf numFmtId="0" fontId="137" fillId="8" borderId="0" xfId="0" applyFont="1" applyFill="1" applyAlignment="1" applyProtection="1">
      <alignment horizontal="center"/>
      <protection hidden="1"/>
    </xf>
    <xf numFmtId="0" fontId="137" fillId="8" borderId="0" xfId="0" applyFont="1" applyFill="1" applyAlignment="1" applyProtection="1">
      <alignment horizontal="center" vertical="top"/>
      <protection hidden="1"/>
    </xf>
    <xf numFmtId="0" fontId="16" fillId="16" borderId="0" xfId="0" applyFont="1" applyFill="1" applyAlignment="1" applyProtection="1">
      <alignment horizontal="center" vertical="center"/>
      <protection locked="0"/>
    </xf>
    <xf numFmtId="0" fontId="148" fillId="16" borderId="0" xfId="0" applyFont="1" applyFill="1" applyAlignment="1" applyProtection="1">
      <alignment horizontal="right" vertical="center"/>
      <protection hidden="1"/>
    </xf>
    <xf numFmtId="0" fontId="134" fillId="2" borderId="0" xfId="0" applyFont="1" applyFill="1" applyAlignment="1" applyProtection="1">
      <alignment horizontal="left" vertical="top"/>
      <protection hidden="1"/>
    </xf>
    <xf numFmtId="0" fontId="8" fillId="16" borderId="8" xfId="0" applyFont="1" applyFill="1" applyBorder="1" applyAlignment="1" applyProtection="1">
      <alignment vertical="top"/>
      <protection hidden="1"/>
    </xf>
    <xf numFmtId="0" fontId="17" fillId="16" borderId="21" xfId="0" applyFont="1" applyFill="1" applyBorder="1" applyAlignment="1" applyProtection="1">
      <alignment horizontal="center" wrapText="1"/>
      <protection hidden="1"/>
    </xf>
    <xf numFmtId="0" fontId="88" fillId="2" borderId="6" xfId="0" applyFont="1" applyFill="1" applyBorder="1" applyAlignment="1" applyProtection="1">
      <alignment horizontal="left"/>
      <protection hidden="1"/>
    </xf>
    <xf numFmtId="0" fontId="88" fillId="2" borderId="22" xfId="0" applyFont="1" applyFill="1" applyBorder="1" applyAlignment="1" applyProtection="1">
      <alignment horizontal="left"/>
      <protection hidden="1"/>
    </xf>
    <xf numFmtId="0" fontId="88" fillId="2" borderId="5" xfId="0" applyFont="1" applyFill="1" applyBorder="1" applyAlignment="1" applyProtection="1">
      <alignment horizontal="left"/>
      <protection hidden="1"/>
    </xf>
    <xf numFmtId="0" fontId="261" fillId="2" borderId="0" xfId="0" applyFont="1" applyFill="1" applyAlignment="1" applyProtection="1">
      <alignment horizontal="center"/>
      <protection hidden="1"/>
    </xf>
    <xf numFmtId="0" fontId="1" fillId="16" borderId="6" xfId="0" applyFont="1" applyFill="1" applyBorder="1" applyAlignment="1" applyProtection="1">
      <alignment horizontal="center" vertical="center"/>
      <protection locked="0"/>
    </xf>
    <xf numFmtId="0" fontId="3" fillId="0" borderId="21" xfId="0" applyFont="1" applyBorder="1" applyProtection="1">
      <protection hidden="1"/>
    </xf>
    <xf numFmtId="199" fontId="3" fillId="33" borderId="124" xfId="0" applyNumberFormat="1" applyFont="1" applyFill="1" applyBorder="1" applyProtection="1">
      <protection locked="0"/>
    </xf>
    <xf numFmtId="0" fontId="0" fillId="0" borderId="13" xfId="0" applyBorder="1" applyProtection="1">
      <protection hidden="1"/>
    </xf>
    <xf numFmtId="183" fontId="16" fillId="25" borderId="0" xfId="0" applyNumberFormat="1" applyFont="1" applyFill="1" applyProtection="1">
      <protection locked="0"/>
    </xf>
    <xf numFmtId="183" fontId="3" fillId="25" borderId="0" xfId="0" applyNumberFormat="1" applyFont="1" applyFill="1" applyProtection="1">
      <protection locked="0"/>
    </xf>
    <xf numFmtId="183" fontId="0" fillId="25" borderId="0" xfId="0" applyNumberFormat="1" applyFill="1" applyProtection="1">
      <protection locked="0"/>
    </xf>
    <xf numFmtId="183" fontId="110" fillId="25" borderId="0" xfId="0" applyNumberFormat="1" applyFont="1" applyFill="1" applyProtection="1">
      <protection locked="0"/>
    </xf>
    <xf numFmtId="0" fontId="8" fillId="19" borderId="0" xfId="0" applyFont="1" applyFill="1" applyAlignment="1">
      <alignment horizontal="right" vertical="center"/>
    </xf>
    <xf numFmtId="0" fontId="8" fillId="19" borderId="0" xfId="0" applyFont="1" applyFill="1" applyAlignment="1" applyProtection="1">
      <alignment horizontal="right" vertical="center" indent="1"/>
      <protection hidden="1"/>
    </xf>
    <xf numFmtId="164" fontId="6" fillId="3" borderId="0" xfId="0" applyNumberFormat="1" applyFont="1" applyFill="1" applyAlignment="1" applyProtection="1">
      <alignment horizontal="right"/>
      <protection hidden="1"/>
    </xf>
    <xf numFmtId="0" fontId="208" fillId="2" borderId="0" xfId="0" applyFont="1" applyFill="1" applyProtection="1">
      <protection hidden="1"/>
    </xf>
    <xf numFmtId="164" fontId="1" fillId="2" borderId="0" xfId="0" applyNumberFormat="1" applyFont="1" applyFill="1" applyProtection="1">
      <protection hidden="1"/>
    </xf>
    <xf numFmtId="0" fontId="215" fillId="2" borderId="8" xfId="0" applyFont="1" applyFill="1" applyBorder="1" applyProtection="1">
      <protection hidden="1"/>
    </xf>
    <xf numFmtId="0" fontId="10" fillId="30" borderId="114" xfId="0" applyFont="1" applyFill="1" applyBorder="1" applyProtection="1">
      <protection hidden="1"/>
    </xf>
    <xf numFmtId="0" fontId="6" fillId="25" borderId="0" xfId="0" quotePrefix="1" applyFont="1" applyFill="1" applyAlignment="1" applyProtection="1">
      <alignment horizontal="center"/>
      <protection hidden="1"/>
    </xf>
    <xf numFmtId="0" fontId="235" fillId="35" borderId="0" xfId="0" applyFont="1" applyFill="1" applyAlignment="1" applyProtection="1">
      <alignment horizontal="center" vertical="center"/>
      <protection hidden="1"/>
    </xf>
    <xf numFmtId="0" fontId="3" fillId="0" borderId="0" xfId="0" applyFont="1" applyAlignment="1" applyProtection="1">
      <alignment horizontal="left" vertical="center"/>
      <protection hidden="1"/>
    </xf>
    <xf numFmtId="0" fontId="16" fillId="0" borderId="0" xfId="0" applyFont="1" applyAlignment="1" applyProtection="1">
      <alignment horizontal="left" vertical="center"/>
      <protection hidden="1"/>
    </xf>
    <xf numFmtId="0" fontId="1" fillId="0" borderId="179" xfId="0" applyFont="1" applyBorder="1"/>
    <xf numFmtId="0" fontId="0" fillId="0" borderId="112" xfId="0" applyBorder="1"/>
    <xf numFmtId="0" fontId="1" fillId="0" borderId="180" xfId="0" quotePrefix="1" applyFont="1" applyBorder="1" applyAlignment="1">
      <alignment horizontal="right"/>
    </xf>
    <xf numFmtId="0" fontId="0" fillId="0" borderId="191" xfId="0" applyBorder="1"/>
    <xf numFmtId="0" fontId="3" fillId="0" borderId="180" xfId="0" quotePrefix="1" applyFont="1" applyBorder="1" applyAlignment="1">
      <alignment horizontal="left" indent="2"/>
    </xf>
    <xf numFmtId="0" fontId="0" fillId="0" borderId="180" xfId="0" quotePrefix="1" applyBorder="1"/>
    <xf numFmtId="0" fontId="3" fillId="0" borderId="180" xfId="0" quotePrefix="1" applyFont="1" applyBorder="1" applyAlignment="1">
      <alignment horizontal="right" indent="2"/>
    </xf>
    <xf numFmtId="0" fontId="110" fillId="0" borderId="191" xfId="0" applyFont="1" applyBorder="1"/>
    <xf numFmtId="2" fontId="0" fillId="0" borderId="191" xfId="0" applyNumberFormat="1" applyBorder="1" applyAlignment="1">
      <alignment horizontal="center"/>
    </xf>
    <xf numFmtId="0" fontId="3" fillId="0" borderId="180" xfId="0" quotePrefix="1" applyFont="1" applyBorder="1"/>
    <xf numFmtId="0" fontId="8" fillId="0" borderId="180" xfId="0" applyFont="1" applyBorder="1" applyAlignment="1" applyProtection="1">
      <alignment horizontal="center"/>
      <protection hidden="1"/>
    </xf>
    <xf numFmtId="0" fontId="0" fillId="0" borderId="191" xfId="0" applyBorder="1" applyAlignment="1">
      <alignment horizontal="center"/>
    </xf>
    <xf numFmtId="3" fontId="19" fillId="16" borderId="192" xfId="0" applyNumberFormat="1" applyFont="1" applyFill="1" applyBorder="1" applyAlignment="1" applyProtection="1">
      <alignment horizontal="right"/>
      <protection hidden="1"/>
    </xf>
    <xf numFmtId="3" fontId="19" fillId="16" borderId="193" xfId="0" applyNumberFormat="1" applyFont="1" applyFill="1" applyBorder="1" applyAlignment="1" applyProtection="1">
      <alignment horizontal="right"/>
      <protection hidden="1"/>
    </xf>
    <xf numFmtId="0" fontId="0" fillId="0" borderId="180" xfId="0" applyBorder="1"/>
    <xf numFmtId="3" fontId="19" fillId="16" borderId="194" xfId="0" applyNumberFormat="1" applyFont="1" applyFill="1" applyBorder="1" applyAlignment="1" applyProtection="1">
      <alignment horizontal="right"/>
      <protection hidden="1"/>
    </xf>
    <xf numFmtId="3" fontId="19" fillId="16" borderId="180" xfId="0" applyNumberFormat="1" applyFont="1" applyFill="1" applyBorder="1" applyAlignment="1" applyProtection="1">
      <alignment horizontal="right"/>
      <protection hidden="1"/>
    </xf>
    <xf numFmtId="0" fontId="19" fillId="16" borderId="191" xfId="0" applyFont="1" applyFill="1" applyBorder="1" applyAlignment="1" applyProtection="1">
      <alignment horizontal="right"/>
      <protection hidden="1"/>
    </xf>
    <xf numFmtId="3" fontId="19" fillId="16" borderId="195" xfId="0" applyNumberFormat="1" applyFont="1" applyFill="1" applyBorder="1" applyAlignment="1" applyProtection="1">
      <alignment horizontal="right"/>
      <protection hidden="1"/>
    </xf>
    <xf numFmtId="3" fontId="19" fillId="16" borderId="196" xfId="0" applyNumberFormat="1" applyFont="1" applyFill="1" applyBorder="1" applyAlignment="1" applyProtection="1">
      <alignment horizontal="right"/>
      <protection hidden="1"/>
    </xf>
    <xf numFmtId="0" fontId="1" fillId="0" borderId="182" xfId="0" quotePrefix="1" applyFont="1" applyBorder="1" applyAlignment="1">
      <alignment horizontal="right"/>
    </xf>
    <xf numFmtId="0" fontId="3" fillId="0" borderId="92" xfId="0" applyFont="1" applyBorder="1"/>
    <xf numFmtId="0" fontId="0" fillId="0" borderId="92" xfId="0" applyBorder="1"/>
    <xf numFmtId="37" fontId="5" fillId="27" borderId="92" xfId="0" applyNumberFormat="1" applyFont="1" applyFill="1" applyBorder="1" applyAlignment="1" applyProtection="1">
      <alignment horizontal="right"/>
      <protection hidden="1"/>
    </xf>
    <xf numFmtId="0" fontId="0" fillId="0" borderId="197" xfId="0" applyBorder="1"/>
    <xf numFmtId="0" fontId="3" fillId="0" borderId="190" xfId="0" applyFont="1" applyBorder="1"/>
    <xf numFmtId="0" fontId="8" fillId="2" borderId="0" xfId="0" applyFont="1" applyFill="1" applyAlignment="1" applyProtection="1">
      <alignment vertical="top" wrapText="1"/>
      <protection hidden="1"/>
    </xf>
    <xf numFmtId="0" fontId="154" fillId="32" borderId="0" xfId="0" applyFont="1" applyFill="1" applyAlignment="1" applyProtection="1">
      <alignment horizontal="center"/>
      <protection hidden="1"/>
    </xf>
    <xf numFmtId="0" fontId="75" fillId="2" borderId="9" xfId="2" applyFill="1" applyBorder="1" applyAlignment="1" applyProtection="1">
      <protection hidden="1"/>
    </xf>
    <xf numFmtId="0" fontId="181" fillId="5" borderId="0" xfId="0" applyFont="1" applyFill="1" applyAlignment="1" applyProtection="1">
      <alignment horizontal="center"/>
      <protection hidden="1"/>
    </xf>
    <xf numFmtId="0" fontId="47" fillId="3" borderId="0" xfId="0" applyFont="1" applyFill="1" applyAlignment="1" applyProtection="1">
      <alignment horizontal="right" vertical="center"/>
      <protection hidden="1"/>
    </xf>
    <xf numFmtId="39" fontId="5" fillId="3" borderId="0" xfId="0" applyNumberFormat="1" applyFont="1" applyFill="1" applyAlignment="1" applyProtection="1">
      <alignment horizontal="right" indent="1"/>
      <protection hidden="1"/>
    </xf>
    <xf numFmtId="39" fontId="6" fillId="3" borderId="0" xfId="0" applyNumberFormat="1" applyFont="1" applyFill="1" applyAlignment="1" applyProtection="1">
      <alignment horizontal="right" indent="1"/>
      <protection hidden="1"/>
    </xf>
    <xf numFmtId="39" fontId="1" fillId="3" borderId="0" xfId="0" applyNumberFormat="1" applyFont="1" applyFill="1" applyAlignment="1" applyProtection="1">
      <alignment horizontal="right"/>
      <protection hidden="1"/>
    </xf>
    <xf numFmtId="0" fontId="198" fillId="5" borderId="0" xfId="0" applyFont="1" applyFill="1" applyAlignment="1">
      <alignment vertical="center"/>
    </xf>
    <xf numFmtId="0" fontId="198" fillId="5" borderId="0" xfId="0" applyFont="1" applyFill="1" applyAlignment="1" applyProtection="1">
      <alignment vertical="center"/>
      <protection hidden="1"/>
    </xf>
    <xf numFmtId="0" fontId="1" fillId="16" borderId="26" xfId="0" applyFont="1" applyFill="1" applyBorder="1" applyAlignment="1" applyProtection="1">
      <alignment horizontal="right" vertical="center"/>
      <protection hidden="1"/>
    </xf>
    <xf numFmtId="0" fontId="1" fillId="16" borderId="25" xfId="0" applyFont="1" applyFill="1" applyBorder="1" applyAlignment="1" applyProtection="1">
      <alignment horizontal="right" vertical="center"/>
      <protection hidden="1"/>
    </xf>
    <xf numFmtId="0" fontId="53" fillId="16" borderId="0" xfId="0" applyFont="1" applyFill="1" applyAlignment="1" applyProtection="1">
      <alignment horizontal="right"/>
      <protection hidden="1"/>
    </xf>
    <xf numFmtId="0" fontId="1" fillId="16" borderId="71" xfId="0" applyFont="1" applyFill="1" applyBorder="1" applyAlignment="1" applyProtection="1">
      <alignment horizontal="right" vertical="center"/>
      <protection hidden="1"/>
    </xf>
    <xf numFmtId="0" fontId="1" fillId="16" borderId="12" xfId="0" applyFont="1" applyFill="1" applyBorder="1" applyAlignment="1" applyProtection="1">
      <alignment horizontal="right" vertical="center"/>
      <protection hidden="1"/>
    </xf>
    <xf numFmtId="0" fontId="10" fillId="16" borderId="1" xfId="0" applyFont="1" applyFill="1" applyBorder="1" applyProtection="1">
      <protection hidden="1"/>
    </xf>
    <xf numFmtId="37" fontId="1" fillId="28" borderId="31" xfId="0" applyNumberFormat="1" applyFont="1" applyFill="1" applyBorder="1" applyAlignment="1" applyProtection="1">
      <alignment horizontal="right" indent="1"/>
      <protection hidden="1"/>
    </xf>
    <xf numFmtId="37" fontId="1" fillId="28" borderId="9" xfId="0" applyNumberFormat="1" applyFont="1" applyFill="1" applyBorder="1" applyAlignment="1">
      <alignment horizontal="right" indent="1"/>
    </xf>
    <xf numFmtId="0" fontId="209" fillId="16" borderId="0" xfId="0" applyFont="1" applyFill="1" applyAlignment="1" applyProtection="1">
      <alignment horizontal="centerContinuous" vertical="center"/>
      <protection hidden="1"/>
    </xf>
    <xf numFmtId="0" fontId="209" fillId="16" borderId="0" xfId="0" applyFont="1" applyFill="1" applyAlignment="1">
      <alignment horizontal="centerContinuous" vertical="center"/>
    </xf>
    <xf numFmtId="40" fontId="24" fillId="2" borderId="0" xfId="4" applyNumberFormat="1" applyFont="1" applyFill="1" applyAlignment="1" applyProtection="1">
      <alignment horizontal="right" vertical="center"/>
      <protection hidden="1"/>
    </xf>
    <xf numFmtId="40" fontId="45" fillId="2" borderId="0" xfId="4" applyNumberFormat="1" applyFont="1" applyFill="1" applyAlignment="1" applyProtection="1">
      <alignment horizontal="right" vertical="center" indent="3"/>
      <protection hidden="1"/>
    </xf>
    <xf numFmtId="0" fontId="45" fillId="2" borderId="0" xfId="4" applyFont="1" applyFill="1" applyAlignment="1" applyProtection="1">
      <alignment horizontal="right" vertical="center"/>
      <protection hidden="1"/>
    </xf>
    <xf numFmtId="0" fontId="45" fillId="2" borderId="0" xfId="4" applyFont="1" applyFill="1" applyAlignment="1" applyProtection="1">
      <alignment horizontal="right"/>
      <protection hidden="1"/>
    </xf>
    <xf numFmtId="40" fontId="24" fillId="2" borderId="14" xfId="4" applyNumberFormat="1" applyFont="1" applyFill="1" applyBorder="1" applyAlignment="1" applyProtection="1">
      <alignment horizontal="right" vertical="center" indent="3"/>
      <protection hidden="1"/>
    </xf>
    <xf numFmtId="0" fontId="3" fillId="2" borderId="14" xfId="4" applyFill="1" applyBorder="1" applyAlignment="1" applyProtection="1">
      <alignment horizontal="left" vertical="top"/>
      <protection hidden="1"/>
    </xf>
    <xf numFmtId="40" fontId="24" fillId="2" borderId="14" xfId="4" applyNumberFormat="1" applyFont="1" applyFill="1" applyBorder="1" applyAlignment="1" applyProtection="1">
      <alignment horizontal="right" vertical="top"/>
      <protection hidden="1"/>
    </xf>
    <xf numFmtId="0" fontId="1" fillId="2" borderId="0" xfId="4" applyFont="1" applyFill="1" applyAlignment="1" applyProtection="1">
      <alignment horizontal="left" vertical="center"/>
      <protection hidden="1"/>
    </xf>
    <xf numFmtId="0" fontId="1" fillId="2" borderId="0" xfId="4" applyFont="1" applyFill="1" applyAlignment="1" applyProtection="1">
      <alignment horizontal="left" vertical="top"/>
      <protection hidden="1"/>
    </xf>
    <xf numFmtId="0" fontId="1" fillId="2" borderId="0" xfId="4" applyFont="1" applyFill="1" applyAlignment="1" applyProtection="1">
      <alignment horizontal="left"/>
      <protection hidden="1"/>
    </xf>
    <xf numFmtId="0" fontId="16" fillId="2" borderId="0" xfId="4" applyFont="1" applyFill="1" applyAlignment="1" applyProtection="1">
      <alignment horizontal="left" vertical="center"/>
      <protection hidden="1"/>
    </xf>
    <xf numFmtId="0" fontId="3" fillId="2" borderId="0" xfId="4" applyFill="1" applyAlignment="1" applyProtection="1">
      <alignment horizontal="left" vertical="top"/>
      <protection hidden="1"/>
    </xf>
    <xf numFmtId="2" fontId="0" fillId="16" borderId="0" xfId="0" applyNumberFormat="1" applyFill="1" applyProtection="1">
      <protection hidden="1"/>
    </xf>
    <xf numFmtId="37" fontId="3" fillId="0" borderId="2" xfId="0" applyNumberFormat="1" applyFont="1" applyBorder="1" applyProtection="1">
      <protection locked="0"/>
    </xf>
    <xf numFmtId="0" fontId="8" fillId="0" borderId="13" xfId="0" applyFont="1" applyBorder="1" applyAlignment="1" applyProtection="1">
      <alignment horizontal="center"/>
      <protection hidden="1"/>
    </xf>
    <xf numFmtId="3" fontId="8" fillId="0" borderId="13" xfId="0" applyNumberFormat="1" applyFont="1" applyBorder="1" applyAlignment="1" applyProtection="1">
      <alignment horizontal="center"/>
      <protection hidden="1"/>
    </xf>
    <xf numFmtId="0" fontId="8" fillId="16" borderId="5" xfId="0" applyFont="1" applyFill="1" applyBorder="1" applyAlignment="1">
      <alignment horizontal="center"/>
    </xf>
    <xf numFmtId="4" fontId="3" fillId="16" borderId="0" xfId="0" applyNumberFormat="1" applyFont="1" applyFill="1" applyProtection="1">
      <protection hidden="1"/>
    </xf>
    <xf numFmtId="0" fontId="8" fillId="28" borderId="0" xfId="0" applyFont="1" applyFill="1" applyAlignment="1" applyProtection="1">
      <alignment horizontal="center"/>
      <protection hidden="1"/>
    </xf>
    <xf numFmtId="0" fontId="8" fillId="0" borderId="0" xfId="0" applyFont="1" applyAlignment="1" applyProtection="1">
      <alignment horizontal="center" vertical="center"/>
      <protection hidden="1"/>
    </xf>
    <xf numFmtId="39" fontId="140" fillId="3" borderId="3" xfId="0" applyNumberFormat="1" applyFont="1" applyFill="1" applyBorder="1" applyAlignment="1" applyProtection="1">
      <alignment horizontal="center"/>
      <protection hidden="1"/>
    </xf>
    <xf numFmtId="0" fontId="222" fillId="16" borderId="0" xfId="0" applyFont="1" applyFill="1" applyAlignment="1" applyProtection="1">
      <alignment horizontal="left"/>
      <protection hidden="1"/>
    </xf>
    <xf numFmtId="4" fontId="156" fillId="7" borderId="40" xfId="0" applyNumberFormat="1" applyFont="1" applyFill="1" applyBorder="1" applyProtection="1">
      <protection hidden="1"/>
    </xf>
    <xf numFmtId="1" fontId="11" fillId="3" borderId="156" xfId="0" applyNumberFormat="1" applyFont="1" applyFill="1" applyBorder="1" applyProtection="1">
      <protection hidden="1"/>
    </xf>
    <xf numFmtId="0" fontId="8" fillId="16" borderId="22" xfId="0" applyFont="1" applyFill="1" applyBorder="1" applyProtection="1">
      <protection hidden="1"/>
    </xf>
    <xf numFmtId="3" fontId="8" fillId="16" borderId="5" xfId="0" applyNumberFormat="1" applyFont="1" applyFill="1" applyBorder="1"/>
    <xf numFmtId="0" fontId="8" fillId="16" borderId="0" xfId="0" applyFont="1" applyFill="1" applyAlignment="1" applyProtection="1">
      <alignment horizontal="right"/>
      <protection hidden="1"/>
    </xf>
    <xf numFmtId="0" fontId="11" fillId="16" borderId="6" xfId="0" applyFont="1" applyFill="1" applyBorder="1" applyAlignment="1" applyProtection="1">
      <alignment horizontal="right"/>
      <protection hidden="1"/>
    </xf>
    <xf numFmtId="0" fontId="11" fillId="16" borderId="0" xfId="0" applyFont="1" applyFill="1" applyAlignment="1">
      <alignment horizontal="left"/>
    </xf>
    <xf numFmtId="0" fontId="11" fillId="16" borderId="0" xfId="0" applyFont="1" applyFill="1" applyAlignment="1">
      <alignment horizontal="center" textRotation="90"/>
    </xf>
    <xf numFmtId="0" fontId="11" fillId="0" borderId="0" xfId="0" applyFont="1" applyAlignment="1" applyProtection="1">
      <alignment horizontal="center"/>
      <protection hidden="1"/>
    </xf>
    <xf numFmtId="37" fontId="8" fillId="0" borderId="0" xfId="0" applyNumberFormat="1" applyFont="1" applyAlignment="1" applyProtection="1">
      <alignment horizontal="center"/>
      <protection hidden="1"/>
    </xf>
    <xf numFmtId="0" fontId="8" fillId="0" borderId="1" xfId="0" applyFont="1" applyBorder="1" applyAlignment="1" applyProtection="1">
      <alignment horizontal="center"/>
      <protection hidden="1"/>
    </xf>
    <xf numFmtId="0" fontId="8" fillId="16" borderId="75" xfId="0" applyFont="1" applyFill="1" applyBorder="1" applyAlignment="1" applyProtection="1">
      <alignment horizontal="center"/>
      <protection hidden="1"/>
    </xf>
    <xf numFmtId="0" fontId="3" fillId="16" borderId="75" xfId="0" applyFont="1" applyFill="1" applyBorder="1"/>
    <xf numFmtId="0" fontId="11" fillId="16" borderId="75" xfId="0" applyFont="1" applyFill="1" applyBorder="1" applyAlignment="1">
      <alignment horizontal="center" textRotation="90"/>
    </xf>
    <xf numFmtId="0" fontId="8" fillId="16" borderId="75" xfId="0" applyFont="1" applyFill="1" applyBorder="1" applyAlignment="1">
      <alignment horizontal="center"/>
    </xf>
    <xf numFmtId="3" fontId="8" fillId="16" borderId="75" xfId="0" applyNumberFormat="1" applyFont="1" applyFill="1" applyBorder="1"/>
    <xf numFmtId="0" fontId="8" fillId="16" borderId="24" xfId="0" applyFont="1" applyFill="1" applyBorder="1" applyAlignment="1" applyProtection="1">
      <alignment horizontal="center"/>
      <protection hidden="1"/>
    </xf>
    <xf numFmtId="0" fontId="8" fillId="16" borderId="8" xfId="0" applyFont="1" applyFill="1" applyBorder="1" applyAlignment="1">
      <alignment horizontal="center"/>
    </xf>
    <xf numFmtId="3" fontId="8" fillId="16" borderId="8" xfId="0" applyNumberFormat="1" applyFont="1" applyFill="1" applyBorder="1"/>
    <xf numFmtId="0" fontId="0" fillId="16" borderId="0" xfId="0" applyFill="1" applyAlignment="1">
      <alignment horizontal="left" vertical="top" wrapText="1"/>
    </xf>
    <xf numFmtId="9" fontId="11" fillId="0" borderId="13"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66" fillId="0" borderId="13" xfId="0" applyFont="1" applyBorder="1" applyAlignment="1" applyProtection="1">
      <alignment horizontal="center"/>
      <protection hidden="1"/>
    </xf>
    <xf numFmtId="37" fontId="266" fillId="0" borderId="0" xfId="0" applyNumberFormat="1" applyFont="1" applyAlignment="1" applyProtection="1">
      <alignment horizontal="center"/>
      <protection hidden="1"/>
    </xf>
    <xf numFmtId="9" fontId="267" fillId="0" borderId="13" xfId="0" applyNumberFormat="1" applyFont="1" applyBorder="1" applyAlignment="1" applyProtection="1">
      <alignment horizontal="center"/>
      <protection hidden="1"/>
    </xf>
    <xf numFmtId="0" fontId="268" fillId="5" borderId="0" xfId="0" applyFont="1" applyFill="1" applyAlignment="1" applyProtection="1">
      <alignment horizontal="center"/>
      <protection hidden="1"/>
    </xf>
    <xf numFmtId="4" fontId="6" fillId="16" borderId="0" xfId="0" applyNumberFormat="1" applyFont="1" applyFill="1" applyAlignment="1" applyProtection="1">
      <alignment horizontal="center" wrapText="1"/>
      <protection hidden="1"/>
    </xf>
    <xf numFmtId="4" fontId="11" fillId="16" borderId="0" xfId="0" applyNumberFormat="1" applyFont="1" applyFill="1" applyAlignment="1" applyProtection="1">
      <alignment horizontal="center" wrapText="1"/>
      <protection hidden="1"/>
    </xf>
    <xf numFmtId="0" fontId="181" fillId="16" borderId="0" xfId="0" applyFont="1" applyFill="1" applyAlignment="1">
      <alignment horizontal="center" wrapText="1"/>
    </xf>
    <xf numFmtId="1" fontId="11" fillId="0" borderId="55" xfId="0" applyNumberFormat="1" applyFont="1" applyBorder="1" applyAlignment="1" applyProtection="1">
      <alignment horizontal="center"/>
      <protection locked="0"/>
    </xf>
    <xf numFmtId="0" fontId="1" fillId="16" borderId="0" xfId="0" applyFont="1" applyFill="1" applyAlignment="1" applyProtection="1">
      <alignment horizontal="center" wrapText="1"/>
      <protection hidden="1"/>
    </xf>
    <xf numFmtId="0" fontId="11" fillId="16" borderId="24" xfId="0" applyFont="1" applyFill="1" applyBorder="1" applyProtection="1">
      <protection hidden="1"/>
    </xf>
    <xf numFmtId="0" fontId="139" fillId="5" borderId="0" xfId="0" applyFont="1" applyFill="1" applyAlignment="1" applyProtection="1">
      <alignment horizontal="center"/>
      <protection hidden="1"/>
    </xf>
    <xf numFmtId="4" fontId="254" fillId="2" borderId="6" xfId="0" applyNumberFormat="1" applyFont="1" applyFill="1" applyBorder="1" applyAlignment="1" applyProtection="1">
      <alignment horizontal="left" indent="1"/>
      <protection hidden="1"/>
    </xf>
    <xf numFmtId="37" fontId="6" fillId="15" borderId="31" xfId="0" applyNumberFormat="1" applyFont="1" applyFill="1" applyBorder="1" applyAlignment="1" applyProtection="1">
      <alignment horizontal="right"/>
      <protection hidden="1"/>
    </xf>
    <xf numFmtId="0" fontId="145" fillId="3" borderId="0" xfId="0" applyFont="1" applyFill="1" applyAlignment="1" applyProtection="1">
      <alignment wrapText="1"/>
      <protection hidden="1"/>
    </xf>
    <xf numFmtId="0" fontId="17" fillId="0" borderId="0" xfId="0" applyFont="1" applyAlignment="1">
      <alignment horizontal="center" vertical="center" wrapText="1"/>
    </xf>
    <xf numFmtId="0" fontId="254" fillId="16" borderId="0" xfId="0" applyFont="1" applyFill="1" applyAlignment="1" applyProtection="1">
      <alignment horizontal="right" indent="2"/>
      <protection hidden="1"/>
    </xf>
    <xf numFmtId="37" fontId="151"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5" fillId="3" borderId="1" xfId="0" applyNumberFormat="1" applyFont="1" applyFill="1" applyBorder="1" applyAlignment="1" applyProtection="1">
      <alignment vertical="center"/>
      <protection hidden="1"/>
    </xf>
    <xf numFmtId="37" fontId="6" fillId="29" borderId="10" xfId="0" applyNumberFormat="1" applyFont="1" applyFill="1" applyBorder="1" applyAlignment="1" applyProtection="1">
      <alignment horizontal="center"/>
      <protection hidden="1"/>
    </xf>
    <xf numFmtId="37" fontId="6" fillId="29" borderId="1" xfId="0" applyNumberFormat="1" applyFont="1" applyFill="1" applyBorder="1" applyAlignment="1" applyProtection="1">
      <alignment horizontal="right" vertical="center"/>
      <protection hidden="1"/>
    </xf>
    <xf numFmtId="37" fontId="6" fillId="29" borderId="1" xfId="0" quotePrefix="1" applyNumberFormat="1" applyFont="1" applyFill="1" applyBorder="1" applyProtection="1">
      <protection hidden="1"/>
    </xf>
    <xf numFmtId="37" fontId="151" fillId="15" borderId="31" xfId="0" applyNumberFormat="1" applyFont="1" applyFill="1" applyBorder="1" applyProtection="1">
      <protection hidden="1"/>
    </xf>
    <xf numFmtId="37" fontId="144" fillId="16" borderId="9" xfId="0" applyNumberFormat="1" applyFont="1" applyFill="1" applyBorder="1" applyAlignment="1" applyProtection="1">
      <alignment horizontal="right"/>
      <protection hidden="1"/>
    </xf>
    <xf numFmtId="37" fontId="144" fillId="3" borderId="0" xfId="0" applyNumberFormat="1" applyFont="1" applyFill="1" applyProtection="1">
      <protection hidden="1"/>
    </xf>
    <xf numFmtId="0" fontId="8" fillId="3" borderId="0" xfId="0" applyFont="1" applyFill="1" applyAlignment="1" applyProtection="1">
      <alignment horizontal="left" vertical="center"/>
      <protection hidden="1"/>
    </xf>
    <xf numFmtId="0" fontId="4" fillId="3" borderId="0" xfId="0" applyFont="1" applyFill="1" applyAlignment="1" applyProtection="1">
      <alignment horizontal="right" vertical="center"/>
      <protection hidden="1"/>
    </xf>
    <xf numFmtId="0" fontId="19" fillId="3" borderId="0" xfId="0" applyFont="1" applyFill="1" applyAlignment="1" applyProtection="1">
      <alignment horizontal="left" vertical="center"/>
      <protection hidden="1"/>
    </xf>
    <xf numFmtId="4" fontId="8" fillId="3" borderId="0" xfId="0" applyNumberFormat="1" applyFont="1" applyFill="1" applyAlignment="1" applyProtection="1">
      <alignment horizontal="left" vertical="center"/>
      <protection hidden="1"/>
    </xf>
    <xf numFmtId="0" fontId="1" fillId="3" borderId="11" xfId="0" applyFont="1" applyFill="1" applyBorder="1" applyAlignment="1" applyProtection="1">
      <alignment horizontal="right" vertical="center"/>
      <protection hidden="1"/>
    </xf>
    <xf numFmtId="37" fontId="5" fillId="29" borderId="10" xfId="0" applyNumberFormat="1" applyFont="1" applyFill="1" applyBorder="1" applyAlignment="1" applyProtection="1">
      <alignment horizontal="right" vertical="center"/>
      <protection hidden="1"/>
    </xf>
    <xf numFmtId="39" fontId="19" fillId="7" borderId="0" xfId="0" applyNumberFormat="1" applyFont="1" applyFill="1" applyAlignment="1" applyProtection="1">
      <alignment horizontal="right" vertical="center"/>
      <protection hidden="1"/>
    </xf>
    <xf numFmtId="39" fontId="19" fillId="3" borderId="0" xfId="0" applyNumberFormat="1" applyFont="1" applyFill="1" applyAlignment="1" applyProtection="1">
      <alignment horizontal="center" vertical="center"/>
      <protection hidden="1"/>
    </xf>
    <xf numFmtId="37" fontId="5" fillId="3" borderId="1" xfId="0" applyNumberFormat="1" applyFont="1" applyFill="1" applyBorder="1" applyAlignment="1" applyProtection="1">
      <alignment horizontal="right" vertical="center"/>
      <protection locked="0"/>
    </xf>
    <xf numFmtId="0" fontId="13" fillId="16" borderId="0" xfId="0" applyFont="1" applyFill="1" applyAlignment="1" applyProtection="1">
      <alignment horizontal="center" vertical="center"/>
      <protection hidden="1"/>
    </xf>
    <xf numFmtId="0" fontId="8" fillId="16" borderId="0" xfId="0" applyFont="1" applyFill="1" applyAlignment="1">
      <alignment horizontal="center" vertical="center"/>
    </xf>
    <xf numFmtId="3" fontId="8" fillId="16" borderId="0" xfId="0" applyNumberFormat="1" applyFont="1" applyFill="1" applyAlignment="1">
      <alignment vertical="center"/>
    </xf>
    <xf numFmtId="37" fontId="34" fillId="2" borderId="16" xfId="0" applyNumberFormat="1" applyFont="1" applyFill="1" applyBorder="1" applyProtection="1">
      <protection locked="0"/>
    </xf>
    <xf numFmtId="37" fontId="72" fillId="2" borderId="49" xfId="0" applyNumberFormat="1" applyFont="1" applyFill="1" applyBorder="1" applyAlignment="1" applyProtection="1">
      <alignment horizontal="center"/>
      <protection locked="0"/>
    </xf>
    <xf numFmtId="37" fontId="34" fillId="2" borderId="54" xfId="0" applyNumberFormat="1" applyFont="1" applyFill="1" applyBorder="1" applyProtection="1">
      <protection locked="0"/>
    </xf>
    <xf numFmtId="0" fontId="3" fillId="16" borderId="0" xfId="0" applyFont="1" applyFill="1" applyAlignment="1">
      <alignment horizontal="center" vertical="center" wrapText="1"/>
    </xf>
    <xf numFmtId="37" fontId="0" fillId="16" borderId="0" xfId="0" applyNumberFormat="1" applyFill="1"/>
    <xf numFmtId="0" fontId="53" fillId="16" borderId="1" xfId="0" applyFont="1" applyFill="1" applyBorder="1" applyAlignment="1">
      <alignment horizontal="left" vertical="center"/>
    </xf>
    <xf numFmtId="0" fontId="3" fillId="3" borderId="0" xfId="0" applyFont="1" applyFill="1" applyAlignment="1" applyProtection="1">
      <alignment horizontal="left" vertical="center"/>
      <protection hidden="1"/>
    </xf>
    <xf numFmtId="0" fontId="4" fillId="0" borderId="9" xfId="0" applyFont="1" applyBorder="1" applyProtection="1">
      <protection hidden="1"/>
    </xf>
    <xf numFmtId="0" fontId="3" fillId="3" borderId="0" xfId="0" quotePrefix="1" applyFont="1" applyFill="1" applyAlignment="1" applyProtection="1">
      <alignment horizontal="left"/>
      <protection hidden="1"/>
    </xf>
    <xf numFmtId="0" fontId="1" fillId="3" borderId="0" xfId="0" applyFont="1" applyFill="1" applyAlignment="1" applyProtection="1">
      <alignment horizontal="centerContinuous"/>
      <protection hidden="1"/>
    </xf>
    <xf numFmtId="4" fontId="11" fillId="3" borderId="8" xfId="0" applyNumberFormat="1" applyFont="1" applyFill="1" applyBorder="1" applyAlignment="1" applyProtection="1">
      <alignment horizontal="right" vertical="center"/>
      <protection hidden="1"/>
    </xf>
    <xf numFmtId="0" fontId="6" fillId="3" borderId="21" xfId="0" applyFont="1" applyFill="1" applyBorder="1" applyAlignment="1" applyProtection="1">
      <alignment vertical="center"/>
      <protection hidden="1"/>
    </xf>
    <xf numFmtId="4" fontId="17" fillId="2" borderId="0" xfId="0" applyNumberFormat="1" applyFont="1" applyFill="1" applyAlignment="1" applyProtection="1">
      <alignment vertical="center"/>
      <protection hidden="1"/>
    </xf>
    <xf numFmtId="4" fontId="17" fillId="22" borderId="0" xfId="0" applyNumberFormat="1" applyFont="1" applyFill="1" applyAlignment="1" applyProtection="1">
      <alignment vertical="center"/>
      <protection hidden="1"/>
    </xf>
    <xf numFmtId="0" fontId="4" fillId="5" borderId="0" xfId="0" applyFont="1" applyFill="1" applyAlignment="1" applyProtection="1">
      <alignment vertical="center"/>
      <protection hidden="1"/>
    </xf>
    <xf numFmtId="4" fontId="5" fillId="0" borderId="0" xfId="0" applyNumberFormat="1" applyFont="1" applyAlignment="1" applyProtection="1">
      <alignment vertical="center"/>
      <protection hidden="1"/>
    </xf>
    <xf numFmtId="4" fontId="181" fillId="28" borderId="115" xfId="0" applyNumberFormat="1" applyFont="1" applyFill="1" applyBorder="1" applyAlignment="1" applyProtection="1">
      <alignment horizontal="center"/>
      <protection hidden="1"/>
    </xf>
    <xf numFmtId="4" fontId="150" fillId="2" borderId="56" xfId="0" applyNumberFormat="1" applyFont="1" applyFill="1" applyBorder="1" applyAlignment="1" applyProtection="1">
      <alignment horizontal="left" indent="1"/>
      <protection hidden="1"/>
    </xf>
    <xf numFmtId="0" fontId="158" fillId="16" borderId="0" xfId="0" applyFont="1" applyFill="1" applyAlignment="1" applyProtection="1">
      <alignment horizontal="left"/>
      <protection hidden="1"/>
    </xf>
    <xf numFmtId="0" fontId="137" fillId="16" borderId="0" xfId="0" applyFont="1" applyFill="1" applyAlignment="1" applyProtection="1">
      <alignment horizontal="left"/>
      <protection hidden="1"/>
    </xf>
    <xf numFmtId="0" fontId="137" fillId="16" borderId="0" xfId="0" applyFont="1" applyFill="1" applyAlignment="1" applyProtection="1">
      <alignment vertical="center"/>
      <protection hidden="1"/>
    </xf>
    <xf numFmtId="0" fontId="138" fillId="16" borderId="0" xfId="0" applyFont="1" applyFill="1" applyAlignment="1" applyProtection="1">
      <alignment vertical="center"/>
      <protection hidden="1"/>
    </xf>
    <xf numFmtId="0" fontId="5" fillId="2" borderId="0" xfId="0" applyFont="1" applyFill="1" applyAlignment="1" applyProtection="1">
      <alignment horizontal="right"/>
      <protection hidden="1"/>
    </xf>
    <xf numFmtId="0" fontId="0" fillId="0" borderId="21" xfId="0" applyBorder="1" applyAlignment="1">
      <alignment wrapText="1"/>
    </xf>
    <xf numFmtId="0" fontId="17" fillId="3" borderId="0" xfId="0" applyFont="1" applyFill="1" applyAlignment="1" applyProtection="1">
      <alignment wrapText="1"/>
      <protection hidden="1"/>
    </xf>
    <xf numFmtId="1" fontId="226" fillId="10" borderId="0" xfId="0" applyNumberFormat="1" applyFont="1" applyFill="1" applyAlignment="1" applyProtection="1">
      <alignment horizontal="center" vertical="center" wrapText="1"/>
      <protection hidden="1"/>
    </xf>
    <xf numFmtId="39" fontId="5" fillId="3" borderId="0" xfId="0" applyNumberFormat="1" applyFont="1" applyFill="1" applyAlignment="1" applyProtection="1">
      <alignment horizontal="left"/>
      <protection hidden="1"/>
    </xf>
    <xf numFmtId="0" fontId="140" fillId="0" borderId="0" xfId="0" applyFont="1" applyAlignment="1">
      <alignment horizontal="center"/>
    </xf>
    <xf numFmtId="0" fontId="11" fillId="15" borderId="6" xfId="0" applyFont="1" applyFill="1" applyBorder="1" applyProtection="1">
      <protection hidden="1"/>
    </xf>
    <xf numFmtId="0" fontId="11" fillId="16" borderId="0" xfId="0" applyFont="1" applyFill="1" applyAlignment="1">
      <alignment horizontal="right"/>
    </xf>
    <xf numFmtId="0" fontId="6" fillId="3" borderId="8" xfId="0" applyFont="1" applyFill="1" applyBorder="1" applyAlignment="1" applyProtection="1">
      <alignment horizontal="left" vertical="top"/>
      <protection hidden="1"/>
    </xf>
    <xf numFmtId="0" fontId="5" fillId="3" borderId="9" xfId="0" applyFont="1" applyFill="1" applyBorder="1" applyAlignment="1" applyProtection="1">
      <alignment horizontal="left"/>
      <protection hidden="1"/>
    </xf>
    <xf numFmtId="0" fontId="16" fillId="3" borderId="0" xfId="0" applyFont="1" applyFill="1" applyAlignment="1" applyProtection="1">
      <alignment horizontal="right"/>
      <protection hidden="1"/>
    </xf>
    <xf numFmtId="39" fontId="9" fillId="3" borderId="0" xfId="0" applyNumberFormat="1" applyFont="1" applyFill="1" applyAlignment="1" applyProtection="1">
      <alignment horizontal="left"/>
      <protection hidden="1"/>
    </xf>
    <xf numFmtId="39" fontId="5" fillId="3" borderId="0" xfId="0" applyNumberFormat="1" applyFont="1" applyFill="1" applyAlignment="1" applyProtection="1">
      <alignment vertical="center"/>
      <protection hidden="1"/>
    </xf>
    <xf numFmtId="0" fontId="16" fillId="3" borderId="26" xfId="0" applyFont="1" applyFill="1" applyBorder="1" applyAlignment="1" applyProtection="1">
      <alignment vertical="center"/>
      <protection hidden="1"/>
    </xf>
    <xf numFmtId="0" fontId="7" fillId="3" borderId="26" xfId="0" applyFont="1" applyFill="1" applyBorder="1" applyAlignment="1" applyProtection="1">
      <alignment horizontal="left"/>
      <protection hidden="1"/>
    </xf>
    <xf numFmtId="39" fontId="1" fillId="3" borderId="26" xfId="0" applyNumberFormat="1" applyFont="1" applyFill="1" applyBorder="1" applyProtection="1">
      <protection hidden="1"/>
    </xf>
    <xf numFmtId="39" fontId="6" fillId="3" borderId="26" xfId="0" applyNumberFormat="1" applyFont="1" applyFill="1" applyBorder="1" applyProtection="1">
      <protection hidden="1"/>
    </xf>
    <xf numFmtId="39" fontId="6" fillId="3" borderId="26" xfId="0" applyNumberFormat="1" applyFont="1" applyFill="1" applyBorder="1" applyAlignment="1" applyProtection="1">
      <alignment horizontal="center"/>
      <protection hidden="1"/>
    </xf>
    <xf numFmtId="39" fontId="6" fillId="3" borderId="26" xfId="0" applyNumberFormat="1" applyFont="1" applyFill="1" applyBorder="1" applyAlignment="1" applyProtection="1">
      <alignment horizontal="left"/>
      <protection hidden="1"/>
    </xf>
    <xf numFmtId="176" fontId="168" fillId="3" borderId="26" xfId="0" applyNumberFormat="1" applyFont="1" applyFill="1" applyBorder="1" applyAlignment="1" applyProtection="1">
      <alignment horizontal="center"/>
      <protection hidden="1"/>
    </xf>
    <xf numFmtId="39" fontId="151" fillId="3" borderId="26" xfId="0" applyNumberFormat="1" applyFont="1" applyFill="1" applyBorder="1" applyAlignment="1" applyProtection="1">
      <alignment horizontal="center"/>
      <protection hidden="1"/>
    </xf>
    <xf numFmtId="176" fontId="11" fillId="3" borderId="26" xfId="0" applyNumberFormat="1" applyFont="1" applyFill="1" applyBorder="1" applyAlignment="1" applyProtection="1">
      <alignment horizontal="right"/>
      <protection hidden="1"/>
    </xf>
    <xf numFmtId="39" fontId="6" fillId="3" borderId="0" xfId="0" quotePrefix="1" applyNumberFormat="1" applyFont="1" applyFill="1" applyAlignment="1" applyProtection="1">
      <alignment horizontal="center"/>
      <protection hidden="1"/>
    </xf>
    <xf numFmtId="39" fontId="9" fillId="3" borderId="1" xfId="0" applyNumberFormat="1" applyFont="1" applyFill="1" applyBorder="1" applyAlignment="1" applyProtection="1">
      <alignment horizontal="center"/>
      <protection hidden="1"/>
    </xf>
    <xf numFmtId="39" fontId="9" fillId="3" borderId="1" xfId="0" applyNumberFormat="1" applyFont="1" applyFill="1" applyBorder="1" applyAlignment="1" applyProtection="1">
      <alignment horizontal="left"/>
      <protection hidden="1"/>
    </xf>
    <xf numFmtId="176" fontId="140" fillId="3" borderId="1" xfId="0" applyNumberFormat="1" applyFont="1" applyFill="1" applyBorder="1" applyAlignment="1" applyProtection="1">
      <alignment horizontal="center"/>
      <protection hidden="1"/>
    </xf>
    <xf numFmtId="39" fontId="144" fillId="3" borderId="1" xfId="0" applyNumberFormat="1" applyFont="1" applyFill="1" applyBorder="1" applyAlignment="1" applyProtection="1">
      <alignment horizontal="center"/>
      <protection hidden="1"/>
    </xf>
    <xf numFmtId="39" fontId="3" fillId="3" borderId="9" xfId="0" applyNumberFormat="1" applyFont="1" applyFill="1" applyBorder="1" applyProtection="1">
      <protection hidden="1"/>
    </xf>
    <xf numFmtId="39" fontId="9" fillId="3" borderId="9" xfId="0" applyNumberFormat="1" applyFont="1" applyFill="1" applyBorder="1" applyAlignment="1" applyProtection="1">
      <alignment horizontal="left"/>
      <protection hidden="1"/>
    </xf>
    <xf numFmtId="176" fontId="140" fillId="3" borderId="9" xfId="0" applyNumberFormat="1" applyFont="1" applyFill="1" applyBorder="1" applyAlignment="1" applyProtection="1">
      <alignment horizontal="center"/>
      <protection hidden="1"/>
    </xf>
    <xf numFmtId="39" fontId="144" fillId="3" borderId="9" xfId="0" applyNumberFormat="1" applyFont="1" applyFill="1" applyBorder="1" applyAlignment="1" applyProtection="1">
      <alignment horizontal="center"/>
      <protection hidden="1"/>
    </xf>
    <xf numFmtId="176" fontId="11" fillId="3" borderId="13" xfId="0" applyNumberFormat="1"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39" fontId="3" fillId="3" borderId="8" xfId="0" applyNumberFormat="1" applyFont="1" applyFill="1" applyBorder="1" applyProtection="1">
      <protection hidden="1"/>
    </xf>
    <xf numFmtId="39" fontId="3" fillId="3" borderId="20" xfId="0" applyNumberFormat="1" applyFont="1" applyFill="1" applyBorder="1" applyProtection="1">
      <protection hidden="1"/>
    </xf>
    <xf numFmtId="39" fontId="3" fillId="3" borderId="21" xfId="0" applyNumberFormat="1" applyFont="1" applyFill="1" applyBorder="1" applyProtection="1">
      <protection hidden="1"/>
    </xf>
    <xf numFmtId="0" fontId="5" fillId="3" borderId="22" xfId="0" applyFont="1" applyFill="1" applyBorder="1" applyAlignment="1" applyProtection="1">
      <alignment horizontal="left"/>
      <protection hidden="1"/>
    </xf>
    <xf numFmtId="39" fontId="3" fillId="3" borderId="5" xfId="0" applyNumberFormat="1" applyFont="1" applyFill="1" applyBorder="1" applyProtection="1">
      <protection hidden="1"/>
    </xf>
    <xf numFmtId="39" fontId="3" fillId="3" borderId="23" xfId="0" applyNumberFormat="1" applyFont="1" applyFill="1" applyBorder="1" applyProtection="1">
      <protection hidden="1"/>
    </xf>
    <xf numFmtId="0" fontId="6" fillId="3" borderId="6" xfId="0" applyFont="1" applyFill="1" applyBorder="1" applyAlignment="1" applyProtection="1">
      <alignment horizontal="left"/>
      <protection hidden="1"/>
    </xf>
    <xf numFmtId="0" fontId="5" fillId="15" borderId="0" xfId="0" applyFont="1" applyFill="1" applyAlignment="1" applyProtection="1">
      <alignment horizontal="left"/>
      <protection hidden="1"/>
    </xf>
    <xf numFmtId="0" fontId="3" fillId="16" borderId="0" xfId="0" applyFont="1" applyFill="1" applyAlignment="1">
      <alignment horizontal="center" vertical="center"/>
    </xf>
    <xf numFmtId="0" fontId="16" fillId="15" borderId="0" xfId="0" applyFont="1" applyFill="1" applyAlignment="1" applyProtection="1">
      <alignment vertical="center"/>
      <protection hidden="1"/>
    </xf>
    <xf numFmtId="0" fontId="3" fillId="3" borderId="26" xfId="0" applyFont="1" applyFill="1" applyBorder="1" applyAlignment="1" applyProtection="1">
      <alignment vertical="center"/>
      <protection hidden="1"/>
    </xf>
    <xf numFmtId="0" fontId="1" fillId="15" borderId="0" xfId="0" applyFont="1" applyFill="1" applyAlignment="1" applyProtection="1">
      <alignment horizontal="left"/>
      <protection hidden="1"/>
    </xf>
    <xf numFmtId="0" fontId="3" fillId="15" borderId="0" xfId="0" applyFont="1" applyFill="1" applyAlignment="1" applyProtection="1">
      <alignment vertical="center"/>
      <protection hidden="1"/>
    </xf>
    <xf numFmtId="39" fontId="1" fillId="3" borderId="0" xfId="0" quotePrefix="1" applyNumberFormat="1" applyFont="1" applyFill="1" applyAlignment="1" applyProtection="1">
      <alignment horizontal="center"/>
      <protection hidden="1"/>
    </xf>
    <xf numFmtId="4" fontId="11" fillId="3" borderId="8" xfId="0" applyNumberFormat="1" applyFont="1" applyFill="1" applyBorder="1" applyAlignment="1" applyProtection="1">
      <alignment horizontal="right" vertical="top"/>
      <protection hidden="1"/>
    </xf>
    <xf numFmtId="176" fontId="11" fillId="21" borderId="13" xfId="0" applyNumberFormat="1" applyFont="1" applyFill="1" applyBorder="1" applyAlignment="1" applyProtection="1">
      <alignment horizontal="center" vertical="center"/>
      <protection locked="0"/>
    </xf>
    <xf numFmtId="1" fontId="5" fillId="15" borderId="0" xfId="0" applyNumberFormat="1" applyFont="1" applyFill="1" applyAlignment="1" applyProtection="1">
      <alignment horizontal="right"/>
      <protection hidden="1"/>
    </xf>
    <xf numFmtId="39" fontId="8" fillId="15" borderId="0" xfId="0" applyNumberFormat="1" applyFont="1" applyFill="1" applyAlignment="1" applyProtection="1">
      <alignment horizontal="center"/>
      <protection hidden="1"/>
    </xf>
    <xf numFmtId="39" fontId="5" fillId="15" borderId="0" xfId="0" applyNumberFormat="1" applyFont="1" applyFill="1" applyAlignment="1" applyProtection="1">
      <alignment horizontal="right"/>
      <protection hidden="1"/>
    </xf>
    <xf numFmtId="0" fontId="11" fillId="3" borderId="11" xfId="0" applyFont="1" applyFill="1" applyBorder="1" applyAlignment="1" applyProtection="1">
      <alignment horizontal="center"/>
      <protection hidden="1"/>
    </xf>
    <xf numFmtId="3" fontId="5" fillId="15" borderId="0" xfId="0" applyNumberFormat="1" applyFont="1" applyFill="1" applyAlignment="1" applyProtection="1">
      <alignment horizontal="right"/>
      <protection hidden="1"/>
    </xf>
    <xf numFmtId="39" fontId="5" fillId="15" borderId="0" xfId="0" applyNumberFormat="1" applyFont="1" applyFill="1" applyProtection="1">
      <protection hidden="1"/>
    </xf>
    <xf numFmtId="0" fontId="5" fillId="15" borderId="0" xfId="0" applyFont="1" applyFill="1" applyProtection="1">
      <protection hidden="1"/>
    </xf>
    <xf numFmtId="0" fontId="53" fillId="15" borderId="0" xfId="0" applyFont="1" applyFill="1" applyProtection="1">
      <protection hidden="1"/>
    </xf>
    <xf numFmtId="0" fontId="270" fillId="3" borderId="0" xfId="0" applyFont="1" applyFill="1" applyAlignment="1" applyProtection="1">
      <alignment horizontal="center" vertical="center"/>
      <protection hidden="1"/>
    </xf>
    <xf numFmtId="0" fontId="6" fillId="3" borderId="24" xfId="0" applyFont="1" applyFill="1" applyBorder="1" applyProtection="1">
      <protection hidden="1"/>
    </xf>
    <xf numFmtId="0" fontId="6" fillId="3" borderId="22" xfId="0" applyFont="1" applyFill="1" applyBorder="1" applyProtection="1">
      <protection hidden="1"/>
    </xf>
    <xf numFmtId="39" fontId="6" fillId="15" borderId="20" xfId="0" applyNumberFormat="1" applyFont="1" applyFill="1" applyBorder="1" applyProtection="1">
      <protection hidden="1"/>
    </xf>
    <xf numFmtId="39" fontId="6" fillId="15" borderId="21" xfId="0" applyNumberFormat="1" applyFont="1" applyFill="1" applyBorder="1" applyProtection="1">
      <protection hidden="1"/>
    </xf>
    <xf numFmtId="39" fontId="6" fillId="15" borderId="23" xfId="0" applyNumberFormat="1" applyFont="1" applyFill="1" applyBorder="1" applyProtection="1">
      <protection hidden="1"/>
    </xf>
    <xf numFmtId="39" fontId="5" fillId="15" borderId="6" xfId="0" applyNumberFormat="1" applyFont="1" applyFill="1" applyBorder="1" applyProtection="1">
      <protection hidden="1"/>
    </xf>
    <xf numFmtId="0" fontId="16" fillId="3" borderId="0" xfId="0" applyFont="1" applyFill="1" applyAlignment="1" applyProtection="1">
      <alignment horizontal="right" vertical="center"/>
      <protection hidden="1"/>
    </xf>
    <xf numFmtId="0" fontId="9" fillId="3" borderId="0" xfId="0" applyFont="1" applyFill="1" applyAlignment="1" applyProtection="1">
      <alignment vertical="center"/>
      <protection hidden="1"/>
    </xf>
    <xf numFmtId="0" fontId="11" fillId="16" borderId="0" xfId="0" applyFont="1" applyFill="1" applyAlignment="1">
      <alignment horizontal="left" vertical="center"/>
    </xf>
    <xf numFmtId="0" fontId="8" fillId="5" borderId="0" xfId="0" applyFont="1" applyFill="1" applyAlignment="1" applyProtection="1">
      <alignment horizontal="right"/>
      <protection hidden="1"/>
    </xf>
    <xf numFmtId="1" fontId="6" fillId="3" borderId="11" xfId="0" applyNumberFormat="1" applyFont="1" applyFill="1" applyBorder="1" applyAlignment="1" applyProtection="1">
      <alignment horizontal="center"/>
      <protection hidden="1"/>
    </xf>
    <xf numFmtId="5" fontId="9" fillId="3" borderId="0" xfId="0" applyNumberFormat="1" applyFont="1" applyFill="1" applyProtection="1">
      <protection hidden="1"/>
    </xf>
    <xf numFmtId="0" fontId="11" fillId="3" borderId="0" xfId="0" applyFont="1" applyFill="1" applyAlignment="1" applyProtection="1">
      <alignment horizontal="right" vertical="center"/>
      <protection hidden="1"/>
    </xf>
    <xf numFmtId="39" fontId="5" fillId="3" borderId="5" xfId="0" applyNumberFormat="1" applyFont="1" applyFill="1" applyBorder="1" applyProtection="1">
      <protection hidden="1"/>
    </xf>
    <xf numFmtId="0" fontId="11" fillId="3" borderId="29" xfId="0" applyFont="1" applyFill="1" applyBorder="1" applyAlignment="1" applyProtection="1">
      <alignment horizontal="center"/>
      <protection hidden="1"/>
    </xf>
    <xf numFmtId="39" fontId="6" fillId="3" borderId="71" xfId="0" applyNumberFormat="1" applyFont="1" applyFill="1" applyBorder="1" applyAlignment="1" applyProtection="1">
      <alignment horizontal="right"/>
      <protection hidden="1"/>
    </xf>
    <xf numFmtId="0" fontId="6" fillId="20" borderId="24" xfId="0" quotePrefix="1" applyFont="1" applyFill="1" applyBorder="1" applyAlignment="1" applyProtection="1">
      <alignment horizontal="right" vertical="center"/>
      <protection hidden="1"/>
    </xf>
    <xf numFmtId="4" fontId="5" fillId="20" borderId="8" xfId="0" applyNumberFormat="1" applyFont="1" applyFill="1" applyBorder="1" applyAlignment="1" applyProtection="1">
      <alignment horizontal="left" vertical="center"/>
      <protection hidden="1"/>
    </xf>
    <xf numFmtId="0" fontId="5" fillId="20" borderId="8" xfId="0" applyFont="1" applyFill="1" applyBorder="1" applyAlignment="1" applyProtection="1">
      <alignment horizontal="left" vertical="center"/>
      <protection hidden="1"/>
    </xf>
    <xf numFmtId="0" fontId="6" fillId="20" borderId="8" xfId="0" applyFont="1" applyFill="1" applyBorder="1" applyAlignment="1" applyProtection="1">
      <alignment horizontal="right" vertical="center"/>
      <protection hidden="1"/>
    </xf>
    <xf numFmtId="39" fontId="5" fillId="20" borderId="8" xfId="0" applyNumberFormat="1" applyFont="1" applyFill="1" applyBorder="1" applyAlignment="1" applyProtection="1">
      <alignment horizontal="center" vertical="center"/>
      <protection hidden="1"/>
    </xf>
    <xf numFmtId="39" fontId="5" fillId="20" borderId="8" xfId="0" applyNumberFormat="1" applyFont="1" applyFill="1" applyBorder="1" applyAlignment="1" applyProtection="1">
      <alignment horizontal="right" vertical="center"/>
      <protection hidden="1"/>
    </xf>
    <xf numFmtId="0" fontId="6" fillId="20" borderId="8" xfId="0" quotePrefix="1" applyFont="1" applyFill="1" applyBorder="1" applyAlignment="1" applyProtection="1">
      <alignment horizontal="right" vertical="center"/>
      <protection hidden="1"/>
    </xf>
    <xf numFmtId="0" fontId="0" fillId="20" borderId="20" xfId="0" applyFill="1" applyBorder="1"/>
    <xf numFmtId="0" fontId="6" fillId="20" borderId="6" xfId="0" quotePrefix="1" applyFont="1" applyFill="1" applyBorder="1" applyAlignment="1" applyProtection="1">
      <alignment horizontal="right" vertical="center"/>
      <protection hidden="1"/>
    </xf>
    <xf numFmtId="4" fontId="5" fillId="20" borderId="0" xfId="0" applyNumberFormat="1" applyFont="1" applyFill="1" applyAlignment="1" applyProtection="1">
      <alignment horizontal="left" vertical="center"/>
      <protection hidden="1"/>
    </xf>
    <xf numFmtId="0" fontId="5" fillId="20" borderId="0" xfId="0" applyFont="1" applyFill="1" applyAlignment="1" applyProtection="1">
      <alignment horizontal="left" vertical="center"/>
      <protection hidden="1"/>
    </xf>
    <xf numFmtId="0" fontId="6" fillId="20" borderId="0" xfId="0" applyFont="1" applyFill="1" applyAlignment="1" applyProtection="1">
      <alignment horizontal="right" vertical="center"/>
      <protection hidden="1"/>
    </xf>
    <xf numFmtId="39" fontId="5" fillId="20" borderId="0" xfId="0" applyNumberFormat="1" applyFont="1" applyFill="1" applyAlignment="1" applyProtection="1">
      <alignment horizontal="center" vertical="center"/>
      <protection hidden="1"/>
    </xf>
    <xf numFmtId="39" fontId="5" fillId="20" borderId="0" xfId="0" applyNumberFormat="1" applyFont="1" applyFill="1" applyAlignment="1" applyProtection="1">
      <alignment horizontal="right" vertical="center"/>
      <protection hidden="1"/>
    </xf>
    <xf numFmtId="0" fontId="6" fillId="20" borderId="0" xfId="0" quotePrefix="1" applyFont="1" applyFill="1" applyAlignment="1" applyProtection="1">
      <alignment horizontal="right" vertical="center"/>
      <protection hidden="1"/>
    </xf>
    <xf numFmtId="0" fontId="0" fillId="20" borderId="21" xfId="0" applyFill="1" applyBorder="1"/>
    <xf numFmtId="0" fontId="0" fillId="20" borderId="6" xfId="0" applyFill="1" applyBorder="1"/>
    <xf numFmtId="0" fontId="0" fillId="20" borderId="22" xfId="0" applyFill="1" applyBorder="1"/>
    <xf numFmtId="4" fontId="5" fillId="20" borderId="5" xfId="0" applyNumberFormat="1" applyFont="1" applyFill="1" applyBorder="1" applyAlignment="1" applyProtection="1">
      <alignment horizontal="left" vertical="center"/>
      <protection hidden="1"/>
    </xf>
    <xf numFmtId="0" fontId="0" fillId="20" borderId="23" xfId="0" applyFill="1" applyBorder="1"/>
    <xf numFmtId="37" fontId="5" fillId="28" borderId="28" xfId="0" applyNumberFormat="1" applyFont="1" applyFill="1" applyBorder="1" applyProtection="1">
      <protection hidden="1"/>
    </xf>
    <xf numFmtId="4" fontId="6" fillId="16" borderId="31" xfId="0" applyNumberFormat="1" applyFont="1" applyFill="1" applyBorder="1" applyAlignment="1" applyProtection="1">
      <alignment horizontal="left"/>
      <protection hidden="1"/>
    </xf>
    <xf numFmtId="4" fontId="6" fillId="16" borderId="9" xfId="0" applyNumberFormat="1" applyFont="1" applyFill="1" applyBorder="1" applyAlignment="1" applyProtection="1">
      <alignment horizontal="left"/>
      <protection hidden="1"/>
    </xf>
    <xf numFmtId="0" fontId="5" fillId="16" borderId="9" xfId="0" applyFont="1" applyFill="1" applyBorder="1" applyAlignment="1" applyProtection="1">
      <alignment horizontal="left"/>
      <protection hidden="1"/>
    </xf>
    <xf numFmtId="4" fontId="5" fillId="16" borderId="9" xfId="0" applyNumberFormat="1" applyFont="1" applyFill="1" applyBorder="1" applyAlignment="1" applyProtection="1">
      <alignment horizontal="left"/>
      <protection hidden="1"/>
    </xf>
    <xf numFmtId="0" fontId="6" fillId="16" borderId="9" xfId="0" applyFont="1" applyFill="1" applyBorder="1" applyAlignment="1" applyProtection="1">
      <alignment horizontal="right"/>
      <protection hidden="1"/>
    </xf>
    <xf numFmtId="39" fontId="5" fillId="16" borderId="9" xfId="0" applyNumberFormat="1" applyFont="1" applyFill="1" applyBorder="1" applyAlignment="1" applyProtection="1">
      <alignment horizontal="center"/>
      <protection hidden="1"/>
    </xf>
    <xf numFmtId="39" fontId="5" fillId="16" borderId="9" xfId="0" applyNumberFormat="1" applyFont="1" applyFill="1" applyBorder="1" applyAlignment="1" applyProtection="1">
      <alignment horizontal="right"/>
      <protection hidden="1"/>
    </xf>
    <xf numFmtId="0" fontId="41" fillId="16" borderId="9" xfId="0" applyFont="1" applyFill="1" applyBorder="1" applyAlignment="1" applyProtection="1">
      <alignment horizontal="right"/>
      <protection hidden="1"/>
    </xf>
    <xf numFmtId="4" fontId="5" fillId="16" borderId="70" xfId="0" applyNumberFormat="1" applyFont="1" applyFill="1" applyBorder="1" applyAlignment="1" applyProtection="1">
      <alignment horizontal="left" vertical="center"/>
      <protection hidden="1"/>
    </xf>
    <xf numFmtId="4" fontId="5" fillId="16" borderId="5" xfId="0" applyNumberFormat="1" applyFont="1" applyFill="1" applyBorder="1" applyAlignment="1" applyProtection="1">
      <alignment horizontal="left" vertical="center"/>
      <protection hidden="1"/>
    </xf>
    <xf numFmtId="0" fontId="5" fillId="16" borderId="5" xfId="0" applyFont="1" applyFill="1" applyBorder="1" applyAlignment="1" applyProtection="1">
      <alignment horizontal="left" vertical="center"/>
      <protection hidden="1"/>
    </xf>
    <xf numFmtId="0" fontId="6" fillId="16" borderId="5" xfId="0" applyFont="1" applyFill="1" applyBorder="1" applyAlignment="1" applyProtection="1">
      <alignment horizontal="right" vertical="center"/>
      <protection hidden="1"/>
    </xf>
    <xf numFmtId="39" fontId="5" fillId="16" borderId="5" xfId="0" applyNumberFormat="1" applyFont="1" applyFill="1" applyBorder="1" applyAlignment="1">
      <alignment horizontal="center" vertical="center"/>
    </xf>
    <xf numFmtId="39" fontId="5" fillId="16" borderId="5" xfId="0" applyNumberFormat="1" applyFont="1" applyFill="1" applyBorder="1" applyAlignment="1" applyProtection="1">
      <alignment horizontal="right" vertical="center"/>
      <protection hidden="1"/>
    </xf>
    <xf numFmtId="0" fontId="0" fillId="16" borderId="71" xfId="0" applyFill="1" applyBorder="1"/>
    <xf numFmtId="0" fontId="271" fillId="20" borderId="5" xfId="0" applyFont="1" applyFill="1" applyBorder="1" applyProtection="1">
      <protection hidden="1"/>
    </xf>
    <xf numFmtId="37" fontId="5" fillId="2" borderId="1" xfId="0" applyNumberFormat="1" applyFont="1" applyFill="1" applyBorder="1" applyProtection="1">
      <protection locked="0"/>
    </xf>
    <xf numFmtId="0" fontId="150" fillId="5" borderId="0" xfId="0" applyFont="1" applyFill="1" applyAlignment="1" applyProtection="1">
      <alignment vertical="center"/>
      <protection hidden="1"/>
    </xf>
    <xf numFmtId="3" fontId="0" fillId="0" borderId="0" xfId="0" applyNumberFormat="1" applyAlignment="1" applyProtection="1">
      <alignment horizontal="right"/>
      <protection hidden="1"/>
    </xf>
    <xf numFmtId="168" fontId="157" fillId="0" borderId="0" xfId="0" applyNumberFormat="1" applyFont="1" applyAlignment="1" applyProtection="1">
      <alignment horizontal="right"/>
      <protection hidden="1"/>
    </xf>
    <xf numFmtId="168" fontId="157" fillId="0" borderId="21" xfId="0" applyNumberFormat="1" applyFont="1" applyBorder="1" applyAlignment="1" applyProtection="1">
      <alignment horizontal="right"/>
      <protection hidden="1"/>
    </xf>
    <xf numFmtId="0" fontId="11" fillId="16" borderId="8" xfId="0" applyFont="1" applyFill="1" applyBorder="1" applyAlignment="1" applyProtection="1">
      <alignment horizontal="right"/>
      <protection hidden="1"/>
    </xf>
    <xf numFmtId="37" fontId="34" fillId="2" borderId="26" xfId="0" applyNumberFormat="1" applyFont="1" applyFill="1" applyBorder="1" applyProtection="1">
      <protection locked="0"/>
    </xf>
    <xf numFmtId="0" fontId="272" fillId="16" borderId="6" xfId="0" applyFont="1" applyFill="1" applyBorder="1" applyAlignment="1" applyProtection="1">
      <alignment horizontal="centerContinuous"/>
      <protection hidden="1"/>
    </xf>
    <xf numFmtId="1" fontId="1" fillId="16" borderId="0" xfId="0" applyNumberFormat="1" applyFont="1" applyFill="1" applyAlignment="1" applyProtection="1">
      <alignment horizontal="center"/>
      <protection hidden="1"/>
    </xf>
    <xf numFmtId="1" fontId="3" fillId="16" borderId="0" xfId="0" applyNumberFormat="1" applyFont="1" applyFill="1" applyAlignment="1" applyProtection="1">
      <alignment horizontal="center"/>
      <protection hidden="1"/>
    </xf>
    <xf numFmtId="0" fontId="137" fillId="5" borderId="0" xfId="0" applyFont="1" applyFill="1" applyProtection="1">
      <protection hidden="1"/>
    </xf>
    <xf numFmtId="0" fontId="274" fillId="5" borderId="0" xfId="0" applyFont="1" applyFill="1" applyAlignment="1" applyProtection="1">
      <alignment horizontal="left"/>
      <protection hidden="1"/>
    </xf>
    <xf numFmtId="0" fontId="274" fillId="5" borderId="0" xfId="0" applyFont="1" applyFill="1" applyProtection="1">
      <protection hidden="1"/>
    </xf>
    <xf numFmtId="0" fontId="141" fillId="5" borderId="0" xfId="0" applyFont="1" applyFill="1" applyAlignment="1" applyProtection="1">
      <alignment horizontal="left"/>
      <protection hidden="1"/>
    </xf>
    <xf numFmtId="0" fontId="5" fillId="16" borderId="30" xfId="0" applyFont="1" applyFill="1" applyBorder="1" applyAlignment="1" applyProtection="1">
      <alignment vertical="top"/>
      <protection hidden="1"/>
    </xf>
    <xf numFmtId="0" fontId="1" fillId="16" borderId="5" xfId="0" applyFont="1" applyFill="1" applyBorder="1" applyAlignment="1" applyProtection="1">
      <alignment horizontal="left"/>
      <protection hidden="1"/>
    </xf>
    <xf numFmtId="0" fontId="0" fillId="16" borderId="71" xfId="0" applyFill="1" applyBorder="1" applyProtection="1">
      <protection hidden="1"/>
    </xf>
    <xf numFmtId="0" fontId="16" fillId="28" borderId="13" xfId="0" applyFont="1" applyFill="1" applyBorder="1" applyAlignment="1" applyProtection="1">
      <alignment horizontal="center" vertical="center"/>
      <protection hidden="1"/>
    </xf>
    <xf numFmtId="164" fontId="1" fillId="2"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right"/>
      <protection hidden="1"/>
    </xf>
    <xf numFmtId="40" fontId="1" fillId="2" borderId="0" xfId="0" applyNumberFormat="1" applyFont="1" applyFill="1" applyAlignment="1" applyProtection="1">
      <alignment vertical="center"/>
      <protection hidden="1"/>
    </xf>
    <xf numFmtId="40" fontId="1" fillId="2" borderId="0" xfId="0" applyNumberFormat="1" applyFont="1" applyFill="1" applyAlignment="1" applyProtection="1">
      <alignment horizontal="right" vertical="center"/>
      <protection hidden="1"/>
    </xf>
    <xf numFmtId="0" fontId="203" fillId="2" borderId="0" xfId="0" applyFont="1" applyFill="1" applyAlignment="1" applyProtection="1">
      <alignment horizontal="left" vertical="center"/>
      <protection hidden="1"/>
    </xf>
    <xf numFmtId="0" fontId="1" fillId="16" borderId="13" xfId="0" applyFont="1" applyFill="1" applyBorder="1" applyAlignment="1" applyProtection="1">
      <alignment wrapText="1"/>
      <protection hidden="1"/>
    </xf>
    <xf numFmtId="0" fontId="26" fillId="16" borderId="0" xfId="0" applyFont="1" applyFill="1"/>
    <xf numFmtId="14" fontId="0" fillId="16" borderId="0" xfId="0" applyNumberFormat="1" applyFill="1" applyProtection="1">
      <protection locked="0"/>
    </xf>
    <xf numFmtId="39" fontId="0" fillId="16" borderId="0" xfId="0" applyNumberFormat="1" applyFill="1" applyProtection="1">
      <protection locked="0"/>
    </xf>
    <xf numFmtId="0" fontId="3" fillId="16" borderId="0" xfId="0" quotePrefix="1" applyFont="1" applyFill="1" applyAlignment="1" applyProtection="1">
      <alignment horizontal="left"/>
      <protection hidden="1"/>
    </xf>
    <xf numFmtId="0" fontId="138" fillId="16" borderId="21" xfId="0" applyFont="1" applyFill="1" applyBorder="1" applyAlignment="1" applyProtection="1">
      <alignment horizontal="center"/>
      <protection hidden="1"/>
    </xf>
    <xf numFmtId="0" fontId="198" fillId="16" borderId="0" xfId="0" applyFont="1" applyFill="1" applyAlignment="1" applyProtection="1">
      <alignment vertical="center"/>
      <protection hidden="1"/>
    </xf>
    <xf numFmtId="37" fontId="0" fillId="2" borderId="13" xfId="0" applyNumberFormat="1" applyFill="1" applyBorder="1" applyAlignment="1" applyProtection="1">
      <alignment horizontal="right" vertical="center"/>
      <protection locked="0"/>
    </xf>
    <xf numFmtId="0" fontId="25" fillId="2" borderId="0" xfId="0" applyFont="1" applyFill="1" applyAlignment="1" applyProtection="1">
      <alignment horizontal="right"/>
      <protection hidden="1"/>
    </xf>
    <xf numFmtId="0" fontId="0" fillId="2" borderId="112" xfId="0" applyFill="1" applyBorder="1" applyProtection="1">
      <protection hidden="1"/>
    </xf>
    <xf numFmtId="0" fontId="1" fillId="2" borderId="112" xfId="0" applyFont="1" applyFill="1" applyBorder="1" applyAlignment="1" applyProtection="1">
      <alignment horizontal="center"/>
      <protection hidden="1"/>
    </xf>
    <xf numFmtId="0" fontId="23" fillId="2" borderId="112" xfId="0" applyFont="1" applyFill="1" applyBorder="1" applyProtection="1">
      <protection hidden="1"/>
    </xf>
    <xf numFmtId="0" fontId="105" fillId="2" borderId="0" xfId="0" applyFont="1" applyFill="1" applyAlignment="1" applyProtection="1">
      <alignment horizontal="right"/>
      <protection hidden="1"/>
    </xf>
    <xf numFmtId="0" fontId="138" fillId="2" borderId="0" xfId="0" applyFont="1" applyFill="1" applyAlignment="1" applyProtection="1">
      <alignment horizontal="center" vertical="center"/>
      <protection hidden="1"/>
    </xf>
    <xf numFmtId="0" fontId="210" fillId="16" borderId="0" xfId="0" applyFont="1" applyFill="1" applyAlignment="1" applyProtection="1">
      <alignment horizontal="center"/>
      <protection hidden="1"/>
    </xf>
    <xf numFmtId="0" fontId="8" fillId="16" borderId="0" xfId="0" applyFont="1" applyFill="1" applyAlignment="1" applyProtection="1">
      <alignment vertical="top" wrapText="1"/>
      <protection hidden="1"/>
    </xf>
    <xf numFmtId="0" fontId="143" fillId="16" borderId="0" xfId="0" applyFont="1" applyFill="1" applyAlignment="1" applyProtection="1">
      <alignment vertical="center"/>
      <protection hidden="1"/>
    </xf>
    <xf numFmtId="0" fontId="143" fillId="16" borderId="0" xfId="0" applyFont="1" applyFill="1" applyAlignment="1" applyProtection="1">
      <alignment horizontal="left"/>
      <protection hidden="1"/>
    </xf>
    <xf numFmtId="14" fontId="1" fillId="25" borderId="0" xfId="0" applyNumberFormat="1" applyFont="1" applyFill="1" applyProtection="1">
      <protection locked="0"/>
    </xf>
    <xf numFmtId="164" fontId="3" fillId="2" borderId="1" xfId="0" applyNumberFormat="1" applyFont="1" applyFill="1" applyBorder="1" applyAlignment="1" applyProtection="1">
      <alignment horizontal="left" vertical="top"/>
      <protection locked="0" hidden="1"/>
    </xf>
    <xf numFmtId="164" fontId="10" fillId="4" borderId="6" xfId="0" applyNumberFormat="1" applyFont="1" applyFill="1" applyBorder="1" applyProtection="1">
      <protection locked="0" hidden="1"/>
    </xf>
    <xf numFmtId="37" fontId="0" fillId="2" borderId="1" xfId="0" applyNumberFormat="1" applyFill="1" applyBorder="1" applyProtection="1">
      <protection locked="0"/>
    </xf>
    <xf numFmtId="37" fontId="243" fillId="0" borderId="0" xfId="0" applyNumberFormat="1" applyFont="1"/>
    <xf numFmtId="39" fontId="0" fillId="2" borderId="1" xfId="0" applyNumberFormat="1" applyFill="1" applyBorder="1" applyAlignment="1" applyProtection="1">
      <alignment horizontal="center"/>
      <protection locked="0"/>
    </xf>
    <xf numFmtId="39" fontId="0" fillId="0" borderId="0" xfId="0" applyNumberFormat="1" applyAlignment="1" applyProtection="1">
      <alignment horizontal="center"/>
      <protection locked="0"/>
    </xf>
    <xf numFmtId="39" fontId="10" fillId="25" borderId="0" xfId="0" applyNumberFormat="1" applyFont="1" applyFill="1" applyAlignment="1" applyProtection="1">
      <alignment horizontal="left"/>
      <protection locked="0"/>
    </xf>
    <xf numFmtId="14" fontId="1" fillId="25" borderId="0" xfId="0" applyNumberFormat="1" applyFont="1" applyFill="1" applyAlignment="1" applyProtection="1">
      <alignment horizontal="center"/>
      <protection locked="0"/>
    </xf>
    <xf numFmtId="0" fontId="8" fillId="2" borderId="6" xfId="0" applyFont="1" applyFill="1" applyBorder="1" applyAlignment="1" applyProtection="1">
      <alignment horizontal="left"/>
      <protection hidden="1"/>
    </xf>
    <xf numFmtId="0" fontId="3" fillId="16" borderId="32" xfId="0" applyFont="1" applyFill="1" applyBorder="1" applyAlignment="1" applyProtection="1">
      <alignment vertical="top" wrapText="1"/>
      <protection hidden="1"/>
    </xf>
    <xf numFmtId="0" fontId="16" fillId="16" borderId="32" xfId="0" applyFont="1" applyFill="1" applyBorder="1" applyAlignment="1" applyProtection="1">
      <alignment horizontal="center" vertical="top"/>
      <protection hidden="1"/>
    </xf>
    <xf numFmtId="0" fontId="3" fillId="16" borderId="32" xfId="0" applyFont="1" applyFill="1" applyBorder="1" applyAlignment="1" applyProtection="1">
      <alignment horizontal="left" vertical="top" wrapText="1"/>
      <protection hidden="1"/>
    </xf>
    <xf numFmtId="0" fontId="0" fillId="16" borderId="32" xfId="0" applyFill="1" applyBorder="1" applyAlignment="1" applyProtection="1">
      <alignment vertical="top" wrapText="1"/>
      <protection hidden="1"/>
    </xf>
    <xf numFmtId="0" fontId="3" fillId="16" borderId="32" xfId="0" applyFont="1" applyFill="1" applyBorder="1" applyAlignment="1">
      <alignment vertical="top" wrapText="1"/>
    </xf>
    <xf numFmtId="0" fontId="1" fillId="16" borderId="5" xfId="0" applyFont="1" applyFill="1" applyBorder="1" applyAlignment="1" applyProtection="1">
      <alignment vertical="top" wrapText="1"/>
      <protection hidden="1"/>
    </xf>
    <xf numFmtId="0" fontId="5" fillId="16" borderId="5" xfId="0" applyFont="1" applyFill="1" applyBorder="1" applyAlignment="1" applyProtection="1">
      <alignment horizontal="right" vertical="top"/>
      <protection hidden="1"/>
    </xf>
    <xf numFmtId="4" fontId="0" fillId="3" borderId="33" xfId="0" applyNumberFormat="1" applyFill="1" applyBorder="1" applyProtection="1">
      <protection hidden="1"/>
    </xf>
    <xf numFmtId="0" fontId="6" fillId="16" borderId="105" xfId="0" applyFont="1" applyFill="1" applyBorder="1" applyAlignment="1" applyProtection="1">
      <alignment horizontal="center"/>
      <protection hidden="1"/>
    </xf>
    <xf numFmtId="0" fontId="6" fillId="16" borderId="73" xfId="0" applyFont="1" applyFill="1" applyBorder="1" applyAlignment="1" applyProtection="1">
      <alignment horizontal="center"/>
      <protection hidden="1"/>
    </xf>
    <xf numFmtId="0" fontId="1" fillId="3" borderId="26" xfId="0" applyFont="1" applyFill="1" applyBorder="1" applyAlignment="1" applyProtection="1">
      <alignment horizontal="left" indent="2"/>
      <protection hidden="1"/>
    </xf>
    <xf numFmtId="4" fontId="6" fillId="3" borderId="8" xfId="0" applyNumberFormat="1" applyFont="1" applyFill="1" applyBorder="1" applyAlignment="1" applyProtection="1">
      <alignment horizontal="right" vertical="top"/>
      <protection hidden="1"/>
    </xf>
    <xf numFmtId="39" fontId="8" fillId="3" borderId="14" xfId="0" applyNumberFormat="1" applyFont="1" applyFill="1" applyBorder="1" applyProtection="1">
      <protection hidden="1"/>
    </xf>
    <xf numFmtId="0" fontId="2" fillId="3" borderId="0" xfId="0" applyFont="1" applyFill="1" applyProtection="1">
      <protection hidden="1"/>
    </xf>
    <xf numFmtId="0" fontId="3" fillId="3" borderId="0" xfId="0" applyFont="1" applyFill="1" applyAlignment="1" applyProtection="1">
      <alignment horizontal="left" indent="1"/>
      <protection hidden="1"/>
    </xf>
    <xf numFmtId="0" fontId="1" fillId="16" borderId="3" xfId="0" applyFont="1" applyFill="1" applyBorder="1" applyProtection="1">
      <protection hidden="1"/>
    </xf>
    <xf numFmtId="0" fontId="21" fillId="16" borderId="0" xfId="0" applyFont="1" applyFill="1" applyAlignment="1" applyProtection="1">
      <alignment horizontal="left" vertical="center" indent="1"/>
      <protection hidden="1"/>
    </xf>
    <xf numFmtId="0" fontId="16" fillId="16" borderId="0" xfId="0" applyFont="1" applyFill="1" applyAlignment="1" applyProtection="1">
      <alignment vertical="top"/>
      <protection hidden="1"/>
    </xf>
    <xf numFmtId="0" fontId="53" fillId="16" borderId="0" xfId="0" applyFont="1" applyFill="1" applyAlignment="1" applyProtection="1">
      <alignment vertical="top"/>
      <protection hidden="1"/>
    </xf>
    <xf numFmtId="0" fontId="53" fillId="16" borderId="0" xfId="0" applyFont="1" applyFill="1" applyAlignment="1" applyProtection="1">
      <alignment horizontal="left" indent="1"/>
      <protection hidden="1"/>
    </xf>
    <xf numFmtId="0" fontId="16" fillId="16" borderId="1" xfId="0" applyFont="1" applyFill="1" applyBorder="1" applyAlignment="1" applyProtection="1">
      <alignment vertical="top"/>
      <protection hidden="1"/>
    </xf>
    <xf numFmtId="0" fontId="16" fillId="16" borderId="17" xfId="0" applyFont="1" applyFill="1" applyBorder="1" applyAlignment="1" applyProtection="1">
      <alignment horizontal="right"/>
      <protection hidden="1"/>
    </xf>
    <xf numFmtId="0" fontId="0" fillId="16" borderId="17" xfId="0" applyFill="1" applyBorder="1" applyAlignment="1" applyProtection="1">
      <alignment horizontal="left"/>
      <protection hidden="1"/>
    </xf>
    <xf numFmtId="0" fontId="5" fillId="16" borderId="14" xfId="0" applyFont="1" applyFill="1" applyBorder="1" applyProtection="1">
      <protection hidden="1"/>
    </xf>
    <xf numFmtId="168" fontId="5" fillId="3" borderId="0" xfId="0" applyNumberFormat="1" applyFont="1" applyFill="1" applyProtection="1">
      <protection hidden="1"/>
    </xf>
    <xf numFmtId="3" fontId="5" fillId="3" borderId="0" xfId="0" applyNumberFormat="1" applyFont="1" applyFill="1" applyProtection="1">
      <protection hidden="1"/>
    </xf>
    <xf numFmtId="0" fontId="19" fillId="25" borderId="27" xfId="0" applyFont="1" applyFill="1" applyBorder="1" applyProtection="1">
      <protection hidden="1"/>
    </xf>
    <xf numFmtId="0" fontId="19" fillId="25" borderId="1" xfId="0" applyFont="1" applyFill="1" applyBorder="1" applyProtection="1">
      <protection hidden="1"/>
    </xf>
    <xf numFmtId="0" fontId="0" fillId="25" borderId="1" xfId="0" applyFill="1" applyBorder="1" applyAlignment="1" applyProtection="1">
      <alignment horizontal="center"/>
      <protection hidden="1"/>
    </xf>
    <xf numFmtId="0" fontId="0" fillId="25" borderId="1" xfId="0" applyFill="1" applyBorder="1" applyProtection="1">
      <protection hidden="1"/>
    </xf>
    <xf numFmtId="0" fontId="0" fillId="25" borderId="1" xfId="0" applyFill="1" applyBorder="1" applyAlignment="1" applyProtection="1">
      <alignment horizontal="left"/>
      <protection hidden="1"/>
    </xf>
    <xf numFmtId="0" fontId="3" fillId="25" borderId="1" xfId="0" applyFont="1" applyFill="1" applyBorder="1" applyAlignment="1" applyProtection="1">
      <alignment vertical="top"/>
      <protection hidden="1"/>
    </xf>
    <xf numFmtId="0" fontId="19" fillId="25" borderId="30" xfId="0" applyFont="1" applyFill="1" applyBorder="1" applyProtection="1">
      <protection hidden="1"/>
    </xf>
    <xf numFmtId="49" fontId="6" fillId="25" borderId="0" xfId="0" applyNumberFormat="1" applyFont="1" applyFill="1" applyAlignment="1" applyProtection="1">
      <alignment horizontal="center" vertical="center"/>
      <protection hidden="1"/>
    </xf>
    <xf numFmtId="0" fontId="3" fillId="25" borderId="0" xfId="0" applyFont="1" applyFill="1" applyAlignment="1" applyProtection="1">
      <alignment horizontal="left" vertical="center"/>
      <protection hidden="1"/>
    </xf>
    <xf numFmtId="3" fontId="11" fillId="25" borderId="0" xfId="0" applyNumberFormat="1" applyFont="1" applyFill="1" applyAlignment="1" applyProtection="1">
      <alignment horizontal="center"/>
      <protection hidden="1"/>
    </xf>
    <xf numFmtId="3" fontId="11" fillId="25" borderId="0" xfId="0" applyNumberFormat="1" applyFont="1" applyFill="1" applyAlignment="1" applyProtection="1">
      <alignment horizontal="right"/>
      <protection hidden="1"/>
    </xf>
    <xf numFmtId="0" fontId="11" fillId="25" borderId="0" xfId="0" applyFont="1" applyFill="1" applyAlignment="1" applyProtection="1">
      <alignment horizontal="right"/>
      <protection hidden="1"/>
    </xf>
    <xf numFmtId="0" fontId="3" fillId="25" borderId="0" xfId="0" applyFont="1" applyFill="1" applyAlignment="1" applyProtection="1">
      <alignment vertical="center"/>
      <protection hidden="1"/>
    </xf>
    <xf numFmtId="4" fontId="1" fillId="25" borderId="0" xfId="0" applyNumberFormat="1" applyFont="1" applyFill="1" applyAlignment="1" applyProtection="1">
      <alignment horizontal="right"/>
      <protection hidden="1"/>
    </xf>
    <xf numFmtId="4" fontId="3" fillId="25" borderId="0" xfId="0" applyNumberFormat="1" applyFont="1" applyFill="1" applyProtection="1">
      <protection hidden="1"/>
    </xf>
    <xf numFmtId="164" fontId="1" fillId="25" borderId="6" xfId="0" applyNumberFormat="1" applyFont="1" applyFill="1" applyBorder="1" applyAlignment="1" applyProtection="1">
      <alignment horizontal="right"/>
      <protection hidden="1"/>
    </xf>
    <xf numFmtId="0" fontId="1" fillId="25" borderId="6" xfId="0" applyFont="1" applyFill="1" applyBorder="1" applyProtection="1">
      <protection hidden="1"/>
    </xf>
    <xf numFmtId="0" fontId="1" fillId="25" borderId="6" xfId="0" applyFont="1" applyFill="1" applyBorder="1" applyAlignment="1" applyProtection="1">
      <alignment vertical="top"/>
      <protection hidden="1"/>
    </xf>
    <xf numFmtId="0" fontId="1" fillId="25" borderId="114" xfId="0" applyFont="1" applyFill="1" applyBorder="1"/>
    <xf numFmtId="0" fontId="16" fillId="25" borderId="6" xfId="0" applyFont="1" applyFill="1" applyBorder="1" applyAlignment="1" applyProtection="1">
      <alignment horizontal="left" vertical="center"/>
      <protection hidden="1"/>
    </xf>
    <xf numFmtId="0" fontId="6" fillId="25" borderId="0" xfId="0" applyFont="1" applyFill="1" applyAlignment="1">
      <alignment horizontal="left"/>
    </xf>
    <xf numFmtId="0" fontId="64" fillId="5" borderId="0" xfId="0" applyFont="1" applyFill="1" applyAlignment="1">
      <alignment horizontal="left"/>
    </xf>
    <xf numFmtId="0" fontId="0" fillId="16" borderId="0" xfId="0" applyFill="1" applyAlignment="1">
      <alignment horizontal="right"/>
    </xf>
    <xf numFmtId="0" fontId="1" fillId="16" borderId="12" xfId="0" applyFont="1" applyFill="1" applyBorder="1" applyAlignment="1" applyProtection="1">
      <alignment horizontal="right"/>
      <protection hidden="1"/>
    </xf>
    <xf numFmtId="0" fontId="1" fillId="2" borderId="8" xfId="0" applyFont="1" applyFill="1" applyBorder="1" applyAlignment="1" applyProtection="1">
      <alignment vertical="top"/>
      <protection hidden="1"/>
    </xf>
    <xf numFmtId="0" fontId="8" fillId="2" borderId="8" xfId="0" applyFont="1" applyFill="1" applyBorder="1" applyAlignment="1" applyProtection="1">
      <alignment vertical="top"/>
      <protection hidden="1"/>
    </xf>
    <xf numFmtId="0" fontId="3" fillId="2" borderId="8" xfId="0" applyFont="1" applyFill="1" applyBorder="1" applyAlignment="1" applyProtection="1">
      <alignment horizontal="right"/>
      <protection hidden="1"/>
    </xf>
    <xf numFmtId="0" fontId="122" fillId="5" borderId="8" xfId="0" applyFont="1" applyFill="1" applyBorder="1" applyAlignment="1" applyProtection="1">
      <alignment horizontal="center"/>
      <protection hidden="1"/>
    </xf>
    <xf numFmtId="0" fontId="16" fillId="16" borderId="1" xfId="0" applyFont="1" applyFill="1" applyBorder="1" applyAlignment="1" applyProtection="1">
      <alignment vertical="center"/>
      <protection hidden="1"/>
    </xf>
    <xf numFmtId="0" fontId="1" fillId="16" borderId="0" xfId="0" quotePrefix="1" applyFont="1" applyFill="1" applyAlignment="1" applyProtection="1">
      <alignment horizontal="right" vertical="top"/>
      <protection hidden="1"/>
    </xf>
    <xf numFmtId="37" fontId="3" fillId="26" borderId="1" xfId="0" applyNumberFormat="1" applyFont="1" applyFill="1" applyBorder="1" applyProtection="1">
      <protection hidden="1"/>
    </xf>
    <xf numFmtId="3" fontId="5" fillId="0" borderId="13" xfId="0" applyNumberFormat="1" applyFont="1" applyBorder="1" applyAlignment="1" applyProtection="1">
      <alignment horizontal="center" vertical="center"/>
      <protection hidden="1"/>
    </xf>
    <xf numFmtId="3" fontId="5" fillId="0" borderId="59" xfId="0" applyNumberFormat="1" applyFont="1" applyBorder="1" applyAlignment="1" applyProtection="1">
      <alignment horizontal="center" vertical="center"/>
      <protection hidden="1"/>
    </xf>
    <xf numFmtId="3" fontId="5" fillId="0" borderId="52" xfId="0" applyNumberFormat="1" applyFont="1" applyBorder="1" applyAlignment="1" applyProtection="1">
      <alignment horizontal="center" vertical="center"/>
      <protection hidden="1"/>
    </xf>
    <xf numFmtId="3" fontId="5" fillId="0" borderId="117" xfId="0" applyNumberFormat="1" applyFont="1" applyBorder="1" applyAlignment="1" applyProtection="1">
      <alignment horizontal="center" vertical="center"/>
      <protection hidden="1"/>
    </xf>
    <xf numFmtId="0" fontId="277" fillId="16" borderId="0" xfId="0" applyFont="1" applyFill="1"/>
    <xf numFmtId="0" fontId="27" fillId="16" borderId="0" xfId="0" applyFont="1" applyFill="1" applyAlignment="1">
      <alignment horizontal="left"/>
    </xf>
    <xf numFmtId="0" fontId="75" fillId="16" borderId="6" xfId="2" applyFill="1" applyBorder="1" applyAlignment="1" applyProtection="1">
      <protection hidden="1"/>
    </xf>
    <xf numFmtId="0" fontId="75" fillId="16" borderId="21" xfId="2" applyFill="1" applyBorder="1" applyAlignment="1" applyProtection="1"/>
    <xf numFmtId="0" fontId="278" fillId="16" borderId="0" xfId="0" applyFont="1" applyFill="1"/>
    <xf numFmtId="0" fontId="278" fillId="16" borderId="21" xfId="0" applyFont="1" applyFill="1" applyBorder="1"/>
    <xf numFmtId="0" fontId="183" fillId="16" borderId="0" xfId="0" applyFont="1" applyFill="1"/>
    <xf numFmtId="0" fontId="6" fillId="3" borderId="3" xfId="0" applyFont="1" applyFill="1" applyBorder="1" applyAlignment="1" applyProtection="1">
      <alignment horizontal="center"/>
      <protection hidden="1"/>
    </xf>
    <xf numFmtId="0" fontId="16" fillId="16" borderId="0" xfId="0" applyFont="1" applyFill="1" applyAlignment="1" applyProtection="1">
      <alignment horizontal="center" wrapText="1"/>
      <protection hidden="1"/>
    </xf>
    <xf numFmtId="0" fontId="1" fillId="16" borderId="3" xfId="0" applyFont="1" applyFill="1" applyBorder="1" applyAlignment="1" applyProtection="1">
      <alignment horizontal="center"/>
      <protection hidden="1"/>
    </xf>
    <xf numFmtId="0" fontId="1" fillId="16" borderId="25" xfId="0" applyFont="1" applyFill="1" applyBorder="1" applyAlignment="1" applyProtection="1">
      <alignment horizontal="center"/>
      <protection hidden="1"/>
    </xf>
    <xf numFmtId="0" fontId="1" fillId="16" borderId="0" xfId="0" applyFont="1" applyFill="1" applyAlignment="1" applyProtection="1">
      <alignment horizontal="right" vertical="top"/>
      <protection hidden="1"/>
    </xf>
    <xf numFmtId="0" fontId="1" fillId="16" borderId="0" xfId="0" applyFont="1" applyFill="1" applyAlignment="1" applyProtection="1">
      <alignment horizontal="right" vertical="center" wrapText="1" indent="1"/>
      <protection hidden="1"/>
    </xf>
    <xf numFmtId="0" fontId="1" fillId="16" borderId="5" xfId="0" applyFont="1" applyFill="1" applyBorder="1" applyAlignment="1" applyProtection="1">
      <alignment horizontal="center" wrapText="1"/>
      <protection hidden="1"/>
    </xf>
    <xf numFmtId="0" fontId="3" fillId="16" borderId="0" xfId="0" applyFont="1" applyFill="1" applyAlignment="1" applyProtection="1">
      <alignment horizontal="right" indent="1"/>
      <protection hidden="1"/>
    </xf>
    <xf numFmtId="37" fontId="0" fillId="16" borderId="3" xfId="0" applyNumberFormat="1" applyFill="1" applyBorder="1" applyAlignment="1" applyProtection="1">
      <alignment wrapText="1"/>
      <protection hidden="1"/>
    </xf>
    <xf numFmtId="37" fontId="0" fillId="16" borderId="0" xfId="0" applyNumberFormat="1" applyFill="1" applyAlignment="1" applyProtection="1">
      <alignment wrapText="1"/>
      <protection hidden="1"/>
    </xf>
    <xf numFmtId="37" fontId="0" fillId="16" borderId="25" xfId="0" applyNumberFormat="1" applyFill="1" applyBorder="1" applyAlignment="1" applyProtection="1">
      <alignment wrapText="1"/>
      <protection hidden="1"/>
    </xf>
    <xf numFmtId="0" fontId="1" fillId="16" borderId="55" xfId="0" applyFont="1" applyFill="1" applyBorder="1" applyAlignment="1" applyProtection="1">
      <alignment horizontal="right"/>
      <protection hidden="1"/>
    </xf>
    <xf numFmtId="0" fontId="8" fillId="3" borderId="0" xfId="0" applyFont="1" applyFill="1" applyAlignment="1" applyProtection="1">
      <alignment vertical="center"/>
      <protection hidden="1"/>
    </xf>
    <xf numFmtId="0" fontId="8" fillId="3" borderId="21" xfId="0" applyFont="1" applyFill="1" applyBorder="1" applyAlignment="1" applyProtection="1">
      <alignment vertical="center"/>
      <protection hidden="1"/>
    </xf>
    <xf numFmtId="0" fontId="8" fillId="3" borderId="17" xfId="0" applyFont="1" applyFill="1" applyBorder="1" applyProtection="1">
      <protection hidden="1"/>
    </xf>
    <xf numFmtId="0" fontId="6" fillId="3" borderId="17" xfId="0" applyFont="1" applyFill="1" applyBorder="1" applyProtection="1">
      <protection hidden="1"/>
    </xf>
    <xf numFmtId="0" fontId="175" fillId="3" borderId="17" xfId="0" applyFont="1" applyFill="1" applyBorder="1" applyAlignment="1" applyProtection="1">
      <alignment horizontal="right"/>
      <protection hidden="1"/>
    </xf>
    <xf numFmtId="0" fontId="175" fillId="3" borderId="17" xfId="0" applyFont="1" applyFill="1" applyBorder="1" applyProtection="1">
      <protection hidden="1"/>
    </xf>
    <xf numFmtId="4" fontId="176" fillId="3" borderId="205" xfId="0" applyNumberFormat="1" applyFont="1" applyFill="1" applyBorder="1" applyAlignment="1" applyProtection="1">
      <alignment horizontal="right"/>
      <protection hidden="1"/>
    </xf>
    <xf numFmtId="0" fontId="55" fillId="9" borderId="0" xfId="0" applyFont="1" applyFill="1" applyAlignment="1" applyProtection="1">
      <alignment horizontal="center" vertical="center"/>
      <protection hidden="1"/>
    </xf>
    <xf numFmtId="0" fontId="11" fillId="3" borderId="5" xfId="0" applyFont="1" applyFill="1" applyBorder="1" applyAlignment="1" applyProtection="1">
      <alignment horizontal="center"/>
      <protection hidden="1"/>
    </xf>
    <xf numFmtId="0" fontId="176" fillId="3" borderId="0" xfId="0" applyFont="1" applyFill="1" applyAlignment="1" applyProtection="1">
      <alignment horizontal="center"/>
      <protection hidden="1"/>
    </xf>
    <xf numFmtId="0" fontId="176" fillId="3" borderId="5" xfId="0" applyFont="1" applyFill="1" applyBorder="1" applyAlignment="1" applyProtection="1">
      <alignment horizontal="center"/>
      <protection hidden="1"/>
    </xf>
    <xf numFmtId="0" fontId="178" fillId="3" borderId="11" xfId="0" applyFont="1" applyFill="1" applyBorder="1" applyAlignment="1" applyProtection="1">
      <alignment horizontal="center"/>
      <protection hidden="1"/>
    </xf>
    <xf numFmtId="0" fontId="0" fillId="7" borderId="7" xfId="0" applyFill="1" applyBorder="1" applyAlignment="1" applyProtection="1">
      <alignment horizontal="center"/>
      <protection hidden="1"/>
    </xf>
    <xf numFmtId="0" fontId="11" fillId="3" borderId="0" xfId="0" applyFont="1" applyFill="1" applyAlignment="1" applyProtection="1">
      <alignment horizontal="left"/>
      <protection hidden="1"/>
    </xf>
    <xf numFmtId="0" fontId="11" fillId="3" borderId="0" xfId="0" applyFont="1" applyFill="1" applyAlignment="1" applyProtection="1">
      <alignment horizontal="left" indent="1"/>
      <protection hidden="1"/>
    </xf>
    <xf numFmtId="0" fontId="176" fillId="3" borderId="5" xfId="0" applyFont="1" applyFill="1" applyBorder="1" applyAlignment="1" applyProtection="1">
      <alignment horizontal="left" indent="1"/>
      <protection hidden="1"/>
    </xf>
    <xf numFmtId="0" fontId="3" fillId="3" borderId="5" xfId="0" applyFont="1" applyFill="1" applyBorder="1" applyAlignment="1" applyProtection="1">
      <alignment vertical="top"/>
      <protection hidden="1"/>
    </xf>
    <xf numFmtId="0" fontId="281" fillId="9" borderId="1" xfId="0" applyFont="1" applyFill="1" applyBorder="1" applyAlignment="1" applyProtection="1">
      <alignment horizontal="center" vertical="center"/>
      <protection hidden="1"/>
    </xf>
    <xf numFmtId="0" fontId="178" fillId="3" borderId="0" xfId="0" applyFont="1" applyFill="1" applyAlignment="1" applyProtection="1">
      <alignment horizontal="right" indent="1"/>
      <protection hidden="1"/>
    </xf>
    <xf numFmtId="0" fontId="0" fillId="3" borderId="0" xfId="0" applyFill="1" applyAlignment="1" applyProtection="1">
      <alignment horizontal="right" indent="1"/>
      <protection hidden="1"/>
    </xf>
    <xf numFmtId="0" fontId="178" fillId="3" borderId="1" xfId="0" applyFont="1" applyFill="1" applyBorder="1" applyAlignment="1" applyProtection="1">
      <alignment horizontal="right" indent="1"/>
      <protection hidden="1"/>
    </xf>
    <xf numFmtId="0" fontId="53" fillId="3" borderId="0" xfId="0" applyFont="1" applyFill="1" applyAlignment="1" applyProtection="1">
      <alignment horizontal="left"/>
      <protection hidden="1"/>
    </xf>
    <xf numFmtId="0" fontId="53" fillId="3" borderId="0" xfId="0" applyFont="1" applyFill="1" applyAlignment="1" applyProtection="1">
      <alignment vertical="top"/>
      <protection hidden="1"/>
    </xf>
    <xf numFmtId="0" fontId="178" fillId="3" borderId="0" xfId="0" applyFont="1" applyFill="1" applyAlignment="1" applyProtection="1">
      <alignment vertical="center"/>
      <protection hidden="1"/>
    </xf>
    <xf numFmtId="0" fontId="53" fillId="3" borderId="5" xfId="0" applyFont="1" applyFill="1" applyBorder="1" applyProtection="1">
      <protection hidden="1"/>
    </xf>
    <xf numFmtId="0" fontId="177" fillId="29" borderId="1" xfId="0" quotePrefix="1" applyFont="1" applyFill="1" applyBorder="1" applyProtection="1">
      <protection hidden="1"/>
    </xf>
    <xf numFmtId="166" fontId="6" fillId="29" borderId="1" xfId="0" applyNumberFormat="1" applyFont="1" applyFill="1" applyBorder="1" applyAlignment="1" applyProtection="1">
      <alignment horizontal="center"/>
      <protection hidden="1"/>
    </xf>
    <xf numFmtId="39" fontId="174" fillId="29" borderId="1" xfId="0" applyNumberFormat="1" applyFont="1" applyFill="1" applyBorder="1" applyProtection="1">
      <protection hidden="1"/>
    </xf>
    <xf numFmtId="166" fontId="6" fillId="29" borderId="12" xfId="0" applyNumberFormat="1" applyFont="1" applyFill="1" applyBorder="1" applyAlignment="1" applyProtection="1">
      <alignment horizontal="center"/>
      <protection hidden="1"/>
    </xf>
    <xf numFmtId="0" fontId="154" fillId="10" borderId="0" xfId="0" applyFont="1" applyFill="1" applyAlignment="1">
      <alignment horizontal="center"/>
    </xf>
    <xf numFmtId="0" fontId="134" fillId="10" borderId="0" xfId="0" applyFont="1" applyFill="1" applyAlignment="1">
      <alignment horizontal="center"/>
    </xf>
    <xf numFmtId="37" fontId="151" fillId="10" borderId="0" xfId="0" applyNumberFormat="1" applyFont="1" applyFill="1" applyAlignment="1">
      <alignment horizontal="right"/>
    </xf>
    <xf numFmtId="0" fontId="0" fillId="15" borderId="7" xfId="0" applyFill="1" applyBorder="1" applyProtection="1">
      <protection hidden="1"/>
    </xf>
    <xf numFmtId="0" fontId="5" fillId="15" borderId="7" xfId="0" applyFont="1" applyFill="1" applyBorder="1" applyAlignment="1" applyProtection="1">
      <alignment horizontal="center"/>
      <protection hidden="1"/>
    </xf>
    <xf numFmtId="0" fontId="134" fillId="10" borderId="0" xfId="0" applyFont="1" applyFill="1" applyAlignment="1">
      <alignment horizontal="center" vertical="center"/>
    </xf>
    <xf numFmtId="0" fontId="134" fillId="10" borderId="0" xfId="0" applyFont="1" applyFill="1" applyAlignment="1">
      <alignment horizontal="center" vertical="top"/>
    </xf>
    <xf numFmtId="0" fontId="53" fillId="3" borderId="0" xfId="0" applyFont="1" applyFill="1" applyAlignment="1" applyProtection="1">
      <alignment horizontal="right"/>
      <protection hidden="1"/>
    </xf>
    <xf numFmtId="0" fontId="14" fillId="3" borderId="0" xfId="0" applyFont="1" applyFill="1" applyProtection="1">
      <protection hidden="1"/>
    </xf>
    <xf numFmtId="0" fontId="282" fillId="3" borderId="0" xfId="0" applyFont="1" applyFill="1" applyProtection="1">
      <protection hidden="1"/>
    </xf>
    <xf numFmtId="0" fontId="14" fillId="3" borderId="0" xfId="0" applyFont="1" applyFill="1" applyAlignment="1" applyProtection="1">
      <alignment vertical="center"/>
      <protection hidden="1"/>
    </xf>
    <xf numFmtId="0" fontId="0" fillId="3" borderId="0" xfId="0" applyFill="1" applyAlignment="1" applyProtection="1">
      <alignment horizontal="right" vertical="center"/>
      <protection hidden="1"/>
    </xf>
    <xf numFmtId="0" fontId="178" fillId="3" borderId="0" xfId="0" applyFont="1" applyFill="1" applyAlignment="1" applyProtection="1">
      <alignment horizontal="right" vertical="center"/>
      <protection hidden="1"/>
    </xf>
    <xf numFmtId="0" fontId="40" fillId="3" borderId="0" xfId="0" applyFont="1" applyFill="1" applyAlignment="1" applyProtection="1">
      <alignment vertical="center"/>
      <protection hidden="1"/>
    </xf>
    <xf numFmtId="0" fontId="0" fillId="7" borderId="7" xfId="0" applyFill="1" applyBorder="1" applyAlignment="1" applyProtection="1">
      <alignment horizontal="center" vertical="center"/>
      <protection hidden="1"/>
    </xf>
    <xf numFmtId="4" fontId="3" fillId="3" borderId="7" xfId="0" applyNumberFormat="1" applyFont="1" applyFill="1" applyBorder="1" applyAlignment="1" applyProtection="1">
      <alignment vertical="center"/>
      <protection hidden="1"/>
    </xf>
    <xf numFmtId="0" fontId="0" fillId="7" borderId="7" xfId="0" applyFill="1" applyBorder="1" applyAlignment="1" applyProtection="1">
      <alignment vertical="center"/>
      <protection hidden="1"/>
    </xf>
    <xf numFmtId="0" fontId="154" fillId="10" borderId="0" xfId="0" applyFont="1" applyFill="1" applyAlignment="1">
      <alignment horizontal="center" vertical="center"/>
    </xf>
    <xf numFmtId="0" fontId="3" fillId="0" borderId="0" xfId="0" applyFont="1" applyAlignment="1">
      <alignment vertical="center"/>
    </xf>
    <xf numFmtId="0" fontId="3" fillId="16" borderId="10" xfId="0" applyFont="1" applyFill="1" applyBorder="1" applyAlignment="1" applyProtection="1">
      <alignment horizontal="left" vertical="center"/>
      <protection hidden="1"/>
    </xf>
    <xf numFmtId="0" fontId="3" fillId="16" borderId="1" xfId="0" applyFont="1" applyFill="1" applyBorder="1" applyAlignment="1">
      <alignment vertical="center"/>
    </xf>
    <xf numFmtId="0" fontId="3" fillId="16" borderId="12" xfId="0" applyFont="1" applyFill="1" applyBorder="1" applyAlignment="1">
      <alignment vertical="center"/>
    </xf>
    <xf numFmtId="0" fontId="40" fillId="3" borderId="0" xfId="0" applyFont="1" applyFill="1" applyAlignment="1" applyProtection="1">
      <alignment vertical="top"/>
      <protection hidden="1"/>
    </xf>
    <xf numFmtId="0" fontId="1" fillId="27" borderId="2" xfId="0" applyFont="1" applyFill="1" applyBorder="1" applyAlignment="1" applyProtection="1">
      <alignment horizontal="center" vertical="center"/>
      <protection hidden="1"/>
    </xf>
    <xf numFmtId="0" fontId="1" fillId="3" borderId="0" xfId="0" applyFont="1" applyFill="1" applyAlignment="1" applyProtection="1">
      <alignment horizontal="right" indent="1"/>
      <protection hidden="1"/>
    </xf>
    <xf numFmtId="0" fontId="3" fillId="3" borderId="5" xfId="0" applyFont="1" applyFill="1" applyBorder="1" applyAlignment="1" applyProtection="1">
      <alignment horizontal="right" indent="1"/>
      <protection hidden="1"/>
    </xf>
    <xf numFmtId="0" fontId="3" fillId="3" borderId="0" xfId="0" applyFont="1" applyFill="1" applyAlignment="1" applyProtection="1">
      <alignment horizontal="right" indent="1"/>
      <protection hidden="1"/>
    </xf>
    <xf numFmtId="0" fontId="1" fillId="3" borderId="5" xfId="0" applyFont="1" applyFill="1" applyBorder="1" applyAlignment="1" applyProtection="1">
      <alignment horizontal="center"/>
      <protection hidden="1"/>
    </xf>
    <xf numFmtId="0" fontId="16" fillId="16" borderId="24" xfId="0" applyFont="1" applyFill="1" applyBorder="1" applyAlignment="1" applyProtection="1">
      <alignment horizontal="left" vertical="center" indent="1"/>
      <protection hidden="1"/>
    </xf>
    <xf numFmtId="0" fontId="16" fillId="16" borderId="6" xfId="0" applyFont="1" applyFill="1" applyBorder="1" applyAlignment="1" applyProtection="1">
      <alignment horizontal="left" indent="1"/>
      <protection hidden="1"/>
    </xf>
    <xf numFmtId="39" fontId="1" fillId="3" borderId="9" xfId="0" applyNumberFormat="1" applyFont="1" applyFill="1" applyBorder="1" applyProtection="1">
      <protection hidden="1"/>
    </xf>
    <xf numFmtId="0" fontId="1" fillId="3" borderId="9" xfId="0" applyFont="1" applyFill="1" applyBorder="1" applyAlignment="1" applyProtection="1">
      <alignment horizontal="center"/>
      <protection hidden="1"/>
    </xf>
    <xf numFmtId="0" fontId="3" fillId="5" borderId="0" xfId="0" applyFont="1" applyFill="1"/>
    <xf numFmtId="0" fontId="10" fillId="16" borderId="6" xfId="0" applyFont="1" applyFill="1" applyBorder="1" applyAlignment="1" applyProtection="1">
      <alignment horizontal="left" indent="1"/>
      <protection hidden="1"/>
    </xf>
    <xf numFmtId="0" fontId="151" fillId="32" borderId="28" xfId="0" applyFont="1" applyFill="1" applyBorder="1" applyAlignment="1" applyProtection="1">
      <alignment vertical="center"/>
      <protection hidden="1"/>
    </xf>
    <xf numFmtId="0" fontId="253" fillId="2" borderId="0" xfId="0" applyFont="1" applyFill="1" applyAlignment="1" applyProtection="1">
      <alignment horizontal="center" wrapText="1"/>
      <protection hidden="1"/>
    </xf>
    <xf numFmtId="0" fontId="1" fillId="30" borderId="0" xfId="0" applyFont="1" applyFill="1" applyAlignment="1" applyProtection="1">
      <alignment horizontal="right"/>
      <protection hidden="1"/>
    </xf>
    <xf numFmtId="0" fontId="1" fillId="20" borderId="31" xfId="0" applyFont="1" applyFill="1" applyBorder="1" applyAlignment="1" applyProtection="1">
      <alignment horizontal="center"/>
      <protection hidden="1"/>
    </xf>
    <xf numFmtId="0" fontId="1" fillId="0" borderId="0" xfId="0" applyFont="1" applyAlignment="1" applyProtection="1">
      <alignment horizontal="left"/>
      <protection hidden="1"/>
    </xf>
    <xf numFmtId="190" fontId="4" fillId="2" borderId="46" xfId="0" applyNumberFormat="1" applyFont="1" applyFill="1" applyBorder="1" applyAlignment="1" applyProtection="1">
      <alignment horizontal="center"/>
      <protection hidden="1"/>
    </xf>
    <xf numFmtId="0" fontId="1" fillId="20" borderId="1" xfId="0" applyFont="1" applyFill="1" applyBorder="1" applyAlignment="1" applyProtection="1">
      <alignment horizontal="center"/>
      <protection hidden="1"/>
    </xf>
    <xf numFmtId="0" fontId="10" fillId="16" borderId="24" xfId="0" applyFont="1" applyFill="1" applyBorder="1" applyAlignment="1" applyProtection="1">
      <alignment horizontal="left" indent="1"/>
      <protection hidden="1"/>
    </xf>
    <xf numFmtId="177" fontId="138" fillId="37" borderId="0" xfId="0" applyNumberFormat="1" applyFont="1" applyFill="1" applyProtection="1">
      <protection hidden="1"/>
    </xf>
    <xf numFmtId="0" fontId="138" fillId="37" borderId="25" xfId="0" applyFont="1" applyFill="1" applyBorder="1" applyProtection="1">
      <protection hidden="1"/>
    </xf>
    <xf numFmtId="0" fontId="140" fillId="37" borderId="0" xfId="0" applyFont="1" applyFill="1" applyProtection="1">
      <protection hidden="1"/>
    </xf>
    <xf numFmtId="0" fontId="138" fillId="37" borderId="0" xfId="0" applyFont="1" applyFill="1" applyProtection="1">
      <protection hidden="1"/>
    </xf>
    <xf numFmtId="3" fontId="138" fillId="37" borderId="0" xfId="0" applyNumberFormat="1" applyFont="1" applyFill="1" applyProtection="1">
      <protection hidden="1"/>
    </xf>
    <xf numFmtId="0" fontId="138" fillId="37" borderId="112" xfId="0" applyFont="1" applyFill="1" applyBorder="1" applyProtection="1">
      <protection hidden="1"/>
    </xf>
    <xf numFmtId="0" fontId="10" fillId="37" borderId="3" xfId="0" applyFont="1" applyFill="1" applyBorder="1" applyProtection="1">
      <protection hidden="1"/>
    </xf>
    <xf numFmtId="0" fontId="3" fillId="37" borderId="9" xfId="0" applyFont="1" applyFill="1" applyBorder="1" applyProtection="1">
      <protection hidden="1"/>
    </xf>
    <xf numFmtId="0" fontId="137" fillId="37" borderId="9" xfId="0" applyFont="1" applyFill="1" applyBorder="1" applyProtection="1">
      <protection hidden="1"/>
    </xf>
    <xf numFmtId="0" fontId="0" fillId="37" borderId="9" xfId="0" applyFill="1" applyBorder="1" applyProtection="1">
      <protection hidden="1"/>
    </xf>
    <xf numFmtId="0" fontId="0" fillId="37" borderId="15" xfId="0" applyFill="1" applyBorder="1" applyProtection="1">
      <protection hidden="1"/>
    </xf>
    <xf numFmtId="0" fontId="1" fillId="37" borderId="0" xfId="0" applyFont="1" applyFill="1"/>
    <xf numFmtId="0" fontId="29" fillId="42" borderId="0" xfId="0" applyFont="1" applyFill="1" applyAlignment="1" applyProtection="1">
      <alignment horizontal="right"/>
      <protection hidden="1"/>
    </xf>
    <xf numFmtId="0" fontId="0" fillId="37" borderId="31" xfId="0" applyFill="1" applyBorder="1" applyProtection="1">
      <protection hidden="1"/>
    </xf>
    <xf numFmtId="0" fontId="0" fillId="37" borderId="174" xfId="0" applyFill="1" applyBorder="1"/>
    <xf numFmtId="0" fontId="0" fillId="37" borderId="92" xfId="0" applyFill="1" applyBorder="1" applyProtection="1">
      <protection hidden="1"/>
    </xf>
    <xf numFmtId="0" fontId="70" fillId="3" borderId="1" xfId="0" applyFont="1" applyFill="1" applyBorder="1" applyAlignment="1" applyProtection="1">
      <alignment horizontal="right"/>
      <protection hidden="1"/>
    </xf>
    <xf numFmtId="39" fontId="8" fillId="3" borderId="1" xfId="0" applyNumberFormat="1" applyFont="1" applyFill="1" applyBorder="1" applyAlignment="1" applyProtection="1">
      <alignment horizontal="right"/>
      <protection hidden="1"/>
    </xf>
    <xf numFmtId="39" fontId="8" fillId="30" borderId="27" xfId="0" applyNumberFormat="1" applyFont="1" applyFill="1" applyBorder="1" applyAlignment="1" applyProtection="1">
      <alignment horizontal="right"/>
      <protection hidden="1"/>
    </xf>
    <xf numFmtId="39" fontId="8" fillId="30" borderId="1" xfId="0" applyNumberFormat="1" applyFont="1" applyFill="1" applyBorder="1" applyAlignment="1" applyProtection="1">
      <alignment horizontal="right"/>
      <protection hidden="1"/>
    </xf>
    <xf numFmtId="39" fontId="8" fillId="30" borderId="30" xfId="0" applyNumberFormat="1" applyFont="1" applyFill="1" applyBorder="1" applyAlignment="1" applyProtection="1">
      <alignment horizontal="right"/>
      <protection hidden="1"/>
    </xf>
    <xf numFmtId="3" fontId="4" fillId="2" borderId="31" xfId="0" applyNumberFormat="1" applyFont="1" applyFill="1" applyBorder="1" applyAlignment="1" applyProtection="1">
      <alignment horizontal="right" vertical="center"/>
      <protection locked="0"/>
    </xf>
    <xf numFmtId="0" fontId="27" fillId="16" borderId="6" xfId="0" applyFont="1" applyFill="1" applyBorder="1" applyAlignment="1" applyProtection="1">
      <alignment horizontal="left" indent="1"/>
      <protection hidden="1"/>
    </xf>
    <xf numFmtId="4" fontId="137" fillId="2" borderId="0" xfId="0" applyNumberFormat="1" applyFont="1" applyFill="1" applyProtection="1">
      <protection hidden="1"/>
    </xf>
    <xf numFmtId="4" fontId="1" fillId="2" borderId="0" xfId="0" applyNumberFormat="1" applyFont="1" applyFill="1" applyAlignment="1" applyProtection="1">
      <alignment horizontal="left" indent="1"/>
      <protection hidden="1"/>
    </xf>
    <xf numFmtId="4" fontId="3" fillId="2" borderId="0" xfId="0" applyNumberFormat="1" applyFont="1" applyFill="1" applyAlignment="1" applyProtection="1">
      <alignment horizontal="left"/>
      <protection hidden="1"/>
    </xf>
    <xf numFmtId="4" fontId="3" fillId="2" borderId="0" xfId="0" applyNumberFormat="1" applyFont="1" applyFill="1" applyProtection="1">
      <protection hidden="1"/>
    </xf>
    <xf numFmtId="0" fontId="215" fillId="16" borderId="0" xfId="0" applyFont="1" applyFill="1" applyProtection="1">
      <protection hidden="1"/>
    </xf>
    <xf numFmtId="0" fontId="215" fillId="2" borderId="0" xfId="0" applyFont="1" applyFill="1" applyAlignment="1" applyProtection="1">
      <alignment horizontal="right" indent="2"/>
      <protection hidden="1"/>
    </xf>
    <xf numFmtId="0" fontId="5" fillId="16" borderId="3" xfId="0" applyFont="1" applyFill="1" applyBorder="1" applyProtection="1">
      <protection hidden="1"/>
    </xf>
    <xf numFmtId="0" fontId="5" fillId="16" borderId="10" xfId="0" applyFont="1" applyFill="1" applyBorder="1" applyProtection="1">
      <protection hidden="1"/>
    </xf>
    <xf numFmtId="4" fontId="0" fillId="3" borderId="0" xfId="0" applyNumberFormat="1" applyFill="1" applyAlignment="1" applyProtection="1">
      <alignment horizontal="center"/>
      <protection hidden="1"/>
    </xf>
    <xf numFmtId="0" fontId="14" fillId="16" borderId="9" xfId="0" applyFont="1" applyFill="1" applyBorder="1" applyAlignment="1" applyProtection="1">
      <alignment horizontal="center"/>
      <protection hidden="1"/>
    </xf>
    <xf numFmtId="0" fontId="14" fillId="16" borderId="0" xfId="0" applyFont="1" applyFill="1" applyAlignment="1" applyProtection="1">
      <alignment horizontal="center"/>
      <protection hidden="1"/>
    </xf>
    <xf numFmtId="0" fontId="14" fillId="16" borderId="1" xfId="0" applyFont="1" applyFill="1" applyBorder="1" applyAlignment="1" applyProtection="1">
      <alignment horizontal="center"/>
      <protection hidden="1"/>
    </xf>
    <xf numFmtId="4" fontId="8" fillId="3" borderId="7" xfId="0" applyNumberFormat="1" applyFont="1" applyFill="1" applyBorder="1" applyAlignment="1" applyProtection="1">
      <alignment horizontal="center"/>
      <protection hidden="1"/>
    </xf>
    <xf numFmtId="4" fontId="8" fillId="3" borderId="8"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6" fillId="3" borderId="0" xfId="0" applyFont="1" applyFill="1" applyAlignment="1" applyProtection="1">
      <alignment horizontal="left" vertical="top"/>
      <protection hidden="1"/>
    </xf>
    <xf numFmtId="0" fontId="3" fillId="3" borderId="0" xfId="0" applyFont="1" applyFill="1" applyAlignment="1" applyProtection="1">
      <alignment horizontal="left" vertical="top"/>
      <protection hidden="1"/>
    </xf>
    <xf numFmtId="0" fontId="74" fillId="5" borderId="0" xfId="0" applyFont="1" applyFill="1" applyAlignment="1" applyProtection="1">
      <alignment vertical="top"/>
      <protection hidden="1"/>
    </xf>
    <xf numFmtId="0" fontId="64" fillId="5" borderId="0" xfId="0" applyFont="1" applyFill="1" applyAlignment="1" applyProtection="1">
      <alignment vertical="top"/>
      <protection hidden="1"/>
    </xf>
    <xf numFmtId="0" fontId="23" fillId="16" borderId="0" xfId="0" applyFont="1" applyFill="1"/>
    <xf numFmtId="0" fontId="0" fillId="5" borderId="0" xfId="0" applyFill="1" applyAlignment="1" applyProtection="1">
      <alignment horizontal="right"/>
      <protection hidden="1"/>
    </xf>
    <xf numFmtId="0" fontId="5" fillId="5" borderId="0" xfId="0" applyFont="1" applyFill="1" applyAlignment="1" applyProtection="1">
      <alignment vertical="top"/>
      <protection hidden="1"/>
    </xf>
    <xf numFmtId="0" fontId="255" fillId="5" borderId="0" xfId="0" applyFont="1" applyFill="1" applyProtection="1">
      <protection hidden="1"/>
    </xf>
    <xf numFmtId="0" fontId="255" fillId="5" borderId="0" xfId="0" applyFont="1" applyFill="1" applyAlignment="1" applyProtection="1">
      <alignment vertical="center"/>
      <protection hidden="1"/>
    </xf>
    <xf numFmtId="0" fontId="255" fillId="5" borderId="0" xfId="0" applyFont="1" applyFill="1" applyAlignment="1" applyProtection="1">
      <alignment vertical="top"/>
      <protection hidden="1"/>
    </xf>
    <xf numFmtId="0" fontId="0" fillId="0" borderId="78" xfId="0" applyBorder="1"/>
    <xf numFmtId="0" fontId="21" fillId="2" borderId="78" xfId="4" applyFont="1" applyFill="1" applyBorder="1" applyAlignment="1" applyProtection="1">
      <alignment horizontal="left"/>
      <protection hidden="1"/>
    </xf>
    <xf numFmtId="0" fontId="1" fillId="2" borderId="0" xfId="4" quotePrefix="1" applyFont="1" applyFill="1" applyAlignment="1" applyProtection="1">
      <alignment horizontal="center" vertical="center"/>
      <protection hidden="1"/>
    </xf>
    <xf numFmtId="49" fontId="3" fillId="2" borderId="0" xfId="4" applyNumberFormat="1" applyFill="1" applyAlignment="1" applyProtection="1">
      <alignment horizontal="right" vertical="center" indent="1"/>
      <protection hidden="1"/>
    </xf>
    <xf numFmtId="3" fontId="3" fillId="2" borderId="0" xfId="4" applyNumberFormat="1" applyFill="1" applyProtection="1">
      <protection locked="0"/>
    </xf>
    <xf numFmtId="0" fontId="2" fillId="2" borderId="1" xfId="4" applyFont="1" applyFill="1" applyBorder="1" applyAlignment="1" applyProtection="1">
      <alignment horizontal="left" vertical="top"/>
      <protection hidden="1"/>
    </xf>
    <xf numFmtId="0" fontId="167" fillId="2" borderId="0" xfId="4" applyFont="1" applyFill="1" applyAlignment="1" applyProtection="1">
      <alignment horizontal="left"/>
      <protection hidden="1"/>
    </xf>
    <xf numFmtId="49" fontId="1" fillId="2" borderId="0" xfId="4" applyNumberFormat="1" applyFont="1" applyFill="1" applyAlignment="1" applyProtection="1">
      <alignment horizontal="center"/>
      <protection hidden="1"/>
    </xf>
    <xf numFmtId="0" fontId="3" fillId="2" borderId="0" xfId="4" quotePrefix="1" applyFill="1" applyAlignment="1" applyProtection="1">
      <alignment horizontal="center"/>
      <protection hidden="1"/>
    </xf>
    <xf numFmtId="5" fontId="3" fillId="2" borderId="0" xfId="4" applyNumberFormat="1" applyFill="1" applyAlignment="1" applyProtection="1">
      <alignment horizontal="center"/>
      <protection hidden="1"/>
    </xf>
    <xf numFmtId="37" fontId="138" fillId="2" borderId="0" xfId="4" applyNumberFormat="1" applyFont="1" applyFill="1" applyProtection="1">
      <protection hidden="1"/>
    </xf>
    <xf numFmtId="0" fontId="198" fillId="2" borderId="0" xfId="4" applyFont="1" applyFill="1" applyAlignment="1" applyProtection="1">
      <alignment horizontal="center" vertical="center"/>
      <protection hidden="1"/>
    </xf>
    <xf numFmtId="0" fontId="138" fillId="16" borderId="0" xfId="0" applyFont="1" applyFill="1" applyAlignment="1">
      <alignment vertical="center"/>
    </xf>
    <xf numFmtId="0" fontId="1" fillId="16" borderId="0" xfId="4" applyFont="1" applyFill="1" applyAlignment="1" applyProtection="1">
      <alignment horizontal="center" vertical="center"/>
      <protection hidden="1"/>
    </xf>
    <xf numFmtId="49" fontId="1" fillId="2" borderId="0" xfId="4" applyNumberFormat="1" applyFont="1" applyFill="1" applyAlignment="1" applyProtection="1">
      <alignment horizontal="center" vertical="center"/>
      <protection hidden="1"/>
    </xf>
    <xf numFmtId="0" fontId="3" fillId="2" borderId="9" xfId="4" applyFill="1" applyBorder="1" applyAlignment="1" applyProtection="1">
      <alignment vertical="top"/>
      <protection hidden="1"/>
    </xf>
    <xf numFmtId="0" fontId="2" fillId="2" borderId="0" xfId="4" applyFont="1" applyFill="1" applyProtection="1">
      <protection hidden="1"/>
    </xf>
    <xf numFmtId="3" fontId="1" fillId="2" borderId="207" xfId="4" applyNumberFormat="1" applyFont="1" applyFill="1" applyBorder="1" applyAlignment="1" applyProtection="1">
      <alignment horizontal="left" vertical="center" indent="1"/>
      <protection locked="0"/>
    </xf>
    <xf numFmtId="0" fontId="3" fillId="3" borderId="207" xfId="4" applyFill="1" applyBorder="1" applyAlignment="1">
      <alignment wrapText="1"/>
    </xf>
    <xf numFmtId="3" fontId="4" fillId="2" borderId="207" xfId="4" applyNumberFormat="1" applyFont="1" applyFill="1" applyBorder="1" applyAlignment="1" applyProtection="1">
      <alignment horizontal="left" vertical="center"/>
      <protection locked="0"/>
    </xf>
    <xf numFmtId="40" fontId="3" fillId="3" borderId="207" xfId="4" applyNumberFormat="1" applyFill="1" applyBorder="1"/>
    <xf numFmtId="0" fontId="10" fillId="3" borderId="207" xfId="4" applyFont="1" applyFill="1" applyBorder="1" applyAlignment="1">
      <alignment horizontal="center"/>
    </xf>
    <xf numFmtId="40" fontId="3" fillId="3" borderId="207" xfId="4" applyNumberFormat="1" applyFill="1" applyBorder="1" applyAlignment="1">
      <alignment vertical="top"/>
    </xf>
    <xf numFmtId="0" fontId="4" fillId="3" borderId="207" xfId="4" applyFont="1" applyFill="1" applyBorder="1" applyAlignment="1">
      <alignment horizontal="right"/>
    </xf>
    <xf numFmtId="0" fontId="10" fillId="3" borderId="207" xfId="4" applyFont="1" applyFill="1" applyBorder="1"/>
    <xf numFmtId="0" fontId="3" fillId="3" borderId="207" xfId="4" applyFill="1" applyBorder="1"/>
    <xf numFmtId="0" fontId="159" fillId="3" borderId="207" xfId="4" applyFont="1" applyFill="1" applyBorder="1" applyAlignment="1">
      <alignment horizontal="right"/>
    </xf>
    <xf numFmtId="3" fontId="1" fillId="2" borderId="207" xfId="4" applyNumberFormat="1" applyFont="1" applyFill="1" applyBorder="1" applyAlignment="1" applyProtection="1">
      <alignment horizontal="right" vertical="center"/>
      <protection locked="0"/>
    </xf>
    <xf numFmtId="3" fontId="4" fillId="2" borderId="207" xfId="4" applyNumberFormat="1" applyFont="1" applyFill="1" applyBorder="1" applyAlignment="1" applyProtection="1">
      <alignment horizontal="right" vertical="center"/>
      <protection locked="0"/>
    </xf>
    <xf numFmtId="0" fontId="45" fillId="2" borderId="0" xfId="4" applyFont="1" applyFill="1" applyAlignment="1" applyProtection="1">
      <alignment horizontal="left"/>
      <protection hidden="1"/>
    </xf>
    <xf numFmtId="0" fontId="2" fillId="2" borderId="0" xfId="4" applyFont="1" applyFill="1" applyAlignment="1" applyProtection="1">
      <alignment horizontal="center"/>
      <protection hidden="1"/>
    </xf>
    <xf numFmtId="0" fontId="161" fillId="2" borderId="0" xfId="4" applyFont="1" applyFill="1" applyProtection="1">
      <protection hidden="1"/>
    </xf>
    <xf numFmtId="0" fontId="41" fillId="2" borderId="0" xfId="4" applyFont="1" applyFill="1" applyProtection="1">
      <protection hidden="1"/>
    </xf>
    <xf numFmtId="49" fontId="62" fillId="2" borderId="0" xfId="4" applyNumberFormat="1" applyFont="1" applyFill="1" applyAlignment="1" applyProtection="1">
      <alignment horizontal="right"/>
      <protection hidden="1"/>
    </xf>
    <xf numFmtId="0" fontId="89" fillId="2" borderId="0" xfId="4" applyFont="1" applyFill="1" applyAlignment="1" applyProtection="1">
      <alignment horizontal="right"/>
      <protection hidden="1"/>
    </xf>
    <xf numFmtId="3" fontId="63" fillId="2" borderId="0" xfId="4" applyNumberFormat="1" applyFont="1" applyFill="1" applyAlignment="1" applyProtection="1">
      <alignment horizontal="center"/>
      <protection locked="0"/>
    </xf>
    <xf numFmtId="0" fontId="2" fillId="2" borderId="0" xfId="4" applyFont="1" applyFill="1"/>
    <xf numFmtId="0" fontId="2" fillId="0" borderId="0" xfId="4" applyFont="1"/>
    <xf numFmtId="39" fontId="2" fillId="25" borderId="0" xfId="4" applyNumberFormat="1" applyFont="1" applyFill="1" applyProtection="1">
      <protection locked="0"/>
    </xf>
    <xf numFmtId="4" fontId="140" fillId="16" borderId="0" xfId="0" applyNumberFormat="1" applyFont="1" applyFill="1" applyProtection="1">
      <protection hidden="1"/>
    </xf>
    <xf numFmtId="3" fontId="1" fillId="2" borderId="80" xfId="4" applyNumberFormat="1" applyFont="1" applyFill="1" applyBorder="1" applyAlignment="1" applyProtection="1">
      <alignment horizontal="right" vertical="center"/>
      <protection locked="0"/>
    </xf>
    <xf numFmtId="0" fontId="3" fillId="0" borderId="13" xfId="0" applyFont="1" applyBorder="1" applyAlignment="1" applyProtection="1">
      <alignment horizontal="center"/>
      <protection hidden="1"/>
    </xf>
    <xf numFmtId="0" fontId="0" fillId="0" borderId="13" xfId="0" applyBorder="1" applyAlignment="1" applyProtection="1">
      <alignment horizontal="center"/>
      <protection hidden="1"/>
    </xf>
    <xf numFmtId="37" fontId="0" fillId="0" borderId="13" xfId="0" applyNumberFormat="1" applyBorder="1" applyAlignment="1" applyProtection="1">
      <alignment horizontal="right"/>
      <protection hidden="1"/>
    </xf>
    <xf numFmtId="1" fontId="3" fillId="43" borderId="0" xfId="0" applyNumberFormat="1" applyFont="1" applyFill="1" applyAlignment="1" applyProtection="1">
      <alignment horizontal="center"/>
      <protection hidden="1"/>
    </xf>
    <xf numFmtId="4" fontId="11" fillId="16" borderId="0" xfId="0" applyNumberFormat="1" applyFont="1" applyFill="1" applyProtection="1">
      <protection hidden="1"/>
    </xf>
    <xf numFmtId="37" fontId="0" fillId="25" borderId="0" xfId="0" applyNumberFormat="1" applyFill="1" applyProtection="1">
      <protection locked="0"/>
    </xf>
    <xf numFmtId="37" fontId="0" fillId="25" borderId="0" xfId="0" applyNumberFormat="1" applyFill="1" applyAlignment="1" applyProtection="1">
      <alignment vertical="top"/>
      <protection locked="0"/>
    </xf>
    <xf numFmtId="37" fontId="0" fillId="0" borderId="0" xfId="0" applyNumberFormat="1" applyProtection="1">
      <protection locked="0"/>
    </xf>
    <xf numFmtId="14" fontId="0" fillId="25" borderId="0" xfId="0" applyNumberFormat="1" applyFill="1" applyAlignment="1" applyProtection="1">
      <alignment vertical="top"/>
      <protection locked="0"/>
    </xf>
    <xf numFmtId="14" fontId="3" fillId="25" borderId="1" xfId="0" applyNumberFormat="1" applyFont="1" applyFill="1" applyBorder="1" applyAlignment="1" applyProtection="1">
      <alignment horizontal="center"/>
      <protection locked="0"/>
    </xf>
    <xf numFmtId="0" fontId="3" fillId="25" borderId="20" xfId="0" applyFont="1" applyFill="1" applyBorder="1" applyProtection="1">
      <protection hidden="1"/>
    </xf>
    <xf numFmtId="0" fontId="1" fillId="25" borderId="24" xfId="0" applyFont="1" applyFill="1" applyBorder="1" applyAlignment="1" applyProtection="1">
      <alignment horizontal="right"/>
      <protection hidden="1"/>
    </xf>
    <xf numFmtId="37" fontId="140" fillId="0" borderId="0" xfId="0" applyNumberFormat="1" applyFont="1" applyProtection="1">
      <protection hidden="1"/>
    </xf>
    <xf numFmtId="0" fontId="140" fillId="0" borderId="0" xfId="0" applyFont="1" applyAlignment="1" applyProtection="1">
      <alignment vertical="center"/>
      <protection hidden="1"/>
    </xf>
    <xf numFmtId="37" fontId="3" fillId="25" borderId="0" xfId="0" applyNumberFormat="1" applyFont="1" applyFill="1" applyProtection="1">
      <protection locked="0"/>
    </xf>
    <xf numFmtId="37" fontId="3" fillId="25" borderId="0" xfId="0" applyNumberFormat="1" applyFont="1" applyFill="1" applyAlignment="1" applyProtection="1">
      <alignment vertical="top"/>
      <protection locked="0"/>
    </xf>
    <xf numFmtId="37" fontId="0" fillId="25" borderId="1" xfId="0" applyNumberFormat="1" applyFill="1" applyBorder="1" applyAlignment="1" applyProtection="1">
      <alignment horizontal="center"/>
      <protection locked="0"/>
    </xf>
    <xf numFmtId="37" fontId="0" fillId="25" borderId="26" xfId="0" applyNumberFormat="1" applyFill="1" applyBorder="1" applyAlignment="1" applyProtection="1">
      <alignment horizontal="center"/>
      <protection locked="0"/>
    </xf>
    <xf numFmtId="37" fontId="3" fillId="25" borderId="0" xfId="0" applyNumberFormat="1" applyFont="1" applyFill="1" applyAlignment="1" applyProtection="1">
      <alignment horizontal="left" indent="1"/>
      <protection locked="0"/>
    </xf>
    <xf numFmtId="0" fontId="16" fillId="2" borderId="0" xfId="0" applyFont="1" applyFill="1" applyAlignment="1" applyProtection="1">
      <alignment vertical="center"/>
      <protection hidden="1"/>
    </xf>
    <xf numFmtId="0" fontId="53" fillId="2" borderId="28" xfId="0" applyFont="1" applyFill="1" applyBorder="1" applyAlignment="1" applyProtection="1">
      <alignment vertical="center"/>
      <protection hidden="1"/>
    </xf>
    <xf numFmtId="0" fontId="10" fillId="2" borderId="28" xfId="0" applyFont="1" applyFill="1" applyBorder="1" applyAlignment="1" applyProtection="1">
      <alignment horizontal="left" vertical="center" indent="1"/>
      <protection hidden="1"/>
    </xf>
    <xf numFmtId="0" fontId="14" fillId="2" borderId="9" xfId="0" applyFont="1" applyFill="1" applyBorder="1" applyAlignment="1" applyProtection="1">
      <alignment vertical="center"/>
      <protection hidden="1"/>
    </xf>
    <xf numFmtId="0" fontId="16" fillId="2" borderId="0" xfId="0" applyFont="1" applyFill="1" applyAlignment="1" applyProtection="1">
      <alignment horizontal="center" vertical="center"/>
      <protection hidden="1"/>
    </xf>
    <xf numFmtId="0" fontId="53" fillId="2" borderId="0" xfId="0" applyFont="1" applyFill="1" applyAlignment="1" applyProtection="1">
      <alignment horizontal="right" vertical="center"/>
      <protection hidden="1"/>
    </xf>
    <xf numFmtId="0" fontId="10" fillId="2" borderId="0" xfId="0" applyFont="1" applyFill="1" applyAlignment="1" applyProtection="1">
      <alignment horizontal="right" vertical="center"/>
      <protection hidden="1"/>
    </xf>
    <xf numFmtId="0" fontId="11" fillId="2" borderId="0" xfId="0" applyFont="1" applyFill="1" applyAlignment="1" applyProtection="1">
      <alignment horizontal="right" vertical="center"/>
      <protection hidden="1"/>
    </xf>
    <xf numFmtId="0" fontId="285" fillId="2" borderId="0" xfId="0" applyFont="1" applyFill="1" applyAlignment="1" applyProtection="1">
      <alignment vertical="top"/>
      <protection hidden="1"/>
    </xf>
    <xf numFmtId="0" fontId="285" fillId="2" borderId="0" xfId="0" applyFont="1" applyFill="1" applyProtection="1">
      <protection hidden="1"/>
    </xf>
    <xf numFmtId="39" fontId="138" fillId="2" borderId="25" xfId="0" applyNumberFormat="1" applyFont="1" applyFill="1" applyBorder="1" applyAlignment="1" applyProtection="1">
      <alignment horizontal="right" vertical="center"/>
      <protection locked="0"/>
    </xf>
    <xf numFmtId="0" fontId="198" fillId="24" borderId="0" xfId="0" applyFont="1" applyFill="1" applyAlignment="1" applyProtection="1">
      <alignment vertical="center"/>
      <protection hidden="1"/>
    </xf>
    <xf numFmtId="0" fontId="11" fillId="16" borderId="0" xfId="0" applyFont="1" applyFill="1" applyAlignment="1" applyProtection="1">
      <alignment horizontal="right" vertical="center"/>
      <protection hidden="1"/>
    </xf>
    <xf numFmtId="0" fontId="8" fillId="0" borderId="21" xfId="0" applyFont="1" applyBorder="1" applyAlignment="1">
      <alignment horizontal="right"/>
    </xf>
    <xf numFmtId="0" fontId="6" fillId="16" borderId="6" xfId="0" applyFont="1" applyFill="1" applyBorder="1" applyAlignment="1">
      <alignment vertical="center" wrapText="1"/>
    </xf>
    <xf numFmtId="0" fontId="6" fillId="16" borderId="6" xfId="0" applyFont="1" applyFill="1" applyBorder="1"/>
    <xf numFmtId="0" fontId="140" fillId="16" borderId="6" xfId="0" applyFont="1" applyFill="1" applyBorder="1"/>
    <xf numFmtId="0" fontId="138" fillId="16" borderId="6" xfId="0" applyFont="1" applyFill="1" applyBorder="1"/>
    <xf numFmtId="37" fontId="0" fillId="28" borderId="5" xfId="0" applyNumberFormat="1" applyFill="1" applyBorder="1" applyProtection="1">
      <protection hidden="1"/>
    </xf>
    <xf numFmtId="0" fontId="3" fillId="8" borderId="0" xfId="0" applyFont="1" applyFill="1" applyProtection="1">
      <protection hidden="1"/>
    </xf>
    <xf numFmtId="0" fontId="150" fillId="8" borderId="21" xfId="0" applyFont="1" applyFill="1" applyBorder="1" applyAlignment="1" applyProtection="1">
      <alignment vertical="top" wrapText="1"/>
      <protection hidden="1"/>
    </xf>
    <xf numFmtId="0" fontId="0" fillId="16" borderId="92" xfId="0" applyFill="1" applyBorder="1"/>
    <xf numFmtId="0" fontId="8" fillId="16" borderId="112" xfId="0" applyFont="1" applyFill="1" applyBorder="1" applyAlignment="1">
      <alignment vertical="center" wrapText="1"/>
    </xf>
    <xf numFmtId="0" fontId="0" fillId="16" borderId="112" xfId="0" applyFill="1" applyBorder="1"/>
    <xf numFmtId="0" fontId="0" fillId="16" borderId="6" xfId="0" applyFill="1" applyBorder="1" applyAlignment="1">
      <alignment horizontal="right"/>
    </xf>
    <xf numFmtId="0" fontId="8" fillId="16" borderId="210" xfId="0" applyFont="1" applyFill="1" applyBorder="1" applyAlignment="1">
      <alignment vertical="center" wrapText="1"/>
    </xf>
    <xf numFmtId="0" fontId="0" fillId="16" borderId="208" xfId="0" applyFill="1" applyBorder="1"/>
    <xf numFmtId="0" fontId="0" fillId="16" borderId="210" xfId="0" applyFill="1" applyBorder="1"/>
    <xf numFmtId="37" fontId="0" fillId="17" borderId="5" xfId="0" applyNumberFormat="1" applyFill="1" applyBorder="1" applyProtection="1">
      <protection locked="0" hidden="1"/>
    </xf>
    <xf numFmtId="0" fontId="1" fillId="17" borderId="13" xfId="0" applyFont="1" applyFill="1" applyBorder="1" applyAlignment="1" applyProtection="1">
      <alignment horizontal="center" vertical="center"/>
      <protection locked="0" hidden="1"/>
    </xf>
    <xf numFmtId="0" fontId="1" fillId="16" borderId="12" xfId="0" applyFont="1" applyFill="1" applyBorder="1" applyAlignment="1">
      <alignment horizontal="right" vertical="center"/>
    </xf>
    <xf numFmtId="0" fontId="10" fillId="16" borderId="3" xfId="0" applyFont="1" applyFill="1" applyBorder="1" applyAlignment="1">
      <alignment vertical="center"/>
    </xf>
    <xf numFmtId="0" fontId="2" fillId="16" borderId="0" xfId="0" applyFont="1" applyFill="1" applyAlignment="1">
      <alignment horizontal="right" vertical="center"/>
    </xf>
    <xf numFmtId="37" fontId="140" fillId="16" borderId="0" xfId="0" applyNumberFormat="1" applyFont="1" applyFill="1"/>
    <xf numFmtId="0" fontId="6" fillId="2" borderId="6" xfId="0" applyFont="1" applyFill="1" applyBorder="1" applyAlignment="1" applyProtection="1">
      <alignment horizontal="left" indent="1"/>
      <protection hidden="1"/>
    </xf>
    <xf numFmtId="0" fontId="8" fillId="2" borderId="68" xfId="0" applyFont="1" applyFill="1" applyBorder="1" applyProtection="1">
      <protection hidden="1"/>
    </xf>
    <xf numFmtId="0" fontId="32" fillId="2" borderId="26" xfId="0" applyFont="1" applyFill="1" applyBorder="1" applyProtection="1">
      <protection hidden="1"/>
    </xf>
    <xf numFmtId="0" fontId="5" fillId="2" borderId="26" xfId="0" applyFont="1" applyFill="1" applyBorder="1" applyProtection="1">
      <protection hidden="1"/>
    </xf>
    <xf numFmtId="40" fontId="19" fillId="2" borderId="26" xfId="0" applyNumberFormat="1" applyFont="1" applyFill="1" applyBorder="1" applyProtection="1">
      <protection hidden="1"/>
    </xf>
    <xf numFmtId="40" fontId="19" fillId="2" borderId="69" xfId="0" applyNumberFormat="1" applyFont="1" applyFill="1" applyBorder="1" applyProtection="1">
      <protection hidden="1"/>
    </xf>
    <xf numFmtId="0" fontId="8" fillId="2" borderId="26" xfId="0" applyFont="1" applyFill="1" applyBorder="1" applyProtection="1">
      <protection hidden="1"/>
    </xf>
    <xf numFmtId="0" fontId="19" fillId="16" borderId="0" xfId="0" applyFont="1" applyFill="1" applyAlignment="1" applyProtection="1">
      <alignment vertical="center"/>
      <protection hidden="1"/>
    </xf>
    <xf numFmtId="3" fontId="31" fillId="16" borderId="0" xfId="0" applyNumberFormat="1" applyFont="1" applyFill="1" applyAlignment="1" applyProtection="1">
      <alignment horizontal="right"/>
      <protection hidden="1"/>
    </xf>
    <xf numFmtId="0" fontId="3" fillId="16" borderId="8" xfId="0" applyFont="1" applyFill="1" applyBorder="1" applyAlignment="1">
      <alignment vertical="top" wrapText="1"/>
    </xf>
    <xf numFmtId="0" fontId="3" fillId="16" borderId="20" xfId="0" applyFont="1" applyFill="1" applyBorder="1" applyAlignment="1">
      <alignment vertical="top" wrapText="1"/>
    </xf>
    <xf numFmtId="0" fontId="3" fillId="16" borderId="24" xfId="0" applyFont="1" applyFill="1" applyBorder="1" applyAlignment="1">
      <alignment vertical="top"/>
    </xf>
    <xf numFmtId="0" fontId="3" fillId="16" borderId="0" xfId="0" applyFont="1" applyFill="1" applyAlignment="1">
      <alignment vertical="top"/>
    </xf>
    <xf numFmtId="0" fontId="3" fillId="16" borderId="21" xfId="0" applyFont="1" applyFill="1" applyBorder="1" applyAlignment="1">
      <alignment vertical="top"/>
    </xf>
    <xf numFmtId="0" fontId="3" fillId="16" borderId="22" xfId="0" applyFont="1" applyFill="1" applyBorder="1" applyAlignment="1">
      <alignment vertical="top"/>
    </xf>
    <xf numFmtId="0" fontId="3" fillId="16" borderId="5" xfId="0" applyFont="1" applyFill="1" applyBorder="1" applyAlignment="1">
      <alignment vertical="top"/>
    </xf>
    <xf numFmtId="0" fontId="3" fillId="16" borderId="23" xfId="0" applyFont="1" applyFill="1" applyBorder="1" applyAlignment="1">
      <alignment vertical="top"/>
    </xf>
    <xf numFmtId="0" fontId="1" fillId="16" borderId="6" xfId="0" applyFont="1" applyFill="1" applyBorder="1" applyAlignment="1">
      <alignment horizontal="right" vertical="center"/>
    </xf>
    <xf numFmtId="0" fontId="3" fillId="16" borderId="6" xfId="0" applyFont="1" applyFill="1" applyBorder="1" applyAlignment="1">
      <alignment horizontal="left" vertical="center" indent="1"/>
    </xf>
    <xf numFmtId="0" fontId="3" fillId="16" borderId="6" xfId="0" applyFont="1" applyFill="1" applyBorder="1" applyAlignment="1">
      <alignment horizontal="left" vertical="top" indent="1"/>
    </xf>
    <xf numFmtId="0" fontId="1" fillId="24" borderId="0" xfId="0" applyFont="1" applyFill="1" applyProtection="1">
      <protection hidden="1"/>
    </xf>
    <xf numFmtId="0" fontId="3" fillId="24" borderId="0" xfId="0" applyFont="1" applyFill="1" applyAlignment="1" applyProtection="1">
      <alignment horizontal="left" vertical="center" indent="1"/>
      <protection hidden="1"/>
    </xf>
    <xf numFmtId="0" fontId="0" fillId="24" borderId="0" xfId="0" applyFill="1" applyAlignment="1" applyProtection="1">
      <alignment horizontal="left" vertical="center" indent="1"/>
      <protection hidden="1"/>
    </xf>
    <xf numFmtId="0" fontId="286" fillId="24" borderId="0" xfId="0" applyFont="1" applyFill="1" applyProtection="1">
      <protection hidden="1"/>
    </xf>
    <xf numFmtId="0" fontId="287" fillId="24" borderId="0" xfId="0" applyFont="1" applyFill="1" applyProtection="1">
      <protection hidden="1"/>
    </xf>
    <xf numFmtId="0" fontId="11" fillId="16" borderId="0" xfId="0" applyFont="1" applyFill="1" applyAlignment="1" applyProtection="1">
      <alignment horizontal="center" vertical="center"/>
      <protection locked="0"/>
    </xf>
    <xf numFmtId="0" fontId="288" fillId="24" borderId="0" xfId="0" applyFont="1" applyFill="1" applyProtection="1">
      <protection hidden="1"/>
    </xf>
    <xf numFmtId="0" fontId="287" fillId="24" borderId="0" xfId="0" applyFont="1" applyFill="1" applyAlignment="1" applyProtection="1">
      <alignment vertical="top"/>
      <protection hidden="1"/>
    </xf>
    <xf numFmtId="0" fontId="287" fillId="0" borderId="0" xfId="0" applyFont="1" applyProtection="1">
      <protection hidden="1"/>
    </xf>
    <xf numFmtId="0" fontId="286" fillId="24" borderId="0" xfId="0" applyFont="1" applyFill="1" applyAlignment="1" applyProtection="1">
      <alignment horizontal="center"/>
      <protection hidden="1"/>
    </xf>
    <xf numFmtId="0" fontId="286" fillId="24" borderId="0" xfId="0" applyFont="1" applyFill="1" applyAlignment="1" applyProtection="1">
      <alignment vertical="center"/>
      <protection hidden="1"/>
    </xf>
    <xf numFmtId="37" fontId="286" fillId="24" borderId="0" xfId="0" applyNumberFormat="1" applyFont="1" applyFill="1" applyAlignment="1" applyProtection="1">
      <alignment horizontal="center"/>
      <protection hidden="1"/>
    </xf>
    <xf numFmtId="3" fontId="138" fillId="28" borderId="69" xfId="0" applyNumberFormat="1" applyFont="1" applyFill="1" applyBorder="1" applyAlignment="1" applyProtection="1">
      <alignment horizontal="right"/>
      <protection hidden="1"/>
    </xf>
    <xf numFmtId="3" fontId="138" fillId="28" borderId="119" xfId="0" applyNumberFormat="1" applyFont="1" applyFill="1" applyBorder="1" applyAlignment="1" applyProtection="1">
      <alignment horizontal="right"/>
      <protection hidden="1"/>
    </xf>
    <xf numFmtId="0" fontId="215" fillId="5" borderId="0" xfId="0" applyFont="1" applyFill="1" applyAlignment="1" applyProtection="1">
      <alignment horizontal="left" vertical="center"/>
      <protection hidden="1"/>
    </xf>
    <xf numFmtId="37" fontId="1" fillId="28" borderId="91" xfId="0" applyNumberFormat="1" applyFont="1" applyFill="1" applyBorder="1" applyProtection="1">
      <protection hidden="1"/>
    </xf>
    <xf numFmtId="37" fontId="1" fillId="28" borderId="147" xfId="0" applyNumberFormat="1" applyFont="1" applyFill="1" applyBorder="1" applyProtection="1">
      <protection hidden="1"/>
    </xf>
    <xf numFmtId="37" fontId="19" fillId="28" borderId="147" xfId="0" applyNumberFormat="1" applyFont="1" applyFill="1" applyBorder="1" applyProtection="1">
      <protection hidden="1"/>
    </xf>
    <xf numFmtId="37" fontId="3" fillId="28" borderId="147" xfId="0" applyNumberFormat="1" applyFont="1" applyFill="1" applyBorder="1" applyProtection="1">
      <protection hidden="1"/>
    </xf>
    <xf numFmtId="37" fontId="1" fillId="28" borderId="133" xfId="0" applyNumberFormat="1" applyFont="1" applyFill="1" applyBorder="1" applyProtection="1">
      <protection hidden="1"/>
    </xf>
    <xf numFmtId="39" fontId="1" fillId="28" borderId="91" xfId="0" applyNumberFormat="1" applyFont="1" applyFill="1" applyBorder="1" applyProtection="1">
      <protection hidden="1"/>
    </xf>
    <xf numFmtId="39" fontId="1" fillId="28" borderId="147" xfId="0" applyNumberFormat="1" applyFont="1" applyFill="1" applyBorder="1" applyProtection="1">
      <protection hidden="1"/>
    </xf>
    <xf numFmtId="39" fontId="19" fillId="28" borderId="147" xfId="0" applyNumberFormat="1" applyFont="1" applyFill="1" applyBorder="1" applyProtection="1">
      <protection hidden="1"/>
    </xf>
    <xf numFmtId="39" fontId="3" fillId="28" borderId="147" xfId="0" applyNumberFormat="1" applyFont="1" applyFill="1" applyBorder="1" applyProtection="1">
      <protection hidden="1"/>
    </xf>
    <xf numFmtId="39" fontId="1" fillId="28" borderId="133" xfId="0" applyNumberFormat="1" applyFont="1" applyFill="1" applyBorder="1" applyProtection="1">
      <protection hidden="1"/>
    </xf>
    <xf numFmtId="4" fontId="137" fillId="16" borderId="3" xfId="0" applyNumberFormat="1" applyFont="1" applyFill="1" applyBorder="1" applyAlignment="1" applyProtection="1">
      <alignment horizontal="left" indent="1"/>
      <protection hidden="1"/>
    </xf>
    <xf numFmtId="0" fontId="16" fillId="16" borderId="21" xfId="0" quotePrefix="1" applyFont="1" applyFill="1" applyBorder="1" applyAlignment="1">
      <alignment horizontal="right"/>
    </xf>
    <xf numFmtId="37" fontId="144" fillId="16" borderId="9" xfId="0" applyNumberFormat="1" applyFont="1" applyFill="1" applyBorder="1" applyProtection="1">
      <protection hidden="1"/>
    </xf>
    <xf numFmtId="0" fontId="8" fillId="16" borderId="0" xfId="0" applyFont="1" applyFill="1" applyAlignment="1" applyProtection="1">
      <alignment horizontal="center" vertical="top"/>
      <protection hidden="1"/>
    </xf>
    <xf numFmtId="0" fontId="3" fillId="16" borderId="6" xfId="4" applyFill="1" applyBorder="1" applyAlignment="1" applyProtection="1">
      <alignment horizontal="right"/>
      <protection hidden="1"/>
    </xf>
    <xf numFmtId="171" fontId="11" fillId="0" borderId="13" xfId="0" applyNumberFormat="1" applyFont="1" applyBorder="1" applyAlignment="1" applyProtection="1">
      <alignment horizontal="center"/>
      <protection hidden="1"/>
    </xf>
    <xf numFmtId="171" fontId="267" fillId="0" borderId="13" xfId="0" applyNumberFormat="1" applyFont="1" applyBorder="1" applyAlignment="1" applyProtection="1">
      <alignment horizontal="center"/>
      <protection hidden="1"/>
    </xf>
    <xf numFmtId="182" fontId="8" fillId="17" borderId="0" xfId="0" applyNumberFormat="1" applyFont="1" applyFill="1" applyAlignment="1" applyProtection="1">
      <alignment horizontal="center"/>
      <protection locked="0" hidden="1"/>
    </xf>
    <xf numFmtId="182" fontId="8" fillId="28" borderId="0" xfId="0" applyNumberFormat="1" applyFont="1" applyFill="1" applyAlignment="1" applyProtection="1">
      <alignment horizontal="center"/>
      <protection hidden="1"/>
    </xf>
    <xf numFmtId="0" fontId="198" fillId="24" borderId="0" xfId="0" applyFont="1" applyFill="1" applyProtection="1">
      <protection hidden="1"/>
    </xf>
    <xf numFmtId="37" fontId="1" fillId="20" borderId="0" xfId="0" applyNumberFormat="1" applyFont="1" applyFill="1" applyProtection="1">
      <protection hidden="1"/>
    </xf>
    <xf numFmtId="37" fontId="1" fillId="29" borderId="1" xfId="0" applyNumberFormat="1" applyFont="1" applyFill="1" applyBorder="1" applyProtection="1">
      <protection hidden="1"/>
    </xf>
    <xf numFmtId="0" fontId="3" fillId="25" borderId="6" xfId="0" applyFont="1" applyFill="1" applyBorder="1" applyAlignment="1" applyProtection="1">
      <alignment horizontal="center"/>
      <protection hidden="1"/>
    </xf>
    <xf numFmtId="15" fontId="154" fillId="0" borderId="0" xfId="0" applyNumberFormat="1" applyFont="1" applyAlignment="1">
      <alignment horizontal="center"/>
    </xf>
    <xf numFmtId="4" fontId="223" fillId="3" borderId="3" xfId="0" applyNumberFormat="1" applyFont="1" applyFill="1" applyBorder="1" applyProtection="1">
      <protection hidden="1"/>
    </xf>
    <xf numFmtId="0" fontId="6" fillId="0" borderId="0" xfId="0" applyFont="1" applyAlignment="1">
      <alignment horizontal="center"/>
    </xf>
    <xf numFmtId="0" fontId="2" fillId="0" borderId="0" xfId="0" applyFont="1" applyAlignment="1">
      <alignment horizontal="center"/>
    </xf>
    <xf numFmtId="183" fontId="1" fillId="17" borderId="2" xfId="0" applyNumberFormat="1" applyFont="1" applyFill="1" applyBorder="1" applyAlignment="1" applyProtection="1">
      <alignment horizontal="center"/>
      <protection locked="0"/>
    </xf>
    <xf numFmtId="37" fontId="137" fillId="0" borderId="0" xfId="0" applyNumberFormat="1" applyFont="1"/>
    <xf numFmtId="10" fontId="137" fillId="0" borderId="0" xfId="0" applyNumberFormat="1" applyFont="1"/>
    <xf numFmtId="37" fontId="1" fillId="28" borderId="2" xfId="0" applyNumberFormat="1" applyFont="1" applyFill="1" applyBorder="1" applyAlignment="1" applyProtection="1">
      <alignment horizontal="right"/>
      <protection hidden="1"/>
    </xf>
    <xf numFmtId="0" fontId="1" fillId="2" borderId="24" xfId="0" quotePrefix="1" applyFont="1" applyFill="1" applyBorder="1" applyAlignment="1" applyProtection="1">
      <alignment horizontal="right"/>
      <protection hidden="1"/>
    </xf>
    <xf numFmtId="0" fontId="135" fillId="2" borderId="6" xfId="0" quotePrefix="1" applyFont="1" applyFill="1" applyBorder="1" applyAlignment="1" applyProtection="1">
      <alignment horizontal="right" vertical="top"/>
      <protection hidden="1"/>
    </xf>
    <xf numFmtId="0" fontId="1" fillId="2" borderId="22" xfId="0" quotePrefix="1" applyFont="1" applyFill="1" applyBorder="1" applyAlignment="1" applyProtection="1">
      <alignment horizontal="right"/>
      <protection hidden="1"/>
    </xf>
    <xf numFmtId="0" fontId="137" fillId="2" borderId="0" xfId="0" applyFont="1" applyFill="1" applyAlignment="1" applyProtection="1">
      <alignment horizontal="left" indent="1"/>
      <protection hidden="1"/>
    </xf>
    <xf numFmtId="4" fontId="1" fillId="28" borderId="119" xfId="0" applyNumberFormat="1" applyFont="1" applyFill="1" applyBorder="1" applyAlignment="1" applyProtection="1">
      <alignment horizontal="right"/>
      <protection hidden="1"/>
    </xf>
    <xf numFmtId="37" fontId="6" fillId="28" borderId="1" xfId="0" applyNumberFormat="1" applyFont="1" applyFill="1" applyBorder="1" applyProtection="1">
      <protection hidden="1"/>
    </xf>
    <xf numFmtId="1" fontId="3" fillId="33" borderId="154" xfId="0" applyNumberFormat="1" applyFont="1" applyFill="1" applyBorder="1" applyAlignment="1" applyProtection="1">
      <alignment horizontal="center" vertical="center"/>
      <protection locked="0"/>
    </xf>
    <xf numFmtId="1" fontId="3" fillId="33" borderId="155" xfId="0" applyNumberFormat="1" applyFont="1" applyFill="1" applyBorder="1" applyAlignment="1" applyProtection="1">
      <alignment horizontal="center" vertical="center"/>
      <protection locked="0"/>
    </xf>
    <xf numFmtId="4" fontId="1" fillId="28" borderId="59" xfId="0" quotePrefix="1" applyNumberFormat="1" applyFont="1" applyFill="1" applyBorder="1" applyAlignment="1" applyProtection="1">
      <alignment horizontal="right" indent="1"/>
      <protection hidden="1"/>
    </xf>
    <xf numFmtId="37" fontId="5" fillId="27" borderId="1" xfId="0" applyNumberFormat="1" applyFont="1" applyFill="1" applyBorder="1" applyProtection="1">
      <protection hidden="1"/>
    </xf>
    <xf numFmtId="0" fontId="3" fillId="16" borderId="0" xfId="0" applyFont="1" applyFill="1" applyAlignment="1">
      <alignment horizontal="left" vertical="top" wrapText="1"/>
    </xf>
    <xf numFmtId="0" fontId="26" fillId="16" borderId="0" xfId="0" applyFont="1" applyFill="1" applyAlignment="1">
      <alignment horizontal="left" vertical="top" wrapText="1"/>
    </xf>
    <xf numFmtId="0" fontId="150" fillId="16" borderId="0" xfId="0" applyFont="1" applyFill="1" applyAlignment="1">
      <alignment horizontal="left" vertical="top" wrapText="1"/>
    </xf>
    <xf numFmtId="37" fontId="3" fillId="16" borderId="0" xfId="0" applyNumberFormat="1" applyFont="1" applyFill="1" applyAlignment="1">
      <alignment horizontal="right" vertical="top" wrapText="1"/>
    </xf>
    <xf numFmtId="0" fontId="3" fillId="16" borderId="0" xfId="0" applyFont="1" applyFill="1" applyAlignment="1">
      <alignment horizontal="left" vertical="top"/>
    </xf>
    <xf numFmtId="6" fontId="3" fillId="16" borderId="21" xfId="0" applyNumberFormat="1" applyFont="1" applyFill="1" applyBorder="1"/>
    <xf numFmtId="6" fontId="19" fillId="16" borderId="21" xfId="0" applyNumberFormat="1" applyFont="1" applyFill="1" applyBorder="1"/>
    <xf numFmtId="4" fontId="138" fillId="0" borderId="0" xfId="0" applyNumberFormat="1" applyFont="1"/>
    <xf numFmtId="37" fontId="3" fillId="16" borderId="13" xfId="0" applyNumberFormat="1" applyFont="1" applyFill="1" applyBorder="1" applyAlignment="1">
      <alignment horizontal="right" wrapText="1"/>
    </xf>
    <xf numFmtId="0" fontId="0" fillId="16" borderId="13" xfId="0" applyFill="1" applyBorder="1" applyAlignment="1">
      <alignment horizontal="right" wrapText="1"/>
    </xf>
    <xf numFmtId="0" fontId="16" fillId="22" borderId="0" xfId="0" applyFont="1" applyFill="1" applyAlignment="1" applyProtection="1">
      <alignment horizontal="center" vertical="center"/>
      <protection locked="0"/>
    </xf>
    <xf numFmtId="4" fontId="31" fillId="15" borderId="31" xfId="0" applyNumberFormat="1" applyFont="1" applyFill="1" applyBorder="1" applyAlignment="1" applyProtection="1">
      <alignment horizontal="right" wrapText="1"/>
      <protection hidden="1"/>
    </xf>
    <xf numFmtId="3" fontId="140" fillId="16" borderId="3" xfId="0" applyNumberFormat="1" applyFont="1" applyFill="1" applyBorder="1" applyAlignment="1">
      <alignment horizontal="right" wrapText="1"/>
    </xf>
    <xf numFmtId="4" fontId="144" fillId="3" borderId="3" xfId="0" applyNumberFormat="1" applyFont="1" applyFill="1" applyBorder="1" applyAlignment="1" applyProtection="1">
      <alignment horizontal="center"/>
      <protection hidden="1"/>
    </xf>
    <xf numFmtId="14" fontId="181" fillId="16" borderId="21" xfId="4" applyNumberFormat="1" applyFont="1" applyFill="1" applyBorder="1" applyProtection="1">
      <protection hidden="1"/>
    </xf>
    <xf numFmtId="183" fontId="181" fillId="16" borderId="0" xfId="4" applyNumberFormat="1" applyFont="1" applyFill="1" applyProtection="1">
      <protection hidden="1"/>
    </xf>
    <xf numFmtId="14" fontId="181" fillId="16" borderId="0" xfId="4" applyNumberFormat="1" applyFont="1" applyFill="1" applyProtection="1">
      <protection hidden="1"/>
    </xf>
    <xf numFmtId="0" fontId="3" fillId="16" borderId="13" xfId="4" applyFill="1" applyBorder="1" applyProtection="1">
      <protection hidden="1"/>
    </xf>
    <xf numFmtId="37" fontId="138" fillId="0" borderId="0" xfId="0" applyNumberFormat="1" applyFont="1" applyProtection="1">
      <protection locked="0"/>
    </xf>
    <xf numFmtId="37" fontId="3" fillId="26" borderId="13" xfId="4" applyNumberFormat="1" applyFill="1" applyBorder="1" applyAlignment="1" applyProtection="1">
      <alignment horizontal="right"/>
      <protection hidden="1"/>
    </xf>
    <xf numFmtId="37" fontId="3" fillId="26" borderId="13" xfId="4" applyNumberFormat="1" applyFill="1" applyBorder="1" applyAlignment="1" applyProtection="1">
      <alignment horizontal="right" vertical="center"/>
      <protection hidden="1"/>
    </xf>
    <xf numFmtId="0" fontId="1" fillId="16" borderId="2" xfId="0" applyFont="1" applyFill="1" applyBorder="1" applyAlignment="1">
      <alignment horizontal="center"/>
    </xf>
    <xf numFmtId="3" fontId="0" fillId="16" borderId="0" xfId="0" applyNumberFormat="1" applyFill="1"/>
    <xf numFmtId="37" fontId="138" fillId="0" borderId="0" xfId="0" applyNumberFormat="1" applyFont="1" applyAlignment="1">
      <alignment horizontal="right"/>
    </xf>
    <xf numFmtId="37" fontId="152" fillId="0" borderId="0" xfId="0" applyNumberFormat="1" applyFont="1" applyAlignment="1" applyProtection="1">
      <alignment horizontal="right"/>
      <protection hidden="1"/>
    </xf>
    <xf numFmtId="37" fontId="144" fillId="0" borderId="0" xfId="0" applyNumberFormat="1" applyFont="1" applyAlignment="1" applyProtection="1">
      <alignment horizontal="right"/>
      <protection hidden="1"/>
    </xf>
    <xf numFmtId="37" fontId="138" fillId="0" borderId="0" xfId="0" quotePrefix="1" applyNumberFormat="1" applyFont="1" applyAlignment="1" applyProtection="1">
      <alignment horizontal="right"/>
      <protection hidden="1"/>
    </xf>
    <xf numFmtId="37" fontId="138" fillId="0" borderId="0" xfId="0" applyNumberFormat="1" applyFont="1" applyAlignment="1" applyProtection="1">
      <alignment horizontal="right"/>
      <protection hidden="1"/>
    </xf>
    <xf numFmtId="37" fontId="140" fillId="0" borderId="0" xfId="0" applyNumberFormat="1" applyFont="1" applyAlignment="1" applyProtection="1">
      <alignment horizontal="right"/>
      <protection hidden="1"/>
    </xf>
    <xf numFmtId="49" fontId="4" fillId="0" borderId="0" xfId="0" quotePrefix="1" applyNumberFormat="1" applyFont="1" applyAlignment="1" applyProtection="1">
      <alignment horizontal="center"/>
      <protection hidden="1"/>
    </xf>
    <xf numFmtId="49" fontId="1" fillId="0" borderId="0" xfId="0" quotePrefix="1" applyNumberFormat="1" applyFont="1" applyAlignment="1" applyProtection="1">
      <alignment horizontal="center"/>
      <protection hidden="1"/>
    </xf>
    <xf numFmtId="0" fontId="138" fillId="0" borderId="0" xfId="0" applyFont="1" applyProtection="1">
      <protection locked="0"/>
    </xf>
    <xf numFmtId="1" fontId="138" fillId="2" borderId="0" xfId="0" applyNumberFormat="1" applyFont="1" applyFill="1" applyAlignment="1" applyProtection="1">
      <alignment horizontal="center"/>
      <protection hidden="1"/>
    </xf>
    <xf numFmtId="1" fontId="1" fillId="17" borderId="13" xfId="0" applyNumberFormat="1" applyFont="1" applyFill="1" applyBorder="1" applyAlignment="1" applyProtection="1">
      <alignment horizontal="center" vertical="center"/>
      <protection locked="0"/>
    </xf>
    <xf numFmtId="41" fontId="287" fillId="24" borderId="0" xfId="0" applyNumberFormat="1" applyFont="1" applyFill="1" applyProtection="1">
      <protection hidden="1"/>
    </xf>
    <xf numFmtId="0" fontId="5" fillId="17" borderId="13" xfId="0" applyFont="1" applyFill="1" applyBorder="1" applyProtection="1">
      <protection locked="0"/>
    </xf>
    <xf numFmtId="0" fontId="150" fillId="16" borderId="21" xfId="0" applyFont="1" applyFill="1" applyBorder="1" applyAlignment="1">
      <alignment horizontal="center"/>
    </xf>
    <xf numFmtId="0" fontId="40" fillId="16" borderId="6" xfId="0" applyFont="1" applyFill="1" applyBorder="1" applyAlignment="1" applyProtection="1">
      <alignment horizontal="center"/>
      <protection hidden="1"/>
    </xf>
    <xf numFmtId="0" fontId="40" fillId="16" borderId="27" xfId="0" applyFont="1" applyFill="1" applyBorder="1" applyAlignment="1" applyProtection="1">
      <alignment horizontal="center"/>
      <protection hidden="1"/>
    </xf>
    <xf numFmtId="0" fontId="40" fillId="16" borderId="22" xfId="0" applyFont="1" applyFill="1" applyBorder="1" applyAlignment="1" applyProtection="1">
      <alignment horizontal="center"/>
      <protection hidden="1"/>
    </xf>
    <xf numFmtId="37" fontId="138" fillId="16" borderId="0" xfId="0" applyNumberFormat="1" applyFont="1" applyFill="1"/>
    <xf numFmtId="37" fontId="1" fillId="16" borderId="0" xfId="0" quotePrefix="1" applyNumberFormat="1" applyFont="1" applyFill="1" applyAlignment="1">
      <alignment horizontal="right"/>
    </xf>
    <xf numFmtId="37" fontId="0" fillId="16" borderId="0" xfId="0" applyNumberFormat="1" applyFill="1" applyAlignment="1">
      <alignment horizontal="center"/>
    </xf>
    <xf numFmtId="37" fontId="138" fillId="16" borderId="0" xfId="0" applyNumberFormat="1" applyFont="1" applyFill="1" applyProtection="1">
      <protection hidden="1"/>
    </xf>
    <xf numFmtId="37" fontId="0" fillId="2" borderId="60" xfId="0" applyNumberFormat="1" applyFill="1" applyBorder="1" applyProtection="1">
      <protection locked="0"/>
    </xf>
    <xf numFmtId="0" fontId="0" fillId="16" borderId="6" xfId="0" applyFill="1" applyBorder="1" applyAlignment="1">
      <alignment horizontal="left" indent="1"/>
    </xf>
    <xf numFmtId="0" fontId="3" fillId="16" borderId="6" xfId="0" applyFont="1" applyFill="1" applyBorder="1" applyProtection="1">
      <protection hidden="1"/>
    </xf>
    <xf numFmtId="0" fontId="3" fillId="16" borderId="6" xfId="0" applyFont="1" applyFill="1" applyBorder="1" applyAlignment="1" applyProtection="1">
      <alignment vertical="center"/>
      <protection hidden="1"/>
    </xf>
    <xf numFmtId="0" fontId="0" fillId="38" borderId="6" xfId="0" applyFill="1" applyBorder="1" applyProtection="1">
      <protection hidden="1"/>
    </xf>
    <xf numFmtId="0" fontId="0" fillId="38" borderId="21" xfId="0" applyFill="1" applyBorder="1" applyProtection="1">
      <protection hidden="1"/>
    </xf>
    <xf numFmtId="0" fontId="0" fillId="38" borderId="22" xfId="0" applyFill="1" applyBorder="1" applyProtection="1">
      <protection hidden="1"/>
    </xf>
    <xf numFmtId="0" fontId="0" fillId="38" borderId="5" xfId="0" applyFill="1" applyBorder="1" applyProtection="1">
      <protection hidden="1"/>
    </xf>
    <xf numFmtId="0" fontId="0" fillId="38" borderId="23" xfId="0" applyFill="1" applyBorder="1" applyProtection="1">
      <protection hidden="1"/>
    </xf>
    <xf numFmtId="0" fontId="138" fillId="44" borderId="0" xfId="0" applyFont="1" applyFill="1"/>
    <xf numFmtId="0" fontId="0" fillId="44" borderId="0" xfId="0" applyFill="1"/>
    <xf numFmtId="1" fontId="138" fillId="44" borderId="0" xfId="0" applyNumberFormat="1" applyFont="1" applyFill="1"/>
    <xf numFmtId="1" fontId="138" fillId="44" borderId="0" xfId="0" applyNumberFormat="1" applyFont="1" applyFill="1" applyAlignment="1">
      <alignment horizontal="center"/>
    </xf>
    <xf numFmtId="184" fontId="138" fillId="44" borderId="0" xfId="0" applyNumberFormat="1" applyFont="1" applyFill="1" applyAlignment="1">
      <alignment horizontal="center"/>
    </xf>
    <xf numFmtId="0" fontId="0" fillId="45" borderId="0" xfId="0" applyFill="1" applyAlignment="1">
      <alignment vertical="center" wrapText="1"/>
    </xf>
    <xf numFmtId="49" fontId="4" fillId="0" borderId="0" xfId="0" applyNumberFormat="1" applyFont="1" applyAlignment="1" applyProtection="1">
      <alignment horizontal="center"/>
      <protection locked="0"/>
    </xf>
    <xf numFmtId="0" fontId="140" fillId="16" borderId="25" xfId="0" applyFont="1" applyFill="1" applyBorder="1"/>
    <xf numFmtId="0" fontId="140" fillId="16" borderId="0" xfId="0" applyFont="1" applyFill="1" applyAlignment="1" applyProtection="1">
      <alignment vertical="center"/>
      <protection hidden="1"/>
    </xf>
    <xf numFmtId="0" fontId="140" fillId="16" borderId="0" xfId="0" applyFont="1" applyFill="1" applyAlignment="1">
      <alignment vertical="center"/>
    </xf>
    <xf numFmtId="0" fontId="140" fillId="16" borderId="25" xfId="0" applyFont="1" applyFill="1" applyBorder="1" applyAlignment="1">
      <alignment vertical="center"/>
    </xf>
    <xf numFmtId="0" fontId="14" fillId="16" borderId="0" xfId="0" applyFont="1" applyFill="1" applyAlignment="1" applyProtection="1">
      <alignment vertical="center"/>
      <protection hidden="1"/>
    </xf>
    <xf numFmtId="0" fontId="10" fillId="16" borderId="0" xfId="0" applyFont="1" applyFill="1" applyAlignment="1" applyProtection="1">
      <alignment horizontal="right" vertical="center"/>
      <protection hidden="1"/>
    </xf>
    <xf numFmtId="0" fontId="10" fillId="16" borderId="0" xfId="0" applyFont="1" applyFill="1" applyProtection="1">
      <protection hidden="1"/>
    </xf>
    <xf numFmtId="0" fontId="45" fillId="16" borderId="0" xfId="0" applyFont="1" applyFill="1" applyAlignment="1" applyProtection="1">
      <alignment vertical="center"/>
      <protection hidden="1"/>
    </xf>
    <xf numFmtId="0" fontId="16" fillId="16" borderId="6" xfId="0" applyFont="1" applyFill="1" applyBorder="1" applyAlignment="1">
      <alignment horizontal="left" indent="1"/>
    </xf>
    <xf numFmtId="0" fontId="16" fillId="16" borderId="3" xfId="0" applyFont="1" applyFill="1" applyBorder="1" applyAlignment="1">
      <alignment horizontal="left" vertical="center" indent="1"/>
    </xf>
    <xf numFmtId="0" fontId="1" fillId="2" borderId="0" xfId="4" applyFont="1" applyFill="1" applyAlignment="1" applyProtection="1">
      <alignment wrapText="1"/>
      <protection hidden="1"/>
    </xf>
    <xf numFmtId="185" fontId="3" fillId="0" borderId="0" xfId="0" applyNumberFormat="1" applyFont="1" applyAlignment="1" applyProtection="1">
      <alignment horizontal="center" vertical="top" wrapText="1"/>
      <protection hidden="1"/>
    </xf>
    <xf numFmtId="40" fontId="138" fillId="2" borderId="0" xfId="0" applyNumberFormat="1" applyFont="1" applyFill="1" applyAlignment="1" applyProtection="1">
      <alignment vertical="center"/>
      <protection hidden="1"/>
    </xf>
    <xf numFmtId="37" fontId="145" fillId="0" borderId="0" xfId="0" applyNumberFormat="1" applyFont="1" applyAlignment="1" applyProtection="1">
      <alignment horizontal="right"/>
      <protection hidden="1"/>
    </xf>
    <xf numFmtId="0" fontId="1" fillId="16" borderId="0" xfId="0" applyFont="1" applyFill="1" applyAlignment="1">
      <alignment horizontal="left" vertical="top" wrapText="1"/>
    </xf>
    <xf numFmtId="0" fontId="150" fillId="16" borderId="0" xfId="0" applyFont="1" applyFill="1" applyAlignment="1">
      <alignment horizontal="center" vertical="top"/>
    </xf>
    <xf numFmtId="37" fontId="137" fillId="0" borderId="0" xfId="0" applyNumberFormat="1" applyFont="1" applyAlignment="1">
      <alignment horizontal="right"/>
    </xf>
    <xf numFmtId="0" fontId="0" fillId="0" borderId="0" xfId="0" applyAlignment="1">
      <alignment horizontal="left" indent="1"/>
    </xf>
    <xf numFmtId="0" fontId="10" fillId="16" borderId="33" xfId="0" applyFont="1" applyFill="1" applyBorder="1" applyAlignment="1">
      <alignment horizontal="left" indent="1"/>
    </xf>
    <xf numFmtId="0" fontId="0" fillId="16" borderId="76" xfId="0" applyFill="1" applyBorder="1" applyAlignment="1">
      <alignment horizontal="left" indent="1"/>
    </xf>
    <xf numFmtId="0" fontId="1" fillId="16" borderId="76" xfId="0" applyFont="1" applyFill="1" applyBorder="1" applyAlignment="1">
      <alignment horizontal="left" indent="1"/>
    </xf>
    <xf numFmtId="0" fontId="3" fillId="16" borderId="76" xfId="0" applyFont="1" applyFill="1" applyBorder="1" applyAlignment="1">
      <alignment horizontal="left" indent="1"/>
    </xf>
    <xf numFmtId="0" fontId="1" fillId="16" borderId="76" xfId="0" applyFont="1" applyFill="1" applyBorder="1" applyAlignment="1">
      <alignment horizontal="left" wrapText="1" indent="1"/>
    </xf>
    <xf numFmtId="0" fontId="0" fillId="16" borderId="34" xfId="0" applyFill="1" applyBorder="1" applyAlignment="1">
      <alignment horizontal="left" indent="1"/>
    </xf>
    <xf numFmtId="0" fontId="21" fillId="16" borderId="76" xfId="0" quotePrefix="1" applyFont="1" applyFill="1" applyBorder="1" applyAlignment="1">
      <alignment horizontal="left" vertical="center"/>
    </xf>
    <xf numFmtId="0" fontId="0" fillId="16" borderId="72" xfId="0" applyFill="1" applyBorder="1" applyAlignment="1">
      <alignment horizontal="right"/>
    </xf>
    <xf numFmtId="0" fontId="0" fillId="16" borderId="105" xfId="0" applyFill="1" applyBorder="1" applyAlignment="1">
      <alignment horizontal="right"/>
    </xf>
    <xf numFmtId="0" fontId="75" fillId="16" borderId="105" xfId="2" applyFill="1" applyBorder="1" applyAlignment="1" applyProtection="1">
      <alignment horizontal="right"/>
    </xf>
    <xf numFmtId="0" fontId="75" fillId="16" borderId="105" xfId="2" quotePrefix="1" applyFill="1" applyBorder="1" applyAlignment="1" applyProtection="1">
      <alignment horizontal="right"/>
    </xf>
    <xf numFmtId="0" fontId="0" fillId="16" borderId="73" xfId="0" applyFill="1" applyBorder="1" applyAlignment="1">
      <alignment horizontal="right"/>
    </xf>
    <xf numFmtId="0" fontId="27" fillId="16" borderId="76" xfId="0" applyFont="1" applyFill="1" applyBorder="1" applyAlignment="1">
      <alignment horizontal="left" indent="1"/>
    </xf>
    <xf numFmtId="0" fontId="75" fillId="16" borderId="105" xfId="2" applyFill="1" applyBorder="1" applyAlignment="1" applyProtection="1">
      <alignment horizontal="right" vertical="center"/>
    </xf>
    <xf numFmtId="0" fontId="21" fillId="16" borderId="76" xfId="0" applyFont="1" applyFill="1" applyBorder="1" applyAlignment="1">
      <alignment horizontal="left" vertical="center"/>
    </xf>
    <xf numFmtId="37" fontId="0" fillId="2" borderId="9"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6" xfId="0" applyNumberFormat="1" applyFill="1" applyBorder="1" applyAlignment="1" applyProtection="1">
      <alignment wrapText="1"/>
      <protection hidden="1"/>
    </xf>
    <xf numFmtId="37" fontId="0" fillId="2" borderId="26" xfId="0" applyNumberFormat="1" applyFill="1" applyBorder="1" applyAlignment="1" applyProtection="1">
      <alignment vertical="top" wrapText="1"/>
      <protection hidden="1"/>
    </xf>
    <xf numFmtId="3" fontId="0" fillId="8" borderId="26" xfId="0" applyNumberFormat="1" applyFill="1" applyBorder="1" applyProtection="1">
      <protection locked="0"/>
    </xf>
    <xf numFmtId="0" fontId="0" fillId="16" borderId="38" xfId="0" applyFill="1" applyBorder="1" applyProtection="1">
      <protection hidden="1"/>
    </xf>
    <xf numFmtId="0" fontId="75" fillId="16" borderId="108" xfId="2" applyFill="1" applyBorder="1" applyAlignment="1" applyProtection="1">
      <alignment horizontal="left" indent="1"/>
      <protection hidden="1"/>
    </xf>
    <xf numFmtId="0" fontId="0" fillId="16" borderId="39" xfId="0" applyFill="1" applyBorder="1" applyProtection="1">
      <protection hidden="1"/>
    </xf>
    <xf numFmtId="0" fontId="0" fillId="16" borderId="24" xfId="0" applyFill="1" applyBorder="1" applyAlignment="1" applyProtection="1">
      <alignment horizontal="left" indent="1"/>
      <protection hidden="1"/>
    </xf>
    <xf numFmtId="0" fontId="75" fillId="16" borderId="6" xfId="2" applyFill="1" applyBorder="1" applyAlignment="1" applyProtection="1">
      <alignment horizontal="left" indent="1"/>
      <protection hidden="1"/>
    </xf>
    <xf numFmtId="0" fontId="0" fillId="16" borderId="38" xfId="0" applyFill="1" applyBorder="1" applyAlignment="1" applyProtection="1">
      <alignment horizontal="left" indent="1"/>
      <protection hidden="1"/>
    </xf>
    <xf numFmtId="0" fontId="0" fillId="16" borderId="39" xfId="0" applyFill="1" applyBorder="1" applyAlignment="1" applyProtection="1">
      <alignment horizontal="left" indent="1"/>
      <protection hidden="1"/>
    </xf>
    <xf numFmtId="0" fontId="150" fillId="20" borderId="0" xfId="0" applyFont="1" applyFill="1" applyAlignment="1">
      <alignment horizontal="center"/>
    </xf>
    <xf numFmtId="0" fontId="10" fillId="17" borderId="40" xfId="0" applyFont="1" applyFill="1" applyBorder="1" applyAlignment="1" applyProtection="1">
      <alignment horizontal="center" vertical="center"/>
      <protection hidden="1"/>
    </xf>
    <xf numFmtId="0" fontId="140" fillId="17" borderId="26" xfId="0" applyFont="1" applyFill="1" applyBorder="1" applyAlignment="1" applyProtection="1">
      <alignment horizontal="center" vertical="center"/>
      <protection hidden="1"/>
    </xf>
    <xf numFmtId="0" fontId="10" fillId="17" borderId="26" xfId="0" applyFont="1" applyFill="1" applyBorder="1" applyAlignment="1" applyProtection="1">
      <alignment horizontal="center" vertical="center"/>
      <protection hidden="1"/>
    </xf>
    <xf numFmtId="0" fontId="21" fillId="17" borderId="26" xfId="0" applyFont="1" applyFill="1" applyBorder="1" applyAlignment="1" applyProtection="1">
      <alignment horizontal="center" vertical="center"/>
      <protection hidden="1"/>
    </xf>
    <xf numFmtId="0" fontId="181" fillId="0" borderId="0" xfId="0" applyFont="1" applyAlignment="1" applyProtection="1">
      <alignment horizontal="left"/>
      <protection hidden="1"/>
    </xf>
    <xf numFmtId="0" fontId="0" fillId="16" borderId="0" xfId="0" applyFill="1" applyAlignment="1">
      <alignment horizontal="center"/>
    </xf>
    <xf numFmtId="0" fontId="0" fillId="16" borderId="0" xfId="0" applyFill="1"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3" fillId="16" borderId="0" xfId="0" applyFont="1" applyFill="1" applyAlignment="1">
      <alignment wrapText="1"/>
    </xf>
    <xf numFmtId="0" fontId="157" fillId="16" borderId="6" xfId="0" applyFont="1" applyFill="1" applyBorder="1" applyAlignment="1">
      <alignment vertical="center" wrapText="1"/>
    </xf>
    <xf numFmtId="0" fontId="157" fillId="16" borderId="0" xfId="0" applyFont="1" applyFill="1" applyAlignment="1">
      <alignment vertical="center" wrapText="1"/>
    </xf>
    <xf numFmtId="0" fontId="157" fillId="16" borderId="21" xfId="0" applyFont="1" applyFill="1" applyBorder="1" applyAlignment="1">
      <alignment vertical="center" wrapText="1"/>
    </xf>
    <xf numFmtId="0" fontId="157" fillId="16" borderId="6" xfId="0" applyFont="1" applyFill="1" applyBorder="1" applyAlignment="1">
      <alignment horizontal="centerContinuous" vertical="center" wrapText="1"/>
    </xf>
    <xf numFmtId="0" fontId="157" fillId="16" borderId="21" xfId="0" applyFont="1" applyFill="1" applyBorder="1" applyAlignment="1">
      <alignment horizontal="centerContinuous" vertical="center" wrapText="1"/>
    </xf>
    <xf numFmtId="0" fontId="157" fillId="16" borderId="22" xfId="0" applyFont="1" applyFill="1" applyBorder="1" applyAlignment="1">
      <alignment vertical="center" wrapText="1"/>
    </xf>
    <xf numFmtId="0" fontId="157" fillId="16" borderId="5" xfId="0" applyFont="1" applyFill="1" applyBorder="1" applyAlignment="1">
      <alignment vertical="center" wrapText="1"/>
    </xf>
    <xf numFmtId="0" fontId="157" fillId="16" borderId="23" xfId="0" applyFont="1" applyFill="1" applyBorder="1" applyAlignment="1">
      <alignment vertical="center" wrapText="1"/>
    </xf>
    <xf numFmtId="0" fontId="157" fillId="16" borderId="0" xfId="0" applyFont="1" applyFill="1" applyAlignment="1" applyProtection="1">
      <alignment horizontal="centerContinuous"/>
      <protection hidden="1"/>
    </xf>
    <xf numFmtId="0" fontId="291" fillId="16" borderId="5" xfId="2" applyFont="1" applyFill="1" applyBorder="1" applyAlignment="1" applyProtection="1">
      <alignment horizontal="center" vertical="top"/>
    </xf>
    <xf numFmtId="0" fontId="291" fillId="16" borderId="0" xfId="2" applyFont="1" applyFill="1" applyAlignment="1" applyProtection="1">
      <alignment horizontal="center" vertical="top"/>
    </xf>
    <xf numFmtId="4" fontId="0" fillId="0" borderId="0" xfId="0" applyNumberFormat="1" applyFill="1" applyProtection="1">
      <protection locked="0"/>
    </xf>
    <xf numFmtId="0" fontId="0" fillId="0" borderId="0" xfId="0" applyFill="1"/>
    <xf numFmtId="0" fontId="0" fillId="25" borderId="0" xfId="0" applyFill="1"/>
    <xf numFmtId="0" fontId="1" fillId="0" borderId="6" xfId="0" quotePrefix="1" applyFont="1" applyFill="1" applyBorder="1" applyAlignment="1" applyProtection="1">
      <alignment horizontal="right"/>
      <protection hidden="1"/>
    </xf>
    <xf numFmtId="0" fontId="1" fillId="0" borderId="42" xfId="0" applyFont="1" applyFill="1" applyBorder="1" applyProtection="1">
      <protection hidden="1"/>
    </xf>
    <xf numFmtId="0" fontId="135" fillId="0" borderId="6" xfId="0" quotePrefix="1" applyFont="1" applyFill="1" applyBorder="1" applyAlignment="1" applyProtection="1">
      <alignment horizontal="right" vertical="top"/>
      <protection hidden="1"/>
    </xf>
    <xf numFmtId="0" fontId="136" fillId="0" borderId="42" xfId="0" applyFont="1" applyFill="1" applyBorder="1" applyAlignment="1" applyProtection="1">
      <alignment vertical="top" wrapText="1"/>
      <protection hidden="1"/>
    </xf>
    <xf numFmtId="0" fontId="1" fillId="0" borderId="0" xfId="0" quotePrefix="1" applyFont="1" applyAlignment="1">
      <alignment horizontal="left"/>
    </xf>
    <xf numFmtId="185" fontId="1" fillId="0" borderId="2" xfId="0" applyNumberFormat="1" applyFont="1" applyBorder="1" applyAlignment="1">
      <alignment horizontal="center" wrapText="1"/>
    </xf>
    <xf numFmtId="185" fontId="0" fillId="16" borderId="0" xfId="0" applyNumberFormat="1" applyFill="1" applyAlignment="1" applyProtection="1">
      <alignment horizontal="center" vertical="center"/>
      <protection hidden="1"/>
    </xf>
    <xf numFmtId="0" fontId="3" fillId="0" borderId="0" xfId="0" applyFont="1" applyAlignment="1">
      <alignment vertical="top" wrapText="1"/>
    </xf>
    <xf numFmtId="0" fontId="258" fillId="16" borderId="0" xfId="0" applyFont="1" applyFill="1" applyAlignment="1" applyProtection="1">
      <alignment vertical="center"/>
      <protection hidden="1"/>
    </xf>
    <xf numFmtId="1" fontId="1" fillId="16" borderId="2" xfId="0" applyNumberFormat="1" applyFont="1" applyFill="1" applyBorder="1" applyAlignment="1" applyProtection="1">
      <alignment horizontal="center"/>
      <protection locked="0"/>
    </xf>
    <xf numFmtId="0" fontId="0" fillId="16" borderId="0" xfId="0" applyFill="1" applyProtection="1">
      <protection hidden="1"/>
    </xf>
    <xf numFmtId="0" fontId="138" fillId="0" borderId="0" xfId="0" applyFont="1" applyProtection="1">
      <protection hidden="1"/>
    </xf>
    <xf numFmtId="0" fontId="0" fillId="0" borderId="0" xfId="0" applyAlignment="1" applyProtection="1">
      <alignment vertical="center"/>
      <protection hidden="1"/>
    </xf>
    <xf numFmtId="0" fontId="0" fillId="0" borderId="0" xfId="0"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3" fillId="0" borderId="0" xfId="0" applyFont="1" applyAlignment="1">
      <alignment vertical="top" wrapText="1"/>
    </xf>
    <xf numFmtId="0" fontId="3" fillId="0" borderId="0" xfId="0" applyFont="1" applyAlignment="1">
      <alignment horizontal="center" vertical="top" wrapText="1"/>
    </xf>
    <xf numFmtId="4" fontId="3" fillId="28" borderId="50" xfId="0" applyNumberFormat="1" applyFont="1" applyFill="1" applyBorder="1" applyAlignment="1" applyProtection="1">
      <alignment horizontal="right"/>
      <protection hidden="1"/>
    </xf>
    <xf numFmtId="0" fontId="3" fillId="0" borderId="0" xfId="0" applyFont="1" applyAlignment="1">
      <alignment vertical="top" wrapText="1"/>
    </xf>
    <xf numFmtId="0" fontId="3" fillId="0" borderId="0" xfId="0" applyFont="1" applyAlignment="1">
      <alignment horizontal="center" vertical="top" wrapText="1"/>
    </xf>
    <xf numFmtId="0" fontId="182" fillId="16" borderId="6" xfId="0" applyFont="1" applyFill="1" applyBorder="1" applyAlignment="1">
      <alignment horizontal="center" vertical="center" wrapText="1"/>
    </xf>
    <xf numFmtId="0" fontId="0" fillId="16" borderId="0" xfId="0" applyFill="1" applyAlignment="1">
      <alignment horizontal="center"/>
    </xf>
    <xf numFmtId="0" fontId="0" fillId="16" borderId="21" xfId="0" applyFill="1" applyBorder="1" applyAlignment="1">
      <alignment horizontal="center"/>
    </xf>
    <xf numFmtId="0" fontId="0" fillId="16" borderId="6" xfId="0" applyFill="1" applyBorder="1" applyAlignment="1">
      <alignment horizontal="center"/>
    </xf>
    <xf numFmtId="0" fontId="157" fillId="16" borderId="24" xfId="0" quotePrefix="1" applyFont="1" applyFill="1" applyBorder="1" applyAlignment="1" applyProtection="1">
      <alignment horizontal="center" vertical="center" wrapText="1"/>
      <protection hidden="1"/>
    </xf>
    <xf numFmtId="0" fontId="157" fillId="0" borderId="8" xfId="0" applyFont="1" applyBorder="1" applyAlignment="1">
      <alignment horizontal="center" vertical="center" wrapText="1"/>
    </xf>
    <xf numFmtId="0" fontId="157" fillId="0" borderId="20" xfId="0" applyFont="1" applyBorder="1" applyAlignment="1">
      <alignment horizontal="center" vertical="center" wrapText="1"/>
    </xf>
    <xf numFmtId="0" fontId="157" fillId="0" borderId="6" xfId="0" applyFont="1" applyBorder="1" applyAlignment="1">
      <alignment horizontal="center" vertical="center" wrapText="1"/>
    </xf>
    <xf numFmtId="0" fontId="157" fillId="0" borderId="0" xfId="0" applyFont="1" applyAlignment="1">
      <alignment horizontal="center" vertical="center" wrapText="1"/>
    </xf>
    <xf numFmtId="0" fontId="157" fillId="0" borderId="21" xfId="0" applyFont="1" applyBorder="1" applyAlignment="1">
      <alignment horizontal="center" vertical="center" wrapText="1"/>
    </xf>
    <xf numFmtId="0" fontId="157" fillId="0" borderId="22" xfId="0" applyFont="1" applyBorder="1" applyAlignment="1">
      <alignment horizontal="center" vertical="center" wrapText="1"/>
    </xf>
    <xf numFmtId="0" fontId="157" fillId="0" borderId="5" xfId="0" applyFont="1" applyBorder="1" applyAlignment="1">
      <alignment horizontal="center" vertical="center" wrapText="1"/>
    </xf>
    <xf numFmtId="0" fontId="157" fillId="0" borderId="23" xfId="0" applyFont="1" applyBorder="1" applyAlignment="1">
      <alignment horizontal="center" vertical="center" wrapText="1"/>
    </xf>
    <xf numFmtId="0" fontId="157" fillId="16" borderId="24" xfId="0" applyFont="1" applyFill="1" applyBorder="1" applyAlignment="1" applyProtection="1">
      <alignment horizontal="center" vertical="center" wrapText="1"/>
      <protection hidden="1"/>
    </xf>
    <xf numFmtId="0" fontId="157" fillId="16" borderId="8" xfId="0" applyFont="1" applyFill="1" applyBorder="1" applyAlignment="1" applyProtection="1">
      <alignment horizontal="center" vertical="center" wrapText="1"/>
      <protection hidden="1"/>
    </xf>
    <xf numFmtId="0" fontId="157" fillId="16" borderId="20" xfId="0" applyFont="1" applyFill="1" applyBorder="1" applyAlignment="1" applyProtection="1">
      <alignment horizontal="center" vertical="center" wrapText="1"/>
      <protection hidden="1"/>
    </xf>
    <xf numFmtId="0" fontId="157" fillId="16" borderId="6" xfId="0" applyFont="1" applyFill="1" applyBorder="1" applyAlignment="1" applyProtection="1">
      <alignment horizontal="center" vertical="center" wrapText="1"/>
      <protection hidden="1"/>
    </xf>
    <xf numFmtId="0" fontId="157" fillId="16" borderId="0" xfId="0" applyFont="1" applyFill="1" applyBorder="1" applyAlignment="1" applyProtection="1">
      <alignment horizontal="center" vertical="center" wrapText="1"/>
      <protection hidden="1"/>
    </xf>
    <xf numFmtId="0" fontId="157" fillId="16" borderId="21" xfId="0" applyFont="1" applyFill="1" applyBorder="1" applyAlignment="1" applyProtection="1">
      <alignment horizontal="center" vertical="center" wrapText="1"/>
      <protection hidden="1"/>
    </xf>
    <xf numFmtId="0" fontId="1" fillId="16" borderId="105" xfId="0" applyFont="1" applyFill="1" applyBorder="1" applyAlignment="1">
      <alignment horizontal="center" wrapText="1"/>
    </xf>
    <xf numFmtId="0" fontId="75" fillId="16" borderId="24" xfId="2" applyFill="1" applyBorder="1" applyAlignment="1" applyProtection="1">
      <alignment horizontal="center" vertical="center"/>
      <protection hidden="1"/>
    </xf>
    <xf numFmtId="0" fontId="75" fillId="16" borderId="20" xfId="2" applyFill="1" applyBorder="1" applyAlignment="1" applyProtection="1">
      <alignment horizontal="center" vertical="center"/>
      <protection hidden="1"/>
    </xf>
    <xf numFmtId="0" fontId="75" fillId="16" borderId="6" xfId="2" applyFill="1" applyBorder="1" applyAlignment="1" applyProtection="1">
      <alignment horizontal="center" vertical="center"/>
      <protection hidden="1"/>
    </xf>
    <xf numFmtId="0" fontId="75" fillId="16" borderId="21" xfId="2" applyFill="1" applyBorder="1" applyAlignment="1" applyProtection="1">
      <alignment horizontal="center" vertical="center"/>
      <protection hidden="1"/>
    </xf>
    <xf numFmtId="0" fontId="75" fillId="16" borderId="22" xfId="2" applyFill="1" applyBorder="1" applyAlignment="1" applyProtection="1">
      <alignment horizontal="center" vertical="center"/>
      <protection hidden="1"/>
    </xf>
    <xf numFmtId="0" fontId="75" fillId="16" borderId="23" xfId="2" applyFill="1" applyBorder="1" applyAlignment="1" applyProtection="1">
      <alignment horizontal="center" vertical="center"/>
      <protection hidden="1"/>
    </xf>
    <xf numFmtId="0" fontId="3"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6" borderId="5" xfId="0" applyFill="1" applyBorder="1" applyAlignment="1" applyProtection="1">
      <alignment vertical="top" wrapText="1"/>
      <protection hidden="1"/>
    </xf>
    <xf numFmtId="0" fontId="0" fillId="16" borderId="5" xfId="0" applyFill="1" applyBorder="1" applyAlignment="1" applyProtection="1">
      <alignment vertical="top"/>
      <protection hidden="1"/>
    </xf>
    <xf numFmtId="0" fontId="3" fillId="0" borderId="1" xfId="0" applyFont="1" applyBorder="1" applyAlignment="1">
      <alignment horizontal="left" vertical="top" wrapText="1"/>
    </xf>
    <xf numFmtId="0" fontId="3" fillId="2" borderId="1" xfId="0" applyFont="1" applyFill="1" applyBorder="1" applyAlignment="1" applyProtection="1">
      <alignment horizontal="left" vertical="top" wrapText="1"/>
      <protection hidden="1"/>
    </xf>
    <xf numFmtId="0" fontId="3" fillId="16" borderId="0" xfId="0" applyFont="1" applyFill="1" applyAlignment="1">
      <alignment horizontal="left" vertical="top" wrapText="1"/>
    </xf>
    <xf numFmtId="0" fontId="0" fillId="16" borderId="0" xfId="0" applyFill="1" applyAlignment="1">
      <alignment horizontal="left" vertical="top" wrapText="1"/>
    </xf>
    <xf numFmtId="0" fontId="3" fillId="16" borderId="0" xfId="0" applyFont="1" applyFill="1" applyAlignment="1" applyProtection="1">
      <alignment horizontal="left" vertical="top" wrapText="1"/>
      <protection hidden="1"/>
    </xf>
    <xf numFmtId="0" fontId="10" fillId="16" borderId="0" xfId="0" applyFont="1" applyFill="1" applyAlignment="1">
      <alignment horizontal="left" vertical="top" wrapText="1"/>
    </xf>
    <xf numFmtId="0" fontId="75" fillId="0" borderId="24" xfId="2" applyBorder="1" applyAlignment="1" applyProtection="1">
      <alignment horizontal="center" vertical="center"/>
    </xf>
    <xf numFmtId="0" fontId="75" fillId="0" borderId="8" xfId="2" applyBorder="1" applyAlignment="1" applyProtection="1">
      <alignment horizontal="center" vertical="center"/>
    </xf>
    <xf numFmtId="0" fontId="75" fillId="0" borderId="20" xfId="2" applyBorder="1" applyAlignment="1" applyProtection="1">
      <alignment horizontal="center" vertical="center"/>
    </xf>
    <xf numFmtId="0" fontId="75" fillId="0" borderId="6" xfId="2" applyBorder="1" applyAlignment="1" applyProtection="1">
      <alignment horizontal="center" vertical="center"/>
    </xf>
    <xf numFmtId="0" fontId="75" fillId="0" borderId="0" xfId="2" applyAlignment="1" applyProtection="1">
      <alignment horizontal="center" vertical="center"/>
    </xf>
    <xf numFmtId="0" fontId="75" fillId="0" borderId="21" xfId="2" applyBorder="1" applyAlignment="1" applyProtection="1">
      <alignment horizontal="center" vertical="center"/>
    </xf>
    <xf numFmtId="0" fontId="75" fillId="0" borderId="22" xfId="2" applyBorder="1" applyAlignment="1" applyProtection="1">
      <alignment horizontal="center" vertical="center"/>
    </xf>
    <xf numFmtId="0" fontId="75" fillId="0" borderId="5" xfId="2" applyBorder="1" applyAlignment="1" applyProtection="1">
      <alignment horizontal="center" vertical="center"/>
    </xf>
    <xf numFmtId="0" fontId="75" fillId="0" borderId="23" xfId="2" applyBorder="1" applyAlignment="1" applyProtection="1">
      <alignment horizontal="center" vertical="center"/>
    </xf>
    <xf numFmtId="37" fontId="134" fillId="16" borderId="10" xfId="0" applyNumberFormat="1" applyFont="1" applyFill="1" applyBorder="1" applyAlignment="1" applyProtection="1">
      <alignment vertical="top"/>
      <protection hidden="1"/>
    </xf>
    <xf numFmtId="0" fontId="145" fillId="0" borderId="1" xfId="0" applyFont="1" applyBorder="1" applyAlignment="1">
      <alignment vertical="top"/>
    </xf>
    <xf numFmtId="37" fontId="134" fillId="16" borderId="3" xfId="0" applyNumberFormat="1" applyFont="1" applyFill="1" applyBorder="1" applyAlignment="1" applyProtection="1">
      <alignment vertical="center"/>
      <protection hidden="1"/>
    </xf>
    <xf numFmtId="0" fontId="145" fillId="0" borderId="0" xfId="0" applyFont="1" applyAlignment="1">
      <alignment vertical="center"/>
    </xf>
    <xf numFmtId="4" fontId="86" fillId="2" borderId="0" xfId="0" applyNumberFormat="1" applyFont="1" applyFill="1" applyProtection="1">
      <protection hidden="1"/>
    </xf>
    <xf numFmtId="0" fontId="8" fillId="0" borderId="0" xfId="0" applyFont="1" applyProtection="1">
      <protection hidden="1"/>
    </xf>
    <xf numFmtId="0" fontId="245" fillId="16" borderId="83" xfId="0" applyFont="1" applyFill="1" applyBorder="1" applyAlignment="1" applyProtection="1">
      <alignment horizontal="center" wrapText="1"/>
      <protection hidden="1"/>
    </xf>
    <xf numFmtId="0" fontId="1" fillId="17" borderId="26" xfId="0" applyFont="1" applyFill="1" applyBorder="1" applyAlignment="1" applyProtection="1">
      <alignment horizontal="left" vertical="center" indent="1"/>
      <protection locked="0"/>
    </xf>
    <xf numFmtId="0" fontId="1" fillId="0" borderId="26" xfId="0" applyFont="1" applyBorder="1" applyAlignment="1" applyProtection="1">
      <alignment horizontal="left" vertical="center" indent="1"/>
      <protection locked="0"/>
    </xf>
    <xf numFmtId="0" fontId="1" fillId="0" borderId="55" xfId="0" applyFont="1" applyBorder="1" applyAlignment="1" applyProtection="1">
      <alignment horizontal="left" vertical="center" indent="1"/>
      <protection locked="0"/>
    </xf>
    <xf numFmtId="166" fontId="1" fillId="17" borderId="40" xfId="0" applyNumberFormat="1" applyFont="1" applyFill="1" applyBorder="1" applyAlignment="1" applyProtection="1">
      <alignment horizontal="center" vertical="center"/>
      <protection locked="0"/>
    </xf>
    <xf numFmtId="166" fontId="1" fillId="0" borderId="26" xfId="0" applyNumberFormat="1" applyFont="1" applyBorder="1" applyAlignment="1" applyProtection="1">
      <alignment horizontal="center" vertical="center"/>
      <protection locked="0"/>
    </xf>
    <xf numFmtId="166" fontId="1" fillId="0" borderId="55" xfId="0" applyNumberFormat="1" applyFont="1" applyBorder="1" applyAlignment="1" applyProtection="1">
      <alignment horizontal="center" vertical="center"/>
      <protection locked="0"/>
    </xf>
    <xf numFmtId="0" fontId="1" fillId="17" borderId="40" xfId="0" applyFont="1" applyFill="1" applyBorder="1" applyAlignment="1" applyProtection="1">
      <alignment horizontal="center" vertical="center"/>
      <protection locked="0"/>
    </xf>
    <xf numFmtId="0" fontId="1" fillId="0" borderId="26" xfId="0" applyFont="1" applyBorder="1" applyAlignment="1" applyProtection="1">
      <alignment horizontal="center" vertical="center"/>
      <protection locked="0"/>
    </xf>
    <xf numFmtId="0" fontId="1" fillId="0" borderId="55" xfId="0" applyFont="1" applyBorder="1" applyAlignment="1" applyProtection="1">
      <alignment horizontal="center" vertical="center"/>
      <protection locked="0"/>
    </xf>
    <xf numFmtId="165" fontId="8" fillId="16" borderId="10" xfId="0" applyNumberFormat="1" applyFont="1" applyFill="1" applyBorder="1" applyAlignment="1" applyProtection="1">
      <alignment horizontal="center"/>
      <protection hidden="1"/>
    </xf>
    <xf numFmtId="0" fontId="8" fillId="16" borderId="30" xfId="0" applyFont="1" applyFill="1" applyBorder="1" applyAlignment="1" applyProtection="1">
      <alignment horizontal="center"/>
      <protection hidden="1"/>
    </xf>
    <xf numFmtId="0" fontId="8" fillId="2" borderId="31" xfId="0" applyFont="1" applyFill="1" applyBorder="1" applyAlignment="1" applyProtection="1">
      <alignment horizontal="left"/>
      <protection hidden="1"/>
    </xf>
    <xf numFmtId="0" fontId="8" fillId="0" borderId="9" xfId="0" applyFont="1" applyBorder="1" applyProtection="1">
      <protection hidden="1"/>
    </xf>
    <xf numFmtId="0" fontId="8" fillId="2" borderId="40" xfId="0" applyFont="1" applyFill="1" applyBorder="1" applyAlignment="1" applyProtection="1">
      <alignment horizontal="left"/>
      <protection hidden="1"/>
    </xf>
    <xf numFmtId="0" fontId="0" fillId="0" borderId="26" xfId="0" applyBorder="1" applyAlignment="1">
      <alignment horizontal="left"/>
    </xf>
    <xf numFmtId="37" fontId="7" fillId="16" borderId="31" xfId="0" applyNumberFormat="1" applyFont="1" applyFill="1" applyBorder="1" applyProtection="1">
      <protection hidden="1"/>
    </xf>
    <xf numFmtId="0" fontId="0" fillId="16" borderId="9" xfId="0" applyFill="1" applyBorder="1" applyProtection="1">
      <protection hidden="1"/>
    </xf>
    <xf numFmtId="0" fontId="17" fillId="2" borderId="8" xfId="0" applyFont="1" applyFill="1" applyBorder="1" applyAlignment="1" applyProtection="1">
      <alignment horizontal="left" vertical="center" wrapText="1" indent="1"/>
      <protection hidden="1"/>
    </xf>
    <xf numFmtId="0" fontId="17" fillId="2" borderId="8" xfId="0" applyFont="1" applyFill="1" applyBorder="1" applyAlignment="1" applyProtection="1">
      <alignment horizontal="left" vertical="center" indent="1"/>
      <protection hidden="1"/>
    </xf>
    <xf numFmtId="0" fontId="17" fillId="2" borderId="0" xfId="0" applyFont="1" applyFill="1" applyAlignment="1" applyProtection="1">
      <alignment horizontal="left" vertical="center" indent="1"/>
      <protection hidden="1"/>
    </xf>
    <xf numFmtId="0" fontId="17" fillId="2" borderId="1" xfId="0" applyFont="1" applyFill="1" applyBorder="1" applyAlignment="1" applyProtection="1">
      <alignment horizontal="left" vertical="center" indent="1"/>
      <protection hidden="1"/>
    </xf>
    <xf numFmtId="0" fontId="8" fillId="2" borderId="9" xfId="0" applyFont="1" applyFill="1" applyBorder="1" applyAlignment="1" applyProtection="1">
      <alignment horizontal="left"/>
      <protection hidden="1"/>
    </xf>
    <xf numFmtId="0" fontId="8" fillId="0" borderId="15" xfId="0" applyFont="1" applyBorder="1" applyProtection="1">
      <protection hidden="1"/>
    </xf>
    <xf numFmtId="37" fontId="7" fillId="26" borderId="10" xfId="0" applyNumberFormat="1" applyFont="1" applyFill="1" applyBorder="1" applyProtection="1">
      <protection hidden="1"/>
    </xf>
    <xf numFmtId="37" fontId="7" fillId="26" borderId="1" xfId="0" applyNumberFormat="1" applyFont="1" applyFill="1" applyBorder="1" applyProtection="1">
      <protection hidden="1"/>
    </xf>
    <xf numFmtId="0" fontId="16" fillId="19" borderId="9" xfId="0" applyFont="1" applyFill="1" applyBorder="1" applyAlignment="1" applyProtection="1">
      <alignment horizontal="left" vertical="center" wrapText="1"/>
      <protection hidden="1"/>
    </xf>
    <xf numFmtId="0" fontId="16" fillId="19" borderId="0" xfId="0" applyFont="1" applyFill="1" applyAlignment="1" applyProtection="1">
      <alignment horizontal="left" vertical="center" wrapText="1"/>
      <protection hidden="1"/>
    </xf>
    <xf numFmtId="37" fontId="6" fillId="28" borderId="1" xfId="0" applyNumberFormat="1" applyFont="1" applyFill="1" applyBorder="1" applyAlignment="1" applyProtection="1">
      <alignment horizontal="center"/>
      <protection hidden="1"/>
    </xf>
    <xf numFmtId="3" fontId="4" fillId="28" borderId="10" xfId="0" applyNumberFormat="1" applyFont="1" applyFill="1" applyBorder="1" applyProtection="1">
      <protection hidden="1"/>
    </xf>
    <xf numFmtId="0" fontId="0" fillId="0" borderId="1" xfId="0" applyBorder="1"/>
    <xf numFmtId="37" fontId="7" fillId="26" borderId="40" xfId="0" applyNumberFormat="1" applyFont="1" applyFill="1" applyBorder="1" applyProtection="1">
      <protection hidden="1"/>
    </xf>
    <xf numFmtId="37" fontId="7" fillId="26" borderId="26" xfId="0" applyNumberFormat="1" applyFont="1" applyFill="1" applyBorder="1" applyProtection="1">
      <protection hidden="1"/>
    </xf>
    <xf numFmtId="0" fontId="49" fillId="19" borderId="3" xfId="0" applyFont="1" applyFill="1" applyBorder="1" applyAlignment="1" applyProtection="1">
      <alignment horizontal="center" vertical="center" wrapText="1"/>
      <protection hidden="1"/>
    </xf>
    <xf numFmtId="0" fontId="49" fillId="19" borderId="0" xfId="0" applyFont="1" applyFill="1" applyAlignment="1" applyProtection="1">
      <alignment horizontal="center" vertical="center" wrapText="1"/>
      <protection hidden="1"/>
    </xf>
    <xf numFmtId="0" fontId="49" fillId="19" borderId="21" xfId="0" applyFont="1" applyFill="1" applyBorder="1" applyAlignment="1" applyProtection="1">
      <alignment horizontal="center" vertical="center" wrapText="1"/>
      <protection hidden="1"/>
    </xf>
    <xf numFmtId="0" fontId="8" fillId="2" borderId="32" xfId="0" applyFont="1" applyFill="1" applyBorder="1" applyAlignment="1" applyProtection="1">
      <alignment horizontal="left" vertical="center"/>
      <protection hidden="1"/>
    </xf>
    <xf numFmtId="0" fontId="8" fillId="0" borderId="32" xfId="0" applyFont="1" applyBorder="1" applyAlignment="1" applyProtection="1">
      <alignment horizontal="left" vertical="center"/>
      <protection hidden="1"/>
    </xf>
    <xf numFmtId="0" fontId="0" fillId="0" borderId="32" xfId="0" applyBorder="1" applyAlignment="1" applyProtection="1">
      <alignment horizontal="left"/>
      <protection hidden="1"/>
    </xf>
    <xf numFmtId="49" fontId="6" fillId="17" borderId="32" xfId="0" applyNumberFormat="1" applyFont="1" applyFill="1" applyBorder="1" applyAlignment="1" applyProtection="1">
      <alignment horizontal="left" indent="1"/>
      <protection locked="0"/>
    </xf>
    <xf numFmtId="49" fontId="6" fillId="17" borderId="74" xfId="0" applyNumberFormat="1" applyFont="1" applyFill="1" applyBorder="1" applyAlignment="1" applyProtection="1">
      <alignment horizontal="left" indent="1"/>
      <protection locked="0"/>
    </xf>
    <xf numFmtId="0" fontId="8" fillId="2" borderId="3" xfId="0" applyFont="1" applyFill="1" applyBorder="1" applyAlignment="1" applyProtection="1">
      <alignment horizontal="left" indent="1"/>
      <protection hidden="1"/>
    </xf>
    <xf numFmtId="0" fontId="8" fillId="2" borderId="0" xfId="0" applyFont="1" applyFill="1" applyAlignment="1" applyProtection="1">
      <alignment horizontal="left" indent="1"/>
      <protection hidden="1"/>
    </xf>
    <xf numFmtId="0" fontId="8" fillId="2" borderId="25" xfId="0" applyFont="1" applyFill="1" applyBorder="1" applyAlignment="1" applyProtection="1">
      <alignment horizontal="left" indent="1"/>
      <protection hidden="1"/>
    </xf>
    <xf numFmtId="0" fontId="8" fillId="2" borderId="31" xfId="0" applyFont="1" applyFill="1" applyBorder="1" applyAlignment="1" applyProtection="1">
      <alignment horizontal="left" indent="1"/>
      <protection hidden="1"/>
    </xf>
    <xf numFmtId="0" fontId="8" fillId="2" borderId="9" xfId="0" applyFont="1" applyFill="1" applyBorder="1" applyAlignment="1" applyProtection="1">
      <alignment horizontal="left" indent="1"/>
      <protection hidden="1"/>
    </xf>
    <xf numFmtId="0" fontId="8" fillId="2" borderId="15" xfId="0" applyFont="1" applyFill="1" applyBorder="1" applyAlignment="1" applyProtection="1">
      <alignment horizontal="left" indent="1"/>
      <protection hidden="1"/>
    </xf>
    <xf numFmtId="0" fontId="6" fillId="17" borderId="10" xfId="0" applyFont="1" applyFill="1" applyBorder="1" applyAlignment="1" applyProtection="1">
      <alignment horizontal="left" indent="1"/>
      <protection locked="0"/>
    </xf>
    <xf numFmtId="0" fontId="6" fillId="17" borderId="1" xfId="0" applyFont="1" applyFill="1" applyBorder="1" applyAlignment="1" applyProtection="1">
      <alignment horizontal="left" indent="1"/>
      <protection locked="0"/>
    </xf>
    <xf numFmtId="0" fontId="6" fillId="17" borderId="12" xfId="0" applyFont="1" applyFill="1" applyBorder="1" applyAlignment="1" applyProtection="1">
      <alignment horizontal="left" indent="1"/>
      <protection locked="0"/>
    </xf>
    <xf numFmtId="165" fontId="6" fillId="17" borderId="26" xfId="0" applyNumberFormat="1" applyFont="1" applyFill="1" applyBorder="1" applyAlignment="1" applyProtection="1">
      <alignment horizontal="center"/>
      <protection locked="0"/>
    </xf>
    <xf numFmtId="165" fontId="6" fillId="0" borderId="26" xfId="0" applyNumberFormat="1" applyFont="1" applyBorder="1" applyAlignment="1" applyProtection="1">
      <alignment horizontal="center"/>
      <protection locked="0"/>
    </xf>
    <xf numFmtId="165" fontId="6" fillId="0" borderId="55" xfId="0" applyNumberFormat="1" applyFont="1" applyBorder="1" applyAlignment="1" applyProtection="1">
      <alignment horizontal="center"/>
      <protection locked="0"/>
    </xf>
    <xf numFmtId="0" fontId="8" fillId="19" borderId="189" xfId="0" applyFont="1" applyFill="1" applyBorder="1" applyAlignment="1" applyProtection="1">
      <alignment horizontal="left"/>
      <protection hidden="1"/>
    </xf>
    <xf numFmtId="0" fontId="8" fillId="19" borderId="35" xfId="0" applyFont="1" applyFill="1" applyBorder="1" applyAlignment="1" applyProtection="1">
      <alignment horizontal="left"/>
      <protection hidden="1"/>
    </xf>
    <xf numFmtId="0" fontId="8" fillId="2" borderId="26" xfId="0" applyFont="1" applyFill="1" applyBorder="1" applyAlignment="1" applyProtection="1">
      <alignment horizontal="left" vertical="center"/>
      <protection hidden="1"/>
    </xf>
    <xf numFmtId="0" fontId="8" fillId="0" borderId="26" xfId="0" applyFont="1" applyBorder="1" applyAlignment="1" applyProtection="1">
      <alignment horizontal="left" vertical="center"/>
      <protection hidden="1"/>
    </xf>
    <xf numFmtId="0" fontId="0" fillId="0" borderId="26" xfId="0" applyBorder="1" applyAlignment="1" applyProtection="1">
      <alignment horizontal="left"/>
      <protection hidden="1"/>
    </xf>
    <xf numFmtId="49" fontId="6" fillId="17" borderId="26" xfId="0" applyNumberFormat="1" applyFont="1" applyFill="1" applyBorder="1" applyAlignment="1" applyProtection="1">
      <alignment horizontal="left" indent="1"/>
      <protection locked="0"/>
    </xf>
    <xf numFmtId="0" fontId="5" fillId="0" borderId="26" xfId="0" applyFont="1" applyBorder="1" applyAlignment="1" applyProtection="1">
      <alignment horizontal="left" indent="1"/>
      <protection locked="0"/>
    </xf>
    <xf numFmtId="0" fontId="5" fillId="0" borderId="55" xfId="0" applyFont="1" applyBorder="1" applyAlignment="1" applyProtection="1">
      <alignment horizontal="left" indent="1"/>
      <protection locked="0"/>
    </xf>
    <xf numFmtId="166" fontId="10" fillId="17" borderId="10" xfId="0" applyNumberFormat="1" applyFont="1" applyFill="1" applyBorder="1" applyAlignment="1" applyProtection="1">
      <alignment horizontal="center"/>
      <protection locked="0"/>
    </xf>
    <xf numFmtId="166" fontId="14" fillId="17" borderId="1" xfId="0" applyNumberFormat="1" applyFont="1" applyFill="1" applyBorder="1" applyAlignment="1" applyProtection="1">
      <alignment horizontal="center"/>
      <protection locked="0"/>
    </xf>
    <xf numFmtId="4" fontId="6" fillId="2" borderId="31" xfId="0" applyNumberFormat="1" applyFont="1" applyFill="1" applyBorder="1" applyAlignment="1" applyProtection="1">
      <alignment horizontal="left" indent="1"/>
      <protection hidden="1"/>
    </xf>
    <xf numFmtId="4" fontId="6" fillId="2" borderId="9" xfId="0" applyNumberFormat="1" applyFont="1" applyFill="1" applyBorder="1" applyAlignment="1" applyProtection="1">
      <alignment horizontal="left" indent="1"/>
      <protection hidden="1"/>
    </xf>
    <xf numFmtId="0" fontId="5" fillId="0" borderId="9" xfId="0" applyFont="1" applyBorder="1" applyAlignment="1">
      <alignment horizontal="left" indent="1"/>
    </xf>
    <xf numFmtId="0" fontId="8" fillId="16" borderId="3" xfId="0" applyFont="1" applyFill="1" applyBorder="1" applyProtection="1">
      <protection hidden="1"/>
    </xf>
    <xf numFmtId="0" fontId="0" fillId="16" borderId="0" xfId="0" applyFill="1" applyProtection="1">
      <protection hidden="1"/>
    </xf>
    <xf numFmtId="0" fontId="5" fillId="17" borderId="1" xfId="0" applyFont="1" applyFill="1" applyBorder="1" applyAlignment="1" applyProtection="1">
      <alignment horizontal="left" indent="1"/>
      <protection locked="0"/>
    </xf>
    <xf numFmtId="0" fontId="5" fillId="17" borderId="12" xfId="0" applyFont="1" applyFill="1" applyBorder="1" applyAlignment="1" applyProtection="1">
      <alignment horizontal="left" indent="1"/>
      <protection locked="0"/>
    </xf>
    <xf numFmtId="0" fontId="10" fillId="17" borderId="10"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2" xfId="0" applyBorder="1" applyAlignment="1" applyProtection="1">
      <alignment horizontal="left" wrapText="1" indent="1"/>
      <protection locked="0"/>
    </xf>
    <xf numFmtId="0" fontId="5" fillId="19" borderId="10" xfId="0" applyFont="1" applyFill="1" applyBorder="1" applyAlignment="1" applyProtection="1">
      <alignment horizontal="left" wrapText="1"/>
      <protection hidden="1"/>
    </xf>
    <xf numFmtId="0" fontId="5" fillId="0" borderId="1" xfId="0" applyFont="1" applyBorder="1" applyAlignment="1">
      <alignment horizontal="left" wrapText="1"/>
    </xf>
    <xf numFmtId="0" fontId="5" fillId="0" borderId="12" xfId="0" applyFont="1" applyBorder="1" applyAlignment="1">
      <alignment horizontal="left" wrapText="1"/>
    </xf>
    <xf numFmtId="49" fontId="10" fillId="17" borderId="10" xfId="0" applyNumberFormat="1" applyFont="1" applyFill="1" applyBorder="1" applyAlignment="1" applyProtection="1">
      <alignment horizontal="center"/>
      <protection locked="0"/>
    </xf>
    <xf numFmtId="49" fontId="13" fillId="17" borderId="1" xfId="0" applyNumberFormat="1" applyFont="1" applyFill="1" applyBorder="1" applyAlignment="1" applyProtection="1">
      <alignment horizontal="center"/>
      <protection locked="0"/>
    </xf>
    <xf numFmtId="0" fontId="13" fillId="17" borderId="12" xfId="0" applyFont="1" applyFill="1" applyBorder="1" applyAlignment="1" applyProtection="1">
      <alignment horizontal="center"/>
      <protection locked="0"/>
    </xf>
    <xf numFmtId="0" fontId="8" fillId="19" borderId="40" xfId="0" applyFont="1" applyFill="1" applyBorder="1" applyAlignment="1" applyProtection="1">
      <alignment horizontal="left" vertical="center" wrapText="1"/>
      <protection hidden="1"/>
    </xf>
    <xf numFmtId="0" fontId="0" fillId="0" borderId="26" xfId="0" applyBorder="1" applyAlignment="1" applyProtection="1">
      <alignment horizontal="left" wrapText="1"/>
      <protection hidden="1"/>
    </xf>
    <xf numFmtId="0" fontId="0" fillId="0" borderId="55" xfId="0" applyBorder="1" applyAlignment="1" applyProtection="1">
      <alignment horizontal="left" wrapText="1"/>
      <protection hidden="1"/>
    </xf>
    <xf numFmtId="0" fontId="10" fillId="17" borderId="1" xfId="0" applyFont="1" applyFill="1" applyBorder="1" applyAlignment="1" applyProtection="1">
      <alignment horizontal="left" indent="1"/>
      <protection locked="0"/>
    </xf>
    <xf numFmtId="0" fontId="10" fillId="17" borderId="12" xfId="0" applyFont="1" applyFill="1" applyBorder="1" applyAlignment="1" applyProtection="1">
      <alignment horizontal="left" indent="1"/>
      <protection locked="0"/>
    </xf>
    <xf numFmtId="0" fontId="10" fillId="17" borderId="1" xfId="0" applyFont="1" applyFill="1" applyBorder="1" applyAlignment="1" applyProtection="1">
      <alignment horizontal="left" vertical="center" indent="1"/>
      <protection locked="0"/>
    </xf>
    <xf numFmtId="0" fontId="14" fillId="17"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2" xfId="0" applyBorder="1" applyAlignment="1" applyProtection="1">
      <alignment horizontal="left" indent="1"/>
      <protection locked="0"/>
    </xf>
    <xf numFmtId="0" fontId="0" fillId="26" borderId="1" xfId="0" applyFill="1" applyBorder="1"/>
    <xf numFmtId="0" fontId="8" fillId="19" borderId="31" xfId="0" applyFont="1" applyFill="1" applyBorder="1" applyAlignment="1" applyProtection="1">
      <alignment horizontal="left" vertical="center" wrapText="1"/>
      <protection hidden="1"/>
    </xf>
    <xf numFmtId="0" fontId="8" fillId="19" borderId="9" xfId="0" applyFont="1" applyFill="1" applyBorder="1" applyAlignment="1" applyProtection="1">
      <alignment horizontal="left" vertical="center" wrapText="1"/>
      <protection hidden="1"/>
    </xf>
    <xf numFmtId="0" fontId="5" fillId="19" borderId="9" xfId="0" applyFont="1" applyFill="1" applyBorder="1" applyAlignment="1">
      <alignment horizontal="left" vertical="center" wrapText="1" indent="1"/>
    </xf>
    <xf numFmtId="0" fontId="5" fillId="0" borderId="9" xfId="0" applyFont="1" applyBorder="1" applyAlignment="1">
      <alignment horizontal="left" vertical="center" wrapText="1" indent="1"/>
    </xf>
    <xf numFmtId="0" fontId="5" fillId="0" borderId="1" xfId="0" applyFont="1" applyBorder="1" applyAlignment="1">
      <alignment horizontal="left" vertical="center" wrapText="1" indent="1"/>
    </xf>
    <xf numFmtId="0" fontId="0" fillId="16" borderId="25" xfId="0" applyFill="1" applyBorder="1" applyProtection="1">
      <protection hidden="1"/>
    </xf>
    <xf numFmtId="14" fontId="4" fillId="17" borderId="10" xfId="0" applyNumberFormat="1" applyFont="1" applyFill="1" applyBorder="1" applyAlignment="1" applyProtection="1">
      <alignment horizontal="center"/>
      <protection locked="0"/>
    </xf>
    <xf numFmtId="14" fontId="4" fillId="17" borderId="1" xfId="0" applyNumberFormat="1" applyFont="1" applyFill="1" applyBorder="1" applyAlignment="1" applyProtection="1">
      <alignment horizontal="center"/>
      <protection locked="0"/>
    </xf>
    <xf numFmtId="14" fontId="19" fillId="17" borderId="1" xfId="0" applyNumberFormat="1" applyFont="1" applyFill="1" applyBorder="1" applyAlignment="1" applyProtection="1">
      <alignment horizontal="center"/>
      <protection locked="0"/>
    </xf>
    <xf numFmtId="14" fontId="0" fillId="17" borderId="12" xfId="0" applyNumberFormat="1" applyFill="1" applyBorder="1" applyAlignment="1" applyProtection="1">
      <alignment horizontal="center"/>
      <protection locked="0"/>
    </xf>
    <xf numFmtId="49" fontId="11" fillId="17" borderId="10" xfId="0" applyNumberFormat="1" applyFont="1" applyFill="1" applyBorder="1" applyAlignment="1" applyProtection="1">
      <alignment horizontal="left"/>
      <protection locked="0"/>
    </xf>
    <xf numFmtId="0" fontId="0" fillId="17" borderId="1" xfId="0" applyFill="1" applyBorder="1" applyAlignment="1" applyProtection="1">
      <alignment horizontal="left"/>
      <protection locked="0"/>
    </xf>
    <xf numFmtId="0" fontId="0" fillId="17" borderId="1" xfId="0" applyFill="1" applyBorder="1" applyProtection="1">
      <protection locked="0"/>
    </xf>
    <xf numFmtId="0" fontId="0" fillId="17" borderId="12" xfId="0" applyFill="1" applyBorder="1" applyProtection="1">
      <protection locked="0"/>
    </xf>
    <xf numFmtId="49" fontId="4" fillId="17" borderId="1" xfId="0" applyNumberFormat="1" applyFont="1" applyFill="1" applyBorder="1" applyAlignment="1" applyProtection="1">
      <alignment horizontal="left"/>
      <protection locked="0"/>
    </xf>
    <xf numFmtId="0" fontId="0" fillId="17" borderId="12" xfId="0" applyFill="1" applyBorder="1" applyAlignment="1" applyProtection="1">
      <alignment horizontal="left"/>
      <protection locked="0"/>
    </xf>
    <xf numFmtId="0" fontId="0" fillId="26" borderId="26" xfId="0" applyFill="1" applyBorder="1"/>
    <xf numFmtId="0" fontId="0" fillId="17" borderId="1" xfId="0" applyFill="1" applyBorder="1" applyAlignment="1">
      <alignment horizontal="center"/>
    </xf>
    <xf numFmtId="0" fontId="0" fillId="17" borderId="12" xfId="0" applyFill="1" applyBorder="1" applyAlignment="1">
      <alignment horizontal="center"/>
    </xf>
    <xf numFmtId="37" fontId="5" fillId="28" borderId="1" xfId="0" applyNumberFormat="1" applyFont="1" applyFill="1" applyBorder="1" applyAlignment="1" applyProtection="1">
      <alignment horizontal="center"/>
      <protection hidden="1"/>
    </xf>
    <xf numFmtId="37" fontId="6" fillId="26" borderId="26" xfId="0" applyNumberFormat="1" applyFont="1" applyFill="1" applyBorder="1" applyAlignment="1" applyProtection="1">
      <alignment horizontal="right"/>
      <protection hidden="1"/>
    </xf>
    <xf numFmtId="37" fontId="6" fillId="26" borderId="1" xfId="0" applyNumberFormat="1" applyFont="1" applyFill="1" applyBorder="1" applyAlignment="1" applyProtection="1">
      <alignment horizontal="right"/>
      <protection hidden="1"/>
    </xf>
    <xf numFmtId="37" fontId="6" fillId="17" borderId="1" xfId="0" applyNumberFormat="1" applyFont="1" applyFill="1" applyBorder="1" applyProtection="1">
      <protection locked="0"/>
    </xf>
    <xf numFmtId="4" fontId="255" fillId="16" borderId="0" xfId="0" applyNumberFormat="1" applyFont="1" applyFill="1" applyAlignment="1" applyProtection="1">
      <alignment horizontal="center"/>
      <protection hidden="1"/>
    </xf>
    <xf numFmtId="0" fontId="254" fillId="0" borderId="0" xfId="0" applyFont="1" applyAlignment="1" applyProtection="1">
      <alignment horizontal="center"/>
      <protection hidden="1"/>
    </xf>
    <xf numFmtId="0" fontId="0" fillId="0" borderId="26" xfId="0" applyBorder="1"/>
    <xf numFmtId="37" fontId="6" fillId="26" borderId="10" xfId="0" applyNumberFormat="1" applyFont="1" applyFill="1" applyBorder="1" applyProtection="1">
      <protection hidden="1"/>
    </xf>
    <xf numFmtId="37" fontId="6" fillId="26" borderId="1" xfId="0" applyNumberFormat="1" applyFont="1" applyFill="1" applyBorder="1" applyProtection="1">
      <protection hidden="1"/>
    </xf>
    <xf numFmtId="37" fontId="7" fillId="26" borderId="40" xfId="0" applyNumberFormat="1" applyFont="1" applyFill="1" applyBorder="1" applyAlignment="1" applyProtection="1">
      <alignment horizontal="right"/>
      <protection hidden="1"/>
    </xf>
    <xf numFmtId="37" fontId="7" fillId="26" borderId="26" xfId="0" applyNumberFormat="1" applyFont="1" applyFill="1" applyBorder="1" applyAlignment="1" applyProtection="1">
      <alignment horizontal="right"/>
      <protection hidden="1"/>
    </xf>
    <xf numFmtId="37" fontId="253" fillId="16" borderId="31" xfId="0" applyNumberFormat="1" applyFont="1" applyFill="1" applyBorder="1" applyAlignment="1" applyProtection="1">
      <alignment horizontal="center"/>
      <protection hidden="1"/>
    </xf>
    <xf numFmtId="0" fontId="245" fillId="16" borderId="9" xfId="0" applyFont="1" applyFill="1" applyBorder="1" applyAlignment="1" applyProtection="1">
      <alignment horizontal="center"/>
      <protection hidden="1"/>
    </xf>
    <xf numFmtId="37" fontId="6" fillId="26" borderId="40" xfId="0" applyNumberFormat="1" applyFont="1" applyFill="1" applyBorder="1" applyProtection="1">
      <protection hidden="1"/>
    </xf>
    <xf numFmtId="37" fontId="6" fillId="26" borderId="26" xfId="0" applyNumberFormat="1" applyFont="1" applyFill="1" applyBorder="1" applyProtection="1">
      <protection hidden="1"/>
    </xf>
    <xf numFmtId="4" fontId="203" fillId="16" borderId="31" xfId="0" applyNumberFormat="1" applyFont="1" applyFill="1" applyBorder="1" applyAlignment="1" applyProtection="1">
      <alignment horizontal="center" vertical="center" wrapText="1"/>
      <protection hidden="1"/>
    </xf>
    <xf numFmtId="4" fontId="203" fillId="16" borderId="9" xfId="0" applyNumberFormat="1" applyFont="1" applyFill="1" applyBorder="1" applyAlignment="1" applyProtection="1">
      <alignment horizontal="center" vertical="center" wrapText="1"/>
      <protection hidden="1"/>
    </xf>
    <xf numFmtId="4" fontId="203" fillId="16" borderId="15" xfId="0" applyNumberFormat="1" applyFont="1" applyFill="1" applyBorder="1" applyAlignment="1" applyProtection="1">
      <alignment horizontal="center" vertical="center" wrapText="1"/>
      <protection hidden="1"/>
    </xf>
    <xf numFmtId="4" fontId="203" fillId="16" borderId="10" xfId="0" applyNumberFormat="1" applyFont="1" applyFill="1" applyBorder="1" applyAlignment="1" applyProtection="1">
      <alignment horizontal="center" vertical="center" wrapText="1"/>
      <protection hidden="1"/>
    </xf>
    <xf numFmtId="4" fontId="203" fillId="16" borderId="1" xfId="0" applyNumberFormat="1" applyFont="1" applyFill="1" applyBorder="1" applyAlignment="1" applyProtection="1">
      <alignment horizontal="center" vertical="center" wrapText="1"/>
      <protection hidden="1"/>
    </xf>
    <xf numFmtId="4" fontId="203" fillId="16" borderId="12" xfId="0" applyNumberFormat="1" applyFont="1" applyFill="1" applyBorder="1" applyAlignment="1" applyProtection="1">
      <alignment horizontal="center" vertical="center" wrapText="1"/>
      <protection hidden="1"/>
    </xf>
    <xf numFmtId="0" fontId="254" fillId="0" borderId="25" xfId="0" applyFont="1" applyBorder="1" applyAlignment="1" applyProtection="1">
      <alignment horizontal="center"/>
      <protection hidden="1"/>
    </xf>
    <xf numFmtId="4" fontId="198" fillId="16" borderId="31" xfId="0" applyNumberFormat="1" applyFont="1" applyFill="1" applyBorder="1" applyAlignment="1" applyProtection="1">
      <alignment horizontal="center" vertical="center" wrapText="1"/>
      <protection hidden="1"/>
    </xf>
    <xf numFmtId="4" fontId="198" fillId="16" borderId="9" xfId="0" applyNumberFormat="1" applyFont="1" applyFill="1" applyBorder="1" applyAlignment="1" applyProtection="1">
      <alignment horizontal="center" vertical="center" wrapText="1"/>
      <protection hidden="1"/>
    </xf>
    <xf numFmtId="4" fontId="198" fillId="16" borderId="15" xfId="0" applyNumberFormat="1" applyFont="1" applyFill="1" applyBorder="1" applyAlignment="1" applyProtection="1">
      <alignment horizontal="center" vertical="center" wrapText="1"/>
      <protection hidden="1"/>
    </xf>
    <xf numFmtId="4" fontId="198" fillId="16" borderId="3" xfId="0" applyNumberFormat="1" applyFont="1" applyFill="1" applyBorder="1" applyAlignment="1" applyProtection="1">
      <alignment horizontal="center" vertical="center" wrapText="1"/>
      <protection hidden="1"/>
    </xf>
    <xf numFmtId="4" fontId="198" fillId="16" borderId="0" xfId="0" applyNumberFormat="1" applyFont="1" applyFill="1" applyAlignment="1" applyProtection="1">
      <alignment horizontal="center" vertical="center" wrapText="1"/>
      <protection hidden="1"/>
    </xf>
    <xf numFmtId="4" fontId="198" fillId="16" borderId="25" xfId="0" applyNumberFormat="1" applyFont="1" applyFill="1" applyBorder="1" applyAlignment="1" applyProtection="1">
      <alignment horizontal="center" vertical="center" wrapText="1"/>
      <protection hidden="1"/>
    </xf>
    <xf numFmtId="4" fontId="198" fillId="16" borderId="10" xfId="0" applyNumberFormat="1" applyFont="1" applyFill="1" applyBorder="1" applyAlignment="1" applyProtection="1">
      <alignment horizontal="center" vertical="center" wrapText="1"/>
      <protection hidden="1"/>
    </xf>
    <xf numFmtId="4" fontId="198" fillId="16" borderId="1" xfId="0" applyNumberFormat="1" applyFont="1" applyFill="1" applyBorder="1" applyAlignment="1" applyProtection="1">
      <alignment horizontal="center" vertical="center" wrapText="1"/>
      <protection hidden="1"/>
    </xf>
    <xf numFmtId="4" fontId="198" fillId="16" borderId="12" xfId="0" applyNumberFormat="1" applyFont="1" applyFill="1" applyBorder="1" applyAlignment="1" applyProtection="1">
      <alignment horizontal="center" vertical="center" wrapText="1"/>
      <protection hidden="1"/>
    </xf>
    <xf numFmtId="4" fontId="5" fillId="22" borderId="0" xfId="0" applyNumberFormat="1" applyFont="1" applyFill="1" applyAlignment="1" applyProtection="1">
      <alignment horizontal="center"/>
      <protection hidden="1"/>
    </xf>
    <xf numFmtId="0" fontId="5" fillId="22" borderId="0" xfId="0" applyFont="1" applyFill="1" applyAlignment="1" applyProtection="1">
      <alignment horizontal="center"/>
      <protection hidden="1"/>
    </xf>
    <xf numFmtId="0" fontId="5" fillId="22" borderId="25" xfId="0" applyFont="1" applyFill="1" applyBorder="1" applyAlignment="1" applyProtection="1">
      <alignment horizontal="center"/>
      <protection hidden="1"/>
    </xf>
    <xf numFmtId="4" fontId="140" fillId="16" borderId="0" xfId="0" applyNumberFormat="1" applyFont="1" applyFill="1" applyProtection="1">
      <protection hidden="1"/>
    </xf>
    <xf numFmtId="0" fontId="138" fillId="0" borderId="0" xfId="0" applyFont="1" applyProtection="1">
      <protection hidden="1"/>
    </xf>
    <xf numFmtId="0" fontId="11" fillId="17" borderId="10" xfId="0" applyFont="1" applyFill="1" applyBorder="1" applyAlignment="1" applyProtection="1">
      <alignment horizontal="left"/>
      <protection locked="0"/>
    </xf>
    <xf numFmtId="0" fontId="8" fillId="17" borderId="1" xfId="0" applyFont="1" applyFill="1" applyBorder="1" applyAlignment="1" applyProtection="1">
      <alignment horizontal="left"/>
      <protection locked="0"/>
    </xf>
    <xf numFmtId="37" fontId="134" fillId="16" borderId="31" xfId="0" applyNumberFormat="1" applyFont="1" applyFill="1" applyBorder="1" applyProtection="1">
      <protection hidden="1"/>
    </xf>
    <xf numFmtId="0" fontId="145" fillId="0" borderId="9" xfId="0" applyFont="1" applyBorder="1"/>
    <xf numFmtId="0" fontId="75" fillId="11" borderId="62" xfId="2" applyFill="1" applyBorder="1" applyAlignment="1" applyProtection="1">
      <alignment horizontal="center"/>
    </xf>
    <xf numFmtId="0" fontId="0" fillId="0" borderId="63" xfId="0" applyBorder="1" applyAlignment="1">
      <alignment horizontal="center"/>
    </xf>
    <xf numFmtId="0" fontId="0" fillId="0" borderId="64" xfId="0" applyBorder="1" applyAlignment="1">
      <alignment horizontal="center"/>
    </xf>
    <xf numFmtId="49" fontId="6" fillId="17" borderId="40" xfId="0" applyNumberFormat="1" applyFont="1" applyFill="1" applyBorder="1" applyAlignment="1" applyProtection="1">
      <alignment horizontal="center"/>
      <protection locked="0"/>
    </xf>
    <xf numFmtId="0" fontId="0" fillId="17" borderId="26" xfId="0" applyFill="1" applyBorder="1" applyAlignment="1" applyProtection="1">
      <alignment horizontal="center"/>
      <protection locked="0"/>
    </xf>
    <xf numFmtId="0" fontId="0" fillId="17" borderId="55" xfId="0" applyFill="1" applyBorder="1" applyAlignment="1" applyProtection="1">
      <alignment horizontal="center"/>
      <protection locked="0"/>
    </xf>
    <xf numFmtId="37" fontId="1" fillId="28" borderId="9" xfId="0" applyNumberFormat="1" applyFont="1" applyFill="1" applyBorder="1" applyProtection="1">
      <protection hidden="1"/>
    </xf>
    <xf numFmtId="37" fontId="4" fillId="28" borderId="9" xfId="0" applyNumberFormat="1" applyFont="1" applyFill="1" applyBorder="1" applyProtection="1">
      <protection hidden="1"/>
    </xf>
    <xf numFmtId="4" fontId="150" fillId="16" borderId="0" xfId="0" applyNumberFormat="1" applyFont="1" applyFill="1" applyAlignment="1" applyProtection="1">
      <alignment horizontal="center" vertical="center" wrapText="1"/>
      <protection hidden="1"/>
    </xf>
    <xf numFmtId="4" fontId="150" fillId="16" borderId="0" xfId="0" applyNumberFormat="1" applyFont="1" applyFill="1" applyProtection="1">
      <protection hidden="1"/>
    </xf>
    <xf numFmtId="0" fontId="150" fillId="0" borderId="0" xfId="0" applyFont="1" applyProtection="1">
      <protection hidden="1"/>
    </xf>
    <xf numFmtId="3" fontId="168" fillId="16" borderId="0" xfId="0" applyNumberFormat="1" applyFont="1" applyFill="1" applyAlignment="1" applyProtection="1">
      <alignment horizontal="center"/>
      <protection hidden="1"/>
    </xf>
    <xf numFmtId="3" fontId="138" fillId="0" borderId="0" xfId="0" applyNumberFormat="1" applyFont="1" applyAlignment="1" applyProtection="1">
      <alignment horizontal="center"/>
      <protection hidden="1"/>
    </xf>
    <xf numFmtId="3" fontId="138" fillId="0" borderId="25" xfId="0" applyNumberFormat="1" applyFont="1" applyBorder="1" applyAlignment="1" applyProtection="1">
      <alignment horizontal="center"/>
      <protection hidden="1"/>
    </xf>
    <xf numFmtId="4" fontId="134" fillId="16" borderId="0" xfId="0" applyNumberFormat="1" applyFont="1" applyFill="1" applyAlignment="1" applyProtection="1">
      <alignment horizontal="right"/>
      <protection hidden="1"/>
    </xf>
    <xf numFmtId="0" fontId="0" fillId="0" borderId="0" xfId="0" applyAlignment="1" applyProtection="1">
      <alignment horizontal="right"/>
      <protection hidden="1"/>
    </xf>
    <xf numFmtId="3" fontId="1" fillId="28" borderId="32" xfId="0" applyNumberFormat="1" applyFont="1" applyFill="1" applyBorder="1" applyProtection="1">
      <protection hidden="1"/>
    </xf>
    <xf numFmtId="3" fontId="4" fillId="28" borderId="32" xfId="0" applyNumberFormat="1" applyFont="1" applyFill="1" applyBorder="1" applyProtection="1">
      <protection hidden="1"/>
    </xf>
    <xf numFmtId="37" fontId="7" fillId="20" borderId="53" xfId="0" applyNumberFormat="1" applyFont="1" applyFill="1" applyBorder="1" applyProtection="1">
      <protection hidden="1"/>
    </xf>
    <xf numFmtId="0" fontId="0" fillId="20" borderId="32" xfId="0" applyFill="1" applyBorder="1" applyProtection="1">
      <protection hidden="1"/>
    </xf>
    <xf numFmtId="0" fontId="21" fillId="19" borderId="8" xfId="0" applyFont="1" applyFill="1" applyBorder="1" applyAlignment="1">
      <alignment horizontal="right"/>
    </xf>
    <xf numFmtId="0" fontId="0" fillId="0" borderId="8" xfId="0" applyBorder="1"/>
    <xf numFmtId="37" fontId="7" fillId="17" borderId="40" xfId="0" applyNumberFormat="1" applyFont="1" applyFill="1" applyBorder="1" applyAlignment="1" applyProtection="1">
      <alignment horizontal="right"/>
      <protection locked="0" hidden="1"/>
    </xf>
    <xf numFmtId="37" fontId="7" fillId="17" borderId="26" xfId="0" applyNumberFormat="1" applyFont="1" applyFill="1" applyBorder="1" applyAlignment="1" applyProtection="1">
      <alignment horizontal="right"/>
      <protection locked="0" hidden="1"/>
    </xf>
    <xf numFmtId="4" fontId="86" fillId="2" borderId="0" xfId="0" applyNumberFormat="1" applyFont="1" applyFill="1" applyAlignment="1" applyProtection="1">
      <alignment vertical="center"/>
      <protection hidden="1"/>
    </xf>
    <xf numFmtId="0" fontId="8" fillId="0" borderId="0" xfId="0" applyFont="1" applyAlignment="1" applyProtection="1">
      <alignment vertical="center"/>
      <protection hidden="1"/>
    </xf>
    <xf numFmtId="0" fontId="8" fillId="0" borderId="21" xfId="0" applyFont="1" applyBorder="1" applyAlignment="1" applyProtection="1">
      <alignment vertical="center"/>
      <protection hidden="1"/>
    </xf>
    <xf numFmtId="37" fontId="1" fillId="28" borderId="1" xfId="0" applyNumberFormat="1" applyFont="1" applyFill="1" applyBorder="1" applyAlignment="1" applyProtection="1">
      <alignment horizontal="right"/>
      <protection hidden="1"/>
    </xf>
    <xf numFmtId="37" fontId="1" fillId="28" borderId="1" xfId="0" applyNumberFormat="1" applyFont="1" applyFill="1" applyBorder="1" applyAlignment="1">
      <alignment horizontal="right"/>
    </xf>
    <xf numFmtId="0" fontId="3" fillId="16" borderId="3" xfId="0" applyFont="1" applyFill="1" applyBorder="1" applyAlignment="1" applyProtection="1">
      <alignment horizontal="left" vertical="top" wrapText="1"/>
      <protection hidden="1"/>
    </xf>
    <xf numFmtId="0" fontId="3" fillId="16" borderId="9" xfId="0" applyFont="1" applyFill="1" applyBorder="1" applyAlignment="1" applyProtection="1">
      <alignment horizontal="left" vertical="top" wrapText="1"/>
      <protection hidden="1"/>
    </xf>
    <xf numFmtId="0" fontId="3" fillId="16" borderId="15" xfId="0" applyFont="1" applyFill="1" applyBorder="1" applyAlignment="1" applyProtection="1">
      <alignment horizontal="left" vertical="top" wrapText="1"/>
      <protection hidden="1"/>
    </xf>
    <xf numFmtId="0" fontId="3" fillId="16" borderId="25" xfId="0" applyFont="1" applyFill="1" applyBorder="1" applyAlignment="1" applyProtection="1">
      <alignment horizontal="left" vertical="top" wrapText="1"/>
      <protection hidden="1"/>
    </xf>
    <xf numFmtId="0" fontId="3" fillId="16" borderId="10" xfId="0" applyFont="1" applyFill="1" applyBorder="1" applyAlignment="1" applyProtection="1">
      <alignment horizontal="left" vertical="top" wrapText="1"/>
      <protection hidden="1"/>
    </xf>
    <xf numFmtId="0" fontId="3" fillId="16" borderId="1" xfId="0" applyFont="1" applyFill="1" applyBorder="1" applyAlignment="1" applyProtection="1">
      <alignment horizontal="left" vertical="top" wrapText="1"/>
      <protection hidden="1"/>
    </xf>
    <xf numFmtId="0" fontId="3" fillId="16" borderId="12" xfId="0" applyFont="1" applyFill="1" applyBorder="1" applyAlignment="1" applyProtection="1">
      <alignment horizontal="left" vertical="top" wrapText="1"/>
      <protection hidden="1"/>
    </xf>
    <xf numFmtId="0" fontId="75" fillId="6" borderId="6" xfId="2" applyFill="1" applyBorder="1" applyAlignment="1" applyProtection="1">
      <alignment horizontal="center"/>
      <protection hidden="1"/>
    </xf>
    <xf numFmtId="0" fontId="0" fillId="0" borderId="0" xfId="0" applyAlignment="1">
      <alignment horizontal="center"/>
    </xf>
    <xf numFmtId="0" fontId="6" fillId="19" borderId="31" xfId="0" applyFont="1" applyFill="1" applyBorder="1" applyAlignment="1" applyProtection="1">
      <alignment horizontal="left" vertical="center" wrapText="1"/>
      <protection hidden="1"/>
    </xf>
    <xf numFmtId="0" fontId="6" fillId="0" borderId="9" xfId="0" applyFont="1" applyBorder="1" applyAlignment="1">
      <alignment horizontal="left" vertical="center" wrapText="1"/>
    </xf>
    <xf numFmtId="0" fontId="5" fillId="16" borderId="0" xfId="0" applyFont="1" applyFill="1" applyAlignment="1">
      <alignment horizontal="left" vertical="center" textRotation="90"/>
    </xf>
    <xf numFmtId="0" fontId="5" fillId="16" borderId="14" xfId="0" applyFont="1" applyFill="1" applyBorder="1" applyAlignment="1">
      <alignment horizontal="left" vertical="center"/>
    </xf>
    <xf numFmtId="49" fontId="103" fillId="16" borderId="0" xfId="0" applyNumberFormat="1" applyFont="1" applyFill="1" applyAlignment="1" applyProtection="1">
      <alignment horizontal="center" vertical="center" wrapText="1"/>
      <protection hidden="1"/>
    </xf>
    <xf numFmtId="0" fontId="264" fillId="16" borderId="0" xfId="0" applyFont="1" applyFill="1" applyAlignment="1">
      <alignment horizontal="center" vertical="center" wrapText="1"/>
    </xf>
    <xf numFmtId="0" fontId="264" fillId="16" borderId="14" xfId="0" applyFont="1" applyFill="1" applyBorder="1" applyAlignment="1">
      <alignment horizontal="center" vertical="center" wrapText="1"/>
    </xf>
    <xf numFmtId="0" fontId="208" fillId="19" borderId="6" xfId="0" applyFont="1" applyFill="1" applyBorder="1" applyAlignment="1" applyProtection="1">
      <alignment horizontal="center"/>
      <protection hidden="1"/>
    </xf>
    <xf numFmtId="0" fontId="208" fillId="19" borderId="0" xfId="0" applyFont="1" applyFill="1" applyAlignment="1">
      <alignment horizontal="center"/>
    </xf>
    <xf numFmtId="3" fontId="6" fillId="19" borderId="167" xfId="0" applyNumberFormat="1" applyFont="1" applyFill="1" applyBorder="1" applyAlignment="1" applyProtection="1">
      <alignment horizontal="center"/>
      <protection locked="0"/>
    </xf>
    <xf numFmtId="0" fontId="1" fillId="19" borderId="167" xfId="0" applyFont="1" applyFill="1" applyBorder="1" applyAlignment="1" applyProtection="1">
      <alignment horizontal="center"/>
      <protection locked="0"/>
    </xf>
    <xf numFmtId="0" fontId="4" fillId="19" borderId="0" xfId="0" applyFont="1" applyFill="1" applyAlignment="1" applyProtection="1">
      <alignment horizontal="right"/>
      <protection locked="0" hidden="1"/>
    </xf>
    <xf numFmtId="0" fontId="0" fillId="19" borderId="25" xfId="0" applyFill="1" applyBorder="1" applyAlignment="1" applyProtection="1">
      <alignment horizontal="right"/>
      <protection locked="0" hidden="1"/>
    </xf>
    <xf numFmtId="0" fontId="8" fillId="19" borderId="10" xfId="0" applyFont="1" applyFill="1" applyBorder="1" applyAlignment="1">
      <alignment horizontal="center" vertical="top" wrapText="1"/>
    </xf>
    <xf numFmtId="0" fontId="0" fillId="0" borderId="1" xfId="0" applyBorder="1" applyAlignment="1">
      <alignment horizontal="center" vertical="top" wrapText="1"/>
    </xf>
    <xf numFmtId="0" fontId="8" fillId="19" borderId="1" xfId="0" applyFont="1" applyFill="1" applyBorder="1" applyAlignment="1">
      <alignment horizontal="center" vertical="top" wrapText="1"/>
    </xf>
    <xf numFmtId="0" fontId="17" fillId="19" borderId="6" xfId="0" applyFont="1" applyFill="1" applyBorder="1" applyAlignment="1" applyProtection="1">
      <alignment horizontal="center"/>
      <protection hidden="1"/>
    </xf>
    <xf numFmtId="0" fontId="17" fillId="19" borderId="0" xfId="0" applyFont="1" applyFill="1" applyAlignment="1">
      <alignment horizontal="center"/>
    </xf>
    <xf numFmtId="0" fontId="8" fillId="19" borderId="36" xfId="0" applyFont="1" applyFill="1" applyBorder="1" applyAlignment="1" applyProtection="1">
      <alignment horizontal="center" wrapText="1"/>
      <protection hidden="1"/>
    </xf>
    <xf numFmtId="0" fontId="8" fillId="19" borderId="14" xfId="0" applyFont="1" applyFill="1" applyBorder="1" applyAlignment="1" applyProtection="1">
      <alignment horizontal="center" wrapText="1"/>
      <protection hidden="1"/>
    </xf>
    <xf numFmtId="0" fontId="8" fillId="19" borderId="171" xfId="0" applyFont="1" applyFill="1" applyBorder="1" applyAlignment="1" applyProtection="1">
      <alignment horizontal="center" wrapText="1"/>
      <protection hidden="1"/>
    </xf>
    <xf numFmtId="0" fontId="65" fillId="19" borderId="3" xfId="0" applyFont="1" applyFill="1" applyBorder="1" applyAlignment="1">
      <alignment horizontal="center" vertical="center"/>
    </xf>
    <xf numFmtId="0" fontId="65" fillId="19" borderId="0" xfId="0" applyFont="1" applyFill="1" applyAlignment="1">
      <alignment horizontal="center" vertical="center"/>
    </xf>
    <xf numFmtId="0" fontId="65" fillId="19" borderId="25" xfId="0" applyFont="1" applyFill="1" applyBorder="1" applyAlignment="1">
      <alignment horizontal="center" vertical="center"/>
    </xf>
    <xf numFmtId="0" fontId="65" fillId="19" borderId="36" xfId="0" applyFont="1" applyFill="1" applyBorder="1" applyAlignment="1">
      <alignment horizontal="center" vertical="center"/>
    </xf>
    <xf numFmtId="0" fontId="65" fillId="19" borderId="14" xfId="0" applyFont="1" applyFill="1" applyBorder="1" applyAlignment="1">
      <alignment horizontal="center" vertical="center"/>
    </xf>
    <xf numFmtId="0" fontId="65" fillId="19" borderId="18" xfId="0" applyFont="1" applyFill="1" applyBorder="1" applyAlignment="1">
      <alignment horizontal="center" vertical="center"/>
    </xf>
    <xf numFmtId="0" fontId="6" fillId="16" borderId="0" xfId="0" applyFont="1" applyFill="1" applyAlignment="1" applyProtection="1">
      <alignment horizontal="left" vertical="center" indent="1"/>
      <protection locked="0"/>
    </xf>
    <xf numFmtId="0" fontId="88" fillId="2" borderId="6" xfId="0" applyFont="1" applyFill="1" applyBorder="1" applyAlignment="1" applyProtection="1">
      <alignment horizontal="left" vertical="top" wrapText="1"/>
      <protection hidden="1"/>
    </xf>
    <xf numFmtId="0" fontId="17" fillId="0" borderId="0" xfId="0" applyFont="1" applyAlignment="1">
      <alignment wrapText="1"/>
    </xf>
    <xf numFmtId="0" fontId="75" fillId="0" borderId="24" xfId="2" applyBorder="1" applyAlignment="1" applyProtection="1">
      <alignment horizontal="center" vertical="center"/>
      <protection hidden="1"/>
    </xf>
    <xf numFmtId="0" fontId="75" fillId="0" borderId="8" xfId="2" applyBorder="1" applyAlignment="1" applyProtection="1">
      <alignment horizontal="center" vertical="center"/>
      <protection hidden="1"/>
    </xf>
    <xf numFmtId="0" fontId="75" fillId="0" borderId="20" xfId="2" applyBorder="1" applyAlignment="1" applyProtection="1">
      <alignment horizontal="center" vertical="center"/>
      <protection hidden="1"/>
    </xf>
    <xf numFmtId="0" fontId="75" fillId="0" borderId="6" xfId="2" applyBorder="1" applyAlignment="1" applyProtection="1">
      <alignment horizontal="center" vertical="center"/>
      <protection hidden="1"/>
    </xf>
    <xf numFmtId="0" fontId="75" fillId="0" borderId="0" xfId="2" applyAlignment="1" applyProtection="1">
      <alignment horizontal="center" vertical="center"/>
      <protection hidden="1"/>
    </xf>
    <xf numFmtId="0" fontId="75" fillId="0" borderId="21" xfId="2" applyBorder="1" applyAlignment="1" applyProtection="1">
      <alignment horizontal="center" vertical="center"/>
      <protection hidden="1"/>
    </xf>
    <xf numFmtId="0" fontId="75" fillId="0" borderId="22" xfId="2" applyBorder="1" applyAlignment="1" applyProtection="1">
      <alignment horizontal="center" vertical="center"/>
      <protection hidden="1"/>
    </xf>
    <xf numFmtId="0" fontId="75" fillId="0" borderId="5" xfId="2" applyBorder="1" applyAlignment="1" applyProtection="1">
      <alignment horizontal="center" vertical="center"/>
      <protection hidden="1"/>
    </xf>
    <xf numFmtId="0" fontId="75" fillId="0" borderId="23" xfId="2" applyBorder="1" applyAlignment="1" applyProtection="1">
      <alignment horizontal="center" vertical="center"/>
      <protection hidden="1"/>
    </xf>
    <xf numFmtId="0" fontId="140" fillId="16" borderId="0" xfId="0" applyFont="1" applyFill="1" applyAlignment="1" applyProtection="1">
      <alignment horizontal="left" vertical="top" wrapText="1"/>
      <protection hidden="1"/>
    </xf>
    <xf numFmtId="37" fontId="0" fillId="26" borderId="26" xfId="0" applyNumberFormat="1" applyFill="1" applyBorder="1"/>
    <xf numFmtId="0" fontId="145" fillId="16" borderId="3" xfId="0" applyFont="1" applyFill="1" applyBorder="1" applyAlignment="1" applyProtection="1">
      <alignment horizontal="center" wrapText="1"/>
      <protection hidden="1"/>
    </xf>
    <xf numFmtId="0" fontId="145" fillId="0" borderId="0" xfId="0" applyFont="1" applyAlignment="1">
      <alignment horizontal="center" wrapText="1"/>
    </xf>
    <xf numFmtId="0" fontId="10" fillId="16" borderId="0" xfId="0" applyFont="1" applyFill="1" applyAlignment="1" applyProtection="1">
      <alignment horizontal="left"/>
      <protection hidden="1"/>
    </xf>
    <xf numFmtId="0" fontId="10" fillId="0" borderId="0" xfId="0" applyFont="1"/>
    <xf numFmtId="37" fontId="6" fillId="17" borderId="40" xfId="0" applyNumberFormat="1" applyFont="1" applyFill="1" applyBorder="1" applyProtection="1">
      <protection locked="0"/>
    </xf>
    <xf numFmtId="37" fontId="6" fillId="17" borderId="26" xfId="0" applyNumberFormat="1" applyFont="1" applyFill="1" applyBorder="1" applyProtection="1">
      <protection locked="0"/>
    </xf>
    <xf numFmtId="37" fontId="0" fillId="17" borderId="26" xfId="0" applyNumberFormat="1" applyFill="1" applyBorder="1" applyProtection="1">
      <protection locked="0"/>
    </xf>
    <xf numFmtId="0" fontId="3" fillId="16" borderId="27" xfId="0" applyFont="1" applyFill="1" applyBorder="1" applyAlignment="1" applyProtection="1">
      <alignment horizontal="center" vertical="center"/>
      <protection hidden="1"/>
    </xf>
    <xf numFmtId="0" fontId="0" fillId="0" borderId="1" xfId="0" applyBorder="1" applyAlignment="1">
      <alignment horizontal="center" vertical="center"/>
    </xf>
    <xf numFmtId="166" fontId="21" fillId="28"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10" xfId="0" applyBorder="1" applyAlignment="1">
      <alignment horizontal="center" vertical="center"/>
    </xf>
    <xf numFmtId="0" fontId="82" fillId="16" borderId="85" xfId="0" applyFont="1" applyFill="1" applyBorder="1" applyAlignment="1" applyProtection="1">
      <alignment horizontal="center" vertical="center"/>
      <protection hidden="1"/>
    </xf>
    <xf numFmtId="0" fontId="0" fillId="0" borderId="9" xfId="0" applyBorder="1" applyAlignment="1">
      <alignment horizontal="center" vertical="center"/>
    </xf>
    <xf numFmtId="0" fontId="0" fillId="0" borderId="6" xfId="0" applyBorder="1" applyAlignment="1">
      <alignment horizontal="center" vertical="center"/>
    </xf>
    <xf numFmtId="0" fontId="3" fillId="0" borderId="0" xfId="0" applyFont="1" applyAlignment="1" applyProtection="1">
      <alignment horizontal="left" vertical="center" wrapText="1"/>
      <protection hidden="1"/>
    </xf>
    <xf numFmtId="0" fontId="3" fillId="0" borderId="5" xfId="0" applyFont="1" applyBorder="1" applyAlignment="1" applyProtection="1">
      <alignment horizontal="left" vertical="center" wrapText="1"/>
      <protection hidden="1"/>
    </xf>
    <xf numFmtId="166" fontId="7" fillId="17" borderId="167" xfId="0" applyNumberFormat="1" applyFont="1" applyFill="1" applyBorder="1" applyAlignment="1" applyProtection="1">
      <alignment horizontal="center"/>
      <protection locked="0"/>
    </xf>
    <xf numFmtId="37" fontId="6" fillId="17" borderId="10" xfId="0" applyNumberFormat="1" applyFont="1" applyFill="1" applyBorder="1" applyProtection="1">
      <protection locked="0"/>
    </xf>
    <xf numFmtId="37" fontId="0" fillId="17" borderId="12" xfId="0" applyNumberFormat="1" applyFill="1" applyBorder="1" applyProtection="1">
      <protection locked="0"/>
    </xf>
    <xf numFmtId="0" fontId="0" fillId="16" borderId="31" xfId="0" applyFill="1" applyBorder="1" applyAlignment="1" applyProtection="1">
      <alignment wrapText="1"/>
      <protection hidden="1"/>
    </xf>
    <xf numFmtId="0" fontId="0" fillId="0" borderId="9" xfId="0" applyBorder="1" applyAlignment="1" applyProtection="1">
      <alignment wrapText="1"/>
      <protection hidden="1"/>
    </xf>
    <xf numFmtId="0" fontId="0" fillId="0" borderId="15" xfId="0" applyBorder="1" applyAlignment="1" applyProtection="1">
      <alignment wrapText="1"/>
      <protection hidden="1"/>
    </xf>
    <xf numFmtId="0" fontId="11" fillId="17" borderId="0" xfId="0" applyFont="1" applyFill="1" applyAlignment="1" applyProtection="1">
      <alignment horizontal="center"/>
      <protection locked="0" hidden="1"/>
    </xf>
    <xf numFmtId="0" fontId="11" fillId="17" borderId="25" xfId="0" applyFont="1" applyFill="1" applyBorder="1" applyAlignment="1" applyProtection="1">
      <alignment horizontal="center"/>
      <protection locked="0" hidden="1"/>
    </xf>
    <xf numFmtId="0" fontId="16" fillId="16" borderId="0" xfId="0" applyFont="1" applyFill="1" applyAlignment="1" applyProtection="1">
      <alignment vertical="center" wrapText="1"/>
      <protection hidden="1"/>
    </xf>
    <xf numFmtId="0" fontId="53" fillId="0" borderId="0" xfId="0" applyFont="1"/>
    <xf numFmtId="0" fontId="53" fillId="0" borderId="21" xfId="0" applyFont="1" applyBorder="1"/>
    <xf numFmtId="0" fontId="253" fillId="16" borderId="0" xfId="0" applyFont="1" applyFill="1" applyAlignment="1" applyProtection="1">
      <alignment horizontal="left" vertical="center" wrapText="1"/>
      <protection hidden="1"/>
    </xf>
    <xf numFmtId="0" fontId="253" fillId="0" borderId="0" xfId="0" applyFont="1" applyAlignment="1">
      <alignment horizontal="left" vertical="center" wrapText="1"/>
    </xf>
    <xf numFmtId="0" fontId="253" fillId="0" borderId="21" xfId="0" applyFont="1" applyBorder="1" applyAlignment="1">
      <alignment horizontal="left" vertical="center" wrapText="1"/>
    </xf>
    <xf numFmtId="0" fontId="49" fillId="28" borderId="0" xfId="0" applyFont="1" applyFill="1" applyProtection="1">
      <protection hidden="1"/>
    </xf>
    <xf numFmtId="0" fontId="0" fillId="0" borderId="0" xfId="0"/>
    <xf numFmtId="0" fontId="0" fillId="0" borderId="25" xfId="0" applyBorder="1"/>
    <xf numFmtId="0" fontId="0" fillId="0" borderId="12" xfId="0" applyBorder="1"/>
    <xf numFmtId="0" fontId="8" fillId="0" borderId="5" xfId="0" applyFont="1" applyBorder="1" applyAlignment="1">
      <alignment horizontal="left" vertical="top" wrapText="1"/>
    </xf>
    <xf numFmtId="0" fontId="8" fillId="0" borderId="23" xfId="0" applyFont="1" applyBorder="1" applyAlignment="1">
      <alignment horizontal="left" vertical="top" wrapText="1"/>
    </xf>
    <xf numFmtId="0" fontId="8" fillId="16" borderId="0" xfId="0" applyFont="1" applyFill="1" applyAlignment="1" applyProtection="1">
      <alignment horizontal="left" wrapText="1"/>
      <protection hidden="1"/>
    </xf>
    <xf numFmtId="0" fontId="8" fillId="16" borderId="21" xfId="0" applyFont="1" applyFill="1" applyBorder="1" applyAlignment="1" applyProtection="1">
      <alignment horizontal="left" wrapText="1"/>
      <protection hidden="1"/>
    </xf>
    <xf numFmtId="0" fontId="1" fillId="16" borderId="16" xfId="0" applyFont="1" applyFill="1" applyBorder="1" applyAlignment="1" applyProtection="1">
      <alignment horizontal="left" wrapText="1"/>
      <protection hidden="1"/>
    </xf>
    <xf numFmtId="0" fontId="0" fillId="0" borderId="7" xfId="0" applyBorder="1" applyAlignment="1">
      <alignment horizontal="left" wrapText="1"/>
    </xf>
    <xf numFmtId="0" fontId="0" fillId="0" borderId="11" xfId="0" applyBorder="1" applyAlignment="1">
      <alignment horizontal="left" wrapText="1"/>
    </xf>
    <xf numFmtId="0" fontId="0" fillId="24" borderId="40" xfId="0" applyFill="1" applyBorder="1" applyAlignment="1" applyProtection="1">
      <alignment wrapText="1"/>
      <protection hidden="1"/>
    </xf>
    <xf numFmtId="0" fontId="0" fillId="24" borderId="26" xfId="0" applyFill="1" applyBorder="1" applyAlignment="1" applyProtection="1">
      <alignment wrapText="1"/>
      <protection hidden="1"/>
    </xf>
    <xf numFmtId="0" fontId="0" fillId="24" borderId="55" xfId="0" applyFill="1" applyBorder="1" applyAlignment="1" applyProtection="1">
      <alignment wrapText="1"/>
      <protection hidden="1"/>
    </xf>
    <xf numFmtId="0" fontId="0" fillId="16" borderId="31" xfId="0" applyFill="1" applyBorder="1" applyProtection="1">
      <protection hidden="1"/>
    </xf>
    <xf numFmtId="0" fontId="0" fillId="0" borderId="9" xfId="0" applyBorder="1" applyProtection="1">
      <protection hidden="1"/>
    </xf>
    <xf numFmtId="0" fontId="11" fillId="16" borderId="3" xfId="0" applyFont="1" applyFill="1" applyBorder="1" applyAlignment="1" applyProtection="1">
      <alignment horizontal="center" wrapText="1"/>
      <protection hidden="1"/>
    </xf>
    <xf numFmtId="0" fontId="11" fillId="0" borderId="0" xfId="0" applyFont="1" applyAlignment="1">
      <alignment horizontal="center" wrapText="1"/>
    </xf>
    <xf numFmtId="37" fontId="11" fillId="17" borderId="5" xfId="0" applyNumberFormat="1" applyFont="1" applyFill="1" applyBorder="1" applyAlignment="1" applyProtection="1">
      <alignment horizontal="center"/>
      <protection locked="0"/>
    </xf>
    <xf numFmtId="0" fontId="26" fillId="24" borderId="0" xfId="0" applyFont="1" applyFill="1" applyAlignment="1" applyProtection="1">
      <alignment horizontal="center"/>
      <protection hidden="1"/>
    </xf>
    <xf numFmtId="37" fontId="1" fillId="17" borderId="1" xfId="0" applyNumberFormat="1" applyFont="1" applyFill="1" applyBorder="1" applyAlignment="1" applyProtection="1">
      <alignment horizontal="right"/>
      <protection locked="0"/>
    </xf>
    <xf numFmtId="0" fontId="1" fillId="24" borderId="0" xfId="0" applyFont="1" applyFill="1" applyAlignment="1" applyProtection="1">
      <alignment horizontal="center"/>
      <protection hidden="1"/>
    </xf>
    <xf numFmtId="0" fontId="1" fillId="26" borderId="26" xfId="0" applyFont="1" applyFill="1" applyBorder="1" applyProtection="1">
      <protection hidden="1"/>
    </xf>
    <xf numFmtId="37" fontId="7" fillId="26" borderId="70" xfId="0" applyNumberFormat="1" applyFont="1" applyFill="1" applyBorder="1" applyProtection="1">
      <protection hidden="1"/>
    </xf>
    <xf numFmtId="0" fontId="0" fillId="26" borderId="5" xfId="0" applyFill="1" applyBorder="1"/>
    <xf numFmtId="0" fontId="209" fillId="16" borderId="0" xfId="0" applyFont="1" applyFill="1" applyAlignment="1" applyProtection="1">
      <alignment horizontal="center" vertical="center" wrapText="1"/>
      <protection hidden="1"/>
    </xf>
    <xf numFmtId="0" fontId="209" fillId="0" borderId="0" xfId="0" applyFont="1" applyAlignment="1">
      <alignment horizontal="center" vertical="center" wrapText="1"/>
    </xf>
    <xf numFmtId="0" fontId="209" fillId="0" borderId="21" xfId="0" applyFont="1" applyBorder="1" applyAlignment="1">
      <alignment horizontal="center" vertical="center" wrapText="1"/>
    </xf>
    <xf numFmtId="0" fontId="0" fillId="0" borderId="0" xfId="0" applyAlignment="1">
      <alignment horizontal="left" vertical="center" wrapText="1"/>
    </xf>
    <xf numFmtId="0" fontId="0" fillId="0" borderId="5" xfId="0" applyBorder="1" applyAlignment="1">
      <alignment horizontal="left" vertical="center" wrapText="1"/>
    </xf>
    <xf numFmtId="0" fontId="254" fillId="0" borderId="0" xfId="0" applyFont="1" applyAlignment="1" applyProtection="1">
      <alignment horizontal="center" vertical="center" wrapText="1"/>
      <protection hidden="1"/>
    </xf>
    <xf numFmtId="0" fontId="11" fillId="17" borderId="1" xfId="0" applyFont="1" applyFill="1" applyBorder="1" applyAlignment="1" applyProtection="1">
      <alignment horizontal="center"/>
      <protection locked="0"/>
    </xf>
    <xf numFmtId="37" fontId="1" fillId="17" borderId="26" xfId="0" applyNumberFormat="1" applyFont="1" applyFill="1" applyBorder="1" applyProtection="1">
      <protection locked="0"/>
    </xf>
    <xf numFmtId="37" fontId="0" fillId="26" borderId="5" xfId="0" applyNumberFormat="1" applyFill="1" applyBorder="1" applyProtection="1">
      <protection hidden="1"/>
    </xf>
    <xf numFmtId="37" fontId="0" fillId="26" borderId="26" xfId="0" applyNumberFormat="1" applyFill="1" applyBorder="1" applyProtection="1">
      <protection hidden="1"/>
    </xf>
    <xf numFmtId="37" fontId="6" fillId="22" borderId="40" xfId="0" applyNumberFormat="1" applyFont="1" applyFill="1" applyBorder="1" applyProtection="1">
      <protection hidden="1"/>
    </xf>
    <xf numFmtId="37" fontId="6" fillId="22" borderId="26" xfId="0" applyNumberFormat="1" applyFont="1" applyFill="1" applyBorder="1" applyProtection="1">
      <protection hidden="1"/>
    </xf>
    <xf numFmtId="0" fontId="273" fillId="16" borderId="0" xfId="0" applyFont="1" applyFill="1" applyAlignment="1" applyProtection="1">
      <alignment horizontal="left"/>
      <protection hidden="1"/>
    </xf>
    <xf numFmtId="0" fontId="273" fillId="0" borderId="0" xfId="0" applyFont="1"/>
    <xf numFmtId="0" fontId="5" fillId="16" borderId="27" xfId="0" applyFont="1" applyFill="1" applyBorder="1" applyAlignment="1" applyProtection="1">
      <alignment horizontal="center" vertical="center"/>
      <protection hidden="1"/>
    </xf>
    <xf numFmtId="0" fontId="5" fillId="0" borderId="1" xfId="0" applyFont="1" applyBorder="1" applyAlignment="1">
      <alignment horizontal="center" vertical="center"/>
    </xf>
    <xf numFmtId="0" fontId="8" fillId="0" borderId="5" xfId="0" applyFont="1" applyBorder="1" applyAlignment="1">
      <alignment horizontal="left" vertical="center" wrapText="1"/>
    </xf>
    <xf numFmtId="0" fontId="8" fillId="0" borderId="23" xfId="0" applyFont="1" applyBorder="1" applyAlignment="1">
      <alignment horizontal="left" vertical="center" wrapText="1"/>
    </xf>
    <xf numFmtId="0" fontId="6" fillId="17" borderId="92" xfId="0" applyFont="1" applyFill="1" applyBorder="1" applyAlignment="1" applyProtection="1">
      <alignment horizontal="center"/>
      <protection locked="0" hidden="1"/>
    </xf>
    <xf numFmtId="37" fontId="6" fillId="17" borderId="12" xfId="0" applyNumberFormat="1" applyFont="1" applyFill="1" applyBorder="1" applyProtection="1">
      <protection locked="0"/>
    </xf>
    <xf numFmtId="0" fontId="16" fillId="16" borderId="0" xfId="0" applyFont="1" applyFill="1" applyAlignment="1" applyProtection="1">
      <alignment horizontal="left"/>
      <protection hidden="1"/>
    </xf>
    <xf numFmtId="0" fontId="16" fillId="0" borderId="0" xfId="0" applyFont="1"/>
    <xf numFmtId="37" fontId="1" fillId="17" borderId="1" xfId="0" applyNumberFormat="1" applyFont="1" applyFill="1" applyBorder="1" applyProtection="1">
      <protection locked="0"/>
    </xf>
    <xf numFmtId="37" fontId="6" fillId="28" borderId="10" xfId="0" applyNumberFormat="1" applyFont="1" applyFill="1" applyBorder="1" applyProtection="1">
      <protection hidden="1"/>
    </xf>
    <xf numFmtId="37" fontId="6" fillId="28" borderId="1" xfId="0" applyNumberFormat="1" applyFont="1" applyFill="1" applyBorder="1" applyProtection="1">
      <protection hidden="1"/>
    </xf>
    <xf numFmtId="0" fontId="1" fillId="28" borderId="1" xfId="0" applyFont="1" applyFill="1" applyBorder="1" applyProtection="1">
      <protection hidden="1"/>
    </xf>
    <xf numFmtId="0" fontId="284" fillId="20" borderId="9" xfId="0" applyFont="1" applyFill="1" applyBorder="1" applyAlignment="1" applyProtection="1">
      <alignment horizontal="center"/>
      <protection hidden="1"/>
    </xf>
    <xf numFmtId="0" fontId="284" fillId="0" borderId="9" xfId="0" applyFont="1" applyBorder="1" applyAlignment="1">
      <alignment horizontal="center"/>
    </xf>
    <xf numFmtId="37" fontId="0" fillId="20" borderId="40" xfId="0" applyNumberFormat="1" applyFill="1" applyBorder="1" applyProtection="1">
      <protection locked="0"/>
    </xf>
    <xf numFmtId="37" fontId="0" fillId="20" borderId="26" xfId="0" applyNumberFormat="1" applyFill="1" applyBorder="1" applyProtection="1">
      <protection locked="0"/>
    </xf>
    <xf numFmtId="0" fontId="11" fillId="17" borderId="174" xfId="0" applyFont="1" applyFill="1" applyBorder="1" applyAlignment="1" applyProtection="1">
      <alignment horizontal="center"/>
      <protection locked="0"/>
    </xf>
    <xf numFmtId="0" fontId="11" fillId="17" borderId="92" xfId="0" applyFont="1" applyFill="1" applyBorder="1" applyAlignment="1" applyProtection="1">
      <alignment horizontal="center"/>
      <protection locked="0"/>
    </xf>
    <xf numFmtId="37" fontId="1" fillId="28" borderId="1" xfId="0" applyNumberFormat="1" applyFont="1" applyFill="1" applyBorder="1" applyProtection="1">
      <protection hidden="1"/>
    </xf>
    <xf numFmtId="0" fontId="8" fillId="16" borderId="0" xfId="0" applyFont="1" applyFill="1" applyAlignment="1" applyProtection="1">
      <alignment wrapText="1"/>
      <protection hidden="1"/>
    </xf>
    <xf numFmtId="0" fontId="8" fillId="0" borderId="0" xfId="0" applyFont="1" applyAlignment="1">
      <alignment wrapText="1"/>
    </xf>
    <xf numFmtId="165" fontId="16" fillId="17" borderId="5" xfId="0" applyNumberFormat="1" applyFont="1" applyFill="1" applyBorder="1" applyAlignment="1" applyProtection="1">
      <alignment horizontal="center"/>
      <protection locked="0"/>
    </xf>
    <xf numFmtId="49" fontId="14" fillId="17" borderId="1" xfId="0" applyNumberFormat="1" applyFont="1" applyFill="1" applyBorder="1" applyAlignment="1" applyProtection="1">
      <alignment horizontal="center"/>
      <protection locked="0"/>
    </xf>
    <xf numFmtId="0" fontId="5" fillId="16" borderId="31" xfId="0" applyFont="1" applyFill="1" applyBorder="1" applyProtection="1">
      <protection hidden="1"/>
    </xf>
    <xf numFmtId="0" fontId="5" fillId="0" borderId="9" xfId="0" applyFont="1" applyBorder="1"/>
    <xf numFmtId="0" fontId="5" fillId="0" borderId="15" xfId="0" applyFont="1" applyBorder="1"/>
    <xf numFmtId="0" fontId="10" fillId="17" borderId="10" xfId="0" applyFont="1" applyFill="1" applyBorder="1" applyProtection="1">
      <protection locked="0"/>
    </xf>
    <xf numFmtId="0" fontId="10" fillId="17" borderId="1" xfId="0" applyFont="1" applyFill="1" applyBorder="1" applyProtection="1">
      <protection locked="0"/>
    </xf>
    <xf numFmtId="0" fontId="10" fillId="17" borderId="12" xfId="0" applyFont="1" applyFill="1" applyBorder="1" applyProtection="1">
      <protection locked="0"/>
    </xf>
    <xf numFmtId="0" fontId="1" fillId="16" borderId="0" xfId="0" applyFont="1" applyFill="1" applyAlignment="1" applyProtection="1">
      <alignment horizontal="left" vertical="center" wrapText="1"/>
      <protection hidden="1"/>
    </xf>
    <xf numFmtId="0" fontId="1" fillId="0" borderId="0" xfId="0" applyFont="1" applyAlignment="1">
      <alignment vertical="center" wrapText="1"/>
    </xf>
    <xf numFmtId="0" fontId="1" fillId="0" borderId="25" xfId="0" applyFont="1" applyBorder="1" applyAlignment="1">
      <alignment vertical="center" wrapText="1"/>
    </xf>
    <xf numFmtId="0" fontId="1" fillId="0" borderId="5" xfId="0" applyFont="1" applyBorder="1" applyAlignment="1">
      <alignment vertical="center" wrapText="1"/>
    </xf>
    <xf numFmtId="0" fontId="1" fillId="0" borderId="71" xfId="0" applyFont="1" applyBorder="1" applyAlignment="1">
      <alignment vertical="center" wrapText="1"/>
    </xf>
    <xf numFmtId="0" fontId="1" fillId="16" borderId="31" xfId="0" applyFont="1" applyFill="1" applyBorder="1" applyProtection="1">
      <protection hidden="1"/>
    </xf>
    <xf numFmtId="0" fontId="1" fillId="0" borderId="9" xfId="0" applyFont="1" applyBorder="1"/>
    <xf numFmtId="0" fontId="3" fillId="16" borderId="3" xfId="0" applyFont="1" applyFill="1" applyBorder="1" applyAlignment="1" applyProtection="1">
      <alignment horizontal="left" wrapText="1"/>
      <protection hidden="1"/>
    </xf>
    <xf numFmtId="0" fontId="3" fillId="0" borderId="0" xfId="0" applyFont="1" applyAlignment="1">
      <alignment horizontal="left" wrapText="1"/>
    </xf>
    <xf numFmtId="0" fontId="3" fillId="0" borderId="10" xfId="0" applyFont="1" applyBorder="1" applyAlignment="1">
      <alignment horizontal="left" wrapText="1"/>
    </xf>
    <xf numFmtId="0" fontId="3" fillId="0" borderId="1" xfId="0" applyFont="1" applyBorder="1" applyAlignment="1">
      <alignment horizontal="left" wrapText="1"/>
    </xf>
    <xf numFmtId="0" fontId="3" fillId="16" borderId="0" xfId="0" applyFont="1" applyFill="1" applyAlignment="1" applyProtection="1">
      <alignment wrapText="1"/>
      <protection hidden="1"/>
    </xf>
    <xf numFmtId="0" fontId="0" fillId="0" borderId="0" xfId="0" applyAlignment="1">
      <alignment wrapText="1"/>
    </xf>
    <xf numFmtId="0" fontId="0" fillId="0" borderId="1" xfId="0" applyBorder="1" applyAlignment="1">
      <alignment wrapText="1"/>
    </xf>
    <xf numFmtId="0" fontId="6" fillId="17" borderId="5" xfId="0" applyFont="1" applyFill="1" applyBorder="1" applyAlignment="1" applyProtection="1">
      <alignment wrapText="1"/>
      <protection locked="0"/>
    </xf>
    <xf numFmtId="0" fontId="75" fillId="0" borderId="38" xfId="2" applyBorder="1" applyAlignment="1" applyProtection="1">
      <alignment horizontal="center" vertical="center"/>
      <protection hidden="1"/>
    </xf>
    <xf numFmtId="0" fontId="75" fillId="0" borderId="108" xfId="2" applyBorder="1" applyAlignment="1" applyProtection="1">
      <alignment horizontal="center" vertical="center"/>
      <protection hidden="1"/>
    </xf>
    <xf numFmtId="0" fontId="75" fillId="0" borderId="39" xfId="2" applyBorder="1" applyAlignment="1" applyProtection="1">
      <alignment horizontal="center" vertical="center"/>
      <protection hidden="1"/>
    </xf>
    <xf numFmtId="183" fontId="6" fillId="2" borderId="60" xfId="0" applyNumberFormat="1" applyFont="1" applyFill="1" applyBorder="1" applyAlignment="1" applyProtection="1">
      <alignment horizontal="center"/>
      <protection locked="0"/>
    </xf>
    <xf numFmtId="183" fontId="6" fillId="2" borderId="61" xfId="0" applyNumberFormat="1" applyFont="1" applyFill="1" applyBorder="1" applyAlignment="1" applyProtection="1">
      <alignment horizontal="center"/>
      <protection locked="0"/>
    </xf>
    <xf numFmtId="1" fontId="1" fillId="2" borderId="60" xfId="0" applyNumberFormat="1" applyFont="1" applyFill="1" applyBorder="1" applyAlignment="1" applyProtection="1">
      <alignment horizontal="center"/>
      <protection locked="0"/>
    </xf>
    <xf numFmtId="1" fontId="1" fillId="0" borderId="61" xfId="0" applyNumberFormat="1" applyFont="1" applyBorder="1" applyAlignment="1" applyProtection="1">
      <alignment horizontal="center"/>
      <protection locked="0"/>
    </xf>
    <xf numFmtId="0" fontId="137" fillId="2" borderId="0" xfId="0" applyFont="1" applyFill="1" applyProtection="1">
      <protection hidden="1"/>
    </xf>
    <xf numFmtId="0" fontId="137" fillId="0" borderId="0" xfId="0" applyFont="1"/>
    <xf numFmtId="169" fontId="19" fillId="2" borderId="0" xfId="0" applyNumberFormat="1" applyFont="1" applyFill="1" applyAlignment="1" applyProtection="1">
      <alignment horizontal="left"/>
      <protection hidden="1"/>
    </xf>
    <xf numFmtId="0" fontId="19" fillId="0" borderId="0" xfId="0" applyFont="1" applyAlignment="1" applyProtection="1">
      <alignment horizontal="left"/>
      <protection hidden="1"/>
    </xf>
    <xf numFmtId="0" fontId="150" fillId="2" borderId="8" xfId="0" applyFont="1" applyFill="1" applyBorder="1" applyProtection="1">
      <protection hidden="1"/>
    </xf>
    <xf numFmtId="0" fontId="150" fillId="0" borderId="8" xfId="0" applyFont="1" applyBorder="1"/>
    <xf numFmtId="0" fontId="8" fillId="2" borderId="6"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1" xfId="0" applyBorder="1" applyAlignment="1" applyProtection="1">
      <alignment horizontal="center"/>
      <protection hidden="1"/>
    </xf>
    <xf numFmtId="0" fontId="150" fillId="2" borderId="0" xfId="0" applyFont="1" applyFill="1" applyAlignment="1" applyProtection="1">
      <alignment vertical="top" wrapText="1"/>
      <protection hidden="1"/>
    </xf>
    <xf numFmtId="0" fontId="150" fillId="0" borderId="0" xfId="0" applyFont="1" applyAlignment="1">
      <alignment vertical="top" wrapText="1"/>
    </xf>
    <xf numFmtId="0" fontId="0" fillId="0" borderId="21" xfId="0" applyBorder="1" applyAlignment="1">
      <alignment horizontal="center"/>
    </xf>
    <xf numFmtId="37" fontId="19" fillId="28" borderId="1" xfId="0" applyNumberFormat="1" applyFont="1" applyFill="1" applyBorder="1" applyProtection="1">
      <protection hidden="1"/>
    </xf>
    <xf numFmtId="37" fontId="0" fillId="28" borderId="1" xfId="0" applyNumberFormat="1" applyFill="1" applyBorder="1" applyProtection="1">
      <protection hidden="1"/>
    </xf>
    <xf numFmtId="0" fontId="41" fillId="16" borderId="24" xfId="0" quotePrefix="1" applyFont="1" applyFill="1" applyBorder="1" applyAlignment="1" applyProtection="1">
      <alignment horizontal="left" vertical="center" wrapText="1"/>
      <protection hidden="1"/>
    </xf>
    <xf numFmtId="0" fontId="0" fillId="16" borderId="8" xfId="0" applyFill="1" applyBorder="1" applyAlignment="1">
      <alignment vertical="center" wrapText="1"/>
    </xf>
    <xf numFmtId="0" fontId="0" fillId="16" borderId="20" xfId="0" applyFill="1" applyBorder="1" applyAlignment="1">
      <alignment vertical="center" wrapText="1"/>
    </xf>
    <xf numFmtId="0" fontId="0" fillId="16" borderId="6" xfId="0" applyFill="1" applyBorder="1" applyAlignment="1">
      <alignment vertical="center" wrapText="1"/>
    </xf>
    <xf numFmtId="0" fontId="0" fillId="16" borderId="0" xfId="0" applyFill="1" applyAlignment="1">
      <alignment vertical="center" wrapText="1"/>
    </xf>
    <xf numFmtId="0" fontId="0" fillId="16" borderId="21" xfId="0" applyFill="1" applyBorder="1" applyAlignment="1">
      <alignment vertical="center" wrapText="1"/>
    </xf>
    <xf numFmtId="0" fontId="0" fillId="16" borderId="22" xfId="0" applyFill="1" applyBorder="1" applyAlignment="1">
      <alignment vertical="center" wrapText="1"/>
    </xf>
    <xf numFmtId="0" fontId="0" fillId="16" borderId="5" xfId="0" applyFill="1" applyBorder="1" applyAlignment="1">
      <alignment vertical="center" wrapText="1"/>
    </xf>
    <xf numFmtId="0" fontId="0" fillId="16" borderId="23" xfId="0" applyFill="1" applyBorder="1" applyAlignment="1">
      <alignment vertical="center" wrapText="1"/>
    </xf>
    <xf numFmtId="0" fontId="2" fillId="16" borderId="0" xfId="0" applyFont="1" applyFill="1" applyAlignment="1" applyProtection="1">
      <alignment horizontal="left" vertical="center" wrapText="1"/>
      <protection hidden="1"/>
    </xf>
    <xf numFmtId="0" fontId="137" fillId="20" borderId="0" xfId="0" applyFont="1" applyFill="1" applyAlignment="1">
      <alignment horizontal="center" vertical="center" wrapText="1"/>
    </xf>
    <xf numFmtId="0" fontId="1" fillId="16" borderId="0" xfId="0" applyFont="1" applyFill="1" applyAlignment="1" applyProtection="1">
      <alignment horizontal="center"/>
      <protection hidden="1"/>
    </xf>
    <xf numFmtId="0" fontId="1" fillId="16" borderId="9" xfId="0" applyFont="1" applyFill="1" applyBorder="1" applyAlignment="1" applyProtection="1">
      <alignment horizontal="center"/>
      <protection hidden="1"/>
    </xf>
    <xf numFmtId="0" fontId="6" fillId="17" borderId="40" xfId="0" quotePrefix="1" applyFont="1" applyFill="1" applyBorder="1" applyAlignment="1" applyProtection="1">
      <alignment horizontal="left"/>
      <protection locked="0"/>
    </xf>
    <xf numFmtId="0" fontId="6" fillId="17" borderId="55" xfId="0" quotePrefix="1" applyFont="1" applyFill="1" applyBorder="1" applyAlignment="1" applyProtection="1">
      <alignment horizontal="left"/>
      <protection locked="0"/>
    </xf>
    <xf numFmtId="37" fontId="1" fillId="17" borderId="40" xfId="0" quotePrefix="1" applyNumberFormat="1" applyFont="1" applyFill="1" applyBorder="1" applyAlignment="1" applyProtection="1">
      <alignment horizontal="right"/>
      <protection locked="0"/>
    </xf>
    <xf numFmtId="37" fontId="1" fillId="17" borderId="55" xfId="0" quotePrefix="1" applyNumberFormat="1" applyFont="1" applyFill="1" applyBorder="1" applyAlignment="1" applyProtection="1">
      <alignment horizontal="right"/>
      <protection locked="0"/>
    </xf>
    <xf numFmtId="0" fontId="1" fillId="16" borderId="1" xfId="0" applyFont="1" applyFill="1" applyBorder="1" applyAlignment="1" applyProtection="1">
      <alignment horizontal="center"/>
      <protection hidden="1"/>
    </xf>
    <xf numFmtId="3" fontId="0" fillId="28" borderId="60" xfId="0" applyNumberFormat="1" applyFill="1" applyBorder="1" applyAlignment="1" applyProtection="1">
      <alignment horizontal="right" indent="1"/>
      <protection hidden="1"/>
    </xf>
    <xf numFmtId="0" fontId="0" fillId="28" borderId="75" xfId="0" applyFill="1" applyBorder="1" applyAlignment="1" applyProtection="1">
      <alignment horizontal="right" indent="1"/>
      <protection hidden="1"/>
    </xf>
    <xf numFmtId="0" fontId="0" fillId="28" borderId="61" xfId="0" applyFill="1" applyBorder="1" applyAlignment="1" applyProtection="1">
      <alignment horizontal="right" indent="1"/>
      <protection hidden="1"/>
    </xf>
    <xf numFmtId="0" fontId="251" fillId="37" borderId="0" xfId="0" applyFont="1" applyFill="1" applyProtection="1">
      <protection hidden="1"/>
    </xf>
    <xf numFmtId="0" fontId="252" fillId="37" borderId="0" xfId="0" applyFont="1" applyFill="1" applyAlignment="1" applyProtection="1">
      <alignment horizontal="center"/>
      <protection hidden="1"/>
    </xf>
    <xf numFmtId="3" fontId="0" fillId="28" borderId="75" xfId="0" applyNumberFormat="1" applyFill="1" applyBorder="1" applyAlignment="1" applyProtection="1">
      <alignment horizontal="right" indent="1"/>
      <protection hidden="1"/>
    </xf>
    <xf numFmtId="3" fontId="0" fillId="28" borderId="61" xfId="0" applyNumberFormat="1" applyFill="1" applyBorder="1" applyAlignment="1" applyProtection="1">
      <alignment horizontal="right" indent="1"/>
      <protection hidden="1"/>
    </xf>
    <xf numFmtId="0" fontId="8" fillId="37" borderId="5" xfId="0" applyFont="1" applyFill="1" applyBorder="1" applyAlignment="1" applyProtection="1">
      <alignment horizontal="center"/>
      <protection hidden="1"/>
    </xf>
    <xf numFmtId="0" fontId="0" fillId="0" borderId="5" xfId="0" applyBorder="1" applyAlignment="1">
      <alignment horizontal="center"/>
    </xf>
    <xf numFmtId="0" fontId="8" fillId="37" borderId="0" xfId="0" applyFont="1" applyFill="1" applyAlignment="1" applyProtection="1">
      <alignment horizontal="center"/>
      <protection hidden="1"/>
    </xf>
    <xf numFmtId="0" fontId="11" fillId="37" borderId="0" xfId="0" applyFont="1" applyFill="1" applyAlignment="1" applyProtection="1">
      <alignment horizontal="center"/>
      <protection hidden="1"/>
    </xf>
    <xf numFmtId="3" fontId="3" fillId="37" borderId="181" xfId="0" applyNumberFormat="1" applyFont="1" applyFill="1" applyBorder="1" applyProtection="1">
      <protection hidden="1"/>
    </xf>
    <xf numFmtId="3" fontId="3" fillId="0" borderId="1" xfId="0" applyNumberFormat="1" applyFont="1" applyBorder="1"/>
    <xf numFmtId="3" fontId="3" fillId="37" borderId="182" xfId="0" applyNumberFormat="1" applyFont="1" applyFill="1" applyBorder="1" applyProtection="1">
      <protection hidden="1"/>
    </xf>
    <xf numFmtId="3" fontId="3" fillId="0" borderId="92" xfId="0" applyNumberFormat="1" applyFont="1" applyBorder="1"/>
    <xf numFmtId="3" fontId="138" fillId="37" borderId="0" xfId="0" applyNumberFormat="1" applyFont="1" applyFill="1" applyProtection="1">
      <protection hidden="1"/>
    </xf>
    <xf numFmtId="0" fontId="138" fillId="0" borderId="0" xfId="0" applyFont="1"/>
    <xf numFmtId="2" fontId="138" fillId="37" borderId="0" xfId="0" applyNumberFormat="1" applyFont="1" applyFill="1" applyProtection="1">
      <protection hidden="1"/>
    </xf>
    <xf numFmtId="0" fontId="3" fillId="37" borderId="181" xfId="0" applyFont="1" applyFill="1" applyBorder="1" applyAlignment="1" applyProtection="1">
      <alignment horizontal="center" wrapText="1"/>
      <protection hidden="1"/>
    </xf>
    <xf numFmtId="0" fontId="3" fillId="37" borderId="1" xfId="0" applyFont="1" applyFill="1" applyBorder="1" applyAlignment="1" applyProtection="1">
      <alignment horizontal="center" wrapText="1"/>
      <protection hidden="1"/>
    </xf>
    <xf numFmtId="0" fontId="3" fillId="37" borderId="12" xfId="0" applyFont="1" applyFill="1" applyBorder="1" applyAlignment="1" applyProtection="1">
      <alignment horizontal="center" wrapText="1"/>
      <protection hidden="1"/>
    </xf>
    <xf numFmtId="0" fontId="3" fillId="37" borderId="179" xfId="0" applyFont="1" applyFill="1" applyBorder="1" applyAlignment="1" applyProtection="1">
      <alignment horizontal="center" wrapText="1"/>
      <protection hidden="1"/>
    </xf>
    <xf numFmtId="0" fontId="3" fillId="37" borderId="112" xfId="0" applyFont="1" applyFill="1" applyBorder="1" applyAlignment="1" applyProtection="1">
      <alignment horizontal="center" wrapText="1"/>
      <protection hidden="1"/>
    </xf>
    <xf numFmtId="0" fontId="3" fillId="37" borderId="113" xfId="0" applyFont="1" applyFill="1" applyBorder="1" applyAlignment="1" applyProtection="1">
      <alignment horizontal="center" wrapText="1"/>
      <protection hidden="1"/>
    </xf>
    <xf numFmtId="0" fontId="138" fillId="37" borderId="0" xfId="0" applyFont="1" applyFill="1" applyProtection="1">
      <protection hidden="1"/>
    </xf>
    <xf numFmtId="0" fontId="3" fillId="37" borderId="0" xfId="0" applyFont="1" applyFill="1" applyProtection="1">
      <protection hidden="1"/>
    </xf>
    <xf numFmtId="0" fontId="3" fillId="0" borderId="0" xfId="0" applyFont="1"/>
    <xf numFmtId="0" fontId="140" fillId="37" borderId="0" xfId="0" applyFont="1" applyFill="1" applyAlignment="1" applyProtection="1">
      <alignment horizontal="right"/>
      <protection hidden="1"/>
    </xf>
    <xf numFmtId="0" fontId="140" fillId="0" borderId="0" xfId="0" applyFont="1" applyAlignment="1">
      <alignment horizontal="right"/>
    </xf>
    <xf numFmtId="0" fontId="140" fillId="37" borderId="5" xfId="0" applyFont="1" applyFill="1" applyBorder="1" applyProtection="1">
      <protection hidden="1"/>
    </xf>
    <xf numFmtId="0" fontId="140" fillId="0" borderId="5" xfId="0" applyFont="1" applyBorder="1"/>
    <xf numFmtId="0" fontId="3" fillId="37" borderId="5" xfId="0" applyFont="1" applyFill="1" applyBorder="1" applyProtection="1">
      <protection hidden="1"/>
    </xf>
    <xf numFmtId="3" fontId="0" fillId="28" borderId="114" xfId="0" applyNumberFormat="1" applyFill="1" applyBorder="1" applyAlignment="1" applyProtection="1">
      <alignment horizontal="right" indent="1"/>
      <protection hidden="1"/>
    </xf>
    <xf numFmtId="3" fontId="0" fillId="28" borderId="28" xfId="0" applyNumberFormat="1" applyFill="1" applyBorder="1" applyAlignment="1" applyProtection="1">
      <alignment horizontal="right" indent="1"/>
      <protection hidden="1"/>
    </xf>
    <xf numFmtId="3" fontId="0" fillId="28" borderId="115" xfId="0" applyNumberFormat="1" applyFill="1" applyBorder="1" applyAlignment="1" applyProtection="1">
      <alignment horizontal="right" indent="1"/>
      <protection hidden="1"/>
    </xf>
    <xf numFmtId="3" fontId="0" fillId="28" borderId="68" xfId="0" applyNumberFormat="1" applyFill="1" applyBorder="1" applyAlignment="1" applyProtection="1">
      <alignment horizontal="right" indent="1"/>
      <protection hidden="1"/>
    </xf>
    <xf numFmtId="3" fontId="0" fillId="28" borderId="26" xfId="0" applyNumberFormat="1" applyFill="1" applyBorder="1" applyAlignment="1" applyProtection="1">
      <alignment horizontal="right" indent="1"/>
      <protection hidden="1"/>
    </xf>
    <xf numFmtId="3" fontId="0" fillId="28" borderId="69" xfId="0" applyNumberFormat="1" applyFill="1" applyBorder="1" applyAlignment="1" applyProtection="1">
      <alignment horizontal="right" indent="1"/>
      <protection hidden="1"/>
    </xf>
    <xf numFmtId="3" fontId="3" fillId="37" borderId="180" xfId="0" applyNumberFormat="1" applyFont="1" applyFill="1" applyBorder="1" applyProtection="1">
      <protection hidden="1"/>
    </xf>
    <xf numFmtId="3" fontId="3" fillId="0" borderId="0" xfId="0" applyNumberFormat="1" applyFont="1"/>
    <xf numFmtId="3" fontId="0" fillId="28" borderId="118" xfId="0" applyNumberFormat="1" applyFill="1" applyBorder="1" applyAlignment="1" applyProtection="1">
      <alignment horizontal="right" indent="1"/>
      <protection hidden="1"/>
    </xf>
    <xf numFmtId="3" fontId="0" fillId="28" borderId="32" xfId="0" applyNumberFormat="1" applyFill="1" applyBorder="1" applyAlignment="1" applyProtection="1">
      <alignment horizontal="right" indent="1"/>
      <protection hidden="1"/>
    </xf>
    <xf numFmtId="3" fontId="0" fillId="28" borderId="119" xfId="0" applyNumberFormat="1" applyFill="1" applyBorder="1" applyAlignment="1" applyProtection="1">
      <alignment horizontal="right" indent="1"/>
      <protection hidden="1"/>
    </xf>
    <xf numFmtId="0" fontId="8" fillId="0" borderId="1" xfId="0" applyFont="1" applyBorder="1" applyAlignment="1">
      <alignment horizontal="center"/>
    </xf>
    <xf numFmtId="0" fontId="8" fillId="37" borderId="0" xfId="0" applyFont="1" applyFill="1" applyAlignment="1" applyProtection="1">
      <alignment horizontal="center" wrapText="1"/>
      <protection hidden="1"/>
    </xf>
    <xf numFmtId="0" fontId="3" fillId="37" borderId="0" xfId="0" applyFont="1" applyFill="1" applyAlignment="1" applyProtection="1">
      <alignment horizontal="left"/>
      <protection hidden="1"/>
    </xf>
    <xf numFmtId="0" fontId="0" fillId="0" borderId="0" xfId="0" applyAlignment="1">
      <alignment horizontal="left"/>
    </xf>
    <xf numFmtId="0" fontId="0" fillId="0" borderId="21" xfId="0" applyBorder="1" applyAlignment="1">
      <alignment horizontal="left"/>
    </xf>
    <xf numFmtId="0" fontId="1" fillId="37" borderId="0" xfId="0" applyFont="1" applyFill="1" applyAlignment="1" applyProtection="1">
      <alignment horizontal="left"/>
      <protection hidden="1"/>
    </xf>
    <xf numFmtId="0" fontId="3" fillId="37" borderId="8" xfId="0" applyFont="1" applyFill="1" applyBorder="1" applyAlignment="1" applyProtection="1">
      <alignment horizontal="center"/>
      <protection hidden="1"/>
    </xf>
    <xf numFmtId="0" fontId="0" fillId="0" borderId="5" xfId="0" applyBorder="1"/>
    <xf numFmtId="0" fontId="3" fillId="37" borderId="180" xfId="0" applyFont="1" applyFill="1" applyBorder="1" applyAlignment="1" applyProtection="1">
      <alignment horizontal="center" wrapText="1"/>
      <protection hidden="1"/>
    </xf>
    <xf numFmtId="0" fontId="3" fillId="37" borderId="0" xfId="0" applyFont="1" applyFill="1" applyAlignment="1" applyProtection="1">
      <alignment horizontal="center" wrapText="1"/>
      <protection hidden="1"/>
    </xf>
    <xf numFmtId="0" fontId="3" fillId="37" borderId="25" xfId="0" applyFont="1" applyFill="1" applyBorder="1" applyAlignment="1" applyProtection="1">
      <alignment horizontal="center" wrapText="1"/>
      <protection hidden="1"/>
    </xf>
    <xf numFmtId="0" fontId="3" fillId="37" borderId="0" xfId="0" applyFont="1" applyFill="1" applyAlignment="1" applyProtection="1">
      <alignment horizontal="center"/>
      <protection hidden="1"/>
    </xf>
    <xf numFmtId="38" fontId="6" fillId="2" borderId="0" xfId="0" applyNumberFormat="1" applyFont="1" applyFill="1" applyAlignment="1" applyProtection="1">
      <alignment horizontal="right"/>
      <protection hidden="1"/>
    </xf>
    <xf numFmtId="0" fontId="0" fillId="2" borderId="0" xfId="0" applyFill="1" applyAlignment="1" applyProtection="1">
      <alignment horizontal="right"/>
      <protection hidden="1"/>
    </xf>
    <xf numFmtId="0" fontId="3" fillId="2" borderId="8" xfId="0" applyFont="1" applyFill="1" applyBorder="1" applyAlignment="1" applyProtection="1">
      <alignment horizontal="center" vertical="center" wrapText="1"/>
      <protection hidden="1"/>
    </xf>
    <xf numFmtId="0" fontId="3" fillId="0" borderId="20" xfId="0" applyFont="1" applyBorder="1" applyAlignment="1">
      <alignment horizontal="center" vertical="center" wrapText="1"/>
    </xf>
    <xf numFmtId="0" fontId="3" fillId="0" borderId="0" xfId="0" applyFont="1" applyAlignment="1">
      <alignment horizontal="center" vertical="center" wrapText="1"/>
    </xf>
    <xf numFmtId="0" fontId="3" fillId="0" borderId="2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3" xfId="0" applyFont="1" applyBorder="1" applyAlignment="1">
      <alignment horizontal="center" vertical="center" wrapText="1"/>
    </xf>
    <xf numFmtId="0" fontId="1" fillId="2" borderId="0" xfId="0" applyFont="1" applyFill="1" applyAlignment="1" applyProtection="1">
      <alignment horizontal="center" wrapText="1"/>
      <protection hidden="1"/>
    </xf>
    <xf numFmtId="0" fontId="254" fillId="2" borderId="0" xfId="0" applyFont="1" applyFill="1" applyAlignment="1" applyProtection="1">
      <alignment horizontal="center" vertical="center" wrapText="1"/>
      <protection hidden="1"/>
    </xf>
    <xf numFmtId="0" fontId="0" fillId="16" borderId="24" xfId="0" applyFill="1" applyBorder="1" applyAlignment="1" applyProtection="1">
      <alignment horizontal="center"/>
      <protection hidden="1"/>
    </xf>
    <xf numFmtId="0" fontId="0" fillId="16" borderId="8" xfId="0" applyFill="1" applyBorder="1" applyAlignment="1">
      <alignment horizontal="center"/>
    </xf>
    <xf numFmtId="0" fontId="0" fillId="16" borderId="6" xfId="0" applyFill="1" applyBorder="1" applyAlignment="1" applyProtection="1">
      <alignment horizontal="center"/>
      <protection hidden="1"/>
    </xf>
    <xf numFmtId="0" fontId="138" fillId="16" borderId="24" xfId="0" applyFont="1" applyFill="1" applyBorder="1" applyProtection="1">
      <protection hidden="1"/>
    </xf>
    <xf numFmtId="0" fontId="138" fillId="0" borderId="8" xfId="0" applyFont="1" applyBorder="1"/>
    <xf numFmtId="0" fontId="138" fillId="2" borderId="0" xfId="4" applyFont="1" applyFill="1" applyAlignment="1" applyProtection="1">
      <alignment horizontal="center" vertical="center"/>
      <protection hidden="1"/>
    </xf>
    <xf numFmtId="37" fontId="3" fillId="2" borderId="38" xfId="4" applyNumberFormat="1" applyFill="1" applyBorder="1" applyAlignment="1" applyProtection="1">
      <alignment horizontal="center" vertical="center"/>
      <protection locked="0"/>
    </xf>
    <xf numFmtId="37" fontId="0" fillId="0" borderId="39" xfId="0" applyNumberFormat="1" applyBorder="1" applyAlignment="1">
      <alignment horizontal="center" vertical="center"/>
    </xf>
    <xf numFmtId="49" fontId="1" fillId="2" borderId="16" xfId="4" quotePrefix="1" applyNumberFormat="1" applyFont="1" applyFill="1" applyBorder="1" applyAlignment="1" applyProtection="1">
      <alignment horizontal="center" vertical="center"/>
      <protection hidden="1"/>
    </xf>
    <xf numFmtId="49" fontId="4" fillId="2" borderId="11" xfId="4" applyNumberFormat="1" applyFont="1" applyFill="1" applyBorder="1" applyAlignment="1" applyProtection="1">
      <alignment horizontal="center" vertical="center"/>
      <protection hidden="1"/>
    </xf>
    <xf numFmtId="37" fontId="3" fillId="26" borderId="16" xfId="4" applyNumberFormat="1" applyFill="1" applyBorder="1" applyAlignment="1" applyProtection="1">
      <alignment horizontal="right" vertical="center"/>
      <protection hidden="1"/>
    </xf>
    <xf numFmtId="37" fontId="0" fillId="0" borderId="11" xfId="0" applyNumberFormat="1" applyBorder="1" applyAlignment="1">
      <alignment vertical="center"/>
    </xf>
    <xf numFmtId="0" fontId="3" fillId="2" borderId="0" xfId="4" applyFill="1" applyAlignment="1" applyProtection="1">
      <alignment horizontal="left" vertical="center"/>
      <protection hidden="1"/>
    </xf>
    <xf numFmtId="49" fontId="85" fillId="13" borderId="0" xfId="4" applyNumberFormat="1" applyFont="1" applyFill="1" applyAlignment="1" applyProtection="1">
      <alignment horizontal="center" vertical="center"/>
      <protection hidden="1"/>
    </xf>
    <xf numFmtId="0" fontId="98" fillId="13" borderId="0" xfId="4" applyFont="1" applyFill="1" applyAlignment="1">
      <alignment horizontal="center" vertical="center"/>
    </xf>
    <xf numFmtId="0" fontId="23" fillId="2" borderId="0" xfId="4" applyFont="1" applyFill="1" applyAlignment="1" applyProtection="1">
      <alignment horizontal="center" vertical="center"/>
      <protection hidden="1"/>
    </xf>
    <xf numFmtId="0" fontId="23" fillId="0" borderId="0" xfId="0" applyFont="1" applyAlignment="1">
      <alignment horizontal="center" vertical="center"/>
    </xf>
    <xf numFmtId="0" fontId="10" fillId="2" borderId="14" xfId="4" applyFont="1" applyFill="1" applyBorder="1" applyAlignment="1" applyProtection="1">
      <alignment horizontal="left" vertical="top" wrapText="1"/>
      <protection hidden="1"/>
    </xf>
    <xf numFmtId="0" fontId="0" fillId="0" borderId="14" xfId="0" applyBorder="1" applyAlignment="1">
      <alignment vertical="top" wrapText="1"/>
    </xf>
    <xf numFmtId="1" fontId="1" fillId="2" borderId="1" xfId="4" applyNumberFormat="1" applyFont="1" applyFill="1" applyBorder="1" applyAlignment="1" applyProtection="1">
      <alignment horizontal="center"/>
      <protection hidden="1"/>
    </xf>
    <xf numFmtId="1" fontId="1" fillId="0" borderId="1" xfId="0" applyNumberFormat="1" applyFont="1" applyBorder="1" applyAlignment="1">
      <alignment horizontal="center"/>
    </xf>
    <xf numFmtId="0" fontId="3" fillId="2" borderId="1" xfId="4" applyFill="1" applyBorder="1" applyAlignment="1" applyProtection="1">
      <alignment horizontal="left" wrapText="1"/>
      <protection hidden="1"/>
    </xf>
    <xf numFmtId="0" fontId="3" fillId="0" borderId="1" xfId="0" applyFont="1" applyBorder="1" applyAlignment="1">
      <alignment wrapText="1"/>
    </xf>
    <xf numFmtId="0" fontId="138" fillId="2" borderId="0" xfId="4" applyFont="1" applyFill="1" applyAlignment="1" applyProtection="1">
      <alignment vertical="center"/>
      <protection hidden="1"/>
    </xf>
    <xf numFmtId="0" fontId="138" fillId="0" borderId="0" xfId="0" applyFont="1" applyAlignment="1">
      <alignment vertical="center"/>
    </xf>
    <xf numFmtId="0" fontId="138" fillId="16" borderId="0" xfId="0" applyFont="1" applyFill="1" applyAlignment="1">
      <alignment horizontal="center" vertical="center"/>
    </xf>
    <xf numFmtId="0" fontId="10" fillId="2" borderId="17" xfId="4" applyFont="1" applyFill="1" applyBorder="1" applyAlignment="1" applyProtection="1">
      <alignment horizontal="left" vertical="center" wrapText="1"/>
      <protection hidden="1"/>
    </xf>
    <xf numFmtId="0" fontId="0" fillId="0" borderId="17" xfId="0" applyBorder="1" applyAlignment="1">
      <alignment vertical="center" wrapText="1"/>
    </xf>
    <xf numFmtId="0" fontId="10" fillId="2" borderId="14" xfId="4" applyFont="1" applyFill="1" applyBorder="1" applyAlignment="1" applyProtection="1">
      <alignment horizontal="left" vertical="center" wrapText="1"/>
      <protection hidden="1"/>
    </xf>
    <xf numFmtId="0" fontId="1" fillId="0" borderId="14" xfId="0" applyFont="1" applyBorder="1" applyAlignment="1">
      <alignment vertical="center" wrapText="1"/>
    </xf>
    <xf numFmtId="49" fontId="1" fillId="2" borderId="16" xfId="4" applyNumberFormat="1" applyFont="1" applyFill="1" applyBorder="1" applyAlignment="1" applyProtection="1">
      <alignment horizontal="center" vertical="center"/>
      <protection hidden="1"/>
    </xf>
    <xf numFmtId="37" fontId="0" fillId="17" borderId="26" xfId="0" applyNumberFormat="1" applyFill="1" applyBorder="1" applyAlignment="1" applyProtection="1">
      <alignment horizontal="right"/>
      <protection locked="0"/>
    </xf>
    <xf numFmtId="0" fontId="3" fillId="16" borderId="24" xfId="0" applyFont="1" applyFill="1" applyBorder="1" applyAlignment="1" applyProtection="1">
      <alignment horizontal="center"/>
      <protection hidden="1"/>
    </xf>
    <xf numFmtId="0" fontId="3" fillId="16" borderId="20" xfId="0" applyFont="1" applyFill="1" applyBorder="1" applyAlignment="1" applyProtection="1">
      <alignment horizontal="center"/>
      <protection hidden="1"/>
    </xf>
    <xf numFmtId="1" fontId="34" fillId="2" borderId="40" xfId="0" applyNumberFormat="1" applyFont="1" applyFill="1" applyBorder="1" applyProtection="1">
      <protection locked="0"/>
    </xf>
    <xf numFmtId="0" fontId="0" fillId="0" borderId="26" xfId="0" applyBorder="1" applyProtection="1">
      <protection locked="0"/>
    </xf>
    <xf numFmtId="0" fontId="0" fillId="0" borderId="55" xfId="0" applyBorder="1" applyProtection="1">
      <protection locked="0"/>
    </xf>
    <xf numFmtId="39" fontId="3" fillId="25" borderId="24" xfId="0" applyNumberFormat="1" applyFont="1" applyFill="1" applyBorder="1" applyAlignment="1" applyProtection="1">
      <alignment horizontal="center"/>
      <protection locked="0"/>
    </xf>
    <xf numFmtId="39" fontId="3" fillId="25" borderId="20" xfId="0" applyNumberFormat="1" applyFont="1" applyFill="1" applyBorder="1" applyAlignment="1" applyProtection="1">
      <alignment horizontal="center"/>
      <protection locked="0"/>
    </xf>
    <xf numFmtId="0" fontId="198" fillId="2" borderId="0" xfId="0" applyFont="1" applyFill="1" applyAlignment="1" applyProtection="1">
      <alignment horizontal="right"/>
      <protection hidden="1"/>
    </xf>
    <xf numFmtId="0" fontId="198" fillId="0" borderId="0" xfId="0" applyFont="1" applyAlignment="1" applyProtection="1">
      <alignment horizontal="right"/>
      <protection hidden="1"/>
    </xf>
    <xf numFmtId="37" fontId="0" fillId="17" borderId="1" xfId="0" applyNumberFormat="1" applyFill="1" applyBorder="1" applyAlignment="1" applyProtection="1">
      <alignment horizontal="right"/>
      <protection locked="0"/>
    </xf>
    <xf numFmtId="0" fontId="90" fillId="2" borderId="0" xfId="0" applyFont="1" applyFill="1" applyAlignment="1" applyProtection="1">
      <alignment horizontal="right"/>
      <protection hidden="1"/>
    </xf>
    <xf numFmtId="0" fontId="90" fillId="0" borderId="0" xfId="0" applyFont="1" applyAlignment="1" applyProtection="1">
      <alignment horizontal="right"/>
      <protection hidden="1"/>
    </xf>
    <xf numFmtId="0" fontId="161" fillId="2" borderId="24" xfId="0" applyFont="1" applyFill="1" applyBorder="1" applyAlignment="1" applyProtection="1">
      <alignment horizontal="left" vertical="top" wrapText="1"/>
      <protection hidden="1"/>
    </xf>
    <xf numFmtId="0" fontId="161" fillId="2" borderId="8" xfId="0" applyFont="1" applyFill="1" applyBorder="1" applyAlignment="1" applyProtection="1">
      <alignment horizontal="left" vertical="top" wrapText="1"/>
      <protection hidden="1"/>
    </xf>
    <xf numFmtId="0" fontId="161" fillId="2" borderId="20" xfId="0" applyFont="1" applyFill="1" applyBorder="1" applyAlignment="1" applyProtection="1">
      <alignment horizontal="left" vertical="top" wrapText="1"/>
      <protection hidden="1"/>
    </xf>
    <xf numFmtId="0" fontId="161" fillId="2" borderId="6" xfId="0" applyFont="1" applyFill="1" applyBorder="1" applyAlignment="1" applyProtection="1">
      <alignment horizontal="left" vertical="top" wrapText="1"/>
      <protection hidden="1"/>
    </xf>
    <xf numFmtId="0" fontId="161" fillId="2" borderId="0" xfId="0" applyFont="1" applyFill="1" applyAlignment="1" applyProtection="1">
      <alignment horizontal="left" vertical="top" wrapText="1"/>
      <protection hidden="1"/>
    </xf>
    <xf numFmtId="0" fontId="161" fillId="2" borderId="21" xfId="0" applyFont="1" applyFill="1" applyBorder="1" applyAlignment="1" applyProtection="1">
      <alignment horizontal="left" vertical="top" wrapText="1"/>
      <protection hidden="1"/>
    </xf>
    <xf numFmtId="0" fontId="161" fillId="2" borderId="22" xfId="0" applyFont="1" applyFill="1" applyBorder="1" applyAlignment="1" applyProtection="1">
      <alignment horizontal="left" vertical="top" wrapText="1"/>
      <protection hidden="1"/>
    </xf>
    <xf numFmtId="0" fontId="161" fillId="2" borderId="5" xfId="0" applyFont="1" applyFill="1" applyBorder="1" applyAlignment="1" applyProtection="1">
      <alignment horizontal="left" vertical="top" wrapText="1"/>
      <protection hidden="1"/>
    </xf>
    <xf numFmtId="0" fontId="161" fillId="2" borderId="23" xfId="0" applyFont="1" applyFill="1" applyBorder="1" applyAlignment="1" applyProtection="1">
      <alignment horizontal="left" vertical="top" wrapText="1"/>
      <protection hidden="1"/>
    </xf>
    <xf numFmtId="3" fontId="0" fillId="17" borderId="1" xfId="0" applyNumberFormat="1" applyFill="1" applyBorder="1" applyAlignment="1" applyProtection="1">
      <alignment horizontal="right"/>
      <protection locked="0"/>
    </xf>
    <xf numFmtId="0" fontId="0" fillId="17" borderId="1" xfId="0" applyFill="1" applyBorder="1" applyAlignment="1" applyProtection="1">
      <alignment horizontal="right"/>
      <protection locked="0"/>
    </xf>
    <xf numFmtId="0" fontId="1" fillId="2" borderId="0" xfId="0" applyFont="1" applyFill="1" applyAlignment="1" applyProtection="1">
      <alignment horizontal="left"/>
      <protection hidden="1"/>
    </xf>
    <xf numFmtId="0" fontId="0" fillId="0" borderId="0" xfId="0" applyAlignment="1" applyProtection="1">
      <alignment horizontal="left"/>
      <protection hidden="1"/>
    </xf>
    <xf numFmtId="40" fontId="138" fillId="2" borderId="0" xfId="0" applyNumberFormat="1" applyFont="1" applyFill="1" applyProtection="1">
      <protection hidden="1"/>
    </xf>
    <xf numFmtId="38" fontId="138" fillId="2" borderId="9" xfId="0" applyNumberFormat="1" applyFont="1" applyFill="1" applyBorder="1" applyProtection="1">
      <protection hidden="1"/>
    </xf>
    <xf numFmtId="40" fontId="138" fillId="2" borderId="9" xfId="0" applyNumberFormat="1" applyFont="1" applyFill="1" applyBorder="1" applyAlignment="1" applyProtection="1">
      <alignment horizontal="right"/>
      <protection hidden="1"/>
    </xf>
    <xf numFmtId="0" fontId="138" fillId="0" borderId="9" xfId="0" applyFont="1" applyBorder="1" applyAlignment="1">
      <alignment horizontal="right"/>
    </xf>
    <xf numFmtId="0" fontId="77" fillId="2" borderId="9" xfId="0" applyFont="1" applyFill="1" applyBorder="1" applyProtection="1">
      <protection hidden="1"/>
    </xf>
    <xf numFmtId="0" fontId="0" fillId="0" borderId="9" xfId="0" applyBorder="1"/>
    <xf numFmtId="37" fontId="0" fillId="28" borderId="1" xfId="0" applyNumberFormat="1" applyFill="1" applyBorder="1" applyAlignment="1" applyProtection="1">
      <alignment horizontal="right"/>
      <protection hidden="1"/>
    </xf>
    <xf numFmtId="37" fontId="0" fillId="28" borderId="1" xfId="0" applyNumberFormat="1" applyFill="1" applyBorder="1" applyAlignment="1">
      <alignment horizontal="right"/>
    </xf>
    <xf numFmtId="0" fontId="138" fillId="0" borderId="21" xfId="0" applyFont="1" applyBorder="1"/>
    <xf numFmtId="37" fontId="0" fillId="17" borderId="1" xfId="0" applyNumberFormat="1" applyFill="1" applyBorder="1" applyProtection="1">
      <protection locked="0"/>
    </xf>
    <xf numFmtId="37" fontId="0" fillId="28" borderId="40" xfId="0" applyNumberFormat="1" applyFill="1" applyBorder="1" applyProtection="1">
      <protection hidden="1"/>
    </xf>
    <xf numFmtId="37" fontId="0" fillId="28" borderId="26" xfId="0" applyNumberFormat="1" applyFill="1" applyBorder="1" applyProtection="1">
      <protection hidden="1"/>
    </xf>
    <xf numFmtId="37" fontId="0" fillId="28" borderId="55" xfId="0" applyNumberFormat="1" applyFill="1" applyBorder="1" applyProtection="1">
      <protection hidden="1"/>
    </xf>
    <xf numFmtId="37" fontId="0" fillId="0" borderId="1" xfId="0" applyNumberFormat="1" applyBorder="1"/>
    <xf numFmtId="0" fontId="23" fillId="2" borderId="0" xfId="0" applyFont="1" applyFill="1" applyProtection="1">
      <protection hidden="1"/>
    </xf>
    <xf numFmtId="3" fontId="60" fillId="2" borderId="0" xfId="0" applyNumberFormat="1" applyFont="1" applyFill="1" applyProtection="1">
      <protection hidden="1"/>
    </xf>
    <xf numFmtId="3" fontId="23" fillId="0" borderId="0" xfId="0" applyNumberFormat="1" applyFont="1"/>
    <xf numFmtId="37" fontId="0" fillId="28" borderId="1" xfId="0" applyNumberFormat="1" applyFill="1" applyBorder="1"/>
    <xf numFmtId="0" fontId="8"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8" fillId="2" borderId="27" xfId="0" applyFont="1" applyFill="1" applyBorder="1" applyAlignment="1" applyProtection="1">
      <alignment horizontal="center"/>
      <protection hidden="1"/>
    </xf>
    <xf numFmtId="0" fontId="0" fillId="0" borderId="1" xfId="0" applyBorder="1" applyAlignment="1">
      <alignment horizontal="center"/>
    </xf>
    <xf numFmtId="166" fontId="13" fillId="29" borderId="10" xfId="0" applyNumberFormat="1" applyFont="1" applyFill="1" applyBorder="1" applyAlignment="1" applyProtection="1">
      <alignment horizontal="center"/>
      <protection hidden="1"/>
    </xf>
    <xf numFmtId="0" fontId="14" fillId="26"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1" fillId="0" borderId="0" xfId="0" applyFont="1"/>
    <xf numFmtId="1" fontId="96" fillId="3" borderId="85" xfId="0" applyNumberFormat="1" applyFont="1" applyFill="1" applyBorder="1" applyAlignment="1" applyProtection="1">
      <alignment horizontal="center" vertical="center" wrapText="1"/>
      <protection hidden="1"/>
    </xf>
    <xf numFmtId="0" fontId="0" fillId="0" borderId="9" xfId="0" applyBorder="1" applyAlignment="1">
      <alignment horizontal="center" vertical="center" wrapText="1"/>
    </xf>
    <xf numFmtId="0" fontId="11" fillId="3" borderId="6"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21" xfId="0" applyFont="1" applyFill="1" applyBorder="1" applyAlignment="1" applyProtection="1">
      <alignment horizontal="center" vertical="center"/>
      <protection hidden="1"/>
    </xf>
    <xf numFmtId="0" fontId="6" fillId="3" borderId="6" xfId="0" applyFont="1" applyFill="1" applyBorder="1" applyAlignment="1" applyProtection="1">
      <alignment horizontal="center" vertical="center"/>
      <protection hidden="1"/>
    </xf>
    <xf numFmtId="0" fontId="6" fillId="3" borderId="0" xfId="0" applyFont="1" applyFill="1" applyAlignment="1" applyProtection="1">
      <alignment horizontal="center" vertical="center"/>
      <protection hidden="1"/>
    </xf>
    <xf numFmtId="0" fontId="6" fillId="3" borderId="21" xfId="0" applyFont="1" applyFill="1" applyBorder="1" applyAlignment="1" applyProtection="1">
      <alignment horizontal="center" vertical="center"/>
      <protection hidden="1"/>
    </xf>
    <xf numFmtId="0" fontId="8" fillId="3" borderId="22" xfId="0" applyFont="1" applyFill="1" applyBorder="1" applyAlignment="1" applyProtection="1">
      <alignment horizontal="center" vertical="center" wrapText="1"/>
      <protection hidden="1"/>
    </xf>
    <xf numFmtId="0" fontId="8" fillId="3" borderId="5" xfId="0" applyFont="1" applyFill="1" applyBorder="1" applyAlignment="1" applyProtection="1">
      <alignment horizontal="center" vertical="center" wrapText="1"/>
      <protection hidden="1"/>
    </xf>
    <xf numFmtId="0" fontId="8" fillId="3" borderId="23" xfId="0" applyFont="1" applyFill="1" applyBorder="1" applyAlignment="1" applyProtection="1">
      <alignment horizontal="center" vertical="center" wrapText="1"/>
      <protection hidden="1"/>
    </xf>
    <xf numFmtId="0" fontId="13" fillId="29" borderId="1" xfId="0" quotePrefix="1" applyFont="1" applyFill="1" applyBorder="1" applyAlignment="1" applyProtection="1">
      <alignment horizontal="left"/>
      <protection hidden="1"/>
    </xf>
    <xf numFmtId="0" fontId="13" fillId="29" borderId="12" xfId="0" quotePrefix="1" applyFont="1" applyFill="1" applyBorder="1" applyAlignment="1" applyProtection="1">
      <alignment horizontal="left"/>
      <protection hidden="1"/>
    </xf>
    <xf numFmtId="37" fontId="7" fillId="29" borderId="10" xfId="0" applyNumberFormat="1" applyFont="1" applyFill="1" applyBorder="1" applyAlignment="1" applyProtection="1">
      <alignment horizontal="right"/>
      <protection hidden="1"/>
    </xf>
    <xf numFmtId="37" fontId="7" fillId="29" borderId="12" xfId="0" applyNumberFormat="1" applyFont="1" applyFill="1" applyBorder="1" applyAlignment="1" applyProtection="1">
      <alignment horizontal="right"/>
      <protection hidden="1"/>
    </xf>
    <xf numFmtId="0" fontId="15" fillId="21" borderId="4" xfId="0" applyFont="1" applyFill="1" applyBorder="1" applyAlignment="1" applyProtection="1">
      <alignment horizontal="left"/>
      <protection locked="0"/>
    </xf>
    <xf numFmtId="0" fontId="15" fillId="21" borderId="167" xfId="0" applyFont="1" applyFill="1" applyBorder="1" applyAlignment="1" applyProtection="1">
      <alignment horizontal="left"/>
      <protection locked="0"/>
    </xf>
    <xf numFmtId="0" fontId="11" fillId="21" borderId="4" xfId="0" applyFont="1" applyFill="1" applyBorder="1" applyAlignment="1" applyProtection="1">
      <alignment horizontal="left"/>
      <protection locked="0"/>
    </xf>
    <xf numFmtId="0" fontId="8" fillId="16" borderId="22" xfId="0" applyFont="1" applyFill="1" applyBorder="1" applyAlignment="1" applyProtection="1">
      <alignment horizontal="left" vertical="top" wrapText="1" indent="1"/>
      <protection hidden="1"/>
    </xf>
    <xf numFmtId="0" fontId="0" fillId="16" borderId="5" xfId="0" applyFill="1" applyBorder="1" applyAlignment="1" applyProtection="1">
      <alignment horizontal="left" wrapText="1" indent="1"/>
      <protection hidden="1"/>
    </xf>
    <xf numFmtId="0" fontId="75" fillId="0" borderId="63" xfId="2" applyBorder="1" applyAlignment="1" applyProtection="1">
      <alignment horizontal="center"/>
    </xf>
    <xf numFmtId="0" fontId="75" fillId="0" borderId="64" xfId="2" applyBorder="1" applyAlignment="1" applyProtection="1">
      <alignment horizontal="center"/>
    </xf>
    <xf numFmtId="0" fontId="8" fillId="21" borderId="167" xfId="0" applyFont="1" applyFill="1" applyBorder="1" applyAlignment="1" applyProtection="1">
      <alignment horizontal="left"/>
      <protection locked="0"/>
    </xf>
    <xf numFmtId="0" fontId="8" fillId="21" borderId="89" xfId="0" applyFont="1" applyFill="1" applyBorder="1" applyAlignment="1" applyProtection="1">
      <alignment horizontal="left"/>
      <protection locked="0"/>
    </xf>
    <xf numFmtId="0" fontId="8" fillId="21" borderId="94" xfId="0" applyFont="1" applyFill="1" applyBorder="1" applyAlignment="1" applyProtection="1">
      <alignment horizontal="left"/>
      <protection locked="0"/>
    </xf>
    <xf numFmtId="0" fontId="8" fillId="21" borderId="95" xfId="0" applyFont="1" applyFill="1" applyBorder="1" applyAlignment="1" applyProtection="1">
      <alignment horizontal="left"/>
      <protection locked="0"/>
    </xf>
    <xf numFmtId="0" fontId="8" fillId="21" borderId="92" xfId="0" applyFont="1" applyFill="1" applyBorder="1" applyAlignment="1" applyProtection="1">
      <alignment horizontal="left"/>
      <protection locked="0"/>
    </xf>
    <xf numFmtId="0" fontId="24" fillId="16" borderId="8" xfId="0" applyFont="1" applyFill="1" applyBorder="1" applyAlignment="1" applyProtection="1">
      <alignment horizontal="left"/>
      <protection hidden="1"/>
    </xf>
    <xf numFmtId="0" fontId="24" fillId="16" borderId="0" xfId="0" applyFont="1" applyFill="1" applyAlignment="1" applyProtection="1">
      <alignment horizontal="left"/>
      <protection hidden="1"/>
    </xf>
    <xf numFmtId="0" fontId="217" fillId="21" borderId="4" xfId="0" applyFont="1" applyFill="1" applyBorder="1" applyAlignment="1" applyProtection="1">
      <alignment horizontal="left"/>
      <protection locked="0" hidden="1"/>
    </xf>
    <xf numFmtId="0" fontId="217" fillId="17" borderId="4" xfId="0" applyFont="1" applyFill="1" applyBorder="1" applyAlignment="1" applyProtection="1">
      <alignment horizontal="left"/>
      <protection locked="0" hidden="1"/>
    </xf>
    <xf numFmtId="0" fontId="217" fillId="17" borderId="89" xfId="0" applyFont="1" applyFill="1" applyBorder="1" applyAlignment="1" applyProtection="1">
      <alignment horizontal="left"/>
      <protection locked="0" hidden="1"/>
    </xf>
    <xf numFmtId="4" fontId="1" fillId="3" borderId="10" xfId="0" applyNumberFormat="1" applyFont="1" applyFill="1" applyBorder="1" applyAlignment="1" applyProtection="1">
      <alignment horizontal="center"/>
      <protection hidden="1"/>
    </xf>
    <xf numFmtId="4" fontId="1" fillId="3" borderId="1" xfId="0" applyNumberFormat="1" applyFont="1" applyFill="1" applyBorder="1" applyAlignment="1" applyProtection="1">
      <alignment horizontal="center"/>
      <protection hidden="1"/>
    </xf>
    <xf numFmtId="0" fontId="1" fillId="0" borderId="1" xfId="0" applyFont="1" applyBorder="1" applyAlignment="1" applyProtection="1">
      <alignment horizontal="center"/>
      <protection hidden="1"/>
    </xf>
    <xf numFmtId="0" fontId="21" fillId="2" borderId="6" xfId="0" applyFont="1" applyFill="1" applyBorder="1" applyAlignment="1" applyProtection="1">
      <alignment horizontal="center" vertical="center"/>
      <protection hidden="1"/>
    </xf>
    <xf numFmtId="0" fontId="21" fillId="2" borderId="0" xfId="0" applyFont="1" applyFill="1" applyAlignment="1" applyProtection="1">
      <alignment horizontal="center" vertical="center"/>
      <protection hidden="1"/>
    </xf>
    <xf numFmtId="0" fontId="21" fillId="2" borderId="21" xfId="0" applyFont="1" applyFill="1" applyBorder="1" applyAlignment="1" applyProtection="1">
      <alignment horizontal="center" vertical="center"/>
      <protection hidden="1"/>
    </xf>
    <xf numFmtId="39" fontId="3" fillId="21" borderId="40" xfId="0" applyNumberFormat="1" applyFont="1" applyFill="1" applyBorder="1" applyAlignment="1" applyProtection="1">
      <alignment horizontal="right"/>
      <protection locked="0" hidden="1"/>
    </xf>
    <xf numFmtId="39" fontId="3" fillId="21" borderId="26" xfId="0" applyNumberFormat="1" applyFont="1" applyFill="1" applyBorder="1" applyAlignment="1" applyProtection="1">
      <alignment horizontal="right"/>
      <protection locked="0" hidden="1"/>
    </xf>
    <xf numFmtId="39" fontId="3" fillId="17" borderId="26" xfId="0" applyNumberFormat="1" applyFont="1" applyFill="1" applyBorder="1" applyAlignment="1" applyProtection="1">
      <alignment horizontal="right"/>
      <protection locked="0" hidden="1"/>
    </xf>
    <xf numFmtId="0" fontId="11" fillId="3" borderId="6"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11" fillId="3" borderId="21" xfId="0" applyFont="1" applyFill="1" applyBorder="1" applyAlignment="1" applyProtection="1">
      <alignment horizontal="center"/>
      <protection hidden="1"/>
    </xf>
    <xf numFmtId="0" fontId="17" fillId="3" borderId="57" xfId="0" applyFont="1" applyFill="1" applyBorder="1" applyAlignment="1" applyProtection="1">
      <alignment horizontal="left"/>
      <protection hidden="1"/>
    </xf>
    <xf numFmtId="0" fontId="17" fillId="0" borderId="8" xfId="0" applyFont="1" applyBorder="1" applyAlignment="1">
      <alignment horizontal="left"/>
    </xf>
    <xf numFmtId="166" fontId="10" fillId="27" borderId="10" xfId="0" applyNumberFormat="1" applyFont="1" applyFill="1" applyBorder="1" applyAlignment="1" applyProtection="1">
      <alignment horizontal="center"/>
      <protection hidden="1"/>
    </xf>
    <xf numFmtId="0" fontId="14" fillId="28" borderId="1" xfId="0" applyFont="1" applyFill="1" applyBorder="1" applyAlignment="1" applyProtection="1">
      <alignment horizontal="center"/>
      <protection hidden="1"/>
    </xf>
    <xf numFmtId="4" fontId="1" fillId="3" borderId="40" xfId="0" applyNumberFormat="1" applyFont="1" applyFill="1" applyBorder="1" applyAlignment="1" applyProtection="1">
      <alignment horizontal="center"/>
      <protection hidden="1"/>
    </xf>
    <xf numFmtId="4" fontId="1" fillId="3" borderId="26" xfId="0" applyNumberFormat="1" applyFont="1" applyFill="1" applyBorder="1" applyAlignment="1" applyProtection="1">
      <alignment horizontal="center"/>
      <protection hidden="1"/>
    </xf>
    <xf numFmtId="4" fontId="1" fillId="3" borderId="31" xfId="0" applyNumberFormat="1" applyFont="1" applyFill="1" applyBorder="1" applyAlignment="1" applyProtection="1">
      <alignment horizontal="center"/>
      <protection hidden="1"/>
    </xf>
    <xf numFmtId="4" fontId="1" fillId="3" borderId="9" xfId="0" applyNumberFormat="1" applyFont="1" applyFill="1" applyBorder="1" applyAlignment="1" applyProtection="1">
      <alignment horizontal="center"/>
      <protection hidden="1"/>
    </xf>
    <xf numFmtId="4" fontId="4" fillId="14" borderId="3" xfId="0" applyNumberFormat="1" applyFont="1" applyFill="1" applyBorder="1" applyAlignment="1" applyProtection="1">
      <alignment horizontal="center" vertical="center"/>
      <protection hidden="1"/>
    </xf>
    <xf numFmtId="0" fontId="0" fillId="0" borderId="0" xfId="0" applyAlignment="1" applyProtection="1">
      <alignment vertical="center"/>
      <protection hidden="1"/>
    </xf>
    <xf numFmtId="0" fontId="0" fillId="0" borderId="25" xfId="0" applyBorder="1" applyAlignment="1" applyProtection="1">
      <alignment vertical="center"/>
      <protection hidden="1"/>
    </xf>
    <xf numFmtId="0" fontId="0" fillId="0" borderId="3" xfId="0" applyBorder="1" applyAlignment="1" applyProtection="1">
      <alignment vertical="center"/>
      <protection hidden="1"/>
    </xf>
    <xf numFmtId="37" fontId="4" fillId="27" borderId="40" xfId="0" applyNumberFormat="1" applyFont="1" applyFill="1" applyBorder="1" applyProtection="1">
      <protection hidden="1"/>
    </xf>
    <xf numFmtId="37" fontId="4" fillId="27" borderId="26" xfId="0" applyNumberFormat="1" applyFont="1" applyFill="1" applyBorder="1" applyProtection="1">
      <protection hidden="1"/>
    </xf>
    <xf numFmtId="4" fontId="150" fillId="21" borderId="31" xfId="0" applyNumberFormat="1" applyFont="1" applyFill="1" applyBorder="1" applyAlignment="1" applyProtection="1">
      <alignment horizontal="center" wrapText="1"/>
      <protection locked="0"/>
    </xf>
    <xf numFmtId="0" fontId="137" fillId="17" borderId="9" xfId="0" applyFont="1" applyFill="1" applyBorder="1" applyAlignment="1" applyProtection="1">
      <alignment horizontal="center" wrapText="1"/>
      <protection locked="0"/>
    </xf>
    <xf numFmtId="0" fontId="75" fillId="11" borderId="63" xfId="2" applyFill="1" applyBorder="1" applyAlignment="1" applyProtection="1">
      <alignment horizontal="center"/>
    </xf>
    <xf numFmtId="0" fontId="75" fillId="11" borderId="64" xfId="2" applyFill="1" applyBorder="1" applyAlignment="1" applyProtection="1">
      <alignment horizontal="center"/>
    </xf>
    <xf numFmtId="0" fontId="4" fillId="3" borderId="0" xfId="0" applyFont="1" applyFill="1" applyAlignment="1" applyProtection="1">
      <alignment horizontal="left" vertical="top"/>
      <protection hidden="1"/>
    </xf>
    <xf numFmtId="0" fontId="3" fillId="0" borderId="0" xfId="0" applyFont="1" applyAlignment="1">
      <alignment vertical="top"/>
    </xf>
    <xf numFmtId="0" fontId="8" fillId="21" borderId="92" xfId="0" applyFont="1" applyFill="1" applyBorder="1" applyAlignment="1" applyProtection="1">
      <alignment horizontal="left" indent="1"/>
      <protection locked="0"/>
    </xf>
    <xf numFmtId="0" fontId="0" fillId="21" borderId="92" xfId="0" applyFill="1" applyBorder="1" applyAlignment="1" applyProtection="1">
      <alignment horizontal="left" indent="1"/>
      <protection locked="0"/>
    </xf>
    <xf numFmtId="0" fontId="0" fillId="21" borderId="96" xfId="0" applyFill="1" applyBorder="1" applyAlignment="1" applyProtection="1">
      <alignment horizontal="left" indent="1"/>
      <protection locked="0"/>
    </xf>
    <xf numFmtId="39" fontId="3" fillId="21" borderId="40" xfId="0" applyNumberFormat="1" applyFont="1" applyFill="1" applyBorder="1" applyAlignment="1" applyProtection="1">
      <alignment horizontal="right"/>
      <protection locked="0"/>
    </xf>
    <xf numFmtId="39" fontId="3" fillId="21" borderId="26" xfId="0" applyNumberFormat="1" applyFont="1" applyFill="1" applyBorder="1" applyAlignment="1" applyProtection="1">
      <alignment horizontal="right"/>
      <protection locked="0"/>
    </xf>
    <xf numFmtId="39" fontId="3" fillId="17" borderId="26" xfId="0" applyNumberFormat="1" applyFont="1" applyFill="1" applyBorder="1" applyAlignment="1" applyProtection="1">
      <alignment horizontal="right"/>
      <protection locked="0"/>
    </xf>
    <xf numFmtId="37" fontId="4" fillId="27" borderId="10" xfId="0" applyNumberFormat="1" applyFont="1" applyFill="1" applyBorder="1" applyProtection="1">
      <protection hidden="1"/>
    </xf>
    <xf numFmtId="37" fontId="4" fillId="27" borderId="1" xfId="0" applyNumberFormat="1" applyFont="1" applyFill="1" applyBorder="1" applyProtection="1">
      <protection hidden="1"/>
    </xf>
    <xf numFmtId="3" fontId="4" fillId="21" borderId="10" xfId="0" applyNumberFormat="1" applyFont="1" applyFill="1" applyBorder="1" applyAlignment="1" applyProtection="1">
      <alignment horizontal="right"/>
      <protection locked="0"/>
    </xf>
    <xf numFmtId="3" fontId="4" fillId="21" borderId="1" xfId="0" applyNumberFormat="1" applyFont="1" applyFill="1" applyBorder="1" applyAlignment="1" applyProtection="1">
      <alignment horizontal="right"/>
      <protection locked="0"/>
    </xf>
    <xf numFmtId="0" fontId="17" fillId="2" borderId="6" xfId="0" applyFont="1" applyFill="1" applyBorder="1" applyAlignment="1" applyProtection="1">
      <alignment horizontal="center" vertical="center"/>
      <protection hidden="1"/>
    </xf>
    <xf numFmtId="0" fontId="17" fillId="2" borderId="0" xfId="0" applyFont="1" applyFill="1" applyAlignment="1" applyProtection="1">
      <alignment horizontal="center" vertical="center"/>
      <protection hidden="1"/>
    </xf>
    <xf numFmtId="0" fontId="17" fillId="2" borderId="27" xfId="0" applyFont="1" applyFill="1" applyBorder="1" applyAlignment="1" applyProtection="1">
      <alignment horizontal="center" vertical="center"/>
      <protection hidden="1"/>
    </xf>
    <xf numFmtId="0" fontId="17" fillId="2" borderId="1" xfId="0" applyFont="1" applyFill="1" applyBorder="1" applyAlignment="1" applyProtection="1">
      <alignment horizontal="center" vertical="center"/>
      <protection hidden="1"/>
    </xf>
    <xf numFmtId="0" fontId="22" fillId="2" borderId="85" xfId="0" applyFont="1" applyFill="1" applyBorder="1" applyAlignment="1" applyProtection="1">
      <alignment horizontal="center" vertical="center"/>
      <protection hidden="1"/>
    </xf>
    <xf numFmtId="0" fontId="3" fillId="0" borderId="9" xfId="0" applyFont="1" applyBorder="1" applyAlignment="1">
      <alignment horizontal="center" vertical="center"/>
    </xf>
    <xf numFmtId="0" fontId="3" fillId="0" borderId="6" xfId="0" applyFont="1" applyBorder="1" applyAlignment="1">
      <alignment horizontal="center" vertical="center"/>
    </xf>
    <xf numFmtId="0" fontId="3" fillId="0" borderId="0" xfId="0" applyFont="1" applyAlignment="1">
      <alignment horizontal="center" vertical="center"/>
    </xf>
    <xf numFmtId="0" fontId="16" fillId="3" borderId="0" xfId="0" applyFont="1" applyFill="1" applyAlignment="1" applyProtection="1">
      <alignment horizontal="left" vertical="top" wrapText="1"/>
      <protection hidden="1"/>
    </xf>
    <xf numFmtId="0" fontId="8" fillId="21" borderId="97" xfId="0" applyFont="1" applyFill="1" applyBorder="1" applyAlignment="1" applyProtection="1">
      <alignment horizontal="left"/>
      <protection locked="0"/>
    </xf>
    <xf numFmtId="0" fontId="19" fillId="17" borderId="97" xfId="0" applyFont="1" applyFill="1" applyBorder="1" applyAlignment="1" applyProtection="1">
      <alignment horizontal="left"/>
      <protection locked="0"/>
    </xf>
    <xf numFmtId="3" fontId="6" fillId="29" borderId="70" xfId="0" applyNumberFormat="1" applyFont="1" applyFill="1" applyBorder="1" applyAlignment="1" applyProtection="1">
      <alignment horizontal="right"/>
      <protection hidden="1"/>
    </xf>
    <xf numFmtId="0" fontId="0" fillId="29" borderId="5" xfId="0" applyFill="1" applyBorder="1" applyAlignment="1" applyProtection="1">
      <alignment horizontal="right"/>
      <protection hidden="1"/>
    </xf>
    <xf numFmtId="0" fontId="3" fillId="17" borderId="97" xfId="0" applyFont="1" applyFill="1" applyBorder="1" applyAlignment="1" applyProtection="1">
      <alignment wrapText="1"/>
      <protection locked="0"/>
    </xf>
    <xf numFmtId="0" fontId="3" fillId="17" borderId="98" xfId="0" applyFont="1" applyFill="1" applyBorder="1" applyAlignment="1" applyProtection="1">
      <alignment wrapText="1"/>
      <protection locked="0"/>
    </xf>
    <xf numFmtId="37" fontId="4" fillId="21" borderId="10" xfId="0" applyNumberFormat="1" applyFont="1" applyFill="1" applyBorder="1" applyAlignment="1" applyProtection="1">
      <alignment horizontal="right"/>
      <protection locked="0"/>
    </xf>
    <xf numFmtId="37" fontId="4" fillId="21" borderId="1" xfId="0" applyNumberFormat="1" applyFont="1" applyFill="1" applyBorder="1" applyAlignment="1" applyProtection="1">
      <alignment horizontal="right"/>
      <protection locked="0"/>
    </xf>
    <xf numFmtId="39" fontId="3" fillId="21" borderId="97" xfId="0" applyNumberFormat="1" applyFont="1" applyFill="1" applyBorder="1" applyAlignment="1" applyProtection="1">
      <alignment wrapText="1"/>
      <protection locked="0"/>
    </xf>
    <xf numFmtId="39" fontId="3" fillId="21" borderId="94" xfId="0" applyNumberFormat="1" applyFont="1" applyFill="1" applyBorder="1" applyAlignment="1" applyProtection="1">
      <alignment wrapText="1"/>
      <protection locked="0"/>
    </xf>
    <xf numFmtId="0" fontId="3" fillId="17" borderId="94" xfId="0" applyFont="1" applyFill="1" applyBorder="1" applyAlignment="1" applyProtection="1">
      <alignment wrapText="1"/>
      <protection locked="0"/>
    </xf>
    <xf numFmtId="0" fontId="3" fillId="17" borderId="95" xfId="0" applyFont="1" applyFill="1" applyBorder="1" applyAlignment="1" applyProtection="1">
      <alignment wrapText="1"/>
      <protection locked="0"/>
    </xf>
    <xf numFmtId="14" fontId="4" fillId="21" borderId="1" xfId="0" applyNumberFormat="1" applyFont="1" applyFill="1" applyBorder="1" applyAlignment="1" applyProtection="1">
      <alignment horizontal="center"/>
      <protection locked="0"/>
    </xf>
    <xf numFmtId="37" fontId="4" fillId="21" borderId="4" xfId="0" applyNumberFormat="1" applyFont="1" applyFill="1" applyBorder="1" applyAlignment="1" applyProtection="1">
      <alignment horizontal="center"/>
      <protection locked="0"/>
    </xf>
    <xf numFmtId="0" fontId="0" fillId="0" borderId="4" xfId="0" applyBorder="1" applyAlignment="1">
      <alignment horizontal="center"/>
    </xf>
    <xf numFmtId="39" fontId="5" fillId="3" borderId="0" xfId="0" applyNumberFormat="1" applyFont="1" applyFill="1" applyAlignment="1" applyProtection="1">
      <alignment horizontal="center"/>
      <protection hidden="1"/>
    </xf>
    <xf numFmtId="0" fontId="5" fillId="0" borderId="0" xfId="0" applyFont="1" applyAlignment="1">
      <alignment horizontal="center"/>
    </xf>
    <xf numFmtId="3" fontId="4" fillId="21" borderId="4" xfId="0" applyNumberFormat="1" applyFont="1" applyFill="1" applyBorder="1" applyAlignment="1" applyProtection="1">
      <alignment horizontal="center"/>
      <protection locked="0"/>
    </xf>
    <xf numFmtId="39" fontId="3" fillId="21" borderId="99" xfId="0" applyNumberFormat="1" applyFont="1" applyFill="1" applyBorder="1" applyAlignment="1" applyProtection="1">
      <alignment wrapText="1"/>
      <protection locked="0"/>
    </xf>
    <xf numFmtId="0" fontId="3" fillId="17" borderId="99" xfId="0" applyFont="1" applyFill="1" applyBorder="1" applyAlignment="1" applyProtection="1">
      <alignment wrapText="1"/>
      <protection locked="0"/>
    </xf>
    <xf numFmtId="0" fontId="3" fillId="17" borderId="100" xfId="0" applyFont="1" applyFill="1" applyBorder="1" applyAlignment="1" applyProtection="1">
      <alignment wrapText="1"/>
      <protection locked="0"/>
    </xf>
    <xf numFmtId="3" fontId="6" fillId="21" borderId="31" xfId="0" applyNumberFormat="1" applyFont="1" applyFill="1" applyBorder="1" applyAlignment="1" applyProtection="1">
      <alignment horizontal="right"/>
      <protection locked="0"/>
    </xf>
    <xf numFmtId="3" fontId="6" fillId="21" borderId="9" xfId="0" applyNumberFormat="1" applyFont="1" applyFill="1" applyBorder="1" applyAlignment="1" applyProtection="1">
      <alignment horizontal="right"/>
      <protection locked="0"/>
    </xf>
    <xf numFmtId="3" fontId="6" fillId="21" borderId="10" xfId="0" applyNumberFormat="1" applyFont="1" applyFill="1" applyBorder="1" applyAlignment="1" applyProtection="1">
      <alignment horizontal="right"/>
      <protection locked="0"/>
    </xf>
    <xf numFmtId="3" fontId="6" fillId="21" borderId="1" xfId="0" applyNumberFormat="1" applyFont="1" applyFill="1" applyBorder="1" applyAlignment="1" applyProtection="1">
      <alignment horizontal="right"/>
      <protection locked="0"/>
    </xf>
    <xf numFmtId="37" fontId="6" fillId="29" borderId="31" xfId="0" applyNumberFormat="1" applyFont="1" applyFill="1" applyBorder="1" applyAlignment="1" applyProtection="1">
      <alignment horizontal="right"/>
      <protection hidden="1"/>
    </xf>
    <xf numFmtId="37" fontId="5" fillId="29" borderId="9" xfId="0" applyNumberFormat="1" applyFont="1" applyFill="1" applyBorder="1" applyAlignment="1">
      <alignment horizontal="right"/>
    </xf>
    <xf numFmtId="37" fontId="6" fillId="29" borderId="70" xfId="0" applyNumberFormat="1" applyFont="1" applyFill="1" applyBorder="1" applyAlignment="1" applyProtection="1">
      <alignment horizontal="right"/>
      <protection hidden="1"/>
    </xf>
    <xf numFmtId="37" fontId="5" fillId="29" borderId="5" xfId="0" applyNumberFormat="1" applyFont="1" applyFill="1" applyBorder="1" applyAlignment="1">
      <alignment horizontal="right"/>
    </xf>
    <xf numFmtId="37" fontId="6" fillId="29" borderId="10" xfId="0" applyNumberFormat="1" applyFont="1" applyFill="1" applyBorder="1" applyAlignment="1" applyProtection="1">
      <alignment horizontal="right"/>
      <protection hidden="1"/>
    </xf>
    <xf numFmtId="37" fontId="6" fillId="29" borderId="1" xfId="0" applyNumberFormat="1" applyFont="1" applyFill="1" applyBorder="1" applyAlignment="1" applyProtection="1">
      <alignment horizontal="right"/>
      <protection hidden="1"/>
    </xf>
    <xf numFmtId="1" fontId="1" fillId="21" borderId="1" xfId="0" applyNumberFormat="1" applyFont="1" applyFill="1" applyBorder="1" applyAlignment="1" applyProtection="1">
      <alignment horizontal="left"/>
      <protection locked="0"/>
    </xf>
    <xf numFmtId="3" fontId="6" fillId="17" borderId="10" xfId="0" applyNumberFormat="1" applyFont="1" applyFill="1" applyBorder="1" applyAlignment="1" applyProtection="1">
      <alignment horizontal="right"/>
      <protection locked="0"/>
    </xf>
    <xf numFmtId="3" fontId="6" fillId="17" borderId="1" xfId="0" applyNumberFormat="1" applyFont="1" applyFill="1" applyBorder="1" applyAlignment="1" applyProtection="1">
      <alignment horizontal="right"/>
      <protection locked="0"/>
    </xf>
    <xf numFmtId="37" fontId="6" fillId="17" borderId="40" xfId="0" applyNumberFormat="1" applyFont="1" applyFill="1" applyBorder="1" applyAlignment="1" applyProtection="1">
      <alignment horizontal="right"/>
      <protection locked="0"/>
    </xf>
    <xf numFmtId="37" fontId="6" fillId="17" borderId="26" xfId="0" applyNumberFormat="1" applyFont="1" applyFill="1" applyBorder="1" applyAlignment="1" applyProtection="1">
      <alignment horizontal="right"/>
      <protection locked="0"/>
    </xf>
    <xf numFmtId="3" fontId="6" fillId="29" borderId="10" xfId="0" applyNumberFormat="1" applyFont="1" applyFill="1" applyBorder="1" applyAlignment="1" applyProtection="1">
      <alignment horizontal="right"/>
      <protection hidden="1"/>
    </xf>
    <xf numFmtId="3" fontId="6" fillId="29" borderId="1" xfId="0" applyNumberFormat="1" applyFont="1" applyFill="1" applyBorder="1" applyAlignment="1" applyProtection="1">
      <alignment horizontal="right"/>
      <protection hidden="1"/>
    </xf>
    <xf numFmtId="3" fontId="6" fillId="20" borderId="53" xfId="0" applyNumberFormat="1" applyFont="1" applyFill="1" applyBorder="1" applyAlignment="1" applyProtection="1">
      <alignment horizontal="right"/>
      <protection hidden="1"/>
    </xf>
    <xf numFmtId="3" fontId="6" fillId="20" borderId="32" xfId="0" applyNumberFormat="1" applyFont="1" applyFill="1" applyBorder="1" applyAlignment="1" applyProtection="1">
      <alignment horizontal="right"/>
      <protection hidden="1"/>
    </xf>
    <xf numFmtId="37" fontId="5" fillId="29" borderId="10" xfId="0" applyNumberFormat="1" applyFont="1" applyFill="1" applyBorder="1" applyAlignment="1">
      <alignment horizontal="right"/>
    </xf>
    <xf numFmtId="37" fontId="5" fillId="29" borderId="1" xfId="0" applyNumberFormat="1" applyFont="1" applyFill="1" applyBorder="1" applyAlignment="1">
      <alignment horizontal="right"/>
    </xf>
    <xf numFmtId="37" fontId="6" fillId="17" borderId="10" xfId="0" applyNumberFormat="1" applyFont="1" applyFill="1" applyBorder="1" applyAlignment="1" applyProtection="1">
      <alignment horizontal="right"/>
      <protection locked="0"/>
    </xf>
    <xf numFmtId="37" fontId="6" fillId="17" borderId="1" xfId="0" applyNumberFormat="1" applyFont="1" applyFill="1" applyBorder="1" applyAlignment="1" applyProtection="1">
      <alignment horizontal="right"/>
      <protection locked="0"/>
    </xf>
    <xf numFmtId="3" fontId="6" fillId="16" borderId="31" xfId="0" applyNumberFormat="1" applyFont="1" applyFill="1" applyBorder="1" applyAlignment="1" applyProtection="1">
      <alignment horizontal="right"/>
      <protection hidden="1"/>
    </xf>
    <xf numFmtId="3" fontId="6" fillId="16" borderId="9" xfId="0" applyNumberFormat="1" applyFont="1" applyFill="1" applyBorder="1" applyAlignment="1" applyProtection="1">
      <alignment horizontal="right"/>
      <protection hidden="1"/>
    </xf>
    <xf numFmtId="3" fontId="6" fillId="16" borderId="3" xfId="0" applyNumberFormat="1" applyFont="1" applyFill="1" applyBorder="1" applyAlignment="1" applyProtection="1">
      <alignment horizontal="right"/>
      <protection hidden="1"/>
    </xf>
    <xf numFmtId="3" fontId="6" fillId="16" borderId="0" xfId="0" applyNumberFormat="1" applyFont="1" applyFill="1" applyAlignment="1" applyProtection="1">
      <alignment horizontal="right"/>
      <protection hidden="1"/>
    </xf>
    <xf numFmtId="1" fontId="6" fillId="21" borderId="1" xfId="0" applyNumberFormat="1" applyFont="1" applyFill="1" applyBorder="1" applyAlignment="1" applyProtection="1">
      <alignment horizontal="center"/>
      <protection locked="0"/>
    </xf>
    <xf numFmtId="1" fontId="1" fillId="21" borderId="1" xfId="0" applyNumberFormat="1" applyFont="1" applyFill="1" applyBorder="1" applyAlignment="1" applyProtection="1">
      <alignment horizontal="center"/>
      <protection locked="0"/>
    </xf>
    <xf numFmtId="37" fontId="6" fillId="21" borderId="10" xfId="0" applyNumberFormat="1" applyFont="1" applyFill="1" applyBorder="1" applyAlignment="1" applyProtection="1">
      <alignment horizontal="right"/>
      <protection locked="0"/>
    </xf>
    <xf numFmtId="0" fontId="15" fillId="21" borderId="99" xfId="0" applyFont="1" applyFill="1" applyBorder="1" applyAlignment="1" applyProtection="1">
      <alignment horizontal="left"/>
      <protection locked="0"/>
    </xf>
    <xf numFmtId="0" fontId="0" fillId="17" borderId="99" xfId="0" applyFill="1" applyBorder="1" applyAlignment="1" applyProtection="1">
      <alignment horizontal="left"/>
      <protection locked="0"/>
    </xf>
    <xf numFmtId="39" fontId="15" fillId="21" borderId="94" xfId="0" applyNumberFormat="1" applyFont="1" applyFill="1" applyBorder="1" applyAlignment="1" applyProtection="1">
      <alignment horizontal="left"/>
      <protection locked="0"/>
    </xf>
    <xf numFmtId="0" fontId="0" fillId="17" borderId="94" xfId="0" applyFill="1" applyBorder="1" applyAlignment="1" applyProtection="1">
      <alignment horizontal="left"/>
      <protection locked="0"/>
    </xf>
    <xf numFmtId="0" fontId="0" fillId="17" borderId="65" xfId="0" applyFill="1" applyBorder="1" applyAlignment="1" applyProtection="1">
      <alignment horizontal="left"/>
      <protection locked="0"/>
    </xf>
    <xf numFmtId="4" fontId="6" fillId="21" borderId="92" xfId="0" applyNumberFormat="1" applyFont="1" applyFill="1" applyBorder="1" applyProtection="1">
      <protection locked="0"/>
    </xf>
    <xf numFmtId="0" fontId="0" fillId="17" borderId="92" xfId="0" applyFill="1" applyBorder="1" applyProtection="1">
      <protection locked="0"/>
    </xf>
    <xf numFmtId="0" fontId="8" fillId="3" borderId="6" xfId="0" applyFont="1" applyFill="1" applyBorder="1" applyAlignment="1" applyProtection="1">
      <alignment horizontal="center" wrapText="1"/>
      <protection hidden="1"/>
    </xf>
    <xf numFmtId="0" fontId="8" fillId="3" borderId="0" xfId="0" applyFont="1" applyFill="1" applyAlignment="1" applyProtection="1">
      <alignment horizontal="center" wrapText="1"/>
      <protection hidden="1"/>
    </xf>
    <xf numFmtId="0" fontId="8" fillId="3" borderId="27" xfId="0" applyFont="1" applyFill="1" applyBorder="1" applyAlignment="1" applyProtection="1">
      <alignment horizontal="center" wrapText="1"/>
      <protection hidden="1"/>
    </xf>
    <xf numFmtId="0" fontId="8" fillId="3" borderId="1" xfId="0" applyFont="1" applyFill="1" applyBorder="1" applyAlignment="1" applyProtection="1">
      <alignment horizontal="center" wrapText="1"/>
      <protection hidden="1"/>
    </xf>
    <xf numFmtId="0" fontId="10" fillId="3" borderId="0" xfId="0" quotePrefix="1" applyFont="1" applyFill="1" applyAlignment="1" applyProtection="1">
      <alignment horizontal="left" wrapText="1"/>
      <protection hidden="1"/>
    </xf>
    <xf numFmtId="0" fontId="10" fillId="3" borderId="1" xfId="0" applyFont="1" applyFill="1" applyBorder="1" applyAlignment="1" applyProtection="1">
      <alignment horizontal="left" wrapText="1"/>
      <protection hidden="1"/>
    </xf>
    <xf numFmtId="0" fontId="75" fillId="11" borderId="62" xfId="2" applyFill="1" applyBorder="1" applyAlignment="1" applyProtection="1">
      <alignment horizontal="center" vertical="center" wrapText="1"/>
    </xf>
    <xf numFmtId="0" fontId="75" fillId="11" borderId="63" xfId="2" applyFill="1" applyBorder="1" applyAlignment="1" applyProtection="1">
      <alignment horizontal="center" vertical="center" wrapText="1"/>
    </xf>
    <xf numFmtId="0" fontId="75" fillId="11" borderId="64" xfId="2" applyFill="1" applyBorder="1" applyAlignment="1" applyProtection="1">
      <alignment horizontal="center" vertical="center" wrapText="1"/>
    </xf>
    <xf numFmtId="0" fontId="75" fillId="11" borderId="62" xfId="2" applyFill="1" applyBorder="1" applyAlignment="1" applyProtection="1">
      <alignment horizontal="center" vertical="center"/>
    </xf>
    <xf numFmtId="0" fontId="75" fillId="11" borderId="63" xfId="2" applyFill="1" applyBorder="1" applyAlignment="1" applyProtection="1">
      <alignment horizontal="center" vertical="center"/>
    </xf>
    <xf numFmtId="0" fontId="75" fillId="11" borderId="64" xfId="2" applyFill="1" applyBorder="1" applyAlignment="1" applyProtection="1">
      <alignment horizontal="center" vertical="center"/>
    </xf>
    <xf numFmtId="0" fontId="17" fillId="3" borderId="27" xfId="0" applyFont="1" applyFill="1" applyBorder="1" applyAlignment="1" applyProtection="1">
      <alignment horizontal="center" vertical="center"/>
      <protection hidden="1"/>
    </xf>
    <xf numFmtId="0" fontId="65" fillId="3" borderId="85" xfId="0" applyFont="1" applyFill="1" applyBorder="1" applyAlignment="1" applyProtection="1">
      <alignment horizontal="center" vertical="center"/>
      <protection hidden="1"/>
    </xf>
    <xf numFmtId="0" fontId="104" fillId="0" borderId="9" xfId="0" applyFont="1" applyBorder="1" applyAlignment="1">
      <alignment horizontal="center" vertical="center"/>
    </xf>
    <xf numFmtId="0" fontId="65" fillId="3" borderId="9" xfId="0" applyFont="1" applyFill="1" applyBorder="1" applyAlignment="1" applyProtection="1">
      <alignment horizontal="center" vertical="center"/>
      <protection hidden="1"/>
    </xf>
    <xf numFmtId="0" fontId="17" fillId="3" borderId="0" xfId="0" applyFont="1" applyFill="1" applyAlignment="1" applyProtection="1">
      <alignment wrapText="1"/>
      <protection hidden="1"/>
    </xf>
    <xf numFmtId="0" fontId="17" fillId="0" borderId="25" xfId="0" applyFont="1" applyBorder="1" applyAlignment="1">
      <alignment wrapText="1"/>
    </xf>
    <xf numFmtId="0" fontId="17" fillId="0" borderId="1" xfId="0" applyFont="1" applyBorder="1" applyAlignment="1">
      <alignment wrapText="1"/>
    </xf>
    <xf numFmtId="0" fontId="17" fillId="0" borderId="12" xfId="0" applyFont="1" applyBorder="1" applyAlignment="1">
      <alignment wrapText="1"/>
    </xf>
    <xf numFmtId="0" fontId="6" fillId="3" borderId="3" xfId="0" applyFont="1" applyFill="1" applyBorder="1" applyAlignment="1" applyProtection="1">
      <alignment horizontal="center"/>
      <protection hidden="1"/>
    </xf>
    <xf numFmtId="0" fontId="0" fillId="0" borderId="21" xfId="0" applyBorder="1"/>
    <xf numFmtId="0" fontId="6" fillId="3" borderId="10" xfId="0" applyFont="1" applyFill="1" applyBorder="1" applyAlignment="1" applyProtection="1">
      <alignment horizontal="center"/>
      <protection hidden="1"/>
    </xf>
    <xf numFmtId="0" fontId="5" fillId="0" borderId="1" xfId="0" applyFont="1" applyBorder="1" applyAlignment="1">
      <alignment horizontal="center"/>
    </xf>
    <xf numFmtId="0" fontId="5" fillId="0" borderId="30" xfId="0" applyFont="1" applyBorder="1"/>
    <xf numFmtId="0" fontId="1" fillId="21" borderId="1" xfId="0" applyFont="1" applyFill="1" applyBorder="1" applyAlignment="1" applyProtection="1">
      <alignment horizontal="center"/>
      <protection locked="0"/>
    </xf>
    <xf numFmtId="0" fontId="4" fillId="17" borderId="1" xfId="0" applyFont="1" applyFill="1" applyBorder="1" applyAlignment="1" applyProtection="1">
      <alignment horizontal="center"/>
      <protection locked="0"/>
    </xf>
    <xf numFmtId="0" fontId="4" fillId="17" borderId="12" xfId="0" applyFont="1" applyFill="1" applyBorder="1" applyAlignment="1" applyProtection="1">
      <alignment horizontal="center"/>
      <protection locked="0"/>
    </xf>
    <xf numFmtId="166" fontId="4" fillId="21" borderId="36" xfId="0" applyNumberFormat="1" applyFont="1" applyFill="1" applyBorder="1" applyAlignment="1" applyProtection="1">
      <alignment horizontal="center" vertical="center"/>
      <protection locked="0"/>
    </xf>
    <xf numFmtId="166" fontId="19" fillId="17" borderId="14" xfId="0" applyNumberFormat="1" applyFont="1" applyFill="1" applyBorder="1" applyAlignment="1" applyProtection="1">
      <alignment horizontal="center" vertical="center"/>
      <protection locked="0"/>
    </xf>
    <xf numFmtId="0" fontId="6" fillId="21" borderId="1" xfId="0" applyFont="1" applyFill="1" applyBorder="1" applyAlignment="1" applyProtection="1">
      <alignment horizontal="center"/>
      <protection locked="0"/>
    </xf>
    <xf numFmtId="0" fontId="6" fillId="17" borderId="1" xfId="0" applyFont="1" applyFill="1" applyBorder="1" applyAlignment="1" applyProtection="1">
      <alignment horizontal="center"/>
      <protection locked="0"/>
    </xf>
    <xf numFmtId="0" fontId="6" fillId="17" borderId="101" xfId="0" applyFont="1" applyFill="1" applyBorder="1" applyAlignment="1" applyProtection="1">
      <alignment horizontal="center"/>
      <protection locked="0"/>
    </xf>
    <xf numFmtId="14" fontId="4" fillId="21" borderId="92" xfId="0" applyNumberFormat="1" applyFont="1" applyFill="1" applyBorder="1" applyAlignment="1" applyProtection="1">
      <alignment horizontal="center"/>
      <protection locked="0"/>
    </xf>
    <xf numFmtId="39" fontId="5" fillId="3" borderId="0" xfId="0" applyNumberFormat="1" applyFont="1" applyFill="1" applyAlignment="1" applyProtection="1">
      <alignment horizontal="right" indent="1"/>
      <protection hidden="1"/>
    </xf>
    <xf numFmtId="0" fontId="5" fillId="0" borderId="0" xfId="0" applyFont="1" applyAlignment="1">
      <alignment horizontal="right" indent="1"/>
    </xf>
    <xf numFmtId="0" fontId="17" fillId="3" borderId="16" xfId="0" applyFont="1" applyFill="1" applyBorder="1" applyAlignment="1" applyProtection="1">
      <alignment horizontal="center" vertical="center" wrapText="1"/>
      <protection hidden="1"/>
    </xf>
    <xf numFmtId="0" fontId="17" fillId="3" borderId="7" xfId="0" applyFont="1" applyFill="1" applyBorder="1" applyAlignment="1" applyProtection="1">
      <alignment horizontal="center" vertical="center" wrapText="1"/>
      <protection hidden="1"/>
    </xf>
    <xf numFmtId="0" fontId="17" fillId="3" borderId="11" xfId="0" applyFont="1" applyFill="1" applyBorder="1" applyAlignment="1" applyProtection="1">
      <alignment horizontal="center" vertical="center" wrapText="1"/>
      <protection hidden="1"/>
    </xf>
    <xf numFmtId="0" fontId="33" fillId="9" borderId="0" xfId="0" applyFont="1" applyFill="1" applyAlignment="1" applyProtection="1">
      <alignment horizontal="center" vertical="center"/>
      <protection hidden="1"/>
    </xf>
    <xf numFmtId="0" fontId="0" fillId="0" borderId="0" xfId="0" applyAlignment="1">
      <alignment vertical="center"/>
    </xf>
    <xf numFmtId="37" fontId="6" fillId="29" borderId="12" xfId="0" applyNumberFormat="1" applyFont="1" applyFill="1" applyBorder="1" applyAlignment="1" applyProtection="1">
      <alignment horizontal="right"/>
      <protection hidden="1"/>
    </xf>
    <xf numFmtId="37" fontId="151" fillId="3" borderId="3" xfId="0" applyNumberFormat="1" applyFont="1" applyFill="1" applyBorder="1" applyAlignment="1" applyProtection="1">
      <alignment horizontal="right"/>
      <protection hidden="1"/>
    </xf>
    <xf numFmtId="37" fontId="151" fillId="0" borderId="0" xfId="0" applyNumberFormat="1" applyFont="1" applyAlignment="1" applyProtection="1">
      <alignment horizontal="right"/>
      <protection hidden="1"/>
    </xf>
    <xf numFmtId="37" fontId="6" fillId="3" borderId="31" xfId="0" applyNumberFormat="1" applyFont="1" applyFill="1" applyBorder="1" applyProtection="1">
      <protection hidden="1"/>
    </xf>
    <xf numFmtId="0" fontId="4" fillId="0" borderId="9" xfId="0" applyFont="1" applyBorder="1" applyProtection="1">
      <protection hidden="1"/>
    </xf>
    <xf numFmtId="37" fontId="1" fillId="3" borderId="31" xfId="0" applyNumberFormat="1" applyFont="1" applyFill="1" applyBorder="1" applyAlignment="1" applyProtection="1">
      <alignment horizontal="right"/>
      <protection hidden="1"/>
    </xf>
    <xf numFmtId="0" fontId="0" fillId="0" borderId="9" xfId="0" applyBorder="1" applyAlignment="1" applyProtection="1">
      <alignment horizontal="right"/>
      <protection hidden="1"/>
    </xf>
    <xf numFmtId="37" fontId="151" fillId="3" borderId="31" xfId="0" applyNumberFormat="1" applyFont="1" applyFill="1" applyBorder="1" applyAlignment="1" applyProtection="1">
      <alignment horizontal="right"/>
      <protection hidden="1"/>
    </xf>
    <xf numFmtId="37" fontId="151" fillId="0" borderId="9" xfId="0" applyNumberFormat="1" applyFont="1" applyBorder="1" applyAlignment="1" applyProtection="1">
      <alignment horizontal="right"/>
      <protection hidden="1"/>
    </xf>
    <xf numFmtId="4" fontId="5" fillId="3" borderId="9" xfId="0" applyNumberFormat="1" applyFont="1" applyFill="1" applyBorder="1" applyAlignment="1" applyProtection="1">
      <alignment horizontal="left" vertical="center" wrapText="1"/>
      <protection hidden="1"/>
    </xf>
    <xf numFmtId="0" fontId="0" fillId="0" borderId="9"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2" xfId="0" applyBorder="1" applyAlignment="1">
      <alignment horizontal="left" vertical="center" wrapText="1"/>
    </xf>
    <xf numFmtId="0" fontId="1" fillId="3" borderId="0" xfId="0" applyFont="1" applyFill="1" applyAlignment="1" applyProtection="1">
      <alignment vertical="top" wrapText="1"/>
      <protection hidden="1"/>
    </xf>
    <xf numFmtId="0" fontId="3" fillId="0" borderId="0" xfId="0" applyFont="1" applyAlignment="1">
      <alignment vertical="top" wrapText="1"/>
    </xf>
    <xf numFmtId="0" fontId="3" fillId="0" borderId="25" xfId="0" applyFont="1" applyBorder="1"/>
    <xf numFmtId="0" fontId="3" fillId="0" borderId="5" xfId="0" applyFont="1" applyBorder="1" applyAlignment="1">
      <alignment vertical="top" wrapText="1"/>
    </xf>
    <xf numFmtId="0" fontId="3" fillId="0" borderId="71" xfId="0" applyFont="1" applyBorder="1"/>
    <xf numFmtId="37" fontId="151" fillId="0" borderId="15" xfId="0" applyNumberFormat="1" applyFont="1" applyBorder="1" applyAlignment="1" applyProtection="1">
      <alignment horizontal="right"/>
      <protection hidden="1"/>
    </xf>
    <xf numFmtId="0" fontId="138" fillId="0" borderId="15" xfId="0" applyFont="1" applyBorder="1" applyAlignment="1">
      <alignment horizontal="right"/>
    </xf>
    <xf numFmtId="37" fontId="6" fillId="23" borderId="10" xfId="0" applyNumberFormat="1" applyFont="1" applyFill="1" applyBorder="1" applyAlignment="1" applyProtection="1">
      <alignment horizontal="right"/>
      <protection hidden="1"/>
    </xf>
    <xf numFmtId="37" fontId="6" fillId="23" borderId="1" xfId="0" applyNumberFormat="1" applyFont="1" applyFill="1" applyBorder="1" applyAlignment="1" applyProtection="1">
      <alignment horizontal="right"/>
      <protection hidden="1"/>
    </xf>
    <xf numFmtId="37" fontId="6" fillId="23" borderId="12" xfId="0" applyNumberFormat="1" applyFont="1" applyFill="1" applyBorder="1" applyAlignment="1" applyProtection="1">
      <alignment horizontal="right"/>
      <protection hidden="1"/>
    </xf>
    <xf numFmtId="0" fontId="5" fillId="16" borderId="9" xfId="0" applyFont="1" applyFill="1" applyBorder="1" applyAlignment="1">
      <alignment wrapText="1"/>
    </xf>
    <xf numFmtId="0" fontId="0" fillId="0" borderId="9" xfId="0" applyBorder="1" applyAlignment="1">
      <alignment wrapText="1"/>
    </xf>
    <xf numFmtId="0" fontId="0" fillId="0" borderId="15" xfId="0" applyBorder="1" applyAlignment="1">
      <alignment wrapText="1"/>
    </xf>
    <xf numFmtId="0" fontId="0" fillId="0" borderId="12" xfId="0" applyBorder="1" applyAlignment="1">
      <alignment wrapText="1"/>
    </xf>
    <xf numFmtId="39" fontId="145" fillId="3" borderId="3" xfId="0" applyNumberFormat="1" applyFont="1" applyFill="1" applyBorder="1" applyAlignment="1" applyProtection="1">
      <alignment wrapText="1"/>
      <protection hidden="1"/>
    </xf>
    <xf numFmtId="0" fontId="145" fillId="3" borderId="0" xfId="0" applyFont="1" applyFill="1" applyAlignment="1" applyProtection="1">
      <alignment wrapText="1"/>
      <protection hidden="1"/>
    </xf>
    <xf numFmtId="0" fontId="145" fillId="3" borderId="3" xfId="0" applyFont="1" applyFill="1" applyBorder="1" applyAlignment="1" applyProtection="1">
      <alignment wrapText="1"/>
      <protection hidden="1"/>
    </xf>
    <xf numFmtId="0" fontId="0" fillId="0" borderId="3" xfId="0" applyBorder="1" applyAlignment="1">
      <alignment wrapText="1"/>
    </xf>
    <xf numFmtId="0" fontId="3" fillId="3" borderId="9" xfId="0" applyFont="1" applyFill="1" applyBorder="1" applyAlignment="1" applyProtection="1">
      <alignment wrapText="1"/>
      <protection hidden="1"/>
    </xf>
    <xf numFmtId="0" fontId="3" fillId="0" borderId="9" xfId="0" applyFont="1" applyBorder="1" applyAlignment="1">
      <alignment wrapText="1"/>
    </xf>
    <xf numFmtId="0" fontId="3" fillId="0" borderId="15" xfId="0" applyFont="1" applyBorder="1" applyAlignment="1">
      <alignment wrapText="1"/>
    </xf>
    <xf numFmtId="0" fontId="3" fillId="0" borderId="0" xfId="0" applyFont="1" applyAlignment="1">
      <alignment wrapText="1"/>
    </xf>
    <xf numFmtId="0" fontId="3" fillId="0" borderId="25" xfId="0" applyFont="1" applyBorder="1" applyAlignment="1">
      <alignment wrapText="1"/>
    </xf>
    <xf numFmtId="0" fontId="21" fillId="3" borderId="0" xfId="0" applyFont="1" applyFill="1" applyAlignment="1" applyProtection="1">
      <alignment horizontal="center" vertical="center"/>
      <protection hidden="1"/>
    </xf>
    <xf numFmtId="0" fontId="0" fillId="0" borderId="1" xfId="0" applyBorder="1" applyAlignment="1">
      <alignment horizontal="right"/>
    </xf>
    <xf numFmtId="37" fontId="6" fillId="21" borderId="12" xfId="0" applyNumberFormat="1" applyFont="1" applyFill="1" applyBorder="1" applyAlignment="1" applyProtection="1">
      <alignment horizontal="right"/>
      <protection locked="0"/>
    </xf>
    <xf numFmtId="0" fontId="5" fillId="3" borderId="9" xfId="0" applyFont="1" applyFill="1" applyBorder="1" applyAlignment="1" applyProtection="1">
      <alignment horizontal="left" vertical="top" wrapText="1"/>
      <protection hidden="1"/>
    </xf>
    <xf numFmtId="0" fontId="5" fillId="0" borderId="0" xfId="0" applyFont="1" applyAlignment="1">
      <alignment horizontal="left" vertical="top"/>
    </xf>
    <xf numFmtId="0" fontId="5" fillId="0" borderId="0" xfId="0" applyFont="1"/>
    <xf numFmtId="0" fontId="5" fillId="0" borderId="25" xfId="0" applyFont="1" applyBorder="1"/>
    <xf numFmtId="0" fontId="5" fillId="0" borderId="1" xfId="0" applyFont="1" applyBorder="1" applyAlignment="1">
      <alignment horizontal="left" vertical="top"/>
    </xf>
    <xf numFmtId="0" fontId="5" fillId="0" borderId="1" xfId="0" applyFont="1" applyBorder="1"/>
    <xf numFmtId="0" fontId="5" fillId="0" borderId="12" xfId="0" applyFont="1" applyBorder="1"/>
    <xf numFmtId="4" fontId="17" fillId="3" borderId="31" xfId="0" applyNumberFormat="1" applyFont="1" applyFill="1" applyBorder="1" applyAlignment="1" applyProtection="1">
      <alignment horizontal="center" vertical="center" wrapText="1"/>
      <protection hidden="1"/>
    </xf>
    <xf numFmtId="4" fontId="17" fillId="3" borderId="9" xfId="0" applyNumberFormat="1" applyFont="1" applyFill="1" applyBorder="1" applyAlignment="1" applyProtection="1">
      <alignment horizontal="center" vertical="center" wrapText="1"/>
      <protection hidden="1"/>
    </xf>
    <xf numFmtId="4" fontId="17" fillId="3" borderId="3" xfId="0" applyNumberFormat="1" applyFont="1" applyFill="1" applyBorder="1" applyAlignment="1" applyProtection="1">
      <alignment horizontal="center" vertical="center" wrapText="1"/>
      <protection hidden="1"/>
    </xf>
    <xf numFmtId="4" fontId="17" fillId="3" borderId="0" xfId="0" applyNumberFormat="1" applyFont="1" applyFill="1" applyAlignment="1" applyProtection="1">
      <alignment horizontal="center" vertical="center" wrapText="1"/>
      <protection hidden="1"/>
    </xf>
    <xf numFmtId="4" fontId="17" fillId="3" borderId="10" xfId="0" applyNumberFormat="1" applyFont="1" applyFill="1" applyBorder="1" applyAlignment="1" applyProtection="1">
      <alignment horizontal="center" vertical="center" wrapText="1"/>
      <protection hidden="1"/>
    </xf>
    <xf numFmtId="4" fontId="17" fillId="3" borderId="1" xfId="0" applyNumberFormat="1" applyFont="1" applyFill="1" applyBorder="1" applyAlignment="1" applyProtection="1">
      <alignment horizontal="center" vertical="center" wrapText="1"/>
      <protection hidden="1"/>
    </xf>
    <xf numFmtId="4" fontId="11" fillId="3" borderId="57" xfId="0" applyNumberFormat="1" applyFont="1" applyFill="1" applyBorder="1" applyAlignment="1" applyProtection="1">
      <alignment horizontal="center"/>
      <protection hidden="1"/>
    </xf>
    <xf numFmtId="4" fontId="11" fillId="3" borderId="8" xfId="0" applyNumberFormat="1" applyFont="1" applyFill="1" applyBorder="1" applyAlignment="1" applyProtection="1">
      <alignment horizontal="center"/>
      <protection hidden="1"/>
    </xf>
    <xf numFmtId="166" fontId="10" fillId="29" borderId="10" xfId="0" applyNumberFormat="1" applyFont="1" applyFill="1" applyBorder="1" applyAlignment="1" applyProtection="1">
      <alignment horizontal="center"/>
      <protection hidden="1"/>
    </xf>
    <xf numFmtId="166" fontId="10" fillId="29" borderId="1" xfId="0" applyNumberFormat="1" applyFont="1" applyFill="1" applyBorder="1" applyAlignment="1" applyProtection="1">
      <alignment horizontal="center"/>
      <protection hidden="1"/>
    </xf>
    <xf numFmtId="1" fontId="82" fillId="3" borderId="6" xfId="0" applyNumberFormat="1" applyFont="1" applyFill="1" applyBorder="1" applyAlignment="1" applyProtection="1">
      <alignment horizontal="center" vertical="center"/>
      <protection hidden="1"/>
    </xf>
    <xf numFmtId="1" fontId="82" fillId="3" borderId="0" xfId="0" applyNumberFormat="1" applyFont="1" applyFill="1" applyAlignment="1" applyProtection="1">
      <alignment horizontal="center" vertical="center"/>
      <protection hidden="1"/>
    </xf>
    <xf numFmtId="4" fontId="17" fillId="3" borderId="16" xfId="0" applyNumberFormat="1" applyFont="1" applyFill="1" applyBorder="1" applyAlignment="1" applyProtection="1">
      <alignment horizontal="center" vertical="center" wrapText="1"/>
      <protection hidden="1"/>
    </xf>
    <xf numFmtId="4" fontId="17" fillId="3" borderId="7" xfId="0" applyNumberFormat="1" applyFont="1" applyFill="1" applyBorder="1" applyAlignment="1" applyProtection="1">
      <alignment horizontal="center" vertical="center"/>
      <protection hidden="1"/>
    </xf>
    <xf numFmtId="4" fontId="17" fillId="3" borderId="11" xfId="0" applyNumberFormat="1" applyFont="1" applyFill="1" applyBorder="1" applyAlignment="1" applyProtection="1">
      <alignment horizontal="center" vertical="center"/>
      <protection hidden="1"/>
    </xf>
    <xf numFmtId="0" fontId="0" fillId="0" borderId="15" xfId="0" applyBorder="1" applyAlignment="1">
      <alignment horizontal="center" vertical="center" wrapText="1"/>
    </xf>
    <xf numFmtId="0" fontId="3" fillId="0" borderId="3" xfId="0" applyFont="1" applyBorder="1" applyAlignment="1">
      <alignment horizontal="center" vertical="center" wrapText="1"/>
    </xf>
    <xf numFmtId="0" fontId="0" fillId="0" borderId="25" xfId="0"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2" xfId="0" applyBorder="1" applyAlignment="1">
      <alignment horizontal="center" vertical="center" wrapText="1"/>
    </xf>
    <xf numFmtId="0" fontId="5" fillId="3" borderId="6" xfId="0" applyFont="1" applyFill="1" applyBorder="1" applyAlignment="1" applyProtection="1">
      <alignment horizontal="left" vertical="center" wrapText="1"/>
      <protection hidden="1"/>
    </xf>
    <xf numFmtId="0" fontId="5" fillId="3" borderId="0" xfId="0" applyFont="1" applyFill="1" applyAlignment="1" applyProtection="1">
      <alignment horizontal="left" vertical="center" wrapText="1"/>
      <protection hidden="1"/>
    </xf>
    <xf numFmtId="0" fontId="5" fillId="0" borderId="22" xfId="0" applyFont="1" applyBorder="1" applyAlignment="1">
      <alignment horizontal="left" vertical="center"/>
    </xf>
    <xf numFmtId="0" fontId="5" fillId="0" borderId="5" xfId="0" applyFont="1" applyBorder="1" applyAlignment="1">
      <alignment horizontal="left" vertical="center"/>
    </xf>
    <xf numFmtId="4" fontId="17" fillId="0" borderId="16" xfId="0" applyNumberFormat="1" applyFont="1" applyBorder="1" applyAlignment="1">
      <alignment horizontal="center" vertical="center" wrapText="1"/>
    </xf>
    <xf numFmtId="4" fontId="17" fillId="0" borderId="7" xfId="0" applyNumberFormat="1" applyFont="1" applyBorder="1" applyAlignment="1">
      <alignment horizontal="center" vertical="center" wrapText="1"/>
    </xf>
    <xf numFmtId="4" fontId="17" fillId="0" borderId="11" xfId="0" applyNumberFormat="1" applyFont="1" applyBorder="1" applyAlignment="1">
      <alignment horizontal="center" vertical="center" wrapText="1"/>
    </xf>
    <xf numFmtId="0" fontId="17" fillId="0" borderId="9"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0" xfId="0" applyFont="1" applyAlignment="1">
      <alignment horizontal="center" vertical="center" wrapText="1"/>
    </xf>
    <xf numFmtId="0" fontId="17" fillId="0" borderId="10" xfId="0" applyFont="1" applyBorder="1" applyAlignment="1">
      <alignment horizontal="center" vertical="center" wrapText="1"/>
    </xf>
    <xf numFmtId="0" fontId="17" fillId="0" borderId="1" xfId="0" applyFont="1" applyBorder="1" applyAlignment="1">
      <alignment horizontal="center" vertical="center" wrapText="1"/>
    </xf>
    <xf numFmtId="4" fontId="17" fillId="3" borderId="7" xfId="0" applyNumberFormat="1" applyFont="1" applyFill="1" applyBorder="1" applyAlignment="1" applyProtection="1">
      <alignment horizontal="center" vertical="center" wrapText="1"/>
      <protection hidden="1"/>
    </xf>
    <xf numFmtId="4" fontId="17" fillId="3" borderId="11" xfId="0" applyNumberFormat="1" applyFont="1" applyFill="1" applyBorder="1" applyAlignment="1" applyProtection="1">
      <alignment horizontal="center" vertical="center" wrapText="1"/>
      <protection hidden="1"/>
    </xf>
    <xf numFmtId="0" fontId="0" fillId="0" borderId="9" xfId="0" applyBorder="1" applyAlignment="1">
      <alignment horizontal="right"/>
    </xf>
    <xf numFmtId="37" fontId="0" fillId="26" borderId="1" xfId="0" applyNumberFormat="1" applyFill="1" applyBorder="1" applyAlignment="1" applyProtection="1">
      <alignment horizontal="right"/>
      <protection hidden="1"/>
    </xf>
    <xf numFmtId="37" fontId="0" fillId="0" borderId="1" xfId="0" applyNumberFormat="1" applyBorder="1" applyAlignment="1">
      <alignment horizontal="right"/>
    </xf>
    <xf numFmtId="37" fontId="6" fillId="29" borderId="10" xfId="0" applyNumberFormat="1" applyFont="1" applyFill="1" applyBorder="1" applyAlignment="1" applyProtection="1">
      <alignment horizontal="center"/>
      <protection hidden="1"/>
    </xf>
    <xf numFmtId="37" fontId="6" fillId="29" borderId="1" xfId="0" applyNumberFormat="1" applyFont="1" applyFill="1" applyBorder="1" applyAlignment="1" applyProtection="1">
      <alignment horizontal="center"/>
      <protection hidden="1"/>
    </xf>
    <xf numFmtId="37" fontId="6" fillId="21" borderId="1" xfId="0" applyNumberFormat="1" applyFont="1" applyFill="1" applyBorder="1" applyAlignment="1" applyProtection="1">
      <alignment horizontal="right"/>
      <protection locked="0"/>
    </xf>
    <xf numFmtId="37" fontId="6" fillId="3" borderId="31" xfId="0" applyNumberFormat="1" applyFont="1" applyFill="1" applyBorder="1" applyAlignment="1" applyProtection="1">
      <alignment horizontal="right"/>
      <protection locked="0"/>
    </xf>
    <xf numFmtId="0" fontId="0" fillId="0" borderId="9" xfId="0" applyBorder="1" applyAlignment="1" applyProtection="1">
      <alignment horizontal="right"/>
      <protection locked="0"/>
    </xf>
    <xf numFmtId="37" fontId="6" fillId="15" borderId="31" xfId="0" applyNumberFormat="1" applyFont="1" applyFill="1" applyBorder="1" applyAlignment="1" applyProtection="1">
      <alignment horizontal="right"/>
      <protection hidden="1"/>
    </xf>
    <xf numFmtId="37" fontId="6" fillId="29" borderId="5" xfId="0" applyNumberFormat="1" applyFont="1" applyFill="1" applyBorder="1" applyAlignment="1" applyProtection="1">
      <alignment horizontal="right"/>
      <protection hidden="1"/>
    </xf>
    <xf numFmtId="0" fontId="0" fillId="0" borderId="5" xfId="0" applyBorder="1" applyAlignment="1">
      <alignment horizontal="right"/>
    </xf>
    <xf numFmtId="37" fontId="6" fillId="3" borderId="31" xfId="0" applyNumberFormat="1" applyFont="1" applyFill="1" applyBorder="1" applyAlignment="1" applyProtection="1">
      <alignment horizontal="right"/>
      <protection hidden="1"/>
    </xf>
    <xf numFmtId="37" fontId="6" fillId="3" borderId="3" xfId="0" applyNumberFormat="1" applyFont="1" applyFill="1" applyBorder="1" applyAlignment="1" applyProtection="1">
      <alignment horizontal="right"/>
      <protection hidden="1"/>
    </xf>
    <xf numFmtId="0" fontId="8" fillId="3" borderId="31" xfId="0" applyFont="1" applyFill="1" applyBorder="1" applyAlignment="1" applyProtection="1">
      <alignment horizontal="center" vertical="center" wrapText="1"/>
      <protection hidden="1"/>
    </xf>
    <xf numFmtId="0" fontId="8" fillId="0" borderId="15" xfId="0" applyFont="1" applyBorder="1" applyAlignment="1">
      <alignment horizontal="center" vertical="center"/>
    </xf>
    <xf numFmtId="0" fontId="8" fillId="0" borderId="3" xfId="0" applyFont="1" applyBorder="1" applyAlignment="1">
      <alignment horizontal="center" vertical="center"/>
    </xf>
    <xf numFmtId="0" fontId="8" fillId="0" borderId="25" xfId="0" applyFont="1" applyBorder="1" applyAlignment="1">
      <alignment horizontal="center" vertical="center"/>
    </xf>
    <xf numFmtId="0" fontId="8" fillId="0" borderId="10" xfId="0" applyFont="1" applyBorder="1" applyAlignment="1">
      <alignment horizontal="center" vertical="center"/>
    </xf>
    <xf numFmtId="0" fontId="8" fillId="0" borderId="12" xfId="0" applyFont="1" applyBorder="1" applyAlignment="1">
      <alignment horizontal="center" vertical="center"/>
    </xf>
    <xf numFmtId="4" fontId="8" fillId="3" borderId="16" xfId="0" applyNumberFormat="1" applyFont="1" applyFill="1" applyBorder="1" applyAlignment="1" applyProtection="1">
      <alignment horizontal="center" vertical="center" wrapText="1"/>
      <protection hidden="1"/>
    </xf>
    <xf numFmtId="4" fontId="8" fillId="3" borderId="7" xfId="0" applyNumberFormat="1" applyFont="1" applyFill="1" applyBorder="1" applyAlignment="1" applyProtection="1">
      <alignment horizontal="center" vertical="center"/>
      <protection hidden="1"/>
    </xf>
    <xf numFmtId="4" fontId="8" fillId="3" borderId="11" xfId="0" applyNumberFormat="1" applyFont="1" applyFill="1" applyBorder="1" applyAlignment="1" applyProtection="1">
      <alignment horizontal="center" vertical="center"/>
      <protection hidden="1"/>
    </xf>
    <xf numFmtId="4" fontId="17" fillId="3" borderId="15" xfId="0" applyNumberFormat="1" applyFont="1" applyFill="1" applyBorder="1" applyAlignment="1" applyProtection="1">
      <alignment horizontal="center" vertical="center" wrapText="1"/>
      <protection hidden="1"/>
    </xf>
    <xf numFmtId="4" fontId="17" fillId="3" borderId="25" xfId="0" applyNumberFormat="1" applyFont="1" applyFill="1" applyBorder="1" applyAlignment="1" applyProtection="1">
      <alignment horizontal="center" vertical="center" wrapText="1"/>
      <protection hidden="1"/>
    </xf>
    <xf numFmtId="4" fontId="17" fillId="3" borderId="12" xfId="0" applyNumberFormat="1" applyFont="1" applyFill="1" applyBorder="1" applyAlignment="1" applyProtection="1">
      <alignment horizontal="center" vertical="center" wrapText="1"/>
      <protection hidden="1"/>
    </xf>
    <xf numFmtId="0" fontId="11" fillId="0" borderId="1" xfId="0" quotePrefix="1" applyFont="1" applyBorder="1" applyAlignment="1" applyProtection="1">
      <alignment horizontal="center"/>
      <protection hidden="1"/>
    </xf>
    <xf numFmtId="4" fontId="17" fillId="3" borderId="27" xfId="0" applyNumberFormat="1" applyFont="1" applyFill="1" applyBorder="1" applyAlignment="1" applyProtection="1">
      <alignment horizontal="center" vertical="center"/>
      <protection hidden="1"/>
    </xf>
    <xf numFmtId="4" fontId="17" fillId="3" borderId="1" xfId="0" applyNumberFormat="1" applyFont="1" applyFill="1" applyBorder="1" applyAlignment="1" applyProtection="1">
      <alignment horizontal="center" vertical="center"/>
      <protection hidden="1"/>
    </xf>
    <xf numFmtId="0" fontId="17" fillId="3" borderId="31" xfId="0" applyFont="1" applyFill="1" applyBorder="1" applyAlignment="1" applyProtection="1">
      <alignment horizontal="center" vertical="center" wrapText="1"/>
      <protection hidden="1"/>
    </xf>
    <xf numFmtId="0" fontId="3" fillId="0" borderId="15" xfId="0" applyFont="1" applyBorder="1" applyAlignment="1">
      <alignment horizontal="center" vertical="center"/>
    </xf>
    <xf numFmtId="0" fontId="3" fillId="0" borderId="3" xfId="0" applyFont="1" applyBorder="1" applyAlignment="1">
      <alignment horizontal="center" vertical="center"/>
    </xf>
    <xf numFmtId="0" fontId="3" fillId="0" borderId="25" xfId="0" applyFont="1" applyBorder="1" applyAlignment="1">
      <alignment horizontal="center" vertical="center"/>
    </xf>
    <xf numFmtId="0" fontId="3" fillId="0" borderId="10"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pplyProtection="1">
      <alignment vertical="top" wrapText="1"/>
      <protection hidden="1"/>
    </xf>
    <xf numFmtId="0" fontId="3" fillId="0" borderId="5" xfId="0" applyFont="1" applyBorder="1" applyAlignment="1" applyProtection="1">
      <alignment vertical="top" wrapText="1"/>
      <protection hidden="1"/>
    </xf>
    <xf numFmtId="0" fontId="145" fillId="5" borderId="8" xfId="0" applyFont="1" applyFill="1" applyBorder="1" applyAlignment="1" applyProtection="1">
      <alignment horizontal="center" vertical="center" wrapText="1"/>
      <protection hidden="1"/>
    </xf>
    <xf numFmtId="0" fontId="0" fillId="0" borderId="0" xfId="0" applyAlignment="1">
      <alignment vertical="center" wrapText="1"/>
    </xf>
    <xf numFmtId="0" fontId="85" fillId="3" borderId="3" xfId="0" applyFont="1" applyFill="1" applyBorder="1" applyAlignment="1" applyProtection="1">
      <alignment horizontal="center" vertical="center"/>
      <protection hidden="1"/>
    </xf>
    <xf numFmtId="0" fontId="98" fillId="0" borderId="0" xfId="0" applyFont="1" applyAlignment="1">
      <alignment horizontal="center" vertical="center"/>
    </xf>
    <xf numFmtId="0" fontId="3" fillId="3" borderId="0" xfId="0" applyFont="1" applyFill="1" applyAlignment="1" applyProtection="1">
      <alignment horizontal="left" vertical="top" wrapText="1"/>
      <protection hidden="1"/>
    </xf>
    <xf numFmtId="0" fontId="0" fillId="0" borderId="0" xfId="0" applyAlignment="1">
      <alignment horizontal="left" wrapText="1"/>
    </xf>
    <xf numFmtId="0" fontId="145" fillId="5" borderId="0" xfId="0" applyFont="1" applyFill="1" applyAlignment="1" applyProtection="1">
      <alignment horizontal="center" vertical="center" wrapText="1"/>
      <protection hidden="1"/>
    </xf>
    <xf numFmtId="0" fontId="16" fillId="16" borderId="0" xfId="0" applyFont="1" applyFill="1" applyAlignment="1" applyProtection="1">
      <alignment horizontal="center"/>
      <protection hidden="1"/>
    </xf>
    <xf numFmtId="0" fontId="16" fillId="16" borderId="53" xfId="0" applyFont="1" applyFill="1" applyBorder="1" applyAlignment="1" applyProtection="1">
      <alignment horizontal="center" vertical="center"/>
      <protection hidden="1"/>
    </xf>
    <xf numFmtId="0" fontId="16" fillId="16" borderId="74" xfId="0" applyFont="1" applyFill="1" applyBorder="1" applyAlignment="1">
      <alignment horizontal="center" vertical="center"/>
    </xf>
    <xf numFmtId="37" fontId="1" fillId="17" borderId="52" xfId="0" applyNumberFormat="1" applyFont="1" applyFill="1" applyBorder="1" applyAlignment="1" applyProtection="1">
      <alignment horizontal="right" indent="1"/>
      <protection locked="0"/>
    </xf>
    <xf numFmtId="0" fontId="0" fillId="0" borderId="52" xfId="0" applyBorder="1" applyAlignment="1" applyProtection="1">
      <alignment horizontal="right" indent="1"/>
      <protection locked="0"/>
    </xf>
    <xf numFmtId="0" fontId="16" fillId="16" borderId="9" xfId="0" applyFont="1" applyFill="1" applyBorder="1" applyAlignment="1" applyProtection="1">
      <alignment horizontal="center"/>
      <protection hidden="1"/>
    </xf>
    <xf numFmtId="0" fontId="10" fillId="16" borderId="40" xfId="0" applyFont="1" applyFill="1" applyBorder="1" applyAlignment="1" applyProtection="1">
      <alignment horizontal="center"/>
      <protection hidden="1"/>
    </xf>
    <xf numFmtId="0" fontId="0" fillId="0" borderId="55" xfId="0" applyBorder="1" applyAlignment="1">
      <alignment horizontal="center"/>
    </xf>
    <xf numFmtId="39" fontId="3" fillId="17" borderId="40" xfId="0" applyNumberFormat="1" applyFont="1" applyFill="1" applyBorder="1" applyProtection="1">
      <protection locked="0"/>
    </xf>
    <xf numFmtId="39" fontId="3" fillId="17" borderId="26" xfId="0" applyNumberFormat="1" applyFont="1" applyFill="1" applyBorder="1" applyProtection="1">
      <protection locked="0"/>
    </xf>
    <xf numFmtId="37" fontId="1" fillId="28" borderId="40" xfId="0" applyNumberFormat="1" applyFont="1" applyFill="1" applyBorder="1" applyProtection="1">
      <protection hidden="1"/>
    </xf>
    <xf numFmtId="37" fontId="1" fillId="28" borderId="26" xfId="0" applyNumberFormat="1" applyFont="1" applyFill="1" applyBorder="1" applyProtection="1">
      <protection hidden="1"/>
    </xf>
    <xf numFmtId="0" fontId="16" fillId="16" borderId="40" xfId="0" applyFont="1" applyFill="1" applyBorder="1" applyAlignment="1" applyProtection="1">
      <alignment horizontal="center" vertical="center"/>
      <protection hidden="1"/>
    </xf>
    <xf numFmtId="0" fontId="16" fillId="16" borderId="55" xfId="0" applyFont="1" applyFill="1" applyBorder="1" applyAlignment="1">
      <alignment horizontal="center" vertical="center"/>
    </xf>
    <xf numFmtId="37" fontId="1" fillId="17" borderId="13" xfId="0" applyNumberFormat="1" applyFont="1" applyFill="1" applyBorder="1" applyAlignment="1" applyProtection="1">
      <alignment horizontal="right" indent="1"/>
      <protection locked="0"/>
    </xf>
    <xf numFmtId="0" fontId="0" fillId="0" borderId="13" xfId="0" applyBorder="1" applyAlignment="1" applyProtection="1">
      <alignment horizontal="right" indent="1"/>
      <protection locked="0"/>
    </xf>
    <xf numFmtId="0" fontId="16" fillId="17" borderId="26" xfId="0" applyFont="1" applyFill="1" applyBorder="1" applyAlignment="1" applyProtection="1">
      <alignment horizontal="left"/>
      <protection locked="0"/>
    </xf>
    <xf numFmtId="0" fontId="1" fillId="17" borderId="26" xfId="0" applyFont="1" applyFill="1" applyBorder="1" applyAlignment="1" applyProtection="1">
      <alignment horizontal="left"/>
      <protection locked="0"/>
    </xf>
    <xf numFmtId="0" fontId="1" fillId="17" borderId="55" xfId="0" applyFont="1" applyFill="1" applyBorder="1" applyAlignment="1" applyProtection="1">
      <alignment horizontal="left"/>
      <protection locked="0"/>
    </xf>
    <xf numFmtId="0" fontId="1" fillId="17" borderId="40" xfId="0" applyFont="1" applyFill="1" applyBorder="1" applyAlignment="1" applyProtection="1">
      <alignment horizontal="center"/>
      <protection locked="0"/>
    </xf>
    <xf numFmtId="0" fontId="1" fillId="17" borderId="26" xfId="0" applyFont="1" applyFill="1" applyBorder="1" applyAlignment="1" applyProtection="1">
      <alignment horizontal="center"/>
      <protection locked="0"/>
    </xf>
    <xf numFmtId="0" fontId="1" fillId="17" borderId="55" xfId="0" applyFont="1" applyFill="1" applyBorder="1" applyAlignment="1" applyProtection="1">
      <alignment horizontal="center"/>
      <protection locked="0"/>
    </xf>
    <xf numFmtId="39" fontId="3" fillId="17" borderId="13" xfId="0" applyNumberFormat="1" applyFont="1" applyFill="1" applyBorder="1" applyAlignment="1" applyProtection="1">
      <alignment horizontal="right" wrapText="1" indent="1"/>
      <protection locked="0"/>
    </xf>
    <xf numFmtId="39" fontId="3" fillId="17" borderId="40" xfId="0" applyNumberFormat="1" applyFont="1" applyFill="1" applyBorder="1" applyAlignment="1" applyProtection="1">
      <alignment horizontal="right" wrapText="1" indent="1"/>
      <protection locked="0"/>
    </xf>
    <xf numFmtId="39" fontId="3" fillId="17" borderId="26" xfId="0" applyNumberFormat="1" applyFont="1" applyFill="1" applyBorder="1" applyAlignment="1" applyProtection="1">
      <alignment horizontal="right" wrapText="1" indent="1"/>
      <protection locked="0"/>
    </xf>
    <xf numFmtId="39" fontId="3" fillId="17" borderId="55" xfId="0" applyNumberFormat="1" applyFont="1" applyFill="1" applyBorder="1" applyAlignment="1" applyProtection="1">
      <alignment horizontal="right" wrapText="1" indent="1"/>
      <protection locked="0"/>
    </xf>
    <xf numFmtId="0" fontId="16" fillId="16" borderId="1" xfId="0" applyFont="1" applyFill="1" applyBorder="1" applyAlignment="1" applyProtection="1">
      <alignment horizontal="center"/>
      <protection hidden="1"/>
    </xf>
    <xf numFmtId="37" fontId="1" fillId="28" borderId="40" xfId="0" applyNumberFormat="1" applyFont="1" applyFill="1" applyBorder="1" applyAlignment="1" applyProtection="1">
      <alignment horizontal="right" indent="1"/>
      <protection hidden="1"/>
    </xf>
    <xf numFmtId="37" fontId="1" fillId="28" borderId="26" xfId="0" applyNumberFormat="1" applyFont="1" applyFill="1" applyBorder="1" applyAlignment="1" applyProtection="1">
      <alignment horizontal="right" indent="1"/>
      <protection hidden="1"/>
    </xf>
    <xf numFmtId="0" fontId="152" fillId="32" borderId="26" xfId="0" applyFont="1" applyFill="1" applyBorder="1" applyAlignment="1" applyProtection="1">
      <alignment horizontal="center"/>
      <protection hidden="1"/>
    </xf>
    <xf numFmtId="0" fontId="138" fillId="32" borderId="26" xfId="0" applyFont="1" applyFill="1" applyBorder="1" applyAlignment="1" applyProtection="1">
      <alignment horizontal="center"/>
      <protection hidden="1"/>
    </xf>
    <xf numFmtId="0" fontId="0" fillId="0" borderId="55" xfId="0" applyBorder="1" applyAlignment="1" applyProtection="1">
      <alignment horizontal="center"/>
      <protection hidden="1"/>
    </xf>
    <xf numFmtId="37" fontId="1" fillId="28" borderId="40" xfId="0" applyNumberFormat="1" applyFont="1" applyFill="1" applyBorder="1" applyAlignment="1" applyProtection="1">
      <alignment horizontal="right" indent="2"/>
      <protection hidden="1"/>
    </xf>
    <xf numFmtId="37" fontId="1" fillId="28" borderId="26" xfId="0" applyNumberFormat="1" applyFont="1" applyFill="1" applyBorder="1" applyAlignment="1" applyProtection="1">
      <alignment horizontal="right" indent="2"/>
      <protection hidden="1"/>
    </xf>
    <xf numFmtId="0" fontId="5" fillId="16" borderId="9" xfId="0" applyFont="1" applyFill="1" applyBorder="1" applyAlignment="1">
      <alignment horizontal="center" vertical="center" wrapText="1"/>
    </xf>
    <xf numFmtId="0" fontId="0" fillId="16" borderId="9"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0" xfId="0" applyFill="1" applyAlignment="1">
      <alignment horizontal="center" vertical="center" wrapText="1"/>
    </xf>
    <xf numFmtId="0" fontId="0" fillId="16" borderId="25" xfId="0" applyFill="1" applyBorder="1" applyAlignment="1">
      <alignment horizontal="center" vertical="center" wrapText="1"/>
    </xf>
    <xf numFmtId="0" fontId="0" fillId="16" borderId="1" xfId="0" applyFill="1" applyBorder="1" applyAlignment="1">
      <alignment horizontal="center" vertical="center" wrapText="1"/>
    </xf>
    <xf numFmtId="0" fontId="0" fillId="16" borderId="12" xfId="0" applyFill="1" applyBorder="1" applyAlignment="1">
      <alignment horizontal="center" vertical="center" wrapText="1"/>
    </xf>
    <xf numFmtId="0" fontId="5" fillId="16" borderId="16" xfId="0" applyFont="1" applyFill="1" applyBorder="1" applyAlignment="1" applyProtection="1">
      <alignment horizontal="center" vertical="center" wrapText="1"/>
      <protection hidden="1"/>
    </xf>
    <xf numFmtId="0" fontId="5" fillId="0" borderId="1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11" xfId="0" applyFont="1" applyBorder="1" applyAlignment="1">
      <alignment horizontal="center" vertical="center" wrapText="1"/>
    </xf>
    <xf numFmtId="0" fontId="8" fillId="16" borderId="16" xfId="0" applyFont="1" applyFill="1" applyBorder="1" applyAlignment="1" applyProtection="1">
      <alignment horizontal="center" vertical="center" wrapText="1"/>
      <protection hidden="1"/>
    </xf>
    <xf numFmtId="0" fontId="8" fillId="0" borderId="1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1" xfId="0" applyFont="1" applyBorder="1" applyAlignment="1">
      <alignment horizontal="center" vertical="center" wrapText="1"/>
    </xf>
    <xf numFmtId="0" fontId="5" fillId="16" borderId="31" xfId="0" applyFont="1" applyFill="1" applyBorder="1" applyAlignment="1" applyProtection="1">
      <alignment horizontal="center" vertical="center" wrapText="1"/>
      <protection hidden="1"/>
    </xf>
    <xf numFmtId="0" fontId="5" fillId="0" borderId="9"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5" fillId="0" borderId="25"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2" xfId="0" applyFont="1" applyBorder="1" applyAlignment="1">
      <alignment horizontal="center" vertical="center" wrapText="1"/>
    </xf>
    <xf numFmtId="0" fontId="10" fillId="16" borderId="0" xfId="0" applyFont="1" applyFill="1" applyAlignment="1" applyProtection="1">
      <alignment horizontal="center"/>
      <protection hidden="1"/>
    </xf>
    <xf numFmtId="37" fontId="1" fillId="28" borderId="40" xfId="0" applyNumberFormat="1" applyFont="1" applyFill="1" applyBorder="1" applyAlignment="1" applyProtection="1">
      <alignment horizontal="right" wrapText="1" indent="1"/>
      <protection hidden="1"/>
    </xf>
    <xf numFmtId="37" fontId="1" fillId="28" borderId="26" xfId="0" applyNumberFormat="1" applyFont="1" applyFill="1" applyBorder="1" applyAlignment="1" applyProtection="1">
      <alignment horizontal="right" wrapText="1" indent="1"/>
      <protection hidden="1"/>
    </xf>
    <xf numFmtId="37" fontId="1" fillId="28" borderId="69" xfId="0" applyNumberFormat="1" applyFont="1" applyFill="1" applyBorder="1" applyAlignment="1" applyProtection="1">
      <alignment horizontal="right" wrapText="1" indent="1"/>
      <protection hidden="1"/>
    </xf>
    <xf numFmtId="0" fontId="16" fillId="16" borderId="0" xfId="0" applyFont="1" applyFill="1" applyAlignment="1" applyProtection="1">
      <alignment horizontal="right" indent="1"/>
      <protection hidden="1"/>
    </xf>
    <xf numFmtId="0" fontId="1" fillId="0" borderId="26" xfId="0" applyFont="1" applyBorder="1" applyAlignment="1" applyProtection="1">
      <alignment horizontal="right" indent="1"/>
      <protection hidden="1"/>
    </xf>
    <xf numFmtId="0" fontId="1" fillId="0" borderId="55" xfId="0" applyFont="1" applyBorder="1" applyAlignment="1" applyProtection="1">
      <alignment horizontal="right" indent="1"/>
      <protection hidden="1"/>
    </xf>
    <xf numFmtId="0" fontId="3" fillId="16" borderId="9" xfId="0" applyFont="1" applyFill="1" applyBorder="1" applyAlignment="1" applyProtection="1">
      <alignment horizontal="center" vertical="center" wrapText="1"/>
      <protection hidden="1"/>
    </xf>
    <xf numFmtId="0" fontId="0" fillId="0" borderId="15" xfId="0" applyBorder="1" applyAlignment="1">
      <alignment horizontal="center" vertical="center"/>
    </xf>
    <xf numFmtId="0" fontId="0" fillId="0" borderId="25" xfId="0" applyBorder="1" applyAlignment="1">
      <alignment horizontal="center" vertical="center"/>
    </xf>
    <xf numFmtId="0" fontId="0" fillId="0" borderId="12" xfId="0" applyBorder="1" applyAlignment="1">
      <alignment horizontal="center" vertical="center"/>
    </xf>
    <xf numFmtId="0" fontId="3" fillId="16" borderId="31" xfId="0" applyFont="1" applyFill="1" applyBorder="1" applyAlignment="1" applyProtection="1">
      <alignment horizontal="center" vertical="center" wrapText="1"/>
      <protection hidden="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vertical="center" wrapText="1"/>
    </xf>
    <xf numFmtId="0" fontId="3" fillId="16" borderId="85" xfId="0" applyFont="1" applyFill="1" applyBorder="1" applyAlignment="1" applyProtection="1">
      <alignment horizontal="center" vertical="center" wrapText="1"/>
      <protection hidden="1"/>
    </xf>
    <xf numFmtId="0" fontId="0" fillId="0" borderId="27" xfId="0" applyBorder="1" applyAlignment="1">
      <alignment horizontal="center" vertical="center"/>
    </xf>
    <xf numFmtId="39" fontId="3" fillId="17" borderId="55" xfId="0" applyNumberFormat="1" applyFont="1" applyFill="1" applyBorder="1" applyProtection="1">
      <protection locked="0"/>
    </xf>
    <xf numFmtId="39" fontId="3" fillId="17" borderId="40" xfId="0" applyNumberFormat="1" applyFont="1" applyFill="1" applyBorder="1" applyAlignment="1" applyProtection="1">
      <alignment horizontal="right" indent="1"/>
      <protection locked="0"/>
    </xf>
    <xf numFmtId="39" fontId="3" fillId="17" borderId="26" xfId="0" applyNumberFormat="1" applyFont="1" applyFill="1" applyBorder="1" applyAlignment="1" applyProtection="1">
      <alignment horizontal="right" indent="1"/>
      <protection locked="0"/>
    </xf>
    <xf numFmtId="39" fontId="3" fillId="17" borderId="69" xfId="0" applyNumberFormat="1" applyFont="1" applyFill="1" applyBorder="1" applyAlignment="1" applyProtection="1">
      <alignment horizontal="right" indent="1"/>
      <protection locked="0"/>
    </xf>
    <xf numFmtId="39" fontId="3" fillId="17" borderId="47" xfId="0" applyNumberFormat="1" applyFont="1" applyFill="1" applyBorder="1" applyAlignment="1" applyProtection="1">
      <alignment horizontal="right" indent="1"/>
      <protection locked="0"/>
    </xf>
    <xf numFmtId="39" fontId="3" fillId="17" borderId="13" xfId="0" applyNumberFormat="1" applyFont="1" applyFill="1" applyBorder="1" applyAlignment="1" applyProtection="1">
      <alignment horizontal="right" indent="1"/>
      <protection locked="0"/>
    </xf>
    <xf numFmtId="0" fontId="152" fillId="32" borderId="1" xfId="0" applyFont="1" applyFill="1" applyBorder="1" applyAlignment="1" applyProtection="1">
      <alignment horizontal="center"/>
      <protection hidden="1"/>
    </xf>
    <xf numFmtId="0" fontId="138" fillId="32" borderId="1" xfId="0" applyFont="1" applyFill="1" applyBorder="1" applyAlignment="1" applyProtection="1">
      <alignment horizontal="center"/>
      <protection hidden="1"/>
    </xf>
    <xf numFmtId="0" fontId="5" fillId="0" borderId="9" xfId="0" applyFont="1" applyBorder="1" applyAlignment="1">
      <alignment horizontal="center" vertical="center"/>
    </xf>
    <xf numFmtId="0" fontId="5" fillId="0" borderId="3" xfId="0" applyFont="1" applyBorder="1" applyAlignment="1">
      <alignment horizontal="center" vertical="center"/>
    </xf>
    <xf numFmtId="0" fontId="5" fillId="0" borderId="0" xfId="0" applyFont="1" applyAlignment="1">
      <alignment horizontal="center" vertical="center"/>
    </xf>
    <xf numFmtId="0" fontId="5" fillId="0" borderId="10" xfId="0" applyFont="1" applyBorder="1" applyAlignment="1">
      <alignment horizontal="center" vertical="center"/>
    </xf>
    <xf numFmtId="37" fontId="1" fillId="17" borderId="40" xfId="0" applyNumberFormat="1" applyFont="1" applyFill="1" applyBorder="1" applyAlignment="1" applyProtection="1">
      <alignment horizontal="left" wrapText="1" indent="1"/>
      <protection locked="0"/>
    </xf>
    <xf numFmtId="37" fontId="1" fillId="17" borderId="26" xfId="0" applyNumberFormat="1" applyFont="1" applyFill="1" applyBorder="1" applyAlignment="1" applyProtection="1">
      <alignment horizontal="left" wrapText="1" indent="1"/>
      <protection locked="0"/>
    </xf>
    <xf numFmtId="0" fontId="0" fillId="0" borderId="26" xfId="0" applyBorder="1" applyAlignment="1" applyProtection="1">
      <alignment horizontal="left" wrapText="1" indent="1"/>
      <protection locked="0"/>
    </xf>
    <xf numFmtId="0" fontId="0" fillId="0" borderId="55" xfId="0" applyBorder="1" applyAlignment="1" applyProtection="1">
      <alignment horizontal="left" wrapText="1" indent="1"/>
      <protection locked="0"/>
    </xf>
    <xf numFmtId="37" fontId="1" fillId="17" borderId="40" xfId="0" applyNumberFormat="1" applyFont="1" applyFill="1" applyBorder="1" applyAlignment="1" applyProtection="1">
      <alignment horizontal="center" wrapText="1"/>
      <protection locked="0"/>
    </xf>
    <xf numFmtId="37" fontId="1" fillId="17" borderId="26" xfId="0" applyNumberFormat="1" applyFont="1" applyFill="1" applyBorder="1" applyAlignment="1" applyProtection="1">
      <alignment horizontal="center" wrapText="1"/>
      <protection locked="0"/>
    </xf>
    <xf numFmtId="0" fontId="16" fillId="16" borderId="26" xfId="0" applyFont="1" applyFill="1" applyBorder="1" applyAlignment="1" applyProtection="1">
      <alignment horizontal="center"/>
      <protection hidden="1"/>
    </xf>
    <xf numFmtId="0" fontId="0" fillId="0" borderId="26" xfId="0" applyBorder="1" applyAlignment="1">
      <alignment horizontal="center"/>
    </xf>
    <xf numFmtId="0" fontId="0" fillId="0" borderId="69" xfId="0" applyBorder="1" applyAlignment="1">
      <alignment horizontal="center"/>
    </xf>
    <xf numFmtId="0" fontId="16" fillId="16" borderId="68" xfId="0" applyFont="1" applyFill="1" applyBorder="1" applyAlignment="1" applyProtection="1">
      <alignment horizontal="center"/>
      <protection hidden="1"/>
    </xf>
    <xf numFmtId="0" fontId="16" fillId="16" borderId="31" xfId="0" applyFont="1" applyFill="1" applyBorder="1" applyAlignment="1" applyProtection="1">
      <alignment horizontal="center" vertical="center"/>
      <protection hidden="1"/>
    </xf>
    <xf numFmtId="0" fontId="16" fillId="16" borderId="15" xfId="0" applyFont="1" applyFill="1" applyBorder="1" applyAlignment="1" applyProtection="1">
      <alignment horizontal="center" vertical="center"/>
      <protection hidden="1"/>
    </xf>
    <xf numFmtId="37" fontId="1" fillId="28" borderId="26" xfId="0" applyNumberFormat="1" applyFont="1" applyFill="1" applyBorder="1" applyAlignment="1">
      <alignment horizontal="right" indent="2"/>
    </xf>
    <xf numFmtId="37" fontId="1" fillId="28" borderId="9" xfId="0" applyNumberFormat="1" applyFont="1" applyFill="1" applyBorder="1" applyAlignment="1">
      <alignment horizontal="right"/>
    </xf>
    <xf numFmtId="0" fontId="16" fillId="16" borderId="5" xfId="0" applyFont="1" applyFill="1" applyBorder="1" applyAlignment="1" applyProtection="1">
      <alignment horizontal="center"/>
      <protection hidden="1"/>
    </xf>
    <xf numFmtId="0" fontId="16" fillId="16" borderId="198" xfId="0" applyFont="1" applyFill="1" applyBorder="1" applyAlignment="1" applyProtection="1">
      <alignment horizontal="center" vertical="center"/>
      <protection hidden="1"/>
    </xf>
    <xf numFmtId="0" fontId="16" fillId="16" borderId="199" xfId="0" applyFont="1" applyFill="1" applyBorder="1" applyAlignment="1" applyProtection="1">
      <alignment horizontal="center" vertical="center"/>
      <protection hidden="1"/>
    </xf>
    <xf numFmtId="37" fontId="1" fillId="28" borderId="198" xfId="0" applyNumberFormat="1" applyFont="1" applyFill="1" applyBorder="1" applyAlignment="1" applyProtection="1">
      <alignment horizontal="right" indent="2"/>
      <protection hidden="1"/>
    </xf>
    <xf numFmtId="37" fontId="1" fillId="28" borderId="75" xfId="0" applyNumberFormat="1" applyFont="1" applyFill="1" applyBorder="1" applyAlignment="1">
      <alignment horizontal="right" indent="2"/>
    </xf>
    <xf numFmtId="37" fontId="1" fillId="20" borderId="68" xfId="0" applyNumberFormat="1" applyFont="1" applyFill="1" applyBorder="1" applyAlignment="1" applyProtection="1">
      <alignment horizontal="right" wrapText="1" indent="1"/>
      <protection locked="0"/>
    </xf>
    <xf numFmtId="37" fontId="1" fillId="20" borderId="26" xfId="0" applyNumberFormat="1" applyFont="1" applyFill="1" applyBorder="1" applyAlignment="1" applyProtection="1">
      <alignment horizontal="right" wrapText="1" indent="1"/>
      <protection locked="0"/>
    </xf>
    <xf numFmtId="37" fontId="1" fillId="28" borderId="26" xfId="0" applyNumberFormat="1" applyFont="1" applyFill="1" applyBorder="1" applyAlignment="1">
      <alignment horizontal="right" indent="1"/>
    </xf>
    <xf numFmtId="37" fontId="1" fillId="28" borderId="55" xfId="0" applyNumberFormat="1" applyFont="1" applyFill="1" applyBorder="1" applyAlignment="1">
      <alignment horizontal="right" indent="1"/>
    </xf>
    <xf numFmtId="37" fontId="1" fillId="20" borderId="40" xfId="0" applyNumberFormat="1" applyFont="1" applyFill="1" applyBorder="1" applyAlignment="1" applyProtection="1">
      <alignment horizontal="right" wrapText="1" indent="1"/>
      <protection hidden="1"/>
    </xf>
    <xf numFmtId="37" fontId="1" fillId="20" borderId="26" xfId="0" applyNumberFormat="1" applyFont="1" applyFill="1" applyBorder="1" applyAlignment="1" applyProtection="1">
      <alignment horizontal="right" wrapText="1" indent="1"/>
      <protection hidden="1"/>
    </xf>
    <xf numFmtId="37" fontId="1" fillId="20" borderId="69" xfId="0" applyNumberFormat="1" applyFont="1" applyFill="1" applyBorder="1" applyAlignment="1" applyProtection="1">
      <alignment horizontal="right" wrapText="1" indent="1"/>
      <protection hidden="1"/>
    </xf>
    <xf numFmtId="37" fontId="1" fillId="28" borderId="68" xfId="0" applyNumberFormat="1" applyFont="1" applyFill="1" applyBorder="1" applyAlignment="1" applyProtection="1">
      <alignment horizontal="right" wrapText="1" indent="1"/>
      <protection hidden="1"/>
    </xf>
    <xf numFmtId="37" fontId="1" fillId="28" borderId="55" xfId="0" applyNumberFormat="1" applyFont="1" applyFill="1" applyBorder="1" applyAlignment="1" applyProtection="1">
      <alignment horizontal="right" wrapText="1" indent="1"/>
      <protection hidden="1"/>
    </xf>
    <xf numFmtId="37" fontId="1" fillId="28" borderId="13" xfId="0" applyNumberFormat="1" applyFont="1" applyFill="1" applyBorder="1" applyAlignment="1" applyProtection="1">
      <alignment horizontal="right" wrapText="1" indent="1"/>
      <protection hidden="1"/>
    </xf>
    <xf numFmtId="37" fontId="1" fillId="20" borderId="13" xfId="0" applyNumberFormat="1" applyFont="1" applyFill="1" applyBorder="1" applyAlignment="1" applyProtection="1">
      <alignment horizontal="right" indent="1"/>
      <protection hidden="1"/>
    </xf>
    <xf numFmtId="37" fontId="1" fillId="20" borderId="40" xfId="0" applyNumberFormat="1" applyFont="1" applyFill="1" applyBorder="1" applyAlignment="1" applyProtection="1">
      <alignment horizontal="right" indent="1"/>
      <protection hidden="1"/>
    </xf>
    <xf numFmtId="39" fontId="3" fillId="17" borderId="69" xfId="0" applyNumberFormat="1" applyFont="1" applyFill="1" applyBorder="1" applyAlignment="1" applyProtection="1">
      <alignment horizontal="right" wrapText="1" indent="1"/>
      <protection locked="0"/>
    </xf>
    <xf numFmtId="0" fontId="1" fillId="17" borderId="40" xfId="0" applyFont="1" applyFill="1" applyBorder="1" applyProtection="1">
      <protection locked="0"/>
    </xf>
    <xf numFmtId="0" fontId="1" fillId="17" borderId="26" xfId="0" applyFont="1" applyFill="1" applyBorder="1" applyProtection="1">
      <protection locked="0"/>
    </xf>
    <xf numFmtId="0" fontId="1" fillId="17" borderId="55" xfId="0" applyFont="1" applyFill="1" applyBorder="1" applyProtection="1">
      <protection locked="0"/>
    </xf>
    <xf numFmtId="0" fontId="1" fillId="17" borderId="26" xfId="0" applyFont="1" applyFill="1" applyBorder="1" applyAlignment="1" applyProtection="1">
      <alignment horizontal="center" vertical="center"/>
      <protection locked="0"/>
    </xf>
    <xf numFmtId="0" fontId="1" fillId="17" borderId="55" xfId="0" applyFont="1" applyFill="1" applyBorder="1" applyAlignment="1" applyProtection="1">
      <alignment horizontal="center" vertical="center"/>
      <protection locked="0"/>
    </xf>
    <xf numFmtId="0" fontId="16" fillId="0" borderId="9" xfId="0" applyFont="1" applyBorder="1" applyAlignment="1">
      <alignment horizontal="center"/>
    </xf>
    <xf numFmtId="0" fontId="16" fillId="0" borderId="26" xfId="0" applyFont="1" applyBorder="1" applyAlignment="1">
      <alignment horizontal="center"/>
    </xf>
    <xf numFmtId="0" fontId="5" fillId="16" borderId="9" xfId="0" applyFont="1" applyFill="1" applyBorder="1" applyAlignment="1" applyProtection="1">
      <alignment horizontal="center" vertical="center" wrapText="1"/>
      <protection hidden="1"/>
    </xf>
    <xf numFmtId="0" fontId="5" fillId="16" borderId="85" xfId="0" applyFont="1" applyFill="1" applyBorder="1" applyAlignment="1" applyProtection="1">
      <alignment horizontal="center" vertical="center" wrapText="1"/>
      <protection hidden="1"/>
    </xf>
    <xf numFmtId="0" fontId="5" fillId="0" borderId="6" xfId="0" applyFont="1" applyBorder="1" applyAlignment="1">
      <alignment horizontal="center" vertical="center" wrapText="1"/>
    </xf>
    <xf numFmtId="0" fontId="5" fillId="0" borderId="27" xfId="0" applyFont="1" applyBorder="1" applyAlignment="1">
      <alignment horizontal="center" vertical="center" wrapText="1"/>
    </xf>
    <xf numFmtId="166" fontId="10" fillId="17" borderId="1" xfId="0" applyNumberFormat="1" applyFont="1" applyFill="1" applyBorder="1" applyAlignment="1" applyProtection="1">
      <alignment horizontal="center"/>
      <protection locked="0"/>
    </xf>
    <xf numFmtId="0" fontId="8" fillId="16"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25"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2" xfId="0" applyFont="1" applyBorder="1" applyAlignment="1">
      <alignment horizontal="center" vertical="center" wrapText="1"/>
    </xf>
    <xf numFmtId="0" fontId="14" fillId="16" borderId="0" xfId="0" applyFont="1" applyFill="1" applyAlignment="1" applyProtection="1">
      <alignment horizontal="center" vertical="center" wrapText="1"/>
      <protection hidden="1"/>
    </xf>
    <xf numFmtId="0" fontId="10" fillId="16" borderId="40" xfId="0" applyFont="1" applyFill="1" applyBorder="1" applyAlignment="1" applyProtection="1">
      <alignment horizontal="center" vertical="center"/>
      <protection hidden="1"/>
    </xf>
    <xf numFmtId="0" fontId="10" fillId="0" borderId="55" xfId="0" applyFont="1" applyBorder="1" applyAlignment="1">
      <alignment horizontal="center" vertical="center"/>
    </xf>
    <xf numFmtId="37" fontId="16" fillId="28" borderId="26" xfId="0" applyNumberFormat="1" applyFont="1" applyFill="1" applyBorder="1" applyAlignment="1" applyProtection="1">
      <alignment horizontal="right" vertical="center"/>
      <protection hidden="1"/>
    </xf>
    <xf numFmtId="0" fontId="0" fillId="0" borderId="26" xfId="0" applyBorder="1" applyAlignment="1">
      <alignment horizontal="right" vertical="center"/>
    </xf>
    <xf numFmtId="0" fontId="10" fillId="16" borderId="70" xfId="0" applyFont="1" applyFill="1" applyBorder="1" applyAlignment="1" applyProtection="1">
      <alignment horizontal="center" vertical="center"/>
      <protection hidden="1"/>
    </xf>
    <xf numFmtId="0" fontId="10" fillId="0" borderId="71" xfId="0" applyFont="1" applyBorder="1" applyAlignment="1">
      <alignment horizontal="center" vertical="center"/>
    </xf>
    <xf numFmtId="37" fontId="16" fillId="28" borderId="70" xfId="0" applyNumberFormat="1" applyFont="1" applyFill="1" applyBorder="1" applyAlignment="1" applyProtection="1">
      <alignment horizontal="right" vertical="center" indent="2"/>
      <protection hidden="1"/>
    </xf>
    <xf numFmtId="37" fontId="16" fillId="28" borderId="5" xfId="0" applyNumberFormat="1" applyFont="1" applyFill="1" applyBorder="1" applyAlignment="1" applyProtection="1">
      <alignment horizontal="right" vertical="center" indent="2"/>
      <protection hidden="1"/>
    </xf>
    <xf numFmtId="0" fontId="6" fillId="16" borderId="31" xfId="0" applyFont="1" applyFill="1" applyBorder="1" applyProtection="1">
      <protection hidden="1"/>
    </xf>
    <xf numFmtId="0" fontId="6" fillId="16" borderId="9" xfId="0" applyFont="1" applyFill="1" applyBorder="1"/>
    <xf numFmtId="37" fontId="210" fillId="16" borderId="9" xfId="0" applyNumberFormat="1" applyFont="1" applyFill="1" applyBorder="1" applyAlignment="1" applyProtection="1">
      <alignment horizontal="right" vertical="center"/>
      <protection hidden="1"/>
    </xf>
    <xf numFmtId="0" fontId="14" fillId="16"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6" fillId="28" borderId="10" xfId="0" applyNumberFormat="1" applyFont="1" applyFill="1" applyBorder="1" applyAlignment="1" applyProtection="1">
      <alignment horizontal="right" vertical="center"/>
      <protection hidden="1"/>
    </xf>
    <xf numFmtId="37" fontId="16" fillId="28" borderId="1" xfId="0" applyNumberFormat="1" applyFont="1" applyFill="1" applyBorder="1" applyAlignment="1" applyProtection="1">
      <alignment horizontal="right" vertical="center"/>
      <protection hidden="1"/>
    </xf>
    <xf numFmtId="37" fontId="16" fillId="28" borderId="12" xfId="0" applyNumberFormat="1" applyFont="1" applyFill="1" applyBorder="1" applyAlignment="1" applyProtection="1">
      <alignment horizontal="right" vertical="center"/>
      <protection hidden="1"/>
    </xf>
    <xf numFmtId="0" fontId="10" fillId="16" borderId="10" xfId="0" applyFont="1" applyFill="1" applyBorder="1" applyAlignment="1" applyProtection="1">
      <alignment horizontal="center" vertical="center"/>
      <protection hidden="1"/>
    </xf>
    <xf numFmtId="0" fontId="10" fillId="0" borderId="12" xfId="0" applyFont="1" applyBorder="1" applyAlignment="1">
      <alignment horizontal="center" vertical="center"/>
    </xf>
    <xf numFmtId="37" fontId="16" fillId="28" borderId="40" xfId="0" applyNumberFormat="1" applyFont="1" applyFill="1" applyBorder="1" applyAlignment="1" applyProtection="1">
      <alignment horizontal="right" vertical="center" indent="2"/>
      <protection hidden="1"/>
    </xf>
    <xf numFmtId="37" fontId="16" fillId="28" borderId="26" xfId="0" applyNumberFormat="1" applyFont="1" applyFill="1" applyBorder="1" applyAlignment="1" applyProtection="1">
      <alignment horizontal="right" vertical="center" indent="2"/>
      <protection hidden="1"/>
    </xf>
    <xf numFmtId="0" fontId="10" fillId="16" borderId="3" xfId="0" applyFont="1" applyFill="1" applyBorder="1" applyAlignment="1" applyProtection="1">
      <alignment horizontal="center" vertical="center"/>
      <protection hidden="1"/>
    </xf>
    <xf numFmtId="0" fontId="10" fillId="0" borderId="25" xfId="0" applyFont="1" applyBorder="1" applyAlignment="1">
      <alignment horizontal="center" vertical="center"/>
    </xf>
    <xf numFmtId="3" fontId="16" fillId="16" borderId="3" xfId="0" applyNumberFormat="1" applyFont="1" applyFill="1" applyBorder="1" applyAlignment="1" applyProtection="1">
      <alignment horizontal="right" vertical="center"/>
      <protection hidden="1"/>
    </xf>
    <xf numFmtId="3" fontId="16" fillId="16" borderId="0" xfId="0" applyNumberFormat="1" applyFont="1" applyFill="1" applyAlignment="1" applyProtection="1">
      <alignment horizontal="right" vertical="center"/>
      <protection hidden="1"/>
    </xf>
    <xf numFmtId="3" fontId="16" fillId="16" borderId="25"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0" fontId="53" fillId="0" borderId="40" xfId="0" applyFont="1" applyBorder="1" applyAlignment="1" applyProtection="1">
      <alignment horizontal="center" vertical="center"/>
      <protection hidden="1"/>
    </xf>
    <xf numFmtId="0" fontId="0" fillId="0" borderId="55" xfId="0" applyBorder="1" applyAlignment="1">
      <alignment horizontal="center" vertical="center"/>
    </xf>
    <xf numFmtId="37" fontId="16" fillId="28" borderId="40" xfId="0" applyNumberFormat="1" applyFont="1" applyFill="1" applyBorder="1" applyAlignment="1" applyProtection="1">
      <alignment horizontal="right" vertical="center"/>
      <protection hidden="1"/>
    </xf>
    <xf numFmtId="0" fontId="10" fillId="16" borderId="31" xfId="0" applyFont="1" applyFill="1" applyBorder="1" applyAlignment="1" applyProtection="1">
      <alignment horizontal="center" vertical="center"/>
      <protection hidden="1"/>
    </xf>
    <xf numFmtId="0" fontId="10" fillId="0" borderId="15" xfId="0" applyFont="1" applyBorder="1" applyAlignment="1">
      <alignment horizontal="center" vertical="center"/>
    </xf>
    <xf numFmtId="3" fontId="16" fillId="16" borderId="31" xfId="0" applyNumberFormat="1" applyFont="1" applyFill="1" applyBorder="1" applyAlignment="1" applyProtection="1">
      <alignment horizontal="right" vertical="center"/>
      <protection hidden="1"/>
    </xf>
    <xf numFmtId="3" fontId="16" fillId="16" borderId="9" xfId="0" applyNumberFormat="1" applyFont="1" applyFill="1" applyBorder="1" applyAlignment="1" applyProtection="1">
      <alignment horizontal="right" vertical="center"/>
      <protection hidden="1"/>
    </xf>
    <xf numFmtId="3" fontId="16" fillId="16" borderId="15" xfId="0" applyNumberFormat="1" applyFont="1" applyFill="1" applyBorder="1" applyAlignment="1" applyProtection="1">
      <alignment horizontal="right" vertical="center"/>
      <protection hidden="1"/>
    </xf>
    <xf numFmtId="39" fontId="53" fillId="17" borderId="1" xfId="0" applyNumberFormat="1" applyFont="1" applyFill="1" applyBorder="1" applyAlignment="1" applyProtection="1">
      <alignment horizontal="right" vertical="center"/>
      <protection locked="0"/>
    </xf>
    <xf numFmtId="39" fontId="53" fillId="17" borderId="12" xfId="0" applyNumberFormat="1" applyFont="1" applyFill="1" applyBorder="1" applyAlignment="1" applyProtection="1">
      <alignment horizontal="right" vertical="center"/>
      <protection locked="0"/>
    </xf>
    <xf numFmtId="39" fontId="53" fillId="17" borderId="10" xfId="0" applyNumberFormat="1" applyFont="1" applyFill="1" applyBorder="1" applyAlignment="1" applyProtection="1">
      <alignment horizontal="right" vertical="center"/>
      <protection locked="0"/>
    </xf>
    <xf numFmtId="0" fontId="16" fillId="16" borderId="0" xfId="0" applyFont="1" applyFill="1" applyAlignment="1">
      <alignment horizontal="center"/>
    </xf>
    <xf numFmtId="0" fontId="1" fillId="17" borderId="92" xfId="0" applyFont="1" applyFill="1" applyBorder="1" applyAlignment="1" applyProtection="1">
      <alignment horizontal="left" vertical="center"/>
      <protection locked="0"/>
    </xf>
    <xf numFmtId="0" fontId="14" fillId="16" borderId="26" xfId="0" applyFont="1" applyFill="1" applyBorder="1" applyAlignment="1" applyProtection="1">
      <alignment horizontal="center" vertical="center" wrapText="1"/>
      <protection hidden="1"/>
    </xf>
    <xf numFmtId="0" fontId="0" fillId="0" borderId="26" xfId="0" applyBorder="1" applyAlignment="1">
      <alignment horizontal="center" vertical="center" wrapText="1"/>
    </xf>
    <xf numFmtId="39" fontId="53" fillId="17" borderId="40" xfId="0" applyNumberFormat="1" applyFont="1" applyFill="1" applyBorder="1" applyAlignment="1" applyProtection="1">
      <alignment horizontal="right" vertical="center"/>
      <protection locked="0"/>
    </xf>
    <xf numFmtId="39" fontId="53" fillId="17" borderId="26" xfId="0" applyNumberFormat="1" applyFont="1" applyFill="1" applyBorder="1" applyAlignment="1" applyProtection="1">
      <alignment horizontal="right" vertical="center"/>
      <protection locked="0"/>
    </xf>
    <xf numFmtId="39" fontId="53" fillId="17" borderId="55" xfId="0" applyNumberFormat="1" applyFont="1" applyFill="1" applyBorder="1" applyAlignment="1" applyProtection="1">
      <alignment horizontal="right" vertical="center"/>
      <protection locked="0"/>
    </xf>
    <xf numFmtId="37" fontId="8" fillId="16" borderId="31" xfId="0" applyNumberFormat="1" applyFont="1" applyFill="1" applyBorder="1" applyAlignment="1" applyProtection="1">
      <alignment horizontal="center" vertical="center"/>
      <protection hidden="1"/>
    </xf>
    <xf numFmtId="0" fontId="8" fillId="0" borderId="9" xfId="0" applyFont="1" applyBorder="1" applyAlignment="1">
      <alignment horizontal="center" vertical="center"/>
    </xf>
    <xf numFmtId="0" fontId="10" fillId="16" borderId="26" xfId="0" applyFont="1" applyFill="1" applyBorder="1" applyAlignment="1" applyProtection="1">
      <alignment horizontal="center"/>
      <protection hidden="1"/>
    </xf>
    <xf numFmtId="0" fontId="16" fillId="17" borderId="40" xfId="0" applyFont="1" applyFill="1" applyBorder="1" applyAlignment="1" applyProtection="1">
      <alignment horizontal="center"/>
      <protection locked="0"/>
    </xf>
    <xf numFmtId="0" fontId="53" fillId="0" borderId="26" xfId="0" applyFont="1" applyBorder="1" applyAlignment="1" applyProtection="1">
      <alignment horizontal="center"/>
      <protection locked="0"/>
    </xf>
    <xf numFmtId="0" fontId="53" fillId="0" borderId="55" xfId="0" applyFont="1" applyBorder="1" applyAlignment="1" applyProtection="1">
      <alignment horizontal="center"/>
      <protection locked="0"/>
    </xf>
    <xf numFmtId="0" fontId="1" fillId="16" borderId="40" xfId="0" applyFont="1" applyFill="1" applyBorder="1" applyAlignment="1">
      <alignment horizontal="center"/>
    </xf>
    <xf numFmtId="0" fontId="1" fillId="16" borderId="26" xfId="0" applyFont="1" applyFill="1" applyBorder="1" applyAlignment="1">
      <alignment horizontal="center"/>
    </xf>
    <xf numFmtId="0" fontId="1" fillId="16" borderId="55" xfId="0" applyFont="1" applyFill="1" applyBorder="1" applyAlignment="1">
      <alignment horizontal="center"/>
    </xf>
    <xf numFmtId="0" fontId="10" fillId="0" borderId="26" xfId="0" applyFont="1" applyBorder="1" applyAlignment="1">
      <alignment horizontal="center" vertical="center"/>
    </xf>
    <xf numFmtId="0" fontId="10" fillId="16" borderId="40" xfId="0" applyFont="1" applyFill="1" applyBorder="1" applyAlignment="1" applyProtection="1">
      <alignment horizontal="center" vertical="center" wrapText="1"/>
      <protection hidden="1"/>
    </xf>
    <xf numFmtId="0" fontId="10" fillId="0" borderId="26" xfId="0" applyFont="1" applyBorder="1" applyAlignment="1">
      <alignment horizontal="center" vertical="center" wrapText="1"/>
    </xf>
    <xf numFmtId="0" fontId="10" fillId="0" borderId="55" xfId="0" applyFont="1" applyBorder="1" applyAlignment="1">
      <alignment horizontal="center" vertical="center" wrapText="1"/>
    </xf>
    <xf numFmtId="0" fontId="10" fillId="16" borderId="9" xfId="0" applyFont="1" applyFill="1" applyBorder="1" applyAlignment="1" applyProtection="1">
      <alignment horizontal="center"/>
      <protection hidden="1"/>
    </xf>
    <xf numFmtId="0" fontId="1" fillId="0" borderId="15" xfId="0" applyFont="1" applyBorder="1" applyAlignment="1">
      <alignment horizontal="center"/>
    </xf>
    <xf numFmtId="0" fontId="3" fillId="16" borderId="9" xfId="0" applyFont="1" applyFill="1" applyBorder="1" applyAlignment="1">
      <alignment horizontal="center" vertical="center" wrapText="1"/>
    </xf>
    <xf numFmtId="0" fontId="3" fillId="16" borderId="15" xfId="0" applyFont="1" applyFill="1" applyBorder="1" applyAlignment="1">
      <alignment horizontal="center" vertical="center" wrapText="1"/>
    </xf>
    <xf numFmtId="0" fontId="3" fillId="16" borderId="10"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10" fillId="0" borderId="9" xfId="0" applyFont="1" applyBorder="1" applyAlignment="1">
      <alignment horizontal="center" vertical="center"/>
    </xf>
    <xf numFmtId="0" fontId="5" fillId="16" borderId="9" xfId="0" applyFont="1" applyFill="1" applyBorder="1" applyAlignment="1" applyProtection="1">
      <alignment horizontal="left" vertical="center" wrapText="1"/>
      <protection hidden="1"/>
    </xf>
    <xf numFmtId="0" fontId="1" fillId="16" borderId="31" xfId="0" applyFont="1" applyFill="1" applyBorder="1" applyAlignment="1" applyProtection="1">
      <alignment horizontal="center" vertical="center" wrapText="1"/>
      <protection hidden="1"/>
    </xf>
    <xf numFmtId="0" fontId="1" fillId="0" borderId="9"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2" xfId="0" applyFont="1" applyBorder="1" applyAlignment="1">
      <alignment horizontal="center" vertical="center" wrapText="1"/>
    </xf>
    <xf numFmtId="0" fontId="3" fillId="0" borderId="9" xfId="0" applyFont="1" applyBorder="1" applyAlignment="1">
      <alignment horizontal="center"/>
    </xf>
    <xf numFmtId="0" fontId="10" fillId="16" borderId="1" xfId="0" applyFont="1" applyFill="1" applyBorder="1" applyAlignment="1" applyProtection="1">
      <alignment horizontal="center"/>
      <protection hidden="1"/>
    </xf>
    <xf numFmtId="0" fontId="3" fillId="0" borderId="1" xfId="0" applyFont="1" applyBorder="1" applyAlignment="1">
      <alignment horizontal="center"/>
    </xf>
    <xf numFmtId="0" fontId="1" fillId="0" borderId="55" xfId="0" applyFont="1" applyBorder="1" applyAlignment="1">
      <alignment horizontal="center"/>
    </xf>
    <xf numFmtId="0" fontId="1" fillId="17" borderId="40" xfId="0" applyFont="1" applyFill="1" applyBorder="1" applyAlignment="1" applyProtection="1">
      <alignment horizontal="left"/>
      <protection locked="0"/>
    </xf>
    <xf numFmtId="0" fontId="3" fillId="16" borderId="27"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10" fillId="16" borderId="0" xfId="0" applyFont="1" applyFill="1" applyAlignment="1" applyProtection="1">
      <alignment vertical="top" wrapText="1"/>
      <protection hidden="1"/>
    </xf>
    <xf numFmtId="0" fontId="0" fillId="0" borderId="21" xfId="0" applyBorder="1" applyAlignment="1">
      <alignment wrapText="1"/>
    </xf>
    <xf numFmtId="0" fontId="103" fillId="16" borderId="85" xfId="0" applyFont="1" applyFill="1" applyBorder="1" applyAlignment="1" applyProtection="1">
      <alignment horizontal="center" vertical="center" wrapText="1"/>
      <protection hidden="1"/>
    </xf>
    <xf numFmtId="0" fontId="103" fillId="16" borderId="9" xfId="0" applyFont="1" applyFill="1" applyBorder="1" applyAlignment="1" applyProtection="1">
      <alignment horizontal="center" vertical="center" wrapText="1"/>
      <protection hidden="1"/>
    </xf>
    <xf numFmtId="0" fontId="103" fillId="16" borderId="6" xfId="0" applyFont="1" applyFill="1" applyBorder="1" applyAlignment="1" applyProtection="1">
      <alignment horizontal="center" vertical="center" wrapText="1"/>
      <protection hidden="1"/>
    </xf>
    <xf numFmtId="0" fontId="103" fillId="16" borderId="0" xfId="0" applyFont="1" applyFill="1" applyAlignment="1" applyProtection="1">
      <alignment horizontal="center" vertical="center" wrapText="1"/>
      <protection hidden="1"/>
    </xf>
    <xf numFmtId="0" fontId="8" fillId="16" borderId="0" xfId="0" applyFont="1" applyFill="1" applyAlignment="1" applyProtection="1">
      <alignment horizontal="left" vertical="center" wrapText="1"/>
      <protection hidden="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0" fillId="0" borderId="5" xfId="0" applyBorder="1" applyAlignment="1">
      <alignment horizontal="left" wrapText="1"/>
    </xf>
    <xf numFmtId="0" fontId="10" fillId="16" borderId="5" xfId="0" applyFont="1" applyFill="1" applyBorder="1" applyAlignment="1" applyProtection="1">
      <alignment horizontal="left" vertical="top"/>
      <protection hidden="1"/>
    </xf>
    <xf numFmtId="0" fontId="10" fillId="16" borderId="5" xfId="0" applyFont="1" applyFill="1" applyBorder="1" applyAlignment="1">
      <alignment horizontal="left" vertical="top"/>
    </xf>
    <xf numFmtId="0" fontId="6" fillId="16" borderId="57" xfId="0" applyFont="1" applyFill="1" applyBorder="1" applyAlignment="1" applyProtection="1">
      <alignment wrapText="1"/>
      <protection hidden="1"/>
    </xf>
    <xf numFmtId="0" fontId="6" fillId="0" borderId="8" xfId="0" applyFont="1" applyBorder="1" applyAlignment="1">
      <alignment wrapText="1"/>
    </xf>
    <xf numFmtId="166" fontId="49" fillId="28"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10"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49" fontId="3" fillId="17" borderId="1" xfId="0" applyNumberFormat="1" applyFont="1" applyFill="1" applyBorder="1" applyAlignment="1" applyProtection="1">
      <alignment horizontal="left" vertical="center" wrapText="1"/>
      <protection locked="0"/>
    </xf>
    <xf numFmtId="49" fontId="0" fillId="17" borderId="1" xfId="0" applyNumberFormat="1" applyFill="1" applyBorder="1" applyAlignment="1" applyProtection="1">
      <alignment horizontal="left" vertical="center" wrapText="1"/>
      <protection locked="0"/>
    </xf>
    <xf numFmtId="1" fontId="226" fillId="10" borderId="0" xfId="0" applyNumberFormat="1" applyFont="1" applyFill="1" applyAlignment="1" applyProtection="1">
      <alignment horizontal="center" vertical="center" wrapText="1"/>
      <protection hidden="1"/>
    </xf>
    <xf numFmtId="0" fontId="7" fillId="15" borderId="31" xfId="0" applyFont="1" applyFill="1" applyBorder="1" applyAlignment="1" applyProtection="1">
      <alignment horizontal="center"/>
      <protection hidden="1"/>
    </xf>
    <xf numFmtId="0" fontId="0" fillId="0" borderId="9" xfId="0" applyBorder="1" applyAlignment="1">
      <alignment horizontal="center"/>
    </xf>
    <xf numFmtId="0" fontId="5" fillId="3" borderId="0" xfId="0" applyFont="1" applyFill="1" applyProtection="1">
      <protection hidden="1"/>
    </xf>
    <xf numFmtId="0" fontId="8" fillId="3" borderId="0" xfId="0" applyFont="1" applyFill="1" applyProtection="1">
      <protection hidden="1"/>
    </xf>
    <xf numFmtId="0" fontId="163" fillId="3" borderId="31" xfId="0" applyFont="1" applyFill="1" applyBorder="1" applyProtection="1">
      <protection hidden="1"/>
    </xf>
    <xf numFmtId="0" fontId="138" fillId="0" borderId="9" xfId="0" applyFont="1" applyBorder="1"/>
    <xf numFmtId="0" fontId="57" fillId="9" borderId="35" xfId="0" applyFont="1" applyFill="1" applyBorder="1" applyAlignment="1" applyProtection="1">
      <alignment horizontal="center"/>
      <protection hidden="1"/>
    </xf>
    <xf numFmtId="0" fontId="0" fillId="0" borderId="35" xfId="0" applyBorder="1" applyAlignment="1">
      <alignment horizontal="center"/>
    </xf>
    <xf numFmtId="37" fontId="0" fillId="0" borderId="1" xfId="0" applyNumberFormat="1" applyBorder="1" applyAlignment="1" applyProtection="1">
      <alignment horizontal="right"/>
      <protection locked="0"/>
    </xf>
    <xf numFmtId="37" fontId="6" fillId="21" borderId="31" xfId="0" applyNumberFormat="1" applyFont="1" applyFill="1" applyBorder="1" applyAlignment="1" applyProtection="1">
      <alignment horizontal="right"/>
      <protection locked="0"/>
    </xf>
    <xf numFmtId="37" fontId="6" fillId="21" borderId="9" xfId="0" applyNumberFormat="1" applyFont="1" applyFill="1" applyBorder="1" applyAlignment="1" applyProtection="1">
      <alignment horizontal="right"/>
      <protection locked="0"/>
    </xf>
    <xf numFmtId="37" fontId="0" fillId="0" borderId="9" xfId="0" applyNumberFormat="1" applyBorder="1" applyAlignment="1" applyProtection="1">
      <alignment horizontal="right"/>
      <protection locked="0"/>
    </xf>
    <xf numFmtId="37" fontId="6" fillId="27" borderId="40" xfId="0" applyNumberFormat="1" applyFont="1" applyFill="1" applyBorder="1" applyAlignment="1" applyProtection="1">
      <alignment horizontal="right"/>
      <protection hidden="1"/>
    </xf>
    <xf numFmtId="37" fontId="6" fillId="27" borderId="26" xfId="0" applyNumberFormat="1" applyFont="1" applyFill="1" applyBorder="1" applyAlignment="1" applyProtection="1">
      <alignment horizontal="right"/>
      <protection hidden="1"/>
    </xf>
    <xf numFmtId="37" fontId="0" fillId="28" borderId="26" xfId="0" applyNumberFormat="1" applyFill="1" applyBorder="1" applyAlignment="1" applyProtection="1">
      <alignment horizontal="right"/>
      <protection hidden="1"/>
    </xf>
    <xf numFmtId="0" fontId="6" fillId="3" borderId="3" xfId="0" applyFont="1" applyFill="1" applyBorder="1" applyAlignment="1" applyProtection="1">
      <alignment horizontal="right" indent="1"/>
      <protection hidden="1"/>
    </xf>
    <xf numFmtId="0" fontId="0" fillId="0" borderId="0" xfId="0" applyAlignment="1">
      <alignment horizontal="right" indent="1"/>
    </xf>
    <xf numFmtId="0" fontId="132" fillId="3" borderId="85" xfId="0" applyFont="1" applyFill="1" applyBorder="1" applyAlignment="1" applyProtection="1">
      <alignment horizontal="center" vertical="center"/>
      <protection hidden="1"/>
    </xf>
    <xf numFmtId="0" fontId="162" fillId="0" borderId="9" xfId="0" applyFont="1" applyBorder="1"/>
    <xf numFmtId="0" fontId="8" fillId="3" borderId="6"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6" xfId="0" applyBorder="1" applyAlignment="1">
      <alignment horizontal="left" wrapText="1" indent="1"/>
    </xf>
    <xf numFmtId="0" fontId="0" fillId="0" borderId="27" xfId="0" applyBorder="1" applyAlignment="1">
      <alignment horizontal="left" wrapText="1" indent="1"/>
    </xf>
    <xf numFmtId="0" fontId="0" fillId="0" borderId="1" xfId="0" applyBorder="1" applyAlignment="1">
      <alignment horizontal="left" wrapText="1" indent="1"/>
    </xf>
    <xf numFmtId="0" fontId="4" fillId="21"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2" xfId="0" applyBorder="1" applyAlignment="1" applyProtection="1">
      <alignment horizontal="center"/>
      <protection locked="0"/>
    </xf>
    <xf numFmtId="166" fontId="4" fillId="21" borderId="10" xfId="0" applyNumberFormat="1" applyFont="1" applyFill="1" applyBorder="1" applyAlignment="1" applyProtection="1">
      <alignment horizontal="center" vertical="center"/>
      <protection locked="0"/>
    </xf>
    <xf numFmtId="166" fontId="19" fillId="17" borderId="1"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37" fontId="6" fillId="27" borderId="10" xfId="0" applyNumberFormat="1" applyFont="1" applyFill="1" applyBorder="1" applyAlignment="1" applyProtection="1">
      <alignment horizontal="right"/>
      <protection hidden="1"/>
    </xf>
    <xf numFmtId="37" fontId="6" fillId="27" borderId="1" xfId="0" applyNumberFormat="1" applyFont="1" applyFill="1" applyBorder="1" applyAlignment="1" applyProtection="1">
      <alignment horizontal="right"/>
      <protection hidden="1"/>
    </xf>
    <xf numFmtId="37" fontId="0" fillId="0" borderId="12" xfId="0" applyNumberFormat="1" applyBorder="1" applyAlignment="1" applyProtection="1">
      <alignment horizontal="right"/>
      <protection locked="0"/>
    </xf>
    <xf numFmtId="0" fontId="6" fillId="3" borderId="0" xfId="0" applyFont="1" applyFill="1" applyProtection="1">
      <protection hidden="1"/>
    </xf>
    <xf numFmtId="0" fontId="6" fillId="21" borderId="0" xfId="0" applyFont="1" applyFill="1" applyAlignment="1" applyProtection="1">
      <alignment horizontal="center"/>
      <protection locked="0"/>
    </xf>
    <xf numFmtId="49" fontId="1" fillId="21" borderId="7" xfId="0" applyNumberFormat="1" applyFont="1" applyFill="1" applyBorder="1" applyAlignment="1" applyProtection="1">
      <alignment horizontal="center" vertical="center"/>
      <protection locked="0"/>
    </xf>
    <xf numFmtId="0" fontId="0" fillId="0" borderId="203" xfId="0" applyBorder="1" applyAlignment="1" applyProtection="1">
      <alignment horizontal="center" vertical="center"/>
      <protection locked="0"/>
    </xf>
    <xf numFmtId="49" fontId="1" fillId="21" borderId="202" xfId="0" applyNumberFormat="1" applyFont="1" applyFill="1" applyBorder="1" applyAlignment="1" applyProtection="1">
      <alignment horizontal="center" vertical="center"/>
      <protection locked="0"/>
    </xf>
    <xf numFmtId="0" fontId="0" fillId="0" borderId="204" xfId="0" applyBorder="1" applyAlignment="1" applyProtection="1">
      <alignment horizontal="center" vertical="center"/>
      <protection locked="0"/>
    </xf>
    <xf numFmtId="0" fontId="1" fillId="3" borderId="0" xfId="0" applyFont="1" applyFill="1" applyAlignment="1" applyProtection="1">
      <alignment horizontal="left" vertical="center" wrapText="1"/>
      <protection hidden="1"/>
    </xf>
    <xf numFmtId="0" fontId="3" fillId="0" borderId="21" xfId="0" applyFont="1" applyBorder="1" applyAlignment="1">
      <alignment horizontal="left" vertical="center"/>
    </xf>
    <xf numFmtId="0" fontId="3" fillId="0" borderId="0" xfId="0" applyFont="1" applyAlignment="1">
      <alignment horizontal="left" vertical="center"/>
    </xf>
    <xf numFmtId="0" fontId="0" fillId="0" borderId="11" xfId="0" applyBorder="1" applyAlignment="1" applyProtection="1">
      <alignment vertical="center"/>
      <protection locked="0"/>
    </xf>
    <xf numFmtId="49" fontId="1" fillId="21" borderId="109" xfId="0" applyNumberFormat="1" applyFont="1"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49" fontId="1" fillId="21" borderId="110" xfId="0" applyNumberFormat="1" applyFont="1" applyFill="1" applyBorder="1" applyAlignment="1" applyProtection="1">
      <alignment horizontal="center" vertical="center"/>
      <protection locked="0"/>
    </xf>
    <xf numFmtId="0" fontId="0" fillId="0" borderId="111" xfId="0" applyBorder="1" applyAlignment="1" applyProtection="1">
      <alignment horizontal="center" vertical="center"/>
      <protection locked="0"/>
    </xf>
    <xf numFmtId="39" fontId="5" fillId="15" borderId="0" xfId="0" applyNumberFormat="1" applyFont="1" applyFill="1" applyAlignment="1" applyProtection="1">
      <alignment horizontal="left"/>
      <protection hidden="1"/>
    </xf>
    <xf numFmtId="0" fontId="0" fillId="0" borderId="25" xfId="0" applyBorder="1" applyAlignment="1">
      <alignment horizontal="left"/>
    </xf>
    <xf numFmtId="3" fontId="9" fillId="3" borderId="0" xfId="0" applyNumberFormat="1" applyFont="1" applyFill="1" applyAlignment="1" applyProtection="1">
      <alignment horizontal="center"/>
      <protection hidden="1"/>
    </xf>
    <xf numFmtId="37" fontId="1" fillId="0" borderId="12" xfId="0" applyNumberFormat="1" applyFont="1" applyBorder="1" applyAlignment="1" applyProtection="1">
      <alignment horizontal="right"/>
      <protection locked="0"/>
    </xf>
    <xf numFmtId="0" fontId="7" fillId="3" borderId="16" xfId="0" applyFont="1" applyFill="1" applyBorder="1" applyAlignment="1" applyProtection="1">
      <alignment horizontal="center"/>
      <protection hidden="1"/>
    </xf>
    <xf numFmtId="0" fontId="0" fillId="0" borderId="11" xfId="0" applyBorder="1" applyAlignment="1">
      <alignment horizontal="center"/>
    </xf>
    <xf numFmtId="39" fontId="5" fillId="3" borderId="0" xfId="0" applyNumberFormat="1" applyFont="1" applyFill="1" applyAlignment="1" applyProtection="1">
      <alignment horizontal="left"/>
      <protection hidden="1"/>
    </xf>
    <xf numFmtId="0" fontId="0" fillId="0" borderId="9" xfId="0" applyBorder="1" applyAlignment="1" applyProtection="1">
      <alignment horizontal="center"/>
      <protection hidden="1"/>
    </xf>
    <xf numFmtId="0" fontId="6" fillId="3" borderId="10" xfId="0" applyFont="1" applyFill="1" applyBorder="1" applyAlignment="1" applyProtection="1">
      <alignment horizontal="right" indent="1"/>
      <protection hidden="1"/>
    </xf>
    <xf numFmtId="0" fontId="0" fillId="0" borderId="1" xfId="0" applyBorder="1" applyAlignment="1">
      <alignment horizontal="right" indent="1"/>
    </xf>
    <xf numFmtId="37" fontId="6" fillId="21" borderId="40" xfId="0" applyNumberFormat="1" applyFont="1" applyFill="1" applyBorder="1" applyAlignment="1" applyProtection="1">
      <alignment horizontal="right"/>
      <protection locked="0"/>
    </xf>
    <xf numFmtId="37" fontId="1" fillId="0" borderId="26" xfId="0" applyNumberFormat="1" applyFont="1" applyBorder="1" applyAlignment="1" applyProtection="1">
      <alignment horizontal="right"/>
      <protection locked="0"/>
    </xf>
    <xf numFmtId="0" fontId="11" fillId="21" borderId="92" xfId="0" applyFont="1" applyFill="1" applyBorder="1" applyAlignment="1" applyProtection="1">
      <alignment horizontal="left"/>
      <protection locked="0"/>
    </xf>
    <xf numFmtId="0" fontId="11" fillId="0" borderId="92" xfId="0" applyFont="1" applyBorder="1" applyAlignment="1" applyProtection="1">
      <alignment horizontal="left"/>
      <protection locked="0"/>
    </xf>
    <xf numFmtId="0" fontId="11" fillId="0" borderId="96" xfId="0" applyFont="1" applyBorder="1" applyAlignment="1" applyProtection="1">
      <alignment horizontal="left"/>
      <protection locked="0"/>
    </xf>
    <xf numFmtId="0" fontId="7" fillId="3" borderId="31" xfId="0" applyFont="1" applyFill="1" applyBorder="1" applyAlignment="1" applyProtection="1">
      <alignment horizontal="right" indent="1"/>
      <protection hidden="1"/>
    </xf>
    <xf numFmtId="0" fontId="0" fillId="0" borderId="9" xfId="0" applyBorder="1" applyAlignment="1">
      <alignment horizontal="right" indent="1"/>
    </xf>
    <xf numFmtId="0" fontId="7" fillId="3" borderId="3" xfId="0" applyFont="1" applyFill="1" applyBorder="1" applyAlignment="1" applyProtection="1">
      <alignment horizontal="right" indent="1"/>
      <protection hidden="1"/>
    </xf>
    <xf numFmtId="0" fontId="0" fillId="0" borderId="1" xfId="0" applyBorder="1" applyAlignment="1" applyProtection="1">
      <alignment horizontal="right"/>
      <protection locked="0"/>
    </xf>
    <xf numFmtId="0" fontId="0" fillId="0" borderId="12" xfId="0" applyBorder="1" applyAlignment="1" applyProtection="1">
      <alignment horizontal="right"/>
      <protection locked="0"/>
    </xf>
    <xf numFmtId="0" fontId="7" fillId="3" borderId="31" xfId="0" applyFont="1" applyFill="1" applyBorder="1" applyAlignment="1" applyProtection="1">
      <alignment horizontal="center"/>
      <protection hidden="1"/>
    </xf>
    <xf numFmtId="0" fontId="0" fillId="0" borderId="15" xfId="0" applyBorder="1" applyAlignment="1">
      <alignment horizontal="center"/>
    </xf>
    <xf numFmtId="0" fontId="17" fillId="3" borderId="0" xfId="0" applyFont="1" applyFill="1" applyAlignment="1" applyProtection="1">
      <alignment horizontal="left" wrapText="1"/>
      <protection hidden="1"/>
    </xf>
    <xf numFmtId="0" fontId="17" fillId="3" borderId="21" xfId="0" applyFont="1" applyFill="1" applyBorder="1" applyAlignment="1" applyProtection="1">
      <alignment horizontal="left" wrapText="1"/>
      <protection hidden="1"/>
    </xf>
    <xf numFmtId="0" fontId="17" fillId="3" borderId="1" xfId="0" applyFont="1" applyFill="1" applyBorder="1" applyAlignment="1" applyProtection="1">
      <alignment horizontal="left" wrapText="1"/>
      <protection hidden="1"/>
    </xf>
    <xf numFmtId="0" fontId="17" fillId="3" borderId="30" xfId="0" applyFont="1" applyFill="1" applyBorder="1" applyAlignment="1" applyProtection="1">
      <alignment horizontal="left" wrapText="1"/>
      <protection hidden="1"/>
    </xf>
    <xf numFmtId="0" fontId="11" fillId="15" borderId="6" xfId="0" applyFont="1" applyFill="1" applyBorder="1" applyAlignment="1" applyProtection="1">
      <alignment horizontal="center" vertical="center"/>
      <protection hidden="1"/>
    </xf>
    <xf numFmtId="0" fontId="11" fillId="15" borderId="0" xfId="0" applyFont="1" applyFill="1" applyAlignment="1" applyProtection="1">
      <alignment horizontal="center" vertical="center"/>
      <protection hidden="1"/>
    </xf>
    <xf numFmtId="0" fontId="11" fillId="15" borderId="21" xfId="0" applyFont="1" applyFill="1" applyBorder="1" applyAlignment="1" applyProtection="1">
      <alignment horizontal="center" vertical="center"/>
      <protection hidden="1"/>
    </xf>
    <xf numFmtId="0" fontId="11" fillId="15" borderId="27" xfId="0" applyFont="1" applyFill="1" applyBorder="1" applyAlignment="1" applyProtection="1">
      <alignment horizontal="center" vertical="center"/>
      <protection hidden="1"/>
    </xf>
    <xf numFmtId="0" fontId="11" fillId="15" borderId="1" xfId="0" applyFont="1" applyFill="1" applyBorder="1" applyAlignment="1" applyProtection="1">
      <alignment horizontal="center" vertical="center"/>
      <protection hidden="1"/>
    </xf>
    <xf numFmtId="0" fontId="11" fillId="15" borderId="30" xfId="0" applyFont="1" applyFill="1" applyBorder="1" applyAlignment="1" applyProtection="1">
      <alignment horizontal="center" vertical="center"/>
      <protection hidden="1"/>
    </xf>
    <xf numFmtId="0" fontId="21" fillId="3" borderId="6" xfId="0" applyFont="1" applyFill="1" applyBorder="1" applyAlignment="1" applyProtection="1">
      <alignment horizontal="center" vertical="center"/>
      <protection hidden="1"/>
    </xf>
    <xf numFmtId="0" fontId="21" fillId="3" borderId="21" xfId="0" applyFont="1" applyFill="1" applyBorder="1" applyAlignment="1" applyProtection="1">
      <alignment horizontal="center" vertical="center"/>
      <protection hidden="1"/>
    </xf>
    <xf numFmtId="0" fontId="3" fillId="0" borderId="35" xfId="0" applyFont="1" applyBorder="1" applyAlignment="1">
      <alignment horizontal="center"/>
    </xf>
    <xf numFmtId="0" fontId="57" fillId="9" borderId="26" xfId="0" applyFont="1" applyFill="1" applyBorder="1" applyAlignment="1" applyProtection="1">
      <alignment horizontal="center"/>
      <protection hidden="1"/>
    </xf>
    <xf numFmtId="0" fontId="11" fillId="21" borderId="148" xfId="0" applyFont="1" applyFill="1" applyBorder="1" applyAlignment="1" applyProtection="1">
      <alignment horizontal="left"/>
      <protection locked="0"/>
    </xf>
    <xf numFmtId="0" fontId="11" fillId="0" borderId="148" xfId="0" applyFont="1" applyBorder="1" applyAlignment="1" applyProtection="1">
      <alignment horizontal="left"/>
      <protection locked="0"/>
    </xf>
    <xf numFmtId="0" fontId="11" fillId="0" borderId="133" xfId="0" applyFont="1" applyBorder="1" applyAlignment="1" applyProtection="1">
      <alignment horizontal="left"/>
      <protection locked="0"/>
    </xf>
    <xf numFmtId="37" fontId="1" fillId="0" borderId="55" xfId="0" applyNumberFormat="1" applyFont="1" applyBorder="1" applyAlignment="1" applyProtection="1">
      <alignment horizontal="right"/>
      <protection locked="0"/>
    </xf>
    <xf numFmtId="0" fontId="75" fillId="11" borderId="60" xfId="2" applyFill="1" applyBorder="1" applyAlignment="1" applyProtection="1">
      <alignment horizontal="center" vertical="center" wrapText="1"/>
    </xf>
    <xf numFmtId="0" fontId="75" fillId="11" borderId="75" xfId="2" applyFill="1" applyBorder="1" applyAlignment="1" applyProtection="1">
      <alignment horizontal="center" vertical="center" wrapText="1"/>
    </xf>
    <xf numFmtId="0" fontId="75" fillId="11" borderId="61" xfId="2" applyFill="1" applyBorder="1" applyAlignment="1" applyProtection="1">
      <alignment horizontal="center" vertical="center" wrapText="1"/>
    </xf>
    <xf numFmtId="0" fontId="75" fillId="11" borderId="60" xfId="2" applyFill="1" applyBorder="1" applyAlignment="1" applyProtection="1">
      <alignment horizontal="center" vertical="center"/>
    </xf>
    <xf numFmtId="0" fontId="75" fillId="11" borderId="75" xfId="2" applyFill="1" applyBorder="1" applyAlignment="1" applyProtection="1">
      <alignment horizontal="center" vertical="center"/>
    </xf>
    <xf numFmtId="0" fontId="75" fillId="11" borderId="61" xfId="2" applyFill="1" applyBorder="1" applyAlignment="1" applyProtection="1">
      <alignment horizontal="center" vertical="center"/>
    </xf>
    <xf numFmtId="37" fontId="151" fillId="15" borderId="31" xfId="0" applyNumberFormat="1" applyFont="1" applyFill="1" applyBorder="1" applyAlignment="1" applyProtection="1">
      <alignment horizontal="right"/>
      <protection hidden="1"/>
    </xf>
    <xf numFmtId="37" fontId="144" fillId="15" borderId="9" xfId="0" applyNumberFormat="1" applyFont="1" applyFill="1" applyBorder="1" applyAlignment="1" applyProtection="1">
      <alignment horizontal="right"/>
      <protection hidden="1"/>
    </xf>
    <xf numFmtId="0" fontId="138" fillId="16" borderId="9" xfId="0" applyFont="1" applyFill="1" applyBorder="1" applyAlignment="1" applyProtection="1">
      <alignment horizontal="right"/>
      <protection hidden="1"/>
    </xf>
    <xf numFmtId="0" fontId="138" fillId="16" borderId="15" xfId="0" applyFont="1" applyFill="1" applyBorder="1" applyAlignment="1" applyProtection="1">
      <alignment horizontal="right"/>
      <protection hidden="1"/>
    </xf>
    <xf numFmtId="37" fontId="140" fillId="3" borderId="31" xfId="0" applyNumberFormat="1" applyFont="1" applyFill="1" applyBorder="1" applyProtection="1">
      <protection hidden="1"/>
    </xf>
    <xf numFmtId="37" fontId="140" fillId="0" borderId="9" xfId="0" applyNumberFormat="1" applyFont="1" applyBorder="1"/>
    <xf numFmtId="37" fontId="6" fillId="27" borderId="70" xfId="0" applyNumberFormat="1" applyFont="1" applyFill="1" applyBorder="1" applyAlignment="1" applyProtection="1">
      <alignment horizontal="right"/>
      <protection hidden="1"/>
    </xf>
    <xf numFmtId="37" fontId="6" fillId="27" borderId="5" xfId="0" applyNumberFormat="1" applyFont="1" applyFill="1" applyBorder="1" applyAlignment="1" applyProtection="1">
      <alignment horizontal="right"/>
      <protection hidden="1"/>
    </xf>
    <xf numFmtId="37" fontId="0" fillId="28" borderId="5" xfId="0" applyNumberFormat="1" applyFill="1" applyBorder="1" applyAlignment="1" applyProtection="1">
      <alignment horizontal="right"/>
      <protection hidden="1"/>
    </xf>
    <xf numFmtId="37" fontId="8" fillId="22" borderId="0" xfId="0" applyNumberFormat="1" applyFont="1" applyFill="1" applyAlignment="1" applyProtection="1">
      <alignment horizontal="right" vertical="center"/>
      <protection locked="0"/>
    </xf>
    <xf numFmtId="37" fontId="8" fillId="41" borderId="0" xfId="0" applyNumberFormat="1" applyFont="1" applyFill="1" applyAlignment="1" applyProtection="1">
      <alignment horizontal="right" vertical="center"/>
      <protection locked="0"/>
    </xf>
    <xf numFmtId="0" fontId="274" fillId="5" borderId="0" xfId="0" applyFont="1" applyFill="1" applyAlignment="1" applyProtection="1">
      <alignment horizontal="center"/>
      <protection hidden="1"/>
    </xf>
    <xf numFmtId="0" fontId="8" fillId="22" borderId="0" xfId="0" applyFont="1" applyFill="1" applyAlignment="1" applyProtection="1">
      <alignment horizontal="center" vertical="center"/>
      <protection locked="0"/>
    </xf>
    <xf numFmtId="39" fontId="5" fillId="15" borderId="0" xfId="0" applyNumberFormat="1" applyFont="1" applyFill="1" applyAlignment="1" applyProtection="1">
      <alignment horizontal="center"/>
      <protection hidden="1"/>
    </xf>
    <xf numFmtId="39" fontId="5" fillId="15" borderId="0" xfId="0" applyNumberFormat="1" applyFont="1" applyFill="1" applyAlignment="1" applyProtection="1">
      <alignment horizontal="left" vertical="top"/>
      <protection hidden="1"/>
    </xf>
    <xf numFmtId="0" fontId="11" fillId="5" borderId="167" xfId="0" applyFont="1" applyFill="1" applyBorder="1" applyAlignment="1" applyProtection="1">
      <alignment horizontal="center"/>
      <protection hidden="1"/>
    </xf>
    <xf numFmtId="0" fontId="8" fillId="28" borderId="94"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8" fillId="22" borderId="0" xfId="0" applyFont="1" applyFill="1" applyAlignment="1" applyProtection="1">
      <alignment horizontal="center"/>
      <protection hidden="1"/>
    </xf>
    <xf numFmtId="0" fontId="57" fillId="9" borderId="35" xfId="0" applyFont="1" applyFill="1" applyBorder="1" applyAlignment="1" applyProtection="1">
      <alignment horizontal="center" vertical="center"/>
      <protection hidden="1"/>
    </xf>
    <xf numFmtId="0" fontId="3" fillId="0" borderId="35" xfId="0" applyFont="1" applyBorder="1" applyAlignment="1">
      <alignment horizontal="center" vertical="center"/>
    </xf>
    <xf numFmtId="0" fontId="140" fillId="3" borderId="0" xfId="0" applyFont="1" applyFill="1" applyAlignment="1" applyProtection="1">
      <alignment horizontal="center"/>
      <protection hidden="1"/>
    </xf>
    <xf numFmtId="0" fontId="140" fillId="3" borderId="9" xfId="0" applyFont="1" applyFill="1" applyBorder="1" applyAlignment="1" applyProtection="1">
      <alignment horizontal="center"/>
      <protection hidden="1"/>
    </xf>
    <xf numFmtId="0" fontId="144" fillId="3" borderId="32" xfId="0" applyFont="1" applyFill="1" applyBorder="1" applyAlignment="1" applyProtection="1">
      <alignment horizontal="center"/>
      <protection hidden="1"/>
    </xf>
    <xf numFmtId="37" fontId="5" fillId="27" borderId="1" xfId="0" applyNumberFormat="1" applyFont="1" applyFill="1" applyBorder="1" applyAlignment="1" applyProtection="1">
      <alignment horizontal="right"/>
      <protection hidden="1"/>
    </xf>
    <xf numFmtId="5" fontId="9" fillId="3" borderId="0" xfId="0" applyNumberFormat="1" applyFont="1" applyFill="1" applyAlignment="1" applyProtection="1">
      <alignment horizontal="left"/>
      <protection hidden="1"/>
    </xf>
    <xf numFmtId="37" fontId="5" fillId="21" borderId="1" xfId="0" applyNumberFormat="1" applyFont="1" applyFill="1" applyBorder="1" applyAlignment="1" applyProtection="1">
      <alignment horizontal="right"/>
      <protection locked="0"/>
    </xf>
    <xf numFmtId="0" fontId="1" fillId="3" borderId="21" xfId="0" applyFont="1" applyFill="1" applyBorder="1" applyAlignment="1" applyProtection="1">
      <alignment horizontal="left" vertical="center" wrapText="1"/>
      <protection hidden="1"/>
    </xf>
    <xf numFmtId="0" fontId="1" fillId="3" borderId="108" xfId="0" applyFont="1" applyFill="1" applyBorder="1" applyAlignment="1" applyProtection="1">
      <alignment horizontal="left" vertical="center" wrapText="1"/>
      <protection hidden="1"/>
    </xf>
    <xf numFmtId="0" fontId="3" fillId="0" borderId="108" xfId="0" applyFont="1" applyBorder="1" applyAlignment="1">
      <alignment horizontal="left" vertical="center"/>
    </xf>
    <xf numFmtId="0" fontId="17" fillId="3" borderId="21" xfId="0" applyFont="1" applyFill="1" applyBorder="1" applyAlignment="1" applyProtection="1">
      <alignment wrapText="1"/>
      <protection hidden="1"/>
    </xf>
    <xf numFmtId="0" fontId="17" fillId="3" borderId="108" xfId="0" applyFont="1" applyFill="1" applyBorder="1" applyAlignment="1" applyProtection="1">
      <alignment wrapText="1"/>
      <protection hidden="1"/>
    </xf>
    <xf numFmtId="0" fontId="0" fillId="0" borderId="108" xfId="0" applyBorder="1" applyAlignment="1">
      <alignment wrapText="1"/>
    </xf>
    <xf numFmtId="0" fontId="0" fillId="0" borderId="30" xfId="0" applyBorder="1" applyAlignment="1">
      <alignment wrapText="1"/>
    </xf>
    <xf numFmtId="0" fontId="0" fillId="0" borderId="201" xfId="0" applyBorder="1" applyAlignment="1">
      <alignment wrapText="1"/>
    </xf>
    <xf numFmtId="0" fontId="4" fillId="27" borderId="1" xfId="0" applyFont="1" applyFill="1" applyBorder="1" applyAlignment="1" applyProtection="1">
      <alignment horizontal="left"/>
      <protection hidden="1"/>
    </xf>
    <xf numFmtId="0" fontId="0" fillId="28" borderId="1" xfId="0" applyFill="1" applyBorder="1" applyAlignment="1" applyProtection="1">
      <alignment horizontal="left"/>
      <protection hidden="1"/>
    </xf>
    <xf numFmtId="0" fontId="0" fillId="28" borderId="12" xfId="0" applyFill="1" applyBorder="1" applyAlignment="1" applyProtection="1">
      <alignment horizontal="left"/>
      <protection hidden="1"/>
    </xf>
    <xf numFmtId="166" fontId="4" fillId="27" borderId="10" xfId="0" applyNumberFormat="1" applyFont="1" applyFill="1" applyBorder="1" applyAlignment="1" applyProtection="1">
      <alignment horizontal="center" vertical="center"/>
      <protection hidden="1"/>
    </xf>
    <xf numFmtId="166" fontId="19" fillId="28" borderId="1" xfId="0" applyNumberFormat="1" applyFont="1" applyFill="1" applyBorder="1" applyAlignment="1" applyProtection="1">
      <alignment horizontal="center" vertical="center"/>
      <protection hidden="1"/>
    </xf>
    <xf numFmtId="0" fontId="0" fillId="28" borderId="1" xfId="0" applyFill="1" applyBorder="1" applyAlignment="1" applyProtection="1">
      <alignment horizontal="center" vertical="center"/>
      <protection hidden="1"/>
    </xf>
    <xf numFmtId="0" fontId="3" fillId="16" borderId="213" xfId="0" applyFont="1" applyFill="1" applyBorder="1" applyAlignment="1">
      <alignment horizontal="center" vertical="center" wrapText="1"/>
    </xf>
    <xf numFmtId="0" fontId="0" fillId="0" borderId="213" xfId="0" applyBorder="1" applyAlignment="1">
      <alignment horizontal="center" vertical="center" wrapText="1"/>
    </xf>
    <xf numFmtId="37" fontId="0" fillId="28" borderId="10" xfId="0" applyNumberFormat="1" applyFill="1" applyBorder="1" applyAlignment="1" applyProtection="1">
      <alignment vertical="center"/>
      <protection hidden="1"/>
    </xf>
    <xf numFmtId="37" fontId="0" fillId="28" borderId="1" xfId="0" applyNumberFormat="1" applyFill="1" applyBorder="1" applyAlignment="1" applyProtection="1">
      <alignment vertical="center"/>
      <protection hidden="1"/>
    </xf>
    <xf numFmtId="0" fontId="198" fillId="16" borderId="24" xfId="0" applyFont="1" applyFill="1" applyBorder="1" applyAlignment="1">
      <alignment horizontal="center" vertical="center" wrapText="1"/>
    </xf>
    <xf numFmtId="0" fontId="198" fillId="16" borderId="8" xfId="0" applyFont="1" applyFill="1" applyBorder="1" applyAlignment="1">
      <alignment horizontal="center" vertical="center" wrapText="1"/>
    </xf>
    <xf numFmtId="0" fontId="198" fillId="16" borderId="20" xfId="0" applyFont="1" applyFill="1" applyBorder="1" applyAlignment="1">
      <alignment horizontal="center" vertical="center" wrapText="1"/>
    </xf>
    <xf numFmtId="0" fontId="198" fillId="16" borderId="6" xfId="0" applyFont="1" applyFill="1" applyBorder="1" applyAlignment="1">
      <alignment horizontal="center" vertical="center" wrapText="1"/>
    </xf>
    <xf numFmtId="0" fontId="198" fillId="16" borderId="0" xfId="0" applyFont="1" applyFill="1" applyAlignment="1">
      <alignment horizontal="center" vertical="center" wrapText="1"/>
    </xf>
    <xf numFmtId="0" fontId="198" fillId="16" borderId="21" xfId="0" applyFont="1" applyFill="1" applyBorder="1" applyAlignment="1">
      <alignment horizontal="center" vertical="center" wrapText="1"/>
    </xf>
    <xf numFmtId="0" fontId="198" fillId="16" borderId="22" xfId="0" applyFont="1" applyFill="1" applyBorder="1" applyAlignment="1">
      <alignment horizontal="center" vertical="center" wrapText="1"/>
    </xf>
    <xf numFmtId="0" fontId="198" fillId="16" borderId="5" xfId="0" applyFont="1" applyFill="1" applyBorder="1" applyAlignment="1">
      <alignment horizontal="center" vertical="center" wrapText="1"/>
    </xf>
    <xf numFmtId="0" fontId="198" fillId="16" borderId="23" xfId="0" applyFont="1" applyFill="1" applyBorder="1" applyAlignment="1">
      <alignment horizontal="center" vertical="center" wrapText="1"/>
    </xf>
    <xf numFmtId="0" fontId="138" fillId="2" borderId="8" xfId="0" applyFont="1" applyFill="1" applyBorder="1" applyAlignment="1" applyProtection="1">
      <alignment vertical="top"/>
      <protection hidden="1"/>
    </xf>
    <xf numFmtId="0" fontId="138" fillId="0" borderId="8" xfId="0" applyFont="1" applyBorder="1" applyAlignment="1">
      <alignment vertical="top"/>
    </xf>
    <xf numFmtId="0" fontId="3" fillId="16" borderId="0" xfId="0" applyFont="1" applyFill="1" applyAlignment="1">
      <alignment horizontal="center" vertical="center" wrapText="1"/>
    </xf>
    <xf numFmtId="37" fontId="0" fillId="17" borderId="10" xfId="0" applyNumberFormat="1" applyFill="1" applyBorder="1" applyAlignment="1" applyProtection="1">
      <alignment vertical="center"/>
      <protection locked="0"/>
    </xf>
    <xf numFmtId="37" fontId="0" fillId="17" borderId="1" xfId="0" applyNumberFormat="1" applyFill="1" applyBorder="1" applyAlignment="1" applyProtection="1">
      <alignment vertical="center"/>
      <protection locked="0"/>
    </xf>
    <xf numFmtId="0" fontId="8" fillId="2" borderId="0" xfId="0" applyFont="1" applyFill="1" applyAlignment="1">
      <alignment horizontal="left" vertical="top" wrapText="1"/>
    </xf>
    <xf numFmtId="0" fontId="8" fillId="0" borderId="0" xfId="0" applyFont="1" applyAlignment="1">
      <alignment vertical="top" wrapText="1"/>
    </xf>
    <xf numFmtId="0" fontId="8" fillId="0" borderId="25" xfId="0" applyFont="1" applyBorder="1" applyAlignment="1">
      <alignment vertical="top" wrapText="1"/>
    </xf>
    <xf numFmtId="0" fontId="8" fillId="2" borderId="0" xfId="0" applyFont="1" applyFill="1" applyAlignment="1" applyProtection="1">
      <alignment vertical="top" wrapText="1"/>
      <protection hidden="1"/>
    </xf>
    <xf numFmtId="0" fontId="8" fillId="2" borderId="5" xfId="0" applyFont="1" applyFill="1" applyBorder="1" applyAlignment="1">
      <alignment horizontal="left" vertical="top" wrapText="1"/>
    </xf>
    <xf numFmtId="0" fontId="8" fillId="0" borderId="5" xfId="0" applyFont="1" applyBorder="1" applyAlignment="1">
      <alignment vertical="top" wrapText="1"/>
    </xf>
    <xf numFmtId="0" fontId="8" fillId="0" borderId="71" xfId="0" applyFont="1" applyBorder="1" applyAlignment="1">
      <alignment vertical="top" wrapText="1"/>
    </xf>
    <xf numFmtId="0" fontId="8" fillId="2" borderId="5" xfId="0" applyFont="1" applyFill="1" applyBorder="1" applyAlignment="1" applyProtection="1">
      <alignment vertical="top" wrapText="1"/>
      <protection hidden="1"/>
    </xf>
    <xf numFmtId="0" fontId="8" fillId="0" borderId="5" xfId="0" applyFont="1" applyBorder="1" applyAlignment="1">
      <alignment wrapText="1"/>
    </xf>
    <xf numFmtId="0" fontId="123" fillId="2" borderId="0" xfId="0" applyFont="1" applyFill="1" applyProtection="1">
      <protection hidden="1"/>
    </xf>
    <xf numFmtId="0" fontId="123" fillId="0" borderId="0" xfId="0" applyFont="1"/>
    <xf numFmtId="0" fontId="123" fillId="0" borderId="25" xfId="0" applyFont="1" applyBorder="1"/>
    <xf numFmtId="37" fontId="0" fillId="28" borderId="12" xfId="0" applyNumberFormat="1" applyFill="1" applyBorder="1" applyAlignment="1" applyProtection="1">
      <alignment vertical="center"/>
      <protection hidden="1"/>
    </xf>
    <xf numFmtId="3" fontId="260" fillId="2" borderId="10" xfId="0" applyNumberFormat="1" applyFont="1" applyFill="1" applyBorder="1" applyAlignment="1" applyProtection="1">
      <alignment horizontal="right" indent="1"/>
      <protection hidden="1"/>
    </xf>
    <xf numFmtId="0" fontId="260" fillId="0" borderId="1" xfId="0" applyFont="1" applyBorder="1" applyAlignment="1" applyProtection="1">
      <alignment horizontal="right" indent="1"/>
      <protection hidden="1"/>
    </xf>
    <xf numFmtId="37" fontId="3" fillId="28" borderId="10" xfId="0" applyNumberFormat="1" applyFont="1" applyFill="1" applyBorder="1" applyAlignment="1" applyProtection="1">
      <alignment vertical="center"/>
      <protection hidden="1"/>
    </xf>
    <xf numFmtId="37" fontId="3" fillId="28" borderId="1" xfId="0" applyNumberFormat="1" applyFont="1" applyFill="1" applyBorder="1" applyAlignment="1" applyProtection="1">
      <alignment vertical="center"/>
      <protection hidden="1"/>
    </xf>
    <xf numFmtId="37" fontId="0" fillId="28" borderId="40" xfId="0" applyNumberFormat="1" applyFill="1" applyBorder="1" applyAlignment="1" applyProtection="1">
      <alignment vertical="center"/>
      <protection hidden="1"/>
    </xf>
    <xf numFmtId="37" fontId="0" fillId="28" borderId="26" xfId="0" applyNumberFormat="1" applyFill="1" applyBorder="1" applyAlignment="1" applyProtection="1">
      <alignment vertical="center"/>
      <protection hidden="1"/>
    </xf>
    <xf numFmtId="3" fontId="0" fillId="16" borderId="31" xfId="0" applyNumberFormat="1" applyFill="1" applyBorder="1" applyAlignment="1" applyProtection="1">
      <alignment vertical="center"/>
      <protection hidden="1"/>
    </xf>
    <xf numFmtId="0" fontId="0" fillId="16" borderId="9" xfId="0" applyFill="1" applyBorder="1" applyAlignment="1" applyProtection="1">
      <alignment vertical="center"/>
      <protection hidden="1"/>
    </xf>
    <xf numFmtId="0" fontId="8" fillId="11" borderId="9" xfId="0" applyFont="1" applyFill="1" applyBorder="1" applyAlignment="1" applyProtection="1">
      <alignment horizontal="center" wrapText="1"/>
      <protection hidden="1"/>
    </xf>
    <xf numFmtId="0" fontId="0" fillId="0" borderId="1" xfId="0" applyBorder="1" applyAlignment="1">
      <alignment horizontal="center" wrapText="1"/>
    </xf>
    <xf numFmtId="37" fontId="0" fillId="17" borderId="40" xfId="0" applyNumberFormat="1" applyFill="1" applyBorder="1" applyProtection="1">
      <protection locked="0"/>
    </xf>
    <xf numFmtId="37" fontId="0" fillId="17" borderId="55" xfId="0" applyNumberFormat="1" applyFill="1" applyBorder="1" applyProtection="1">
      <protection locked="0"/>
    </xf>
    <xf numFmtId="0" fontId="101" fillId="2" borderId="3" xfId="0" applyFont="1" applyFill="1" applyBorder="1" applyAlignment="1" applyProtection="1">
      <alignment horizontal="center" vertical="top"/>
      <protection hidden="1"/>
    </xf>
    <xf numFmtId="0" fontId="101" fillId="2" borderId="0" xfId="0" applyFont="1" applyFill="1" applyAlignment="1" applyProtection="1">
      <alignment horizontal="center" vertical="top"/>
      <protection hidden="1"/>
    </xf>
    <xf numFmtId="0" fontId="0" fillId="2" borderId="0" xfId="0" applyFill="1" applyProtection="1">
      <protection hidden="1"/>
    </xf>
    <xf numFmtId="0" fontId="0" fillId="2" borderId="31" xfId="0" applyFill="1" applyBorder="1" applyProtection="1">
      <protection hidden="1"/>
    </xf>
    <xf numFmtId="0" fontId="0" fillId="2" borderId="9" xfId="0" applyFill="1" applyBorder="1" applyProtection="1">
      <protection hidden="1"/>
    </xf>
    <xf numFmtId="0" fontId="0" fillId="2" borderId="3" xfId="0" applyFill="1" applyBorder="1" applyProtection="1">
      <protection hidden="1"/>
    </xf>
    <xf numFmtId="0" fontId="101" fillId="2" borderId="3" xfId="0" applyFont="1" applyFill="1" applyBorder="1" applyAlignment="1" applyProtection="1">
      <alignment horizontal="center"/>
      <protection hidden="1"/>
    </xf>
    <xf numFmtId="0" fontId="101" fillId="2" borderId="0" xfId="0" applyFont="1" applyFill="1" applyAlignment="1" applyProtection="1">
      <alignment horizontal="center"/>
      <protection hidden="1"/>
    </xf>
    <xf numFmtId="0" fontId="101" fillId="2" borderId="3" xfId="0" applyFont="1" applyFill="1" applyBorder="1" applyAlignment="1" applyProtection="1">
      <alignment horizontal="center" vertical="center"/>
      <protection hidden="1"/>
    </xf>
    <xf numFmtId="0" fontId="101" fillId="2" borderId="0" xfId="0" applyFont="1" applyFill="1" applyAlignment="1" applyProtection="1">
      <alignment horizontal="center" vertical="center"/>
      <protection hidden="1"/>
    </xf>
    <xf numFmtId="3" fontId="0" fillId="17" borderId="10" xfId="0" applyNumberFormat="1" applyFill="1" applyBorder="1" applyAlignment="1" applyProtection="1">
      <alignment vertical="center"/>
      <protection locked="0"/>
    </xf>
    <xf numFmtId="3" fontId="0" fillId="17" borderId="1" xfId="0" applyNumberFormat="1" applyFill="1" applyBorder="1" applyAlignment="1" applyProtection="1">
      <alignment vertical="center"/>
      <protection locked="0"/>
    </xf>
    <xf numFmtId="3" fontId="0" fillId="17" borderId="12" xfId="0" applyNumberFormat="1" applyFill="1" applyBorder="1" applyAlignment="1" applyProtection="1">
      <alignment vertical="center"/>
      <protection locked="0"/>
    </xf>
    <xf numFmtId="0" fontId="0" fillId="2" borderId="3" xfId="0" applyFill="1" applyBorder="1" applyAlignment="1" applyProtection="1">
      <alignment vertical="center"/>
      <protection hidden="1"/>
    </xf>
    <xf numFmtId="0" fontId="0" fillId="2" borderId="0" xfId="0" applyFill="1" applyAlignment="1" applyProtection="1">
      <alignment vertical="center"/>
      <protection hidden="1"/>
    </xf>
    <xf numFmtId="0" fontId="23" fillId="2" borderId="31" xfId="0" applyFont="1" applyFill="1" applyBorder="1" applyAlignment="1" applyProtection="1">
      <alignment vertical="center"/>
      <protection hidden="1"/>
    </xf>
    <xf numFmtId="0" fontId="23" fillId="2" borderId="9" xfId="0" applyFont="1" applyFill="1" applyBorder="1" applyAlignment="1" applyProtection="1">
      <alignment vertical="center"/>
      <protection hidden="1"/>
    </xf>
    <xf numFmtId="0" fontId="0" fillId="2" borderId="31" xfId="0" applyFill="1" applyBorder="1" applyAlignment="1" applyProtection="1">
      <alignment vertical="center"/>
      <protection hidden="1"/>
    </xf>
    <xf numFmtId="0" fontId="0" fillId="2" borderId="9" xfId="0" applyFill="1" applyBorder="1" applyAlignment="1" applyProtection="1">
      <alignment vertical="center"/>
      <protection hidden="1"/>
    </xf>
    <xf numFmtId="0" fontId="5" fillId="2" borderId="31" xfId="0" applyFont="1" applyFill="1" applyBorder="1" applyProtection="1">
      <protection hidden="1"/>
    </xf>
    <xf numFmtId="0" fontId="5" fillId="2" borderId="9" xfId="0" applyFont="1" applyFill="1" applyBorder="1" applyProtection="1">
      <protection hidden="1"/>
    </xf>
    <xf numFmtId="0" fontId="5" fillId="2" borderId="3" xfId="0" applyFont="1" applyFill="1" applyBorder="1" applyProtection="1">
      <protection hidden="1"/>
    </xf>
    <xf numFmtId="0" fontId="5" fillId="2" borderId="0" xfId="0" applyFont="1" applyFill="1" applyProtection="1">
      <protection hidden="1"/>
    </xf>
    <xf numFmtId="0" fontId="5" fillId="2" borderId="57" xfId="0" applyFont="1" applyFill="1" applyBorder="1" applyAlignment="1" applyProtection="1">
      <alignment horizontal="left" wrapText="1"/>
      <protection hidden="1"/>
    </xf>
    <xf numFmtId="0" fontId="5" fillId="0" borderId="8" xfId="0" applyFont="1" applyBorder="1" applyAlignment="1">
      <alignment horizontal="left" wrapText="1"/>
    </xf>
    <xf numFmtId="0" fontId="5" fillId="0" borderId="37" xfId="0" applyFont="1" applyBorder="1" applyAlignment="1">
      <alignment horizontal="left" wrapText="1"/>
    </xf>
    <xf numFmtId="0" fontId="5" fillId="0" borderId="10" xfId="0" applyFont="1" applyBorder="1" applyAlignment="1">
      <alignment horizontal="left" wrapText="1"/>
    </xf>
    <xf numFmtId="166" fontId="4" fillId="28" borderId="57" xfId="0" applyNumberFormat="1" applyFont="1" applyFill="1" applyBorder="1" applyAlignment="1" applyProtection="1">
      <alignment horizontal="center" vertical="center"/>
      <protection hidden="1"/>
    </xf>
    <xf numFmtId="166" fontId="4" fillId="28" borderId="8" xfId="0" applyNumberFormat="1" applyFont="1" applyFill="1" applyBorder="1" applyAlignment="1" applyProtection="1">
      <alignment horizontal="center" vertical="center"/>
      <protection hidden="1"/>
    </xf>
    <xf numFmtId="166" fontId="4" fillId="28" borderId="10" xfId="0" applyNumberFormat="1" applyFont="1" applyFill="1" applyBorder="1" applyAlignment="1" applyProtection="1">
      <alignment horizontal="center" vertical="center"/>
      <protection hidden="1"/>
    </xf>
    <xf numFmtId="166" fontId="4" fillId="28" borderId="1" xfId="0" applyNumberFormat="1" applyFont="1" applyFill="1" applyBorder="1" applyAlignment="1" applyProtection="1">
      <alignment horizontal="center" vertical="center"/>
      <protection hidden="1"/>
    </xf>
    <xf numFmtId="0" fontId="4" fillId="28" borderId="1" xfId="0" applyFont="1" applyFill="1" applyBorder="1" applyAlignment="1" applyProtection="1">
      <alignment horizontal="left"/>
      <protection hidden="1"/>
    </xf>
    <xf numFmtId="0" fontId="4" fillId="28" borderId="1" xfId="0" applyFont="1" applyFill="1" applyBorder="1" applyProtection="1">
      <protection hidden="1"/>
    </xf>
    <xf numFmtId="0" fontId="4" fillId="28" borderId="12" xfId="0" applyFont="1" applyFill="1" applyBorder="1" applyProtection="1">
      <protection hidden="1"/>
    </xf>
    <xf numFmtId="176" fontId="3" fillId="28" borderId="10" xfId="0" applyNumberFormat="1" applyFont="1" applyFill="1" applyBorder="1" applyAlignment="1" applyProtection="1">
      <alignment vertical="center"/>
      <protection hidden="1"/>
    </xf>
    <xf numFmtId="176" fontId="3" fillId="28" borderId="1" xfId="0" applyNumberFormat="1" applyFont="1" applyFill="1" applyBorder="1" applyAlignment="1" applyProtection="1">
      <alignment vertical="center"/>
      <protection hidden="1"/>
    </xf>
    <xf numFmtId="0" fontId="0" fillId="5" borderId="31" xfId="0" applyFill="1" applyBorder="1" applyProtection="1">
      <protection hidden="1"/>
    </xf>
    <xf numFmtId="0" fontId="123" fillId="2" borderId="3" xfId="0" applyFont="1" applyFill="1" applyBorder="1" applyProtection="1">
      <protection hidden="1"/>
    </xf>
    <xf numFmtId="37" fontId="0" fillId="28" borderId="70" xfId="0" applyNumberFormat="1" applyFill="1" applyBorder="1" applyAlignment="1" applyProtection="1">
      <alignment vertical="center"/>
      <protection hidden="1"/>
    </xf>
    <xf numFmtId="37" fontId="0" fillId="28" borderId="5" xfId="0" applyNumberFormat="1" applyFill="1" applyBorder="1" applyAlignment="1" applyProtection="1">
      <alignment vertical="center"/>
      <protection hidden="1"/>
    </xf>
    <xf numFmtId="37" fontId="0" fillId="28" borderId="71" xfId="0" applyNumberFormat="1" applyFill="1" applyBorder="1" applyAlignment="1" applyProtection="1">
      <alignment vertical="center"/>
      <protection hidden="1"/>
    </xf>
    <xf numFmtId="0" fontId="0" fillId="5" borderId="70" xfId="0" applyFill="1" applyBorder="1" applyProtection="1">
      <protection hidden="1"/>
    </xf>
    <xf numFmtId="0" fontId="137" fillId="2" borderId="31" xfId="0" applyFont="1" applyFill="1" applyBorder="1" applyProtection="1">
      <protection hidden="1"/>
    </xf>
    <xf numFmtId="0" fontId="137" fillId="0" borderId="9" xfId="0" applyFont="1" applyBorder="1" applyProtection="1">
      <protection hidden="1"/>
    </xf>
    <xf numFmtId="0" fontId="137" fillId="2" borderId="3" xfId="0" applyFont="1" applyFill="1" applyBorder="1" applyProtection="1">
      <protection hidden="1"/>
    </xf>
    <xf numFmtId="4" fontId="137" fillId="2" borderId="3" xfId="0" applyNumberFormat="1" applyFont="1" applyFill="1" applyBorder="1" applyAlignment="1" applyProtection="1">
      <alignment horizontal="right"/>
      <protection hidden="1"/>
    </xf>
    <xf numFmtId="4" fontId="137" fillId="2" borderId="0" xfId="0" applyNumberFormat="1" applyFont="1" applyFill="1" applyProtection="1">
      <protection hidden="1"/>
    </xf>
    <xf numFmtId="0" fontId="64" fillId="2" borderId="3" xfId="0" applyFont="1" applyFill="1" applyBorder="1" applyAlignment="1" applyProtection="1">
      <alignment horizontal="center"/>
      <protection hidden="1"/>
    </xf>
    <xf numFmtId="0" fontId="64" fillId="2" borderId="0" xfId="0" applyFont="1" applyFill="1" applyAlignment="1" applyProtection="1">
      <alignment horizontal="center"/>
      <protection hidden="1"/>
    </xf>
    <xf numFmtId="37" fontId="0" fillId="28" borderId="10" xfId="0" applyNumberFormat="1" applyFill="1" applyBorder="1" applyAlignment="1" applyProtection="1">
      <alignment horizontal="right" vertical="center"/>
      <protection hidden="1"/>
    </xf>
    <xf numFmtId="37" fontId="0" fillId="28" borderId="1" xfId="0" applyNumberFormat="1" applyFill="1" applyBorder="1" applyAlignment="1" applyProtection="1">
      <alignment horizontal="right" vertical="center"/>
      <protection hidden="1"/>
    </xf>
    <xf numFmtId="0" fontId="23" fillId="2" borderId="31" xfId="0" applyFont="1" applyFill="1" applyBorder="1" applyProtection="1">
      <protection hidden="1"/>
    </xf>
    <xf numFmtId="0" fontId="23" fillId="2" borderId="9" xfId="0" applyFont="1" applyFill="1" applyBorder="1" applyProtection="1">
      <protection hidden="1"/>
    </xf>
    <xf numFmtId="0" fontId="11" fillId="2" borderId="22" xfId="0" applyFont="1" applyFill="1" applyBorder="1" applyAlignment="1" applyProtection="1">
      <alignment horizontal="center"/>
      <protection hidden="1"/>
    </xf>
    <xf numFmtId="0" fontId="0" fillId="0" borderId="23" xfId="0" applyBorder="1" applyAlignment="1">
      <alignment horizontal="center"/>
    </xf>
    <xf numFmtId="0" fontId="49" fillId="2" borderId="6" xfId="0" applyFont="1" applyFill="1" applyBorder="1" applyAlignment="1" applyProtection="1">
      <alignment horizontal="center" vertical="top"/>
      <protection hidden="1"/>
    </xf>
    <xf numFmtId="0" fontId="149" fillId="0" borderId="0" xfId="0" applyFont="1" applyAlignment="1">
      <alignment horizontal="center" vertical="top"/>
    </xf>
    <xf numFmtId="0" fontId="149" fillId="0" borderId="21" xfId="0" applyFont="1" applyBorder="1" applyAlignment="1">
      <alignment horizontal="center" vertical="top"/>
    </xf>
    <xf numFmtId="0" fontId="11" fillId="2" borderId="6" xfId="0" applyFont="1" applyFill="1" applyBorder="1" applyAlignment="1" applyProtection="1">
      <alignment horizontal="center"/>
      <protection hidden="1"/>
    </xf>
    <xf numFmtId="0" fontId="11" fillId="0" borderId="0" xfId="0" applyFont="1" applyAlignment="1">
      <alignment horizontal="center"/>
    </xf>
    <xf numFmtId="0" fontId="11" fillId="0" borderId="21" xfId="0" applyFont="1" applyBorder="1" applyAlignment="1">
      <alignment horizontal="center"/>
    </xf>
    <xf numFmtId="0" fontId="4" fillId="2" borderId="40" xfId="0" applyFont="1" applyFill="1" applyBorder="1" applyAlignment="1" applyProtection="1">
      <alignment horizontal="center" vertical="center"/>
      <protection hidden="1"/>
    </xf>
    <xf numFmtId="0" fontId="0" fillId="0" borderId="26" xfId="0" applyBorder="1" applyAlignment="1">
      <alignment horizontal="center" vertical="center"/>
    </xf>
    <xf numFmtId="0" fontId="3" fillId="2" borderId="26" xfId="0" applyFont="1" applyFill="1" applyBorder="1" applyAlignment="1" applyProtection="1">
      <alignment vertical="center"/>
      <protection hidden="1"/>
    </xf>
    <xf numFmtId="0" fontId="0" fillId="0" borderId="26" xfId="0" applyBorder="1" applyAlignment="1">
      <alignment vertical="center"/>
    </xf>
    <xf numFmtId="0" fontId="8" fillId="2" borderId="8" xfId="0" applyFont="1" applyFill="1" applyBorder="1" applyAlignment="1" applyProtection="1">
      <alignment horizontal="left" vertical="center" wrapText="1"/>
      <protection hidden="1"/>
    </xf>
    <xf numFmtId="0" fontId="8" fillId="2" borderId="37" xfId="0" applyFont="1" applyFill="1" applyBorder="1" applyAlignment="1" applyProtection="1">
      <alignment horizontal="left" vertical="center" wrapText="1"/>
      <protection hidden="1"/>
    </xf>
    <xf numFmtId="0" fontId="8" fillId="2" borderId="1" xfId="0" applyFont="1" applyFill="1" applyBorder="1" applyAlignment="1" applyProtection="1">
      <alignment horizontal="left" vertical="center" wrapText="1"/>
      <protection hidden="1"/>
    </xf>
    <xf numFmtId="0" fontId="8" fillId="2" borderId="12" xfId="0" applyFont="1" applyFill="1" applyBorder="1" applyAlignment="1" applyProtection="1">
      <alignment horizontal="left" vertical="center" wrapText="1"/>
      <protection hidden="1"/>
    </xf>
    <xf numFmtId="0" fontId="4" fillId="28" borderId="12" xfId="0" applyFont="1" applyFill="1" applyBorder="1" applyAlignment="1" applyProtection="1">
      <alignment horizontal="left"/>
      <protection hidden="1"/>
    </xf>
    <xf numFmtId="0" fontId="8" fillId="2" borderId="8" xfId="0" applyFont="1" applyFill="1" applyBorder="1" applyAlignment="1" applyProtection="1">
      <alignment horizontal="left"/>
      <protection hidden="1"/>
    </xf>
    <xf numFmtId="0" fontId="8" fillId="2" borderId="37" xfId="0" applyFont="1" applyFill="1" applyBorder="1" applyAlignment="1" applyProtection="1">
      <alignment horizontal="left"/>
      <protection hidden="1"/>
    </xf>
    <xf numFmtId="0" fontId="0" fillId="17" borderId="1" xfId="0" applyFill="1" applyBorder="1" applyAlignment="1" applyProtection="1">
      <alignment vertical="center"/>
      <protection locked="0"/>
    </xf>
    <xf numFmtId="3" fontId="0" fillId="28" borderId="10" xfId="0" applyNumberFormat="1" applyFill="1" applyBorder="1" applyAlignment="1" applyProtection="1">
      <alignment vertical="center"/>
      <protection hidden="1"/>
    </xf>
    <xf numFmtId="0" fontId="0" fillId="28" borderId="1" xfId="0" applyFill="1" applyBorder="1" applyAlignment="1" applyProtection="1">
      <alignment vertical="center"/>
      <protection hidden="1"/>
    </xf>
    <xf numFmtId="0" fontId="75" fillId="11" borderId="62" xfId="2" applyFill="1" applyBorder="1" applyAlignment="1" applyProtection="1">
      <alignment horizontal="center" wrapText="1"/>
    </xf>
    <xf numFmtId="0" fontId="75" fillId="11" borderId="63" xfId="2" applyFill="1" applyBorder="1" applyAlignment="1" applyProtection="1">
      <alignment horizontal="center" wrapText="1"/>
    </xf>
    <xf numFmtId="0" fontId="0" fillId="0" borderId="63" xfId="0" applyBorder="1" applyAlignment="1">
      <alignment horizontal="center" wrapText="1"/>
    </xf>
    <xf numFmtId="0" fontId="0" fillId="0" borderId="64" xfId="0" applyBorder="1" applyAlignment="1">
      <alignment horizontal="center" wrapText="1"/>
    </xf>
    <xf numFmtId="0" fontId="8" fillId="2" borderId="1" xfId="0" applyFont="1" applyFill="1" applyBorder="1" applyAlignment="1" applyProtection="1">
      <alignment horizontal="center"/>
      <protection hidden="1"/>
    </xf>
    <xf numFmtId="0" fontId="8" fillId="0" borderId="1" xfId="0" applyFont="1" applyBorder="1"/>
    <xf numFmtId="0" fontId="82" fillId="2" borderId="9" xfId="0" applyFont="1" applyFill="1" applyBorder="1" applyAlignment="1" applyProtection="1">
      <alignment horizontal="center" vertical="center"/>
      <protection hidden="1"/>
    </xf>
    <xf numFmtId="37" fontId="3" fillId="17" borderId="10" xfId="0" applyNumberFormat="1" applyFont="1" applyFill="1" applyBorder="1" applyAlignment="1" applyProtection="1">
      <alignment vertical="center"/>
      <protection locked="0"/>
    </xf>
    <xf numFmtId="37" fontId="3" fillId="17" borderId="1" xfId="0" applyNumberFormat="1" applyFont="1" applyFill="1" applyBorder="1" applyAlignment="1" applyProtection="1">
      <alignment vertical="center"/>
      <protection locked="0"/>
    </xf>
    <xf numFmtId="0" fontId="11" fillId="28" borderId="40" xfId="0" applyFont="1" applyFill="1" applyBorder="1" applyAlignment="1" applyProtection="1">
      <alignment horizontal="center" vertical="center"/>
      <protection hidden="1"/>
    </xf>
    <xf numFmtId="0" fontId="11" fillId="28" borderId="55" xfId="0" applyFont="1" applyFill="1" applyBorder="1" applyAlignment="1" applyProtection="1">
      <alignment horizontal="center" vertical="center"/>
      <protection hidden="1"/>
    </xf>
    <xf numFmtId="0" fontId="11" fillId="17" borderId="40" xfId="0" applyFont="1" applyFill="1" applyBorder="1" applyAlignment="1" applyProtection="1">
      <alignment horizontal="center" vertical="center"/>
      <protection locked="0" hidden="1"/>
    </xf>
    <xf numFmtId="0" fontId="11" fillId="17" borderId="55" xfId="0" applyFont="1" applyFill="1" applyBorder="1" applyAlignment="1" applyProtection="1">
      <alignment horizontal="center" vertical="center"/>
      <protection locked="0" hidden="1"/>
    </xf>
    <xf numFmtId="3" fontId="138" fillId="16" borderId="0" xfId="0" applyNumberFormat="1" applyFont="1" applyFill="1" applyAlignment="1" applyProtection="1">
      <alignment wrapText="1"/>
      <protection hidden="1"/>
    </xf>
    <xf numFmtId="0" fontId="138" fillId="16" borderId="0" xfId="0" applyFont="1" applyFill="1" applyAlignment="1" applyProtection="1">
      <alignment wrapText="1"/>
      <protection hidden="1"/>
    </xf>
    <xf numFmtId="0" fontId="137" fillId="16" borderId="3" xfId="0" applyFont="1" applyFill="1" applyBorder="1" applyAlignment="1" applyProtection="1">
      <alignment horizontal="center"/>
      <protection hidden="1"/>
    </xf>
    <xf numFmtId="0" fontId="137" fillId="16" borderId="0" xfId="0" applyFont="1" applyFill="1" applyAlignment="1" applyProtection="1">
      <alignment horizontal="center"/>
      <protection hidden="1"/>
    </xf>
    <xf numFmtId="0" fontId="16" fillId="16" borderId="0" xfId="0" applyFont="1" applyFill="1" applyAlignment="1" applyProtection="1">
      <alignment horizontal="center" wrapText="1"/>
      <protection hidden="1"/>
    </xf>
    <xf numFmtId="0" fontId="1" fillId="16" borderId="10" xfId="0" applyFont="1" applyFill="1" applyBorder="1" applyAlignment="1" applyProtection="1">
      <alignment horizontal="center"/>
      <protection hidden="1"/>
    </xf>
    <xf numFmtId="0" fontId="1" fillId="0" borderId="12" xfId="0" applyFont="1" applyBorder="1" applyAlignment="1" applyProtection="1">
      <alignment horizontal="center"/>
      <protection hidden="1"/>
    </xf>
    <xf numFmtId="37" fontId="0" fillId="17" borderId="10" xfId="0" applyNumberFormat="1" applyFill="1" applyBorder="1" applyAlignment="1" applyProtection="1">
      <alignment wrapText="1"/>
      <protection locked="0"/>
    </xf>
    <xf numFmtId="37" fontId="0" fillId="17" borderId="1" xfId="0" applyNumberFormat="1" applyFill="1" applyBorder="1" applyAlignment="1" applyProtection="1">
      <alignment wrapText="1"/>
      <protection locked="0"/>
    </xf>
    <xf numFmtId="37" fontId="0" fillId="17" borderId="12" xfId="0" applyNumberFormat="1" applyFill="1" applyBorder="1" applyAlignment="1" applyProtection="1">
      <alignment wrapText="1"/>
      <protection locked="0"/>
    </xf>
    <xf numFmtId="0" fontId="0" fillId="20" borderId="3" xfId="0" applyFill="1" applyBorder="1" applyAlignment="1" applyProtection="1">
      <alignment wrapText="1"/>
      <protection hidden="1"/>
    </xf>
    <xf numFmtId="0" fontId="0" fillId="0" borderId="0" xfId="0" applyAlignment="1" applyProtection="1">
      <alignment wrapText="1"/>
      <protection hidden="1"/>
    </xf>
    <xf numFmtId="0" fontId="1" fillId="16" borderId="0" xfId="0" applyFont="1" applyFill="1" applyAlignment="1" applyProtection="1">
      <alignment horizontal="right" vertical="center" wrapText="1" indent="1"/>
      <protection hidden="1"/>
    </xf>
    <xf numFmtId="3" fontId="3" fillId="17" borderId="10" xfId="0" applyNumberFormat="1" applyFont="1" applyFill="1" applyBorder="1" applyAlignment="1" applyProtection="1">
      <alignment horizontal="right" wrapText="1"/>
      <protection locked="0"/>
    </xf>
    <xf numFmtId="3" fontId="3" fillId="17" borderId="1" xfId="0" applyNumberFormat="1" applyFont="1" applyFill="1" applyBorder="1" applyAlignment="1" applyProtection="1">
      <alignment horizontal="right" wrapText="1"/>
      <protection locked="0"/>
    </xf>
    <xf numFmtId="3" fontId="3" fillId="17" borderId="12" xfId="0" applyNumberFormat="1" applyFont="1" applyFill="1" applyBorder="1" applyAlignment="1" applyProtection="1">
      <alignment horizontal="right" wrapText="1"/>
      <protection locked="0"/>
    </xf>
    <xf numFmtId="0" fontId="6" fillId="17" borderId="167" xfId="0" applyFont="1" applyFill="1" applyBorder="1" applyAlignment="1" applyProtection="1">
      <alignment horizontal="left" wrapText="1"/>
      <protection locked="0"/>
    </xf>
    <xf numFmtId="0" fontId="6" fillId="0" borderId="167" xfId="0" applyFont="1" applyBorder="1" applyAlignment="1" applyProtection="1">
      <alignment horizontal="left" wrapText="1"/>
      <protection locked="0"/>
    </xf>
    <xf numFmtId="0" fontId="6" fillId="17" borderId="97" xfId="0" applyFont="1" applyFill="1" applyBorder="1" applyAlignment="1" applyProtection="1">
      <alignment horizontal="left" wrapText="1"/>
      <protection locked="0"/>
    </xf>
    <xf numFmtId="0" fontId="6" fillId="0" borderId="97" xfId="0" applyFont="1" applyBorder="1" applyAlignment="1" applyProtection="1">
      <alignment horizontal="left" wrapText="1"/>
      <protection locked="0"/>
    </xf>
    <xf numFmtId="0" fontId="1" fillId="16" borderId="10" xfId="0" applyFont="1" applyFill="1" applyBorder="1" applyAlignment="1" applyProtection="1">
      <alignment horizontal="center" vertical="center" wrapText="1"/>
      <protection hidden="1"/>
    </xf>
    <xf numFmtId="3" fontId="3" fillId="28" borderId="1" xfId="0" applyNumberFormat="1" applyFont="1" applyFill="1" applyBorder="1" applyAlignment="1" applyProtection="1">
      <alignment wrapText="1"/>
      <protection hidden="1"/>
    </xf>
    <xf numFmtId="0" fontId="1" fillId="16" borderId="53" xfId="0" applyFont="1" applyFill="1" applyBorder="1" applyAlignment="1" applyProtection="1">
      <alignment horizontal="center"/>
      <protection hidden="1"/>
    </xf>
    <xf numFmtId="0" fontId="1" fillId="0" borderId="74" xfId="0" applyFont="1" applyBorder="1" applyAlignment="1" applyProtection="1">
      <alignment horizontal="center"/>
      <protection hidden="1"/>
    </xf>
    <xf numFmtId="37" fontId="0" fillId="17" borderId="53" xfId="0" applyNumberFormat="1" applyFill="1" applyBorder="1" applyAlignment="1" applyProtection="1">
      <alignment wrapText="1"/>
      <protection locked="0"/>
    </xf>
    <xf numFmtId="37" fontId="0" fillId="17" borderId="32" xfId="0" applyNumberFormat="1" applyFill="1" applyBorder="1" applyAlignment="1" applyProtection="1">
      <alignment wrapText="1"/>
      <protection locked="0"/>
    </xf>
    <xf numFmtId="37" fontId="0" fillId="17" borderId="74" xfId="0" applyNumberFormat="1" applyFill="1" applyBorder="1" applyAlignment="1" applyProtection="1">
      <alignment wrapText="1"/>
      <protection locked="0"/>
    </xf>
    <xf numFmtId="194" fontId="0" fillId="17" borderId="1" xfId="0" applyNumberFormat="1" applyFill="1" applyBorder="1" applyAlignment="1" applyProtection="1">
      <alignment horizontal="right" wrapText="1"/>
      <protection locked="0"/>
    </xf>
    <xf numFmtId="194" fontId="0" fillId="0" borderId="1" xfId="0" applyNumberFormat="1" applyBorder="1" applyAlignment="1" applyProtection="1">
      <alignment horizontal="right" wrapText="1"/>
      <protection locked="0"/>
    </xf>
    <xf numFmtId="41" fontId="0" fillId="17"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0" fontId="82" fillId="16" borderId="85" xfId="0" applyFont="1" applyFill="1" applyBorder="1" applyAlignment="1" applyProtection="1">
      <alignment horizontal="center" wrapText="1"/>
      <protection hidden="1"/>
    </xf>
    <xf numFmtId="0" fontId="82" fillId="0" borderId="9" xfId="0" applyFont="1" applyBorder="1" applyAlignment="1">
      <alignment horizontal="center" wrapText="1"/>
    </xf>
    <xf numFmtId="0" fontId="82" fillId="0" borderId="6" xfId="0" applyFont="1" applyBorder="1" applyAlignment="1">
      <alignment horizontal="center" wrapText="1"/>
    </xf>
    <xf numFmtId="0" fontId="82" fillId="0" borderId="0" xfId="0" applyFont="1" applyAlignment="1">
      <alignment horizontal="center" wrapText="1"/>
    </xf>
    <xf numFmtId="0" fontId="6" fillId="16" borderId="6" xfId="0" applyFont="1" applyFill="1" applyBorder="1" applyAlignment="1" applyProtection="1">
      <alignment horizontal="center" wrapText="1"/>
      <protection hidden="1"/>
    </xf>
    <xf numFmtId="0" fontId="6" fillId="0" borderId="0" xfId="0" applyFont="1" applyAlignment="1">
      <alignment horizontal="center" wrapText="1"/>
    </xf>
    <xf numFmtId="0" fontId="6" fillId="0" borderId="21" xfId="0" applyFont="1" applyBorder="1" applyAlignment="1">
      <alignment horizontal="center" wrapText="1"/>
    </xf>
    <xf numFmtId="0" fontId="8" fillId="16" borderId="6" xfId="0" applyFont="1" applyFill="1" applyBorder="1" applyAlignment="1" applyProtection="1">
      <alignment horizontal="left" vertical="center" wrapText="1" indent="2"/>
      <protection hidden="1"/>
    </xf>
    <xf numFmtId="0" fontId="8" fillId="0" borderId="0" xfId="0" applyFont="1" applyAlignment="1">
      <alignment horizontal="left" vertical="center" wrapText="1" indent="2"/>
    </xf>
    <xf numFmtId="0" fontId="8" fillId="0" borderId="22" xfId="0" applyFont="1" applyBorder="1" applyAlignment="1">
      <alignment horizontal="left" vertical="center" wrapText="1" indent="2"/>
    </xf>
    <xf numFmtId="0" fontId="8" fillId="0" borderId="5" xfId="0" applyFont="1" applyBorder="1" applyAlignment="1">
      <alignment horizontal="left" vertical="center" wrapText="1" indent="2"/>
    </xf>
    <xf numFmtId="0" fontId="143" fillId="16" borderId="3" xfId="0" applyFont="1" applyFill="1" applyBorder="1" applyAlignment="1" applyProtection="1">
      <alignment horizontal="center"/>
      <protection hidden="1"/>
    </xf>
    <xf numFmtId="0" fontId="143" fillId="0" borderId="0" xfId="0" applyFont="1" applyAlignment="1">
      <alignment horizontal="center"/>
    </xf>
    <xf numFmtId="0" fontId="143" fillId="16" borderId="0" xfId="0" applyFont="1" applyFill="1" applyAlignment="1" applyProtection="1">
      <alignment horizontal="left"/>
      <protection hidden="1"/>
    </xf>
    <xf numFmtId="0" fontId="143" fillId="0" borderId="0" xfId="0" applyFont="1" applyAlignment="1">
      <alignment horizontal="left"/>
    </xf>
    <xf numFmtId="0" fontId="138" fillId="16" borderId="31" xfId="0" applyFont="1" applyFill="1" applyBorder="1" applyProtection="1">
      <protection hidden="1"/>
    </xf>
    <xf numFmtId="0" fontId="138" fillId="0" borderId="15" xfId="0" applyFont="1" applyBorder="1"/>
    <xf numFmtId="0" fontId="143" fillId="16" borderId="3" xfId="0" applyFont="1" applyFill="1" applyBorder="1" applyAlignment="1" applyProtection="1">
      <alignment horizontal="center" vertical="center"/>
      <protection hidden="1"/>
    </xf>
    <xf numFmtId="0" fontId="143" fillId="0" borderId="0" xfId="0" applyFont="1" applyAlignment="1">
      <alignment horizontal="center" vertical="center"/>
    </xf>
    <xf numFmtId="0" fontId="143" fillId="16" borderId="0" xfId="0" applyFont="1" applyFill="1" applyAlignment="1" applyProtection="1">
      <alignment horizontal="center" vertical="center"/>
      <protection hidden="1"/>
    </xf>
    <xf numFmtId="0" fontId="152" fillId="32" borderId="28" xfId="0" applyFont="1" applyFill="1" applyBorder="1" applyAlignment="1" applyProtection="1">
      <alignment horizontal="center"/>
      <protection hidden="1"/>
    </xf>
    <xf numFmtId="0" fontId="138" fillId="32" borderId="28" xfId="0" applyFont="1" applyFill="1" applyBorder="1" applyAlignment="1" applyProtection="1">
      <alignment horizontal="center"/>
      <protection hidden="1"/>
    </xf>
    <xf numFmtId="37" fontId="0" fillId="28" borderId="10" xfId="0" applyNumberFormat="1" applyFill="1" applyBorder="1" applyProtection="1">
      <protection hidden="1"/>
    </xf>
    <xf numFmtId="192" fontId="0" fillId="28" borderId="10" xfId="0" applyNumberFormat="1" applyFill="1" applyBorder="1" applyProtection="1">
      <protection hidden="1"/>
    </xf>
    <xf numFmtId="192" fontId="0" fillId="28" borderId="1" xfId="0" applyNumberFormat="1" applyFill="1" applyBorder="1"/>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41" fontId="6" fillId="28" borderId="26" xfId="0" applyNumberFormat="1" applyFont="1" applyFill="1" applyBorder="1" applyAlignment="1" applyProtection="1">
      <alignment horizontal="center" vertical="center" wrapText="1"/>
      <protection hidden="1"/>
    </xf>
    <xf numFmtId="41" fontId="5" fillId="17" borderId="40" xfId="0" applyNumberFormat="1" applyFont="1" applyFill="1" applyBorder="1" applyAlignment="1" applyProtection="1">
      <alignment horizontal="center" vertical="center" wrapText="1"/>
      <protection locked="0"/>
    </xf>
    <xf numFmtId="41" fontId="5" fillId="17" borderId="26" xfId="0" applyNumberFormat="1" applyFont="1" applyFill="1" applyBorder="1" applyAlignment="1" applyProtection="1">
      <alignment horizontal="center" vertical="center" wrapText="1"/>
      <protection locked="0"/>
    </xf>
    <xf numFmtId="41" fontId="5" fillId="17" borderId="55" xfId="0" applyNumberFormat="1" applyFont="1" applyFill="1" applyBorder="1" applyAlignment="1" applyProtection="1">
      <alignment horizontal="center" vertical="center" wrapText="1"/>
      <protection locked="0"/>
    </xf>
    <xf numFmtId="0" fontId="8" fillId="0" borderId="9" xfId="0" applyFont="1" applyBorder="1" applyAlignment="1">
      <alignment wrapText="1"/>
    </xf>
    <xf numFmtId="0" fontId="8" fillId="0" borderId="15" xfId="0" applyFont="1" applyBorder="1" applyAlignment="1">
      <alignment wrapText="1"/>
    </xf>
    <xf numFmtId="0" fontId="8" fillId="0" borderId="3" xfId="0" applyFont="1" applyBorder="1" applyAlignment="1">
      <alignment wrapText="1"/>
    </xf>
    <xf numFmtId="0" fontId="8" fillId="0" borderId="25" xfId="0" applyFont="1" applyBorder="1" applyAlignment="1">
      <alignment wrapText="1"/>
    </xf>
    <xf numFmtId="0" fontId="8" fillId="0" borderId="10" xfId="0" applyFont="1" applyBorder="1" applyAlignment="1">
      <alignment wrapText="1"/>
    </xf>
    <xf numFmtId="0" fontId="8" fillId="0" borderId="1" xfId="0" applyFont="1" applyBorder="1" applyAlignment="1">
      <alignment wrapText="1"/>
    </xf>
    <xf numFmtId="0" fontId="8" fillId="0" borderId="12" xfId="0" applyFont="1" applyBorder="1" applyAlignment="1">
      <alignment wrapText="1"/>
    </xf>
    <xf numFmtId="0" fontId="8" fillId="16" borderId="57" xfId="0" applyFont="1" applyFill="1" applyBorder="1" applyAlignment="1" applyProtection="1">
      <alignment wrapText="1"/>
      <protection hidden="1"/>
    </xf>
    <xf numFmtId="0" fontId="0" fillId="0" borderId="8" xfId="0" applyBorder="1" applyAlignment="1">
      <alignment wrapText="1"/>
    </xf>
    <xf numFmtId="0" fontId="1" fillId="16" borderId="70" xfId="0" applyFont="1" applyFill="1" applyBorder="1" applyAlignment="1" applyProtection="1">
      <alignment horizontal="center"/>
      <protection hidden="1"/>
    </xf>
    <xf numFmtId="0" fontId="1" fillId="0" borderId="71" xfId="0" applyFont="1" applyBorder="1" applyAlignment="1" applyProtection="1">
      <alignment horizontal="center"/>
      <protection hidden="1"/>
    </xf>
    <xf numFmtId="37" fontId="0" fillId="28" borderId="70" xfId="0" applyNumberFormat="1" applyFill="1" applyBorder="1" applyProtection="1">
      <protection hidden="1"/>
    </xf>
    <xf numFmtId="37" fontId="0" fillId="28" borderId="5" xfId="0" applyNumberFormat="1" applyFill="1" applyBorder="1"/>
    <xf numFmtId="0" fontId="1" fillId="16" borderId="6" xfId="0" applyFont="1" applyFill="1" applyBorder="1" applyAlignment="1" applyProtection="1">
      <alignment horizontal="center" wrapText="1"/>
      <protection hidden="1"/>
    </xf>
    <xf numFmtId="0" fontId="1" fillId="0" borderId="0" xfId="0" applyFont="1" applyAlignment="1">
      <alignment horizontal="center" wrapText="1"/>
    </xf>
    <xf numFmtId="0" fontId="1" fillId="0" borderId="21" xfId="0" applyFont="1" applyBorder="1" applyAlignment="1">
      <alignment horizontal="center" wrapText="1"/>
    </xf>
    <xf numFmtId="0" fontId="1" fillId="16" borderId="3" xfId="0" applyFont="1" applyFill="1" applyBorder="1" applyAlignment="1" applyProtection="1">
      <alignment horizontal="center"/>
      <protection hidden="1"/>
    </xf>
    <xf numFmtId="0" fontId="1" fillId="16" borderId="25" xfId="0" applyFont="1" applyFill="1" applyBorder="1" applyAlignment="1" applyProtection="1">
      <alignment horizontal="center"/>
      <protection hidden="1"/>
    </xf>
    <xf numFmtId="3" fontId="254" fillId="16" borderId="0" xfId="0" applyNumberFormat="1" applyFont="1" applyFill="1" applyAlignment="1" applyProtection="1">
      <alignment wrapText="1"/>
      <protection hidden="1"/>
    </xf>
    <xf numFmtId="41" fontId="1" fillId="17" borderId="1" xfId="0" applyNumberFormat="1" applyFont="1" applyFill="1" applyBorder="1" applyAlignment="1" applyProtection="1">
      <alignment horizontal="right" wrapText="1"/>
      <protection locked="0"/>
    </xf>
    <xf numFmtId="41" fontId="1" fillId="0" borderId="1" xfId="0" applyNumberFormat="1" applyFont="1" applyBorder="1" applyAlignment="1" applyProtection="1">
      <alignment horizontal="right" wrapText="1"/>
      <protection locked="0"/>
    </xf>
    <xf numFmtId="0" fontId="6" fillId="16" borderId="22" xfId="0" applyFont="1" applyFill="1" applyBorder="1" applyAlignment="1" applyProtection="1">
      <alignment horizontal="center" wrapText="1"/>
      <protection hidden="1"/>
    </xf>
    <xf numFmtId="0" fontId="6" fillId="0" borderId="5" xfId="0" applyFont="1" applyBorder="1" applyAlignment="1">
      <alignment horizontal="center" wrapText="1"/>
    </xf>
    <xf numFmtId="0" fontId="6" fillId="0" borderId="23" xfId="0" applyFont="1" applyBorder="1" applyAlignment="1">
      <alignment horizontal="center" wrapText="1"/>
    </xf>
    <xf numFmtId="0" fontId="1" fillId="0" borderId="25" xfId="0" applyFont="1" applyBorder="1" applyAlignment="1" applyProtection="1">
      <alignment horizontal="center"/>
      <protection hidden="1"/>
    </xf>
    <xf numFmtId="41" fontId="0" fillId="17" borderId="53" xfId="0" applyNumberFormat="1" applyFill="1" applyBorder="1" applyAlignment="1" applyProtection="1">
      <alignment wrapText="1"/>
      <protection locked="0" hidden="1"/>
    </xf>
    <xf numFmtId="41" fontId="0" fillId="17" borderId="32" xfId="0" applyNumberFormat="1" applyFill="1" applyBorder="1" applyAlignment="1" applyProtection="1">
      <alignment wrapText="1"/>
      <protection locked="0" hidden="1"/>
    </xf>
    <xf numFmtId="0" fontId="16" fillId="17" borderId="26" xfId="0" applyFont="1" applyFill="1" applyBorder="1" applyAlignment="1" applyProtection="1">
      <alignment wrapText="1"/>
      <protection locked="0"/>
    </xf>
    <xf numFmtId="0" fontId="138" fillId="16" borderId="3" xfId="0" applyFont="1" applyFill="1" applyBorder="1" applyAlignment="1" applyProtection="1">
      <alignment horizontal="center" wrapText="1"/>
      <protection hidden="1"/>
    </xf>
    <xf numFmtId="0" fontId="138" fillId="0" borderId="0" xfId="0" applyFont="1" applyAlignment="1">
      <alignment horizontal="center" wrapText="1"/>
    </xf>
    <xf numFmtId="0" fontId="144" fillId="16" borderId="26" xfId="0" applyFont="1" applyFill="1" applyBorder="1" applyAlignment="1" applyProtection="1">
      <alignment wrapText="1"/>
      <protection hidden="1"/>
    </xf>
    <xf numFmtId="0" fontId="144" fillId="0" borderId="26" xfId="0" applyFont="1" applyBorder="1" applyAlignment="1">
      <alignment wrapText="1"/>
    </xf>
    <xf numFmtId="0" fontId="0" fillId="20" borderId="31" xfId="0" applyFill="1" applyBorder="1" applyAlignment="1" applyProtection="1">
      <alignment wrapText="1"/>
      <protection hidden="1"/>
    </xf>
    <xf numFmtId="0" fontId="21" fillId="0" borderId="0" xfId="0" applyFont="1" applyAlignment="1" applyProtection="1">
      <alignment horizontal="left" wrapText="1"/>
      <protection hidden="1"/>
    </xf>
    <xf numFmtId="0" fontId="21" fillId="0" borderId="0" xfId="0" applyFont="1" applyAlignment="1">
      <alignment horizontal="left" wrapText="1"/>
    </xf>
    <xf numFmtId="0" fontId="21" fillId="0" borderId="5" xfId="0" applyFont="1" applyBorder="1" applyAlignment="1">
      <alignment horizontal="left" wrapText="1"/>
    </xf>
    <xf numFmtId="0" fontId="0" fillId="0" borderId="12" xfId="0" applyBorder="1" applyAlignment="1" applyProtection="1">
      <alignment horizontal="center"/>
      <protection hidden="1"/>
    </xf>
    <xf numFmtId="37" fontId="0" fillId="28" borderId="10" xfId="0" applyNumberFormat="1" applyFill="1" applyBorder="1" applyAlignment="1" applyProtection="1">
      <alignment wrapText="1"/>
      <protection hidden="1"/>
    </xf>
    <xf numFmtId="37" fontId="0" fillId="28" borderId="1" xfId="0" applyNumberFormat="1" applyFill="1" applyBorder="1" applyAlignment="1" applyProtection="1">
      <alignment wrapText="1"/>
      <protection hidden="1"/>
    </xf>
    <xf numFmtId="37" fontId="0" fillId="28" borderId="12" xfId="0" applyNumberFormat="1" applyFill="1" applyBorder="1" applyAlignment="1" applyProtection="1">
      <alignment wrapText="1"/>
      <protection hidden="1"/>
    </xf>
    <xf numFmtId="0" fontId="1" fillId="16" borderId="40" xfId="0" applyFont="1" applyFill="1" applyBorder="1" applyAlignment="1" applyProtection="1">
      <alignment horizontal="center"/>
      <protection hidden="1"/>
    </xf>
    <xf numFmtId="0" fontId="1" fillId="16" borderId="31" xfId="0" applyFont="1" applyFill="1" applyBorder="1" applyAlignment="1" applyProtection="1">
      <alignment horizontal="center"/>
      <protection hidden="1"/>
    </xf>
    <xf numFmtId="0" fontId="1" fillId="0" borderId="15" xfId="0" applyFont="1" applyBorder="1" applyAlignment="1" applyProtection="1">
      <alignment horizontal="center"/>
      <protection hidden="1"/>
    </xf>
    <xf numFmtId="37" fontId="0" fillId="17" borderId="70" xfId="0" applyNumberFormat="1" applyFill="1" applyBorder="1" applyAlignment="1" applyProtection="1">
      <alignment wrapText="1"/>
      <protection locked="0"/>
    </xf>
    <xf numFmtId="37" fontId="0" fillId="17" borderId="5" xfId="0" applyNumberFormat="1" applyFill="1" applyBorder="1" applyAlignment="1" applyProtection="1">
      <alignment wrapText="1"/>
      <protection locked="0"/>
    </xf>
    <xf numFmtId="37" fontId="0" fillId="17" borderId="71" xfId="0" applyNumberFormat="1" applyFill="1" applyBorder="1" applyAlignment="1" applyProtection="1">
      <alignment wrapText="1"/>
      <protection locked="0"/>
    </xf>
    <xf numFmtId="0" fontId="16" fillId="16" borderId="26" xfId="0" applyFont="1" applyFill="1" applyBorder="1" applyAlignment="1" applyProtection="1">
      <alignment horizontal="left" vertical="center" wrapText="1" indent="1"/>
      <protection hidden="1"/>
    </xf>
    <xf numFmtId="0" fontId="1" fillId="16" borderId="40" xfId="0" applyFont="1" applyFill="1" applyBorder="1" applyAlignment="1" applyProtection="1">
      <alignment horizontal="center" vertical="center" wrapText="1"/>
      <protection hidden="1"/>
    </xf>
    <xf numFmtId="0" fontId="0" fillId="0" borderId="55" xfId="0" applyBorder="1" applyAlignment="1">
      <alignment wrapText="1"/>
    </xf>
    <xf numFmtId="3" fontId="1" fillId="28" borderId="26" xfId="0" applyNumberFormat="1" applyFont="1" applyFill="1" applyBorder="1" applyAlignment="1" applyProtection="1">
      <alignment wrapText="1"/>
      <protection hidden="1"/>
    </xf>
    <xf numFmtId="0" fontId="0" fillId="0" borderId="26" xfId="0" applyBorder="1" applyAlignment="1">
      <alignment wrapText="1"/>
    </xf>
    <xf numFmtId="0" fontId="16" fillId="16" borderId="9" xfId="0" applyFont="1" applyFill="1" applyBorder="1" applyAlignment="1" applyProtection="1">
      <alignment horizontal="center" wrapText="1"/>
      <protection hidden="1"/>
    </xf>
    <xf numFmtId="14" fontId="1" fillId="17" borderId="40" xfId="0" applyNumberFormat="1" applyFont="1" applyFill="1" applyBorder="1" applyAlignment="1" applyProtection="1">
      <alignment horizontal="center" vertical="center" wrapText="1"/>
      <protection locked="0"/>
    </xf>
    <xf numFmtId="14" fontId="1" fillId="17" borderId="26" xfId="0" applyNumberFormat="1" applyFont="1" applyFill="1" applyBorder="1" applyAlignment="1" applyProtection="1">
      <alignment horizontal="center" vertical="center" wrapText="1"/>
      <protection locked="0"/>
    </xf>
    <xf numFmtId="14" fontId="0" fillId="0" borderId="26" xfId="0" applyNumberFormat="1" applyBorder="1" applyAlignment="1" applyProtection="1">
      <alignment horizontal="center" vertical="center" wrapText="1"/>
      <protection locked="0"/>
    </xf>
    <xf numFmtId="41" fontId="5" fillId="0" borderId="26" xfId="0" applyNumberFormat="1" applyFont="1" applyBorder="1" applyAlignment="1" applyProtection="1">
      <alignment horizontal="center" vertical="center" wrapText="1"/>
      <protection locked="0"/>
    </xf>
    <xf numFmtId="41" fontId="5" fillId="0" borderId="55" xfId="0" applyNumberFormat="1" applyFont="1" applyBorder="1" applyAlignment="1" applyProtection="1">
      <alignment horizontal="center" vertical="center" wrapText="1"/>
      <protection locked="0"/>
    </xf>
    <xf numFmtId="0" fontId="1" fillId="16" borderId="26" xfId="0" applyFont="1" applyFill="1" applyBorder="1" applyAlignment="1" applyProtection="1">
      <alignment horizontal="left" vertical="center" wrapText="1" indent="1"/>
      <protection hidden="1"/>
    </xf>
    <xf numFmtId="0" fontId="21" fillId="16" borderId="26" xfId="0" applyFont="1" applyFill="1" applyBorder="1" applyAlignment="1" applyProtection="1">
      <alignment horizontal="left" wrapText="1" indent="1"/>
      <protection hidden="1"/>
    </xf>
    <xf numFmtId="0" fontId="21" fillId="0" borderId="26" xfId="0" applyFont="1" applyBorder="1" applyAlignment="1">
      <alignment horizontal="left" wrapText="1" indent="1"/>
    </xf>
    <xf numFmtId="0" fontId="10" fillId="16" borderId="15" xfId="0" applyFont="1" applyFill="1" applyBorder="1" applyAlignment="1" applyProtection="1">
      <alignment horizontal="center" vertical="center" textRotation="90"/>
      <protection hidden="1"/>
    </xf>
    <xf numFmtId="0" fontId="3" fillId="0" borderId="25" xfId="0" applyFont="1" applyBorder="1" applyAlignment="1">
      <alignment vertical="center" textRotation="90"/>
    </xf>
    <xf numFmtId="0" fontId="3" fillId="0" borderId="12" xfId="0" applyFont="1" applyBorder="1" applyAlignment="1">
      <alignment vertical="center" textRotation="90"/>
    </xf>
    <xf numFmtId="0" fontId="11" fillId="16" borderId="31" xfId="0" applyFont="1" applyFill="1" applyBorder="1" applyAlignment="1" applyProtection="1">
      <alignment horizontal="center" vertical="center" wrapText="1"/>
      <protection hidden="1"/>
    </xf>
    <xf numFmtId="0" fontId="6" fillId="16" borderId="31" xfId="0" applyFont="1" applyFill="1" applyBorder="1" applyAlignment="1" applyProtection="1">
      <alignment horizontal="center" vertical="center" wrapText="1"/>
      <protection hidden="1"/>
    </xf>
    <xf numFmtId="0" fontId="6"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0" xfId="0" applyFont="1" applyAlignment="1">
      <alignment horizontal="center" vertical="center" wrapText="1"/>
    </xf>
    <xf numFmtId="0" fontId="6" fillId="0" borderId="10" xfId="0" applyFont="1" applyBorder="1" applyAlignment="1">
      <alignment horizontal="center" vertical="center" wrapText="1"/>
    </xf>
    <xf numFmtId="0" fontId="6" fillId="0" borderId="1" xfId="0" applyFont="1" applyBorder="1" applyAlignment="1">
      <alignment horizontal="center" vertical="center" wrapText="1"/>
    </xf>
    <xf numFmtId="0" fontId="5" fillId="16" borderId="10"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8" fillId="16" borderId="9" xfId="0" applyFont="1" applyFill="1" applyBorder="1" applyAlignment="1">
      <alignment horizontal="center" vertical="center" wrapText="1"/>
    </xf>
    <xf numFmtId="0" fontId="8" fillId="16" borderId="3" xfId="0" applyFont="1" applyFill="1" applyBorder="1" applyAlignment="1">
      <alignment horizontal="center" vertical="center" wrapText="1"/>
    </xf>
    <xf numFmtId="0" fontId="8" fillId="16" borderId="0" xfId="0" applyFont="1" applyFill="1" applyAlignment="1">
      <alignment horizontal="center" vertical="center" wrapText="1"/>
    </xf>
    <xf numFmtId="0" fontId="8" fillId="16" borderId="10"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8" fillId="16" borderId="31" xfId="0" applyFont="1" applyFill="1" applyBorder="1" applyAlignment="1" applyProtection="1">
      <alignment horizontal="center" wrapText="1"/>
      <protection hidden="1"/>
    </xf>
    <xf numFmtId="0" fontId="8" fillId="0" borderId="9" xfId="0" applyFont="1" applyBorder="1"/>
    <xf numFmtId="0" fontId="8" fillId="0" borderId="15" xfId="0" applyFont="1" applyBorder="1"/>
    <xf numFmtId="0" fontId="8" fillId="0" borderId="3" xfId="0" applyFont="1" applyBorder="1"/>
    <xf numFmtId="0" fontId="8" fillId="0" borderId="0" xfId="0" applyFont="1"/>
    <xf numFmtId="0" fontId="8" fillId="0" borderId="25" xfId="0" applyFont="1" applyBorder="1"/>
    <xf numFmtId="0" fontId="8" fillId="16" borderId="3" xfId="0" applyFont="1" applyFill="1" applyBorder="1" applyAlignment="1" applyProtection="1">
      <alignment horizontal="center" vertical="top" wrapText="1"/>
      <protection hidden="1"/>
    </xf>
    <xf numFmtId="0" fontId="8" fillId="16" borderId="10" xfId="0" applyFont="1" applyFill="1" applyBorder="1" applyAlignment="1" applyProtection="1">
      <alignment horizontal="center" vertical="center" wrapText="1"/>
      <protection hidden="1"/>
    </xf>
    <xf numFmtId="0" fontId="1" fillId="16" borderId="0" xfId="0" applyFont="1" applyFill="1" applyAlignment="1" applyProtection="1">
      <alignment horizontal="left" vertical="center" wrapText="1" indent="1"/>
      <protection hidden="1"/>
    </xf>
    <xf numFmtId="3" fontId="3" fillId="28" borderId="10" xfId="0" applyNumberFormat="1" applyFont="1" applyFill="1" applyBorder="1" applyAlignment="1" applyProtection="1">
      <alignment horizontal="right" wrapText="1"/>
      <protection hidden="1"/>
    </xf>
    <xf numFmtId="3" fontId="3" fillId="28" borderId="1" xfId="0" applyNumberFormat="1" applyFont="1" applyFill="1" applyBorder="1" applyAlignment="1" applyProtection="1">
      <alignment horizontal="right" wrapText="1"/>
      <protection hidden="1"/>
    </xf>
    <xf numFmtId="3" fontId="3" fillId="28" borderId="12" xfId="0" applyNumberFormat="1" applyFont="1" applyFill="1" applyBorder="1" applyAlignment="1" applyProtection="1">
      <alignment horizontal="right" wrapText="1"/>
      <protection hidden="1"/>
    </xf>
    <xf numFmtId="192" fontId="3" fillId="28" borderId="10" xfId="0" applyNumberFormat="1" applyFont="1" applyFill="1" applyBorder="1" applyAlignment="1" applyProtection="1">
      <alignment horizontal="right" wrapText="1"/>
      <protection hidden="1"/>
    </xf>
    <xf numFmtId="192" fontId="3" fillId="28" borderId="1" xfId="0" applyNumberFormat="1" applyFont="1" applyFill="1" applyBorder="1" applyAlignment="1" applyProtection="1">
      <alignment horizontal="right" wrapText="1"/>
      <protection hidden="1"/>
    </xf>
    <xf numFmtId="192" fontId="3" fillId="28" borderId="12" xfId="0" applyNumberFormat="1" applyFont="1" applyFill="1" applyBorder="1" applyAlignment="1" applyProtection="1">
      <alignment horizontal="right" wrapText="1"/>
      <protection hidden="1"/>
    </xf>
    <xf numFmtId="193" fontId="3" fillId="28" borderId="10" xfId="0" applyNumberFormat="1" applyFont="1" applyFill="1" applyBorder="1" applyAlignment="1" applyProtection="1">
      <alignment horizontal="right" wrapText="1"/>
      <protection hidden="1"/>
    </xf>
    <xf numFmtId="193" fontId="3" fillId="28" borderId="1" xfId="0" applyNumberFormat="1" applyFont="1" applyFill="1" applyBorder="1" applyAlignment="1" applyProtection="1">
      <alignment horizontal="right" wrapText="1"/>
      <protection hidden="1"/>
    </xf>
    <xf numFmtId="193" fontId="3" fillId="28" borderId="12" xfId="0" applyNumberFormat="1" applyFont="1" applyFill="1" applyBorder="1" applyAlignment="1" applyProtection="1">
      <alignment horizontal="right" wrapText="1"/>
      <protection hidden="1"/>
    </xf>
    <xf numFmtId="3" fontId="3" fillId="28" borderId="40" xfId="0" applyNumberFormat="1" applyFont="1" applyFill="1" applyBorder="1" applyAlignment="1" applyProtection="1">
      <alignment horizontal="right" wrapText="1"/>
      <protection hidden="1"/>
    </xf>
    <xf numFmtId="3" fontId="3" fillId="28" borderId="26" xfId="0" applyNumberFormat="1" applyFont="1" applyFill="1" applyBorder="1" applyAlignment="1" applyProtection="1">
      <alignment horizontal="right" wrapText="1"/>
      <protection hidden="1"/>
    </xf>
    <xf numFmtId="3" fontId="3" fillId="28" borderId="55" xfId="0" applyNumberFormat="1" applyFont="1" applyFill="1" applyBorder="1" applyAlignment="1" applyProtection="1">
      <alignment horizontal="right" wrapText="1"/>
      <protection hidden="1"/>
    </xf>
    <xf numFmtId="0" fontId="1" fillId="16" borderId="0" xfId="0" applyFont="1" applyFill="1" applyAlignment="1" applyProtection="1">
      <alignment horizontal="right" vertical="top" wrapText="1"/>
      <protection hidden="1"/>
    </xf>
    <xf numFmtId="0" fontId="11" fillId="17" borderId="40" xfId="0" applyFont="1" applyFill="1" applyBorder="1" applyAlignment="1" applyProtection="1">
      <alignment horizontal="center" vertical="top" wrapText="1"/>
      <protection locked="0"/>
    </xf>
    <xf numFmtId="0" fontId="11" fillId="17" borderId="26" xfId="0" applyFont="1" applyFill="1" applyBorder="1" applyAlignment="1" applyProtection="1">
      <alignment horizontal="center" vertical="top" wrapText="1"/>
      <protection locked="0"/>
    </xf>
    <xf numFmtId="0" fontId="11" fillId="17" borderId="55" xfId="0" applyFont="1" applyFill="1" applyBorder="1" applyAlignment="1" applyProtection="1">
      <alignment horizontal="center" vertical="top" wrapText="1"/>
      <protection locked="0"/>
    </xf>
    <xf numFmtId="0" fontId="0" fillId="20" borderId="31" xfId="0" applyFill="1" applyBorder="1" applyAlignment="1" applyProtection="1">
      <alignment vertical="top" wrapText="1"/>
      <protection hidden="1"/>
    </xf>
    <xf numFmtId="0" fontId="0" fillId="0" borderId="9" xfId="0" applyBorder="1" applyAlignment="1">
      <alignment vertical="top" wrapText="1"/>
    </xf>
    <xf numFmtId="0" fontId="6" fillId="17" borderId="167" xfId="0" applyFont="1" applyFill="1" applyBorder="1" applyAlignment="1" applyProtection="1">
      <alignment wrapText="1"/>
      <protection locked="0"/>
    </xf>
    <xf numFmtId="0" fontId="6" fillId="0" borderId="167" xfId="0" applyFont="1" applyBorder="1" applyAlignment="1" applyProtection="1">
      <alignment wrapText="1"/>
      <protection locked="0"/>
    </xf>
    <xf numFmtId="0" fontId="49" fillId="17" borderId="0" xfId="0" applyFont="1" applyFill="1" applyAlignment="1" applyProtection="1">
      <alignment wrapText="1"/>
      <protection locked="0"/>
    </xf>
    <xf numFmtId="166" fontId="21" fillId="28" borderId="3" xfId="0" applyNumberFormat="1" applyFont="1" applyFill="1" applyBorder="1" applyAlignment="1" applyProtection="1">
      <alignment horizontal="center" wrapText="1"/>
      <protection hidden="1"/>
    </xf>
    <xf numFmtId="0" fontId="84" fillId="0" borderId="0" xfId="0" applyFont="1" applyAlignment="1">
      <alignment wrapText="1"/>
    </xf>
    <xf numFmtId="0" fontId="84" fillId="0" borderId="10" xfId="0" applyFont="1" applyBorder="1" applyAlignment="1">
      <alignment wrapText="1"/>
    </xf>
    <xf numFmtId="0" fontId="84" fillId="0" borderId="1" xfId="0" applyFont="1" applyBorder="1" applyAlignment="1">
      <alignment wrapText="1"/>
    </xf>
    <xf numFmtId="0" fontId="16" fillId="16" borderId="9" xfId="0" applyFont="1" applyFill="1" applyBorder="1" applyAlignment="1" applyProtection="1">
      <alignment horizontal="left" vertical="center" wrapText="1"/>
      <protection hidden="1"/>
    </xf>
    <xf numFmtId="0" fontId="16" fillId="16" borderId="9" xfId="0" applyFont="1" applyFill="1" applyBorder="1" applyAlignment="1">
      <alignment horizontal="left" vertical="center" wrapText="1"/>
    </xf>
    <xf numFmtId="0" fontId="16" fillId="16" borderId="26" xfId="0" applyFont="1" applyFill="1" applyBorder="1" applyAlignment="1" applyProtection="1">
      <alignment wrapText="1"/>
      <protection hidden="1"/>
    </xf>
    <xf numFmtId="0" fontId="16" fillId="0" borderId="26" xfId="0" applyFont="1" applyBorder="1" applyAlignment="1">
      <alignment wrapText="1"/>
    </xf>
    <xf numFmtId="0" fontId="53" fillId="16" borderId="0" xfId="0" applyFont="1" applyFill="1" applyAlignment="1" applyProtection="1">
      <alignment horizontal="right" vertical="center" wrapText="1" indent="1"/>
      <protection hidden="1"/>
    </xf>
    <xf numFmtId="0" fontId="1" fillId="16" borderId="40" xfId="0" applyFont="1" applyFill="1" applyBorder="1" applyAlignment="1" applyProtection="1">
      <alignment horizontal="center" wrapText="1"/>
      <protection hidden="1"/>
    </xf>
    <xf numFmtId="0" fontId="1" fillId="0" borderId="26" xfId="0" applyFont="1" applyBorder="1" applyAlignment="1">
      <alignment horizontal="center" wrapText="1"/>
    </xf>
    <xf numFmtId="0" fontId="1" fillId="0" borderId="55" xfId="0" applyFont="1" applyBorder="1" applyAlignment="1">
      <alignment horizontal="center" wrapText="1"/>
    </xf>
    <xf numFmtId="0" fontId="1" fillId="0" borderId="26" xfId="0" applyFont="1" applyBorder="1" applyAlignment="1">
      <alignment horizontal="center" vertical="center" wrapText="1"/>
    </xf>
    <xf numFmtId="0" fontId="1" fillId="0" borderId="55" xfId="0" applyFont="1" applyBorder="1" applyAlignment="1">
      <alignment horizontal="center" vertical="center" wrapText="1"/>
    </xf>
    <xf numFmtId="0" fontId="8" fillId="0" borderId="0" xfId="0" applyFont="1" applyAlignment="1">
      <alignment horizontal="center" vertical="top" wrapText="1"/>
    </xf>
    <xf numFmtId="0" fontId="8" fillId="0" borderId="25" xfId="0" applyFont="1" applyBorder="1" applyAlignment="1">
      <alignment horizontal="center" vertical="top" wrapText="1"/>
    </xf>
    <xf numFmtId="0" fontId="279" fillId="32" borderId="26" xfId="0" applyFont="1" applyFill="1" applyBorder="1" applyAlignment="1" applyProtection="1">
      <alignment horizontal="center"/>
      <protection hidden="1"/>
    </xf>
    <xf numFmtId="0" fontId="280" fillId="32" borderId="26" xfId="0" applyFont="1" applyFill="1" applyBorder="1" applyAlignment="1" applyProtection="1">
      <alignment horizontal="center"/>
      <protection hidden="1"/>
    </xf>
    <xf numFmtId="0" fontId="10" fillId="16" borderId="26" xfId="0" applyFont="1" applyFill="1" applyBorder="1" applyAlignment="1" applyProtection="1">
      <alignment horizontal="left" wrapText="1" indent="1"/>
      <protection hidden="1"/>
    </xf>
    <xf numFmtId="0" fontId="10" fillId="0" borderId="26" xfId="0" applyFont="1" applyBorder="1" applyAlignment="1">
      <alignment horizontal="left" wrapText="1" indent="1"/>
    </xf>
    <xf numFmtId="0" fontId="11" fillId="16" borderId="31" xfId="0" applyFont="1" applyFill="1" applyBorder="1" applyAlignment="1" applyProtection="1">
      <alignment horizontal="center" wrapText="1"/>
      <protection hidden="1"/>
    </xf>
    <xf numFmtId="3" fontId="3" fillId="17" borderId="10" xfId="0" applyNumberFormat="1" applyFont="1" applyFill="1" applyBorder="1" applyAlignment="1" applyProtection="1">
      <alignment horizontal="right"/>
      <protection locked="0"/>
    </xf>
    <xf numFmtId="3" fontId="3" fillId="17" borderId="1" xfId="0" applyNumberFormat="1" applyFont="1" applyFill="1" applyBorder="1" applyAlignment="1" applyProtection="1">
      <alignment horizontal="right"/>
      <protection locked="0"/>
    </xf>
    <xf numFmtId="3" fontId="3" fillId="17" borderId="12" xfId="0" applyNumberFormat="1" applyFont="1" applyFill="1" applyBorder="1" applyAlignment="1" applyProtection="1">
      <alignment horizontal="right"/>
      <protection locked="0"/>
    </xf>
    <xf numFmtId="0" fontId="16" fillId="16" borderId="0" xfId="0" applyFont="1" applyFill="1" applyAlignment="1" applyProtection="1">
      <alignment horizontal="right" vertical="center" wrapText="1" indent="1"/>
      <protection hidden="1"/>
    </xf>
    <xf numFmtId="0" fontId="242" fillId="32" borderId="26" xfId="0" applyFont="1" applyFill="1" applyBorder="1" applyAlignment="1" applyProtection="1">
      <alignment horizontal="center"/>
      <protection hidden="1"/>
    </xf>
    <xf numFmtId="0" fontId="49" fillId="0" borderId="0" xfId="0" applyFont="1" applyAlignment="1" applyProtection="1">
      <alignment horizontal="left" wrapText="1"/>
      <protection hidden="1"/>
    </xf>
    <xf numFmtId="0" fontId="49" fillId="0" borderId="0" xfId="0" applyFont="1" applyAlignment="1">
      <alignment horizontal="left" wrapText="1"/>
    </xf>
    <xf numFmtId="0" fontId="49" fillId="0" borderId="5" xfId="0" applyFont="1" applyBorder="1" applyAlignment="1">
      <alignment horizontal="left" wrapText="1"/>
    </xf>
    <xf numFmtId="0" fontId="1" fillId="16" borderId="0" xfId="0" applyFont="1" applyFill="1" applyAlignment="1" applyProtection="1">
      <alignment horizontal="center" wrapText="1"/>
      <protection hidden="1"/>
    </xf>
    <xf numFmtId="0" fontId="279" fillId="32" borderId="28" xfId="0" applyFont="1" applyFill="1" applyBorder="1" applyAlignment="1" applyProtection="1">
      <alignment horizontal="center"/>
      <protection hidden="1"/>
    </xf>
    <xf numFmtId="0" fontId="280" fillId="32" borderId="28" xfId="0" applyFont="1" applyFill="1" applyBorder="1" applyAlignment="1" applyProtection="1">
      <alignment horizontal="center"/>
      <protection hidden="1"/>
    </xf>
    <xf numFmtId="0" fontId="1" fillId="16" borderId="9" xfId="0" applyFont="1" applyFill="1" applyBorder="1" applyAlignment="1" applyProtection="1">
      <alignment horizontal="center" wrapText="1"/>
      <protection hidden="1"/>
    </xf>
    <xf numFmtId="0" fontId="16" fillId="16" borderId="0" xfId="0" applyFont="1" applyFill="1" applyAlignment="1" applyProtection="1">
      <alignment horizontal="left" vertical="center" wrapText="1" indent="1"/>
      <protection hidden="1"/>
    </xf>
    <xf numFmtId="0" fontId="16" fillId="16" borderId="0" xfId="0" applyFont="1" applyFill="1" applyAlignment="1" applyProtection="1">
      <alignment horizontal="right" vertical="top" wrapText="1"/>
      <protection hidden="1"/>
    </xf>
    <xf numFmtId="3" fontId="3" fillId="17" borderId="40" xfId="0" applyNumberFormat="1" applyFont="1" applyFill="1" applyBorder="1" applyAlignment="1" applyProtection="1">
      <alignment horizontal="right" wrapText="1"/>
      <protection locked="0"/>
    </xf>
    <xf numFmtId="3" fontId="3" fillId="17" borderId="26" xfId="0" applyNumberFormat="1" applyFont="1" applyFill="1" applyBorder="1" applyAlignment="1" applyProtection="1">
      <alignment horizontal="right" wrapText="1"/>
      <protection locked="0"/>
    </xf>
    <xf numFmtId="3" fontId="3" fillId="17" borderId="55" xfId="0" applyNumberFormat="1" applyFont="1" applyFill="1" applyBorder="1" applyAlignment="1" applyProtection="1">
      <alignment horizontal="right" wrapText="1"/>
      <protection locked="0"/>
    </xf>
    <xf numFmtId="14" fontId="3" fillId="17" borderId="40" xfId="0" applyNumberFormat="1" applyFont="1" applyFill="1" applyBorder="1" applyAlignment="1" applyProtection="1">
      <alignment horizontal="center" vertical="center" wrapText="1"/>
      <protection locked="0"/>
    </xf>
    <xf numFmtId="14" fontId="3" fillId="17" borderId="26" xfId="0" applyNumberFormat="1" applyFont="1" applyFill="1" applyBorder="1" applyAlignment="1" applyProtection="1">
      <alignment horizontal="center" vertical="center" wrapText="1"/>
      <protection locked="0"/>
    </xf>
    <xf numFmtId="14" fontId="3" fillId="0" borderId="26" xfId="0" applyNumberFormat="1" applyFont="1" applyBorder="1" applyAlignment="1" applyProtection="1">
      <alignment horizontal="center" vertical="center" wrapText="1"/>
      <protection locked="0"/>
    </xf>
    <xf numFmtId="0" fontId="1" fillId="16" borderId="57" xfId="0" applyFont="1" applyFill="1" applyBorder="1" applyAlignment="1" applyProtection="1">
      <alignment horizontal="center"/>
      <protection hidden="1"/>
    </xf>
    <xf numFmtId="0" fontId="1" fillId="0" borderId="37" xfId="0" applyFont="1" applyBorder="1" applyAlignment="1" applyProtection="1">
      <alignment horizontal="center"/>
      <protection hidden="1"/>
    </xf>
    <xf numFmtId="192" fontId="3" fillId="28" borderId="40" xfId="0" applyNumberFormat="1" applyFont="1" applyFill="1" applyBorder="1" applyAlignment="1" applyProtection="1">
      <alignment horizontal="right" wrapText="1"/>
      <protection hidden="1"/>
    </xf>
    <xf numFmtId="192" fontId="3" fillId="28" borderId="26" xfId="0" applyNumberFormat="1" applyFont="1" applyFill="1" applyBorder="1" applyAlignment="1" applyProtection="1">
      <alignment horizontal="right" wrapText="1"/>
      <protection hidden="1"/>
    </xf>
    <xf numFmtId="192" fontId="3" fillId="28" borderId="55" xfId="0" applyNumberFormat="1" applyFont="1" applyFill="1" applyBorder="1" applyAlignment="1" applyProtection="1">
      <alignment horizontal="right" wrapText="1"/>
      <protection hidden="1"/>
    </xf>
    <xf numFmtId="193" fontId="3" fillId="28" borderId="40" xfId="0" applyNumberFormat="1" applyFont="1" applyFill="1" applyBorder="1" applyAlignment="1" applyProtection="1">
      <alignment horizontal="right" wrapText="1"/>
      <protection hidden="1"/>
    </xf>
    <xf numFmtId="193" fontId="3" fillId="28" borderId="26" xfId="0" applyNumberFormat="1" applyFont="1" applyFill="1" applyBorder="1" applyAlignment="1" applyProtection="1">
      <alignment horizontal="right" wrapText="1"/>
      <protection hidden="1"/>
    </xf>
    <xf numFmtId="193" fontId="3" fillId="28" borderId="55" xfId="0" applyNumberFormat="1" applyFont="1" applyFill="1" applyBorder="1" applyAlignment="1" applyProtection="1">
      <alignment horizontal="right" wrapText="1"/>
      <protection hidden="1"/>
    </xf>
    <xf numFmtId="37" fontId="3" fillId="28" borderId="40" xfId="0" applyNumberFormat="1" applyFont="1" applyFill="1" applyBorder="1" applyAlignment="1" applyProtection="1">
      <alignment horizontal="right" wrapText="1"/>
      <protection hidden="1"/>
    </xf>
    <xf numFmtId="37" fontId="3" fillId="28" borderId="26" xfId="0" applyNumberFormat="1" applyFont="1" applyFill="1" applyBorder="1" applyAlignment="1" applyProtection="1">
      <alignment horizontal="right" wrapText="1"/>
      <protection hidden="1"/>
    </xf>
    <xf numFmtId="37" fontId="3" fillId="28" borderId="55" xfId="0" applyNumberFormat="1" applyFont="1" applyFill="1" applyBorder="1" applyAlignment="1" applyProtection="1">
      <alignment horizontal="right" wrapText="1"/>
      <protection hidden="1"/>
    </xf>
    <xf numFmtId="37" fontId="1" fillId="28" borderId="26" xfId="0" applyNumberFormat="1" applyFont="1" applyFill="1" applyBorder="1" applyAlignment="1" applyProtection="1">
      <alignment wrapText="1"/>
      <protection hidden="1"/>
    </xf>
    <xf numFmtId="37" fontId="0" fillId="0" borderId="26" xfId="0" applyNumberFormat="1" applyBorder="1" applyAlignment="1">
      <alignment wrapText="1"/>
    </xf>
    <xf numFmtId="37" fontId="3" fillId="17" borderId="10" xfId="0" applyNumberFormat="1" applyFont="1" applyFill="1" applyBorder="1" applyAlignment="1" applyProtection="1">
      <alignment wrapText="1"/>
      <protection locked="0"/>
    </xf>
    <xf numFmtId="37" fontId="0" fillId="17" borderId="3" xfId="0" applyNumberFormat="1" applyFill="1" applyBorder="1" applyAlignment="1" applyProtection="1">
      <alignment wrapText="1"/>
      <protection locked="0"/>
    </xf>
    <xf numFmtId="37" fontId="0" fillId="17" borderId="0" xfId="0" applyNumberFormat="1" applyFill="1" applyAlignment="1" applyProtection="1">
      <alignment wrapText="1"/>
      <protection locked="0"/>
    </xf>
    <xf numFmtId="37" fontId="0" fillId="17" borderId="25" xfId="0" applyNumberFormat="1" applyFill="1" applyBorder="1" applyAlignment="1" applyProtection="1">
      <alignment wrapText="1"/>
      <protection locked="0"/>
    </xf>
    <xf numFmtId="37" fontId="3" fillId="28" borderId="1" xfId="0" applyNumberFormat="1" applyFont="1" applyFill="1" applyBorder="1" applyAlignment="1" applyProtection="1">
      <alignment wrapText="1"/>
      <protection hidden="1"/>
    </xf>
    <xf numFmtId="37" fontId="3" fillId="0" borderId="1" xfId="0" applyNumberFormat="1" applyFont="1" applyBorder="1" applyAlignment="1">
      <alignment wrapText="1"/>
    </xf>
    <xf numFmtId="0" fontId="137" fillId="16" borderId="0" xfId="0" applyFont="1" applyFill="1" applyAlignment="1" applyProtection="1">
      <alignment horizontal="left"/>
      <protection hidden="1"/>
    </xf>
    <xf numFmtId="0" fontId="150" fillId="16" borderId="0" xfId="0" applyFont="1" applyFill="1" applyAlignment="1" applyProtection="1">
      <alignment horizontal="left"/>
      <protection hidden="1"/>
    </xf>
    <xf numFmtId="0" fontId="150" fillId="16" borderId="0" xfId="0" applyFont="1" applyFill="1" applyAlignment="1" applyProtection="1">
      <alignment horizontal="left" vertical="center"/>
      <protection hidden="1"/>
    </xf>
    <xf numFmtId="0" fontId="150" fillId="16" borderId="0" xfId="0" applyFont="1" applyFill="1" applyAlignment="1" applyProtection="1">
      <alignment horizontal="left" vertical="top"/>
      <protection hidden="1"/>
    </xf>
    <xf numFmtId="0" fontId="213" fillId="2" borderId="0" xfId="0" applyFont="1" applyFill="1" applyAlignment="1" applyProtection="1">
      <alignment horizontal="right" vertical="center" wrapText="1"/>
      <protection hidden="1"/>
    </xf>
    <xf numFmtId="0" fontId="213" fillId="0" borderId="0" xfId="0" applyFont="1" applyAlignment="1">
      <alignment horizontal="right" vertical="center" wrapText="1"/>
    </xf>
    <xf numFmtId="0" fontId="3" fillId="16" borderId="6" xfId="0" quotePrefix="1" applyFont="1" applyFill="1" applyBorder="1" applyAlignment="1" applyProtection="1">
      <alignment horizontal="left" vertical="top" wrapText="1"/>
      <protection hidden="1"/>
    </xf>
    <xf numFmtId="0" fontId="3" fillId="16" borderId="0" xfId="0" quotePrefix="1" applyFont="1" applyFill="1" applyAlignment="1" applyProtection="1">
      <alignment horizontal="left" vertical="top" wrapText="1"/>
      <protection hidden="1"/>
    </xf>
    <xf numFmtId="0" fontId="3" fillId="16" borderId="21" xfId="0" quotePrefix="1" applyFont="1" applyFill="1" applyBorder="1" applyAlignment="1" applyProtection="1">
      <alignment horizontal="left" vertical="top" wrapText="1"/>
      <protection hidden="1"/>
    </xf>
    <xf numFmtId="0" fontId="8" fillId="2" borderId="0" xfId="0" applyFont="1" applyFill="1" applyAlignment="1" applyProtection="1">
      <alignment horizontal="center"/>
      <protection hidden="1"/>
    </xf>
    <xf numFmtId="0" fontId="45" fillId="16" borderId="0" xfId="0" applyFont="1" applyFill="1" applyAlignment="1" applyProtection="1">
      <alignment horizontal="left" vertical="center"/>
      <protection hidden="1"/>
    </xf>
    <xf numFmtId="0" fontId="45" fillId="16" borderId="25" xfId="0" applyFont="1" applyFill="1" applyBorder="1" applyAlignment="1" applyProtection="1">
      <alignment horizontal="left" vertical="center"/>
      <protection hidden="1"/>
    </xf>
    <xf numFmtId="0" fontId="3" fillId="16" borderId="210" xfId="0" applyFont="1" applyFill="1" applyBorder="1" applyAlignment="1">
      <alignment horizontal="left" vertical="center" wrapText="1"/>
    </xf>
    <xf numFmtId="0" fontId="3" fillId="16" borderId="112" xfId="0" applyFont="1" applyFill="1" applyBorder="1" applyAlignment="1">
      <alignment horizontal="left" vertical="center" wrapText="1"/>
    </xf>
    <xf numFmtId="0" fontId="3" fillId="16" borderId="211" xfId="0" applyFont="1" applyFill="1" applyBorder="1" applyAlignment="1">
      <alignment horizontal="left" vertical="center" wrapText="1"/>
    </xf>
    <xf numFmtId="0" fontId="3" fillId="16" borderId="6" xfId="0" applyFont="1" applyFill="1" applyBorder="1" applyAlignment="1">
      <alignment horizontal="left" vertical="center" wrapText="1"/>
    </xf>
    <xf numFmtId="0" fontId="3" fillId="16" borderId="0" xfId="0" applyFont="1" applyFill="1" applyAlignment="1">
      <alignment horizontal="left" vertical="center" wrapText="1"/>
    </xf>
    <xf numFmtId="0" fontId="3" fillId="16" borderId="21" xfId="0" applyFont="1" applyFill="1" applyBorder="1" applyAlignment="1">
      <alignment horizontal="left" vertical="center" wrapText="1"/>
    </xf>
    <xf numFmtId="0" fontId="16" fillId="16" borderId="212" xfId="0" applyFont="1" applyFill="1" applyBorder="1" applyAlignment="1">
      <alignment horizontal="left" wrapText="1"/>
    </xf>
    <xf numFmtId="0" fontId="16" fillId="16" borderId="178" xfId="0" applyFont="1" applyFill="1" applyBorder="1" applyAlignment="1">
      <alignment horizontal="left" wrapText="1"/>
    </xf>
    <xf numFmtId="0" fontId="16" fillId="16" borderId="41" xfId="0" applyFont="1" applyFill="1" applyBorder="1" applyAlignment="1">
      <alignment horizontal="left" wrapText="1"/>
    </xf>
    <xf numFmtId="0" fontId="8" fillId="16" borderId="85" xfId="0" applyFont="1" applyFill="1" applyBorder="1" applyAlignment="1">
      <alignment horizontal="left" vertical="top" wrapText="1"/>
    </xf>
    <xf numFmtId="0" fontId="8" fillId="16" borderId="9" xfId="0" applyFont="1" applyFill="1" applyBorder="1" applyAlignment="1">
      <alignment horizontal="left" vertical="top" wrapText="1"/>
    </xf>
    <xf numFmtId="0" fontId="8" fillId="16" borderId="93" xfId="0" applyFont="1" applyFill="1" applyBorder="1" applyAlignment="1">
      <alignment horizontal="left" vertical="top" wrapText="1"/>
    </xf>
    <xf numFmtId="0" fontId="8" fillId="16" borderId="6" xfId="0" applyFont="1" applyFill="1" applyBorder="1" applyAlignment="1">
      <alignment horizontal="left" vertical="top" wrapText="1"/>
    </xf>
    <xf numFmtId="0" fontId="8" fillId="16" borderId="0" xfId="0" applyFont="1" applyFill="1" applyAlignment="1">
      <alignment horizontal="left" vertical="top" wrapText="1"/>
    </xf>
    <xf numFmtId="0" fontId="8" fillId="16" borderId="21" xfId="0" applyFont="1" applyFill="1" applyBorder="1" applyAlignment="1">
      <alignment horizontal="left" vertical="top" wrapText="1"/>
    </xf>
    <xf numFmtId="0" fontId="8" fillId="16" borderId="22" xfId="0" applyFont="1" applyFill="1" applyBorder="1" applyAlignment="1">
      <alignment horizontal="left" vertical="top" wrapText="1"/>
    </xf>
    <xf numFmtId="0" fontId="8" fillId="16" borderId="5" xfId="0" applyFont="1" applyFill="1" applyBorder="1" applyAlignment="1">
      <alignment horizontal="left" vertical="top" wrapText="1"/>
    </xf>
    <xf numFmtId="0" fontId="8" fillId="16" borderId="23" xfId="0" applyFont="1" applyFill="1" applyBorder="1" applyAlignment="1">
      <alignment horizontal="left" vertical="top" wrapText="1"/>
    </xf>
    <xf numFmtId="0" fontId="3" fillId="0" borderId="6" xfId="0" applyFont="1" applyBorder="1" applyAlignment="1">
      <alignment horizontal="left" vertical="top" wrapText="1"/>
    </xf>
    <xf numFmtId="0" fontId="3" fillId="0" borderId="0" xfId="0" applyFont="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3" fillId="0" borderId="5" xfId="0" applyFont="1" applyBorder="1" applyAlignment="1">
      <alignment horizontal="left" vertical="top" wrapText="1"/>
    </xf>
    <xf numFmtId="0" fontId="3" fillId="0" borderId="23" xfId="0" applyFont="1" applyBorder="1" applyAlignment="1">
      <alignment horizontal="left" vertical="top" wrapText="1"/>
    </xf>
    <xf numFmtId="0" fontId="16" fillId="0" borderId="212" xfId="0" applyFont="1" applyBorder="1" applyAlignment="1">
      <alignment horizontal="left" wrapText="1"/>
    </xf>
    <xf numFmtId="0" fontId="16" fillId="0" borderId="178" xfId="0" applyFont="1" applyBorder="1" applyAlignment="1">
      <alignment horizontal="left" wrapText="1"/>
    </xf>
    <xf numFmtId="0" fontId="16" fillId="0" borderId="41" xfId="0" applyFont="1" applyBorder="1" applyAlignment="1">
      <alignment horizontal="left" wrapText="1"/>
    </xf>
    <xf numFmtId="0" fontId="0" fillId="16" borderId="6" xfId="0" applyFill="1" applyBorder="1" applyAlignment="1">
      <alignment horizontal="left"/>
    </xf>
    <xf numFmtId="0" fontId="0" fillId="16" borderId="0" xfId="0" applyFill="1" applyAlignment="1">
      <alignment horizontal="left"/>
    </xf>
    <xf numFmtId="0" fontId="0" fillId="16" borderId="21" xfId="0" applyFill="1" applyBorder="1" applyAlignment="1">
      <alignment horizontal="left"/>
    </xf>
    <xf numFmtId="0" fontId="0" fillId="16" borderId="24" xfId="0" applyFill="1" applyBorder="1" applyAlignment="1" applyProtection="1">
      <alignment horizontal="left" wrapText="1"/>
      <protection hidden="1"/>
    </xf>
    <xf numFmtId="0" fontId="0" fillId="16" borderId="8" xfId="0" applyFill="1" applyBorder="1" applyAlignment="1" applyProtection="1">
      <alignment horizontal="left" wrapText="1"/>
      <protection hidden="1"/>
    </xf>
    <xf numFmtId="0" fontId="0" fillId="16" borderId="20" xfId="0" applyFill="1" applyBorder="1" applyAlignment="1" applyProtection="1">
      <alignment horizontal="left" wrapText="1"/>
      <protection hidden="1"/>
    </xf>
    <xf numFmtId="0" fontId="0" fillId="16" borderId="6" xfId="0" applyFill="1" applyBorder="1" applyAlignment="1" applyProtection="1">
      <alignment horizontal="left" wrapText="1"/>
      <protection hidden="1"/>
    </xf>
    <xf numFmtId="0" fontId="0" fillId="16" borderId="0" xfId="0" applyFill="1" applyAlignment="1" applyProtection="1">
      <alignment horizontal="left" wrapText="1"/>
      <protection hidden="1"/>
    </xf>
    <xf numFmtId="0" fontId="0" fillId="16" borderId="21" xfId="0" applyFill="1" applyBorder="1" applyAlignment="1" applyProtection="1">
      <alignment horizontal="left" wrapText="1"/>
      <protection hidden="1"/>
    </xf>
    <xf numFmtId="0" fontId="8" fillId="16" borderId="85" xfId="0" applyFont="1" applyFill="1" applyBorder="1" applyAlignment="1">
      <alignment horizontal="center" vertical="center" wrapText="1"/>
    </xf>
    <xf numFmtId="0" fontId="8" fillId="16" borderId="93" xfId="0" applyFont="1" applyFill="1" applyBorder="1" applyAlignment="1">
      <alignment horizontal="center" vertical="center" wrapText="1"/>
    </xf>
    <xf numFmtId="0" fontId="8" fillId="16" borderId="208" xfId="0" applyFont="1" applyFill="1" applyBorder="1" applyAlignment="1">
      <alignment horizontal="center" vertical="center" wrapText="1"/>
    </xf>
    <xf numFmtId="0" fontId="8" fillId="16" borderId="92" xfId="0" applyFont="1" applyFill="1" applyBorder="1" applyAlignment="1">
      <alignment horizontal="center" vertical="center" wrapText="1"/>
    </xf>
    <xf numFmtId="0" fontId="8" fillId="16" borderId="209" xfId="0" applyFont="1" applyFill="1" applyBorder="1" applyAlignment="1">
      <alignment horizontal="center" vertical="center" wrapText="1"/>
    </xf>
    <xf numFmtId="0" fontId="3" fillId="16" borderId="0" xfId="0" applyFont="1" applyFill="1" applyAlignment="1">
      <alignment horizontal="center" wrapText="1"/>
    </xf>
    <xf numFmtId="0" fontId="0" fillId="0" borderId="0" xfId="0" applyAlignment="1">
      <alignment horizontal="center" wrapText="1"/>
    </xf>
    <xf numFmtId="0" fontId="3" fillId="16" borderId="0" xfId="0" applyFont="1" applyFill="1" applyAlignment="1">
      <alignment horizontal="center"/>
    </xf>
    <xf numFmtId="0" fontId="140" fillId="16" borderId="112" xfId="0" applyFont="1" applyFill="1" applyBorder="1" applyAlignment="1">
      <alignment horizontal="center" vertical="center" wrapText="1"/>
    </xf>
    <xf numFmtId="0" fontId="8" fillId="16" borderId="6" xfId="0" applyFont="1" applyFill="1" applyBorder="1" applyAlignment="1">
      <alignment horizontal="center" wrapText="1"/>
    </xf>
    <xf numFmtId="0" fontId="8" fillId="16" borderId="0" xfId="0" applyFont="1" applyFill="1" applyAlignment="1">
      <alignment horizontal="center" wrapText="1"/>
    </xf>
    <xf numFmtId="0" fontId="150" fillId="8" borderId="21" xfId="0" applyFont="1" applyFill="1" applyBorder="1" applyAlignment="1" applyProtection="1">
      <alignment horizontal="center" wrapText="1"/>
      <protection hidden="1"/>
    </xf>
    <xf numFmtId="0" fontId="8" fillId="16" borderId="6" xfId="0" applyFont="1" applyFill="1" applyBorder="1" applyAlignment="1">
      <alignment horizontal="center"/>
    </xf>
    <xf numFmtId="0" fontId="8" fillId="16" borderId="0" xfId="0" applyFont="1" applyFill="1" applyAlignment="1">
      <alignment horizontal="center"/>
    </xf>
    <xf numFmtId="0" fontId="8" fillId="16" borderId="21" xfId="0" applyFont="1" applyFill="1" applyBorder="1" applyAlignment="1">
      <alignment horizontal="center"/>
    </xf>
    <xf numFmtId="0" fontId="8" fillId="16" borderId="6" xfId="0" applyFont="1" applyFill="1" applyBorder="1" applyAlignment="1">
      <alignment horizontal="center" vertical="center"/>
    </xf>
    <xf numFmtId="0" fontId="8" fillId="16" borderId="0" xfId="0" applyFont="1" applyFill="1" applyAlignment="1">
      <alignment horizontal="center" vertical="center"/>
    </xf>
    <xf numFmtId="0" fontId="8" fillId="16" borderId="21" xfId="0" applyFont="1" applyFill="1" applyBorder="1" applyAlignment="1">
      <alignment horizontal="center" vertical="center"/>
    </xf>
    <xf numFmtId="0" fontId="8" fillId="16" borderId="6" xfId="0" applyFont="1" applyFill="1" applyBorder="1" applyAlignment="1">
      <alignment horizontal="center" vertical="top"/>
    </xf>
    <xf numFmtId="0" fontId="8" fillId="16" borderId="0" xfId="0" applyFont="1" applyFill="1" applyAlignment="1">
      <alignment horizontal="center" vertical="top"/>
    </xf>
    <xf numFmtId="0" fontId="8" fillId="16" borderId="21" xfId="0" applyFont="1" applyFill="1" applyBorder="1" applyAlignment="1">
      <alignment horizontal="center" vertical="top"/>
    </xf>
    <xf numFmtId="0" fontId="8" fillId="16" borderId="6" xfId="0" applyFont="1" applyFill="1" applyBorder="1" applyAlignment="1">
      <alignment horizontal="right" wrapText="1"/>
    </xf>
    <xf numFmtId="0" fontId="8" fillId="16" borderId="0" xfId="0" applyFont="1" applyFill="1" applyAlignment="1">
      <alignment horizontal="right" wrapText="1"/>
    </xf>
    <xf numFmtId="0" fontId="0" fillId="2" borderId="6" xfId="0" applyFill="1" applyBorder="1" applyAlignment="1" applyProtection="1">
      <alignment horizontal="center" wrapText="1"/>
      <protection hidden="1"/>
    </xf>
    <xf numFmtId="0" fontId="3" fillId="2" borderId="22" xfId="0" applyFont="1" applyFill="1" applyBorder="1" applyAlignment="1" applyProtection="1">
      <alignment horizontal="center" vertical="center" wrapText="1"/>
      <protection hidden="1"/>
    </xf>
    <xf numFmtId="0" fontId="0" fillId="0" borderId="5" xfId="0" applyBorder="1" applyAlignment="1">
      <alignment vertical="center" wrapText="1"/>
    </xf>
    <xf numFmtId="0" fontId="8" fillId="2" borderId="5" xfId="0" applyFont="1" applyFill="1" applyBorder="1" applyAlignment="1" applyProtection="1">
      <alignment horizontal="left" vertical="top" wrapText="1"/>
      <protection hidden="1"/>
    </xf>
    <xf numFmtId="0" fontId="0" fillId="0" borderId="5" xfId="0" applyBorder="1" applyAlignment="1">
      <alignment wrapText="1"/>
    </xf>
    <xf numFmtId="0" fontId="0" fillId="0" borderId="23" xfId="0" applyBorder="1" applyAlignment="1">
      <alignment wrapText="1"/>
    </xf>
    <xf numFmtId="0" fontId="4" fillId="2" borderId="3" xfId="0" applyFont="1" applyFill="1" applyBorder="1" applyAlignment="1" applyProtection="1">
      <alignment horizontal="center" vertical="center"/>
      <protection hidden="1"/>
    </xf>
    <xf numFmtId="0" fontId="16" fillId="2" borderId="0" xfId="0" applyFont="1" applyFill="1" applyAlignment="1" applyProtection="1">
      <alignment horizontal="center"/>
      <protection hidden="1"/>
    </xf>
    <xf numFmtId="0" fontId="103" fillId="2" borderId="0" xfId="0" applyFont="1" applyFill="1" applyAlignment="1" applyProtection="1">
      <alignment horizontal="center" vertical="center" wrapText="1"/>
      <protection hidden="1"/>
    </xf>
    <xf numFmtId="0" fontId="103" fillId="0" borderId="21" xfId="0" applyFont="1" applyBorder="1" applyAlignment="1">
      <alignment horizontal="center" vertical="center" wrapText="1"/>
    </xf>
    <xf numFmtId="0" fontId="103" fillId="0" borderId="0" xfId="0" applyFont="1" applyAlignment="1">
      <alignment horizontal="center" vertical="center" wrapText="1"/>
    </xf>
    <xf numFmtId="0" fontId="3"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53" fillId="2" borderId="31" xfId="0" applyFont="1" applyFill="1" applyBorder="1" applyAlignment="1" applyProtection="1">
      <alignment horizontal="left" vertical="center" wrapText="1" indent="1"/>
      <protection hidden="1"/>
    </xf>
    <xf numFmtId="0" fontId="53" fillId="0" borderId="9" xfId="0" applyFont="1" applyBorder="1" applyAlignment="1">
      <alignment horizontal="left" vertical="center" wrapText="1" indent="1"/>
    </xf>
    <xf numFmtId="0" fontId="53" fillId="0" borderId="15" xfId="0" applyFont="1" applyBorder="1" applyAlignment="1">
      <alignment horizontal="left" vertical="center" wrapText="1" indent="1"/>
    </xf>
    <xf numFmtId="0" fontId="53" fillId="0" borderId="3" xfId="0" applyFont="1" applyBorder="1" applyAlignment="1">
      <alignment horizontal="left" vertical="center" wrapText="1" indent="1"/>
    </xf>
    <xf numFmtId="0" fontId="53" fillId="0" borderId="0" xfId="0" applyFont="1" applyAlignment="1">
      <alignment horizontal="left" vertical="center" wrapText="1" indent="1"/>
    </xf>
    <xf numFmtId="0" fontId="53" fillId="0" borderId="25" xfId="0" applyFont="1" applyBorder="1" applyAlignment="1">
      <alignment horizontal="left" vertical="center" wrapText="1" indent="1"/>
    </xf>
    <xf numFmtId="0" fontId="53" fillId="0" borderId="10" xfId="0" applyFont="1" applyBorder="1" applyAlignment="1">
      <alignment horizontal="left" vertical="center" wrapText="1" indent="1"/>
    </xf>
    <xf numFmtId="0" fontId="53" fillId="0" borderId="1" xfId="0" applyFont="1" applyBorder="1" applyAlignment="1">
      <alignment horizontal="left" vertical="center" wrapText="1" indent="1"/>
    </xf>
    <xf numFmtId="0" fontId="53" fillId="0" borderId="12" xfId="0" applyFont="1" applyBorder="1" applyAlignment="1">
      <alignment horizontal="left" vertical="center" wrapText="1" indent="1"/>
    </xf>
    <xf numFmtId="0" fontId="1" fillId="28" borderId="1" xfId="0" applyFont="1" applyFill="1" applyBorder="1" applyAlignment="1" applyProtection="1">
      <alignment horizontal="left" vertical="center"/>
      <protection hidden="1"/>
    </xf>
    <xf numFmtId="0" fontId="3" fillId="0" borderId="1" xfId="0" applyFont="1" applyBorder="1" applyAlignment="1">
      <alignment vertical="center"/>
    </xf>
    <xf numFmtId="0" fontId="3" fillId="0" borderId="12" xfId="0" applyFont="1" applyBorder="1" applyAlignment="1">
      <alignment vertical="center"/>
    </xf>
    <xf numFmtId="0" fontId="3" fillId="2" borderId="31" xfId="0" applyFont="1" applyFill="1" applyBorder="1" applyAlignment="1" applyProtection="1">
      <alignment horizontal="left" vertical="center" wrapText="1"/>
      <protection hidden="1"/>
    </xf>
    <xf numFmtId="0" fontId="3" fillId="2" borderId="9" xfId="0" applyFont="1" applyFill="1" applyBorder="1" applyAlignment="1" applyProtection="1">
      <alignment horizontal="left" vertical="center" wrapText="1"/>
      <protection hidden="1"/>
    </xf>
    <xf numFmtId="0" fontId="3" fillId="2" borderId="15"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left" vertical="center" wrapText="1"/>
      <protection hidden="1"/>
    </xf>
    <xf numFmtId="0" fontId="3" fillId="2" borderId="0" xfId="0" applyFont="1" applyFill="1" applyAlignment="1" applyProtection="1">
      <alignment horizontal="left" vertical="center" wrapText="1"/>
      <protection hidden="1"/>
    </xf>
    <xf numFmtId="0" fontId="3" fillId="2" borderId="25" xfId="0" applyFont="1" applyFill="1" applyBorder="1" applyAlignment="1" applyProtection="1">
      <alignment horizontal="left" vertical="center" wrapText="1"/>
      <protection hidden="1"/>
    </xf>
    <xf numFmtId="0" fontId="3" fillId="2" borderId="10" xfId="0" applyFont="1" applyFill="1" applyBorder="1" applyAlignment="1" applyProtection="1">
      <alignment horizontal="left" vertical="center" wrapText="1"/>
      <protection hidden="1"/>
    </xf>
    <xf numFmtId="0" fontId="3" fillId="2" borderId="1" xfId="0" applyFont="1" applyFill="1" applyBorder="1" applyAlignment="1" applyProtection="1">
      <alignment horizontal="left" vertical="center" wrapText="1"/>
      <protection hidden="1"/>
    </xf>
    <xf numFmtId="0" fontId="3" fillId="2" borderId="12" xfId="0" applyFont="1" applyFill="1" applyBorder="1" applyAlignment="1" applyProtection="1">
      <alignment horizontal="left" vertical="center" wrapText="1"/>
      <protection hidden="1"/>
    </xf>
    <xf numFmtId="0" fontId="3" fillId="2" borderId="31" xfId="0" applyFont="1" applyFill="1" applyBorder="1" applyAlignment="1" applyProtection="1">
      <alignment horizontal="left" vertical="center" wrapText="1" indent="1"/>
      <protection hidden="1"/>
    </xf>
    <xf numFmtId="0" fontId="3" fillId="0" borderId="9" xfId="0" applyFont="1" applyBorder="1" applyAlignment="1">
      <alignment horizontal="left" vertical="center" wrapText="1" indent="1"/>
    </xf>
    <xf numFmtId="0" fontId="3" fillId="0" borderId="15" xfId="0" applyFont="1" applyBorder="1" applyAlignment="1">
      <alignment horizontal="left" vertical="center" wrapText="1" indent="1"/>
    </xf>
    <xf numFmtId="0" fontId="3" fillId="0" borderId="3" xfId="0" applyFont="1" applyBorder="1" applyAlignment="1">
      <alignment horizontal="left" vertical="center" wrapText="1" indent="1"/>
    </xf>
    <xf numFmtId="0" fontId="3" fillId="0" borderId="0" xfId="0" applyFont="1" applyAlignment="1">
      <alignment horizontal="left" vertical="center" wrapText="1" indent="1"/>
    </xf>
    <xf numFmtId="0" fontId="3" fillId="0" borderId="25" xfId="0" applyFont="1" applyBorder="1" applyAlignment="1">
      <alignment horizontal="left" vertical="center" wrapText="1" indent="1"/>
    </xf>
    <xf numFmtId="0" fontId="3" fillId="0" borderId="10" xfId="0" applyFont="1" applyBorder="1" applyAlignment="1">
      <alignment horizontal="left" vertical="center" wrapText="1" indent="1"/>
    </xf>
    <xf numFmtId="0" fontId="3" fillId="0" borderId="1" xfId="0" applyFont="1" applyBorder="1" applyAlignment="1">
      <alignment horizontal="left" vertical="center" wrapText="1" indent="1"/>
    </xf>
    <xf numFmtId="0" fontId="3" fillId="0" borderId="12" xfId="0" applyFont="1" applyBorder="1" applyAlignment="1">
      <alignment horizontal="left" vertical="center" wrapText="1" indent="1"/>
    </xf>
    <xf numFmtId="0" fontId="5" fillId="2" borderId="31" xfId="0" applyFont="1" applyFill="1" applyBorder="1" applyAlignment="1" applyProtection="1">
      <alignment horizontal="left" vertical="center" wrapText="1" indent="1"/>
      <protection hidden="1"/>
    </xf>
    <xf numFmtId="0" fontId="5" fillId="0" borderId="15"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5" xfId="0" applyFont="1" applyBorder="1" applyAlignment="1">
      <alignment horizontal="left" vertical="center" wrapText="1" indent="1"/>
    </xf>
    <xf numFmtId="0" fontId="5" fillId="0" borderId="10" xfId="0" applyFont="1" applyBorder="1" applyAlignment="1">
      <alignment horizontal="left" vertical="center" wrapText="1" indent="1"/>
    </xf>
    <xf numFmtId="0" fontId="5" fillId="0" borderId="12" xfId="0" applyFont="1" applyBorder="1" applyAlignment="1">
      <alignment horizontal="left" vertical="center" wrapText="1" indent="1"/>
    </xf>
    <xf numFmtId="0" fontId="4" fillId="2" borderId="3" xfId="0" applyFont="1" applyFill="1" applyBorder="1" applyAlignment="1" applyProtection="1">
      <alignment horizontal="center" wrapText="1"/>
      <protection hidden="1"/>
    </xf>
    <xf numFmtId="0" fontId="0" fillId="0" borderId="25" xfId="0" applyBorder="1" applyAlignment="1">
      <alignment horizontal="center" wrapText="1"/>
    </xf>
    <xf numFmtId="0" fontId="0" fillId="0" borderId="3" xfId="0" applyBorder="1" applyAlignment="1">
      <alignment horizontal="center" wrapText="1"/>
    </xf>
    <xf numFmtId="0" fontId="3" fillId="2" borderId="40" xfId="0" applyFont="1" applyFill="1" applyBorder="1" applyAlignment="1" applyProtection="1">
      <alignment horizontal="center" vertical="center" wrapText="1"/>
      <protection hidden="1"/>
    </xf>
    <xf numFmtId="0" fontId="3" fillId="2" borderId="26" xfId="0" applyFont="1" applyFill="1" applyBorder="1" applyAlignment="1" applyProtection="1">
      <alignment horizontal="center" vertical="center" wrapText="1"/>
      <protection hidden="1"/>
    </xf>
    <xf numFmtId="0" fontId="3" fillId="2" borderId="55" xfId="0" applyFont="1" applyFill="1" applyBorder="1" applyAlignment="1" applyProtection="1">
      <alignment horizontal="center" vertical="center" wrapText="1"/>
      <protection hidden="1"/>
    </xf>
    <xf numFmtId="0" fontId="6" fillId="2" borderId="0" xfId="0" applyFont="1" applyFill="1" applyAlignment="1" applyProtection="1">
      <alignment horizontal="left" vertical="top" wrapText="1"/>
      <protection hidden="1"/>
    </xf>
    <xf numFmtId="0" fontId="6" fillId="2" borderId="9" xfId="0" applyFont="1" applyFill="1" applyBorder="1" applyAlignment="1" applyProtection="1">
      <alignment horizontal="right" vertical="top" wrapText="1"/>
      <protection hidden="1"/>
    </xf>
    <xf numFmtId="0" fontId="0" fillId="0" borderId="9" xfId="0" applyBorder="1" applyAlignment="1">
      <alignment horizontal="right" vertical="top" wrapText="1"/>
    </xf>
    <xf numFmtId="0" fontId="0" fillId="0" borderId="0" xfId="0" applyAlignment="1">
      <alignment horizontal="right" vertical="top" wrapText="1"/>
    </xf>
    <xf numFmtId="0" fontId="49" fillId="16" borderId="8" xfId="0" applyFont="1" applyFill="1" applyBorder="1" applyAlignment="1">
      <alignment horizontal="center" wrapText="1"/>
    </xf>
    <xf numFmtId="0" fontId="21" fillId="16" borderId="0" xfId="0" applyFont="1" applyFill="1" applyAlignment="1">
      <alignment horizontal="center" vertical="center" wrapText="1"/>
    </xf>
    <xf numFmtId="0" fontId="84" fillId="0" borderId="0" xfId="0" applyFont="1" applyAlignment="1">
      <alignment vertical="center" wrapText="1"/>
    </xf>
    <xf numFmtId="0" fontId="16" fillId="16" borderId="0" xfId="0" applyFont="1" applyFill="1" applyAlignment="1">
      <alignment horizontal="center" vertical="center" wrapText="1"/>
    </xf>
    <xf numFmtId="0" fontId="16" fillId="16" borderId="5" xfId="0" applyFont="1" applyFill="1" applyBorder="1" applyAlignment="1">
      <alignment horizontal="center" vertical="center" wrapText="1"/>
    </xf>
    <xf numFmtId="0" fontId="1" fillId="16" borderId="0" xfId="0" applyFont="1" applyFill="1" applyAlignment="1">
      <alignment horizontal="center"/>
    </xf>
    <xf numFmtId="0" fontId="21" fillId="16" borderId="0" xfId="0" applyFont="1" applyFill="1" applyAlignment="1">
      <alignment horizontal="center"/>
    </xf>
    <xf numFmtId="37" fontId="16" fillId="17" borderId="24" xfId="0" applyNumberFormat="1" applyFont="1" applyFill="1" applyBorder="1" applyAlignment="1" applyProtection="1">
      <alignment horizontal="right" vertical="center" wrapText="1" indent="1"/>
      <protection locked="0"/>
    </xf>
    <xf numFmtId="37" fontId="16" fillId="17" borderId="8" xfId="0" applyNumberFormat="1" applyFont="1" applyFill="1" applyBorder="1" applyAlignment="1" applyProtection="1">
      <alignment horizontal="right" vertical="center" wrapText="1" indent="1"/>
      <protection locked="0"/>
    </xf>
    <xf numFmtId="37" fontId="16" fillId="17" borderId="20" xfId="0" applyNumberFormat="1" applyFont="1" applyFill="1" applyBorder="1" applyAlignment="1" applyProtection="1">
      <alignment horizontal="right" vertical="center" wrapText="1" indent="1"/>
      <protection locked="0"/>
    </xf>
    <xf numFmtId="37" fontId="16" fillId="17" borderId="22" xfId="0" applyNumberFormat="1" applyFont="1" applyFill="1" applyBorder="1" applyAlignment="1" applyProtection="1">
      <alignment horizontal="right" vertical="center" wrapText="1" indent="1"/>
      <protection locked="0"/>
    </xf>
    <xf numFmtId="37" fontId="16" fillId="17" borderId="5" xfId="0" applyNumberFormat="1" applyFont="1" applyFill="1" applyBorder="1" applyAlignment="1" applyProtection="1">
      <alignment horizontal="right" vertical="center" wrapText="1" indent="1"/>
      <protection locked="0"/>
    </xf>
    <xf numFmtId="37" fontId="16" fillId="17" borderId="23" xfId="0" applyNumberFormat="1" applyFont="1" applyFill="1" applyBorder="1" applyAlignment="1" applyProtection="1">
      <alignment horizontal="right" vertical="center" wrapText="1" indent="1"/>
      <protection locked="0"/>
    </xf>
    <xf numFmtId="0" fontId="181" fillId="16" borderId="8" xfId="0" applyFont="1" applyFill="1" applyBorder="1" applyAlignment="1">
      <alignment horizontal="center" vertical="center" wrapText="1"/>
    </xf>
    <xf numFmtId="0" fontId="181" fillId="16" borderId="37" xfId="0" applyFont="1" applyFill="1" applyBorder="1" applyAlignment="1">
      <alignment horizontal="center" vertical="center" wrapText="1"/>
    </xf>
    <xf numFmtId="0" fontId="181" fillId="16" borderId="0" xfId="0" applyFont="1" applyFill="1" applyAlignment="1">
      <alignment horizontal="center" vertical="center" wrapText="1"/>
    </xf>
    <xf numFmtId="0" fontId="181" fillId="16" borderId="25" xfId="0" applyFont="1" applyFill="1" applyBorder="1" applyAlignment="1">
      <alignment horizontal="center" vertical="center" wrapText="1"/>
    </xf>
    <xf numFmtId="0" fontId="181" fillId="16" borderId="3" xfId="0" applyFont="1" applyFill="1" applyBorder="1" applyAlignment="1">
      <alignment horizontal="center" vertical="center" wrapText="1"/>
    </xf>
    <xf numFmtId="0" fontId="138" fillId="16" borderId="5" xfId="0" applyFont="1" applyFill="1" applyBorder="1" applyAlignment="1">
      <alignment wrapText="1"/>
    </xf>
    <xf numFmtId="0" fontId="138" fillId="0" borderId="5" xfId="0" applyFont="1" applyBorder="1" applyAlignment="1">
      <alignment wrapText="1"/>
    </xf>
    <xf numFmtId="0" fontId="5" fillId="2" borderId="31" xfId="0" applyFont="1" applyFill="1" applyBorder="1" applyAlignment="1" applyProtection="1">
      <alignment horizontal="center" vertical="center"/>
      <protection hidden="1"/>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2" borderId="57" xfId="0" applyFont="1" applyFill="1" applyBorder="1" applyAlignment="1" applyProtection="1">
      <alignment horizontal="left" indent="1"/>
      <protection hidden="1"/>
    </xf>
    <xf numFmtId="0" fontId="5" fillId="2" borderId="8" xfId="0" applyFont="1" applyFill="1" applyBorder="1" applyAlignment="1" applyProtection="1">
      <alignment horizontal="left" indent="1"/>
      <protection hidden="1"/>
    </xf>
    <xf numFmtId="0" fontId="6" fillId="2" borderId="9" xfId="0" applyFont="1" applyFill="1" applyBorder="1" applyAlignment="1" applyProtection="1">
      <alignment horizontal="center" vertical="top" wrapText="1"/>
      <protection hidden="1"/>
    </xf>
    <xf numFmtId="0" fontId="3" fillId="0" borderId="1" xfId="0" applyFont="1" applyBorder="1" applyAlignment="1">
      <alignment horizontal="center" vertical="top" wrapText="1"/>
    </xf>
    <xf numFmtId="0" fontId="21" fillId="2" borderId="6" xfId="0" applyFont="1" applyFill="1" applyBorder="1" applyAlignment="1" applyProtection="1">
      <alignment horizontal="center" vertical="center" wrapText="1"/>
      <protection hidden="1"/>
    </xf>
    <xf numFmtId="0" fontId="21" fillId="2" borderId="0" xfId="0" applyFont="1" applyFill="1" applyAlignment="1" applyProtection="1">
      <alignment horizontal="center" vertical="center" wrapText="1"/>
      <protection hidden="1"/>
    </xf>
    <xf numFmtId="0" fontId="21" fillId="2" borderId="21" xfId="0" applyFont="1" applyFill="1" applyBorder="1" applyAlignment="1" applyProtection="1">
      <alignment horizontal="center" vertical="center" wrapText="1"/>
      <protection hidden="1"/>
    </xf>
    <xf numFmtId="0" fontId="11" fillId="2" borderId="0" xfId="0" applyFont="1" applyFill="1" applyAlignment="1" applyProtection="1">
      <alignment horizontal="center"/>
      <protection hidden="1"/>
    </xf>
    <xf numFmtId="0" fontId="11" fillId="2" borderId="5" xfId="0" applyFont="1" applyFill="1" applyBorder="1" applyAlignment="1" applyProtection="1">
      <alignment horizontal="center"/>
      <protection hidden="1"/>
    </xf>
    <xf numFmtId="0" fontId="150" fillId="8" borderId="21" xfId="0" applyFont="1" applyFill="1" applyBorder="1" applyAlignment="1" applyProtection="1">
      <alignment horizontal="center" vertical="top" wrapText="1"/>
      <protection hidden="1"/>
    </xf>
    <xf numFmtId="0" fontId="49" fillId="16" borderId="0" xfId="0" applyFont="1" applyFill="1" applyAlignment="1">
      <alignment horizontal="center" vertical="center"/>
    </xf>
    <xf numFmtId="0" fontId="149" fillId="0" borderId="0" xfId="0" applyFont="1" applyAlignment="1">
      <alignment vertical="center"/>
    </xf>
    <xf numFmtId="0" fontId="1" fillId="16" borderId="0" xfId="0" applyFont="1" applyFill="1" applyAlignment="1">
      <alignment horizontal="center" wrapText="1"/>
    </xf>
    <xf numFmtId="0" fontId="16" fillId="16" borderId="6" xfId="0" quotePrefix="1" applyFont="1" applyFill="1" applyBorder="1" applyAlignment="1">
      <alignment horizontal="right"/>
    </xf>
    <xf numFmtId="0" fontId="49" fillId="2" borderId="9" xfId="0" applyFont="1" applyFill="1" applyBorder="1" applyAlignment="1" applyProtection="1">
      <alignment horizontal="center" vertical="center"/>
      <protection hidden="1"/>
    </xf>
    <xf numFmtId="0" fontId="3" fillId="2" borderId="31" xfId="0" applyFont="1" applyFill="1" applyBorder="1" applyAlignment="1" applyProtection="1">
      <alignment horizontal="left" vertical="center"/>
      <protection hidden="1"/>
    </xf>
    <xf numFmtId="0" fontId="3" fillId="2" borderId="9" xfId="0" applyFont="1" applyFill="1" applyBorder="1" applyAlignment="1" applyProtection="1">
      <alignment horizontal="left" vertical="center"/>
      <protection hidden="1"/>
    </xf>
    <xf numFmtId="0" fontId="3" fillId="2" borderId="15" xfId="0" applyFont="1" applyFill="1" applyBorder="1" applyAlignment="1" applyProtection="1">
      <alignment horizontal="left" vertical="center"/>
      <protection hidden="1"/>
    </xf>
    <xf numFmtId="0" fontId="3" fillId="2" borderId="10" xfId="0" applyFont="1" applyFill="1" applyBorder="1" applyAlignment="1" applyProtection="1">
      <alignment horizontal="left" vertical="center"/>
      <protection hidden="1"/>
    </xf>
    <xf numFmtId="0" fontId="3" fillId="2" borderId="1" xfId="0" applyFont="1" applyFill="1" applyBorder="1" applyAlignment="1" applyProtection="1">
      <alignment horizontal="left" vertical="center"/>
      <protection hidden="1"/>
    </xf>
    <xf numFmtId="0" fontId="3" fillId="2" borderId="12" xfId="0" applyFont="1" applyFill="1" applyBorder="1" applyAlignment="1" applyProtection="1">
      <alignment horizontal="left" vertical="center"/>
      <protection hidden="1"/>
    </xf>
    <xf numFmtId="37" fontId="10" fillId="17" borderId="24" xfId="0" applyNumberFormat="1" applyFont="1" applyFill="1" applyBorder="1" applyAlignment="1" applyProtection="1">
      <alignment horizontal="right" vertical="center" wrapText="1" indent="1"/>
      <protection locked="0"/>
    </xf>
    <xf numFmtId="37" fontId="10" fillId="17" borderId="8" xfId="0" applyNumberFormat="1" applyFont="1" applyFill="1" applyBorder="1" applyAlignment="1" applyProtection="1">
      <alignment horizontal="right" vertical="center" wrapText="1" indent="1"/>
      <protection locked="0"/>
    </xf>
    <xf numFmtId="37" fontId="10" fillId="17" borderId="20" xfId="0" applyNumberFormat="1" applyFont="1" applyFill="1" applyBorder="1" applyAlignment="1" applyProtection="1">
      <alignment horizontal="right" vertical="center" wrapText="1" indent="1"/>
      <protection locked="0"/>
    </xf>
    <xf numFmtId="37" fontId="10" fillId="17" borderId="22" xfId="0" applyNumberFormat="1" applyFont="1" applyFill="1" applyBorder="1" applyAlignment="1" applyProtection="1">
      <alignment horizontal="right" vertical="center" wrapText="1" indent="1"/>
      <protection locked="0"/>
    </xf>
    <xf numFmtId="37" fontId="10" fillId="17" borderId="5" xfId="0" applyNumberFormat="1" applyFont="1" applyFill="1" applyBorder="1" applyAlignment="1" applyProtection="1">
      <alignment horizontal="right" vertical="center" wrapText="1" indent="1"/>
      <protection locked="0"/>
    </xf>
    <xf numFmtId="37" fontId="10" fillId="17" borderId="23" xfId="0" applyNumberFormat="1" applyFont="1" applyFill="1" applyBorder="1" applyAlignment="1" applyProtection="1">
      <alignment horizontal="right" vertical="center" wrapText="1" indent="1"/>
      <protection locked="0"/>
    </xf>
    <xf numFmtId="0" fontId="16" fillId="16" borderId="0" xfId="0" applyFont="1" applyFill="1" applyAlignment="1">
      <alignment horizontal="center" wrapText="1"/>
    </xf>
    <xf numFmtId="3" fontId="140" fillId="16" borderId="6" xfId="0" applyNumberFormat="1" applyFont="1" applyFill="1" applyBorder="1" applyAlignment="1">
      <alignment horizontal="center" wrapText="1"/>
    </xf>
    <xf numFmtId="3" fontId="140" fillId="16" borderId="0" xfId="0" applyNumberFormat="1" applyFont="1" applyFill="1" applyAlignment="1">
      <alignment horizontal="center" wrapText="1"/>
    </xf>
    <xf numFmtId="3" fontId="140" fillId="16" borderId="6" xfId="0" applyNumberFormat="1" applyFont="1" applyFill="1" applyBorder="1" applyAlignment="1">
      <alignment horizontal="center" vertical="center" wrapText="1"/>
    </xf>
    <xf numFmtId="3" fontId="140" fillId="16" borderId="0" xfId="0" applyNumberFormat="1" applyFont="1" applyFill="1" applyAlignment="1">
      <alignment horizontal="center" vertical="center" wrapText="1"/>
    </xf>
    <xf numFmtId="0" fontId="3" fillId="16" borderId="6" xfId="0" applyFont="1" applyFill="1" applyBorder="1" applyAlignment="1" applyProtection="1">
      <alignment horizontal="left" vertical="center" wrapText="1" indent="1"/>
      <protection hidden="1"/>
    </xf>
    <xf numFmtId="0" fontId="0" fillId="16" borderId="0" xfId="0" applyFill="1" applyAlignment="1" applyProtection="1">
      <alignment horizontal="left" vertical="center" wrapText="1" indent="1"/>
      <protection hidden="1"/>
    </xf>
    <xf numFmtId="0" fontId="0" fillId="0" borderId="0" xfId="0" applyAlignment="1">
      <alignment horizontal="left" vertical="center" wrapText="1" indent="1"/>
    </xf>
    <xf numFmtId="0" fontId="0" fillId="0" borderId="21" xfId="0" applyBorder="1" applyAlignment="1">
      <alignment horizontal="left" vertical="center" wrapText="1" indent="1"/>
    </xf>
    <xf numFmtId="0" fontId="0" fillId="16" borderId="6" xfId="0" applyFill="1" applyBorder="1" applyAlignment="1" applyProtection="1">
      <alignment horizontal="left" vertical="center" wrapText="1" indent="1"/>
      <protection hidden="1"/>
    </xf>
    <xf numFmtId="0" fontId="3"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21" xfId="0" applyBorder="1" applyAlignment="1">
      <alignment horizontal="left" wrapText="1" indent="1"/>
    </xf>
    <xf numFmtId="37" fontId="10" fillId="17" borderId="60" xfId="0" applyNumberFormat="1" applyFont="1" applyFill="1" applyBorder="1" applyAlignment="1" applyProtection="1">
      <alignment horizontal="right" vertical="center" wrapText="1" indent="1"/>
      <protection locked="0"/>
    </xf>
    <xf numFmtId="37" fontId="10" fillId="17" borderId="75" xfId="0" applyNumberFormat="1" applyFont="1" applyFill="1" applyBorder="1" applyAlignment="1" applyProtection="1">
      <alignment horizontal="right" vertical="center" wrapText="1" indent="1"/>
      <protection locked="0"/>
    </xf>
    <xf numFmtId="37" fontId="10" fillId="17" borderId="61" xfId="0" applyNumberFormat="1" applyFont="1" applyFill="1" applyBorder="1" applyAlignment="1" applyProtection="1">
      <alignment horizontal="right" vertical="center" wrapText="1" indent="1"/>
      <protection locked="0"/>
    </xf>
    <xf numFmtId="0" fontId="8" fillId="16" borderId="112" xfId="0" applyFont="1" applyFill="1" applyBorder="1" applyAlignment="1">
      <alignment horizontal="center" wrapText="1"/>
    </xf>
    <xf numFmtId="0" fontId="8" fillId="16" borderId="211" xfId="0" applyFont="1" applyFill="1" applyBorder="1" applyAlignment="1">
      <alignment horizontal="center" wrapText="1"/>
    </xf>
    <xf numFmtId="0" fontId="8" fillId="16" borderId="21" xfId="0" applyFont="1" applyFill="1" applyBorder="1" applyAlignment="1">
      <alignment horizontal="center" wrapText="1"/>
    </xf>
    <xf numFmtId="0" fontId="8" fillId="16" borderId="92" xfId="0" applyFont="1" applyFill="1" applyBorder="1" applyAlignment="1">
      <alignment horizontal="center" wrapText="1"/>
    </xf>
    <xf numFmtId="0" fontId="8" fillId="16" borderId="209" xfId="0" applyFont="1" applyFill="1" applyBorder="1" applyAlignment="1">
      <alignment horizontal="center" wrapText="1"/>
    </xf>
    <xf numFmtId="0" fontId="8" fillId="16" borderId="112" xfId="0" applyFont="1" applyFill="1" applyBorder="1" applyAlignment="1">
      <alignment horizontal="center" vertical="top" wrapText="1"/>
    </xf>
    <xf numFmtId="0" fontId="8" fillId="16" borderId="211" xfId="0" applyFont="1" applyFill="1" applyBorder="1" applyAlignment="1">
      <alignment horizontal="center" vertical="top" wrapText="1"/>
    </xf>
    <xf numFmtId="0" fontId="8" fillId="16" borderId="0" xfId="0" applyFont="1" applyFill="1" applyAlignment="1">
      <alignment horizontal="center" vertical="top" wrapText="1"/>
    </xf>
    <xf numFmtId="0" fontId="8" fillId="16" borderId="21" xfId="0" applyFont="1" applyFill="1" applyBorder="1" applyAlignment="1">
      <alignment horizontal="center" vertical="top" wrapText="1"/>
    </xf>
    <xf numFmtId="0" fontId="8" fillId="16" borderId="5" xfId="0" applyFont="1" applyFill="1" applyBorder="1" applyAlignment="1">
      <alignment horizontal="center" vertical="top" wrapText="1"/>
    </xf>
    <xf numFmtId="0" fontId="8" fillId="16" borderId="23" xfId="0" applyFont="1" applyFill="1" applyBorder="1" applyAlignment="1">
      <alignment horizontal="center" vertical="top" wrapText="1"/>
    </xf>
    <xf numFmtId="0" fontId="10" fillId="16" borderId="6" xfId="0" applyFont="1" applyFill="1" applyBorder="1" applyAlignment="1">
      <alignment horizontal="center"/>
    </xf>
    <xf numFmtId="0" fontId="10" fillId="16" borderId="0" xfId="0" applyFont="1" applyFill="1" applyAlignment="1">
      <alignment horizontal="center"/>
    </xf>
    <xf numFmtId="0" fontId="10" fillId="16" borderId="21" xfId="0" applyFont="1" applyFill="1" applyBorder="1" applyAlignment="1">
      <alignment horizontal="center"/>
    </xf>
    <xf numFmtId="0" fontId="3" fillId="16" borderId="6" xfId="0" applyFont="1" applyFill="1" applyBorder="1" applyAlignment="1" applyProtection="1">
      <alignment horizontal="left" vertical="top" wrapText="1" indent="1"/>
      <protection hidden="1"/>
    </xf>
    <xf numFmtId="0" fontId="0" fillId="16" borderId="0" xfId="0" applyFill="1" applyAlignment="1" applyProtection="1">
      <alignment horizontal="left" vertical="top" wrapText="1" indent="1"/>
      <protection hidden="1"/>
    </xf>
    <xf numFmtId="0" fontId="0" fillId="16" borderId="22" xfId="0" applyFill="1" applyBorder="1" applyAlignment="1" applyProtection="1">
      <alignment horizontal="left" vertical="top" wrapText="1" indent="1"/>
      <protection hidden="1"/>
    </xf>
    <xf numFmtId="0" fontId="0" fillId="16" borderId="5" xfId="0" applyFill="1" applyBorder="1" applyAlignment="1" applyProtection="1">
      <alignment horizontal="left" vertical="top" wrapText="1" indent="1"/>
      <protection hidden="1"/>
    </xf>
    <xf numFmtId="0" fontId="3" fillId="16" borderId="0" xfId="0" applyFont="1" applyFill="1" applyAlignment="1">
      <alignment wrapText="1"/>
    </xf>
    <xf numFmtId="0" fontId="0" fillId="16" borderId="0" xfId="0" applyFill="1" applyAlignment="1">
      <alignment wrapText="1"/>
    </xf>
    <xf numFmtId="0" fontId="0" fillId="0" borderId="25" xfId="0" applyBorder="1" applyAlignment="1">
      <alignment wrapText="1"/>
    </xf>
    <xf numFmtId="0" fontId="16" fillId="16" borderId="212" xfId="0" applyFont="1" applyFill="1" applyBorder="1" applyAlignment="1" applyProtection="1">
      <alignment horizontal="left" wrapText="1"/>
      <protection hidden="1"/>
    </xf>
    <xf numFmtId="0" fontId="53" fillId="16" borderId="178" xfId="0" applyFont="1" applyFill="1" applyBorder="1" applyAlignment="1">
      <alignment horizontal="left" wrapText="1"/>
    </xf>
    <xf numFmtId="0" fontId="53" fillId="16" borderId="178" xfId="0" applyFont="1" applyFill="1" applyBorder="1" applyAlignment="1">
      <alignment wrapText="1"/>
    </xf>
    <xf numFmtId="0" fontId="53" fillId="16" borderId="41" xfId="0" applyFont="1" applyFill="1" applyBorder="1" applyAlignment="1">
      <alignment wrapText="1"/>
    </xf>
    <xf numFmtId="0" fontId="0" fillId="16" borderId="210" xfId="0" applyFill="1" applyBorder="1" applyAlignment="1">
      <alignment horizontal="left" wrapText="1"/>
    </xf>
    <xf numFmtId="0" fontId="0" fillId="0" borderId="112" xfId="0" applyBorder="1" applyAlignment="1">
      <alignment horizontal="left" wrapText="1"/>
    </xf>
    <xf numFmtId="0" fontId="0" fillId="0" borderId="112" xfId="0" applyBorder="1" applyAlignment="1">
      <alignment wrapText="1"/>
    </xf>
    <xf numFmtId="0" fontId="0" fillId="0" borderId="211" xfId="0" applyBorder="1" applyAlignment="1">
      <alignment wrapText="1"/>
    </xf>
    <xf numFmtId="0" fontId="0" fillId="0" borderId="6" xfId="0" applyBorder="1" applyAlignment="1">
      <alignment horizontal="left" wrapText="1"/>
    </xf>
    <xf numFmtId="0" fontId="0" fillId="0" borderId="0" xfId="0" applyAlignment="1">
      <alignment horizontal="left" indent="1"/>
    </xf>
    <xf numFmtId="0" fontId="0" fillId="0" borderId="21" xfId="0" applyBorder="1" applyAlignment="1">
      <alignment horizontal="left" indent="1"/>
    </xf>
    <xf numFmtId="0" fontId="0" fillId="16" borderId="24" xfId="0" applyFill="1" applyBorder="1" applyAlignment="1">
      <alignment horizontal="left" indent="1"/>
    </xf>
    <xf numFmtId="0" fontId="0" fillId="0" borderId="8" xfId="0" applyBorder="1" applyAlignment="1">
      <alignment horizontal="left" indent="1"/>
    </xf>
    <xf numFmtId="0" fontId="0" fillId="0" borderId="20" xfId="0" applyBorder="1" applyAlignment="1">
      <alignment horizontal="left" indent="1"/>
    </xf>
    <xf numFmtId="0" fontId="0" fillId="0" borderId="6" xfId="0" applyBorder="1" applyAlignment="1">
      <alignment horizontal="left" indent="1"/>
    </xf>
    <xf numFmtId="0" fontId="3" fillId="16" borderId="0" xfId="0" applyFont="1" applyFill="1" applyAlignment="1">
      <alignment vertical="top" wrapText="1"/>
    </xf>
    <xf numFmtId="0" fontId="0" fillId="0" borderId="0" xfId="0" applyAlignment="1">
      <alignment vertical="top" wrapText="1"/>
    </xf>
    <xf numFmtId="0" fontId="0" fillId="0" borderId="21" xfId="0" applyBorder="1" applyAlignment="1">
      <alignment vertical="top" wrapText="1"/>
    </xf>
    <xf numFmtId="0" fontId="0" fillId="0" borderId="1" xfId="0" applyBorder="1" applyAlignment="1">
      <alignment vertical="top" wrapText="1"/>
    </xf>
    <xf numFmtId="0" fontId="0" fillId="0" borderId="30" xfId="0" applyBorder="1" applyAlignment="1">
      <alignment vertical="top" wrapText="1"/>
    </xf>
    <xf numFmtId="0" fontId="1" fillId="0" borderId="85" xfId="0" applyFont="1" applyBorder="1" applyAlignment="1">
      <alignment horizontal="left" vertical="center" wrapText="1"/>
    </xf>
    <xf numFmtId="0" fontId="1" fillId="0" borderId="9" xfId="0" applyFont="1" applyBorder="1" applyAlignment="1">
      <alignment horizontal="left" vertical="center" wrapText="1"/>
    </xf>
    <xf numFmtId="0" fontId="0" fillId="0" borderId="9" xfId="0" applyBorder="1" applyAlignment="1">
      <alignment vertical="center" wrapText="1"/>
    </xf>
    <xf numFmtId="0" fontId="0" fillId="0" borderId="93" xfId="0" applyBorder="1" applyAlignment="1">
      <alignment vertical="center" wrapText="1"/>
    </xf>
    <xf numFmtId="0" fontId="1" fillId="0" borderId="208" xfId="0" applyFont="1" applyBorder="1" applyAlignment="1">
      <alignment horizontal="left" vertical="center" wrapText="1"/>
    </xf>
    <xf numFmtId="0" fontId="1" fillId="0" borderId="92" xfId="0" applyFont="1" applyBorder="1" applyAlignment="1">
      <alignment horizontal="left" vertical="center" wrapText="1"/>
    </xf>
    <xf numFmtId="0" fontId="0" fillId="0" borderId="92" xfId="0" applyBorder="1" applyAlignment="1">
      <alignment vertical="center" wrapText="1"/>
    </xf>
    <xf numFmtId="0" fontId="0" fillId="0" borderId="209" xfId="0" applyBorder="1" applyAlignment="1">
      <alignment vertical="center" wrapText="1"/>
    </xf>
    <xf numFmtId="0" fontId="3" fillId="16" borderId="6" xfId="0" applyFont="1" applyFill="1" applyBorder="1" applyAlignment="1">
      <alignment horizontal="left" vertical="top" wrapText="1"/>
    </xf>
    <xf numFmtId="0" fontId="0" fillId="0" borderId="27" xfId="0" applyBorder="1" applyAlignment="1">
      <alignment horizontal="left" wrapText="1"/>
    </xf>
    <xf numFmtId="0" fontId="0" fillId="0" borderId="1" xfId="0" applyBorder="1" applyAlignment="1">
      <alignment horizontal="left" wrapText="1"/>
    </xf>
    <xf numFmtId="3" fontId="3" fillId="28" borderId="10" xfId="0" applyNumberFormat="1" applyFont="1" applyFill="1" applyBorder="1" applyAlignment="1" applyProtection="1">
      <alignment wrapText="1"/>
      <protection hidden="1"/>
    </xf>
    <xf numFmtId="3" fontId="3" fillId="28" borderId="12" xfId="0" applyNumberFormat="1" applyFont="1" applyFill="1" applyBorder="1" applyAlignment="1" applyProtection="1">
      <alignment wrapText="1"/>
      <protection hidden="1"/>
    </xf>
    <xf numFmtId="3" fontId="3" fillId="17" borderId="10" xfId="0" applyNumberFormat="1" applyFont="1" applyFill="1" applyBorder="1" applyAlignment="1" applyProtection="1">
      <alignment wrapText="1"/>
      <protection locked="0"/>
    </xf>
    <xf numFmtId="3" fontId="3" fillId="17" borderId="12" xfId="0" applyNumberFormat="1" applyFont="1" applyFill="1" applyBorder="1" applyAlignment="1" applyProtection="1">
      <alignment wrapText="1"/>
      <protection locked="0"/>
    </xf>
    <xf numFmtId="3" fontId="3" fillId="17" borderId="1" xfId="0" applyNumberFormat="1" applyFont="1" applyFill="1" applyBorder="1" applyAlignment="1" applyProtection="1">
      <alignment wrapText="1"/>
      <protection locked="0"/>
    </xf>
    <xf numFmtId="182" fontId="211" fillId="16" borderId="40" xfId="0" applyNumberFormat="1" applyFont="1" applyFill="1" applyBorder="1" applyAlignment="1" applyProtection="1">
      <alignment horizontal="center" wrapText="1"/>
      <protection locked="0"/>
    </xf>
    <xf numFmtId="182" fontId="211" fillId="16" borderId="55" xfId="0" applyNumberFormat="1" applyFont="1" applyFill="1" applyBorder="1" applyAlignment="1" applyProtection="1">
      <alignment horizontal="center" wrapText="1"/>
      <protection locked="0"/>
    </xf>
    <xf numFmtId="3" fontId="3" fillId="28" borderId="40" xfId="0" applyNumberFormat="1" applyFont="1" applyFill="1" applyBorder="1" applyAlignment="1" applyProtection="1">
      <alignment wrapText="1"/>
      <protection hidden="1"/>
    </xf>
    <xf numFmtId="3" fontId="3" fillId="28" borderId="26" xfId="0" applyNumberFormat="1" applyFont="1" applyFill="1" applyBorder="1" applyAlignment="1" applyProtection="1">
      <alignment wrapText="1"/>
      <protection hidden="1"/>
    </xf>
    <xf numFmtId="3" fontId="3" fillId="17" borderId="40" xfId="0" applyNumberFormat="1" applyFont="1" applyFill="1" applyBorder="1" applyAlignment="1" applyProtection="1">
      <alignment wrapText="1"/>
      <protection locked="0"/>
    </xf>
    <xf numFmtId="0" fontId="0" fillId="17" borderId="26" xfId="0" applyFill="1" applyBorder="1" applyAlignment="1" applyProtection="1">
      <alignment wrapText="1"/>
      <protection locked="0"/>
    </xf>
    <xf numFmtId="0" fontId="0" fillId="28" borderId="55" xfId="0" applyFill="1" applyBorder="1" applyAlignment="1" applyProtection="1">
      <alignment wrapText="1"/>
      <protection hidden="1"/>
    </xf>
    <xf numFmtId="0" fontId="1" fillId="2" borderId="31" xfId="0" applyFont="1" applyFill="1" applyBorder="1" applyAlignment="1" applyProtection="1">
      <alignment horizontal="center" wrapText="1"/>
      <protection hidden="1"/>
    </xf>
    <xf numFmtId="0" fontId="3" fillId="2" borderId="15" xfId="0" applyFont="1" applyFill="1" applyBorder="1" applyAlignment="1" applyProtection="1">
      <alignment horizontal="center" wrapText="1"/>
      <protection hidden="1"/>
    </xf>
    <xf numFmtId="3" fontId="8" fillId="16" borderId="10" xfId="0" applyNumberFormat="1" applyFont="1" applyFill="1" applyBorder="1" applyAlignment="1" applyProtection="1">
      <alignment horizontal="center"/>
      <protection locked="0"/>
    </xf>
    <xf numFmtId="0" fontId="8" fillId="16" borderId="12" xfId="0" applyFont="1" applyFill="1" applyBorder="1" applyAlignment="1">
      <alignment horizontal="center"/>
    </xf>
    <xf numFmtId="37" fontId="3" fillId="28" borderId="10" xfId="0" applyNumberFormat="1" applyFont="1" applyFill="1" applyBorder="1" applyAlignment="1" applyProtection="1">
      <alignment horizontal="right" vertical="center"/>
      <protection hidden="1"/>
    </xf>
    <xf numFmtId="37" fontId="3" fillId="28" borderId="1" xfId="0" applyNumberFormat="1" applyFont="1" applyFill="1" applyBorder="1" applyAlignment="1" applyProtection="1">
      <alignment horizontal="right" vertical="center"/>
      <protection hidden="1"/>
    </xf>
    <xf numFmtId="0" fontId="3" fillId="16" borderId="0" xfId="0" applyFont="1" applyFill="1" applyAlignment="1" applyProtection="1">
      <alignment horizontal="center"/>
      <protection hidden="1"/>
    </xf>
    <xf numFmtId="0" fontId="3" fillId="16" borderId="5" xfId="0" applyFont="1" applyFill="1" applyBorder="1" applyAlignment="1" applyProtection="1">
      <alignment horizontal="center"/>
      <protection hidden="1"/>
    </xf>
    <xf numFmtId="189" fontId="3" fillId="2" borderId="10" xfId="0" applyNumberFormat="1" applyFont="1" applyFill="1" applyBorder="1" applyAlignment="1" applyProtection="1">
      <alignment horizontal="center" wrapText="1"/>
      <protection hidden="1"/>
    </xf>
    <xf numFmtId="189" fontId="0" fillId="0" borderId="1" xfId="0" applyNumberFormat="1" applyBorder="1" applyAlignment="1">
      <alignment horizontal="center" wrapText="1"/>
    </xf>
    <xf numFmtId="186" fontId="223" fillId="2" borderId="31" xfId="0" applyNumberFormat="1" applyFont="1" applyFill="1" applyBorder="1" applyAlignment="1" applyProtection="1">
      <alignment horizontal="center"/>
      <protection hidden="1"/>
    </xf>
    <xf numFmtId="186" fontId="223" fillId="0" borderId="9" xfId="0" applyNumberFormat="1" applyFont="1" applyBorder="1" applyAlignment="1">
      <alignment horizontal="center"/>
    </xf>
    <xf numFmtId="0" fontId="181" fillId="8" borderId="21" xfId="0" applyFont="1" applyFill="1" applyBorder="1" applyAlignment="1" applyProtection="1">
      <alignment horizontal="center" vertical="top" wrapText="1"/>
      <protection hidden="1"/>
    </xf>
    <xf numFmtId="3" fontId="3" fillId="28" borderId="3" xfId="0" applyNumberFormat="1" applyFont="1" applyFill="1" applyBorder="1" applyAlignment="1" applyProtection="1">
      <alignment wrapText="1"/>
      <protection hidden="1"/>
    </xf>
    <xf numFmtId="3" fontId="3" fillId="28" borderId="25" xfId="0" applyNumberFormat="1" applyFont="1" applyFill="1" applyBorder="1" applyAlignment="1" applyProtection="1">
      <alignment wrapText="1"/>
      <protection hidden="1"/>
    </xf>
    <xf numFmtId="0" fontId="10" fillId="2" borderId="40" xfId="0" applyFont="1" applyFill="1" applyBorder="1" applyAlignment="1" applyProtection="1">
      <alignment horizontal="center" vertical="center" wrapText="1"/>
      <protection hidden="1"/>
    </xf>
    <xf numFmtId="0" fontId="10" fillId="2" borderId="26" xfId="0" applyFont="1" applyFill="1" applyBorder="1" applyAlignment="1" applyProtection="1">
      <alignment horizontal="center" vertical="center" wrapText="1"/>
      <protection hidden="1"/>
    </xf>
    <xf numFmtId="186" fontId="223" fillId="0" borderId="15" xfId="0" applyNumberFormat="1" applyFont="1" applyBorder="1" applyAlignment="1">
      <alignment horizontal="center"/>
    </xf>
    <xf numFmtId="0" fontId="138" fillId="2" borderId="3" xfId="0" applyFont="1" applyFill="1" applyBorder="1" applyAlignment="1" applyProtection="1">
      <alignment horizontal="center"/>
      <protection hidden="1"/>
    </xf>
    <xf numFmtId="0" fontId="138" fillId="2" borderId="25" xfId="0" applyFont="1" applyFill="1" applyBorder="1" applyAlignment="1" applyProtection="1">
      <alignment horizontal="center"/>
      <protection hidden="1"/>
    </xf>
    <xf numFmtId="189" fontId="138" fillId="2" borderId="28" xfId="0" applyNumberFormat="1" applyFont="1" applyFill="1" applyBorder="1" applyAlignment="1" applyProtection="1">
      <alignment horizontal="center" vertical="center"/>
      <protection hidden="1"/>
    </xf>
    <xf numFmtId="189" fontId="138" fillId="0" borderId="28" xfId="0" applyNumberFormat="1" applyFont="1" applyBorder="1" applyAlignment="1">
      <alignment horizontal="center" vertical="center"/>
    </xf>
    <xf numFmtId="0" fontId="0" fillId="0" borderId="9" xfId="0" applyBorder="1" applyAlignment="1">
      <alignment horizontal="center" wrapText="1"/>
    </xf>
    <xf numFmtId="0" fontId="0" fillId="0" borderId="15" xfId="0" applyBorder="1" applyAlignment="1">
      <alignment horizontal="center" wrapText="1"/>
    </xf>
    <xf numFmtId="188" fontId="138" fillId="16" borderId="3" xfId="0" applyNumberFormat="1" applyFont="1" applyFill="1" applyBorder="1" applyAlignment="1" applyProtection="1">
      <alignment horizontal="center"/>
      <protection locked="0"/>
    </xf>
    <xf numFmtId="188" fontId="138" fillId="0" borderId="0" xfId="0" applyNumberFormat="1" applyFont="1" applyAlignment="1">
      <alignment horizontal="center"/>
    </xf>
    <xf numFmtId="3" fontId="138" fillId="16" borderId="3" xfId="0" applyNumberFormat="1" applyFont="1" applyFill="1" applyBorder="1" applyAlignment="1" applyProtection="1">
      <alignment horizontal="center" vertical="center"/>
      <protection locked="0"/>
    </xf>
    <xf numFmtId="0" fontId="138" fillId="0" borderId="0" xfId="0" applyFont="1" applyAlignment="1">
      <alignment horizontal="center" vertical="center"/>
    </xf>
    <xf numFmtId="188" fontId="3" fillId="2" borderId="0" xfId="0" applyNumberFormat="1" applyFont="1" applyFill="1" applyAlignment="1" applyProtection="1">
      <alignment horizontal="left"/>
      <protection hidden="1"/>
    </xf>
    <xf numFmtId="0" fontId="3" fillId="0" borderId="0" xfId="0" applyFont="1" applyAlignment="1">
      <alignment horizontal="left"/>
    </xf>
    <xf numFmtId="186" fontId="144" fillId="16" borderId="3" xfId="0" applyNumberFormat="1" applyFont="1" applyFill="1" applyBorder="1" applyAlignment="1" applyProtection="1">
      <alignment horizontal="center" vertical="center"/>
      <protection locked="0"/>
    </xf>
    <xf numFmtId="186" fontId="144" fillId="16" borderId="0" xfId="0" applyNumberFormat="1" applyFont="1" applyFill="1" applyAlignment="1" applyProtection="1">
      <alignment horizontal="center" vertical="center"/>
      <protection locked="0"/>
    </xf>
    <xf numFmtId="0" fontId="3" fillId="0" borderId="0" xfId="0" applyFont="1" applyAlignment="1">
      <alignment horizontal="center" vertical="top" wrapText="1"/>
    </xf>
    <xf numFmtId="0" fontId="75" fillId="0" borderId="63" xfId="2" applyBorder="1" applyAlignment="1" applyProtection="1">
      <alignment horizontal="center" wrapText="1"/>
    </xf>
    <xf numFmtId="0" fontId="75" fillId="0" borderId="64" xfId="2" applyBorder="1" applyAlignment="1" applyProtection="1">
      <alignment horizontal="center" wrapText="1"/>
    </xf>
    <xf numFmtId="0" fontId="75" fillId="0" borderId="63" xfId="2" applyBorder="1" applyAlignment="1" applyProtection="1">
      <alignment horizontal="center" vertical="center" wrapText="1"/>
    </xf>
    <xf numFmtId="0" fontId="75" fillId="0" borderId="64" xfId="2" applyBorder="1" applyAlignment="1" applyProtection="1">
      <alignment horizontal="center" vertical="center" wrapText="1"/>
    </xf>
    <xf numFmtId="0" fontId="5" fillId="16" borderId="0" xfId="0" applyFont="1" applyFill="1" applyAlignment="1" applyProtection="1">
      <alignment horizontal="left" vertical="center" wrapText="1"/>
      <protection hidden="1"/>
    </xf>
    <xf numFmtId="0" fontId="5" fillId="0" borderId="0" xfId="0" applyFont="1" applyAlignment="1">
      <alignment horizontal="left" vertical="center" wrapText="1"/>
    </xf>
    <xf numFmtId="0" fontId="5" fillId="0" borderId="25" xfId="0" applyFont="1" applyBorder="1" applyAlignment="1">
      <alignment horizontal="left" vertical="center" wrapText="1"/>
    </xf>
    <xf numFmtId="14" fontId="3" fillId="8" borderId="40" xfId="0" applyNumberFormat="1" applyFont="1" applyFill="1" applyBorder="1" applyAlignment="1" applyProtection="1">
      <alignment horizontal="center" vertical="center" wrapText="1"/>
      <protection hidden="1"/>
    </xf>
    <xf numFmtId="0" fontId="3" fillId="8" borderId="55" xfId="0" applyFont="1" applyFill="1" applyBorder="1" applyAlignment="1" applyProtection="1">
      <alignment horizontal="center" vertical="center" wrapText="1"/>
      <protection hidden="1"/>
    </xf>
    <xf numFmtId="0" fontId="5"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 xfId="0" applyFont="1" applyBorder="1" applyAlignment="1">
      <alignment horizontal="left" vertical="center" wrapText="1"/>
    </xf>
    <xf numFmtId="0" fontId="5" fillId="0" borderId="12" xfId="0" applyFont="1" applyBorder="1" applyAlignment="1">
      <alignment horizontal="left" vertical="center" wrapText="1"/>
    </xf>
    <xf numFmtId="189" fontId="3" fillId="2" borderId="40" xfId="0" applyNumberFormat="1" applyFont="1" applyFill="1" applyBorder="1" applyAlignment="1" applyProtection="1">
      <alignment horizontal="center" vertical="center" wrapText="1"/>
      <protection hidden="1"/>
    </xf>
    <xf numFmtId="189" fontId="3" fillId="2" borderId="55" xfId="0" applyNumberFormat="1" applyFont="1" applyFill="1" applyBorder="1" applyAlignment="1" applyProtection="1">
      <alignment horizontal="center" vertical="center" wrapText="1"/>
      <protection hidden="1"/>
    </xf>
    <xf numFmtId="0" fontId="8" fillId="2" borderId="31" xfId="0" applyFont="1" applyFill="1" applyBorder="1" applyAlignment="1" applyProtection="1">
      <alignment horizontal="left" vertical="center" wrapText="1"/>
      <protection hidden="1"/>
    </xf>
    <xf numFmtId="0" fontId="0" fillId="0" borderId="15" xfId="0" applyBorder="1" applyAlignment="1">
      <alignment horizontal="left" vertical="center" wrapText="1"/>
    </xf>
    <xf numFmtId="190" fontId="1" fillId="2" borderId="10" xfId="0" applyNumberFormat="1" applyFont="1" applyFill="1" applyBorder="1" applyAlignment="1" applyProtection="1">
      <alignment horizontal="center" vertical="center" wrapText="1"/>
      <protection hidden="1"/>
    </xf>
    <xf numFmtId="190" fontId="1" fillId="2" borderId="12" xfId="0" applyNumberFormat="1" applyFont="1" applyFill="1" applyBorder="1" applyAlignment="1" applyProtection="1">
      <alignment horizontal="center" vertical="center" wrapText="1"/>
      <protection hidden="1"/>
    </xf>
    <xf numFmtId="189" fontId="144" fillId="16" borderId="0" xfId="0" applyNumberFormat="1" applyFont="1" applyFill="1" applyAlignment="1" applyProtection="1">
      <alignment horizontal="center" vertical="center" wrapText="1"/>
      <protection hidden="1"/>
    </xf>
    <xf numFmtId="189" fontId="144" fillId="0" borderId="0" xfId="0" applyNumberFormat="1" applyFont="1" applyAlignment="1">
      <alignment horizontal="center" vertical="center" wrapText="1"/>
    </xf>
    <xf numFmtId="189" fontId="144" fillId="0" borderId="25" xfId="0" applyNumberFormat="1" applyFont="1" applyBorder="1" applyAlignment="1">
      <alignment horizontal="center" vertical="center" wrapText="1"/>
    </xf>
    <xf numFmtId="3" fontId="138" fillId="2" borderId="31" xfId="0" applyNumberFormat="1" applyFont="1" applyFill="1" applyBorder="1" applyProtection="1">
      <protection hidden="1"/>
    </xf>
    <xf numFmtId="3" fontId="138" fillId="0" borderId="15" xfId="0" applyNumberFormat="1" applyFont="1" applyBorder="1"/>
    <xf numFmtId="1" fontId="211" fillId="16" borderId="10" xfId="0" applyNumberFormat="1" applyFont="1" applyFill="1" applyBorder="1" applyAlignment="1" applyProtection="1">
      <alignment horizontal="center" wrapText="1"/>
      <protection locked="0"/>
    </xf>
    <xf numFmtId="1" fontId="211" fillId="16" borderId="12" xfId="0" applyNumberFormat="1" applyFont="1" applyFill="1" applyBorder="1" applyAlignment="1" applyProtection="1">
      <alignment horizontal="center" wrapText="1"/>
      <protection locked="0"/>
    </xf>
    <xf numFmtId="182" fontId="211" fillId="16" borderId="10" xfId="0" applyNumberFormat="1" applyFont="1" applyFill="1" applyBorder="1" applyAlignment="1" applyProtection="1">
      <alignment horizontal="center" wrapText="1"/>
      <protection locked="0"/>
    </xf>
    <xf numFmtId="182" fontId="211" fillId="16" borderId="12" xfId="0" applyNumberFormat="1" applyFont="1" applyFill="1" applyBorder="1" applyAlignment="1" applyProtection="1">
      <alignment horizontal="center" wrapText="1"/>
      <protection locked="0"/>
    </xf>
    <xf numFmtId="0" fontId="140" fillId="2" borderId="132" xfId="0" applyFont="1" applyFill="1" applyBorder="1" applyProtection="1">
      <protection hidden="1"/>
    </xf>
    <xf numFmtId="0" fontId="140" fillId="0" borderId="132" xfId="0" applyFont="1" applyBorder="1"/>
    <xf numFmtId="3" fontId="0" fillId="28" borderId="40" xfId="0" applyNumberFormat="1" applyFill="1" applyBorder="1" applyAlignment="1" applyProtection="1">
      <alignment vertical="center"/>
      <protection hidden="1"/>
    </xf>
    <xf numFmtId="0" fontId="0" fillId="28" borderId="26" xfId="0" applyFill="1" applyBorder="1" applyAlignment="1" applyProtection="1">
      <alignment vertical="center"/>
      <protection hidden="1"/>
    </xf>
    <xf numFmtId="0" fontId="140" fillId="2" borderId="31" xfId="0" applyFont="1" applyFill="1" applyBorder="1" applyProtection="1">
      <protection hidden="1"/>
    </xf>
    <xf numFmtId="0" fontId="140" fillId="0" borderId="9" xfId="0" applyFont="1" applyBorder="1"/>
    <xf numFmtId="0" fontId="144" fillId="16" borderId="0" xfId="0" applyFont="1" applyFill="1" applyProtection="1">
      <protection hidden="1"/>
    </xf>
    <xf numFmtId="0" fontId="144" fillId="16" borderId="0" xfId="0" applyFont="1" applyFill="1"/>
    <xf numFmtId="0" fontId="144" fillId="16" borderId="25" xfId="0" applyFont="1" applyFill="1" applyBorder="1"/>
    <xf numFmtId="0" fontId="10" fillId="16" borderId="9" xfId="0" applyFont="1" applyFill="1" applyBorder="1" applyAlignment="1" applyProtection="1">
      <alignment horizontal="left" vertical="center" wrapText="1"/>
      <protection hidden="1"/>
    </xf>
    <xf numFmtId="0" fontId="14" fillId="0" borderId="9" xfId="0" applyFont="1" applyBorder="1" applyAlignment="1">
      <alignment horizontal="left" vertical="center" wrapText="1"/>
    </xf>
    <xf numFmtId="0" fontId="14" fillId="0" borderId="15" xfId="0" applyFont="1" applyBorder="1" applyAlignment="1">
      <alignment horizontal="left" vertical="center" wrapText="1"/>
    </xf>
    <xf numFmtId="0" fontId="14" fillId="0" borderId="0" xfId="0" applyFont="1" applyAlignment="1">
      <alignment horizontal="left" vertical="center" wrapText="1"/>
    </xf>
    <xf numFmtId="0" fontId="14" fillId="0" borderId="25" xfId="0" applyFont="1" applyBorder="1" applyAlignment="1">
      <alignment horizontal="left" vertical="center" wrapText="1"/>
    </xf>
    <xf numFmtId="0" fontId="14" fillId="0" borderId="1" xfId="0" applyFont="1" applyBorder="1" applyAlignment="1">
      <alignment horizontal="left" vertical="center" wrapText="1"/>
    </xf>
    <xf numFmtId="0" fontId="14" fillId="0" borderId="12" xfId="0" applyFont="1" applyBorder="1" applyAlignment="1">
      <alignment horizontal="left" vertical="center" wrapText="1"/>
    </xf>
    <xf numFmtId="0" fontId="0" fillId="17" borderId="55" xfId="0" applyFill="1" applyBorder="1" applyAlignment="1" applyProtection="1">
      <alignment wrapText="1"/>
      <protection locked="0"/>
    </xf>
    <xf numFmtId="3" fontId="8" fillId="16" borderId="70" xfId="0" applyNumberFormat="1" applyFont="1" applyFill="1" applyBorder="1" applyAlignment="1" applyProtection="1">
      <alignment horizontal="center"/>
      <protection locked="0"/>
    </xf>
    <xf numFmtId="0" fontId="8" fillId="16" borderId="5" xfId="0" applyFont="1" applyFill="1" applyBorder="1" applyAlignment="1">
      <alignment horizontal="center"/>
    </xf>
    <xf numFmtId="3" fontId="3" fillId="28" borderId="55" xfId="0" applyNumberFormat="1" applyFont="1" applyFill="1" applyBorder="1" applyAlignment="1" applyProtection="1">
      <alignment wrapText="1"/>
      <protection hidden="1"/>
    </xf>
    <xf numFmtId="1" fontId="211" fillId="16" borderId="40" xfId="0" applyNumberFormat="1" applyFont="1" applyFill="1" applyBorder="1" applyAlignment="1" applyProtection="1">
      <alignment horizontal="center" wrapText="1"/>
      <protection locked="0"/>
    </xf>
    <xf numFmtId="1" fontId="211" fillId="16" borderId="26" xfId="0" applyNumberFormat="1" applyFont="1" applyFill="1" applyBorder="1" applyAlignment="1" applyProtection="1">
      <alignment horizontal="center" wrapText="1"/>
      <protection locked="0"/>
    </xf>
    <xf numFmtId="3" fontId="138" fillId="2" borderId="3" xfId="0" applyNumberFormat="1" applyFont="1" applyFill="1" applyBorder="1" applyProtection="1">
      <protection hidden="1"/>
    </xf>
    <xf numFmtId="3" fontId="138" fillId="0" borderId="25" xfId="0" applyNumberFormat="1" applyFont="1" applyBorder="1"/>
    <xf numFmtId="186" fontId="223" fillId="2" borderId="3" xfId="0" applyNumberFormat="1" applyFont="1" applyFill="1" applyBorder="1" applyAlignment="1" applyProtection="1">
      <alignment horizontal="center"/>
      <protection hidden="1"/>
    </xf>
    <xf numFmtId="186" fontId="223" fillId="0" borderId="25" xfId="0" applyNumberFormat="1" applyFont="1" applyBorder="1" applyAlignment="1">
      <alignment horizontal="center"/>
    </xf>
    <xf numFmtId="186" fontId="223" fillId="0" borderId="0" xfId="0" applyNumberFormat="1" applyFont="1" applyAlignment="1">
      <alignment horizontal="center"/>
    </xf>
    <xf numFmtId="0" fontId="140" fillId="2" borderId="3" xfId="0" applyFont="1" applyFill="1" applyBorder="1" applyAlignment="1" applyProtection="1">
      <alignment horizontal="center"/>
      <protection hidden="1"/>
    </xf>
    <xf numFmtId="0" fontId="140" fillId="2" borderId="25" xfId="0" applyFont="1" applyFill="1" applyBorder="1" applyAlignment="1" applyProtection="1">
      <alignment horizontal="center"/>
      <protection hidden="1"/>
    </xf>
    <xf numFmtId="189" fontId="0" fillId="0" borderId="12" xfId="0" applyNumberFormat="1" applyBorder="1" applyAlignment="1">
      <alignment horizontal="center" wrapText="1"/>
    </xf>
    <xf numFmtId="0" fontId="8" fillId="2" borderId="0" xfId="0" applyFont="1" applyFill="1" applyAlignment="1" applyProtection="1">
      <alignment horizontal="center" vertical="center"/>
      <protection hidden="1"/>
    </xf>
    <xf numFmtId="0" fontId="8" fillId="0" borderId="0" xfId="0" applyFont="1" applyAlignment="1">
      <alignment horizontal="center" vertical="center"/>
    </xf>
    <xf numFmtId="0" fontId="215" fillId="16" borderId="31" xfId="0" applyFont="1" applyFill="1" applyBorder="1" applyAlignment="1" applyProtection="1">
      <alignment horizontal="left" vertical="center" wrapText="1" indent="1"/>
      <protection hidden="1"/>
    </xf>
    <xf numFmtId="0" fontId="184" fillId="0" borderId="9" xfId="0" applyFont="1" applyBorder="1" applyAlignment="1">
      <alignment horizontal="left" vertical="center" wrapText="1" indent="1"/>
    </xf>
    <xf numFmtId="0" fontId="184" fillId="0" borderId="15" xfId="0" applyFont="1" applyBorder="1" applyAlignment="1">
      <alignment horizontal="left" vertical="center" wrapText="1" indent="1"/>
    </xf>
    <xf numFmtId="0" fontId="184" fillId="0" borderId="3" xfId="0" applyFont="1" applyBorder="1" applyAlignment="1">
      <alignment horizontal="left" vertical="center" wrapText="1" indent="1"/>
    </xf>
    <xf numFmtId="0" fontId="184" fillId="0" borderId="0" xfId="0" applyFont="1" applyAlignment="1">
      <alignment horizontal="left" vertical="center" wrapText="1" indent="1"/>
    </xf>
    <xf numFmtId="0" fontId="184" fillId="0" borderId="25" xfId="0" applyFont="1" applyBorder="1" applyAlignment="1">
      <alignment horizontal="left" vertical="center" wrapText="1" indent="1"/>
    </xf>
    <xf numFmtId="177" fontId="211" fillId="16" borderId="40" xfId="0" applyNumberFormat="1" applyFont="1" applyFill="1" applyBorder="1" applyAlignment="1" applyProtection="1">
      <alignment horizontal="center" vertical="center" wrapText="1"/>
      <protection locked="0"/>
    </xf>
    <xf numFmtId="177" fontId="211" fillId="16" borderId="55" xfId="0" applyNumberFormat="1" applyFont="1" applyFill="1" applyBorder="1" applyAlignment="1" applyProtection="1">
      <alignment horizontal="center" vertical="center" wrapText="1"/>
      <protection locked="0"/>
    </xf>
    <xf numFmtId="180" fontId="211" fillId="16" borderId="40" xfId="0" applyNumberFormat="1" applyFont="1" applyFill="1" applyBorder="1" applyAlignment="1" applyProtection="1">
      <alignment horizontal="center" vertical="center" wrapText="1"/>
      <protection locked="0"/>
    </xf>
    <xf numFmtId="180" fontId="211" fillId="16" borderId="55" xfId="0" applyNumberFormat="1" applyFont="1" applyFill="1" applyBorder="1" applyAlignment="1" applyProtection="1">
      <alignment horizontal="center" vertical="center" wrapText="1"/>
      <protection locked="0"/>
    </xf>
    <xf numFmtId="3" fontId="3" fillId="28" borderId="40" xfId="0" applyNumberFormat="1" applyFont="1" applyFill="1" applyBorder="1" applyAlignment="1" applyProtection="1">
      <alignment horizontal="center" vertical="center" wrapText="1"/>
      <protection hidden="1"/>
    </xf>
    <xf numFmtId="0" fontId="3" fillId="28" borderId="55" xfId="0" applyFont="1" applyFill="1" applyBorder="1" applyAlignment="1" applyProtection="1">
      <alignment horizontal="center" vertical="center" wrapText="1"/>
      <protection hidden="1"/>
    </xf>
    <xf numFmtId="3" fontId="3" fillId="28" borderId="10" xfId="0" applyNumberFormat="1" applyFont="1" applyFill="1" applyBorder="1" applyAlignment="1" applyProtection="1">
      <alignment vertical="center" wrapText="1"/>
      <protection hidden="1"/>
    </xf>
    <xf numFmtId="3" fontId="3" fillId="28" borderId="12" xfId="0" applyNumberFormat="1" applyFont="1" applyFill="1" applyBorder="1" applyAlignment="1" applyProtection="1">
      <alignment vertical="center" wrapText="1"/>
      <protection hidden="1"/>
    </xf>
    <xf numFmtId="168" fontId="212" fillId="16" borderId="10" xfId="0" applyNumberFormat="1" applyFont="1" applyFill="1" applyBorder="1" applyAlignment="1" applyProtection="1">
      <alignment horizontal="center" vertical="center" wrapText="1"/>
      <protection hidden="1"/>
    </xf>
    <xf numFmtId="168" fontId="212" fillId="16" borderId="12" xfId="0" applyNumberFormat="1" applyFont="1" applyFill="1" applyBorder="1" applyAlignment="1" applyProtection="1">
      <alignment horizontal="center" vertical="center" wrapText="1"/>
      <protection hidden="1"/>
    </xf>
    <xf numFmtId="1" fontId="3" fillId="2" borderId="10" xfId="0" applyNumberFormat="1" applyFont="1" applyFill="1" applyBorder="1" applyAlignment="1" applyProtection="1">
      <alignment horizontal="center" vertical="center" wrapText="1"/>
      <protection hidden="1"/>
    </xf>
    <xf numFmtId="1" fontId="3" fillId="0" borderId="12" xfId="0" applyNumberFormat="1" applyFont="1" applyBorder="1" applyAlignment="1">
      <alignment horizontal="center" vertical="center" wrapText="1"/>
    </xf>
    <xf numFmtId="189" fontId="144" fillId="2" borderId="31" xfId="0" applyNumberFormat="1" applyFont="1" applyFill="1" applyBorder="1" applyAlignment="1" applyProtection="1">
      <alignment horizontal="center" vertical="center" wrapText="1"/>
      <protection hidden="1"/>
    </xf>
    <xf numFmtId="189" fontId="144" fillId="2" borderId="9" xfId="0" applyNumberFormat="1" applyFont="1" applyFill="1" applyBorder="1" applyAlignment="1" applyProtection="1">
      <alignment horizontal="center" vertical="center" wrapText="1"/>
      <protection hidden="1"/>
    </xf>
    <xf numFmtId="3" fontId="144" fillId="2" borderId="0" xfId="0" applyNumberFormat="1" applyFont="1" applyFill="1" applyAlignment="1" applyProtection="1">
      <alignment horizontal="center" vertical="center" wrapText="1"/>
      <protection hidden="1"/>
    </xf>
    <xf numFmtId="189" fontId="5" fillId="2" borderId="0" xfId="0" applyNumberFormat="1" applyFont="1" applyFill="1" applyAlignment="1" applyProtection="1">
      <alignment horizontal="center" vertical="center" wrapText="1"/>
      <protection hidden="1"/>
    </xf>
    <xf numFmtId="3" fontId="144" fillId="2" borderId="3" xfId="0" applyNumberFormat="1" applyFont="1" applyFill="1" applyBorder="1" applyAlignment="1" applyProtection="1">
      <alignment horizontal="center" vertical="center" wrapText="1"/>
      <protection hidden="1"/>
    </xf>
    <xf numFmtId="168" fontId="5" fillId="2" borderId="13" xfId="0" applyNumberFormat="1" applyFont="1" applyFill="1" applyBorder="1" applyAlignment="1" applyProtection="1">
      <alignment horizontal="center" vertical="center" wrapText="1"/>
      <protection locked="0"/>
    </xf>
    <xf numFmtId="0" fontId="0" fillId="0" borderId="9" xfId="0" applyBorder="1" applyAlignment="1">
      <alignment horizontal="left" vertical="center" wrapText="1"/>
    </xf>
    <xf numFmtId="189" fontId="3" fillId="2" borderId="26" xfId="0" applyNumberFormat="1" applyFont="1" applyFill="1" applyBorder="1" applyAlignment="1" applyProtection="1">
      <alignment horizontal="center" vertical="center" wrapText="1"/>
      <protection hidden="1"/>
    </xf>
    <xf numFmtId="1" fontId="3" fillId="0" borderId="1" xfId="0" applyNumberFormat="1" applyFont="1" applyBorder="1" applyAlignment="1">
      <alignment horizontal="center" vertical="center" wrapText="1"/>
    </xf>
    <xf numFmtId="190" fontId="1" fillId="2" borderId="1" xfId="0" applyNumberFormat="1" applyFont="1" applyFill="1" applyBorder="1" applyAlignment="1" applyProtection="1">
      <alignment horizontal="center" vertical="center" wrapText="1"/>
      <protection hidden="1"/>
    </xf>
    <xf numFmtId="168" fontId="144" fillId="2" borderId="0" xfId="0" applyNumberFormat="1" applyFont="1" applyFill="1" applyAlignment="1" applyProtection="1">
      <alignment horizontal="center" vertical="center" wrapText="1"/>
      <protection hidden="1"/>
    </xf>
    <xf numFmtId="0" fontId="0" fillId="28" borderId="26" xfId="0" applyFill="1" applyBorder="1" applyAlignment="1" applyProtection="1">
      <alignment wrapText="1"/>
      <protection hidden="1"/>
    </xf>
    <xf numFmtId="190" fontId="1" fillId="2" borderId="3" xfId="0" applyNumberFormat="1" applyFont="1" applyFill="1" applyBorder="1" applyAlignment="1" applyProtection="1">
      <alignment horizontal="center" vertical="center" wrapText="1"/>
      <protection hidden="1"/>
    </xf>
    <xf numFmtId="190" fontId="1" fillId="2" borderId="0" xfId="0" applyNumberFormat="1" applyFont="1" applyFill="1" applyAlignment="1" applyProtection="1">
      <alignment horizontal="center" vertical="center" wrapText="1"/>
      <protection hidden="1"/>
    </xf>
    <xf numFmtId="168" fontId="212" fillId="16" borderId="40" xfId="0" applyNumberFormat="1" applyFont="1" applyFill="1" applyBorder="1" applyAlignment="1" applyProtection="1">
      <alignment horizontal="center" vertical="center" wrapText="1"/>
      <protection hidden="1"/>
    </xf>
    <xf numFmtId="168" fontId="212" fillId="16" borderId="26" xfId="0" applyNumberFormat="1" applyFont="1" applyFill="1" applyBorder="1" applyAlignment="1" applyProtection="1">
      <alignment horizontal="center" vertical="center" wrapText="1"/>
      <protection hidden="1"/>
    </xf>
    <xf numFmtId="168" fontId="212" fillId="16" borderId="55" xfId="0" applyNumberFormat="1" applyFont="1" applyFill="1" applyBorder="1" applyAlignment="1" applyProtection="1">
      <alignment horizontal="center" vertical="center" wrapText="1"/>
      <protection hidden="1"/>
    </xf>
    <xf numFmtId="171" fontId="211" fillId="16" borderId="40" xfId="0" applyNumberFormat="1" applyFont="1" applyFill="1" applyBorder="1" applyAlignment="1" applyProtection="1">
      <alignment horizontal="center" vertical="center" wrapText="1"/>
      <protection locked="0"/>
    </xf>
    <xf numFmtId="171" fontId="211" fillId="16" borderId="55" xfId="0" applyNumberFormat="1" applyFont="1" applyFill="1" applyBorder="1" applyAlignment="1" applyProtection="1">
      <alignment horizontal="center" vertical="center" wrapText="1"/>
      <protection locked="0"/>
    </xf>
    <xf numFmtId="168" fontId="5" fillId="2" borderId="40" xfId="0" applyNumberFormat="1" applyFont="1" applyFill="1" applyBorder="1" applyAlignment="1" applyProtection="1">
      <alignment horizontal="center" vertical="center" wrapText="1"/>
      <protection locked="0"/>
    </xf>
    <xf numFmtId="0" fontId="3" fillId="28" borderId="26" xfId="0" applyFont="1" applyFill="1" applyBorder="1" applyAlignment="1" applyProtection="1">
      <alignment horizontal="center" vertical="center" wrapText="1"/>
      <protection hidden="1"/>
    </xf>
    <xf numFmtId="177" fontId="211" fillId="16" borderId="26" xfId="0" applyNumberFormat="1" applyFont="1" applyFill="1" applyBorder="1" applyAlignment="1" applyProtection="1">
      <alignment horizontal="center" vertical="center" wrapText="1"/>
      <protection locked="0"/>
    </xf>
    <xf numFmtId="3" fontId="3" fillId="28" borderId="40" xfId="0" applyNumberFormat="1" applyFont="1" applyFill="1" applyBorder="1" applyAlignment="1" applyProtection="1">
      <alignment vertical="center" wrapText="1"/>
      <protection hidden="1"/>
    </xf>
    <xf numFmtId="3" fontId="3" fillId="28" borderId="26" xfId="0" applyNumberFormat="1" applyFont="1" applyFill="1" applyBorder="1" applyAlignment="1" applyProtection="1">
      <alignment vertical="center" wrapText="1"/>
      <protection hidden="1"/>
    </xf>
    <xf numFmtId="3" fontId="3" fillId="28" borderId="168" xfId="0" applyNumberFormat="1" applyFont="1" applyFill="1" applyBorder="1" applyAlignment="1" applyProtection="1">
      <alignment wrapText="1"/>
      <protection hidden="1"/>
    </xf>
    <xf numFmtId="3" fontId="3" fillId="28" borderId="132" xfId="0" applyNumberFormat="1" applyFont="1" applyFill="1" applyBorder="1" applyAlignment="1" applyProtection="1">
      <alignment wrapText="1"/>
      <protection hidden="1"/>
    </xf>
    <xf numFmtId="0" fontId="1" fillId="2" borderId="40" xfId="0" applyFont="1" applyFill="1" applyBorder="1" applyAlignment="1" applyProtection="1">
      <alignment horizontal="center" vertical="center" wrapText="1"/>
      <protection hidden="1"/>
    </xf>
    <xf numFmtId="0" fontId="1" fillId="2" borderId="26" xfId="0" applyFont="1" applyFill="1" applyBorder="1" applyAlignment="1" applyProtection="1">
      <alignment horizontal="center" vertical="center" wrapText="1"/>
      <protection hidden="1"/>
    </xf>
    <xf numFmtId="3" fontId="3" fillId="28" borderId="70" xfId="0" applyNumberFormat="1" applyFont="1" applyFill="1" applyBorder="1" applyAlignment="1" applyProtection="1">
      <alignment wrapText="1"/>
      <protection hidden="1"/>
    </xf>
    <xf numFmtId="3" fontId="3" fillId="28" borderId="5" xfId="0" applyNumberFormat="1" applyFont="1" applyFill="1" applyBorder="1" applyAlignment="1" applyProtection="1">
      <alignment wrapText="1"/>
      <protection hidden="1"/>
    </xf>
    <xf numFmtId="9" fontId="211" fillId="16" borderId="40" xfId="0" applyNumberFormat="1" applyFont="1" applyFill="1" applyBorder="1" applyAlignment="1" applyProtection="1">
      <alignment horizontal="center" vertical="center" wrapText="1"/>
      <protection locked="0"/>
    </xf>
    <xf numFmtId="9" fontId="211" fillId="16" borderId="55" xfId="0" applyNumberFormat="1" applyFont="1" applyFill="1" applyBorder="1" applyAlignment="1" applyProtection="1">
      <alignment horizontal="center" vertical="center" wrapText="1"/>
      <protection locked="0"/>
    </xf>
    <xf numFmtId="0" fontId="1" fillId="2" borderId="15" xfId="0" applyFont="1" applyFill="1" applyBorder="1" applyAlignment="1" applyProtection="1">
      <alignment horizontal="center" wrapText="1"/>
      <protection hidden="1"/>
    </xf>
    <xf numFmtId="3" fontId="8" fillId="16" borderId="12" xfId="0" applyNumberFormat="1" applyFont="1" applyFill="1" applyBorder="1" applyAlignment="1" applyProtection="1">
      <alignment horizontal="center"/>
      <protection locked="0"/>
    </xf>
    <xf numFmtId="9" fontId="211" fillId="16" borderId="26" xfId="0" applyNumberFormat="1" applyFont="1" applyFill="1" applyBorder="1" applyAlignment="1" applyProtection="1">
      <alignment horizontal="center" vertical="center" wrapText="1"/>
      <protection locked="0"/>
    </xf>
    <xf numFmtId="37" fontId="3" fillId="21" borderId="31" xfId="0" applyNumberFormat="1" applyFont="1" applyFill="1" applyBorder="1" applyAlignment="1" applyProtection="1">
      <alignment horizontal="right"/>
      <protection locked="0"/>
    </xf>
    <xf numFmtId="37" fontId="3" fillId="21" borderId="9" xfId="0" applyNumberFormat="1" applyFont="1" applyFill="1" applyBorder="1" applyAlignment="1" applyProtection="1">
      <alignment horizontal="right"/>
      <protection locked="0"/>
    </xf>
    <xf numFmtId="37" fontId="3" fillId="21" borderId="10" xfId="0" applyNumberFormat="1" applyFont="1" applyFill="1" applyBorder="1" applyAlignment="1" applyProtection="1">
      <alignment horizontal="right"/>
      <protection locked="0"/>
    </xf>
    <xf numFmtId="37" fontId="3" fillId="21" borderId="1" xfId="0" applyNumberFormat="1" applyFont="1" applyFill="1" applyBorder="1" applyAlignment="1" applyProtection="1">
      <alignment horizontal="right"/>
      <protection locked="0"/>
    </xf>
    <xf numFmtId="37" fontId="3" fillId="27" borderId="10" xfId="0" applyNumberFormat="1" applyFont="1" applyFill="1" applyBorder="1" applyAlignment="1" applyProtection="1">
      <alignment horizontal="right"/>
      <protection hidden="1"/>
    </xf>
    <xf numFmtId="37" fontId="3" fillId="27" borderId="70" xfId="0" applyNumberFormat="1" applyFont="1" applyFill="1" applyBorder="1" applyAlignment="1" applyProtection="1">
      <alignment horizontal="right"/>
      <protection hidden="1"/>
    </xf>
    <xf numFmtId="37" fontId="0" fillId="0" borderId="5" xfId="0" applyNumberFormat="1" applyBorder="1" applyAlignment="1">
      <alignment horizontal="right"/>
    </xf>
    <xf numFmtId="0" fontId="179" fillId="3" borderId="24" xfId="0" applyFont="1" applyFill="1" applyBorder="1" applyAlignment="1" applyProtection="1">
      <alignment horizontal="center" vertical="center"/>
      <protection hidden="1"/>
    </xf>
    <xf numFmtId="0" fontId="179" fillId="3" borderId="20" xfId="0" applyFont="1" applyFill="1" applyBorder="1" applyAlignment="1" applyProtection="1">
      <alignment horizontal="center" vertical="center"/>
      <protection hidden="1"/>
    </xf>
    <xf numFmtId="0" fontId="179" fillId="3" borderId="22" xfId="0" applyFont="1" applyFill="1" applyBorder="1" applyAlignment="1" applyProtection="1">
      <alignment horizontal="center" vertical="center"/>
      <protection hidden="1"/>
    </xf>
    <xf numFmtId="0" fontId="179" fillId="3" borderId="23" xfId="0" applyFont="1" applyFill="1" applyBorder="1" applyAlignment="1" applyProtection="1">
      <alignment horizontal="center" vertical="center"/>
      <protection hidden="1"/>
    </xf>
    <xf numFmtId="4" fontId="11" fillId="3" borderId="31" xfId="0" applyNumberFormat="1" applyFont="1" applyFill="1" applyBorder="1" applyAlignment="1" applyProtection="1">
      <alignment horizontal="center"/>
      <protection hidden="1"/>
    </xf>
    <xf numFmtId="4" fontId="11" fillId="3" borderId="9" xfId="0" applyNumberFormat="1" applyFont="1" applyFill="1" applyBorder="1" applyAlignment="1" applyProtection="1">
      <alignment horizontal="center"/>
      <protection hidden="1"/>
    </xf>
    <xf numFmtId="37" fontId="3" fillId="21" borderId="40" xfId="0" applyNumberFormat="1" applyFont="1" applyFill="1" applyBorder="1" applyProtection="1">
      <protection locked="0"/>
    </xf>
    <xf numFmtId="37" fontId="0" fillId="0" borderId="26" xfId="0" applyNumberFormat="1" applyBorder="1" applyProtection="1">
      <protection locked="0"/>
    </xf>
    <xf numFmtId="0" fontId="20" fillId="3" borderId="31" xfId="0" applyFont="1" applyFill="1" applyBorder="1" applyAlignment="1" applyProtection="1">
      <alignment horizontal="center"/>
      <protection hidden="1"/>
    </xf>
    <xf numFmtId="0" fontId="17" fillId="3" borderId="3" xfId="0" applyFont="1" applyFill="1" applyBorder="1" applyAlignment="1" applyProtection="1">
      <alignment horizontal="center"/>
      <protection hidden="1"/>
    </xf>
    <xf numFmtId="0" fontId="17" fillId="3" borderId="10" xfId="0" applyFont="1" applyFill="1" applyBorder="1" applyAlignment="1" applyProtection="1">
      <alignment horizontal="center"/>
      <protection hidden="1"/>
    </xf>
    <xf numFmtId="0" fontId="17" fillId="3" borderId="1" xfId="0" applyFont="1" applyFill="1" applyBorder="1" applyAlignment="1" applyProtection="1">
      <alignment horizontal="center"/>
      <protection hidden="1"/>
    </xf>
    <xf numFmtId="0" fontId="138" fillId="0" borderId="0" xfId="0" applyFont="1" applyAlignment="1">
      <alignment horizontal="center"/>
    </xf>
    <xf numFmtId="0" fontId="138" fillId="0" borderId="25" xfId="0" applyFont="1" applyBorder="1" applyAlignment="1">
      <alignment horizontal="center"/>
    </xf>
    <xf numFmtId="37" fontId="3" fillId="27" borderId="1" xfId="0" applyNumberFormat="1" applyFont="1" applyFill="1" applyBorder="1" applyAlignment="1" applyProtection="1">
      <alignment horizontal="right"/>
      <protection hidden="1"/>
    </xf>
    <xf numFmtId="37" fontId="3" fillId="27" borderId="40" xfId="0" applyNumberFormat="1" applyFont="1" applyFill="1" applyBorder="1" applyAlignment="1" applyProtection="1">
      <alignment horizontal="right"/>
      <protection hidden="1"/>
    </xf>
    <xf numFmtId="37" fontId="0" fillId="0" borderId="26" xfId="0" applyNumberFormat="1" applyBorder="1" applyAlignment="1">
      <alignment horizontal="right"/>
    </xf>
    <xf numFmtId="0" fontId="20" fillId="3" borderId="9" xfId="0" applyFont="1" applyFill="1" applyBorder="1" applyAlignment="1" applyProtection="1">
      <alignment horizontal="center"/>
      <protection hidden="1"/>
    </xf>
    <xf numFmtId="0" fontId="17" fillId="3" borderId="3" xfId="0" applyFont="1" applyFill="1" applyBorder="1" applyAlignment="1" applyProtection="1">
      <alignment horizontal="center" vertical="center"/>
      <protection hidden="1"/>
    </xf>
    <xf numFmtId="0" fontId="17" fillId="3" borderId="0" xfId="0" applyFont="1" applyFill="1" applyAlignment="1" applyProtection="1">
      <alignment horizontal="center" vertical="center"/>
      <protection hidden="1"/>
    </xf>
    <xf numFmtId="0" fontId="17" fillId="3" borderId="10" xfId="0" applyFont="1" applyFill="1" applyBorder="1" applyAlignment="1" applyProtection="1">
      <alignment horizontal="center" vertical="top"/>
      <protection hidden="1"/>
    </xf>
    <xf numFmtId="0" fontId="17" fillId="3" borderId="1" xfId="0" applyFont="1" applyFill="1" applyBorder="1" applyAlignment="1" applyProtection="1">
      <alignment horizontal="center" vertical="top"/>
      <protection hidden="1"/>
    </xf>
    <xf numFmtId="0" fontId="138" fillId="0" borderId="0" xfId="0" quotePrefix="1" applyFont="1" applyAlignment="1">
      <alignment horizontal="center"/>
    </xf>
    <xf numFmtId="4" fontId="138" fillId="3" borderId="3" xfId="0" applyNumberFormat="1" applyFont="1" applyFill="1" applyBorder="1" applyAlignment="1" applyProtection="1">
      <alignment horizontal="center"/>
      <protection hidden="1"/>
    </xf>
    <xf numFmtId="4" fontId="138" fillId="3" borderId="0" xfId="0" applyNumberFormat="1" applyFont="1" applyFill="1" applyAlignment="1" applyProtection="1">
      <alignment horizontal="center"/>
      <protection hidden="1"/>
    </xf>
    <xf numFmtId="4" fontId="138" fillId="3" borderId="3" xfId="0" applyNumberFormat="1" applyFont="1" applyFill="1" applyBorder="1" applyAlignment="1" applyProtection="1">
      <alignment horizontal="center" vertical="center"/>
      <protection hidden="1"/>
    </xf>
    <xf numFmtId="4" fontId="138" fillId="3" borderId="0" xfId="0" applyNumberFormat="1" applyFont="1" applyFill="1" applyAlignment="1" applyProtection="1">
      <alignment horizontal="center" vertical="center"/>
      <protection hidden="1"/>
    </xf>
    <xf numFmtId="37" fontId="3" fillId="27" borderId="5" xfId="0" applyNumberFormat="1" applyFont="1" applyFill="1" applyBorder="1" applyAlignment="1" applyProtection="1">
      <alignment horizontal="right"/>
      <protection hidden="1"/>
    </xf>
    <xf numFmtId="37" fontId="3" fillId="21" borderId="10" xfId="0" applyNumberFormat="1" applyFont="1" applyFill="1" applyBorder="1" applyProtection="1">
      <protection locked="0"/>
    </xf>
    <xf numFmtId="37" fontId="0" fillId="0" borderId="1" xfId="0" applyNumberFormat="1" applyBorder="1" applyProtection="1">
      <protection locked="0"/>
    </xf>
    <xf numFmtId="37" fontId="3" fillId="21" borderId="31" xfId="0" applyNumberFormat="1" applyFont="1" applyFill="1" applyBorder="1" applyAlignment="1" applyProtection="1">
      <alignment horizontal="right" wrapText="1"/>
      <protection locked="0"/>
    </xf>
    <xf numFmtId="37" fontId="3" fillId="21" borderId="9" xfId="0" applyNumberFormat="1" applyFont="1" applyFill="1" applyBorder="1" applyAlignment="1" applyProtection="1">
      <alignment horizontal="right" wrapText="1"/>
      <protection locked="0"/>
    </xf>
    <xf numFmtId="37" fontId="3" fillId="21" borderId="10" xfId="0" applyNumberFormat="1" applyFont="1" applyFill="1" applyBorder="1" applyAlignment="1" applyProtection="1">
      <alignment horizontal="right" wrapText="1"/>
      <protection locked="0"/>
    </xf>
    <xf numFmtId="37" fontId="3" fillId="21" borderId="1" xfId="0" applyNumberFormat="1" applyFont="1" applyFill="1" applyBorder="1" applyAlignment="1" applyProtection="1">
      <alignment horizontal="right" wrapText="1"/>
      <protection locked="0"/>
    </xf>
    <xf numFmtId="37" fontId="138" fillId="3" borderId="3" xfId="0" applyNumberFormat="1" applyFont="1" applyFill="1" applyBorder="1" applyAlignment="1" applyProtection="1">
      <alignment horizontal="right"/>
      <protection hidden="1"/>
    </xf>
    <xf numFmtId="37" fontId="138" fillId="3" borderId="0" xfId="0" applyNumberFormat="1" applyFont="1" applyFill="1" applyAlignment="1" applyProtection="1">
      <alignment horizontal="right"/>
      <protection hidden="1"/>
    </xf>
    <xf numFmtId="166" fontId="1" fillId="21" borderId="40" xfId="0" applyNumberFormat="1" applyFont="1" applyFill="1" applyBorder="1" applyAlignment="1" applyProtection="1">
      <alignment horizontal="center" vertical="center"/>
      <protection locked="0"/>
    </xf>
    <xf numFmtId="166" fontId="1" fillId="17" borderId="26" xfId="0" applyNumberFormat="1" applyFont="1" applyFill="1" applyBorder="1" applyAlignment="1" applyProtection="1">
      <alignment horizontal="center" vertical="center"/>
      <protection locked="0"/>
    </xf>
    <xf numFmtId="166" fontId="1" fillId="17" borderId="55" xfId="0" applyNumberFormat="1" applyFont="1" applyFill="1" applyBorder="1" applyAlignment="1" applyProtection="1">
      <alignment horizontal="center" vertical="center"/>
      <protection locked="0"/>
    </xf>
    <xf numFmtId="0" fontId="5" fillId="3" borderId="72" xfId="0" applyFont="1" applyFill="1" applyBorder="1" applyAlignment="1" applyProtection="1">
      <alignment horizontal="center"/>
      <protection hidden="1"/>
    </xf>
    <xf numFmtId="0" fontId="0" fillId="0" borderId="17" xfId="0" applyBorder="1"/>
    <xf numFmtId="0" fontId="0" fillId="0" borderId="33" xfId="0" applyBorder="1"/>
    <xf numFmtId="0" fontId="0" fillId="0" borderId="105" xfId="0" applyBorder="1"/>
    <xf numFmtId="0" fontId="0" fillId="0" borderId="76" xfId="0" applyBorder="1"/>
    <xf numFmtId="0" fontId="0" fillId="0" borderId="9" xfId="0" applyBorder="1" applyAlignment="1">
      <alignment vertical="center"/>
    </xf>
    <xf numFmtId="0" fontId="0" fillId="0" borderId="15" xfId="0" applyBorder="1" applyAlignment="1">
      <alignment vertical="center"/>
    </xf>
    <xf numFmtId="0" fontId="0" fillId="0" borderId="3" xfId="0" applyBorder="1" applyAlignment="1">
      <alignment vertical="center"/>
    </xf>
    <xf numFmtId="0" fontId="0" fillId="0" borderId="25"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2" xfId="0" applyBorder="1" applyAlignment="1">
      <alignment vertical="center"/>
    </xf>
    <xf numFmtId="0" fontId="8" fillId="21" borderId="9" xfId="0" applyFont="1" applyFill="1" applyBorder="1" applyAlignment="1" applyProtection="1">
      <alignment horizontal="center" vertical="center" wrapText="1"/>
      <protection locked="0"/>
    </xf>
    <xf numFmtId="0" fontId="3" fillId="17" borderId="9" xfId="0" applyFont="1" applyFill="1" applyBorder="1" applyAlignment="1" applyProtection="1">
      <alignment horizontal="center" vertical="center" wrapText="1"/>
      <protection locked="0"/>
    </xf>
    <xf numFmtId="0" fontId="3" fillId="17" borderId="15" xfId="0" applyFont="1" applyFill="1" applyBorder="1" applyAlignment="1" applyProtection="1">
      <alignment horizontal="center" vertical="center" wrapText="1"/>
      <protection locked="0"/>
    </xf>
    <xf numFmtId="0" fontId="3" fillId="17" borderId="1" xfId="0" applyFont="1" applyFill="1" applyBorder="1" applyAlignment="1" applyProtection="1">
      <alignment horizontal="center" vertical="center" wrapText="1"/>
      <protection locked="0"/>
    </xf>
    <xf numFmtId="0" fontId="3" fillId="17" borderId="12" xfId="0" applyFont="1" applyFill="1" applyBorder="1" applyAlignment="1" applyProtection="1">
      <alignment horizontal="center" vertical="center" wrapText="1"/>
      <protection locked="0"/>
    </xf>
    <xf numFmtId="0" fontId="8" fillId="21" borderId="102" xfId="0" applyFont="1" applyFill="1" applyBorder="1" applyAlignment="1" applyProtection="1">
      <alignment horizontal="left"/>
      <protection locked="0"/>
    </xf>
    <xf numFmtId="0" fontId="8" fillId="21" borderId="99" xfId="0" applyFont="1" applyFill="1" applyBorder="1" applyAlignment="1" applyProtection="1">
      <alignment horizontal="left"/>
      <protection locked="0"/>
    </xf>
    <xf numFmtId="0" fontId="3" fillId="17" borderId="99" xfId="0" applyFont="1" applyFill="1" applyBorder="1" applyAlignment="1" applyProtection="1">
      <alignment horizontal="left"/>
      <protection locked="0"/>
    </xf>
    <xf numFmtId="0" fontId="3" fillId="17" borderId="100" xfId="0" applyFont="1" applyFill="1" applyBorder="1" applyAlignment="1" applyProtection="1">
      <alignment horizontal="left"/>
      <protection locked="0"/>
    </xf>
    <xf numFmtId="49" fontId="3" fillId="21" borderId="31" xfId="0" applyNumberFormat="1" applyFont="1" applyFill="1" applyBorder="1" applyAlignment="1" applyProtection="1">
      <alignment horizontal="center" vertical="center" wrapText="1"/>
      <protection locked="0"/>
    </xf>
    <xf numFmtId="49" fontId="3" fillId="17" borderId="9" xfId="0" applyNumberFormat="1" applyFont="1" applyFill="1" applyBorder="1" applyAlignment="1" applyProtection="1">
      <alignment horizontal="center" vertical="center" wrapText="1"/>
      <protection locked="0"/>
    </xf>
    <xf numFmtId="49" fontId="3" fillId="17" borderId="15" xfId="0" applyNumberFormat="1" applyFont="1" applyFill="1" applyBorder="1" applyAlignment="1" applyProtection="1">
      <alignment horizontal="center" vertical="center" wrapText="1"/>
      <protection locked="0"/>
    </xf>
    <xf numFmtId="49" fontId="3" fillId="17" borderId="10" xfId="0" applyNumberFormat="1" applyFont="1" applyFill="1" applyBorder="1" applyAlignment="1" applyProtection="1">
      <alignment horizontal="center" vertical="center" wrapText="1"/>
      <protection locked="0"/>
    </xf>
    <xf numFmtId="49" fontId="3" fillId="17" borderId="1" xfId="0" applyNumberFormat="1" applyFont="1" applyFill="1" applyBorder="1" applyAlignment="1" applyProtection="1">
      <alignment horizontal="center" vertical="center" wrapText="1"/>
      <protection locked="0"/>
    </xf>
    <xf numFmtId="49" fontId="3" fillId="17" borderId="12" xfId="0" applyNumberFormat="1" applyFont="1" applyFill="1" applyBorder="1" applyAlignment="1" applyProtection="1">
      <alignment horizontal="center" vertical="center" wrapText="1"/>
      <protection locked="0"/>
    </xf>
    <xf numFmtId="0" fontId="8" fillId="21" borderId="103" xfId="0" applyFont="1" applyFill="1" applyBorder="1" applyAlignment="1" applyProtection="1">
      <alignment horizontal="left"/>
      <protection locked="0"/>
    </xf>
    <xf numFmtId="0" fontId="3" fillId="17" borderId="94" xfId="0" applyFont="1" applyFill="1" applyBorder="1" applyAlignment="1" applyProtection="1">
      <alignment horizontal="left"/>
      <protection locked="0"/>
    </xf>
    <xf numFmtId="0" fontId="3" fillId="17" borderId="95" xfId="0" applyFont="1" applyFill="1" applyBorder="1" applyAlignment="1" applyProtection="1">
      <alignment horizontal="left"/>
      <protection locked="0"/>
    </xf>
    <xf numFmtId="166" fontId="1" fillId="27" borderId="70" xfId="0" applyNumberFormat="1" applyFont="1" applyFill="1" applyBorder="1" applyAlignment="1" applyProtection="1">
      <alignment horizontal="center"/>
      <protection hidden="1"/>
    </xf>
    <xf numFmtId="166" fontId="1" fillId="27" borderId="5" xfId="0" applyNumberFormat="1" applyFont="1" applyFill="1" applyBorder="1" applyAlignment="1" applyProtection="1">
      <alignment horizontal="center"/>
      <protection hidden="1"/>
    </xf>
    <xf numFmtId="0" fontId="176" fillId="3" borderId="31" xfId="0" applyFont="1" applyFill="1" applyBorder="1" applyAlignment="1" applyProtection="1">
      <alignment horizontal="left"/>
      <protection hidden="1"/>
    </xf>
    <xf numFmtId="0" fontId="176" fillId="3" borderId="9" xfId="0" applyFont="1" applyFill="1" applyBorder="1" applyAlignment="1" applyProtection="1">
      <alignment horizontal="left"/>
      <protection hidden="1"/>
    </xf>
    <xf numFmtId="0" fontId="82" fillId="3" borderId="8" xfId="0" applyFont="1" applyFill="1" applyBorder="1" applyAlignment="1" applyProtection="1">
      <alignment horizontal="left" vertical="center"/>
      <protection hidden="1"/>
    </xf>
    <xf numFmtId="0" fontId="153" fillId="0" borderId="8" xfId="0" applyFont="1" applyBorder="1"/>
    <xf numFmtId="0" fontId="153" fillId="0" borderId="5" xfId="0" applyFont="1" applyBorder="1"/>
    <xf numFmtId="0" fontId="8" fillId="21" borderId="9" xfId="0" applyFont="1" applyFill="1" applyBorder="1" applyAlignment="1" applyProtection="1">
      <alignment horizontal="left" wrapText="1"/>
      <protection locked="0"/>
    </xf>
    <xf numFmtId="0" fontId="0" fillId="17" borderId="9" xfId="0" applyFill="1" applyBorder="1" applyAlignment="1" applyProtection="1">
      <alignment horizontal="left" wrapText="1"/>
      <protection locked="0"/>
    </xf>
    <xf numFmtId="0" fontId="0" fillId="17" borderId="15" xfId="0" applyFill="1" applyBorder="1" applyAlignment="1" applyProtection="1">
      <alignment horizontal="left" wrapText="1"/>
      <protection locked="0"/>
    </xf>
    <xf numFmtId="0" fontId="0" fillId="17" borderId="1" xfId="0" applyFill="1" applyBorder="1" applyAlignment="1" applyProtection="1">
      <alignment horizontal="left" wrapText="1"/>
      <protection locked="0"/>
    </xf>
    <xf numFmtId="0" fontId="0" fillId="17" borderId="12" xfId="0" applyFill="1" applyBorder="1" applyAlignment="1" applyProtection="1">
      <alignment horizontal="left" wrapText="1"/>
      <protection locked="0"/>
    </xf>
    <xf numFmtId="0" fontId="0" fillId="17" borderId="100" xfId="0" applyFill="1" applyBorder="1" applyAlignment="1" applyProtection="1">
      <alignment horizontal="left"/>
      <protection locked="0"/>
    </xf>
    <xf numFmtId="0" fontId="0" fillId="17" borderId="95" xfId="0" applyFill="1" applyBorder="1" applyAlignment="1" applyProtection="1">
      <alignment horizontal="left"/>
      <protection locked="0"/>
    </xf>
    <xf numFmtId="166" fontId="1" fillId="29" borderId="10" xfId="0" applyNumberFormat="1" applyFont="1" applyFill="1" applyBorder="1" applyAlignment="1" applyProtection="1">
      <alignment horizontal="center"/>
      <protection hidden="1"/>
    </xf>
    <xf numFmtId="166" fontId="1" fillId="29" borderId="1" xfId="0" applyNumberFormat="1" applyFont="1" applyFill="1" applyBorder="1" applyAlignment="1" applyProtection="1">
      <alignment horizontal="center"/>
      <protection hidden="1"/>
    </xf>
    <xf numFmtId="0" fontId="8" fillId="3" borderId="10" xfId="0" applyFont="1" applyFill="1" applyBorder="1" applyAlignment="1" applyProtection="1">
      <alignment horizontal="left"/>
      <protection hidden="1"/>
    </xf>
    <xf numFmtId="0" fontId="8" fillId="3" borderId="1" xfId="0" applyFont="1" applyFill="1" applyBorder="1" applyAlignment="1" applyProtection="1">
      <alignment horizontal="left"/>
      <protection hidden="1"/>
    </xf>
    <xf numFmtId="0" fontId="10" fillId="2" borderId="24" xfId="0" applyFont="1" applyFill="1" applyBorder="1" applyAlignment="1">
      <alignment horizontal="center"/>
    </xf>
    <xf numFmtId="0" fontId="10" fillId="2" borderId="8" xfId="0" applyFont="1" applyFill="1"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21" fillId="3" borderId="22" xfId="0" applyFont="1" applyFill="1" applyBorder="1" applyAlignment="1" applyProtection="1">
      <alignment horizontal="center" vertical="top"/>
      <protection hidden="1"/>
    </xf>
    <xf numFmtId="0" fontId="21" fillId="3" borderId="5" xfId="0" applyFont="1" applyFill="1" applyBorder="1" applyAlignment="1" applyProtection="1">
      <alignment horizontal="center" vertical="top"/>
      <protection hidden="1"/>
    </xf>
    <xf numFmtId="0" fontId="8" fillId="3" borderId="3"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5" xfId="0" applyFont="1" applyFill="1" applyBorder="1" applyAlignment="1" applyProtection="1">
      <alignment horizontal="center"/>
      <protection hidden="1"/>
    </xf>
    <xf numFmtId="0" fontId="5" fillId="21" borderId="26" xfId="0" applyFont="1" applyFill="1" applyBorder="1" applyAlignment="1" applyProtection="1">
      <alignment horizontal="center"/>
      <protection locked="0"/>
    </xf>
    <xf numFmtId="0" fontId="5" fillId="17" borderId="26" xfId="0" applyFont="1" applyFill="1" applyBorder="1" applyAlignment="1" applyProtection="1">
      <alignment horizontal="center"/>
      <protection locked="0"/>
    </xf>
    <xf numFmtId="0" fontId="5" fillId="17" borderId="55" xfId="0" applyFont="1" applyFill="1" applyBorder="1" applyAlignment="1" applyProtection="1">
      <alignment horizontal="center"/>
      <protection locked="0"/>
    </xf>
    <xf numFmtId="0" fontId="5" fillId="21" borderId="40" xfId="0" applyFont="1" applyFill="1" applyBorder="1" applyAlignment="1" applyProtection="1">
      <alignment horizontal="center"/>
      <protection locked="0"/>
    </xf>
    <xf numFmtId="166" fontId="5" fillId="21" borderId="40" xfId="0" applyNumberFormat="1" applyFont="1" applyFill="1" applyBorder="1" applyAlignment="1" applyProtection="1">
      <alignment horizontal="center"/>
      <protection locked="0"/>
    </xf>
    <xf numFmtId="166" fontId="5" fillId="17" borderId="26" xfId="0" applyNumberFormat="1" applyFont="1" applyFill="1" applyBorder="1" applyAlignment="1" applyProtection="1">
      <alignment horizontal="center"/>
      <protection locked="0"/>
    </xf>
    <xf numFmtId="166" fontId="5" fillId="17" borderId="55" xfId="0" applyNumberFormat="1" applyFont="1" applyFill="1" applyBorder="1" applyAlignment="1" applyProtection="1">
      <alignment horizontal="center"/>
      <protection locked="0"/>
    </xf>
    <xf numFmtId="0" fontId="5" fillId="3" borderId="0" xfId="0" applyFont="1" applyFill="1" applyAlignment="1" applyProtection="1">
      <alignment horizontal="right"/>
      <protection hidden="1"/>
    </xf>
    <xf numFmtId="0" fontId="0" fillId="0" borderId="0" xfId="0" applyAlignment="1">
      <alignment horizontal="right"/>
    </xf>
    <xf numFmtId="0" fontId="180" fillId="11" borderId="62" xfId="5" applyFill="1" applyBorder="1" applyAlignment="1" applyProtection="1">
      <alignment horizontal="center"/>
    </xf>
    <xf numFmtId="0" fontId="180" fillId="11" borderId="63" xfId="5" applyFill="1" applyBorder="1" applyAlignment="1" applyProtection="1">
      <alignment horizontal="center"/>
    </xf>
    <xf numFmtId="0" fontId="180" fillId="11" borderId="64" xfId="5" applyFill="1" applyBorder="1" applyAlignment="1" applyProtection="1">
      <alignment horizontal="center"/>
    </xf>
    <xf numFmtId="0" fontId="3" fillId="16" borderId="31" xfId="0" applyFont="1" applyFill="1" applyBorder="1" applyAlignment="1">
      <alignment vertical="top" wrapText="1"/>
    </xf>
    <xf numFmtId="0" fontId="0" fillId="0" borderId="15" xfId="0" applyBorder="1" applyAlignment="1">
      <alignment vertical="top" wrapText="1"/>
    </xf>
    <xf numFmtId="0" fontId="0" fillId="0" borderId="3" xfId="0" applyBorder="1" applyAlignment="1">
      <alignment vertical="top" wrapText="1"/>
    </xf>
    <xf numFmtId="0" fontId="0" fillId="0" borderId="25" xfId="0"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0" fillId="0" borderId="6" xfId="0" applyBorder="1"/>
    <xf numFmtId="0" fontId="46" fillId="3" borderId="6" xfId="0" applyFont="1" applyFill="1" applyBorder="1" applyAlignment="1" applyProtection="1">
      <alignment horizontal="center" vertical="center"/>
      <protection hidden="1"/>
    </xf>
    <xf numFmtId="0" fontId="6" fillId="3" borderId="6" xfId="0" applyFont="1" applyFill="1" applyBorder="1" applyAlignment="1" applyProtection="1">
      <alignment horizontal="center" vertical="top"/>
      <protection hidden="1"/>
    </xf>
    <xf numFmtId="0" fontId="5" fillId="0" borderId="0" xfId="0" applyFont="1" applyAlignment="1">
      <alignment vertical="top"/>
    </xf>
    <xf numFmtId="0" fontId="0" fillId="16" borderId="0" xfId="0" applyFill="1"/>
    <xf numFmtId="0" fontId="0" fillId="16" borderId="21" xfId="0" applyFill="1" applyBorder="1"/>
    <xf numFmtId="0" fontId="64" fillId="3" borderId="0" xfId="0" applyFont="1" applyFill="1" applyAlignment="1" applyProtection="1">
      <alignment horizontal="right"/>
      <protection hidden="1"/>
    </xf>
    <xf numFmtId="0" fontId="16" fillId="21" borderId="26" xfId="0" applyFont="1" applyFill="1" applyBorder="1" applyAlignment="1" applyProtection="1">
      <alignment horizontal="left" vertical="center" indent="1"/>
      <protection locked="0"/>
    </xf>
    <xf numFmtId="0" fontId="16" fillId="17" borderId="26" xfId="0" applyFont="1" applyFill="1" applyBorder="1" applyAlignment="1" applyProtection="1">
      <alignment horizontal="left" vertical="center" indent="1"/>
      <protection locked="0"/>
    </xf>
    <xf numFmtId="0" fontId="16" fillId="17" borderId="55" xfId="0" applyFont="1" applyFill="1" applyBorder="1" applyAlignment="1" applyProtection="1">
      <alignment horizontal="left" vertical="center" indent="1"/>
      <protection locked="0"/>
    </xf>
    <xf numFmtId="0" fontId="177" fillId="27" borderId="5" xfId="0" quotePrefix="1" applyFont="1" applyFill="1" applyBorder="1" applyProtection="1">
      <protection hidden="1"/>
    </xf>
    <xf numFmtId="0" fontId="0" fillId="28" borderId="5" xfId="0" applyFill="1" applyBorder="1" applyProtection="1">
      <protection hidden="1"/>
    </xf>
    <xf numFmtId="0" fontId="0" fillId="28" borderId="71" xfId="0" applyFill="1" applyBorder="1" applyProtection="1">
      <protection hidden="1"/>
    </xf>
    <xf numFmtId="0" fontId="82" fillId="15" borderId="0" xfId="0" applyFont="1" applyFill="1" applyAlignment="1" applyProtection="1">
      <alignment horizontal="left"/>
      <protection hidden="1"/>
    </xf>
    <xf numFmtId="0" fontId="153" fillId="16" borderId="0" xfId="0" applyFont="1" applyFill="1" applyAlignment="1">
      <alignment horizontal="left"/>
    </xf>
    <xf numFmtId="0" fontId="153" fillId="16" borderId="21" xfId="0" applyFont="1" applyFill="1" applyBorder="1" applyAlignment="1">
      <alignment horizontal="left"/>
    </xf>
    <xf numFmtId="0" fontId="8" fillId="3" borderId="27" xfId="0" applyFont="1" applyFill="1" applyBorder="1" applyAlignment="1" applyProtection="1">
      <alignment horizontal="center"/>
      <protection hidden="1"/>
    </xf>
    <xf numFmtId="0" fontId="8" fillId="3" borderId="1" xfId="0" applyFont="1" applyFill="1" applyBorder="1" applyAlignment="1" applyProtection="1">
      <alignment horizontal="center"/>
      <protection hidden="1"/>
    </xf>
    <xf numFmtId="0" fontId="82" fillId="3" borderId="6" xfId="0" applyFont="1" applyFill="1" applyBorder="1" applyAlignment="1" applyProtection="1">
      <alignment horizontal="center"/>
      <protection hidden="1"/>
    </xf>
    <xf numFmtId="0" fontId="82" fillId="3" borderId="0" xfId="0" applyFont="1" applyFill="1" applyAlignment="1" applyProtection="1">
      <alignment horizontal="center"/>
      <protection hidden="1"/>
    </xf>
    <xf numFmtId="0" fontId="8" fillId="3" borderId="6" xfId="0" applyFont="1" applyFill="1" applyBorder="1" applyAlignment="1" applyProtection="1">
      <alignment horizontal="left"/>
      <protection hidden="1"/>
    </xf>
    <xf numFmtId="0" fontId="8" fillId="3" borderId="0" xfId="0" applyFont="1" applyFill="1" applyAlignment="1" applyProtection="1">
      <alignment horizontal="left"/>
      <protection hidden="1"/>
    </xf>
    <xf numFmtId="0" fontId="8" fillId="3" borderId="6" xfId="0" applyFont="1" applyFill="1" applyBorder="1" applyAlignment="1" applyProtection="1">
      <alignment horizontal="center"/>
      <protection hidden="1"/>
    </xf>
    <xf numFmtId="4" fontId="11" fillId="3" borderId="206" xfId="0" applyNumberFormat="1" applyFont="1" applyFill="1" applyBorder="1" applyAlignment="1" applyProtection="1">
      <alignment horizontal="left"/>
      <protection hidden="1"/>
    </xf>
    <xf numFmtId="4" fontId="11" fillId="3" borderId="17" xfId="0" applyNumberFormat="1" applyFont="1" applyFill="1" applyBorder="1" applyAlignment="1" applyProtection="1">
      <alignment horizontal="left"/>
      <protection hidden="1"/>
    </xf>
    <xf numFmtId="0" fontId="1" fillId="3" borderId="105" xfId="0" applyFont="1" applyFill="1" applyBorder="1" applyAlignment="1" applyProtection="1">
      <alignment horizontal="center"/>
      <protection hidden="1"/>
    </xf>
    <xf numFmtId="0" fontId="0" fillId="0" borderId="76" xfId="0" applyBorder="1" applyAlignment="1">
      <alignment horizontal="center"/>
    </xf>
    <xf numFmtId="0" fontId="152" fillId="32" borderId="26" xfId="0" applyFont="1" applyFill="1" applyBorder="1" applyAlignment="1" applyProtection="1">
      <alignment horizontal="center" vertical="center"/>
      <protection hidden="1"/>
    </xf>
    <xf numFmtId="0" fontId="1" fillId="21" borderId="92" xfId="0" quotePrefix="1" applyFont="1" applyFill="1" applyBorder="1" applyAlignment="1" applyProtection="1">
      <alignment vertical="center"/>
      <protection locked="0"/>
    </xf>
    <xf numFmtId="0" fontId="1" fillId="0" borderId="92" xfId="0" applyFont="1" applyBorder="1" applyAlignment="1">
      <alignment vertical="center"/>
    </xf>
    <xf numFmtId="3" fontId="1" fillId="28" borderId="1" xfId="0" applyNumberFormat="1" applyFont="1" applyFill="1" applyBorder="1" applyAlignment="1" applyProtection="1">
      <alignment horizontal="right" indent="1"/>
      <protection hidden="1"/>
    </xf>
    <xf numFmtId="0" fontId="16" fillId="16" borderId="10" xfId="0" applyFont="1" applyFill="1" applyBorder="1" applyAlignment="1" applyProtection="1">
      <alignment horizontal="center"/>
      <protection hidden="1"/>
    </xf>
    <xf numFmtId="0" fontId="53" fillId="0" borderId="12" xfId="0" applyFont="1" applyBorder="1" applyAlignment="1">
      <alignment horizontal="center"/>
    </xf>
    <xf numFmtId="3" fontId="1" fillId="17" borderId="1" xfId="0" applyNumberFormat="1" applyFont="1" applyFill="1" applyBorder="1" applyAlignment="1" applyProtection="1">
      <alignment horizontal="right" indent="1"/>
      <protection locked="0"/>
    </xf>
    <xf numFmtId="0" fontId="1" fillId="24" borderId="31" xfId="0" applyFont="1" applyFill="1" applyBorder="1" applyAlignment="1" applyProtection="1">
      <alignment horizontal="center"/>
      <protection hidden="1"/>
    </xf>
    <xf numFmtId="0" fontId="1" fillId="24" borderId="15" xfId="0" applyFont="1" applyFill="1" applyBorder="1" applyAlignment="1" applyProtection="1">
      <alignment horizontal="center"/>
      <protection hidden="1"/>
    </xf>
    <xf numFmtId="0" fontId="1" fillId="16" borderId="15" xfId="0" applyFont="1" applyFill="1" applyBorder="1" applyAlignment="1" applyProtection="1">
      <alignment horizontal="center"/>
      <protection hidden="1"/>
    </xf>
    <xf numFmtId="0" fontId="16" fillId="16" borderId="3" xfId="0" applyFont="1" applyFill="1" applyBorder="1" applyAlignment="1" applyProtection="1">
      <alignment horizontal="center"/>
      <protection hidden="1"/>
    </xf>
    <xf numFmtId="0" fontId="53" fillId="0" borderId="25" xfId="0" applyFont="1" applyBorder="1" applyAlignment="1">
      <alignment horizontal="center"/>
    </xf>
    <xf numFmtId="0" fontId="16" fillId="21" borderId="92" xfId="0" quotePrefix="1" applyFont="1" applyFill="1" applyBorder="1" applyAlignment="1" applyProtection="1">
      <alignment vertical="center"/>
      <protection locked="0"/>
    </xf>
    <xf numFmtId="0" fontId="0" fillId="0" borderId="92" xfId="0" applyBorder="1" applyAlignment="1">
      <alignment vertical="center"/>
    </xf>
    <xf numFmtId="0" fontId="1" fillId="0" borderId="0" xfId="0" applyFont="1" applyAlignment="1">
      <alignment vertical="center"/>
    </xf>
    <xf numFmtId="0" fontId="3" fillId="0" borderId="92" xfId="0" applyFont="1" applyBorder="1" applyAlignment="1">
      <alignment vertical="center"/>
    </xf>
    <xf numFmtId="175" fontId="1" fillId="28" borderId="1" xfId="0" applyNumberFormat="1" applyFont="1" applyFill="1" applyBorder="1" applyAlignment="1" applyProtection="1">
      <alignment horizontal="right" indent="1"/>
      <protection hidden="1"/>
    </xf>
    <xf numFmtId="0" fontId="0" fillId="28" borderId="1" xfId="0" applyFill="1" applyBorder="1" applyAlignment="1" applyProtection="1">
      <alignment horizontal="right" indent="1"/>
      <protection hidden="1"/>
    </xf>
    <xf numFmtId="3" fontId="1" fillId="28" borderId="10" xfId="0" applyNumberFormat="1" applyFont="1" applyFill="1" applyBorder="1" applyAlignment="1" applyProtection="1">
      <alignment horizontal="center"/>
      <protection hidden="1"/>
    </xf>
    <xf numFmtId="0" fontId="0" fillId="28" borderId="1" xfId="0" applyFill="1" applyBorder="1" applyAlignment="1" applyProtection="1">
      <alignment horizontal="center"/>
      <protection hidden="1"/>
    </xf>
    <xf numFmtId="0" fontId="1" fillId="21" borderId="92" xfId="0" quotePrefix="1" applyFont="1" applyFill="1" applyBorder="1" applyAlignment="1" applyProtection="1">
      <alignment horizontal="center" vertical="center"/>
      <protection locked="0"/>
    </xf>
    <xf numFmtId="0" fontId="1" fillId="0" borderId="92" xfId="0" applyFont="1" applyBorder="1" applyAlignment="1">
      <alignment horizontal="center" vertical="center"/>
    </xf>
    <xf numFmtId="3" fontId="138" fillId="16" borderId="0" xfId="0" applyNumberFormat="1" applyFont="1" applyFill="1" applyProtection="1">
      <protection hidden="1"/>
    </xf>
    <xf numFmtId="3" fontId="138" fillId="0" borderId="0" xfId="0" applyNumberFormat="1" applyFont="1"/>
    <xf numFmtId="0" fontId="1" fillId="24" borderId="3" xfId="0" applyFont="1" applyFill="1" applyBorder="1" applyAlignment="1" applyProtection="1">
      <alignment horizontal="center"/>
      <protection hidden="1"/>
    </xf>
    <xf numFmtId="0" fontId="1" fillId="24" borderId="25" xfId="0" applyFont="1" applyFill="1" applyBorder="1" applyAlignment="1" applyProtection="1">
      <alignment horizontal="center"/>
      <protection hidden="1"/>
    </xf>
    <xf numFmtId="0" fontId="154" fillId="16" borderId="3" xfId="0" applyFont="1" applyFill="1" applyBorder="1" applyAlignment="1" applyProtection="1">
      <alignment horizontal="center"/>
      <protection hidden="1"/>
    </xf>
    <xf numFmtId="0" fontId="154" fillId="16" borderId="0" xfId="0" applyFont="1" applyFill="1" applyAlignment="1" applyProtection="1">
      <alignment horizontal="center"/>
      <protection hidden="1"/>
    </xf>
    <xf numFmtId="0" fontId="154" fillId="0" borderId="0" xfId="0" applyFont="1" applyAlignment="1">
      <alignment horizontal="center"/>
    </xf>
    <xf numFmtId="0" fontId="10" fillId="16" borderId="9" xfId="0" applyFont="1" applyFill="1" applyBorder="1" applyAlignment="1" applyProtection="1">
      <alignment horizontal="left" vertical="center" wrapText="1" indent="1"/>
      <protection hidden="1"/>
    </xf>
    <xf numFmtId="0" fontId="14" fillId="0" borderId="9" xfId="0" applyFont="1" applyBorder="1" applyAlignment="1">
      <alignment horizontal="left" vertical="center" indent="1"/>
    </xf>
    <xf numFmtId="0" fontId="14" fillId="0" borderId="0" xfId="0" applyFont="1" applyAlignment="1">
      <alignment horizontal="left" vertical="center" indent="1"/>
    </xf>
    <xf numFmtId="0" fontId="14" fillId="0" borderId="1" xfId="0" applyFont="1" applyBorder="1" applyAlignment="1">
      <alignment horizontal="left" vertical="center" indent="1"/>
    </xf>
    <xf numFmtId="168" fontId="24" fillId="28" borderId="1" xfId="0" applyNumberFormat="1" applyFont="1" applyFill="1" applyBorder="1" applyAlignment="1" applyProtection="1">
      <alignment horizontal="right" indent="1"/>
      <protection hidden="1"/>
    </xf>
    <xf numFmtId="0" fontId="144" fillId="16" borderId="0" xfId="0" applyFont="1" applyFill="1" applyAlignment="1" applyProtection="1">
      <alignment horizontal="center" vertical="center"/>
      <protection hidden="1"/>
    </xf>
    <xf numFmtId="0" fontId="138" fillId="16" borderId="9" xfId="0" applyFont="1" applyFill="1" applyBorder="1" applyProtection="1">
      <protection hidden="1"/>
    </xf>
    <xf numFmtId="0" fontId="1" fillId="16" borderId="12" xfId="0" applyFont="1" applyFill="1" applyBorder="1" applyAlignment="1" applyProtection="1">
      <alignment horizontal="center"/>
      <protection hidden="1"/>
    </xf>
    <xf numFmtId="0" fontId="16" fillId="16" borderId="31" xfId="0" applyFont="1" applyFill="1" applyBorder="1" applyAlignment="1" applyProtection="1">
      <alignment horizontal="center"/>
      <protection hidden="1"/>
    </xf>
    <xf numFmtId="0" fontId="16" fillId="16" borderId="15" xfId="0" applyFont="1" applyFill="1" applyBorder="1" applyAlignment="1" applyProtection="1">
      <alignment horizontal="center"/>
      <protection hidden="1"/>
    </xf>
    <xf numFmtId="3" fontId="1" fillId="17" borderId="10" xfId="0" applyNumberFormat="1" applyFont="1" applyFill="1" applyBorder="1" applyAlignment="1" applyProtection="1">
      <alignment horizontal="right" indent="1"/>
      <protection locked="0"/>
    </xf>
    <xf numFmtId="3" fontId="1" fillId="17" borderId="12" xfId="0" applyNumberFormat="1" applyFont="1" applyFill="1" applyBorder="1" applyAlignment="1" applyProtection="1">
      <alignment horizontal="right" indent="1"/>
      <protection locked="0"/>
    </xf>
    <xf numFmtId="0" fontId="1" fillId="20" borderId="31" xfId="0" applyFont="1" applyFill="1" applyBorder="1" applyAlignment="1" applyProtection="1">
      <alignment horizontal="center"/>
      <protection hidden="1"/>
    </xf>
    <xf numFmtId="0" fontId="0" fillId="20" borderId="15" xfId="0" applyFill="1" applyBorder="1" applyAlignment="1">
      <alignment horizontal="center"/>
    </xf>
    <xf numFmtId="0" fontId="1" fillId="20" borderId="3" xfId="0" applyFont="1" applyFill="1" applyBorder="1" applyAlignment="1" applyProtection="1">
      <alignment horizontal="center"/>
      <protection hidden="1"/>
    </xf>
    <xf numFmtId="0" fontId="1" fillId="20" borderId="25" xfId="0" applyFont="1" applyFill="1" applyBorder="1" applyAlignment="1" applyProtection="1">
      <alignment horizontal="center"/>
      <protection hidden="1"/>
    </xf>
    <xf numFmtId="0" fontId="21" fillId="16" borderId="26" xfId="0" applyFont="1" applyFill="1" applyBorder="1" applyAlignment="1" applyProtection="1">
      <alignment horizontal="center" vertical="center" wrapText="1"/>
      <protection hidden="1"/>
    </xf>
    <xf numFmtId="0" fontId="21" fillId="0" borderId="26" xfId="0" applyFont="1" applyBorder="1" applyAlignment="1">
      <alignment horizontal="center" vertical="center" wrapText="1"/>
    </xf>
    <xf numFmtId="0" fontId="84" fillId="0" borderId="26" xfId="0" applyFont="1" applyBorder="1" applyAlignment="1">
      <alignment horizontal="center" vertical="center" wrapText="1"/>
    </xf>
    <xf numFmtId="0" fontId="84" fillId="0" borderId="55" xfId="0" applyFont="1" applyBorder="1" applyAlignment="1">
      <alignment horizontal="center" vertical="center" wrapText="1"/>
    </xf>
    <xf numFmtId="0" fontId="53" fillId="0" borderId="15" xfId="0" applyFont="1" applyBorder="1" applyAlignment="1">
      <alignment horizontal="center"/>
    </xf>
    <xf numFmtId="3" fontId="1" fillId="17" borderId="9" xfId="0" applyNumberFormat="1" applyFont="1" applyFill="1" applyBorder="1" applyAlignment="1" applyProtection="1">
      <alignment horizontal="right" indent="1"/>
      <protection locked="0"/>
    </xf>
    <xf numFmtId="183" fontId="1" fillId="21" borderId="26" xfId="0" quotePrefix="1" applyNumberFormat="1" applyFont="1" applyFill="1" applyBorder="1" applyAlignment="1" applyProtection="1">
      <alignment horizontal="left" vertical="center" indent="1"/>
      <protection locked="0"/>
    </xf>
    <xf numFmtId="0" fontId="0" fillId="0" borderId="26" xfId="0" applyBorder="1" applyAlignment="1" applyProtection="1">
      <alignment horizontal="left" vertical="center" indent="1"/>
      <protection locked="0"/>
    </xf>
    <xf numFmtId="0" fontId="0" fillId="0" borderId="55" xfId="0" applyBorder="1" applyAlignment="1" applyProtection="1">
      <alignment horizontal="left" vertical="center" indent="1"/>
      <protection locked="0"/>
    </xf>
    <xf numFmtId="183" fontId="1" fillId="21" borderId="40" xfId="0" quotePrefix="1" applyNumberFormat="1" applyFont="1" applyFill="1" applyBorder="1" applyAlignment="1" applyProtection="1">
      <alignment horizontal="center" vertical="center"/>
      <protection locked="0"/>
    </xf>
    <xf numFmtId="183" fontId="3" fillId="0" borderId="26" xfId="0" applyNumberFormat="1" applyFont="1" applyBorder="1" applyAlignment="1" applyProtection="1">
      <alignment horizontal="center" vertical="center"/>
      <protection locked="0"/>
    </xf>
    <xf numFmtId="0" fontId="0" fillId="0" borderId="55" xfId="0" applyBorder="1" applyAlignment="1" applyProtection="1">
      <alignment horizontal="center" vertical="center"/>
      <protection locked="0"/>
    </xf>
    <xf numFmtId="0" fontId="1" fillId="27" borderId="40" xfId="0" quotePrefix="1" applyFont="1" applyFill="1" applyBorder="1" applyAlignment="1" applyProtection="1">
      <alignment horizontal="center" vertical="center"/>
      <protection hidden="1"/>
    </xf>
    <xf numFmtId="0" fontId="3" fillId="28" borderId="26" xfId="0" applyFont="1" applyFill="1" applyBorder="1" applyAlignment="1" applyProtection="1">
      <alignment horizontal="center" vertical="center"/>
      <protection hidden="1"/>
    </xf>
    <xf numFmtId="0" fontId="3" fillId="28" borderId="55" xfId="0" applyFont="1" applyFill="1" applyBorder="1" applyAlignment="1" applyProtection="1">
      <alignment horizontal="center" vertical="center"/>
      <protection hidden="1"/>
    </xf>
    <xf numFmtId="1" fontId="1" fillId="21" borderId="40" xfId="0" quotePrefix="1" applyNumberFormat="1" applyFont="1" applyFill="1" applyBorder="1" applyAlignment="1" applyProtection="1">
      <alignment horizontal="center" vertical="center"/>
      <protection locked="0"/>
    </xf>
    <xf numFmtId="1" fontId="0" fillId="0" borderId="26" xfId="0" applyNumberFormat="1" applyBorder="1" applyAlignment="1" applyProtection="1">
      <alignment horizontal="center" vertical="center"/>
      <protection locked="0"/>
    </xf>
    <xf numFmtId="1" fontId="0" fillId="0" borderId="55" xfId="0" applyNumberFormat="1" applyBorder="1" applyAlignment="1" applyProtection="1">
      <alignment horizontal="center" vertical="center"/>
      <protection locked="0"/>
    </xf>
    <xf numFmtId="3" fontId="1" fillId="21" borderId="40" xfId="0" quotePrefix="1" applyNumberFormat="1" applyFont="1" applyFill="1" applyBorder="1" applyAlignment="1" applyProtection="1">
      <alignment horizontal="right" vertical="center" indent="1"/>
      <protection locked="0"/>
    </xf>
    <xf numFmtId="0" fontId="0" fillId="0" borderId="26" xfId="0" applyBorder="1" applyAlignment="1" applyProtection="1">
      <alignment horizontal="right" vertical="center" indent="1"/>
      <protection locked="0"/>
    </xf>
    <xf numFmtId="0" fontId="8" fillId="0" borderId="40" xfId="0" applyFont="1" applyBorder="1" applyAlignment="1">
      <alignment horizontal="center" vertical="center" wrapText="1"/>
    </xf>
    <xf numFmtId="0" fontId="0" fillId="0" borderId="55" xfId="0" applyBorder="1" applyAlignment="1">
      <alignment horizontal="center" vertical="center" wrapText="1"/>
    </xf>
    <xf numFmtId="0" fontId="11" fillId="16" borderId="26" xfId="0" applyFont="1" applyFill="1" applyBorder="1" applyAlignment="1" applyProtection="1">
      <alignment horizontal="center" vertical="center" wrapText="1"/>
      <protection hidden="1"/>
    </xf>
    <xf numFmtId="3" fontId="3" fillId="0" borderId="26" xfId="0" applyNumberFormat="1" applyFont="1" applyBorder="1" applyAlignment="1" applyProtection="1">
      <alignment horizontal="right" vertical="center" indent="1"/>
      <protection locked="0"/>
    </xf>
    <xf numFmtId="183" fontId="1" fillId="21" borderId="26" xfId="0" quotePrefix="1" applyNumberFormat="1" applyFont="1" applyFill="1" applyBorder="1" applyAlignment="1" applyProtection="1">
      <alignment horizontal="center" vertical="center"/>
      <protection locked="0"/>
    </xf>
    <xf numFmtId="183" fontId="3" fillId="0" borderId="55" xfId="0" applyNumberFormat="1" applyFont="1" applyBorder="1" applyAlignment="1" applyProtection="1">
      <alignment horizontal="center" vertical="center"/>
      <protection locked="0"/>
    </xf>
    <xf numFmtId="3" fontId="3" fillId="0" borderId="69" xfId="0" applyNumberFormat="1" applyFont="1" applyBorder="1" applyAlignment="1" applyProtection="1">
      <alignment horizontal="right" vertical="center" indent="1"/>
      <protection locked="0"/>
    </xf>
    <xf numFmtId="183" fontId="1" fillId="21" borderId="50" xfId="0" quotePrefix="1" applyNumberFormat="1" applyFont="1" applyFill="1" applyBorder="1" applyAlignment="1" applyProtection="1">
      <alignment horizontal="center" vertical="center"/>
      <protection locked="0"/>
    </xf>
    <xf numFmtId="183" fontId="3" fillId="0" borderId="50" xfId="0" applyNumberFormat="1" applyFont="1" applyBorder="1" applyAlignment="1" applyProtection="1">
      <alignment horizontal="center" vertical="center"/>
      <protection locked="0"/>
    </xf>
    <xf numFmtId="183" fontId="3" fillId="0" borderId="47" xfId="0" applyNumberFormat="1" applyFont="1" applyBorder="1" applyAlignment="1" applyProtection="1">
      <alignment horizontal="center" vertical="center"/>
      <protection locked="0"/>
    </xf>
    <xf numFmtId="0" fontId="8" fillId="16" borderId="26" xfId="0" applyFont="1" applyFill="1" applyBorder="1" applyAlignment="1" applyProtection="1">
      <alignment horizontal="center" vertical="center" wrapText="1"/>
      <protection hidden="1"/>
    </xf>
    <xf numFmtId="0" fontId="8" fillId="0" borderId="26" xfId="0" applyFont="1" applyBorder="1" applyAlignment="1">
      <alignment horizontal="center" vertical="center" wrapText="1"/>
    </xf>
    <xf numFmtId="0" fontId="8" fillId="0" borderId="55" xfId="0" applyFont="1" applyBorder="1" applyAlignment="1">
      <alignment horizontal="center" vertical="center" wrapText="1"/>
    </xf>
    <xf numFmtId="0" fontId="8" fillId="16" borderId="40" xfId="0" applyFont="1" applyFill="1" applyBorder="1" applyAlignment="1" applyProtection="1">
      <alignment horizontal="center" vertical="center" wrapText="1"/>
      <protection hidden="1"/>
    </xf>
    <xf numFmtId="0" fontId="8" fillId="0" borderId="6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55" xfId="0" applyFont="1" applyBorder="1" applyAlignment="1">
      <alignment horizontal="center" vertical="center" wrapText="1"/>
    </xf>
    <xf numFmtId="0" fontId="3" fillId="16" borderId="0" xfId="0" applyFont="1" applyFill="1" applyAlignment="1" applyProtection="1">
      <alignment vertical="center" wrapText="1"/>
      <protection hidden="1"/>
    </xf>
    <xf numFmtId="183" fontId="10" fillId="21" borderId="90" xfId="0" quotePrefix="1" applyNumberFormat="1" applyFont="1" applyFill="1" applyBorder="1" applyAlignment="1" applyProtection="1">
      <alignment horizontal="center" vertical="center"/>
      <protection locked="0"/>
    </xf>
    <xf numFmtId="183" fontId="0" fillId="0" borderId="90" xfId="0" applyNumberFormat="1" applyBorder="1" applyAlignment="1" applyProtection="1">
      <alignment horizontal="center" vertical="center"/>
      <protection locked="0"/>
    </xf>
    <xf numFmtId="0" fontId="0" fillId="0" borderId="90" xfId="0" applyBorder="1" applyAlignment="1" applyProtection="1">
      <alignment horizontal="center" vertical="center"/>
      <protection locked="0"/>
    </xf>
    <xf numFmtId="0" fontId="1" fillId="21" borderId="120" xfId="0" quotePrefix="1" applyFont="1" applyFill="1" applyBorder="1" applyAlignment="1" applyProtection="1">
      <alignment vertical="center"/>
      <protection locked="0"/>
    </xf>
    <xf numFmtId="0" fontId="1" fillId="0" borderId="120" xfId="0" applyFont="1" applyBorder="1" applyAlignment="1">
      <alignment vertical="center"/>
    </xf>
    <xf numFmtId="0" fontId="1" fillId="21" borderId="1" xfId="0" quotePrefix="1" applyFont="1" applyFill="1" applyBorder="1" applyAlignment="1" applyProtection="1">
      <alignment vertical="center"/>
      <protection locked="0"/>
    </xf>
    <xf numFmtId="0" fontId="1" fillId="0" borderId="1" xfId="0" applyFont="1" applyBorder="1" applyAlignment="1">
      <alignment vertical="center"/>
    </xf>
    <xf numFmtId="0" fontId="1" fillId="21" borderId="90" xfId="0" quotePrefix="1" applyFont="1" applyFill="1" applyBorder="1" applyAlignment="1" applyProtection="1">
      <alignment vertical="center"/>
      <protection locked="0"/>
    </xf>
    <xf numFmtId="0" fontId="1" fillId="0" borderId="90" xfId="0" applyFont="1" applyBorder="1" applyAlignment="1">
      <alignment vertical="center"/>
    </xf>
    <xf numFmtId="0" fontId="53" fillId="16" borderId="5" xfId="0" applyFont="1" applyFill="1" applyBorder="1" applyAlignment="1" applyProtection="1">
      <alignment horizontal="right"/>
      <protection hidden="1"/>
    </xf>
    <xf numFmtId="0" fontId="53" fillId="0" borderId="5" xfId="0" applyFont="1" applyBorder="1" applyAlignment="1" applyProtection="1">
      <alignment horizontal="right"/>
      <protection hidden="1"/>
    </xf>
    <xf numFmtId="0" fontId="10" fillId="29" borderId="0" xfId="0" quotePrefix="1" applyFont="1" applyFill="1" applyAlignment="1" applyProtection="1">
      <alignment vertical="center"/>
      <protection hidden="1"/>
    </xf>
    <xf numFmtId="0" fontId="0" fillId="26" borderId="0" xfId="0" applyFill="1" applyAlignment="1" applyProtection="1">
      <alignment vertical="center"/>
      <protection hidden="1"/>
    </xf>
    <xf numFmtId="0" fontId="0" fillId="0" borderId="1" xfId="0" applyBorder="1" applyAlignment="1" applyProtection="1">
      <alignment vertical="center"/>
      <protection hidden="1"/>
    </xf>
    <xf numFmtId="166" fontId="10" fillId="29" borderId="3" xfId="0" quotePrefix="1" applyNumberFormat="1" applyFont="1" applyFill="1" applyBorder="1" applyAlignment="1" applyProtection="1">
      <alignment horizontal="center" vertical="center"/>
      <protection hidden="1"/>
    </xf>
    <xf numFmtId="0" fontId="103" fillId="16" borderId="0" xfId="0" quotePrefix="1" applyFont="1" applyFill="1" applyProtection="1">
      <protection hidden="1"/>
    </xf>
    <xf numFmtId="0" fontId="0" fillId="0" borderId="0" xfId="0" applyProtection="1">
      <protection hidden="1"/>
    </xf>
    <xf numFmtId="0" fontId="96" fillId="16" borderId="6" xfId="0" applyFont="1" applyFill="1" applyBorder="1" applyAlignment="1" applyProtection="1">
      <alignment horizontal="center"/>
      <protection hidden="1"/>
    </xf>
    <xf numFmtId="0" fontId="0" fillId="0" borderId="6" xfId="0" applyBorder="1" applyAlignment="1" applyProtection="1">
      <alignment horizontal="center"/>
      <protection hidden="1"/>
    </xf>
    <xf numFmtId="0" fontId="3" fillId="16" borderId="27"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6" borderId="0" xfId="0" applyFill="1" applyAlignment="1" applyProtection="1">
      <alignment horizontal="right"/>
      <protection hidden="1"/>
    </xf>
    <xf numFmtId="0" fontId="185" fillId="16" borderId="85" xfId="0" applyFont="1" applyFill="1" applyBorder="1" applyAlignment="1" applyProtection="1">
      <alignment horizontal="center" vertical="center"/>
      <protection hidden="1"/>
    </xf>
    <xf numFmtId="0" fontId="186" fillId="0" borderId="9" xfId="0" applyFont="1" applyBorder="1" applyAlignment="1" applyProtection="1">
      <alignment horizontal="center" vertical="center"/>
      <protection hidden="1"/>
    </xf>
    <xf numFmtId="0" fontId="186" fillId="0" borderId="6" xfId="0" applyFont="1" applyBorder="1" applyAlignment="1" applyProtection="1">
      <alignment horizontal="center" vertical="center"/>
      <protection hidden="1"/>
    </xf>
    <xf numFmtId="0" fontId="186" fillId="0" borderId="0" xfId="0" applyFont="1" applyAlignment="1" applyProtection="1">
      <alignment horizontal="center" vertical="center"/>
      <protection hidden="1"/>
    </xf>
    <xf numFmtId="0" fontId="1" fillId="16" borderId="6" xfId="0" applyFont="1" applyFill="1" applyBorder="1" applyAlignment="1" applyProtection="1">
      <alignment horizontal="center" vertical="top"/>
      <protection hidden="1"/>
    </xf>
    <xf numFmtId="0" fontId="1" fillId="0" borderId="0" xfId="0" applyFont="1" applyAlignment="1" applyProtection="1">
      <alignment horizontal="center" vertical="top"/>
      <protection hidden="1"/>
    </xf>
    <xf numFmtId="0" fontId="1" fillId="0" borderId="21" xfId="0" applyFont="1" applyBorder="1" applyAlignment="1" applyProtection="1">
      <alignment horizontal="center" vertical="top"/>
      <protection hidden="1"/>
    </xf>
    <xf numFmtId="0" fontId="53" fillId="16" borderId="0" xfId="0" applyFont="1" applyFill="1" applyAlignment="1" applyProtection="1">
      <alignment horizontal="right"/>
      <protection hidden="1"/>
    </xf>
    <xf numFmtId="0" fontId="53" fillId="0" borderId="0" xfId="0" applyFont="1" applyAlignment="1" applyProtection="1">
      <alignment horizontal="right"/>
      <protection hidden="1"/>
    </xf>
    <xf numFmtId="0" fontId="49" fillId="16" borderId="0" xfId="0" applyFont="1" applyFill="1" applyAlignment="1" applyProtection="1">
      <alignment horizontal="left"/>
      <protection hidden="1"/>
    </xf>
    <xf numFmtId="0" fontId="49" fillId="16" borderId="5" xfId="0" applyFont="1" applyFill="1" applyBorder="1" applyAlignment="1" applyProtection="1">
      <alignment horizontal="left"/>
      <protection hidden="1"/>
    </xf>
    <xf numFmtId="0" fontId="6" fillId="16" borderId="22" xfId="0" applyFont="1" applyFill="1" applyBorder="1" applyAlignment="1" applyProtection="1">
      <alignment horizontal="center"/>
      <protection hidden="1"/>
    </xf>
    <xf numFmtId="0" fontId="6" fillId="0" borderId="5" xfId="0" applyFont="1" applyBorder="1" applyAlignment="1" applyProtection="1">
      <alignment horizontal="center"/>
      <protection hidden="1"/>
    </xf>
    <xf numFmtId="0" fontId="6" fillId="0" borderId="23" xfId="0" applyFont="1" applyBorder="1" applyAlignment="1" applyProtection="1">
      <alignment horizontal="center"/>
      <protection hidden="1"/>
    </xf>
    <xf numFmtId="0" fontId="10" fillId="21" borderId="1" xfId="0" quotePrefix="1" applyFont="1" applyFill="1" applyBorder="1" applyAlignment="1" applyProtection="1">
      <alignment vertical="center"/>
      <protection locked="0"/>
    </xf>
    <xf numFmtId="0" fontId="3" fillId="17" borderId="1" xfId="0" applyFont="1" applyFill="1" applyBorder="1" applyAlignment="1" applyProtection="1">
      <alignment vertical="center"/>
      <protection locked="0"/>
    </xf>
    <xf numFmtId="0" fontId="3" fillId="17" borderId="12" xfId="0" applyFont="1" applyFill="1" applyBorder="1" applyAlignment="1" applyProtection="1">
      <alignment vertical="center"/>
      <protection locked="0"/>
    </xf>
    <xf numFmtId="0" fontId="10" fillId="21" borderId="10" xfId="0" quotePrefix="1" applyFont="1" applyFill="1" applyBorder="1" applyAlignment="1" applyProtection="1">
      <alignment vertical="center"/>
      <protection locked="0"/>
    </xf>
    <xf numFmtId="0" fontId="3" fillId="17" borderId="90" xfId="0" applyFont="1" applyFill="1" applyBorder="1" applyAlignment="1" applyProtection="1">
      <alignment vertical="center"/>
      <protection locked="0"/>
    </xf>
    <xf numFmtId="0" fontId="3" fillId="17" borderId="9" xfId="0" applyFont="1" applyFill="1" applyBorder="1" applyAlignment="1" applyProtection="1">
      <alignment vertical="center"/>
      <protection locked="0"/>
    </xf>
    <xf numFmtId="0" fontId="3" fillId="0" borderId="9" xfId="0" applyFont="1" applyBorder="1"/>
    <xf numFmtId="0" fontId="3" fillId="0" borderId="120" xfId="0" applyFont="1" applyBorder="1" applyAlignment="1">
      <alignment vertical="center"/>
    </xf>
    <xf numFmtId="183" fontId="1" fillId="21" borderId="90" xfId="0" quotePrefix="1" applyNumberFormat="1" applyFont="1" applyFill="1" applyBorder="1" applyAlignment="1" applyProtection="1">
      <alignment horizontal="center" vertical="center"/>
      <protection locked="0"/>
    </xf>
    <xf numFmtId="183" fontId="3" fillId="0" borderId="90" xfId="0" applyNumberFormat="1" applyFont="1" applyBorder="1" applyAlignment="1">
      <alignment horizontal="center" vertical="center"/>
    </xf>
    <xf numFmtId="0" fontId="0" fillId="0" borderId="90" xfId="0" applyBorder="1" applyAlignment="1">
      <alignment horizontal="center" vertical="center"/>
    </xf>
    <xf numFmtId="0" fontId="147" fillId="25" borderId="22" xfId="0" applyFont="1" applyFill="1" applyBorder="1" applyAlignment="1" applyProtection="1">
      <alignment horizontal="center"/>
      <protection hidden="1"/>
    </xf>
    <xf numFmtId="0" fontId="147" fillId="25" borderId="5" xfId="0" applyFont="1" applyFill="1" applyBorder="1" applyAlignment="1" applyProtection="1">
      <alignment horizontal="center"/>
      <protection hidden="1"/>
    </xf>
    <xf numFmtId="0" fontId="147" fillId="25" borderId="23" xfId="0" applyFont="1" applyFill="1" applyBorder="1" applyAlignment="1" applyProtection="1">
      <alignment horizontal="center"/>
      <protection hidden="1"/>
    </xf>
    <xf numFmtId="0" fontId="3" fillId="25" borderId="0" xfId="0" applyFont="1" applyFill="1" applyAlignment="1" applyProtection="1">
      <alignment vertical="center"/>
      <protection hidden="1"/>
    </xf>
    <xf numFmtId="0" fontId="3" fillId="25" borderId="0" xfId="0" applyFont="1" applyFill="1"/>
    <xf numFmtId="0" fontId="132" fillId="3" borderId="0" xfId="0" applyFont="1" applyFill="1" applyAlignment="1" applyProtection="1">
      <alignment horizontal="left"/>
      <protection hidden="1"/>
    </xf>
    <xf numFmtId="0" fontId="162" fillId="0" borderId="21" xfId="0" applyFont="1" applyBorder="1" applyAlignment="1">
      <alignment horizontal="left"/>
    </xf>
    <xf numFmtId="0" fontId="162" fillId="0" borderId="0" xfId="0" applyFont="1"/>
    <xf numFmtId="0" fontId="162" fillId="0" borderId="21" xfId="0" applyFont="1" applyBorder="1"/>
    <xf numFmtId="0" fontId="10" fillId="29" borderId="1" xfId="0" quotePrefix="1" applyFont="1" applyFill="1" applyBorder="1" applyProtection="1">
      <protection hidden="1"/>
    </xf>
    <xf numFmtId="0" fontId="0" fillId="26" borderId="1" xfId="0" applyFill="1" applyBorder="1" applyProtection="1">
      <protection hidden="1"/>
    </xf>
    <xf numFmtId="0" fontId="0" fillId="26" borderId="12" xfId="0" applyFill="1" applyBorder="1" applyProtection="1">
      <protection hidden="1"/>
    </xf>
    <xf numFmtId="0" fontId="3" fillId="25" borderId="6" xfId="0" applyFont="1" applyFill="1" applyBorder="1" applyAlignment="1" applyProtection="1">
      <alignment horizontal="left"/>
      <protection hidden="1"/>
    </xf>
    <xf numFmtId="0" fontId="3" fillId="25" borderId="0" xfId="0" applyFont="1" applyFill="1" applyAlignment="1" applyProtection="1">
      <alignment horizontal="left"/>
      <protection hidden="1"/>
    </xf>
    <xf numFmtId="0" fontId="3" fillId="25" borderId="21" xfId="0" applyFont="1" applyFill="1" applyBorder="1" applyAlignment="1" applyProtection="1">
      <alignment horizontal="left"/>
      <protection hidden="1"/>
    </xf>
    <xf numFmtId="0" fontId="3" fillId="25" borderId="6" xfId="0" applyFont="1" applyFill="1" applyBorder="1" applyAlignment="1" applyProtection="1">
      <alignment horizontal="left" vertical="top"/>
      <protection hidden="1"/>
    </xf>
    <xf numFmtId="0" fontId="3" fillId="25" borderId="0" xfId="0" applyFont="1" applyFill="1" applyAlignment="1" applyProtection="1">
      <alignment horizontal="left" vertical="top"/>
      <protection hidden="1"/>
    </xf>
    <xf numFmtId="0" fontId="3" fillId="25" borderId="21" xfId="0" applyFont="1" applyFill="1" applyBorder="1" applyAlignment="1" applyProtection="1">
      <alignment horizontal="left" vertical="top"/>
      <protection hidden="1"/>
    </xf>
    <xf numFmtId="0" fontId="0" fillId="0" borderId="0" xfId="0" applyAlignment="1" applyProtection="1">
      <alignment horizontal="left" vertical="top" wrapText="1"/>
      <protection hidden="1"/>
    </xf>
    <xf numFmtId="0" fontId="0" fillId="0" borderId="21"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1" fillId="25" borderId="24"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22" xfId="0" applyBorder="1" applyAlignment="1">
      <alignment horizontal="left" vertical="center" wrapText="1"/>
    </xf>
    <xf numFmtId="0" fontId="150" fillId="25" borderId="8" xfId="0" applyFont="1" applyFill="1" applyBorder="1" applyAlignment="1">
      <alignment horizontal="center" vertical="center" wrapText="1"/>
    </xf>
    <xf numFmtId="0" fontId="137" fillId="25" borderId="0" xfId="0" applyFont="1" applyFill="1" applyAlignment="1">
      <alignment horizontal="center" vertical="center" wrapText="1"/>
    </xf>
    <xf numFmtId="0" fontId="137" fillId="0" borderId="0" xfId="0" applyFont="1" applyAlignment="1">
      <alignment horizontal="center" wrapText="1"/>
    </xf>
    <xf numFmtId="0" fontId="137" fillId="0" borderId="5" xfId="0" applyFont="1" applyBorder="1" applyAlignment="1">
      <alignment horizontal="center" wrapText="1"/>
    </xf>
    <xf numFmtId="37" fontId="204" fillId="3" borderId="9" xfId="0" applyNumberFormat="1" applyFont="1" applyFill="1" applyBorder="1" applyAlignment="1" applyProtection="1">
      <alignment horizontal="left" vertical="top" wrapText="1"/>
      <protection hidden="1"/>
    </xf>
    <xf numFmtId="37" fontId="204" fillId="3" borderId="0" xfId="0" applyNumberFormat="1" applyFont="1" applyFill="1" applyAlignment="1" applyProtection="1">
      <alignment horizontal="left" vertical="top" wrapText="1"/>
      <protection hidden="1"/>
    </xf>
    <xf numFmtId="0" fontId="75" fillId="11" borderId="62" xfId="2" applyFill="1" applyBorder="1" applyAlignment="1" applyProtection="1">
      <alignment horizontal="center"/>
      <protection hidden="1"/>
    </xf>
    <xf numFmtId="0" fontId="75" fillId="11" borderId="63" xfId="2" applyFill="1" applyBorder="1" applyAlignment="1" applyProtection="1">
      <alignment horizontal="center"/>
      <protection hidden="1"/>
    </xf>
    <xf numFmtId="0" fontId="75" fillId="11" borderId="64" xfId="2" applyFill="1" applyBorder="1" applyAlignment="1" applyProtection="1">
      <alignment horizontal="center"/>
      <protection hidden="1"/>
    </xf>
    <xf numFmtId="4" fontId="8" fillId="3" borderId="22" xfId="0" applyNumberFormat="1" applyFont="1" applyFill="1" applyBorder="1" applyAlignment="1" applyProtection="1">
      <alignment horizontal="left" vertical="center" indent="2"/>
      <protection hidden="1"/>
    </xf>
    <xf numFmtId="0" fontId="0" fillId="0" borderId="5" xfId="0" applyBorder="1" applyAlignment="1" applyProtection="1">
      <alignment horizontal="left" vertical="center" indent="2"/>
      <protection hidden="1"/>
    </xf>
    <xf numFmtId="4" fontId="17" fillId="3" borderId="27" xfId="0" applyNumberFormat="1" applyFont="1" applyFill="1" applyBorder="1" applyAlignment="1" applyProtection="1">
      <alignment horizontal="center"/>
      <protection hidden="1"/>
    </xf>
    <xf numFmtId="0" fontId="104" fillId="0" borderId="9" xfId="0" applyFont="1" applyBorder="1" applyAlignment="1" applyProtection="1">
      <alignment horizontal="center"/>
      <protection hidden="1"/>
    </xf>
    <xf numFmtId="0" fontId="104" fillId="0" borderId="6" xfId="0" applyFont="1" applyBorder="1" applyAlignment="1" applyProtection="1">
      <alignment horizontal="center"/>
      <protection hidden="1"/>
    </xf>
    <xf numFmtId="0" fontId="104" fillId="0" borderId="0" xfId="0" applyFont="1" applyAlignment="1" applyProtection="1">
      <alignment horizontal="center"/>
      <protection hidden="1"/>
    </xf>
    <xf numFmtId="0" fontId="16" fillId="3" borderId="26" xfId="0" applyFont="1" applyFill="1" applyBorder="1" applyProtection="1">
      <protection hidden="1"/>
    </xf>
    <xf numFmtId="0" fontId="53" fillId="0" borderId="26" xfId="0" applyFont="1" applyBorder="1" applyProtection="1">
      <protection hidden="1"/>
    </xf>
    <xf numFmtId="0" fontId="8" fillId="3" borderId="6" xfId="0" applyFont="1" applyFill="1" applyBorder="1" applyAlignment="1" applyProtection="1">
      <alignment horizontal="left" indent="2"/>
      <protection hidden="1"/>
    </xf>
    <xf numFmtId="0" fontId="0" fillId="0" borderId="0" xfId="0" applyAlignment="1">
      <alignment horizontal="left" indent="2"/>
    </xf>
    <xf numFmtId="0" fontId="6" fillId="3" borderId="22" xfId="0" applyFont="1" applyFill="1" applyBorder="1" applyAlignment="1" applyProtection="1">
      <alignment horizontal="center" vertical="center"/>
      <protection hidden="1"/>
    </xf>
    <xf numFmtId="0" fontId="9" fillId="0" borderId="5" xfId="0" applyFont="1" applyBorder="1" applyAlignment="1" applyProtection="1">
      <alignment horizontal="center" vertical="center"/>
      <protection hidden="1"/>
    </xf>
    <xf numFmtId="0" fontId="9" fillId="0" borderId="23" xfId="0" applyFont="1" applyBorder="1" applyAlignment="1" applyProtection="1">
      <alignment horizontal="center" vertical="center"/>
      <protection hidden="1"/>
    </xf>
    <xf numFmtId="0" fontId="9" fillId="0" borderId="0" xfId="0" applyFont="1" applyAlignment="1" applyProtection="1">
      <alignment horizontal="center" vertical="top"/>
      <protection hidden="1"/>
    </xf>
    <xf numFmtId="0" fontId="9" fillId="0" borderId="21" xfId="0" applyFont="1" applyBorder="1" applyAlignment="1" applyProtection="1">
      <alignment horizontal="center" vertical="top"/>
      <protection hidden="1"/>
    </xf>
    <xf numFmtId="0" fontId="21" fillId="3" borderId="0" xfId="0" applyFont="1" applyFill="1" applyAlignment="1" applyProtection="1">
      <alignment horizontal="center"/>
      <protection hidden="1"/>
    </xf>
    <xf numFmtId="0" fontId="53" fillId="3" borderId="0" xfId="0" applyFont="1" applyFill="1" applyAlignment="1" applyProtection="1">
      <alignment horizontal="center"/>
      <protection hidden="1"/>
    </xf>
    <xf numFmtId="0" fontId="53" fillId="0" borderId="0" xfId="0" applyFont="1" applyAlignment="1" applyProtection="1">
      <alignment horizontal="center"/>
      <protection hidden="1"/>
    </xf>
    <xf numFmtId="0" fontId="53" fillId="0" borderId="21" xfId="0" applyFont="1" applyBorder="1" applyAlignment="1" applyProtection="1">
      <alignment horizontal="center"/>
      <protection hidden="1"/>
    </xf>
    <xf numFmtId="0" fontId="14" fillId="26" borderId="1" xfId="0" applyFont="1" applyFill="1" applyBorder="1" applyProtection="1">
      <protection hidden="1"/>
    </xf>
    <xf numFmtId="0" fontId="10" fillId="3" borderId="26" xfId="0" applyFont="1" applyFill="1" applyBorder="1" applyAlignment="1" applyProtection="1">
      <alignment vertical="center"/>
      <protection hidden="1"/>
    </xf>
    <xf numFmtId="0" fontId="13" fillId="3" borderId="26" xfId="0" applyFont="1" applyFill="1" applyBorder="1" applyAlignment="1" applyProtection="1">
      <alignment vertical="center"/>
      <protection hidden="1"/>
    </xf>
    <xf numFmtId="0" fontId="14" fillId="0" borderId="26"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168" fontId="1" fillId="17" borderId="40" xfId="0" applyNumberFormat="1" applyFont="1" applyFill="1" applyBorder="1" applyAlignment="1" applyProtection="1">
      <alignment horizontal="center" vertical="center" wrapText="1"/>
      <protection locked="0"/>
    </xf>
    <xf numFmtId="168" fontId="0" fillId="0" borderId="26" xfId="0" applyNumberFormat="1" applyBorder="1" applyAlignment="1" applyProtection="1">
      <alignment wrapText="1"/>
      <protection locked="0"/>
    </xf>
    <xf numFmtId="168" fontId="0" fillId="0" borderId="55" xfId="0" applyNumberFormat="1" applyBorder="1" applyAlignment="1" applyProtection="1">
      <alignment wrapText="1"/>
      <protection locked="0"/>
    </xf>
    <xf numFmtId="168" fontId="1" fillId="17" borderId="26" xfId="0" applyNumberFormat="1" applyFont="1" applyFill="1" applyBorder="1" applyAlignment="1" applyProtection="1">
      <alignment horizontal="center" vertical="center" wrapText="1"/>
      <protection locked="0"/>
    </xf>
    <xf numFmtId="168" fontId="3" fillId="0" borderId="26" xfId="0" applyNumberFormat="1" applyFont="1" applyBorder="1" applyAlignment="1" applyProtection="1">
      <alignment horizontal="center" vertical="center" wrapText="1"/>
      <protection locked="0"/>
    </xf>
    <xf numFmtId="168" fontId="3" fillId="0" borderId="26" xfId="0" applyNumberFormat="1" applyFont="1" applyBorder="1" applyAlignment="1" applyProtection="1">
      <alignment wrapText="1"/>
      <protection locked="0"/>
    </xf>
    <xf numFmtId="168" fontId="3" fillId="0" borderId="55" xfId="0" applyNumberFormat="1" applyFont="1" applyBorder="1" applyAlignment="1" applyProtection="1">
      <alignment wrapText="1"/>
      <protection locked="0"/>
    </xf>
    <xf numFmtId="0" fontId="49" fillId="17" borderId="1" xfId="0" applyFont="1" applyFill="1" applyBorder="1" applyAlignment="1" applyProtection="1">
      <alignment wrapText="1"/>
      <protection locked="0"/>
    </xf>
    <xf numFmtId="0" fontId="0" fillId="0" borderId="1" xfId="0" applyBorder="1" applyAlignment="1" applyProtection="1">
      <alignment wrapText="1"/>
      <protection locked="0"/>
    </xf>
    <xf numFmtId="49" fontId="6" fillId="17" borderId="0" xfId="0" applyNumberFormat="1" applyFont="1" applyFill="1" applyAlignment="1" applyProtection="1">
      <alignment horizontal="center" wrapText="1"/>
      <protection locked="0"/>
    </xf>
    <xf numFmtId="0" fontId="0" fillId="0" borderId="0" xfId="0" applyAlignment="1" applyProtection="1">
      <alignment wrapText="1"/>
      <protection locked="0"/>
    </xf>
    <xf numFmtId="49" fontId="6" fillId="17" borderId="1" xfId="0" applyNumberFormat="1" applyFont="1" applyFill="1" applyBorder="1" applyAlignment="1" applyProtection="1">
      <alignment horizontal="left" wrapText="1"/>
      <protection locked="0"/>
    </xf>
    <xf numFmtId="49" fontId="6" fillId="17" borderId="12" xfId="0" applyNumberFormat="1" applyFont="1" applyFill="1" applyBorder="1" applyAlignment="1" applyProtection="1">
      <alignment horizontal="left" wrapText="1"/>
      <protection locked="0"/>
    </xf>
    <xf numFmtId="49" fontId="6" fillId="17" borderId="10" xfId="0" applyNumberFormat="1" applyFont="1" applyFill="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2" xfId="0" applyNumberFormat="1" applyBorder="1" applyAlignment="1" applyProtection="1">
      <alignment wrapText="1"/>
      <protection locked="0"/>
    </xf>
    <xf numFmtId="14" fontId="6" fillId="17" borderId="10" xfId="0" applyNumberFormat="1" applyFont="1" applyFill="1" applyBorder="1" applyAlignment="1" applyProtection="1">
      <alignment horizontal="center" wrapText="1"/>
      <protection locked="0"/>
    </xf>
    <xf numFmtId="14" fontId="0" fillId="17" borderId="1" xfId="0" applyNumberFormat="1" applyFill="1" applyBorder="1" applyAlignment="1" applyProtection="1">
      <alignment horizontal="center" wrapText="1"/>
      <protection locked="0"/>
    </xf>
    <xf numFmtId="0" fontId="11" fillId="17" borderId="1" xfId="0" applyFont="1" applyFill="1" applyBorder="1" applyAlignment="1" applyProtection="1">
      <alignment wrapText="1"/>
      <protection locked="0"/>
    </xf>
    <xf numFmtId="49" fontId="6" fillId="17" borderId="1" xfId="0" applyNumberFormat="1" applyFont="1" applyFill="1" applyBorder="1" applyAlignment="1" applyProtection="1">
      <alignment wrapText="1"/>
      <protection locked="0"/>
    </xf>
    <xf numFmtId="49" fontId="6" fillId="17" borderId="12" xfId="0" applyNumberFormat="1" applyFont="1" applyFill="1" applyBorder="1" applyAlignment="1" applyProtection="1">
      <alignment wrapText="1"/>
      <protection locked="0"/>
    </xf>
    <xf numFmtId="49" fontId="21" fillId="17" borderId="10" xfId="0" applyNumberFormat="1" applyFont="1" applyFill="1" applyBorder="1" applyAlignment="1" applyProtection="1">
      <alignment horizontal="center" vertical="center"/>
      <protection locked="0"/>
    </xf>
    <xf numFmtId="49" fontId="21" fillId="17" borderId="1" xfId="0" applyNumberFormat="1" applyFont="1" applyFill="1" applyBorder="1" applyAlignment="1" applyProtection="1">
      <alignment horizontal="center" vertical="center"/>
      <protection locked="0"/>
    </xf>
    <xf numFmtId="0" fontId="49" fillId="17" borderId="1" xfId="0" applyFont="1" applyFill="1" applyBorder="1" applyProtection="1">
      <protection locked="0"/>
    </xf>
    <xf numFmtId="0" fontId="0" fillId="0" borderId="1" xfId="0" applyBorder="1" applyProtection="1">
      <protection locked="0"/>
    </xf>
    <xf numFmtId="0" fontId="0" fillId="0" borderId="12" xfId="0" applyBorder="1" applyProtection="1">
      <protection locked="0"/>
    </xf>
    <xf numFmtId="0" fontId="8" fillId="16" borderId="0" xfId="0" applyFont="1" applyFill="1" applyAlignment="1" applyProtection="1">
      <alignment horizontal="left" wrapText="1" indent="1"/>
      <protection hidden="1"/>
    </xf>
    <xf numFmtId="0" fontId="8" fillId="0" borderId="0" xfId="0" applyFont="1" applyAlignment="1">
      <alignment horizontal="left" wrapText="1" indent="1"/>
    </xf>
    <xf numFmtId="0" fontId="16" fillId="16" borderId="1" xfId="0" applyFont="1" applyFill="1" applyBorder="1" applyAlignment="1" applyProtection="1">
      <alignment horizontal="center" wrapText="1"/>
      <protection hidden="1"/>
    </xf>
    <xf numFmtId="0" fontId="16" fillId="0" borderId="1" xfId="0" applyFont="1" applyBorder="1" applyAlignment="1">
      <alignment horizontal="center" wrapText="1"/>
    </xf>
    <xf numFmtId="14" fontId="1" fillId="17" borderId="1" xfId="0" applyNumberFormat="1" applyFont="1"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16" fillId="16" borderId="0" xfId="0" applyFont="1" applyFill="1" applyAlignment="1" applyProtection="1">
      <alignment horizontal="left" wrapText="1"/>
      <protection hidden="1"/>
    </xf>
    <xf numFmtId="0" fontId="1" fillId="17" borderId="0" xfId="0" applyFont="1" applyFill="1" applyAlignment="1" applyProtection="1">
      <alignment horizontal="center" vertical="center" wrapText="1"/>
      <protection locked="0"/>
    </xf>
    <xf numFmtId="0" fontId="1" fillId="17" borderId="1" xfId="0" applyFont="1" applyFill="1" applyBorder="1" applyAlignment="1" applyProtection="1">
      <alignment horizontal="center" vertical="center" wrapText="1"/>
      <protection locked="0"/>
    </xf>
    <xf numFmtId="0" fontId="152" fillId="32" borderId="9" xfId="0" applyFont="1" applyFill="1" applyBorder="1" applyAlignment="1" applyProtection="1">
      <alignment horizontal="center"/>
      <protection hidden="1"/>
    </xf>
    <xf numFmtId="0" fontId="138" fillId="32" borderId="9" xfId="0" applyFont="1" applyFill="1" applyBorder="1" applyAlignment="1" applyProtection="1">
      <alignment horizontal="center"/>
      <protection hidden="1"/>
    </xf>
    <xf numFmtId="0" fontId="1" fillId="17" borderId="1" xfId="0" applyFont="1" applyFill="1" applyBorder="1" applyAlignment="1" applyProtection="1">
      <alignment horizontal="center" wrapText="1"/>
      <protection locked="0"/>
    </xf>
    <xf numFmtId="14" fontId="1" fillId="17" borderId="0" xfId="0" applyNumberFormat="1" applyFont="1" applyFill="1" applyAlignment="1" applyProtection="1">
      <alignment horizontal="center" wrapText="1"/>
      <protection locked="0"/>
    </xf>
    <xf numFmtId="14" fontId="8" fillId="17" borderId="40" xfId="0" applyNumberFormat="1" applyFont="1" applyFill="1" applyBorder="1" applyAlignment="1" applyProtection="1">
      <alignment horizontal="center" vertical="center" wrapText="1"/>
      <protection locked="0"/>
    </xf>
    <xf numFmtId="14" fontId="8" fillId="17" borderId="26" xfId="0" applyNumberFormat="1" applyFont="1" applyFill="1" applyBorder="1" applyAlignment="1" applyProtection="1">
      <alignment horizontal="center" vertical="center" wrapText="1"/>
      <protection locked="0"/>
    </xf>
    <xf numFmtId="0" fontId="8" fillId="0" borderId="26" xfId="0" applyFont="1" applyBorder="1" applyAlignment="1" applyProtection="1">
      <alignment horizontal="center" vertical="center" wrapText="1"/>
      <protection locked="0"/>
    </xf>
    <xf numFmtId="0" fontId="8" fillId="0" borderId="26" xfId="0" applyFont="1" applyBorder="1" applyAlignment="1" applyProtection="1">
      <alignment wrapText="1"/>
      <protection locked="0"/>
    </xf>
    <xf numFmtId="0" fontId="8" fillId="0" borderId="55" xfId="0" applyFont="1" applyBorder="1" applyAlignment="1" applyProtection="1">
      <alignment wrapText="1"/>
      <protection locked="0"/>
    </xf>
    <xf numFmtId="0" fontId="8" fillId="16" borderId="40" xfId="0" applyFont="1" applyFill="1" applyBorder="1" applyAlignment="1" applyProtection="1">
      <alignment horizontal="center" vertical="center"/>
      <protection hidden="1"/>
    </xf>
    <xf numFmtId="0" fontId="8" fillId="0" borderId="26" xfId="0" applyFont="1" applyBorder="1" applyAlignment="1">
      <alignment horizontal="center" vertical="center"/>
    </xf>
    <xf numFmtId="14" fontId="11" fillId="17" borderId="40" xfId="0" applyNumberFormat="1" applyFont="1" applyFill="1" applyBorder="1" applyAlignment="1" applyProtection="1">
      <alignment horizontal="center" vertical="center" wrapText="1"/>
      <protection locked="0"/>
    </xf>
    <xf numFmtId="0" fontId="11" fillId="0" borderId="26" xfId="0" applyFont="1" applyBorder="1" applyAlignment="1" applyProtection="1">
      <alignment horizontal="center" vertical="center" wrapText="1"/>
      <protection locked="0"/>
    </xf>
    <xf numFmtId="0" fontId="1" fillId="0" borderId="55" xfId="0" applyFont="1" applyBorder="1" applyAlignment="1" applyProtection="1">
      <alignment horizontal="center" vertical="center" wrapText="1"/>
      <protection locked="0"/>
    </xf>
    <xf numFmtId="0" fontId="6" fillId="16" borderId="31" xfId="0" applyFont="1" applyFill="1" applyBorder="1" applyAlignment="1">
      <alignment horizontal="center" vertical="center" wrapText="1"/>
    </xf>
    <xf numFmtId="0" fontId="5" fillId="0" borderId="31" xfId="0" applyFont="1" applyBorder="1" applyAlignment="1">
      <alignment horizontal="center" vertical="center" wrapText="1"/>
    </xf>
    <xf numFmtId="0" fontId="0" fillId="0" borderId="15"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2" xfId="0" applyBorder="1" applyAlignment="1">
      <alignment vertical="center" wrapText="1"/>
    </xf>
    <xf numFmtId="0" fontId="0" fillId="0" borderId="10" xfId="0" applyBorder="1" applyAlignment="1">
      <alignment wrapText="1"/>
    </xf>
    <xf numFmtId="0" fontId="8" fillId="16" borderId="40" xfId="0" applyFont="1" applyFill="1" applyBorder="1" applyAlignment="1" applyProtection="1">
      <alignment horizontal="center" wrapText="1"/>
      <protection hidden="1"/>
    </xf>
    <xf numFmtId="0" fontId="0" fillId="0" borderId="26" xfId="0" applyBorder="1" applyAlignment="1">
      <alignment horizontal="center" wrapText="1"/>
    </xf>
    <xf numFmtId="0" fontId="0" fillId="0" borderId="55" xfId="0" applyBorder="1" applyAlignment="1">
      <alignment horizontal="center" wrapText="1"/>
    </xf>
    <xf numFmtId="168" fontId="0" fillId="0" borderId="26" xfId="0" applyNumberFormat="1" applyBorder="1" applyAlignment="1" applyProtection="1">
      <alignment horizontal="center" vertical="center" wrapText="1"/>
      <protection locked="0"/>
    </xf>
    <xf numFmtId="0" fontId="6" fillId="17" borderId="40" xfId="0" applyFont="1" applyFill="1" applyBorder="1" applyAlignment="1" applyProtection="1">
      <alignment horizontal="center" vertical="center" wrapText="1"/>
      <protection locked="0"/>
    </xf>
    <xf numFmtId="0" fontId="5" fillId="0" borderId="26" xfId="0" applyFont="1" applyBorder="1" applyAlignment="1" applyProtection="1">
      <alignment horizontal="center" vertical="center" wrapText="1"/>
      <protection locked="0"/>
    </xf>
    <xf numFmtId="0" fontId="5" fillId="0" borderId="55" xfId="0" applyFont="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hidden="1"/>
    </xf>
    <xf numFmtId="0" fontId="0" fillId="16" borderId="9"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Alignment="1" applyProtection="1">
      <alignment horizontal="center" vertical="center" wrapText="1"/>
      <protection hidden="1"/>
    </xf>
    <xf numFmtId="0" fontId="0" fillId="16" borderId="10" xfId="0" applyFill="1" applyBorder="1" applyAlignment="1" applyProtection="1">
      <alignment horizontal="center" vertical="center" wrapText="1"/>
      <protection hidden="1"/>
    </xf>
    <xf numFmtId="0" fontId="0" fillId="16" borderId="1" xfId="0" applyFill="1" applyBorder="1" applyAlignment="1" applyProtection="1">
      <alignment horizontal="center" vertical="center" wrapText="1"/>
      <protection hidden="1"/>
    </xf>
    <xf numFmtId="0" fontId="16" fillId="16" borderId="0" xfId="0" applyFont="1" applyFill="1" applyAlignment="1">
      <alignment horizontal="right" vertical="center" wrapText="1" indent="1"/>
    </xf>
    <xf numFmtId="0" fontId="49" fillId="28" borderId="21" xfId="0" applyFont="1" applyFill="1" applyBorder="1" applyProtection="1">
      <protection hidden="1"/>
    </xf>
    <xf numFmtId="0" fontId="49" fillId="28" borderId="1" xfId="0" applyFont="1" applyFill="1" applyBorder="1" applyProtection="1">
      <protection hidden="1"/>
    </xf>
    <xf numFmtId="0" fontId="49" fillId="28" borderId="30" xfId="0" applyFont="1" applyFill="1" applyBorder="1" applyProtection="1">
      <protection hidden="1"/>
    </xf>
    <xf numFmtId="49" fontId="21" fillId="17" borderId="6" xfId="0" applyNumberFormat="1" applyFont="1" applyFill="1" applyBorder="1" applyAlignment="1" applyProtection="1">
      <alignment horizontal="center" vertical="center"/>
      <protection locked="0"/>
    </xf>
    <xf numFmtId="49" fontId="21" fillId="17" borderId="0" xfId="0" applyNumberFormat="1" applyFont="1" applyFill="1" applyAlignment="1" applyProtection="1">
      <alignment horizontal="center" vertical="center"/>
      <protection locked="0"/>
    </xf>
    <xf numFmtId="49" fontId="21" fillId="17" borderId="27" xfId="0" applyNumberFormat="1" applyFont="1" applyFill="1" applyBorder="1" applyAlignment="1" applyProtection="1">
      <alignment horizontal="center" vertical="center"/>
      <protection locked="0"/>
    </xf>
    <xf numFmtId="0" fontId="0" fillId="16" borderId="27" xfId="0" applyFill="1" applyBorder="1" applyAlignment="1" applyProtection="1">
      <alignment horizontal="center" vertical="center" wrapText="1"/>
      <protection hidden="1"/>
    </xf>
    <xf numFmtId="0" fontId="3" fillId="16" borderId="85" xfId="0" applyFont="1" applyFill="1" applyBorder="1" applyAlignment="1" applyProtection="1">
      <alignment horizontal="left" vertical="center" wrapText="1" indent="2"/>
      <protection hidden="1"/>
    </xf>
    <xf numFmtId="0" fontId="0" fillId="0" borderId="9" xfId="0" applyBorder="1" applyAlignment="1" applyProtection="1">
      <alignment horizontal="left" vertical="center" wrapText="1" indent="2"/>
      <protection hidden="1"/>
    </xf>
    <xf numFmtId="0" fontId="0" fillId="0" borderId="6" xfId="0" applyBorder="1" applyAlignment="1" applyProtection="1">
      <alignment horizontal="left" vertical="center" wrapText="1" indent="2"/>
      <protection hidden="1"/>
    </xf>
    <xf numFmtId="0" fontId="0" fillId="0" borderId="0" xfId="0" applyAlignment="1" applyProtection="1">
      <alignment horizontal="left" vertical="center" wrapText="1" indent="2"/>
      <protection hidden="1"/>
    </xf>
    <xf numFmtId="0" fontId="0" fillId="0" borderId="22" xfId="0" applyBorder="1" applyAlignment="1" applyProtection="1">
      <alignment horizontal="left" vertical="center" wrapText="1" indent="2"/>
      <protection hidden="1"/>
    </xf>
    <xf numFmtId="0" fontId="0" fillId="0" borderId="5" xfId="0" applyBorder="1" applyAlignment="1" applyProtection="1">
      <alignment horizontal="left" vertical="center" wrapText="1" indent="2"/>
      <protection hidden="1"/>
    </xf>
    <xf numFmtId="0" fontId="8" fillId="0" borderId="9" xfId="0" applyFont="1" applyBorder="1" applyAlignment="1" applyProtection="1">
      <alignment horizontal="left" vertical="top" wrapText="1"/>
      <protection hidden="1"/>
    </xf>
    <xf numFmtId="0" fontId="8" fillId="0" borderId="0" xfId="0" applyFont="1" applyAlignment="1" applyProtection="1">
      <alignment horizontal="left" vertical="top" wrapText="1"/>
      <protection hidden="1"/>
    </xf>
    <xf numFmtId="0" fontId="8" fillId="0" borderId="5" xfId="0" applyFont="1" applyBorder="1" applyAlignment="1" applyProtection="1">
      <alignment horizontal="left" vertical="top" wrapText="1"/>
      <protection hidden="1"/>
    </xf>
    <xf numFmtId="0" fontId="11" fillId="17" borderId="31" xfId="0" applyFont="1" applyFill="1" applyBorder="1" applyAlignment="1" applyProtection="1">
      <alignment horizontal="center" vertical="center" wrapText="1"/>
      <protection locked="0"/>
    </xf>
    <xf numFmtId="0" fontId="8" fillId="17" borderId="9" xfId="0" applyFont="1" applyFill="1" applyBorder="1" applyAlignment="1" applyProtection="1">
      <alignment wrapText="1"/>
      <protection locked="0"/>
    </xf>
    <xf numFmtId="0" fontId="8" fillId="17" borderId="15" xfId="0" applyFont="1" applyFill="1" applyBorder="1" applyAlignment="1" applyProtection="1">
      <alignment wrapText="1"/>
      <protection locked="0"/>
    </xf>
    <xf numFmtId="0" fontId="8" fillId="17" borderId="3" xfId="0" applyFont="1" applyFill="1" applyBorder="1" applyAlignment="1" applyProtection="1">
      <alignment wrapText="1"/>
      <protection locked="0"/>
    </xf>
    <xf numFmtId="0" fontId="8" fillId="17" borderId="0" xfId="0" applyFont="1" applyFill="1" applyAlignment="1" applyProtection="1">
      <alignment wrapText="1"/>
      <protection locked="0"/>
    </xf>
    <xf numFmtId="0" fontId="8" fillId="17" borderId="25" xfId="0" applyFont="1" applyFill="1" applyBorder="1" applyAlignment="1" applyProtection="1">
      <alignment wrapText="1"/>
      <protection locked="0"/>
    </xf>
    <xf numFmtId="0" fontId="8" fillId="17" borderId="10" xfId="0" applyFont="1" applyFill="1" applyBorder="1" applyAlignment="1" applyProtection="1">
      <alignment wrapText="1"/>
      <protection locked="0"/>
    </xf>
    <xf numFmtId="0" fontId="8" fillId="17" borderId="1" xfId="0" applyFont="1" applyFill="1" applyBorder="1" applyAlignment="1" applyProtection="1">
      <alignment wrapText="1"/>
      <protection locked="0"/>
    </xf>
    <xf numFmtId="0" fontId="8" fillId="17" borderId="12" xfId="0" applyFont="1" applyFill="1" applyBorder="1" applyAlignment="1" applyProtection="1">
      <alignment wrapText="1"/>
      <protection locked="0"/>
    </xf>
    <xf numFmtId="0" fontId="11" fillId="17" borderId="9" xfId="0" applyFont="1" applyFill="1" applyBorder="1" applyAlignment="1" applyProtection="1">
      <alignment horizontal="center" vertical="center" wrapText="1"/>
      <protection locked="0"/>
    </xf>
    <xf numFmtId="0" fontId="11" fillId="17" borderId="3" xfId="0" applyFont="1" applyFill="1" applyBorder="1" applyAlignment="1" applyProtection="1">
      <alignment horizontal="center" vertical="center" wrapText="1"/>
      <protection locked="0"/>
    </xf>
    <xf numFmtId="0" fontId="11" fillId="17" borderId="0" xfId="0" applyFont="1" applyFill="1" applyAlignment="1" applyProtection="1">
      <alignment horizontal="center" vertical="center" wrapText="1"/>
      <protection locked="0"/>
    </xf>
    <xf numFmtId="0" fontId="11" fillId="17" borderId="10" xfId="0" applyFont="1" applyFill="1" applyBorder="1" applyAlignment="1" applyProtection="1">
      <alignment horizontal="center" vertical="center" wrapText="1"/>
      <protection locked="0"/>
    </xf>
    <xf numFmtId="0" fontId="11" fillId="17" borderId="1" xfId="0" applyFont="1" applyFill="1" applyBorder="1" applyAlignment="1" applyProtection="1">
      <alignment horizontal="center" vertical="center" wrapText="1"/>
      <protection locked="0"/>
    </xf>
    <xf numFmtId="0" fontId="0" fillId="16" borderId="15" xfId="0" applyFill="1" applyBorder="1" applyAlignment="1" applyProtection="1">
      <alignment horizontal="center" vertical="center" wrapText="1"/>
      <protection hidden="1"/>
    </xf>
    <xf numFmtId="0" fontId="0" fillId="16" borderId="25" xfId="0" applyFill="1" applyBorder="1" applyAlignment="1" applyProtection="1">
      <alignment horizontal="center" vertical="center" wrapText="1"/>
      <protection hidden="1"/>
    </xf>
    <xf numFmtId="0" fontId="0" fillId="16" borderId="12" xfId="0" applyFill="1" applyBorder="1" applyAlignment="1" applyProtection="1">
      <alignment horizontal="center" vertical="center" wrapText="1"/>
      <protection hidden="1"/>
    </xf>
    <xf numFmtId="0" fontId="10" fillId="16" borderId="0" xfId="0" applyFont="1" applyFill="1" applyAlignment="1" applyProtection="1">
      <alignment horizontal="center" vertical="center" wrapText="1"/>
      <protection hidden="1"/>
    </xf>
    <xf numFmtId="0" fontId="10" fillId="16" borderId="1" xfId="0" applyFont="1" applyFill="1" applyBorder="1" applyAlignment="1" applyProtection="1">
      <alignment horizontal="center" vertical="center" wrapText="1"/>
      <protection hidden="1"/>
    </xf>
    <xf numFmtId="1" fontId="10" fillId="16" borderId="9" xfId="0" applyNumberFormat="1" applyFont="1" applyFill="1" applyBorder="1" applyAlignment="1" applyProtection="1">
      <alignment horizontal="center" vertical="center" wrapText="1"/>
      <protection hidden="1"/>
    </xf>
    <xf numFmtId="0" fontId="8" fillId="16" borderId="9" xfId="0" applyFont="1" applyFill="1" applyBorder="1" applyAlignment="1" applyProtection="1">
      <alignment horizontal="center" vertical="center" wrapText="1"/>
      <protection hidden="1"/>
    </xf>
    <xf numFmtId="0" fontId="8" fillId="16" borderId="15" xfId="0" applyFont="1" applyFill="1" applyBorder="1" applyAlignment="1" applyProtection="1">
      <alignment horizontal="center" vertical="center" wrapText="1"/>
      <protection hidden="1"/>
    </xf>
    <xf numFmtId="0" fontId="8" fillId="16" borderId="1" xfId="0" applyFont="1" applyFill="1" applyBorder="1" applyAlignment="1" applyProtection="1">
      <alignment horizontal="center" vertical="center" wrapText="1"/>
      <protection hidden="1"/>
    </xf>
    <xf numFmtId="0" fontId="8" fillId="16" borderId="12" xfId="0" applyFont="1" applyFill="1" applyBorder="1" applyAlignment="1" applyProtection="1">
      <alignment horizontal="center" vertical="center" wrapText="1"/>
      <protection hidden="1"/>
    </xf>
    <xf numFmtId="0" fontId="8" fillId="16" borderId="15" xfId="0" applyFont="1" applyFill="1" applyBorder="1" applyAlignment="1">
      <alignment horizontal="center" vertical="center" wrapText="1"/>
    </xf>
    <xf numFmtId="0" fontId="8" fillId="16" borderId="12" xfId="0" applyFont="1" applyFill="1" applyBorder="1" applyAlignment="1">
      <alignment horizontal="center" vertical="center" wrapText="1"/>
    </xf>
    <xf numFmtId="0" fontId="0" fillId="16" borderId="10" xfId="0" applyFill="1" applyBorder="1" applyAlignment="1">
      <alignment horizontal="center" vertical="center" wrapText="1"/>
    </xf>
    <xf numFmtId="1" fontId="10" fillId="16" borderId="26" xfId="0" applyNumberFormat="1" applyFont="1" applyFill="1" applyBorder="1" applyAlignment="1" applyProtection="1">
      <alignment horizontal="center" vertical="center" wrapText="1"/>
      <protection hidden="1"/>
    </xf>
    <xf numFmtId="1" fontId="10" fillId="16" borderId="55" xfId="0" applyNumberFormat="1" applyFont="1" applyFill="1" applyBorder="1" applyAlignment="1" applyProtection="1">
      <alignment horizontal="center" vertical="center" wrapText="1"/>
      <protection hidden="1"/>
    </xf>
    <xf numFmtId="14" fontId="1" fillId="17" borderId="55" xfId="0" applyNumberFormat="1" applyFont="1" applyFill="1" applyBorder="1" applyAlignment="1" applyProtection="1">
      <alignment horizontal="center" vertical="center" wrapText="1"/>
      <protection locked="0"/>
    </xf>
    <xf numFmtId="191" fontId="1" fillId="17" borderId="40" xfId="0" applyNumberFormat="1" applyFont="1" applyFill="1" applyBorder="1" applyAlignment="1" applyProtection="1">
      <alignment horizontal="center" vertical="center" wrapText="1"/>
      <protection locked="0"/>
    </xf>
    <xf numFmtId="191" fontId="1" fillId="17" borderId="26" xfId="0" applyNumberFormat="1" applyFont="1" applyFill="1" applyBorder="1" applyAlignment="1" applyProtection="1">
      <alignment horizontal="center" vertical="center" wrapText="1"/>
      <protection locked="0"/>
    </xf>
    <xf numFmtId="191" fontId="1" fillId="17" borderId="55" xfId="0" applyNumberFormat="1" applyFont="1" applyFill="1" applyBorder="1" applyAlignment="1" applyProtection="1">
      <alignment horizontal="center" vertical="center" wrapText="1"/>
      <protection locked="0"/>
    </xf>
    <xf numFmtId="0" fontId="1" fillId="17" borderId="40" xfId="0" applyFont="1" applyFill="1" applyBorder="1" applyAlignment="1" applyProtection="1">
      <alignment horizontal="center" vertical="center" wrapText="1"/>
      <protection locked="0"/>
    </xf>
    <xf numFmtId="0" fontId="1" fillId="17" borderId="26" xfId="0" applyFont="1" applyFill="1" applyBorder="1" applyAlignment="1" applyProtection="1">
      <alignment horizontal="center" vertical="center" wrapText="1"/>
      <protection locked="0"/>
    </xf>
    <xf numFmtId="0" fontId="1" fillId="17" borderId="55" xfId="0" applyFont="1" applyFill="1" applyBorder="1" applyAlignment="1" applyProtection="1">
      <alignment horizontal="center" vertical="center" wrapText="1"/>
      <protection locked="0"/>
    </xf>
    <xf numFmtId="168" fontId="1" fillId="17" borderId="55" xfId="0" applyNumberFormat="1" applyFont="1" applyFill="1" applyBorder="1" applyAlignment="1" applyProtection="1">
      <alignment horizontal="center" vertical="center" wrapText="1"/>
      <protection locked="0"/>
    </xf>
    <xf numFmtId="0" fontId="0" fillId="16" borderId="15" xfId="0" applyFill="1" applyBorder="1" applyAlignment="1" applyProtection="1">
      <alignment wrapText="1"/>
      <protection hidden="1"/>
    </xf>
    <xf numFmtId="0" fontId="0" fillId="16" borderId="12" xfId="0" applyFill="1" applyBorder="1" applyAlignment="1" applyProtection="1">
      <alignment wrapText="1"/>
      <protection hidden="1"/>
    </xf>
    <xf numFmtId="0" fontId="16" fillId="16" borderId="9" xfId="0" applyFont="1" applyFill="1" applyBorder="1" applyAlignment="1" applyProtection="1">
      <alignment horizontal="right" vertical="center" wrapText="1" indent="1"/>
      <protection hidden="1"/>
    </xf>
    <xf numFmtId="0" fontId="16" fillId="16" borderId="9" xfId="0" applyFont="1" applyFill="1" applyBorder="1" applyAlignment="1">
      <alignment horizontal="right" vertical="center" wrapText="1" indent="1"/>
    </xf>
    <xf numFmtId="3" fontId="1" fillId="17" borderId="1" xfId="0" applyNumberFormat="1" applyFont="1" applyFill="1" applyBorder="1" applyAlignment="1" applyProtection="1">
      <alignment horizontal="center" vertical="center" wrapText="1"/>
      <protection locked="0"/>
    </xf>
    <xf numFmtId="3" fontId="1" fillId="17" borderId="26" xfId="0" applyNumberFormat="1" applyFont="1" applyFill="1" applyBorder="1" applyAlignment="1" applyProtection="1">
      <alignment horizontal="center" vertical="center" wrapText="1"/>
      <protection locked="0"/>
    </xf>
    <xf numFmtId="0" fontId="16" fillId="17" borderId="1" xfId="0" applyFont="1" applyFill="1" applyBorder="1" applyAlignment="1" applyProtection="1">
      <alignment horizontal="left" wrapText="1"/>
      <protection locked="0"/>
    </xf>
    <xf numFmtId="0" fontId="16" fillId="0" borderId="1" xfId="0" applyFont="1" applyBorder="1" applyAlignment="1" applyProtection="1">
      <alignment horizontal="left" wrapText="1"/>
      <protection locked="0"/>
    </xf>
    <xf numFmtId="0" fontId="16" fillId="17" borderId="26" xfId="0" applyFont="1" applyFill="1" applyBorder="1" applyAlignment="1" applyProtection="1">
      <alignment horizontal="left" wrapText="1"/>
      <protection locked="0"/>
    </xf>
    <xf numFmtId="0" fontId="16" fillId="16" borderId="40" xfId="0" applyFont="1" applyFill="1" applyBorder="1" applyAlignment="1" applyProtection="1">
      <alignment horizontal="center" wrapText="1"/>
      <protection hidden="1"/>
    </xf>
    <xf numFmtId="0" fontId="16" fillId="16" borderId="26" xfId="0" applyFont="1" applyFill="1" applyBorder="1" applyAlignment="1">
      <alignment horizontal="center" wrapText="1"/>
    </xf>
    <xf numFmtId="0" fontId="16" fillId="16" borderId="55" xfId="0" applyFont="1" applyFill="1" applyBorder="1" applyAlignment="1">
      <alignment horizontal="center" wrapText="1"/>
    </xf>
    <xf numFmtId="0" fontId="16" fillId="17" borderId="40" xfId="0" applyFont="1" applyFill="1" applyBorder="1" applyAlignment="1" applyProtection="1">
      <alignment horizontal="center" vertical="center" wrapText="1"/>
      <protection locked="0"/>
    </xf>
    <xf numFmtId="0" fontId="16" fillId="17" borderId="55" xfId="0" applyFont="1" applyFill="1" applyBorder="1" applyAlignment="1" applyProtection="1">
      <alignment horizontal="center" vertical="center" wrapText="1"/>
      <protection locked="0"/>
    </xf>
    <xf numFmtId="0" fontId="16" fillId="17" borderId="26" xfId="0" applyFont="1" applyFill="1" applyBorder="1" applyAlignment="1" applyProtection="1">
      <alignment horizontal="center" vertical="center" wrapText="1"/>
      <protection locked="0"/>
    </xf>
    <xf numFmtId="0" fontId="16" fillId="16" borderId="5" xfId="0" applyFont="1" applyFill="1" applyBorder="1" applyAlignment="1" applyProtection="1">
      <alignment horizontal="right" vertical="center" wrapText="1" indent="1"/>
      <protection hidden="1"/>
    </xf>
    <xf numFmtId="0" fontId="16" fillId="17" borderId="10" xfId="0" applyFont="1" applyFill="1" applyBorder="1" applyAlignment="1" applyProtection="1">
      <alignment horizontal="center" vertical="center" wrapText="1"/>
      <protection locked="0"/>
    </xf>
    <xf numFmtId="0" fontId="16" fillId="17" borderId="12" xfId="0" applyFont="1" applyFill="1" applyBorder="1" applyAlignment="1" applyProtection="1">
      <alignment horizontal="center" vertical="center" wrapText="1"/>
      <protection locked="0"/>
    </xf>
    <xf numFmtId="0" fontId="16" fillId="17" borderId="1" xfId="0" applyFont="1" applyFill="1" applyBorder="1" applyAlignment="1" applyProtection="1">
      <alignment horizontal="center" vertical="center" wrapText="1"/>
      <protection locked="0"/>
    </xf>
    <xf numFmtId="0" fontId="16" fillId="17" borderId="53" xfId="0" applyFont="1" applyFill="1" applyBorder="1" applyAlignment="1" applyProtection="1">
      <alignment horizontal="center" vertical="center" wrapText="1"/>
      <protection locked="0"/>
    </xf>
    <xf numFmtId="0" fontId="16" fillId="17" borderId="74" xfId="0" applyFont="1" applyFill="1" applyBorder="1" applyAlignment="1" applyProtection="1">
      <alignment horizontal="center" vertical="center" wrapText="1"/>
      <protection locked="0"/>
    </xf>
    <xf numFmtId="0" fontId="16" fillId="17" borderId="32" xfId="0" applyFont="1" applyFill="1" applyBorder="1" applyAlignment="1" applyProtection="1">
      <alignment horizontal="center" vertical="center" wrapText="1"/>
      <protection locked="0"/>
    </xf>
    <xf numFmtId="37" fontId="5" fillId="28" borderId="1" xfId="0" applyNumberFormat="1" applyFont="1" applyFill="1" applyBorder="1" applyProtection="1">
      <protection hidden="1"/>
    </xf>
    <xf numFmtId="37" fontId="5" fillId="28" borderId="1" xfId="0" applyNumberFormat="1" applyFont="1" applyFill="1" applyBorder="1"/>
    <xf numFmtId="37" fontId="144" fillId="16" borderId="9" xfId="0" applyNumberFormat="1" applyFont="1" applyFill="1" applyBorder="1" applyProtection="1">
      <protection hidden="1"/>
    </xf>
    <xf numFmtId="37" fontId="138" fillId="16" borderId="9" xfId="0" applyNumberFormat="1" applyFont="1" applyFill="1" applyBorder="1" applyProtection="1">
      <protection hidden="1"/>
    </xf>
    <xf numFmtId="37" fontId="144" fillId="16" borderId="0" xfId="0" applyNumberFormat="1" applyFont="1" applyFill="1" applyProtection="1">
      <protection hidden="1"/>
    </xf>
    <xf numFmtId="37" fontId="138" fillId="0" borderId="0" xfId="0" applyNumberFormat="1" applyFont="1"/>
    <xf numFmtId="37" fontId="5" fillId="17" borderId="1" xfId="0" applyNumberFormat="1" applyFont="1" applyFill="1" applyBorder="1" applyProtection="1">
      <protection locked="0"/>
    </xf>
    <xf numFmtId="0" fontId="1" fillId="20" borderId="3" xfId="0" applyFont="1" applyFill="1" applyBorder="1" applyAlignment="1" applyProtection="1">
      <alignment horizontal="center" vertical="center"/>
      <protection hidden="1"/>
    </xf>
    <xf numFmtId="0" fontId="0" fillId="20" borderId="25" xfId="0" applyFill="1" applyBorder="1" applyAlignment="1">
      <alignment horizontal="center" vertical="center"/>
    </xf>
    <xf numFmtId="3" fontId="1" fillId="16" borderId="3" xfId="0"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wrapText="1"/>
    </xf>
    <xf numFmtId="0" fontId="1" fillId="16" borderId="10" xfId="0" applyFont="1" applyFill="1" applyBorder="1" applyAlignment="1" applyProtection="1">
      <alignment horizontal="center" vertical="center"/>
      <protection hidden="1"/>
    </xf>
    <xf numFmtId="3" fontId="1" fillId="26" borderId="10" xfId="0" applyNumberFormat="1" applyFont="1" applyFill="1" applyBorder="1" applyAlignment="1" applyProtection="1">
      <alignment horizontal="right" vertical="center" wrapText="1" indent="1"/>
      <protection hidden="1"/>
    </xf>
    <xf numFmtId="3" fontId="0" fillId="26" borderId="1" xfId="0" applyNumberFormat="1" applyFill="1" applyBorder="1" applyAlignment="1" applyProtection="1">
      <alignment horizontal="right" vertical="center" wrapText="1" indent="1"/>
      <protection hidden="1"/>
    </xf>
    <xf numFmtId="3" fontId="138" fillId="16" borderId="26" xfId="0" applyNumberFormat="1" applyFont="1" applyFill="1" applyBorder="1" applyAlignment="1" applyProtection="1">
      <alignment horizontal="right" wrapText="1" indent="1"/>
      <protection hidden="1"/>
    </xf>
    <xf numFmtId="3" fontId="138" fillId="0" borderId="26" xfId="0" applyNumberFormat="1" applyFont="1" applyBorder="1" applyAlignment="1">
      <alignment horizontal="right" wrapText="1" indent="1"/>
    </xf>
    <xf numFmtId="3" fontId="138" fillId="16" borderId="26" xfId="0" applyNumberFormat="1" applyFont="1" applyFill="1" applyBorder="1" applyAlignment="1" applyProtection="1">
      <alignment wrapText="1"/>
      <protection hidden="1"/>
    </xf>
    <xf numFmtId="3" fontId="138" fillId="0" borderId="26" xfId="0" applyNumberFormat="1" applyFont="1" applyBorder="1" applyAlignment="1">
      <alignment wrapText="1"/>
    </xf>
    <xf numFmtId="0" fontId="242" fillId="16" borderId="26" xfId="0" applyFont="1" applyFill="1" applyBorder="1" applyAlignment="1" applyProtection="1">
      <alignment wrapText="1"/>
      <protection hidden="1"/>
    </xf>
    <xf numFmtId="0" fontId="138" fillId="0" borderId="26" xfId="0" applyFont="1" applyBorder="1" applyAlignment="1">
      <alignment wrapText="1"/>
    </xf>
    <xf numFmtId="166" fontId="21" fillId="28" borderId="6" xfId="0" applyNumberFormat="1" applyFont="1" applyFill="1" applyBorder="1" applyAlignment="1" applyProtection="1">
      <alignment horizontal="center" vertical="center"/>
      <protection hidden="1"/>
    </xf>
    <xf numFmtId="166" fontId="21" fillId="28" borderId="0" xfId="0" applyNumberFormat="1" applyFont="1" applyFill="1" applyAlignment="1" applyProtection="1">
      <alignment horizontal="center" vertical="center"/>
      <protection hidden="1"/>
    </xf>
    <xf numFmtId="166" fontId="21" fillId="28" borderId="27" xfId="0" applyNumberFormat="1" applyFont="1" applyFill="1" applyBorder="1" applyAlignment="1" applyProtection="1">
      <alignment horizontal="center" vertical="center"/>
      <protection hidden="1"/>
    </xf>
    <xf numFmtId="166" fontId="21" fillId="28" borderId="1" xfId="0" applyNumberFormat="1" applyFont="1" applyFill="1" applyBorder="1" applyAlignment="1" applyProtection="1">
      <alignment horizontal="center" vertical="center"/>
      <protection hidden="1"/>
    </xf>
    <xf numFmtId="0" fontId="16" fillId="16" borderId="0" xfId="0" applyFont="1" applyFill="1" applyAlignment="1" applyProtection="1">
      <alignment wrapText="1"/>
      <protection hidden="1"/>
    </xf>
    <xf numFmtId="0" fontId="16" fillId="0" borderId="0" xfId="0" applyFont="1" applyAlignment="1">
      <alignment wrapText="1"/>
    </xf>
    <xf numFmtId="0" fontId="16" fillId="0" borderId="21" xfId="0" applyFont="1" applyBorder="1" applyAlignment="1">
      <alignment wrapText="1"/>
    </xf>
    <xf numFmtId="0" fontId="22" fillId="16" borderId="0" xfId="0" applyFont="1" applyFill="1" applyAlignment="1" applyProtection="1">
      <alignment horizontal="center" wrapText="1"/>
      <protection hidden="1"/>
    </xf>
    <xf numFmtId="0" fontId="132" fillId="16" borderId="85" xfId="0" applyFont="1" applyFill="1" applyBorder="1" applyAlignment="1" applyProtection="1">
      <alignment horizontal="center" vertical="center" wrapText="1"/>
      <protection hidden="1"/>
    </xf>
    <xf numFmtId="0" fontId="132" fillId="16" borderId="9" xfId="0" applyFont="1" applyFill="1" applyBorder="1" applyAlignment="1">
      <alignment horizontal="center" wrapText="1"/>
    </xf>
    <xf numFmtId="0" fontId="132" fillId="16" borderId="6" xfId="0" applyFont="1" applyFill="1" applyBorder="1" applyAlignment="1">
      <alignment horizontal="center" wrapText="1"/>
    </xf>
    <xf numFmtId="0" fontId="132" fillId="16" borderId="0" xfId="0" applyFont="1" applyFill="1" applyAlignment="1">
      <alignment horizontal="center" wrapText="1"/>
    </xf>
    <xf numFmtId="0" fontId="10" fillId="16" borderId="0" xfId="0" applyFont="1" applyFill="1" applyAlignment="1" applyProtection="1">
      <alignment horizontal="center" wrapText="1"/>
      <protection hidden="1"/>
    </xf>
    <xf numFmtId="0" fontId="14" fillId="0" borderId="5" xfId="0" applyFont="1" applyBorder="1" applyAlignment="1">
      <alignment horizontal="center" wrapText="1"/>
    </xf>
    <xf numFmtId="37" fontId="1" fillId="26" borderId="10" xfId="0" applyNumberFormat="1" applyFont="1" applyFill="1" applyBorder="1" applyAlignment="1" applyProtection="1">
      <alignment horizontal="right" vertical="center" wrapText="1" indent="1"/>
      <protection hidden="1"/>
    </xf>
    <xf numFmtId="37" fontId="0" fillId="26" borderId="1" xfId="0" applyNumberFormat="1" applyFill="1" applyBorder="1" applyAlignment="1" applyProtection="1">
      <alignment horizontal="right" vertical="center" wrapText="1" indent="1"/>
      <protection hidden="1"/>
    </xf>
    <xf numFmtId="0" fontId="0" fillId="0" borderId="1" xfId="0" applyBorder="1" applyAlignment="1">
      <alignment horizontal="right" vertical="center" wrapText="1" indent="1"/>
    </xf>
    <xf numFmtId="3" fontId="138" fillId="16" borderId="31" xfId="0" applyNumberFormat="1" applyFont="1" applyFill="1" applyBorder="1" applyAlignment="1" applyProtection="1">
      <alignment horizontal="right" vertical="center" wrapText="1" indent="1"/>
      <protection hidden="1"/>
    </xf>
    <xf numFmtId="0" fontId="138" fillId="0" borderId="9" xfId="0" applyFont="1" applyBorder="1" applyAlignment="1">
      <alignment horizontal="right" vertical="center" wrapText="1" indent="1"/>
    </xf>
    <xf numFmtId="0" fontId="1" fillId="16" borderId="31" xfId="0" applyFont="1" applyFill="1" applyBorder="1" applyAlignment="1">
      <alignment horizontal="center" vertical="center"/>
    </xf>
    <xf numFmtId="0" fontId="1" fillId="16" borderId="15" xfId="0" applyFont="1" applyFill="1" applyBorder="1" applyAlignment="1">
      <alignment horizontal="center" vertical="center"/>
    </xf>
    <xf numFmtId="0" fontId="1" fillId="16" borderId="10" xfId="0" applyFont="1" applyFill="1" applyBorder="1" applyAlignment="1">
      <alignment horizontal="center" vertical="center"/>
    </xf>
    <xf numFmtId="0" fontId="1" fillId="16" borderId="12" xfId="0" applyFont="1" applyFill="1" applyBorder="1" applyAlignment="1">
      <alignment horizontal="center" vertical="center"/>
    </xf>
    <xf numFmtId="3" fontId="1" fillId="16" borderId="31" xfId="0" applyNumberFormat="1" applyFont="1" applyFill="1" applyBorder="1" applyAlignment="1" applyProtection="1">
      <alignment horizontal="center" vertical="center" wrapText="1"/>
      <protection hidden="1"/>
    </xf>
    <xf numFmtId="3" fontId="1" fillId="16" borderId="9" xfId="0" applyNumberFormat="1" applyFont="1" applyFill="1" applyBorder="1" applyAlignment="1" applyProtection="1">
      <alignment horizontal="center" vertical="center" wrapText="1"/>
      <protection hidden="1"/>
    </xf>
    <xf numFmtId="0" fontId="1" fillId="16" borderId="3" xfId="0" applyFont="1" applyFill="1" applyBorder="1" applyAlignment="1" applyProtection="1">
      <alignment horizontal="center" vertical="center"/>
      <protection hidden="1"/>
    </xf>
    <xf numFmtId="37" fontId="0" fillId="0" borderId="0" xfId="0" applyNumberFormat="1" applyProtection="1">
      <protection locked="0"/>
    </xf>
    <xf numFmtId="0" fontId="138" fillId="16" borderId="3" xfId="0" applyFont="1" applyFill="1" applyBorder="1" applyAlignment="1">
      <alignment vertical="center"/>
    </xf>
    <xf numFmtId="0" fontId="138" fillId="0" borderId="25" xfId="0" applyFont="1" applyBorder="1" applyAlignment="1">
      <alignment horizontal="center" wrapText="1"/>
    </xf>
    <xf numFmtId="3" fontId="1" fillId="26" borderId="3" xfId="0" applyNumberFormat="1" applyFont="1" applyFill="1" applyBorder="1" applyAlignment="1" applyProtection="1">
      <alignment horizontal="right" vertical="center" wrapText="1" indent="1"/>
      <protection hidden="1"/>
    </xf>
    <xf numFmtId="3" fontId="0" fillId="26" borderId="0" xfId="0" applyNumberFormat="1" applyFill="1" applyAlignment="1" applyProtection="1">
      <alignment horizontal="right" vertical="center" wrapText="1" indent="1"/>
      <protection hidden="1"/>
    </xf>
    <xf numFmtId="3" fontId="0" fillId="26" borderId="25" xfId="0" applyNumberFormat="1" applyFill="1" applyBorder="1" applyAlignment="1" applyProtection="1">
      <alignment horizontal="right" vertical="center" wrapText="1" indent="1"/>
      <protection hidden="1"/>
    </xf>
    <xf numFmtId="0" fontId="0" fillId="0" borderId="10" xfId="0" applyBorder="1" applyAlignment="1">
      <alignment horizontal="right" vertical="center" wrapText="1" indent="1"/>
    </xf>
    <xf numFmtId="0" fontId="0" fillId="0" borderId="12" xfId="0" applyBorder="1" applyAlignment="1">
      <alignment horizontal="right" vertical="center" wrapText="1" indent="1"/>
    </xf>
    <xf numFmtId="0" fontId="3" fillId="16" borderId="0" xfId="0" applyFont="1" applyFill="1" applyAlignment="1" applyProtection="1">
      <alignment horizontal="distributed"/>
      <protection hidden="1"/>
    </xf>
    <xf numFmtId="0" fontId="3" fillId="0" borderId="0" xfId="0" applyFont="1" applyAlignment="1">
      <alignment horizontal="distributed"/>
    </xf>
    <xf numFmtId="0" fontId="248" fillId="28" borderId="1" xfId="0" applyFont="1" applyFill="1" applyBorder="1" applyAlignment="1" applyProtection="1">
      <alignment horizontal="center" vertical="center"/>
      <protection hidden="1"/>
    </xf>
    <xf numFmtId="3" fontId="1" fillId="17" borderId="10" xfId="0" applyNumberFormat="1" applyFont="1" applyFill="1" applyBorder="1" applyAlignment="1" applyProtection="1">
      <alignment horizontal="right" vertical="center" wrapText="1" indent="1"/>
      <protection locked="0"/>
    </xf>
    <xf numFmtId="3" fontId="0" fillId="17" borderId="1" xfId="0" applyNumberFormat="1" applyFill="1" applyBorder="1" applyAlignment="1" applyProtection="1">
      <alignment horizontal="right" vertical="center" wrapText="1" indent="1"/>
      <protection locked="0"/>
    </xf>
    <xf numFmtId="37" fontId="154" fillId="16" borderId="0" xfId="0" applyNumberFormat="1" applyFont="1" applyFill="1" applyAlignment="1" applyProtection="1">
      <alignment vertical="center"/>
      <protection hidden="1"/>
    </xf>
    <xf numFmtId="37" fontId="154" fillId="16" borderId="25" xfId="0" applyNumberFormat="1" applyFont="1" applyFill="1" applyBorder="1" applyAlignment="1" applyProtection="1">
      <alignment vertical="center"/>
      <protection hidden="1"/>
    </xf>
    <xf numFmtId="37" fontId="154" fillId="16" borderId="1" xfId="0" applyNumberFormat="1" applyFont="1" applyFill="1" applyBorder="1" applyAlignment="1" applyProtection="1">
      <alignment horizontal="right"/>
      <protection hidden="1"/>
    </xf>
    <xf numFmtId="37" fontId="154" fillId="16" borderId="12" xfId="0" applyNumberFormat="1" applyFont="1" applyFill="1" applyBorder="1" applyAlignment="1" applyProtection="1">
      <alignment horizontal="right"/>
      <protection hidden="1"/>
    </xf>
    <xf numFmtId="0" fontId="138" fillId="16" borderId="0" xfId="0" applyFont="1" applyFill="1" applyAlignment="1" applyProtection="1">
      <alignment horizontal="center" vertical="center"/>
      <protection hidden="1"/>
    </xf>
    <xf numFmtId="0" fontId="140" fillId="16" borderId="0" xfId="0" applyFont="1" applyFill="1" applyAlignment="1" applyProtection="1">
      <alignment horizontal="center" vertical="center"/>
      <protection hidden="1"/>
    </xf>
    <xf numFmtId="0" fontId="140" fillId="0" borderId="0" xfId="0" applyFont="1" applyAlignment="1">
      <alignment horizontal="center" vertical="center"/>
    </xf>
    <xf numFmtId="0" fontId="138" fillId="0" borderId="25" xfId="0" applyFont="1" applyBorder="1" applyAlignment="1">
      <alignment horizontal="center" vertical="center"/>
    </xf>
    <xf numFmtId="0" fontId="1" fillId="16" borderId="0" xfId="0" applyFont="1" applyFill="1" applyAlignment="1" applyProtection="1">
      <alignment horizontal="center" vertical="center"/>
      <protection hidden="1"/>
    </xf>
    <xf numFmtId="4" fontId="11" fillId="16" borderId="114" xfId="0" applyNumberFormat="1" applyFont="1" applyFill="1" applyBorder="1" applyAlignment="1" applyProtection="1">
      <alignment horizontal="center" wrapText="1"/>
      <protection hidden="1"/>
    </xf>
    <xf numFmtId="4" fontId="11" fillId="16" borderId="28" xfId="0" applyNumberFormat="1" applyFont="1" applyFill="1" applyBorder="1" applyAlignment="1" applyProtection="1">
      <alignment horizontal="center" wrapText="1"/>
      <protection hidden="1"/>
    </xf>
    <xf numFmtId="4" fontId="11" fillId="16" borderId="115"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1" fontId="11" fillId="3" borderId="0" xfId="0" applyNumberFormat="1" applyFont="1" applyFill="1" applyAlignment="1" applyProtection="1">
      <alignment horizontal="center"/>
      <protection hidden="1"/>
    </xf>
    <xf numFmtId="0" fontId="73" fillId="5" borderId="0" xfId="0" applyFont="1" applyFill="1" applyAlignment="1" applyProtection="1">
      <alignment horizontal="center" vertical="center" wrapText="1"/>
      <protection hidden="1"/>
    </xf>
    <xf numFmtId="0" fontId="1" fillId="0" borderId="0" xfId="0" applyFont="1" applyAlignment="1">
      <alignment horizontal="center" vertical="center" wrapText="1"/>
    </xf>
    <xf numFmtId="0" fontId="137" fillId="5" borderId="0" xfId="0" applyFont="1" applyFill="1" applyAlignment="1" applyProtection="1">
      <alignment horizontal="center" vertical="center" wrapText="1"/>
      <protection hidden="1"/>
    </xf>
    <xf numFmtId="4" fontId="6" fillId="16" borderId="114" xfId="0" applyNumberFormat="1" applyFont="1" applyFill="1" applyBorder="1" applyAlignment="1" applyProtection="1">
      <alignment horizontal="center" wrapText="1"/>
      <protection hidden="1"/>
    </xf>
    <xf numFmtId="4" fontId="6" fillId="16" borderId="28" xfId="0" applyNumberFormat="1" applyFont="1" applyFill="1" applyBorder="1" applyAlignment="1" applyProtection="1">
      <alignment horizontal="center" wrapText="1"/>
      <protection hidden="1"/>
    </xf>
    <xf numFmtId="4" fontId="6" fillId="16" borderId="115" xfId="0" applyNumberFormat="1" applyFont="1" applyFill="1" applyBorder="1" applyAlignment="1" applyProtection="1">
      <alignment horizontal="center" wrapText="1"/>
      <protection hidden="1"/>
    </xf>
    <xf numFmtId="0" fontId="11" fillId="16" borderId="6" xfId="0" applyFont="1" applyFill="1" applyBorder="1" applyAlignment="1" applyProtection="1">
      <alignment horizontal="right" indent="1"/>
      <protection hidden="1"/>
    </xf>
    <xf numFmtId="0" fontId="11" fillId="16" borderId="0" xfId="0" applyFont="1" applyFill="1" applyAlignment="1" applyProtection="1">
      <alignment horizontal="right" indent="1"/>
      <protection hidden="1"/>
    </xf>
    <xf numFmtId="0" fontId="1" fillId="16" borderId="0" xfId="0" applyFont="1" applyFill="1" applyAlignment="1" applyProtection="1">
      <alignment horizontal="right" indent="1"/>
      <protection hidden="1"/>
    </xf>
    <xf numFmtId="0" fontId="11" fillId="16" borderId="9" xfId="0" applyFont="1" applyFill="1" applyBorder="1" applyAlignment="1" applyProtection="1">
      <alignment horizontal="left" textRotation="90"/>
      <protection hidden="1"/>
    </xf>
    <xf numFmtId="0" fontId="1" fillId="16" borderId="0" xfId="0" applyFont="1" applyFill="1" applyAlignment="1" applyProtection="1">
      <alignment textRotation="90"/>
      <protection hidden="1"/>
    </xf>
    <xf numFmtId="0" fontId="181" fillId="16" borderId="22" xfId="0" applyFont="1" applyFill="1" applyBorder="1" applyAlignment="1" applyProtection="1">
      <alignment horizontal="center" wrapText="1"/>
      <protection hidden="1"/>
    </xf>
    <xf numFmtId="0" fontId="181" fillId="16" borderId="5" xfId="0" applyFont="1" applyFill="1" applyBorder="1" applyAlignment="1" applyProtection="1">
      <alignment horizontal="center" wrapText="1"/>
      <protection hidden="1"/>
    </xf>
    <xf numFmtId="0" fontId="181" fillId="0" borderId="5" xfId="0" applyFont="1" applyBorder="1" applyAlignment="1">
      <alignment horizontal="center" wrapText="1"/>
    </xf>
    <xf numFmtId="0" fontId="181" fillId="0" borderId="23" xfId="0" applyFont="1" applyBorder="1" applyAlignment="1">
      <alignment horizontal="center" wrapText="1"/>
    </xf>
    <xf numFmtId="0" fontId="252" fillId="16" borderId="8" xfId="0" applyFont="1" applyFill="1" applyBorder="1" applyAlignment="1">
      <alignment horizontal="center"/>
    </xf>
    <xf numFmtId="0" fontId="3" fillId="3" borderId="9" xfId="0" applyFont="1" applyFill="1" applyBorder="1" applyAlignment="1" applyProtection="1">
      <alignment horizontal="left" wrapText="1" indent="1"/>
      <protection hidden="1"/>
    </xf>
    <xf numFmtId="0" fontId="3" fillId="0" borderId="9" xfId="0" applyFont="1" applyBorder="1" applyAlignment="1" applyProtection="1">
      <alignment horizontal="left" wrapText="1" indent="1"/>
      <protection hidden="1"/>
    </xf>
    <xf numFmtId="0" fontId="8" fillId="3" borderId="5" xfId="0" applyFont="1" applyFill="1" applyBorder="1" applyAlignment="1" applyProtection="1">
      <alignment horizontal="left" vertical="top"/>
      <protection hidden="1"/>
    </xf>
    <xf numFmtId="0" fontId="0" fillId="0" borderId="5" xfId="0" applyBorder="1" applyAlignment="1" applyProtection="1">
      <alignment horizontal="left" vertical="top"/>
      <protection hidden="1"/>
    </xf>
    <xf numFmtId="0" fontId="0" fillId="0" borderId="23" xfId="0" applyBorder="1" applyAlignment="1">
      <alignment horizontal="left" vertical="top"/>
    </xf>
    <xf numFmtId="0" fontId="11" fillId="3" borderId="22" xfId="0" applyFont="1" applyFill="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23" xfId="0" applyFont="1" applyBorder="1" applyAlignment="1" applyProtection="1">
      <alignment horizontal="center" vertical="center"/>
      <protection hidden="1"/>
    </xf>
    <xf numFmtId="4" fontId="8" fillId="3" borderId="22" xfId="0" applyNumberFormat="1"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4" fontId="17" fillId="3" borderId="57" xfId="0" applyNumberFormat="1" applyFont="1" applyFill="1" applyBorder="1" applyAlignment="1" applyProtection="1">
      <alignment vertical="center" wrapText="1"/>
      <protection hidden="1"/>
    </xf>
    <xf numFmtId="0" fontId="17" fillId="0" borderId="8" xfId="0" applyFont="1" applyBorder="1" applyAlignment="1">
      <alignment vertical="center" wrapText="1"/>
    </xf>
    <xf numFmtId="0" fontId="17" fillId="0" borderId="10" xfId="0" applyFont="1" applyBorder="1" applyAlignment="1">
      <alignment vertical="center" wrapText="1"/>
    </xf>
    <xf numFmtId="0" fontId="17" fillId="0" borderId="1" xfId="0" applyFont="1" applyBorder="1" applyAlignment="1">
      <alignment vertical="center" wrapText="1"/>
    </xf>
    <xf numFmtId="166" fontId="10" fillId="29" borderId="8" xfId="0" applyNumberFormat="1" applyFont="1" applyFill="1" applyBorder="1" applyAlignment="1" applyProtection="1">
      <alignment horizontal="center"/>
      <protection hidden="1"/>
    </xf>
    <xf numFmtId="0" fontId="11" fillId="0" borderId="1" xfId="0" applyFont="1" applyBorder="1" applyAlignment="1" applyProtection="1">
      <alignment horizontal="center"/>
      <protection hidden="1"/>
    </xf>
    <xf numFmtId="0" fontId="3" fillId="3" borderId="1" xfId="0" applyFont="1" applyFill="1" applyBorder="1" applyAlignment="1" applyProtection="1">
      <alignment horizontal="left" wrapText="1" indent="1"/>
      <protection hidden="1"/>
    </xf>
    <xf numFmtId="0" fontId="3" fillId="0" borderId="1" xfId="0" applyFont="1" applyBorder="1" applyAlignment="1" applyProtection="1">
      <alignment horizontal="left" wrapText="1" indent="1"/>
      <protection hidden="1"/>
    </xf>
    <xf numFmtId="0" fontId="3" fillId="3" borderId="0" xfId="0" applyFont="1" applyFill="1" applyAlignment="1" applyProtection="1">
      <alignment horizontal="left" wrapText="1" indent="1"/>
      <protection hidden="1"/>
    </xf>
    <xf numFmtId="0" fontId="3" fillId="0" borderId="0" xfId="0" applyFont="1" applyAlignment="1" applyProtection="1">
      <alignment horizontal="left" wrapText="1" indent="1"/>
      <protection hidden="1"/>
    </xf>
    <xf numFmtId="0" fontId="5" fillId="15" borderId="0" xfId="0" applyFont="1" applyFill="1" applyAlignment="1" applyProtection="1">
      <alignment horizontal="left" vertical="center"/>
      <protection hidden="1"/>
    </xf>
    <xf numFmtId="0" fontId="5" fillId="0" borderId="0" xfId="0" applyFont="1" applyAlignment="1" applyProtection="1">
      <alignment horizontal="center" vertical="center"/>
      <protection hidden="1"/>
    </xf>
    <xf numFmtId="0" fontId="5" fillId="0" borderId="21" xfId="0" applyFont="1" applyBorder="1" applyAlignment="1" applyProtection="1">
      <alignment horizontal="center" vertical="center"/>
      <protection hidden="1"/>
    </xf>
    <xf numFmtId="0" fontId="5" fillId="3" borderId="0" xfId="0" applyFont="1" applyFill="1" applyAlignment="1" applyProtection="1">
      <alignment horizontal="center" vertical="center"/>
      <protection hidden="1"/>
    </xf>
    <xf numFmtId="0" fontId="65" fillId="3" borderId="0" xfId="0" applyFont="1" applyFill="1" applyAlignment="1" applyProtection="1">
      <alignment horizontal="left" vertical="center"/>
      <protection hidden="1"/>
    </xf>
    <xf numFmtId="0" fontId="104" fillId="0" borderId="21" xfId="0" applyFont="1" applyBorder="1" applyAlignment="1">
      <alignment horizontal="left" vertical="center"/>
    </xf>
    <xf numFmtId="0" fontId="104" fillId="0" borderId="0" xfId="0" applyFont="1" applyAlignment="1">
      <alignment vertical="center"/>
    </xf>
    <xf numFmtId="0" fontId="104" fillId="0" borderId="21" xfId="0" applyFont="1" applyBorder="1" applyAlignment="1">
      <alignment vertical="center"/>
    </xf>
    <xf numFmtId="0" fontId="162" fillId="0" borderId="9" xfId="0" applyFont="1" applyBorder="1" applyAlignment="1" applyProtection="1">
      <alignment horizontal="center"/>
      <protection hidden="1"/>
    </xf>
    <xf numFmtId="0" fontId="162" fillId="0" borderId="6" xfId="0" applyFont="1" applyBorder="1" applyAlignment="1" applyProtection="1">
      <alignment horizontal="center"/>
      <protection hidden="1"/>
    </xf>
    <xf numFmtId="0" fontId="162" fillId="0" borderId="0" xfId="0" applyFont="1" applyAlignment="1" applyProtection="1">
      <alignment horizontal="center"/>
      <protection hidden="1"/>
    </xf>
    <xf numFmtId="37" fontId="6" fillId="17" borderId="40" xfId="0" applyNumberFormat="1" applyFont="1" applyFill="1" applyBorder="1" applyAlignment="1" applyProtection="1">
      <alignment horizontal="center"/>
      <protection locked="0"/>
    </xf>
    <xf numFmtId="37" fontId="6" fillId="17" borderId="40" xfId="0" applyNumberFormat="1" applyFont="1" applyFill="1" applyBorder="1" applyAlignment="1" applyProtection="1">
      <alignment horizontal="right"/>
      <protection hidden="1"/>
    </xf>
    <xf numFmtId="37" fontId="4" fillId="17" borderId="26" xfId="0" applyNumberFormat="1" applyFont="1" applyFill="1" applyBorder="1" applyAlignment="1" applyProtection="1">
      <alignment horizontal="right"/>
      <protection hidden="1"/>
    </xf>
    <xf numFmtId="0" fontId="17" fillId="2" borderId="31" xfId="0" applyFont="1" applyFill="1" applyBorder="1" applyAlignment="1" applyProtection="1">
      <alignment horizontal="center" vertical="center" wrapText="1"/>
      <protection hidden="1"/>
    </xf>
    <xf numFmtId="0" fontId="17" fillId="0" borderId="9" xfId="0" applyFont="1" applyBorder="1" applyAlignment="1">
      <alignment horizontal="center" vertical="center"/>
    </xf>
    <xf numFmtId="0" fontId="17" fillId="2" borderId="3" xfId="0" applyFont="1" applyFill="1" applyBorder="1" applyAlignment="1" applyProtection="1">
      <alignment horizontal="center" vertical="center" wrapText="1"/>
      <protection hidden="1"/>
    </xf>
    <xf numFmtId="0" fontId="17" fillId="0" borderId="0" xfId="0" applyFont="1" applyAlignment="1">
      <alignment horizontal="center" vertical="center"/>
    </xf>
    <xf numFmtId="0" fontId="17" fillId="0" borderId="3" xfId="0" applyFont="1" applyBorder="1" applyAlignment="1">
      <alignment horizontal="center" vertical="center"/>
    </xf>
    <xf numFmtId="0" fontId="17" fillId="0" borderId="10" xfId="0" applyFont="1" applyBorder="1" applyAlignment="1">
      <alignment horizontal="center" vertical="center"/>
    </xf>
    <xf numFmtId="0" fontId="17" fillId="0" borderId="1" xfId="0" applyFont="1" applyBorder="1" applyAlignment="1">
      <alignment horizontal="center" vertical="center"/>
    </xf>
    <xf numFmtId="37" fontId="0" fillId="17" borderId="31" xfId="0" applyNumberFormat="1" applyFill="1" applyBorder="1" applyAlignment="1" applyProtection="1">
      <alignment horizontal="right"/>
      <protection hidden="1"/>
    </xf>
    <xf numFmtId="0" fontId="0" fillId="17" borderId="15" xfId="0" applyFill="1" applyBorder="1" applyAlignment="1">
      <alignment horizontal="right"/>
    </xf>
    <xf numFmtId="0" fontId="0" fillId="17" borderId="3" xfId="0" applyFill="1" applyBorder="1" applyAlignment="1">
      <alignment horizontal="right"/>
    </xf>
    <xf numFmtId="0" fontId="0" fillId="17" borderId="25" xfId="0" applyFill="1" applyBorder="1" applyAlignment="1">
      <alignment horizontal="right"/>
    </xf>
    <xf numFmtId="0" fontId="0" fillId="17" borderId="10" xfId="0" applyFill="1" applyBorder="1" applyAlignment="1">
      <alignment horizontal="right"/>
    </xf>
    <xf numFmtId="0" fontId="0" fillId="17" borderId="12" xfId="0" applyFill="1" applyBorder="1" applyAlignment="1">
      <alignment horizontal="right"/>
    </xf>
    <xf numFmtId="0" fontId="148" fillId="2" borderId="0" xfId="0" applyFont="1" applyFill="1" applyAlignment="1" applyProtection="1">
      <alignment horizontal="left"/>
      <protection hidden="1"/>
    </xf>
    <xf numFmtId="0" fontId="150" fillId="0" borderId="0" xfId="0" applyFont="1" applyAlignment="1" applyProtection="1">
      <alignment horizontal="left"/>
      <protection hidden="1"/>
    </xf>
    <xf numFmtId="37" fontId="4" fillId="17" borderId="26" xfId="0" applyNumberFormat="1" applyFont="1" applyFill="1" applyBorder="1" applyAlignment="1" applyProtection="1">
      <alignment horizontal="right"/>
      <protection locked="0"/>
    </xf>
    <xf numFmtId="37" fontId="4" fillId="17" borderId="55" xfId="0" applyNumberFormat="1" applyFont="1" applyFill="1" applyBorder="1" applyAlignment="1" applyProtection="1">
      <alignment horizontal="right"/>
      <protection locked="0"/>
    </xf>
    <xf numFmtId="0" fontId="17" fillId="0" borderId="13" xfId="0" applyFont="1" applyBorder="1" applyAlignment="1" applyProtection="1">
      <alignment horizontal="center" vertical="center" wrapText="1"/>
      <protection hidden="1"/>
    </xf>
    <xf numFmtId="0" fontId="17" fillId="0" borderId="13" xfId="0" applyFont="1" applyBorder="1" applyAlignment="1">
      <alignment horizontal="center" vertical="center" wrapText="1"/>
    </xf>
    <xf numFmtId="0" fontId="8" fillId="0" borderId="13" xfId="0" applyFont="1" applyBorder="1" applyAlignment="1" applyProtection="1">
      <alignment horizontal="center" vertical="center" wrapText="1"/>
      <protection hidden="1"/>
    </xf>
    <xf numFmtId="0" fontId="8" fillId="0" borderId="13" xfId="0" applyFont="1" applyBorder="1" applyAlignment="1">
      <alignment horizontal="center" vertical="center" wrapText="1"/>
    </xf>
    <xf numFmtId="0" fontId="4" fillId="0" borderId="0" xfId="0" applyFont="1" applyAlignment="1" applyProtection="1">
      <alignment horizontal="center" vertical="center"/>
      <protection hidden="1"/>
    </xf>
    <xf numFmtId="0" fontId="4" fillId="0" borderId="0" xfId="0" applyFont="1" applyAlignment="1">
      <alignment horizontal="center" vertical="center"/>
    </xf>
    <xf numFmtId="0" fontId="51" fillId="16" borderId="31" xfId="0" applyFont="1" applyFill="1" applyBorder="1" applyAlignment="1" applyProtection="1">
      <alignment horizontal="center" vertical="center" wrapText="1"/>
      <protection hidden="1"/>
    </xf>
    <xf numFmtId="0" fontId="0" fillId="0" borderId="11" xfId="0" applyBorder="1" applyAlignment="1">
      <alignment horizontal="center" vertical="center" wrapText="1"/>
    </xf>
    <xf numFmtId="0" fontId="8" fillId="16" borderId="16" xfId="0" applyFont="1" applyFill="1" applyBorder="1" applyAlignment="1">
      <alignment horizontal="center" vertical="center" wrapText="1"/>
    </xf>
    <xf numFmtId="0" fontId="3" fillId="0" borderId="40" xfId="0" applyFont="1" applyBorder="1" applyAlignment="1" applyProtection="1">
      <alignment horizontal="center"/>
      <protection hidden="1"/>
    </xf>
    <xf numFmtId="0" fontId="3" fillId="0" borderId="13" xfId="0" applyFont="1" applyBorder="1" applyAlignment="1" applyProtection="1">
      <alignment horizontal="center" textRotation="90" wrapText="1"/>
      <protection hidden="1"/>
    </xf>
    <xf numFmtId="0" fontId="3" fillId="0" borderId="13" xfId="0" applyFont="1" applyBorder="1" applyAlignment="1">
      <alignment horizontal="center" wrapText="1"/>
    </xf>
    <xf numFmtId="0" fontId="1" fillId="0" borderId="0" xfId="0" applyFont="1" applyAlignment="1" applyProtection="1">
      <alignment horizontal="center" vertical="center"/>
      <protection hidden="1"/>
    </xf>
    <xf numFmtId="0" fontId="6" fillId="17" borderId="26" xfId="0" applyFont="1" applyFill="1" applyBorder="1" applyAlignment="1" applyProtection="1">
      <alignment horizontal="left" indent="1"/>
      <protection locked="0"/>
    </xf>
    <xf numFmtId="0" fontId="4" fillId="17" borderId="26" xfId="0" applyFont="1" applyFill="1" applyBorder="1" applyAlignment="1" applyProtection="1">
      <alignment horizontal="left" indent="1"/>
      <protection locked="0"/>
    </xf>
    <xf numFmtId="0" fontId="4" fillId="17" borderId="55" xfId="0" applyFont="1" applyFill="1" applyBorder="1" applyAlignment="1" applyProtection="1">
      <alignment horizontal="left" indent="1"/>
      <protection locked="0"/>
    </xf>
    <xf numFmtId="174" fontId="6" fillId="17" borderId="40" xfId="0" applyNumberFormat="1" applyFont="1" applyFill="1" applyBorder="1" applyAlignment="1" applyProtection="1">
      <alignment horizontal="center"/>
      <protection locked="0"/>
    </xf>
    <xf numFmtId="174" fontId="4" fillId="17" borderId="26" xfId="0" applyNumberFormat="1" applyFont="1" applyFill="1" applyBorder="1" applyAlignment="1" applyProtection="1">
      <alignment horizontal="center"/>
      <protection locked="0"/>
    </xf>
    <xf numFmtId="174" fontId="4" fillId="17" borderId="55" xfId="0" applyNumberFormat="1" applyFont="1" applyFill="1" applyBorder="1" applyAlignment="1" applyProtection="1">
      <alignment horizontal="center"/>
      <protection locked="0"/>
    </xf>
    <xf numFmtId="0" fontId="141" fillId="5" borderId="0" xfId="0" applyFont="1" applyFill="1" applyAlignment="1" applyProtection="1">
      <alignment horizontal="right"/>
      <protection hidden="1"/>
    </xf>
    <xf numFmtId="0" fontId="141" fillId="0" borderId="0" xfId="0" applyFont="1" applyAlignment="1">
      <alignment horizontal="right"/>
    </xf>
    <xf numFmtId="0" fontId="3" fillId="2" borderId="0" xfId="0" applyFont="1" applyFill="1" applyProtection="1">
      <protection hidden="1"/>
    </xf>
    <xf numFmtId="0" fontId="8" fillId="2" borderId="106" xfId="0" applyFont="1" applyFill="1" applyBorder="1" applyAlignment="1" applyProtection="1">
      <alignment horizontal="center"/>
      <protection hidden="1"/>
    </xf>
    <xf numFmtId="0" fontId="82" fillId="2" borderId="0" xfId="0" applyFont="1" applyFill="1" applyAlignment="1" applyProtection="1">
      <alignment horizontal="center" vertical="center"/>
      <protection hidden="1"/>
    </xf>
    <xf numFmtId="166" fontId="10" fillId="17" borderId="70" xfId="0" applyNumberFormat="1" applyFont="1" applyFill="1" applyBorder="1" applyAlignment="1" applyProtection="1">
      <alignment horizontal="center" vertical="center"/>
      <protection hidden="1"/>
    </xf>
    <xf numFmtId="0" fontId="0" fillId="17" borderId="5" xfId="0" applyFill="1" applyBorder="1"/>
    <xf numFmtId="0" fontId="10" fillId="17" borderId="5" xfId="0" applyFont="1" applyFill="1" applyBorder="1" applyAlignment="1" applyProtection="1">
      <alignment horizontal="left" indent="1"/>
      <protection hidden="1"/>
    </xf>
    <xf numFmtId="0" fontId="0" fillId="17" borderId="5" xfId="0" applyFill="1" applyBorder="1" applyAlignment="1">
      <alignment horizontal="left" indent="1"/>
    </xf>
    <xf numFmtId="0" fontId="0" fillId="17" borderId="71" xfId="0" applyFill="1" applyBorder="1" applyAlignment="1">
      <alignment horizontal="left" indent="1"/>
    </xf>
    <xf numFmtId="0" fontId="49" fillId="2" borderId="105" xfId="0" applyFont="1" applyFill="1" applyBorder="1" applyAlignment="1" applyProtection="1">
      <alignment horizontal="center"/>
      <protection hidden="1"/>
    </xf>
    <xf numFmtId="0" fontId="49" fillId="0" borderId="0" xfId="0" applyFont="1" applyAlignment="1" applyProtection="1">
      <alignment horizontal="center"/>
      <protection hidden="1"/>
    </xf>
    <xf numFmtId="0" fontId="49" fillId="0" borderId="76" xfId="0" applyFont="1" applyBorder="1" applyAlignment="1" applyProtection="1">
      <alignment horizontal="center"/>
      <protection hidden="1"/>
    </xf>
    <xf numFmtId="0" fontId="49" fillId="0" borderId="105" xfId="0" applyFont="1" applyBorder="1" applyAlignment="1" applyProtection="1">
      <alignment horizontal="center"/>
      <protection hidden="1"/>
    </xf>
    <xf numFmtId="0" fontId="0" fillId="0" borderId="105" xfId="0" applyBorder="1" applyAlignment="1">
      <alignment horizontal="center"/>
    </xf>
    <xf numFmtId="0" fontId="33" fillId="9" borderId="9" xfId="0" applyFont="1" applyFill="1" applyBorder="1" applyAlignment="1" applyProtection="1">
      <alignment horizontal="center"/>
      <protection hidden="1"/>
    </xf>
    <xf numFmtId="0" fontId="16" fillId="2" borderId="9" xfId="0" applyFont="1" applyFill="1" applyBorder="1" applyProtection="1">
      <protection hidden="1"/>
    </xf>
    <xf numFmtId="0" fontId="16" fillId="2" borderId="0" xfId="0" applyFont="1" applyFill="1" applyProtection="1">
      <protection hidden="1"/>
    </xf>
    <xf numFmtId="0" fontId="16" fillId="0" borderId="1" xfId="0" applyFont="1" applyBorder="1"/>
    <xf numFmtId="0" fontId="11" fillId="2" borderId="105"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6" xfId="0" applyFont="1" applyBorder="1" applyAlignment="1" applyProtection="1">
      <alignment horizontal="center" vertical="center"/>
      <protection hidden="1"/>
    </xf>
    <xf numFmtId="0" fontId="8" fillId="2" borderId="9" xfId="0" applyFont="1" applyFill="1" applyBorder="1" applyAlignment="1">
      <alignment horizontal="center" vertical="center" wrapText="1"/>
    </xf>
    <xf numFmtId="0" fontId="8" fillId="2" borderId="9"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0" xfId="0" applyFont="1" applyFill="1" applyAlignment="1">
      <alignment horizontal="center" vertical="center" wrapText="1"/>
    </xf>
    <xf numFmtId="0" fontId="8" fillId="2" borderId="0" xfId="0" applyFont="1" applyFill="1" applyAlignment="1">
      <alignment horizontal="center" vertical="center"/>
    </xf>
    <xf numFmtId="0" fontId="8" fillId="2" borderId="25"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12" xfId="0" applyFont="1" applyFill="1" applyBorder="1" applyAlignment="1">
      <alignment horizontal="center" vertical="center"/>
    </xf>
    <xf numFmtId="0" fontId="17" fillId="16" borderId="31" xfId="0" applyFont="1" applyFill="1" applyBorder="1" applyAlignment="1" applyProtection="1">
      <alignment horizontal="center" vertical="center" wrapText="1"/>
      <protection hidden="1"/>
    </xf>
    <xf numFmtId="0" fontId="17" fillId="16" borderId="9" xfId="0" applyFont="1" applyFill="1" applyBorder="1" applyAlignment="1" applyProtection="1">
      <alignment horizontal="center" vertical="center" wrapText="1"/>
      <protection hidden="1"/>
    </xf>
    <xf numFmtId="0" fontId="17" fillId="16" borderId="15" xfId="0" applyFont="1" applyFill="1" applyBorder="1" applyAlignment="1" applyProtection="1">
      <alignment horizontal="center" vertical="center" wrapText="1"/>
      <protection hidden="1"/>
    </xf>
    <xf numFmtId="0" fontId="17" fillId="16" borderId="10" xfId="0" applyFont="1" applyFill="1" applyBorder="1" applyAlignment="1" applyProtection="1">
      <alignment horizontal="center" vertical="center" wrapText="1"/>
      <protection hidden="1"/>
    </xf>
    <xf numFmtId="0" fontId="17" fillId="16" borderId="1" xfId="0" applyFont="1" applyFill="1" applyBorder="1" applyAlignment="1" applyProtection="1">
      <alignment horizontal="center" vertical="center" wrapText="1"/>
      <protection hidden="1"/>
    </xf>
    <xf numFmtId="0" fontId="17" fillId="16" borderId="12" xfId="0" applyFont="1" applyFill="1" applyBorder="1" applyAlignment="1" applyProtection="1">
      <alignment horizontal="center" vertical="center" wrapText="1"/>
      <protection hidden="1"/>
    </xf>
    <xf numFmtId="0" fontId="17" fillId="0" borderId="15" xfId="0" applyFont="1" applyBorder="1" applyAlignment="1">
      <alignment horizontal="center" vertical="center"/>
    </xf>
    <xf numFmtId="0" fontId="17" fillId="0" borderId="25" xfId="0" applyFont="1" applyBorder="1" applyAlignment="1">
      <alignment horizontal="center" vertical="center"/>
    </xf>
    <xf numFmtId="0" fontId="17" fillId="0" borderId="12" xfId="0" applyFont="1" applyBorder="1" applyAlignment="1">
      <alignment horizontal="center" vertical="center"/>
    </xf>
    <xf numFmtId="0" fontId="8" fillId="2" borderId="31" xfId="0" applyFont="1" applyFill="1" applyBorder="1" applyAlignment="1" applyProtection="1">
      <alignment horizontal="center" vertical="center" wrapText="1"/>
      <protection hidden="1"/>
    </xf>
    <xf numFmtId="0" fontId="8" fillId="2" borderId="3" xfId="0" applyFont="1" applyFill="1" applyBorder="1" applyAlignment="1" applyProtection="1">
      <alignment horizontal="center" vertical="center" wrapText="1"/>
      <protection hidden="1"/>
    </xf>
    <xf numFmtId="0" fontId="8" fillId="0" borderId="1" xfId="0" applyFont="1" applyBorder="1" applyAlignment="1">
      <alignment horizontal="center" vertical="center"/>
    </xf>
    <xf numFmtId="0" fontId="8" fillId="2" borderId="105"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0" fontId="3" fillId="2" borderId="200" xfId="0" applyFont="1" applyFill="1" applyBorder="1" applyAlignment="1" applyProtection="1">
      <alignment horizontal="center" vertical="center" wrapText="1"/>
      <protection hidden="1"/>
    </xf>
    <xf numFmtId="0" fontId="3" fillId="2" borderId="5" xfId="0" applyFont="1" applyFill="1" applyBorder="1" applyAlignment="1" applyProtection="1">
      <alignment horizontal="center" vertical="center" wrapText="1"/>
      <protection hidden="1"/>
    </xf>
    <xf numFmtId="0" fontId="0" fillId="0" borderId="73" xfId="0" applyBorder="1" applyAlignment="1">
      <alignment vertical="center"/>
    </xf>
    <xf numFmtId="0" fontId="0" fillId="0" borderId="14" xfId="0" applyBorder="1" applyAlignment="1">
      <alignment vertical="center"/>
    </xf>
    <xf numFmtId="0" fontId="0" fillId="0" borderId="34" xfId="0" applyBorder="1" applyAlignment="1">
      <alignment vertical="center"/>
    </xf>
    <xf numFmtId="0" fontId="10" fillId="0" borderId="0" xfId="0" applyFont="1" applyAlignment="1" applyProtection="1">
      <alignment horizontal="left" wrapText="1"/>
      <protection hidden="1"/>
    </xf>
    <xf numFmtId="0" fontId="1" fillId="0" borderId="0" xfId="0" applyFont="1" applyAlignment="1" applyProtection="1">
      <alignment horizontal="left" wrapText="1"/>
      <protection hidden="1"/>
    </xf>
    <xf numFmtId="0" fontId="1" fillId="0" borderId="5" xfId="0" applyFont="1" applyBorder="1" applyAlignment="1" applyProtection="1">
      <alignment horizontal="left" wrapText="1"/>
      <protection hidden="1"/>
    </xf>
    <xf numFmtId="0" fontId="16" fillId="0" borderId="9" xfId="0" applyFont="1" applyBorder="1" applyAlignment="1" applyProtection="1">
      <alignment horizontal="center" vertical="top"/>
      <protection hidden="1"/>
    </xf>
    <xf numFmtId="0" fontId="16" fillId="0" borderId="0" xfId="0" applyFont="1" applyAlignment="1">
      <alignment horizontal="center" vertical="top"/>
    </xf>
    <xf numFmtId="0" fontId="0" fillId="17" borderId="9" xfId="0" applyFill="1" applyBorder="1" applyAlignment="1" applyProtection="1">
      <alignment horizontal="right"/>
      <protection hidden="1"/>
    </xf>
    <xf numFmtId="0" fontId="0" fillId="17" borderId="15" xfId="0" applyFill="1" applyBorder="1" applyAlignment="1" applyProtection="1">
      <alignment horizontal="right"/>
      <protection hidden="1"/>
    </xf>
    <xf numFmtId="0" fontId="0" fillId="17" borderId="3" xfId="0" applyFill="1" applyBorder="1" applyAlignment="1" applyProtection="1">
      <alignment horizontal="right"/>
      <protection hidden="1"/>
    </xf>
    <xf numFmtId="0" fontId="0" fillId="17" borderId="0" xfId="0" applyFill="1" applyAlignment="1" applyProtection="1">
      <alignment horizontal="right"/>
      <protection hidden="1"/>
    </xf>
    <xf numFmtId="0" fontId="0" fillId="17" borderId="25" xfId="0" applyFill="1" applyBorder="1" applyAlignment="1" applyProtection="1">
      <alignment horizontal="right"/>
      <protection hidden="1"/>
    </xf>
    <xf numFmtId="0" fontId="0" fillId="17" borderId="70" xfId="0" applyFill="1" applyBorder="1" applyAlignment="1" applyProtection="1">
      <alignment horizontal="right"/>
      <protection hidden="1"/>
    </xf>
    <xf numFmtId="0" fontId="0" fillId="17" borderId="5" xfId="0" applyFill="1" applyBorder="1" applyAlignment="1" applyProtection="1">
      <alignment horizontal="right"/>
      <protection hidden="1"/>
    </xf>
    <xf numFmtId="0" fontId="0" fillId="17" borderId="71" xfId="0" applyFill="1" applyBorder="1" applyAlignment="1" applyProtection="1">
      <alignment horizontal="right"/>
      <protection hidden="1"/>
    </xf>
    <xf numFmtId="37" fontId="0" fillId="24" borderId="31" xfId="0" applyNumberFormat="1" applyFill="1" applyBorder="1" applyAlignment="1" applyProtection="1">
      <alignment horizontal="right"/>
      <protection hidden="1"/>
    </xf>
    <xf numFmtId="0" fontId="0" fillId="24" borderId="15" xfId="0" applyFill="1" applyBorder="1" applyAlignment="1" applyProtection="1">
      <alignment horizontal="right"/>
      <protection hidden="1"/>
    </xf>
    <xf numFmtId="0" fontId="0" fillId="24" borderId="3" xfId="0" applyFill="1" applyBorder="1" applyAlignment="1" applyProtection="1">
      <alignment horizontal="right"/>
      <protection hidden="1"/>
    </xf>
    <xf numFmtId="0" fontId="0" fillId="24" borderId="25" xfId="0" applyFill="1" applyBorder="1" applyAlignment="1" applyProtection="1">
      <alignment horizontal="right"/>
      <protection hidden="1"/>
    </xf>
    <xf numFmtId="0" fontId="0" fillId="24" borderId="10" xfId="0" applyFill="1" applyBorder="1" applyAlignment="1" applyProtection="1">
      <alignment horizontal="right"/>
      <protection hidden="1"/>
    </xf>
    <xf numFmtId="0" fontId="0" fillId="24" borderId="12" xfId="0" applyFill="1" applyBorder="1" applyAlignment="1" applyProtection="1">
      <alignment horizontal="right"/>
      <protection hidden="1"/>
    </xf>
    <xf numFmtId="0" fontId="2" fillId="16" borderId="8" xfId="0" applyFont="1" applyFill="1" applyBorder="1" applyAlignment="1" applyProtection="1">
      <alignment horizontal="left" wrapText="1"/>
      <protection hidden="1"/>
    </xf>
    <xf numFmtId="0" fontId="2" fillId="16" borderId="8" xfId="0" applyFont="1" applyFill="1" applyBorder="1" applyAlignment="1">
      <alignment wrapText="1"/>
    </xf>
    <xf numFmtId="0" fontId="5" fillId="16" borderId="104" xfId="0" applyFont="1" applyFill="1" applyBorder="1" applyAlignment="1" applyProtection="1">
      <alignment horizontal="left" vertical="top" wrapText="1"/>
      <protection hidden="1"/>
    </xf>
    <xf numFmtId="0" fontId="5" fillId="0" borderId="104" xfId="0" applyFont="1" applyBorder="1" applyAlignment="1">
      <alignment wrapText="1"/>
    </xf>
    <xf numFmtId="0" fontId="5" fillId="0" borderId="14" xfId="0" applyFont="1" applyBorder="1" applyAlignment="1">
      <alignment wrapText="1"/>
    </xf>
    <xf numFmtId="0" fontId="5" fillId="2" borderId="9" xfId="0" applyFont="1" applyFill="1" applyBorder="1" applyAlignment="1" applyProtection="1">
      <alignment vertical="top" wrapText="1"/>
      <protection hidden="1"/>
    </xf>
    <xf numFmtId="0" fontId="5" fillId="0" borderId="9" xfId="0" applyFont="1" applyBorder="1" applyAlignment="1">
      <alignment vertical="top" wrapText="1"/>
    </xf>
    <xf numFmtId="0" fontId="5" fillId="0" borderId="0" xfId="0" applyFont="1" applyAlignment="1">
      <alignment vertical="top" wrapText="1"/>
    </xf>
    <xf numFmtId="0" fontId="0" fillId="17" borderId="9" xfId="0" applyFill="1" applyBorder="1" applyAlignment="1">
      <alignment horizontal="right"/>
    </xf>
    <xf numFmtId="0" fontId="0" fillId="17" borderId="0" xfId="0" applyFill="1" applyAlignment="1">
      <alignment horizontal="right"/>
    </xf>
    <xf numFmtId="0" fontId="3" fillId="16" borderId="104" xfId="0" applyFont="1" applyFill="1" applyBorder="1" applyAlignment="1" applyProtection="1">
      <alignment horizontal="left" vertical="top" wrapText="1"/>
      <protection hidden="1"/>
    </xf>
    <xf numFmtId="0" fontId="3" fillId="0" borderId="104" xfId="0" applyFont="1" applyBorder="1" applyAlignment="1">
      <alignment wrapText="1"/>
    </xf>
    <xf numFmtId="0" fontId="3" fillId="0" borderId="14" xfId="0" applyFont="1" applyBorder="1" applyAlignment="1">
      <alignment wrapText="1"/>
    </xf>
    <xf numFmtId="0" fontId="0" fillId="17" borderId="10" xfId="0" applyFill="1" applyBorder="1" applyAlignment="1" applyProtection="1">
      <alignment horizontal="right"/>
      <protection hidden="1"/>
    </xf>
    <xf numFmtId="0" fontId="0" fillId="17" borderId="1" xfId="0" applyFill="1" applyBorder="1" applyAlignment="1" applyProtection="1">
      <alignment horizontal="right"/>
      <protection hidden="1"/>
    </xf>
    <xf numFmtId="0" fontId="0" fillId="17" borderId="12" xfId="0" applyFill="1" applyBorder="1" applyAlignment="1" applyProtection="1">
      <alignment horizontal="right"/>
      <protection hidden="1"/>
    </xf>
    <xf numFmtId="0" fontId="10" fillId="0" borderId="9" xfId="0" applyFont="1" applyBorder="1" applyAlignment="1" applyProtection="1">
      <alignment horizontal="center" vertical="top"/>
      <protection hidden="1"/>
    </xf>
    <xf numFmtId="0" fontId="10" fillId="0" borderId="0" xfId="0" applyFont="1" applyAlignment="1">
      <alignment horizontal="center" vertical="top"/>
    </xf>
    <xf numFmtId="0" fontId="0" fillId="17" borderId="1" xfId="0" applyFill="1" applyBorder="1" applyAlignment="1">
      <alignment horizontal="right"/>
    </xf>
    <xf numFmtId="0" fontId="8" fillId="2" borderId="0" xfId="0" applyFont="1" applyFill="1" applyAlignment="1" applyProtection="1">
      <alignment horizontal="center" vertical="center" wrapText="1"/>
      <protection hidden="1"/>
    </xf>
    <xf numFmtId="0" fontId="8" fillId="2" borderId="200" xfId="0" applyFont="1" applyFill="1" applyBorder="1" applyAlignment="1" applyProtection="1">
      <alignment horizontal="center" vertical="center" wrapText="1"/>
      <protection hidden="1"/>
    </xf>
    <xf numFmtId="0" fontId="8" fillId="2" borderId="5" xfId="0" applyFont="1" applyFill="1" applyBorder="1" applyAlignment="1" applyProtection="1">
      <alignment horizontal="center" vertical="center" wrapText="1"/>
      <protection hidden="1"/>
    </xf>
    <xf numFmtId="0" fontId="10" fillId="0" borderId="5" xfId="0" applyFont="1" applyBorder="1" applyAlignment="1" applyProtection="1">
      <alignment horizontal="left" wrapText="1"/>
      <protection hidden="1"/>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10" fillId="3" borderId="26" xfId="0" applyFont="1" applyFill="1" applyBorder="1" applyProtection="1">
      <protection hidden="1"/>
    </xf>
    <xf numFmtId="0" fontId="13" fillId="3" borderId="26" xfId="0" applyFont="1" applyFill="1" applyBorder="1" applyProtection="1">
      <protection hidden="1"/>
    </xf>
    <xf numFmtId="0" fontId="14" fillId="0" borderId="26" xfId="0" applyFont="1" applyBorder="1" applyProtection="1">
      <protection hidden="1"/>
    </xf>
    <xf numFmtId="0" fontId="8" fillId="3" borderId="0" xfId="0" applyFont="1" applyFill="1" applyAlignment="1" applyProtection="1">
      <alignment horizontal="left" vertical="center"/>
      <protection hidden="1"/>
    </xf>
    <xf numFmtId="0" fontId="0" fillId="0" borderId="0" xfId="0" applyAlignment="1" applyProtection="1">
      <alignment horizontal="left" vertical="center"/>
      <protection hidden="1"/>
    </xf>
    <xf numFmtId="0" fontId="0" fillId="0" borderId="21" xfId="0" applyBorder="1" applyAlignment="1">
      <alignment horizontal="left" vertical="center"/>
    </xf>
    <xf numFmtId="0" fontId="46" fillId="3" borderId="6" xfId="0" applyFont="1" applyFill="1" applyBorder="1" applyAlignment="1" applyProtection="1">
      <alignment horizontal="center" vertical="top"/>
      <protection hidden="1"/>
    </xf>
    <xf numFmtId="0" fontId="8" fillId="3" borderId="5" xfId="0" applyFont="1" applyFill="1" applyBorder="1" applyAlignment="1" applyProtection="1">
      <alignment horizontal="left" vertical="center"/>
      <protection hidden="1"/>
    </xf>
    <xf numFmtId="0" fontId="0" fillId="0" borderId="5" xfId="0" applyBorder="1" applyAlignment="1" applyProtection="1">
      <alignment horizontal="left" vertical="center"/>
      <protection hidden="1"/>
    </xf>
    <xf numFmtId="0" fontId="0" fillId="0" borderId="23" xfId="0" applyBorder="1" applyAlignment="1">
      <alignment horizontal="left" vertical="center"/>
    </xf>
    <xf numFmtId="0" fontId="5" fillId="0" borderId="0" xfId="0" applyFont="1" applyAlignment="1" applyProtection="1">
      <alignment horizontal="center" vertical="top"/>
      <protection hidden="1"/>
    </xf>
    <xf numFmtId="0" fontId="5" fillId="0" borderId="21" xfId="0" applyFont="1" applyBorder="1" applyAlignment="1" applyProtection="1">
      <alignment horizontal="center" vertical="top"/>
      <protection hidden="1"/>
    </xf>
    <xf numFmtId="0" fontId="21" fillId="15" borderId="0" xfId="0" applyFont="1" applyFill="1" applyAlignment="1" applyProtection="1">
      <alignment horizontal="center"/>
      <protection hidden="1"/>
    </xf>
    <xf numFmtId="0" fontId="0" fillId="16" borderId="0" xfId="0" applyFill="1" applyAlignment="1" applyProtection="1">
      <alignment horizontal="center"/>
      <protection hidden="1"/>
    </xf>
    <xf numFmtId="0" fontId="0" fillId="16" borderId="21" xfId="0" applyFill="1" applyBorder="1" applyAlignment="1" applyProtection="1">
      <alignment horizontal="center"/>
      <protection hidden="1"/>
    </xf>
    <xf numFmtId="0" fontId="46" fillId="15" borderId="6" xfId="0" applyFont="1" applyFill="1" applyBorder="1" applyAlignment="1" applyProtection="1">
      <alignment horizontal="center" vertical="top"/>
      <protection hidden="1"/>
    </xf>
    <xf numFmtId="0" fontId="46" fillId="15" borderId="0" xfId="0" applyFont="1" applyFill="1" applyAlignment="1" applyProtection="1">
      <alignment horizontal="center" vertical="top"/>
      <protection hidden="1"/>
    </xf>
    <xf numFmtId="0" fontId="9" fillId="16" borderId="0" xfId="0" applyFont="1" applyFill="1" applyAlignment="1" applyProtection="1">
      <alignment horizontal="center" vertical="top"/>
      <protection hidden="1"/>
    </xf>
    <xf numFmtId="0" fontId="9" fillId="16" borderId="21" xfId="0" applyFont="1" applyFill="1" applyBorder="1" applyAlignment="1" applyProtection="1">
      <alignment horizontal="center" vertical="top"/>
      <protection hidden="1"/>
    </xf>
    <xf numFmtId="0" fontId="11" fillId="15" borderId="22" xfId="0" applyFont="1" applyFill="1" applyBorder="1" applyAlignment="1" applyProtection="1">
      <alignment horizontal="center" vertical="center"/>
      <protection hidden="1"/>
    </xf>
    <xf numFmtId="0" fontId="11" fillId="15" borderId="5" xfId="0" applyFont="1" applyFill="1" applyBorder="1" applyAlignment="1" applyProtection="1">
      <alignment horizontal="center" vertical="center"/>
      <protection hidden="1"/>
    </xf>
    <xf numFmtId="0" fontId="8" fillId="16" borderId="5" xfId="0" applyFont="1" applyFill="1" applyBorder="1" applyAlignment="1" applyProtection="1">
      <alignment horizontal="center" vertical="center"/>
      <protection hidden="1"/>
    </xf>
    <xf numFmtId="0" fontId="8" fillId="16" borderId="23" xfId="0" applyFont="1" applyFill="1" applyBorder="1" applyAlignment="1" applyProtection="1">
      <alignment horizontal="center" vertical="center"/>
      <protection hidden="1"/>
    </xf>
    <xf numFmtId="0" fontId="10" fillId="3" borderId="9" xfId="0" applyFont="1" applyFill="1" applyBorder="1" applyAlignment="1" applyProtection="1">
      <alignment horizontal="left" vertical="top"/>
      <protection hidden="1"/>
    </xf>
    <xf numFmtId="0" fontId="0" fillId="0" borderId="9" xfId="0" applyBorder="1" applyAlignment="1">
      <alignment horizontal="left" vertical="top"/>
    </xf>
    <xf numFmtId="0" fontId="0" fillId="0" borderId="15" xfId="0" applyBorder="1" applyAlignment="1">
      <alignment horizontal="left" vertical="top"/>
    </xf>
    <xf numFmtId="0" fontId="0" fillId="0" borderId="0" xfId="0" applyAlignment="1">
      <alignment horizontal="left" vertical="top"/>
    </xf>
    <xf numFmtId="0" fontId="0" fillId="0" borderId="25" xfId="0" applyBorder="1" applyAlignment="1">
      <alignment horizontal="left" vertical="top"/>
    </xf>
    <xf numFmtId="0" fontId="49" fillId="16" borderId="0" xfId="0" applyFont="1" applyFill="1" applyAlignment="1" applyProtection="1">
      <alignment horizontal="center"/>
      <protection hidden="1"/>
    </xf>
    <xf numFmtId="0" fontId="49" fillId="16" borderId="5" xfId="0" applyFont="1" applyFill="1" applyBorder="1" applyAlignment="1" applyProtection="1">
      <alignment horizontal="center"/>
      <protection hidden="1"/>
    </xf>
    <xf numFmtId="0" fontId="3" fillId="16" borderId="26" xfId="0" applyFont="1" applyFill="1" applyBorder="1" applyAlignment="1" applyProtection="1">
      <alignment horizontal="right"/>
      <protection hidden="1"/>
    </xf>
    <xf numFmtId="0" fontId="3" fillId="16" borderId="55" xfId="0" applyFont="1" applyFill="1" applyBorder="1" applyAlignment="1" applyProtection="1">
      <alignment horizontal="right"/>
      <protection hidden="1"/>
    </xf>
    <xf numFmtId="0" fontId="192" fillId="0" borderId="24" xfId="0" applyFont="1" applyBorder="1" applyAlignment="1" applyProtection="1">
      <alignment horizontal="center" vertical="center" wrapText="1"/>
      <protection hidden="1"/>
    </xf>
    <xf numFmtId="0" fontId="0" fillId="0" borderId="20" xfId="0" applyBorder="1" applyAlignment="1" applyProtection="1">
      <alignment vertical="center" wrapText="1"/>
      <protection hidden="1"/>
    </xf>
    <xf numFmtId="0" fontId="0" fillId="0" borderId="27" xfId="0" applyBorder="1" applyAlignment="1" applyProtection="1">
      <alignment vertical="center" wrapText="1"/>
      <protection hidden="1"/>
    </xf>
    <xf numFmtId="0" fontId="0" fillId="0" borderId="30" xfId="0" applyBorder="1" applyAlignment="1" applyProtection="1">
      <alignment vertical="center" wrapText="1"/>
      <protection hidden="1"/>
    </xf>
    <xf numFmtId="0" fontId="172" fillId="0" borderId="118" xfId="0" applyFont="1" applyBorder="1" applyAlignment="1">
      <alignment horizontal="center" vertical="center" wrapText="1"/>
    </xf>
    <xf numFmtId="0" fontId="0" fillId="0" borderId="32" xfId="0" applyBorder="1" applyAlignment="1">
      <alignment horizontal="center" vertical="center" wrapText="1"/>
    </xf>
    <xf numFmtId="0" fontId="0" fillId="0" borderId="32" xfId="0" applyBorder="1" applyAlignment="1">
      <alignment vertical="center" wrapText="1"/>
    </xf>
    <xf numFmtId="0" fontId="0" fillId="0" borderId="119" xfId="0" applyBorder="1" applyAlignment="1">
      <alignment vertical="center" wrapText="1"/>
    </xf>
    <xf numFmtId="0" fontId="1" fillId="16" borderId="9" xfId="0" applyFont="1" applyFill="1" applyBorder="1" applyAlignment="1" applyProtection="1">
      <alignment horizontal="left" vertical="center" wrapText="1"/>
      <protection hidden="1"/>
    </xf>
    <xf numFmtId="0" fontId="0" fillId="0" borderId="71" xfId="0" applyBorder="1" applyAlignment="1">
      <alignment horizontal="left" vertical="center" wrapText="1"/>
    </xf>
    <xf numFmtId="0" fontId="16" fillId="16" borderId="9" xfId="0" quotePrefix="1" applyFont="1" applyFill="1" applyBorder="1" applyAlignment="1" applyProtection="1">
      <alignment horizontal="right" vertical="center" wrapText="1"/>
      <protection hidden="1"/>
    </xf>
    <xf numFmtId="0" fontId="3" fillId="16" borderId="31" xfId="0" applyFont="1" applyFill="1" applyBorder="1" applyAlignment="1" applyProtection="1">
      <alignment horizontal="left" vertical="center" wrapText="1"/>
      <protection hidden="1"/>
    </xf>
    <xf numFmtId="0" fontId="0" fillId="16" borderId="9" xfId="0" applyFill="1" applyBorder="1" applyAlignment="1">
      <alignment horizontal="left" vertical="center" wrapText="1"/>
    </xf>
    <xf numFmtId="0" fontId="0" fillId="16" borderId="3" xfId="0" applyFill="1" applyBorder="1" applyAlignment="1">
      <alignment horizontal="left" vertical="center" wrapText="1"/>
    </xf>
    <xf numFmtId="0" fontId="0" fillId="16" borderId="0" xfId="0" applyFill="1" applyAlignment="1">
      <alignment horizontal="left" vertical="center" wrapText="1"/>
    </xf>
    <xf numFmtId="0" fontId="0" fillId="16" borderId="10" xfId="0" applyFill="1" applyBorder="1" applyAlignment="1">
      <alignment horizontal="left" vertical="center" wrapText="1"/>
    </xf>
    <xf numFmtId="0" fontId="0" fillId="16" borderId="1" xfId="0" applyFill="1" applyBorder="1" applyAlignment="1">
      <alignment horizontal="left" vertical="center" wrapText="1"/>
    </xf>
    <xf numFmtId="0" fontId="0" fillId="0" borderId="3" xfId="0" applyBorder="1" applyAlignment="1">
      <alignment horizontal="left" vertical="center" wrapText="1"/>
    </xf>
    <xf numFmtId="0" fontId="0" fillId="0" borderId="10" xfId="0" applyBorder="1" applyAlignment="1">
      <alignment horizontal="left" vertical="center" wrapText="1"/>
    </xf>
    <xf numFmtId="37" fontId="6" fillId="29" borderId="40" xfId="0" applyNumberFormat="1" applyFont="1" applyFill="1" applyBorder="1" applyAlignment="1" applyProtection="1">
      <alignment horizontal="right"/>
      <protection hidden="1"/>
    </xf>
    <xf numFmtId="0" fontId="1" fillId="0" borderId="26" xfId="0" applyFont="1" applyBorder="1" applyAlignment="1" applyProtection="1">
      <alignment horizontal="right"/>
      <protection hidden="1"/>
    </xf>
    <xf numFmtId="0" fontId="138" fillId="16" borderId="3" xfId="0" applyFont="1" applyFill="1" applyBorder="1" applyProtection="1">
      <protection hidden="1"/>
    </xf>
    <xf numFmtId="0" fontId="171" fillId="16" borderId="3" xfId="0" applyFont="1" applyFill="1" applyBorder="1" applyAlignment="1">
      <alignment horizontal="left" wrapText="1"/>
    </xf>
    <xf numFmtId="0" fontId="171" fillId="16" borderId="0" xfId="0" applyFont="1" applyFill="1" applyAlignment="1">
      <alignment horizontal="left" wrapText="1"/>
    </xf>
    <xf numFmtId="0" fontId="171" fillId="16" borderId="25" xfId="0" applyFont="1" applyFill="1" applyBorder="1" applyAlignment="1">
      <alignment horizontal="left" wrapText="1"/>
    </xf>
    <xf numFmtId="0" fontId="171" fillId="16" borderId="10" xfId="0" applyFont="1" applyFill="1" applyBorder="1" applyAlignment="1">
      <alignment horizontal="left" vertical="top" wrapText="1"/>
    </xf>
    <xf numFmtId="0" fontId="171" fillId="16" borderId="1" xfId="0" applyFont="1" applyFill="1" applyBorder="1" applyAlignment="1">
      <alignment horizontal="left" vertical="top" wrapText="1"/>
    </xf>
    <xf numFmtId="0" fontId="171" fillId="16" borderId="12" xfId="0" applyFont="1" applyFill="1" applyBorder="1" applyAlignment="1">
      <alignment horizontal="left" vertical="top" wrapText="1"/>
    </xf>
    <xf numFmtId="1" fontId="6" fillId="29" borderId="10" xfId="0" applyNumberFormat="1" applyFont="1" applyFill="1" applyBorder="1" applyAlignment="1" applyProtection="1">
      <alignment horizontal="right"/>
      <protection hidden="1"/>
    </xf>
    <xf numFmtId="39" fontId="1" fillId="17" borderId="13" xfId="0" applyNumberFormat="1" applyFont="1" applyFill="1" applyBorder="1" applyProtection="1">
      <protection locked="0"/>
    </xf>
    <xf numFmtId="39" fontId="1" fillId="17" borderId="40" xfId="0" applyNumberFormat="1" applyFont="1" applyFill="1" applyBorder="1" applyAlignment="1" applyProtection="1">
      <alignment horizontal="right" indent="1"/>
      <protection locked="0" hidden="1"/>
    </xf>
    <xf numFmtId="39" fontId="1" fillId="17" borderId="26" xfId="0" applyNumberFormat="1" applyFont="1" applyFill="1" applyBorder="1" applyAlignment="1" applyProtection="1">
      <alignment horizontal="right" indent="1"/>
      <protection locked="0" hidden="1"/>
    </xf>
    <xf numFmtId="39" fontId="1" fillId="17" borderId="55" xfId="0" applyNumberFormat="1" applyFont="1" applyFill="1" applyBorder="1" applyAlignment="1" applyProtection="1">
      <alignment horizontal="right" indent="1"/>
      <protection locked="0" hidden="1"/>
    </xf>
    <xf numFmtId="39" fontId="1" fillId="26" borderId="13" xfId="0" applyNumberFormat="1" applyFont="1" applyFill="1" applyBorder="1" applyProtection="1">
      <protection hidden="1"/>
    </xf>
    <xf numFmtId="39" fontId="1" fillId="17" borderId="40" xfId="0" applyNumberFormat="1" applyFont="1" applyFill="1" applyBorder="1" applyProtection="1">
      <protection locked="0"/>
    </xf>
    <xf numFmtId="0" fontId="16" fillId="0" borderId="9" xfId="0" applyFont="1" applyBorder="1" applyAlignment="1" applyProtection="1">
      <alignment horizontal="center" vertical="center" wrapText="1"/>
      <protection hidden="1"/>
    </xf>
    <xf numFmtId="0" fontId="16" fillId="0" borderId="9" xfId="0" applyFont="1" applyBorder="1" applyAlignment="1" applyProtection="1">
      <alignment horizontal="center" vertical="center"/>
      <protection hidden="1"/>
    </xf>
    <xf numFmtId="0" fontId="16" fillId="0" borderId="0" xfId="0" applyFont="1" applyAlignment="1" applyProtection="1">
      <alignment horizontal="center" vertical="center"/>
      <protection hidden="1"/>
    </xf>
    <xf numFmtId="0" fontId="5" fillId="24" borderId="16" xfId="0" applyFont="1" applyFill="1" applyBorder="1" applyAlignment="1" applyProtection="1">
      <alignment horizontal="center" vertical="center" wrapText="1"/>
      <protection hidden="1"/>
    </xf>
    <xf numFmtId="0" fontId="5" fillId="24" borderId="16" xfId="0" applyFont="1" applyFill="1" applyBorder="1" applyAlignment="1" applyProtection="1">
      <alignment horizontal="center" vertical="center"/>
      <protection hidden="1"/>
    </xf>
    <xf numFmtId="0" fontId="5" fillId="24" borderId="7" xfId="0" applyFont="1" applyFill="1" applyBorder="1" applyAlignment="1" applyProtection="1">
      <alignment horizontal="center" vertical="center"/>
      <protection hidden="1"/>
    </xf>
    <xf numFmtId="0" fontId="138" fillId="0" borderId="0" xfId="0" applyFont="1" applyAlignment="1" applyProtection="1">
      <alignment vertical="center" wrapText="1"/>
      <protection hidden="1"/>
    </xf>
    <xf numFmtId="0" fontId="138" fillId="0" borderId="0" xfId="0" applyFont="1" applyAlignment="1">
      <alignment wrapText="1"/>
    </xf>
    <xf numFmtId="0" fontId="1" fillId="0" borderId="5" xfId="0" applyFont="1" applyBorder="1" applyAlignment="1" applyProtection="1">
      <alignment horizontal="right"/>
      <protection hidden="1"/>
    </xf>
    <xf numFmtId="37" fontId="1" fillId="0" borderId="5" xfId="0" applyNumberFormat="1" applyFont="1" applyBorder="1" applyAlignment="1" applyProtection="1">
      <alignment horizontal="right"/>
      <protection hidden="1"/>
    </xf>
    <xf numFmtId="0" fontId="1" fillId="0" borderId="1" xfId="0" applyFont="1" applyBorder="1" applyAlignment="1" applyProtection="1">
      <alignment horizontal="right"/>
      <protection hidden="1"/>
    </xf>
    <xf numFmtId="0" fontId="0" fillId="16" borderId="27" xfId="0" applyFill="1" applyBorder="1" applyAlignment="1" applyProtection="1">
      <alignment horizontal="center"/>
      <protection hidden="1"/>
    </xf>
    <xf numFmtId="0" fontId="41" fillId="16" borderId="31" xfId="0" applyFont="1" applyFill="1" applyBorder="1" applyAlignment="1" applyProtection="1">
      <alignment horizontal="left" vertical="center" wrapText="1"/>
      <protection hidden="1"/>
    </xf>
    <xf numFmtId="0" fontId="41" fillId="16" borderId="9" xfId="0" applyFont="1" applyFill="1" applyBorder="1" applyAlignment="1" applyProtection="1">
      <alignment horizontal="left" vertical="center" wrapText="1"/>
      <protection hidden="1"/>
    </xf>
    <xf numFmtId="0" fontId="41" fillId="16" borderId="15" xfId="0" applyFont="1" applyFill="1" applyBorder="1" applyAlignment="1" applyProtection="1">
      <alignment horizontal="left" vertical="center" wrapText="1"/>
      <protection hidden="1"/>
    </xf>
    <xf numFmtId="0" fontId="41" fillId="16" borderId="3" xfId="0" applyFont="1" applyFill="1" applyBorder="1" applyAlignment="1" applyProtection="1">
      <alignment horizontal="left" vertical="center" wrapText="1"/>
      <protection hidden="1"/>
    </xf>
    <xf numFmtId="0" fontId="41" fillId="16" borderId="0" xfId="0" applyFont="1" applyFill="1" applyAlignment="1" applyProtection="1">
      <alignment horizontal="left" vertical="center" wrapText="1"/>
      <protection hidden="1"/>
    </xf>
    <xf numFmtId="0" fontId="41" fillId="16" borderId="25" xfId="0" applyFont="1" applyFill="1" applyBorder="1" applyAlignment="1" applyProtection="1">
      <alignment horizontal="left" vertical="center" wrapText="1"/>
      <protection hidden="1"/>
    </xf>
    <xf numFmtId="0" fontId="41" fillId="16" borderId="10" xfId="0" applyFont="1" applyFill="1" applyBorder="1" applyAlignment="1" applyProtection="1">
      <alignment horizontal="left" vertical="center" wrapText="1"/>
      <protection hidden="1"/>
    </xf>
    <xf numFmtId="0" fontId="41" fillId="16" borderId="1" xfId="0" applyFont="1" applyFill="1" applyBorder="1" applyAlignment="1" applyProtection="1">
      <alignment horizontal="left" vertical="center" wrapText="1"/>
      <protection hidden="1"/>
    </xf>
    <xf numFmtId="0" fontId="41" fillId="16" borderId="12" xfId="0" applyFont="1" applyFill="1" applyBorder="1" applyAlignment="1" applyProtection="1">
      <alignment horizontal="left" vertical="center" wrapText="1"/>
      <protection hidden="1"/>
    </xf>
    <xf numFmtId="37" fontId="6" fillId="27" borderId="32" xfId="0" applyNumberFormat="1" applyFont="1" applyFill="1" applyBorder="1" applyAlignment="1" applyProtection="1">
      <alignment horizontal="right"/>
      <protection hidden="1"/>
    </xf>
    <xf numFmtId="0" fontId="1" fillId="27" borderId="32" xfId="0" applyFont="1" applyFill="1" applyBorder="1" applyAlignment="1" applyProtection="1">
      <alignment horizontal="right"/>
      <protection hidden="1"/>
    </xf>
    <xf numFmtId="0" fontId="1" fillId="27" borderId="74" xfId="0" applyFont="1" applyFill="1" applyBorder="1" applyAlignment="1" applyProtection="1">
      <alignment horizontal="right"/>
      <protection hidden="1"/>
    </xf>
    <xf numFmtId="0" fontId="138" fillId="16" borderId="0" xfId="0" applyFont="1" applyFill="1" applyAlignment="1" applyProtection="1">
      <alignment horizontal="left" vertical="center" wrapText="1"/>
      <protection hidden="1"/>
    </xf>
    <xf numFmtId="0" fontId="138" fillId="0" borderId="0" xfId="0" applyFont="1" applyAlignment="1">
      <alignment horizontal="left" vertical="center" wrapText="1"/>
    </xf>
    <xf numFmtId="0" fontId="3" fillId="16" borderId="22" xfId="0" applyFont="1" applyFill="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23" xfId="0" applyFont="1" applyBorder="1" applyAlignment="1" applyProtection="1">
      <alignment horizontal="center"/>
      <protection hidden="1"/>
    </xf>
    <xf numFmtId="0" fontId="0" fillId="16" borderId="6" xfId="0"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1" xfId="0" applyBorder="1" applyAlignment="1" applyProtection="1">
      <alignment horizontal="center" vertical="top"/>
      <protection hidden="1"/>
    </xf>
    <xf numFmtId="180" fontId="6" fillId="29" borderId="1" xfId="0" applyNumberFormat="1" applyFont="1" applyFill="1" applyBorder="1" applyAlignment="1" applyProtection="1">
      <alignment horizontal="right"/>
      <protection hidden="1"/>
    </xf>
    <xf numFmtId="180" fontId="1" fillId="0" borderId="1" xfId="0" applyNumberFormat="1" applyFont="1" applyBorder="1" applyAlignment="1" applyProtection="1">
      <alignment horizontal="right"/>
      <protection hidden="1"/>
    </xf>
    <xf numFmtId="0" fontId="1" fillId="26" borderId="1" xfId="0" applyFont="1" applyFill="1" applyBorder="1" applyAlignment="1" applyProtection="1">
      <alignment horizontal="right"/>
      <protection hidden="1"/>
    </xf>
    <xf numFmtId="0" fontId="0" fillId="16" borderId="3" xfId="0" applyFill="1" applyBorder="1" applyProtection="1">
      <protection hidden="1"/>
    </xf>
    <xf numFmtId="0" fontId="5" fillId="24" borderId="31" xfId="0" applyFont="1" applyFill="1" applyBorder="1" applyAlignment="1" applyProtection="1">
      <alignment horizontal="center" vertical="center"/>
      <protection hidden="1"/>
    </xf>
    <xf numFmtId="0" fontId="5" fillId="24" borderId="3" xfId="0" applyFont="1" applyFill="1" applyBorder="1" applyAlignment="1" applyProtection="1">
      <alignment horizontal="center" vertical="center"/>
      <protection hidden="1"/>
    </xf>
    <xf numFmtId="0" fontId="3" fillId="16" borderId="9" xfId="0" applyFont="1" applyFill="1" applyBorder="1" applyAlignment="1" applyProtection="1">
      <alignment horizontal="left" vertical="center"/>
      <protection hidden="1"/>
    </xf>
    <xf numFmtId="0" fontId="3" fillId="0" borderId="9" xfId="0" applyFont="1" applyBorder="1" applyAlignment="1">
      <alignment horizontal="left" vertical="center"/>
    </xf>
    <xf numFmtId="0" fontId="3" fillId="0" borderId="1" xfId="0" applyFont="1" applyBorder="1" applyAlignment="1">
      <alignment horizontal="left" vertical="center"/>
    </xf>
    <xf numFmtId="0" fontId="1" fillId="28" borderId="1" xfId="0" applyFont="1" applyFill="1" applyBorder="1" applyAlignment="1" applyProtection="1">
      <alignment horizontal="right"/>
      <protection hidden="1"/>
    </xf>
    <xf numFmtId="0" fontId="96" fillId="16" borderId="0" xfId="0" applyFont="1" applyFill="1" applyAlignment="1" applyProtection="1">
      <alignment horizontal="center"/>
      <protection hidden="1"/>
    </xf>
    <xf numFmtId="0" fontId="96" fillId="16" borderId="21" xfId="0" applyFont="1" applyFill="1" applyBorder="1" applyAlignment="1" applyProtection="1">
      <alignment horizontal="center"/>
      <protection hidden="1"/>
    </xf>
    <xf numFmtId="0" fontId="3" fillId="16" borderId="26" xfId="0" applyFont="1" applyFill="1" applyBorder="1" applyAlignment="1" applyProtection="1">
      <alignment horizontal="left"/>
      <protection hidden="1"/>
    </xf>
    <xf numFmtId="39" fontId="1" fillId="17" borderId="13" xfId="0" applyNumberFormat="1" applyFont="1" applyFill="1" applyBorder="1" applyAlignment="1" applyProtection="1">
      <alignment horizontal="right"/>
      <protection locked="0"/>
    </xf>
    <xf numFmtId="39" fontId="1" fillId="17" borderId="40" xfId="0" applyNumberFormat="1" applyFont="1" applyFill="1" applyBorder="1" applyAlignment="1" applyProtection="1">
      <alignment horizontal="right"/>
      <protection locked="0"/>
    </xf>
    <xf numFmtId="49" fontId="3" fillId="17" borderId="1" xfId="0" applyNumberFormat="1" applyFont="1" applyFill="1" applyBorder="1" applyAlignment="1" applyProtection="1">
      <alignment horizontal="center"/>
      <protection locked="0"/>
    </xf>
    <xf numFmtId="49" fontId="0" fillId="17"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2" xfId="0" applyNumberFormat="1" applyBorder="1" applyAlignment="1" applyProtection="1">
      <alignment horizontal="center"/>
      <protection locked="0"/>
    </xf>
    <xf numFmtId="166" fontId="16" fillId="17" borderId="10" xfId="0" applyNumberFormat="1" applyFont="1" applyFill="1" applyBorder="1" applyAlignment="1" applyProtection="1">
      <alignment horizontal="center"/>
      <protection locked="0"/>
    </xf>
    <xf numFmtId="166" fontId="16" fillId="17" borderId="1" xfId="0" applyNumberFormat="1" applyFont="1" applyFill="1" applyBorder="1" applyAlignment="1" applyProtection="1">
      <alignment horizontal="center"/>
      <protection locked="0"/>
    </xf>
    <xf numFmtId="166" fontId="16" fillId="0" borderId="1" xfId="0" applyNumberFormat="1" applyFont="1" applyBorder="1" applyAlignment="1" applyProtection="1">
      <alignment horizontal="center"/>
      <protection locked="0"/>
    </xf>
    <xf numFmtId="166" fontId="16" fillId="0" borderId="12" xfId="0" applyNumberFormat="1" applyFont="1" applyBorder="1" applyAlignment="1" applyProtection="1">
      <alignment horizontal="center"/>
      <protection locked="0"/>
    </xf>
    <xf numFmtId="187" fontId="3" fillId="17" borderId="10" xfId="0" applyNumberFormat="1" applyFont="1" applyFill="1" applyBorder="1" applyAlignment="1" applyProtection="1">
      <alignment horizontal="center"/>
      <protection locked="0"/>
    </xf>
    <xf numFmtId="187" fontId="0" fillId="17" borderId="1" xfId="0" applyNumberFormat="1" applyFill="1" applyBorder="1" applyAlignment="1" applyProtection="1">
      <alignment horizontal="center"/>
      <protection locked="0"/>
    </xf>
    <xf numFmtId="187" fontId="0" fillId="0" borderId="1" xfId="0" applyNumberFormat="1" applyBorder="1" applyAlignment="1" applyProtection="1">
      <alignment horizontal="center"/>
      <protection locked="0"/>
    </xf>
    <xf numFmtId="37" fontId="6" fillId="29" borderId="3" xfId="0" applyNumberFormat="1" applyFont="1" applyFill="1" applyBorder="1" applyAlignment="1" applyProtection="1">
      <alignment horizontal="right"/>
      <protection hidden="1"/>
    </xf>
    <xf numFmtId="0" fontId="1" fillId="0" borderId="0" xfId="0" applyFont="1" applyAlignment="1" applyProtection="1">
      <alignment horizontal="right"/>
      <protection hidden="1"/>
    </xf>
    <xf numFmtId="0" fontId="0" fillId="0" borderId="5" xfId="0" applyBorder="1" applyAlignment="1" applyProtection="1">
      <alignment horizontal="center"/>
      <protection hidden="1"/>
    </xf>
    <xf numFmtId="0" fontId="3" fillId="16" borderId="0" xfId="0" applyFont="1" applyFill="1" applyAlignment="1" applyProtection="1">
      <alignment horizontal="left"/>
      <protection hidden="1"/>
    </xf>
    <xf numFmtId="0" fontId="1" fillId="0" borderId="28" xfId="0" applyFont="1" applyBorder="1" applyAlignment="1" applyProtection="1">
      <alignment horizontal="right"/>
      <protection hidden="1"/>
    </xf>
    <xf numFmtId="0" fontId="3" fillId="16" borderId="32" xfId="0" applyFont="1" applyFill="1" applyBorder="1" applyAlignment="1" applyProtection="1">
      <alignment horizontal="left"/>
      <protection hidden="1"/>
    </xf>
    <xf numFmtId="39" fontId="1" fillId="17" borderId="52" xfId="0" applyNumberFormat="1" applyFont="1" applyFill="1" applyBorder="1" applyProtection="1">
      <protection locked="0"/>
    </xf>
    <xf numFmtId="39" fontId="1" fillId="17" borderId="53" xfId="0" applyNumberFormat="1" applyFont="1" applyFill="1" applyBorder="1" applyAlignment="1" applyProtection="1">
      <alignment horizontal="right" indent="1"/>
      <protection locked="0" hidden="1"/>
    </xf>
    <xf numFmtId="39" fontId="1" fillId="17" borderId="32" xfId="0" applyNumberFormat="1" applyFont="1" applyFill="1" applyBorder="1" applyAlignment="1" applyProtection="1">
      <alignment horizontal="right" indent="1"/>
      <protection locked="0" hidden="1"/>
    </xf>
    <xf numFmtId="39" fontId="1" fillId="17" borderId="74" xfId="0" applyNumberFormat="1" applyFont="1" applyFill="1" applyBorder="1" applyAlignment="1" applyProtection="1">
      <alignment horizontal="right" indent="1"/>
      <protection locked="0" hidden="1"/>
    </xf>
    <xf numFmtId="39" fontId="1" fillId="26" borderId="52" xfId="0" applyNumberFormat="1" applyFont="1" applyFill="1" applyBorder="1" applyProtection="1">
      <protection hidden="1"/>
    </xf>
    <xf numFmtId="39" fontId="1" fillId="17" borderId="16" xfId="0" applyNumberFormat="1" applyFont="1" applyFill="1" applyBorder="1" applyAlignment="1" applyProtection="1">
      <alignment horizontal="right"/>
      <protection locked="0"/>
    </xf>
    <xf numFmtId="39" fontId="1" fillId="17" borderId="31" xfId="0" applyNumberFormat="1" applyFont="1" applyFill="1" applyBorder="1" applyAlignment="1" applyProtection="1">
      <alignment horizontal="right"/>
      <protection locked="0"/>
    </xf>
    <xf numFmtId="0" fontId="140" fillId="16" borderId="0" xfId="0" applyFont="1" applyFill="1" applyAlignment="1">
      <alignment horizontal="center"/>
    </xf>
    <xf numFmtId="0" fontId="140" fillId="16" borderId="25" xfId="0" applyFont="1" applyFill="1" applyBorder="1" applyAlignment="1">
      <alignment horizontal="center"/>
    </xf>
    <xf numFmtId="0" fontId="1" fillId="0" borderId="9" xfId="0" applyFont="1" applyBorder="1" applyAlignment="1" applyProtection="1">
      <alignment horizontal="left" vertical="center" wrapText="1"/>
      <protection hidden="1"/>
    </xf>
    <xf numFmtId="0" fontId="1" fillId="0" borderId="9" xfId="0" applyFont="1" applyBorder="1" applyAlignment="1" applyProtection="1">
      <alignment horizontal="left" vertical="center"/>
      <protection hidden="1"/>
    </xf>
    <xf numFmtId="0" fontId="1" fillId="0" borderId="15" xfId="0" applyFont="1" applyBorder="1" applyAlignment="1" applyProtection="1">
      <alignment horizontal="left" vertical="center"/>
      <protection hidden="1"/>
    </xf>
    <xf numFmtId="0" fontId="1" fillId="0" borderId="0" xfId="0" applyFont="1" applyAlignment="1" applyProtection="1">
      <alignment horizontal="left" vertical="center"/>
      <protection hidden="1"/>
    </xf>
    <xf numFmtId="0" fontId="1" fillId="0" borderId="25" xfId="0" applyFont="1" applyBorder="1" applyAlignment="1" applyProtection="1">
      <alignment horizontal="left" vertical="center"/>
      <protection hidden="1"/>
    </xf>
    <xf numFmtId="0" fontId="1" fillId="0" borderId="1" xfId="0" applyFont="1" applyBorder="1" applyAlignment="1" applyProtection="1">
      <alignment horizontal="left" vertical="center"/>
      <protection hidden="1"/>
    </xf>
    <xf numFmtId="0" fontId="1" fillId="0" borderId="12" xfId="0" applyFont="1" applyBorder="1" applyAlignment="1" applyProtection="1">
      <alignment horizontal="left" vertical="center"/>
      <protection hidden="1"/>
    </xf>
    <xf numFmtId="0" fontId="1" fillId="24" borderId="31" xfId="0" applyFont="1" applyFill="1" applyBorder="1" applyAlignment="1" applyProtection="1">
      <alignment horizontal="center" vertical="center"/>
      <protection hidden="1"/>
    </xf>
    <xf numFmtId="0" fontId="1" fillId="24" borderId="9" xfId="0" applyFont="1" applyFill="1" applyBorder="1" applyAlignment="1" applyProtection="1">
      <alignment horizontal="center" vertical="center"/>
      <protection hidden="1"/>
    </xf>
    <xf numFmtId="0" fontId="1" fillId="24" borderId="15" xfId="0" applyFont="1" applyFill="1" applyBorder="1" applyAlignment="1" applyProtection="1">
      <alignment horizontal="center" vertical="center"/>
      <protection hidden="1"/>
    </xf>
    <xf numFmtId="0" fontId="1" fillId="24" borderId="3" xfId="0" applyFont="1" applyFill="1" applyBorder="1" applyAlignment="1" applyProtection="1">
      <alignment horizontal="center" vertical="center"/>
      <protection hidden="1"/>
    </xf>
    <xf numFmtId="0" fontId="1" fillId="24" borderId="0" xfId="0" applyFont="1" applyFill="1" applyAlignment="1" applyProtection="1">
      <alignment horizontal="center" vertical="center"/>
      <protection hidden="1"/>
    </xf>
    <xf numFmtId="0" fontId="1" fillId="24" borderId="25" xfId="0" applyFont="1" applyFill="1" applyBorder="1" applyAlignment="1" applyProtection="1">
      <alignment horizontal="center" vertical="center"/>
      <protection hidden="1"/>
    </xf>
    <xf numFmtId="0" fontId="1" fillId="24" borderId="31" xfId="0" applyFont="1" applyFill="1" applyBorder="1" applyAlignment="1" applyProtection="1">
      <alignment horizontal="center" vertical="center" wrapText="1"/>
      <protection hidden="1"/>
    </xf>
    <xf numFmtId="10" fontId="0" fillId="17" borderId="10" xfId="0" applyNumberFormat="1" applyFill="1" applyBorder="1" applyAlignment="1" applyProtection="1">
      <alignment horizontal="center"/>
      <protection locked="0"/>
    </xf>
    <xf numFmtId="10" fontId="0" fillId="17"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2" xfId="0" applyNumberFormat="1" applyBorder="1" applyAlignment="1" applyProtection="1">
      <alignment horizontal="center"/>
      <protection locked="0"/>
    </xf>
    <xf numFmtId="187" fontId="0" fillId="17" borderId="10" xfId="0" applyNumberFormat="1" applyFill="1" applyBorder="1" applyAlignment="1" applyProtection="1">
      <alignment horizontal="center"/>
      <protection locked="0"/>
    </xf>
    <xf numFmtId="1" fontId="0" fillId="17" borderId="70" xfId="0" applyNumberFormat="1" applyFill="1" applyBorder="1" applyAlignment="1" applyProtection="1">
      <alignment horizontal="center"/>
      <protection locked="0"/>
    </xf>
    <xf numFmtId="1" fontId="0" fillId="17" borderId="5" xfId="0" applyNumberFormat="1" applyFill="1" applyBorder="1" applyAlignment="1" applyProtection="1">
      <alignment horizontal="center"/>
      <protection locked="0"/>
    </xf>
    <xf numFmtId="1" fontId="0" fillId="0" borderId="5" xfId="0" applyNumberFormat="1" applyBorder="1" applyAlignment="1" applyProtection="1">
      <alignment horizontal="center"/>
      <protection locked="0"/>
    </xf>
    <xf numFmtId="1" fontId="0" fillId="0" borderId="71" xfId="0" applyNumberFormat="1" applyBorder="1" applyAlignment="1" applyProtection="1">
      <alignment horizontal="center"/>
      <protection locked="0"/>
    </xf>
    <xf numFmtId="187" fontId="0" fillId="17" borderId="70" xfId="0" applyNumberFormat="1" applyFill="1" applyBorder="1" applyAlignment="1" applyProtection="1">
      <alignment horizontal="center"/>
      <protection locked="0"/>
    </xf>
    <xf numFmtId="187" fontId="0" fillId="17" borderId="5" xfId="0" applyNumberFormat="1" applyFill="1" applyBorder="1" applyAlignment="1" applyProtection="1">
      <alignment horizontal="center"/>
      <protection locked="0"/>
    </xf>
    <xf numFmtId="187" fontId="0" fillId="0" borderId="5" xfId="0" applyNumberFormat="1" applyBorder="1" applyAlignment="1" applyProtection="1">
      <alignment horizontal="center"/>
      <protection locked="0"/>
    </xf>
    <xf numFmtId="187" fontId="0" fillId="0" borderId="71" xfId="0" applyNumberFormat="1" applyBorder="1" applyAlignment="1" applyProtection="1">
      <alignment horizontal="center"/>
      <protection locked="0"/>
    </xf>
    <xf numFmtId="1" fontId="0" fillId="17" borderId="10" xfId="0" applyNumberFormat="1" applyFill="1" applyBorder="1" applyAlignment="1" applyProtection="1">
      <alignment horizontal="center"/>
      <protection locked="0"/>
    </xf>
    <xf numFmtId="1" fontId="0" fillId="17"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2" xfId="0" applyNumberFormat="1" applyBorder="1" applyAlignment="1" applyProtection="1">
      <alignment horizontal="center"/>
      <protection locked="0"/>
    </xf>
    <xf numFmtId="187" fontId="0" fillId="0" borderId="12" xfId="0" applyNumberFormat="1" applyBorder="1" applyAlignment="1" applyProtection="1">
      <alignment horizontal="center"/>
      <protection locked="0"/>
    </xf>
    <xf numFmtId="0" fontId="0" fillId="16" borderId="9" xfId="0" applyFill="1" applyBorder="1" applyAlignment="1" applyProtection="1">
      <alignment vertical="top"/>
      <protection hidden="1"/>
    </xf>
    <xf numFmtId="0" fontId="0" fillId="16" borderId="15" xfId="0" applyFill="1" applyBorder="1" applyAlignment="1" applyProtection="1">
      <alignment vertical="top"/>
      <protection hidden="1"/>
    </xf>
    <xf numFmtId="0" fontId="3" fillId="16" borderId="9" xfId="0" applyFont="1" applyFill="1" applyBorder="1" applyAlignment="1" applyProtection="1">
      <alignment vertical="top" wrapText="1"/>
      <protection hidden="1"/>
    </xf>
    <xf numFmtId="0" fontId="11" fillId="0" borderId="49" xfId="0" applyFont="1" applyBorder="1" applyAlignment="1" applyProtection="1">
      <alignment horizontal="center"/>
      <protection hidden="1"/>
    </xf>
    <xf numFmtId="0" fontId="11" fillId="0" borderId="114" xfId="0" applyFont="1" applyBorder="1" applyAlignment="1" applyProtection="1">
      <alignment horizontal="center"/>
      <protection hidden="1"/>
    </xf>
    <xf numFmtId="0" fontId="0" fillId="0" borderId="28" xfId="0" applyBorder="1" applyAlignment="1">
      <alignment horizontal="center"/>
    </xf>
    <xf numFmtId="0" fontId="0" fillId="0" borderId="115" xfId="0" applyBorder="1" applyAlignment="1">
      <alignment horizontal="center"/>
    </xf>
  </cellXfs>
  <cellStyles count="6">
    <cellStyle name="Currency" xfId="1" builtinId="4"/>
    <cellStyle name="Hyperlink" xfId="2" builtinId="8"/>
    <cellStyle name="Hyperlink 2" xfId="3"/>
    <cellStyle name="Hyperlink 3" xfId="5"/>
    <cellStyle name="Normal" xfId="0" builtinId="0"/>
    <cellStyle name="Normal 2" xfId="4"/>
  </cellStyles>
  <dxfs count="3149">
    <dxf>
      <fill>
        <patternFill>
          <bgColor theme="0"/>
        </patternFill>
      </fill>
    </dxf>
    <dxf>
      <fill>
        <patternFill>
          <bgColor theme="0"/>
        </patternFill>
      </fill>
    </dxf>
    <dxf>
      <font>
        <b/>
        <i val="0"/>
        <color auto="1"/>
      </font>
    </dxf>
    <dxf>
      <fill>
        <patternFill>
          <bgColor theme="0"/>
        </patternFill>
      </fill>
    </dxf>
    <dxf>
      <fill>
        <patternFill>
          <bgColor theme="0"/>
        </patternFill>
      </fill>
    </dxf>
    <dxf>
      <font>
        <b/>
        <i val="0"/>
        <color rgb="FFFF0000"/>
      </font>
    </dxf>
    <dxf>
      <font>
        <color theme="1"/>
      </font>
    </dxf>
    <dxf>
      <font>
        <color auto="1"/>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ont>
        <b/>
        <i val="0"/>
        <color rgb="FFFF0000"/>
      </font>
    </dxf>
    <dxf>
      <font>
        <b val="0"/>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i val="0"/>
        <color rgb="FFFF0000"/>
      </font>
    </dxf>
    <dxf>
      <font>
        <color theme="0"/>
      </font>
      <fill>
        <patternFill patternType="none">
          <bgColor auto="1"/>
        </patternFill>
      </fill>
      <border>
        <left/>
        <right/>
        <top/>
        <bottom/>
        <vertical/>
        <horizontal/>
      </border>
    </dxf>
    <dxf>
      <fill>
        <patternFill>
          <bgColor theme="0"/>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bgColor theme="0"/>
        </patternFill>
      </fill>
      <border>
        <left/>
        <right/>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ont>
        <color rgb="FFFF0000"/>
      </font>
    </dxf>
    <dxf>
      <fill>
        <patternFill>
          <bgColor theme="0"/>
        </patternFill>
      </fill>
    </dxf>
    <dxf>
      <font>
        <b/>
        <i val="0"/>
        <condense val="0"/>
        <extend val="0"/>
        <color indexed="10"/>
      </font>
    </dxf>
    <dxf>
      <font>
        <b/>
        <i val="0"/>
        <color rgb="FFFF0000"/>
      </font>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theme="1"/>
      </font>
    </dxf>
    <dxf>
      <border>
        <left style="thin">
          <color auto="1"/>
        </left>
        <right style="thin">
          <color auto="1"/>
        </right>
        <top style="thin">
          <color auto="1"/>
        </top>
        <bottom style="thin">
          <color auto="1"/>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ont>
        <b/>
        <i val="0"/>
        <color rgb="FFFF0000"/>
      </font>
    </dxf>
    <dxf>
      <font>
        <b val="0"/>
        <i val="0"/>
        <color indexed="10"/>
      </font>
    </dxf>
    <dxf>
      <font>
        <b/>
        <i val="0"/>
        <condense val="0"/>
        <extend val="0"/>
        <color indexed="17"/>
      </font>
    </dxf>
    <dxf>
      <font>
        <b/>
        <i val="0"/>
        <condense val="0"/>
        <extend val="0"/>
      </font>
    </dxf>
    <dxf>
      <font>
        <b/>
        <i val="0"/>
        <condense val="0"/>
        <extend val="0"/>
      </font>
    </dxf>
    <dxf>
      <font>
        <color theme="0" tint="-4.9989318521683403E-2"/>
      </font>
      <fill>
        <patternFill patternType="solid">
          <bgColor theme="0" tint="-4.9989318521683403E-2"/>
        </patternFill>
      </fill>
      <border>
        <left/>
        <right/>
        <top/>
        <bottom/>
        <vertical/>
        <horizontal/>
      </border>
    </dxf>
    <dxf>
      <fill>
        <patternFill>
          <bgColor theme="0"/>
        </patternFill>
      </fill>
    </dxf>
    <dxf>
      <fill>
        <patternFill>
          <bgColor theme="0"/>
        </patternFill>
      </fill>
    </dxf>
    <dxf>
      <font>
        <b/>
        <i val="0"/>
        <color rgb="FFC00000"/>
      </font>
    </dxf>
    <dxf>
      <font>
        <color rgb="FF00B05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70C0"/>
      </font>
      <fill>
        <patternFill>
          <bgColor theme="0" tint="-0.14996795556505021"/>
        </patternFill>
      </fill>
    </dxf>
    <dxf>
      <fill>
        <patternFill>
          <bgColor theme="0"/>
        </patternFill>
      </fill>
    </dxf>
    <dxf>
      <font>
        <color theme="1"/>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10"/>
      </font>
    </dxf>
    <dxf>
      <font>
        <condense val="0"/>
        <extend val="0"/>
        <color indexed="9"/>
      </font>
    </dxf>
    <dxf>
      <font>
        <b val="0"/>
        <i val="0"/>
        <condense val="0"/>
        <extend val="0"/>
        <color indexed="10"/>
      </font>
    </dxf>
    <dxf>
      <font>
        <b/>
        <i val="0"/>
        <condense val="0"/>
        <extend val="0"/>
        <color indexed="10"/>
      </font>
    </dxf>
    <dxf>
      <font>
        <b/>
        <i val="0"/>
        <color rgb="FFFF0000"/>
      </font>
    </dxf>
    <dxf>
      <font>
        <condense val="0"/>
        <extend val="0"/>
        <color indexed="9"/>
      </font>
    </dxf>
    <dxf>
      <font>
        <b val="0"/>
        <i val="0"/>
        <condense val="0"/>
        <extend val="0"/>
        <color indexed="10"/>
      </font>
    </dxf>
    <dxf>
      <font>
        <condense val="0"/>
        <extend val="0"/>
        <color indexed="22"/>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patternType="solid">
          <bgColor theme="0"/>
        </patternFill>
      </fill>
    </dxf>
    <dxf>
      <font>
        <color rgb="FFFF0000"/>
      </font>
      <fill>
        <patternFill patternType="solid">
          <bgColor theme="0"/>
        </patternFill>
      </fill>
    </dxf>
    <dxf>
      <font>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rgb="FFFF0000"/>
      </font>
      <fill>
        <patternFill patternType="solid">
          <bgColor theme="0"/>
        </patternFill>
      </fill>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b/>
        <i val="0"/>
        <color rgb="FF008000"/>
      </font>
      <fill>
        <patternFill>
          <bgColor rgb="FFFFFF00"/>
        </patternFill>
      </fill>
      <border>
        <left style="thin">
          <color auto="1"/>
        </left>
        <right style="thin">
          <color auto="1"/>
        </right>
        <top style="thin">
          <color auto="1"/>
        </top>
        <bottom style="thin">
          <color auto="1"/>
        </bottom>
      </border>
    </dxf>
    <dxf>
      <font>
        <b/>
        <i val="0"/>
        <color rgb="FF008000"/>
      </font>
      <fill>
        <patternFill>
          <bgColor rgb="FFFFFF00"/>
        </patternFill>
      </fill>
      <border>
        <left style="thin">
          <color auto="1"/>
        </left>
        <right style="thin">
          <color auto="1"/>
        </right>
        <top style="thin">
          <color auto="1"/>
        </top>
        <bottom style="thin">
          <color auto="1"/>
        </bottom>
      </border>
    </dxf>
    <dxf>
      <fill>
        <patternFill patternType="solid">
          <bgColor theme="0"/>
        </patternFill>
      </fill>
    </dxf>
    <dxf>
      <fill>
        <patternFill>
          <fgColor theme="0"/>
          <bgColor theme="0"/>
        </patternFill>
      </fill>
    </dxf>
    <dxf>
      <fill>
        <patternFill patternType="solid">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ont>
        <color theme="4" tint="0.79998168889431442"/>
      </font>
    </dxf>
    <dxf>
      <font>
        <b/>
        <i val="0"/>
        <color rgb="FFFF0000"/>
      </font>
    </dxf>
    <dxf>
      <font>
        <color rgb="FFFF0000"/>
      </font>
    </dxf>
    <dxf>
      <font>
        <color rgb="FFFF0000"/>
      </font>
    </dxf>
    <dxf>
      <font>
        <color rgb="FFFF0000"/>
      </font>
    </dxf>
    <dxf>
      <font>
        <color rgb="FFFF0000"/>
      </font>
    </dxf>
    <dxf>
      <fill>
        <patternFill patternType="solid">
          <bgColor theme="0"/>
        </patternFill>
      </fill>
    </dxf>
    <dxf>
      <fill>
        <patternFill patternType="solid">
          <bgColor theme="0"/>
        </patternFill>
      </fill>
    </dxf>
    <dxf>
      <fill>
        <patternFill patternType="solid">
          <bgColor theme="0"/>
        </patternFill>
      </fill>
    </dxf>
    <dxf>
      <font>
        <color rgb="FFFF0000"/>
      </font>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ill>
        <patternFill>
          <bgColor theme="0"/>
        </patternFill>
      </fill>
    </dxf>
    <dxf>
      <font>
        <color rgb="FFC00000"/>
      </font>
    </dxf>
    <dxf>
      <font>
        <color rgb="FFC00000"/>
      </font>
    </dxf>
    <dxf>
      <font>
        <b/>
        <i val="0"/>
        <color rgb="FFC00000"/>
      </font>
      <fill>
        <patternFill patternType="solid">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FF0000"/>
      </font>
    </dxf>
    <dxf>
      <font>
        <b/>
        <i val="0"/>
        <color rgb="FFFF0000"/>
      </font>
    </dxf>
    <dxf>
      <font>
        <b/>
        <i val="0"/>
        <color rgb="FFFF0000"/>
      </font>
    </dxf>
    <dxf>
      <font>
        <color rgb="FFFF0000"/>
      </font>
    </dxf>
    <dxf>
      <font>
        <b/>
        <i val="0"/>
        <color rgb="FFFF0000"/>
      </font>
    </dxf>
    <dxf>
      <font>
        <color rgb="FFFF0000"/>
      </font>
    </dxf>
    <dxf>
      <font>
        <b/>
        <i val="0"/>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ndense val="0"/>
        <extend val="0"/>
        <color indexed="9"/>
      </font>
    </dxf>
    <dxf>
      <font>
        <b/>
        <i val="0"/>
        <condense val="0"/>
        <extend val="0"/>
        <color indexed="1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6337778862885"/>
        </patternFill>
      </fill>
      <border>
        <bottom style="thin">
          <color auto="1"/>
        </bottom>
        <vertical/>
        <horizontal/>
      </border>
    </dxf>
    <dxf>
      <fill>
        <patternFill>
          <bgColor theme="0"/>
        </patternFill>
      </fill>
      <border>
        <bottom style="thin">
          <color auto="1"/>
        </bottom>
      </border>
    </dxf>
    <dxf>
      <font>
        <color rgb="FF008000"/>
      </font>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ill>
        <patternFill>
          <bgColor theme="0"/>
        </patternFill>
      </fill>
    </dxf>
    <dxf>
      <font>
        <color theme="0"/>
      </font>
    </dxf>
    <dxf>
      <fill>
        <patternFill>
          <bgColor theme="0"/>
        </patternFill>
      </fill>
    </dxf>
    <dxf>
      <font>
        <color theme="0"/>
      </font>
    </dxf>
    <dxf>
      <font>
        <color rgb="FFFF0000"/>
      </font>
    </dxf>
    <dxf>
      <font>
        <color rgb="FFFF0000"/>
      </font>
    </dxf>
    <dxf>
      <fill>
        <patternFill patternType="solid">
          <fgColor theme="0"/>
          <bgColor theme="0"/>
        </patternFill>
      </fill>
    </dxf>
    <dxf>
      <fill>
        <patternFill patternType="solid">
          <fgColor theme="0"/>
          <bgColor theme="0"/>
        </patternFill>
      </fill>
    </dxf>
    <dxf>
      <fill>
        <patternFill>
          <bgColor theme="0"/>
        </patternFill>
      </fill>
      <border>
        <left style="thin">
          <color auto="1"/>
        </left>
        <right style="thin">
          <color auto="1"/>
        </right>
        <top style="thin">
          <color auto="1"/>
        </top>
        <bottom style="thin">
          <color auto="1"/>
        </bottom>
      </border>
    </dxf>
    <dxf>
      <font>
        <color theme="0"/>
      </font>
    </dxf>
    <dxf>
      <font>
        <color theme="0"/>
      </font>
    </dxf>
    <dxf>
      <border>
        <left/>
        <right/>
        <top/>
        <bottom/>
        <vertical/>
        <horizontal/>
      </border>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ont>
        <color theme="0"/>
      </font>
    </dxf>
    <dxf>
      <font>
        <color theme="0"/>
      </font>
    </dxf>
    <dxf>
      <border>
        <left/>
        <right/>
        <top/>
        <bottom/>
        <vertical/>
        <horizontal/>
      </border>
    </dxf>
    <dxf>
      <font>
        <color rgb="FFFF0000"/>
      </font>
    </dxf>
    <dxf>
      <fill>
        <patternFill>
          <bgColor theme="0"/>
        </patternFill>
      </fill>
    </dxf>
    <dxf>
      <fill>
        <patternFill>
          <bgColor theme="0"/>
        </patternFill>
      </fill>
    </dxf>
    <dxf>
      <fill>
        <patternFill patternType="solid">
          <fgColor theme="0"/>
          <bgColor theme="0"/>
        </patternFill>
      </fill>
    </dxf>
    <dxf>
      <font>
        <color rgb="FF008000"/>
      </font>
      <fill>
        <patternFill>
          <bgColor theme="0"/>
        </patternFill>
      </fill>
    </dxf>
    <dxf>
      <font>
        <color rgb="FFFF0000"/>
      </font>
      <fill>
        <patternFill patternType="solid">
          <fgColor theme="0"/>
          <bgColor theme="0"/>
        </patternFill>
      </fill>
    </dxf>
    <dxf>
      <font>
        <color theme="0"/>
      </font>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ont>
        <color theme="0"/>
      </font>
    </dxf>
    <dxf>
      <font>
        <color theme="0"/>
      </font>
    </dxf>
    <dxf>
      <fill>
        <patternFill>
          <bgColor theme="0"/>
        </patternFill>
      </fill>
    </dxf>
    <dxf>
      <font>
        <color theme="4" tint="0.59996337778862885"/>
      </font>
    </dxf>
    <dxf>
      <fill>
        <patternFill patternType="lightUp"/>
      </fill>
    </dxf>
    <dxf>
      <fill>
        <patternFill patternType="lightUp"/>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b/>
        <i val="0"/>
        <condense val="0"/>
        <extend val="0"/>
        <color indexed="10"/>
      </font>
    </dxf>
    <dxf>
      <font>
        <condense val="0"/>
        <extend val="0"/>
        <color indexed="9"/>
      </font>
    </dxf>
    <dxf>
      <font>
        <b/>
        <i val="0"/>
        <condense val="0"/>
        <extend val="0"/>
        <color indexed="10"/>
      </font>
    </dxf>
    <dxf>
      <font>
        <condense val="0"/>
        <extend val="0"/>
        <color indexed="9"/>
      </font>
    </dxf>
    <dxf>
      <font>
        <b/>
        <i val="0"/>
        <condense val="0"/>
        <extend val="0"/>
        <color indexed="10"/>
      </font>
    </dxf>
    <dxf>
      <font>
        <condense val="0"/>
        <extend val="0"/>
      </font>
      <fill>
        <patternFill>
          <bgColor indexed="9"/>
        </patternFill>
      </fill>
    </dxf>
    <dxf>
      <fill>
        <patternFill patternType="lightUp"/>
      </fill>
    </dxf>
    <dxf>
      <fill>
        <patternFill patternType="lightUp"/>
      </fill>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ont>
        <color theme="0"/>
      </font>
    </dxf>
    <dxf>
      <font>
        <color theme="0"/>
      </font>
    </dxf>
    <dxf>
      <fill>
        <patternFill>
          <bgColor theme="0"/>
        </patternFill>
      </fill>
    </dxf>
    <dxf>
      <font>
        <color theme="4" tint="0.59996337778862885"/>
      </font>
    </dxf>
    <dxf>
      <fill>
        <patternFill patternType="lightUp"/>
      </fill>
    </dxf>
    <dxf>
      <fill>
        <patternFill patternType="lightUp"/>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b/>
        <i val="0"/>
        <condense val="0"/>
        <extend val="0"/>
        <color indexed="10"/>
      </font>
    </dxf>
    <dxf>
      <font>
        <color theme="4" tint="0.59996337778862885"/>
      </font>
    </dxf>
    <dxf>
      <font>
        <condense val="0"/>
        <extend val="0"/>
        <color indexed="9"/>
      </font>
    </dxf>
    <dxf>
      <font>
        <b/>
        <i val="0"/>
        <condense val="0"/>
        <extend val="0"/>
        <color indexed="10"/>
      </font>
    </dxf>
    <dxf>
      <font>
        <condense val="0"/>
        <extend val="0"/>
        <color indexed="9"/>
      </font>
    </dxf>
    <dxf>
      <font>
        <b/>
        <i val="0"/>
        <condense val="0"/>
        <extend val="0"/>
        <color indexed="10"/>
      </font>
    </dxf>
    <dxf>
      <font>
        <condense val="0"/>
        <extend val="0"/>
      </font>
      <fill>
        <patternFill>
          <bgColor indexed="9"/>
        </patternFill>
      </fill>
    </dxf>
    <dxf>
      <fill>
        <patternFill patternType="lightUp"/>
      </fill>
    </dxf>
    <dxf>
      <fill>
        <patternFill patternType="lightUp"/>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style="dotted">
          <color auto="1"/>
        </bottom>
        <vertical/>
        <horizontal/>
      </border>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4" tint="0.79998168889431442"/>
      </font>
    </dxf>
    <dxf>
      <font>
        <color theme="0"/>
      </font>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indexed="47"/>
        </patternFill>
      </fill>
    </dxf>
    <dxf>
      <font>
        <color rgb="FFFF0000"/>
      </font>
    </dxf>
    <dxf>
      <fill>
        <patternFill>
          <bgColor indexed="47"/>
        </patternFill>
      </fill>
    </dxf>
    <dxf>
      <fill>
        <patternFill>
          <bgColor theme="0"/>
        </patternFill>
      </fill>
    </dxf>
    <dxf>
      <fill>
        <patternFill>
          <bgColor theme="0"/>
        </patternFill>
      </fill>
    </dxf>
    <dxf>
      <fill>
        <patternFill>
          <bgColor theme="0"/>
        </patternFill>
      </fill>
    </dxf>
    <dxf>
      <font>
        <b/>
        <i val="0"/>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008000"/>
      </font>
    </dxf>
    <dxf>
      <font>
        <b/>
        <i val="0"/>
        <color rgb="FFC0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0.24994659260841701"/>
        </patternFill>
      </fill>
    </dxf>
    <dxf>
      <fill>
        <patternFill>
          <bgColor theme="0" tint="-0.24994659260841701"/>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ont>
        <color theme="4" tint="0.79998168889431442"/>
      </font>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color rgb="FFFF0000"/>
      </font>
    </dxf>
    <dxf>
      <fill>
        <patternFill>
          <bgColor theme="0"/>
        </patternFill>
      </fill>
    </dxf>
    <dxf>
      <font>
        <color theme="0"/>
      </font>
      <fill>
        <patternFill patternType="none">
          <bgColor auto="1"/>
        </patternFill>
      </fill>
      <border>
        <left/>
        <right/>
        <top/>
        <bottom/>
        <vertical/>
        <horizontal/>
      </border>
    </dxf>
    <dxf>
      <font>
        <color theme="0"/>
      </font>
    </dxf>
    <dxf>
      <font>
        <color theme="0"/>
      </font>
    </dxf>
    <dxf>
      <font>
        <color theme="0"/>
      </font>
    </dxf>
    <dxf>
      <fill>
        <patternFill patternType="none">
          <bgColor auto="1"/>
        </patternFill>
      </fill>
      <border>
        <left/>
        <right/>
        <top/>
        <bottom/>
        <vertical/>
        <horizontal/>
      </border>
    </dxf>
    <dxf>
      <font>
        <b/>
        <i val="0"/>
        <color rgb="FFFF0000"/>
      </font>
    </dxf>
    <dxf>
      <font>
        <b/>
        <i val="0"/>
        <color rgb="FF008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vertical/>
        <horizontal/>
      </border>
    </dxf>
    <dxf>
      <border>
        <bottom/>
        <vertical/>
        <horizontal/>
      </border>
    </dxf>
    <dxf>
      <fill>
        <patternFill>
          <bgColor theme="0" tint="-4.9989318521683403E-2"/>
        </patternFill>
      </fill>
      <border>
        <left/>
        <right/>
        <top/>
        <bottom/>
        <vertical/>
        <horizontal/>
      </border>
    </dxf>
    <dxf>
      <font>
        <strike val="0"/>
        <color auto="1"/>
      </font>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FF0000"/>
      </font>
    </dxf>
    <dxf>
      <font>
        <b/>
        <i val="0"/>
        <color rgb="FF008000"/>
      </font>
    </dxf>
    <dxf>
      <font>
        <b/>
        <i val="0"/>
        <color rgb="FFFF0000"/>
      </font>
    </dxf>
    <dxf>
      <font>
        <b/>
        <i val="0"/>
        <color rgb="FF008000"/>
      </font>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ont>
        <b/>
        <i val="0"/>
        <color rgb="FF008000"/>
      </font>
    </dxf>
    <dxf>
      <font>
        <b/>
        <i val="0"/>
        <color rgb="FFFF0000"/>
      </font>
    </dxf>
    <dxf>
      <font>
        <b/>
        <i val="0"/>
        <color rgb="FFFF0000"/>
      </font>
    </dxf>
    <dxf>
      <font>
        <b/>
        <i val="0"/>
        <color rgb="FF008000"/>
      </font>
    </dxf>
    <dxf>
      <fill>
        <patternFill>
          <bgColor theme="0"/>
        </patternFill>
      </fill>
      <border>
        <left style="thin">
          <color auto="1"/>
        </left>
        <right style="thin">
          <color auto="1"/>
        </right>
        <top style="thin">
          <color auto="1"/>
        </top>
        <bottom style="thin">
          <color auto="1"/>
        </bottom>
        <vertical/>
        <horizontal/>
      </border>
    </dxf>
    <dxf>
      <font>
        <b/>
        <i val="0"/>
        <color rgb="FFFF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border>
        <left/>
        <right/>
        <top/>
        <bottom/>
        <vertical/>
        <horizontal/>
      </border>
    </dxf>
    <dxf>
      <font>
        <color rgb="FF008000"/>
      </font>
    </dxf>
    <dxf>
      <font>
        <color rgb="FF008000"/>
      </font>
    </dxf>
    <dxf>
      <font>
        <color rgb="FF008000"/>
      </font>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10"/>
      </font>
    </dxf>
    <dxf>
      <fill>
        <patternFill>
          <bgColor theme="0"/>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lor theme="3" tint="0.39991454817346722"/>
      </font>
    </dxf>
    <dxf>
      <font>
        <b/>
        <i val="0"/>
        <color theme="3" tint="0.39991454817346722"/>
      </font>
    </dxf>
    <dxf>
      <font>
        <b/>
        <i val="0"/>
        <color rgb="FFFF0000"/>
      </font>
    </dxf>
    <dxf>
      <font>
        <color theme="3" tint="0.39994506668294322"/>
      </font>
    </dxf>
    <dxf>
      <font>
        <b/>
        <i val="0"/>
        <color rgb="FF008000"/>
      </font>
    </dxf>
    <dxf>
      <font>
        <color theme="3" tint="0.39994506668294322"/>
      </font>
    </dxf>
    <dxf>
      <font>
        <color theme="3" tint="0.39994506668294322"/>
      </font>
    </dxf>
    <dxf>
      <font>
        <color theme="3" tint="0.39994506668294322"/>
      </font>
    </dxf>
    <dxf>
      <font>
        <color theme="3" tint="0.39994506668294322"/>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ont>
        <b/>
        <i val="0"/>
        <color rgb="FFFF0000"/>
      </font>
    </dxf>
    <dxf>
      <font>
        <b/>
        <i val="0"/>
        <color rgb="FFFF0000"/>
      </font>
    </dxf>
    <dxf>
      <font>
        <color rgb="FFFF0000"/>
      </font>
    </dxf>
    <dxf>
      <font>
        <color rgb="FF008000"/>
      </font>
    </dxf>
    <dxf>
      <font>
        <b/>
        <i val="0"/>
        <color rgb="FFFF0000"/>
      </font>
    </dxf>
    <dxf>
      <font>
        <b/>
        <i val="0"/>
        <condense val="0"/>
        <extend val="0"/>
        <color indexed="17"/>
      </font>
    </dxf>
    <dxf>
      <font>
        <b/>
        <i val="0"/>
        <condense val="0"/>
        <extend val="0"/>
        <color indexed="17"/>
      </font>
    </dxf>
    <dxf>
      <font>
        <b/>
        <i val="0"/>
        <color rgb="FFFF0000"/>
      </font>
    </dxf>
    <dxf>
      <font>
        <b/>
        <i val="0"/>
        <color rgb="FF008000"/>
      </font>
    </dxf>
    <dxf>
      <font>
        <b/>
        <i val="0"/>
        <color rgb="FFFF0000"/>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lor rgb="FF0070C0"/>
      </font>
    </dxf>
    <dxf>
      <font>
        <b/>
        <i val="0"/>
        <condense val="0"/>
        <extend val="0"/>
        <color indexed="17"/>
      </font>
    </dxf>
    <dxf>
      <font>
        <b/>
        <i val="0"/>
        <condense val="0"/>
        <extend val="0"/>
        <color indexed="17"/>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ndense val="0"/>
        <extend val="0"/>
        <color indexed="10"/>
      </font>
    </dxf>
    <dxf>
      <font>
        <b/>
        <i val="0"/>
        <strike val="0"/>
        <color rgb="FF008000"/>
      </font>
    </dxf>
    <dxf>
      <font>
        <b/>
        <i val="0"/>
        <color rgb="FF008000"/>
      </font>
    </dxf>
    <dxf>
      <font>
        <b/>
        <i val="0"/>
        <condense val="0"/>
        <extend val="0"/>
        <color indexed="10"/>
      </font>
    </dxf>
    <dxf>
      <font>
        <b/>
        <i val="0"/>
        <color rgb="FF0070C0"/>
      </font>
    </dxf>
    <dxf>
      <font>
        <b/>
        <i val="0"/>
        <color rgb="FF008000"/>
      </font>
    </dxf>
    <dxf>
      <font>
        <b/>
        <i val="0"/>
        <color rgb="FF008000"/>
      </font>
    </dxf>
    <dxf>
      <font>
        <b/>
        <i val="0"/>
        <color rgb="FF0070C0"/>
      </font>
    </dxf>
    <dxf>
      <font>
        <b/>
        <i val="0"/>
        <color rgb="FF0070C0"/>
      </font>
    </dxf>
    <dxf>
      <font>
        <b/>
        <i val="0"/>
        <color rgb="FF0070C0"/>
      </font>
    </dxf>
    <dxf>
      <font>
        <b/>
        <i val="0"/>
        <color rgb="FF0070C0"/>
      </font>
    </dxf>
    <dxf>
      <font>
        <b/>
        <i val="0"/>
        <color rgb="FF0070C0"/>
      </font>
    </dxf>
    <dxf>
      <font>
        <b/>
        <i val="0"/>
        <condense val="0"/>
        <extend val="0"/>
        <color indexed="10"/>
      </font>
    </dxf>
    <dxf>
      <font>
        <b/>
        <i val="0"/>
        <condense val="0"/>
        <extend val="0"/>
        <color indexed="17"/>
      </font>
    </dxf>
    <dxf>
      <font>
        <b/>
        <i val="0"/>
        <condense val="0"/>
        <extend val="0"/>
        <color indexed="10"/>
      </font>
    </dxf>
    <dxf>
      <font>
        <b/>
        <i val="0"/>
        <color theme="3" tint="0.39994506668294322"/>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condense val="0"/>
        <extend val="0"/>
        <color indexed="17"/>
      </font>
    </dxf>
    <dxf>
      <font>
        <condense val="0"/>
        <extend val="0"/>
        <color indexed="17"/>
      </font>
    </dxf>
    <dxf>
      <font>
        <b/>
        <i val="0"/>
        <condense val="0"/>
        <extend val="0"/>
        <color indexed="10"/>
      </font>
    </dxf>
    <dxf>
      <font>
        <b/>
        <i val="0"/>
        <color theme="3" tint="0.39991454817346722"/>
      </font>
    </dxf>
    <dxf>
      <font>
        <b/>
        <i val="0"/>
        <condense val="0"/>
        <extend val="0"/>
        <color indexed="17"/>
      </font>
    </dxf>
    <dxf>
      <font>
        <b/>
        <i val="0"/>
        <condense val="0"/>
        <extend val="0"/>
        <color indexed="17"/>
      </font>
    </dxf>
    <dxf>
      <font>
        <b/>
        <i val="0"/>
        <strike val="0"/>
        <color rgb="FFFF0000"/>
        <name val="Cambria"/>
        <scheme val="none"/>
      </font>
    </dxf>
    <dxf>
      <font>
        <b/>
        <i val="0"/>
        <condense val="0"/>
        <extend val="0"/>
        <color indexed="17"/>
      </font>
    </dxf>
    <dxf>
      <fill>
        <patternFill>
          <bgColor theme="0"/>
        </patternFill>
      </fill>
    </dxf>
    <dxf>
      <font>
        <color rgb="FFFF0000"/>
      </font>
    </dxf>
    <dxf>
      <font>
        <color rgb="FFFF0000"/>
      </font>
    </dxf>
    <dxf>
      <font>
        <color rgb="FFFF0000"/>
      </font>
    </dxf>
    <dxf>
      <fill>
        <patternFill>
          <bgColor theme="4" tint="0.79998168889431442"/>
        </patternFill>
      </fill>
      <border>
        <bottom style="thin">
          <color auto="1"/>
        </bottom>
        <vertical/>
        <horizontal/>
      </border>
    </dxf>
    <dxf>
      <fill>
        <patternFill>
          <bgColor theme="0"/>
        </patternFill>
      </fill>
    </dxf>
    <dxf>
      <fill>
        <patternFill>
          <bgColor theme="0"/>
        </patternFill>
      </fill>
    </dxf>
    <dxf>
      <fill>
        <patternFill>
          <bgColor theme="0"/>
        </patternFill>
      </fill>
    </dxf>
    <dxf>
      <font>
        <b/>
        <i val="0"/>
        <color rgb="FF008000"/>
      </font>
    </dxf>
    <dxf>
      <font>
        <b/>
        <i val="0"/>
        <color rgb="FF008000"/>
      </font>
    </dxf>
    <dxf>
      <font>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indexed="64"/>
        </bottom>
      </border>
    </dxf>
    <dxf>
      <fill>
        <patternFill>
          <bgColor theme="4" tint="0.79998168889431442"/>
        </patternFill>
      </fill>
      <border>
        <bottom style="thin">
          <color indexed="64"/>
        </bottom>
      </border>
    </dxf>
    <dxf>
      <fill>
        <patternFill>
          <bgColor theme="4" tint="0.79998168889431442"/>
        </patternFill>
      </fill>
      <border>
        <bottom style="thin">
          <color indexed="64"/>
        </bottom>
      </border>
    </dxf>
    <dxf>
      <font>
        <color rgb="FFFF0000"/>
      </font>
    </dxf>
    <dxf>
      <font>
        <b/>
        <i val="0"/>
        <color rgb="FF008000"/>
      </font>
    </dxf>
    <dxf>
      <font>
        <b/>
        <i val="0"/>
        <condense val="0"/>
        <extend val="0"/>
        <color indexed="50"/>
      </font>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auto="1"/>
      </font>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ont>
        <color theme="0"/>
      </font>
    </dxf>
    <dxf>
      <font>
        <color theme="0"/>
      </font>
    </dxf>
    <dxf>
      <font>
        <b val="0"/>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10"/>
      </font>
    </dxf>
    <dxf>
      <font>
        <b/>
        <i val="0"/>
        <color rgb="FFFF0000"/>
      </font>
    </dxf>
    <dxf>
      <font>
        <condense val="0"/>
        <extend val="0"/>
        <color indexed="9"/>
      </font>
    </dxf>
    <dxf>
      <font>
        <color theme="0"/>
      </font>
    </dxf>
    <dxf>
      <font>
        <color theme="0"/>
      </font>
    </dxf>
    <dxf>
      <font>
        <color theme="0"/>
      </font>
    </dxf>
    <dxf>
      <font>
        <condense val="0"/>
        <extend val="0"/>
        <color indexed="10"/>
      </font>
    </dxf>
    <dxf>
      <font>
        <condense val="0"/>
        <extend val="0"/>
        <color indexed="9"/>
      </font>
    </dxf>
    <dxf>
      <font>
        <b/>
        <i val="0"/>
        <condense val="0"/>
        <extend val="0"/>
        <color indexed="10"/>
      </font>
    </dxf>
    <dxf>
      <fill>
        <patternFill>
          <bgColor theme="0"/>
        </patternFill>
      </fill>
    </dxf>
    <dxf>
      <border>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2"/>
      </font>
    </dxf>
    <dxf>
      <font>
        <b/>
        <i val="0"/>
        <color rgb="FF008000"/>
      </font>
    </dxf>
    <dxf>
      <font>
        <b/>
        <i val="0"/>
        <color rgb="FF008000"/>
      </font>
    </dxf>
    <dxf>
      <font>
        <b/>
        <i val="0"/>
        <color rgb="FF008000"/>
      </font>
    </dxf>
    <dxf>
      <font>
        <b/>
        <i val="0"/>
        <color rgb="FF008000"/>
      </font>
    </dxf>
    <dxf>
      <font>
        <b/>
        <i val="0"/>
        <color rgb="FF008000"/>
      </font>
    </dxf>
    <dxf>
      <font>
        <color rgb="FFFF0000"/>
      </font>
    </dxf>
    <dxf>
      <font>
        <color rgb="FFFF0000"/>
      </font>
    </dxf>
    <dxf>
      <font>
        <color rgb="FF008000"/>
      </font>
    </dxf>
    <dxf>
      <font>
        <color rgb="FFFF0000"/>
      </font>
    </dxf>
    <dxf>
      <font>
        <color rgb="FF008000"/>
      </font>
    </dxf>
    <dxf>
      <fill>
        <patternFill>
          <bgColor theme="0"/>
        </patternFill>
      </fill>
      <border>
        <left style="thin">
          <color auto="1"/>
        </left>
        <right style="thin">
          <color auto="1"/>
        </right>
        <top style="thin">
          <color auto="1"/>
        </top>
        <bottom style="thin">
          <color auto="1"/>
        </bottom>
      </border>
    </dxf>
    <dxf>
      <fill>
        <patternFill>
          <bgColor theme="0"/>
        </patternFill>
      </fill>
    </dxf>
    <dxf>
      <font>
        <b/>
        <i val="0"/>
        <color rgb="FFFF0000"/>
      </font>
    </dxf>
    <dxf>
      <fill>
        <patternFill>
          <bgColor theme="0"/>
        </patternFill>
      </fill>
    </dxf>
    <dxf>
      <font>
        <b/>
        <i val="0"/>
        <color rgb="FFFF0000"/>
      </font>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border>
        <left/>
        <right/>
        <top/>
        <bottom/>
        <vertical/>
        <horizontal/>
      </border>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border>
        <left/>
        <right/>
        <top/>
        <bottom/>
        <vertical/>
        <horizontal/>
      </border>
    </dxf>
    <dxf>
      <font>
        <color rgb="FF008000"/>
      </font>
    </dxf>
    <dxf>
      <border>
        <left/>
        <right/>
        <top/>
        <bottom/>
        <vertical/>
        <horizontal/>
      </border>
    </dxf>
    <dxf>
      <font>
        <color rgb="FF008000"/>
      </font>
    </dxf>
    <dxf>
      <font>
        <color rgb="FF008000"/>
      </font>
    </dxf>
    <dxf>
      <font>
        <b val="0"/>
        <i val="0"/>
        <color theme="1"/>
      </font>
    </dxf>
    <dxf>
      <font>
        <b val="0"/>
        <i val="0"/>
        <color theme="1"/>
      </font>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9"/>
      </font>
    </dxf>
    <dxf>
      <font>
        <b val="0"/>
        <i val="0"/>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C00000"/>
      </font>
    </dxf>
    <dxf>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auto="1"/>
      </font>
    </dxf>
    <dxf>
      <font>
        <b val="0"/>
        <i val="0"/>
        <strike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border>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font>
        <condense val="0"/>
        <extend val="0"/>
        <color indexed="9"/>
      </font>
      <border>
        <left/>
        <right/>
        <top/>
        <bottom/>
      </border>
    </dxf>
    <dxf>
      <font>
        <condense val="0"/>
        <extend val="0"/>
        <color indexed="9"/>
      </font>
    </dxf>
    <dxf>
      <border>
        <top/>
      </border>
    </dxf>
    <dxf>
      <font>
        <condense val="0"/>
        <extend val="0"/>
        <color indexed="9"/>
      </font>
      <border>
        <right/>
      </border>
    </dxf>
    <dxf>
      <border>
        <left/>
        <right/>
        <bottom/>
      </border>
    </dxf>
    <dxf>
      <border>
        <left/>
        <bottom/>
      </border>
    </dxf>
    <dxf>
      <border>
        <left/>
        <right/>
        <top/>
        <bottom/>
      </border>
    </dxf>
    <dxf>
      <font>
        <condense val="0"/>
        <extend val="0"/>
        <color indexed="9"/>
      </font>
    </dxf>
    <dxf>
      <font>
        <b/>
        <i val="0"/>
        <condense val="0"/>
        <extend val="0"/>
        <color indexed="10"/>
      </font>
    </dxf>
    <dxf>
      <font>
        <condense val="0"/>
        <extend val="0"/>
        <color indexed="9"/>
      </font>
    </dxf>
    <dxf>
      <font>
        <condense val="0"/>
        <extend val="0"/>
        <color indexed="9"/>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border>
        <left style="thin">
          <color auto="1"/>
        </left>
        <right style="thin">
          <color auto="1"/>
        </right>
        <top style="thin">
          <color auto="1"/>
        </top>
        <bottom style="thin">
          <color auto="1"/>
        </bottom>
      </border>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border>
        <left style="thin">
          <color auto="1"/>
        </left>
        <right style="thin">
          <color auto="1"/>
        </right>
        <top style="thin">
          <color auto="1"/>
        </top>
        <bottom style="thin">
          <color auto="1"/>
        </bottom>
      </border>
    </dxf>
    <dxf>
      <fill>
        <patternFill>
          <bgColor theme="1"/>
        </patternFill>
      </fill>
    </dxf>
    <dxf>
      <font>
        <color auto="1"/>
      </font>
      <border>
        <left style="thin">
          <color auto="1"/>
        </left>
        <right style="thin">
          <color auto="1"/>
        </right>
        <top style="thin">
          <color auto="1"/>
        </top>
        <bottom style="thin">
          <color auto="1"/>
        </bottom>
      </border>
    </dxf>
    <dxf>
      <fill>
        <patternFill>
          <bgColor theme="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theme="0"/>
      </font>
    </dxf>
    <dxf>
      <font>
        <color theme="0"/>
      </font>
    </dxf>
    <dxf>
      <font>
        <b/>
        <i val="0"/>
      </font>
      <fill>
        <patternFill>
          <bgColor theme="0"/>
        </patternFill>
      </fill>
      <border>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ont>
        <color theme="4" tint="0.79998168889431442"/>
      </font>
    </dxf>
    <dxf>
      <font>
        <color theme="4" tint="0.79998168889431442"/>
      </font>
    </dxf>
    <dxf>
      <font>
        <color theme="4" tint="0.79998168889431442"/>
      </font>
    </dxf>
    <dxf>
      <font>
        <color theme="0"/>
      </font>
    </dxf>
    <dxf>
      <font>
        <color theme="4" tint="0.79998168889431442"/>
      </font>
    </dxf>
    <dxf>
      <font>
        <color theme="4" tint="0.79998168889431442"/>
      </font>
    </dxf>
    <dxf>
      <font>
        <color theme="0"/>
      </font>
    </dxf>
    <dxf>
      <font>
        <color theme="4" tint="0.79998168889431442"/>
      </font>
    </dxf>
    <dxf>
      <font>
        <color theme="4" tint="0.79998168889431442"/>
      </font>
    </dxf>
    <dxf>
      <font>
        <color theme="4" tint="0.79998168889431442"/>
      </font>
    </dxf>
    <dxf>
      <font>
        <color theme="0"/>
      </font>
    </dxf>
    <dxf>
      <font>
        <color theme="4" tint="0.79998168889431442"/>
      </font>
    </dxf>
    <dxf>
      <fill>
        <patternFill>
          <bgColor theme="0"/>
        </patternFill>
      </fill>
    </dxf>
    <dxf>
      <font>
        <color theme="4" tint="0.79998168889431442"/>
      </font>
    </dxf>
    <dxf>
      <font>
        <color theme="0"/>
      </font>
    </dxf>
    <dxf>
      <fill>
        <patternFill>
          <bgColor theme="0"/>
        </patternFill>
      </fill>
    </dxf>
    <dxf>
      <font>
        <color theme="4" tint="0.79998168889431442"/>
      </font>
    </dxf>
    <dxf>
      <font>
        <color theme="0"/>
      </font>
    </dxf>
    <dxf>
      <font>
        <b/>
        <i val="0"/>
        <color rgb="FFFF0000"/>
      </font>
    </dxf>
    <dxf>
      <font>
        <color rgb="FFFF0000"/>
      </font>
    </dxf>
    <dxf>
      <font>
        <color rgb="FF008000"/>
      </font>
    </dxf>
    <dxf>
      <fill>
        <patternFill>
          <bgColor theme="0"/>
        </patternFill>
      </fill>
      <border>
        <left style="thin">
          <color auto="1"/>
        </left>
        <right style="thin">
          <color auto="1"/>
        </right>
        <top style="thin">
          <color auto="1"/>
        </top>
        <bottom style="thin">
          <color auto="1"/>
        </bottom>
        <vertical/>
        <horizontal/>
      </border>
    </dxf>
    <dxf>
      <font>
        <color rgb="FF00800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b/>
        <i val="0"/>
        <color rgb="FFFF0000"/>
      </font>
    </dxf>
    <dxf>
      <font>
        <color rgb="FF008000"/>
      </font>
    </dxf>
    <dxf>
      <fill>
        <patternFill>
          <bgColor theme="0"/>
        </patternFill>
      </fill>
      <border>
        <left style="thin">
          <color auto="1"/>
        </left>
        <right style="thin">
          <color auto="1"/>
        </right>
        <top style="thin">
          <color auto="1"/>
        </top>
        <bottom style="thin">
          <color auto="1"/>
        </bottom>
        <vertical/>
        <horizontal/>
      </border>
    </dxf>
    <dxf>
      <font>
        <color theme="9" tint="-0.24994659260841701"/>
      </font>
    </dxf>
    <dxf>
      <font>
        <strike val="0"/>
        <color rgb="FFFF0000"/>
      </font>
    </dxf>
    <dxf>
      <font>
        <strike val="0"/>
        <color rgb="FFFF0000"/>
      </font>
    </dxf>
    <dxf>
      <font>
        <b/>
        <i val="0"/>
        <color rgb="FFFF0000"/>
      </font>
    </dxf>
    <dxf>
      <fill>
        <patternFill>
          <bgColor theme="0"/>
        </patternFill>
      </fill>
    </dxf>
    <dxf>
      <font>
        <b val="0"/>
        <i val="0"/>
        <color theme="0"/>
      </font>
      <fill>
        <patternFill>
          <bgColor theme="0"/>
        </patternFill>
      </fill>
      <border>
        <left/>
        <right/>
        <top/>
        <bottom/>
        <vertical/>
        <horizontal/>
      </border>
    </dxf>
    <dxf>
      <fill>
        <patternFill>
          <bgColor theme="4" tint="0.79998168889431442"/>
        </patternFill>
      </fill>
      <border>
        <right style="thin">
          <color auto="1"/>
        </right>
        <top style="thin">
          <color auto="1"/>
        </top>
        <bottom style="thin">
          <color auto="1"/>
        </bottom>
        <vertical/>
        <horizontal/>
      </border>
    </dxf>
    <dxf>
      <font>
        <b/>
        <i val="0"/>
      </font>
      <fill>
        <patternFill>
          <bgColor theme="0"/>
        </patternFill>
      </fill>
      <border>
        <left style="thin">
          <color auto="1"/>
        </left>
        <right style="thin">
          <color auto="1"/>
        </right>
        <top style="thin">
          <color auto="1"/>
        </top>
        <bottom style="thin">
          <color auto="1"/>
        </bottom>
        <vertical/>
        <horizontal/>
      </border>
    </dxf>
    <dxf>
      <font>
        <b/>
        <i val="0"/>
      </font>
      <fill>
        <patternFill>
          <bgColor theme="4" tint="0.79998168889431442"/>
        </patternFill>
      </fill>
    </dxf>
    <dxf>
      <font>
        <b/>
        <i val="0"/>
        <color rgb="FFFF0000"/>
      </font>
    </dxf>
    <dxf>
      <fill>
        <patternFill>
          <bgColor theme="0"/>
        </patternFill>
      </fill>
    </dxf>
    <dxf>
      <border>
        <bottom style="thin">
          <color auto="1"/>
        </bottom>
        <vertical/>
        <horizontal/>
      </border>
    </dxf>
    <dxf>
      <font>
        <b/>
        <i val="0"/>
        <color rgb="FF008000"/>
      </font>
    </dxf>
    <dxf>
      <fill>
        <patternFill>
          <bgColor theme="4" tint="0.79998168889431442"/>
        </patternFill>
      </fill>
      <border>
        <right style="thin">
          <color auto="1"/>
        </right>
        <top style="thin">
          <color auto="1"/>
        </top>
        <bottom style="thin">
          <color auto="1"/>
        </bottom>
        <vertical/>
        <horizontal/>
      </border>
    </dxf>
    <dxf>
      <fill>
        <patternFill>
          <bgColor theme="0"/>
        </patternFill>
      </fill>
      <border>
        <left style="thin">
          <color auto="1"/>
        </left>
        <right/>
        <top style="thin">
          <color auto="1"/>
        </top>
        <bottom style="thin">
          <color auto="1"/>
        </bottom>
        <vertical/>
        <horizontal/>
      </border>
    </dxf>
    <dxf>
      <font>
        <color theme="0"/>
      </font>
    </dxf>
    <dxf>
      <font>
        <b/>
        <i val="0"/>
        <color rgb="FFFF0000"/>
      </font>
    </dxf>
    <dxf>
      <font>
        <strike val="0"/>
        <color rgb="FFFF0000"/>
      </font>
    </dxf>
    <dxf>
      <font>
        <strike val="0"/>
        <color rgb="FFFF0000"/>
      </font>
    </dxf>
    <dxf>
      <font>
        <strike val="0"/>
        <color rgb="FFFF0000"/>
      </font>
    </dxf>
    <dxf>
      <font>
        <strike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ont>
        <color theme="0"/>
      </font>
    </dxf>
    <dxf>
      <font>
        <b/>
        <i val="0"/>
        <color rgb="FFFF0000"/>
      </font>
    </dxf>
    <dxf>
      <fill>
        <patternFill>
          <bgColor theme="0"/>
        </patternFill>
      </fill>
    </dxf>
    <dxf>
      <font>
        <color rgb="FF008000"/>
      </font>
    </dxf>
    <dxf>
      <border>
        <right style="thin">
          <color auto="1"/>
        </right>
        <top style="thin">
          <color auto="1"/>
        </top>
        <vertical/>
        <horizontal/>
      </border>
    </dxf>
    <dxf>
      <border>
        <bottom style="thin">
          <color auto="1"/>
        </bottom>
        <vertical/>
        <horizontal/>
      </border>
    </dxf>
    <dxf>
      <font>
        <b val="0"/>
        <i val="0"/>
        <color rgb="FFFF0000"/>
      </font>
    </dxf>
    <dxf>
      <border>
        <bottom style="thin">
          <color auto="1"/>
        </bottom>
        <vertical/>
        <horizontal/>
      </border>
    </dxf>
    <dxf>
      <border>
        <bottom style="thin">
          <color auto="1"/>
        </bottom>
        <vertical/>
        <horizontal/>
      </border>
    </dxf>
    <dxf>
      <font>
        <color rgb="FF008000"/>
      </font>
    </dxf>
    <dxf>
      <border>
        <right style="thin">
          <color auto="1"/>
        </right>
        <vertical/>
        <horizontal/>
      </border>
    </dxf>
    <dxf>
      <border>
        <right style="thin">
          <color auto="1"/>
        </right>
        <vertical/>
        <horizontal/>
      </border>
    </dxf>
    <dxf>
      <border>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style="thin">
          <color auto="1"/>
        </right>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theme="0"/>
      </font>
      <border>
        <left/>
        <right/>
        <top/>
        <bottom/>
        <vertical/>
        <horizontal/>
      </border>
    </dxf>
    <dxf>
      <fill>
        <patternFill>
          <bgColor theme="0"/>
        </patternFill>
      </fill>
    </dxf>
    <dxf>
      <font>
        <color theme="0"/>
      </font>
      <border>
        <top/>
        <bottom/>
        <vertical/>
        <horizontal/>
      </border>
    </dxf>
    <dxf>
      <fill>
        <patternFill>
          <bgColor theme="0"/>
        </patternFill>
      </fill>
      <border>
        <top/>
        <bottom/>
        <vertical/>
        <horizontal/>
      </border>
    </dxf>
    <dxf>
      <border>
        <left style="thin">
          <color auto="1"/>
        </left>
        <right style="thin">
          <color auto="1"/>
        </right>
        <bottom style="thin">
          <color auto="1"/>
        </bottom>
      </border>
    </dxf>
    <dxf>
      <border>
        <left style="thin">
          <color auto="1"/>
        </left>
        <right style="thin">
          <color auto="1"/>
        </right>
        <top style="thin">
          <color auto="1"/>
        </top>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theme="0"/>
      </font>
    </dxf>
    <dxf>
      <font>
        <b/>
        <i val="0"/>
        <color rgb="FFFF0000"/>
      </font>
    </dxf>
    <dxf>
      <font>
        <color theme="0"/>
      </font>
      <fill>
        <patternFill>
          <bgColor theme="0"/>
        </patternFill>
      </fill>
      <border>
        <left/>
        <right/>
        <top/>
        <bottom/>
        <vertical/>
        <horizontal/>
      </border>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FF0000"/>
      </font>
    </dxf>
    <dxf>
      <font>
        <b val="0"/>
        <i val="0"/>
        <strike val="0"/>
        <color theme="1"/>
      </font>
      <fill>
        <patternFill>
          <fgColor indexed="64"/>
          <bgColor theme="0"/>
        </patternFill>
      </fill>
    </dxf>
    <dxf>
      <font>
        <b/>
        <i val="0"/>
        <color rgb="FFFF0000"/>
      </font>
    </dxf>
    <dxf>
      <font>
        <strike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b/>
        <i val="0"/>
        <condense val="0"/>
        <extend val="0"/>
        <color indexed="1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fgColor indexed="64"/>
          <bgColor theme="0"/>
        </patternFill>
      </fill>
    </dxf>
    <dxf>
      <font>
        <b/>
        <i val="0"/>
        <color rgb="FFFF0000"/>
      </font>
    </dxf>
    <dxf>
      <fill>
        <patternFill>
          <bgColor theme="0"/>
        </patternFill>
      </fill>
    </dxf>
    <dxf>
      <font>
        <b val="0"/>
        <i val="0"/>
        <color theme="0"/>
      </font>
      <fill>
        <patternFill>
          <bgColor theme="0"/>
        </patternFill>
      </fill>
      <border>
        <left/>
        <right/>
        <top/>
        <bottom/>
        <vertical/>
        <horizontal/>
      </border>
    </dxf>
    <dxf>
      <font>
        <b/>
        <i val="0"/>
        <color rgb="FFFF0000"/>
      </font>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strike val="0"/>
        <color rgb="FF008000"/>
      </font>
    </dxf>
    <dxf>
      <font>
        <color rgb="FFFF0000"/>
      </font>
    </dxf>
    <dxf>
      <font>
        <color rgb="FFFF0000"/>
      </font>
    </dxf>
    <dxf>
      <font>
        <color rgb="FFFF0000"/>
      </font>
    </dxf>
    <dxf>
      <font>
        <color theme="0"/>
      </font>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00B050"/>
      </font>
    </dxf>
    <dxf>
      <font>
        <b/>
        <i val="0"/>
        <color rgb="FF00B05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7.jpeg"/><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9.jpeg"/><Relationship Id="rId1" Type="http://schemas.openxmlformats.org/officeDocument/2006/relationships/image" Target="../media/image12.jpeg"/><Relationship Id="rId4"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9.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1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emf"/></Relationships>
</file>

<file path=xl/drawings/_rels/drawing24.xml.rels><?xml version="1.0" encoding="UTF-8" standalone="yes"?>
<Relationships xmlns="http://schemas.openxmlformats.org/package/2006/relationships"><Relationship Id="rId1" Type="http://schemas.openxmlformats.org/officeDocument/2006/relationships/image" Target="../media/image4.emf"/></Relationships>
</file>

<file path=xl/drawings/_rels/drawing25.xml.rels><?xml version="1.0" encoding="UTF-8" standalone="yes"?>
<Relationships xmlns="http://schemas.openxmlformats.org/package/2006/relationships"><Relationship Id="rId1" Type="http://schemas.openxmlformats.org/officeDocument/2006/relationships/image" Target="../media/image4.emf"/></Relationships>
</file>

<file path=xl/drawings/_rels/drawing26.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10.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4.emf"/></Relationships>
</file>

<file path=xl/drawings/_rels/drawing2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emf"/><Relationship Id="rId1" Type="http://schemas.openxmlformats.org/officeDocument/2006/relationships/image" Target="../media/image4.emf"/></Relationships>
</file>

<file path=xl/drawings/_rels/drawing30.xml.rels><?xml version="1.0" encoding="UTF-8" standalone="yes"?>
<Relationships xmlns="http://schemas.openxmlformats.org/package/2006/relationships"><Relationship Id="rId1" Type="http://schemas.openxmlformats.org/officeDocument/2006/relationships/image" Target="../media/image4.emf"/></Relationships>
</file>

<file path=xl/drawings/_rels/drawing3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4.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8.emf"/></Relationships>
</file>

<file path=xl/drawings/_rels/drawing34.xml.rels><?xml version="1.0" encoding="UTF-8" standalone="yes"?>
<Relationships xmlns="http://schemas.openxmlformats.org/package/2006/relationships"><Relationship Id="rId1" Type="http://schemas.openxmlformats.org/officeDocument/2006/relationships/image" Target="../media/image4.emf"/></Relationships>
</file>

<file path=xl/drawings/_rels/drawing35.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4.emf"/><Relationship Id="rId1" Type="http://schemas.openxmlformats.org/officeDocument/2006/relationships/image" Target="../media/image19.jpeg"/><Relationship Id="rId4" Type="http://schemas.openxmlformats.org/officeDocument/2006/relationships/image" Target="../media/image21.jpeg"/></Relationships>
</file>

<file path=xl/drawings/_rels/drawing3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3.png"/><Relationship Id="rId1" Type="http://schemas.openxmlformats.org/officeDocument/2006/relationships/image" Target="../media/image2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emf"/></Relationships>
</file>

<file path=xl/drawings/_rels/drawing40.xml.rels><?xml version="1.0" encoding="UTF-8" standalone="yes"?>
<Relationships xmlns="http://schemas.openxmlformats.org/package/2006/relationships"><Relationship Id="rId1" Type="http://schemas.openxmlformats.org/officeDocument/2006/relationships/image" Target="../media/image4.emf"/></Relationships>
</file>

<file path=xl/drawings/_rels/drawing41.xml.rels><?xml version="1.0" encoding="UTF-8" standalone="yes"?>
<Relationships xmlns="http://schemas.openxmlformats.org/package/2006/relationships"><Relationship Id="rId1" Type="http://schemas.openxmlformats.org/officeDocument/2006/relationships/image" Target="../media/image4.emf"/></Relationships>
</file>

<file path=xl/drawings/_rels/drawing42.xml.rels><?xml version="1.0" encoding="UTF-8" standalone="yes"?>
<Relationships xmlns="http://schemas.openxmlformats.org/package/2006/relationships"><Relationship Id="rId1" Type="http://schemas.openxmlformats.org/officeDocument/2006/relationships/image" Target="../media/image4.emf"/></Relationships>
</file>

<file path=xl/drawings/_rels/drawing4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322338</xdr:colOff>
      <xdr:row>15</xdr:row>
      <xdr:rowOff>104776</xdr:rowOff>
    </xdr:from>
    <xdr:to>
      <xdr:col>12</xdr:col>
      <xdr:colOff>563488</xdr:colOff>
      <xdr:row>42</xdr:row>
      <xdr:rowOff>142875</xdr:rowOff>
    </xdr:to>
    <xdr:pic>
      <xdr:nvPicPr>
        <xdr:cNvPr id="3" name="Picture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1"/>
        <a:stretch>
          <a:fillRect/>
        </a:stretch>
      </xdr:blipFill>
      <xdr:spPr>
        <a:xfrm>
          <a:off x="522363" y="3524251"/>
          <a:ext cx="6718150" cy="44100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2241550</xdr:colOff>
      <xdr:row>12</xdr:row>
      <xdr:rowOff>73025</xdr:rowOff>
    </xdr:from>
    <xdr:to>
      <xdr:col>6</xdr:col>
      <xdr:colOff>85725</xdr:colOff>
      <xdr:row>13</xdr:row>
      <xdr:rowOff>196850</xdr:rowOff>
    </xdr:to>
    <xdr:pic>
      <xdr:nvPicPr>
        <xdr:cNvPr id="32321" name="Picture 1">
          <a:extLst>
            <a:ext uri="{FF2B5EF4-FFF2-40B4-BE49-F238E27FC236}">
              <a16:creationId xmlns:a16="http://schemas.microsoft.com/office/drawing/2014/main" xmlns="" id="{00000000-0008-0000-09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32550" y="3546475"/>
          <a:ext cx="4476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37</xdr:col>
      <xdr:colOff>684557</xdr:colOff>
      <xdr:row>28</xdr:row>
      <xdr:rowOff>47626</xdr:rowOff>
    </xdr:from>
    <xdr:to>
      <xdr:col>37</xdr:col>
      <xdr:colOff>875057</xdr:colOff>
      <xdr:row>28</xdr:row>
      <xdr:rowOff>161926</xdr:rowOff>
    </xdr:to>
    <xdr:sp macro="" textlink="">
      <xdr:nvSpPr>
        <xdr:cNvPr id="33" name="AutoShape 344">
          <a:extLst>
            <a:ext uri="{FF2B5EF4-FFF2-40B4-BE49-F238E27FC236}">
              <a16:creationId xmlns:a16="http://schemas.microsoft.com/office/drawing/2014/main" xmlns="" id="{00000000-0008-0000-0A00-000021000000}"/>
            </a:ext>
          </a:extLst>
        </xdr:cNvPr>
        <xdr:cNvSpPr>
          <a:spLocks noChangeArrowheads="1"/>
        </xdr:cNvSpPr>
      </xdr:nvSpPr>
      <xdr:spPr bwMode="auto">
        <a:xfrm rot="10800000">
          <a:off x="11220035" y="5605256"/>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319454</xdr:colOff>
      <xdr:row>56</xdr:row>
      <xdr:rowOff>52756</xdr:rowOff>
    </xdr:from>
    <xdr:to>
      <xdr:col>23</xdr:col>
      <xdr:colOff>376605</xdr:colOff>
      <xdr:row>56</xdr:row>
      <xdr:rowOff>148008</xdr:rowOff>
    </xdr:to>
    <xdr:sp macro="" textlink="">
      <xdr:nvSpPr>
        <xdr:cNvPr id="34" name="AutoShape 655">
          <a:extLst>
            <a:ext uri="{FF2B5EF4-FFF2-40B4-BE49-F238E27FC236}">
              <a16:creationId xmlns:a16="http://schemas.microsoft.com/office/drawing/2014/main" xmlns="" id="{00000000-0008-0000-0A00-000022000000}"/>
            </a:ext>
          </a:extLst>
        </xdr:cNvPr>
        <xdr:cNvSpPr>
          <a:spLocks noChangeArrowheads="1"/>
        </xdr:cNvSpPr>
      </xdr:nvSpPr>
      <xdr:spPr bwMode="auto">
        <a:xfrm rot="5400000">
          <a:off x="6718789" y="1056396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121627</xdr:colOff>
      <xdr:row>61</xdr:row>
      <xdr:rowOff>50559</xdr:rowOff>
    </xdr:from>
    <xdr:to>
      <xdr:col>18</xdr:col>
      <xdr:colOff>178778</xdr:colOff>
      <xdr:row>61</xdr:row>
      <xdr:rowOff>145811</xdr:rowOff>
    </xdr:to>
    <xdr:sp macro="" textlink="">
      <xdr:nvSpPr>
        <xdr:cNvPr id="35" name="AutoShape 655">
          <a:extLst>
            <a:ext uri="{FF2B5EF4-FFF2-40B4-BE49-F238E27FC236}">
              <a16:creationId xmlns:a16="http://schemas.microsoft.com/office/drawing/2014/main" xmlns="" id="{00000000-0008-0000-0A00-000023000000}"/>
            </a:ext>
          </a:extLst>
        </xdr:cNvPr>
        <xdr:cNvSpPr>
          <a:spLocks noChangeArrowheads="1"/>
        </xdr:cNvSpPr>
      </xdr:nvSpPr>
      <xdr:spPr bwMode="auto">
        <a:xfrm rot="5400000">
          <a:off x="5392615" y="11470301"/>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121627</xdr:colOff>
      <xdr:row>59</xdr:row>
      <xdr:rowOff>49833</xdr:rowOff>
    </xdr:from>
    <xdr:to>
      <xdr:col>18</xdr:col>
      <xdr:colOff>178778</xdr:colOff>
      <xdr:row>59</xdr:row>
      <xdr:rowOff>145085</xdr:rowOff>
    </xdr:to>
    <xdr:sp macro="" textlink="">
      <xdr:nvSpPr>
        <xdr:cNvPr id="36" name="AutoShape 655">
          <a:extLst>
            <a:ext uri="{FF2B5EF4-FFF2-40B4-BE49-F238E27FC236}">
              <a16:creationId xmlns:a16="http://schemas.microsoft.com/office/drawing/2014/main" xmlns="" id="{00000000-0008-0000-0A00-000024000000}"/>
            </a:ext>
          </a:extLst>
        </xdr:cNvPr>
        <xdr:cNvSpPr>
          <a:spLocks noChangeArrowheads="1"/>
        </xdr:cNvSpPr>
      </xdr:nvSpPr>
      <xdr:spPr bwMode="auto">
        <a:xfrm rot="5400000">
          <a:off x="5392615" y="1111055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25</xdr:col>
      <xdr:colOff>103947</xdr:colOff>
      <xdr:row>16</xdr:row>
      <xdr:rowOff>47624</xdr:rowOff>
    </xdr:from>
    <xdr:to>
      <xdr:col>25</xdr:col>
      <xdr:colOff>246126</xdr:colOff>
      <xdr:row>17</xdr:row>
      <xdr:rowOff>19050</xdr:rowOff>
    </xdr:to>
    <xdr:pic>
      <xdr:nvPicPr>
        <xdr:cNvPr id="37" name="Picture 36">
          <a:extLst>
            <a:ext uri="{FF2B5EF4-FFF2-40B4-BE49-F238E27FC236}">
              <a16:creationId xmlns:a16="http://schemas.microsoft.com/office/drawing/2014/main" xmlns="" id="{00000000-0008-0000-0A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35882" y="3302689"/>
          <a:ext cx="142179" cy="137078"/>
        </a:xfrm>
        <a:prstGeom prst="rect">
          <a:avLst/>
        </a:prstGeom>
      </xdr:spPr>
    </xdr:pic>
    <xdr:clientData/>
  </xdr:twoCellAnchor>
  <xdr:oneCellAnchor>
    <xdr:from>
      <xdr:col>2</xdr:col>
      <xdr:colOff>695325</xdr:colOff>
      <xdr:row>24</xdr:row>
      <xdr:rowOff>152400</xdr:rowOff>
    </xdr:from>
    <xdr:ext cx="180975" cy="520700"/>
    <xdr:pic>
      <xdr:nvPicPr>
        <xdr:cNvPr id="38" name="Picture 261">
          <a:extLst>
            <a:ext uri="{FF2B5EF4-FFF2-40B4-BE49-F238E27FC236}">
              <a16:creationId xmlns:a16="http://schemas.microsoft.com/office/drawing/2014/main" xmlns="" id="{00000000-0008-0000-0A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0" y="27327225"/>
          <a:ext cx="180975"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467591</xdr:colOff>
      <xdr:row>30</xdr:row>
      <xdr:rowOff>54556</xdr:rowOff>
    </xdr:from>
    <xdr:to>
      <xdr:col>6</xdr:col>
      <xdr:colOff>534266</xdr:colOff>
      <xdr:row>30</xdr:row>
      <xdr:rowOff>149806</xdr:rowOff>
    </xdr:to>
    <xdr:sp macro="" textlink="">
      <xdr:nvSpPr>
        <xdr:cNvPr id="41" name="AutoShape 515">
          <a:extLst>
            <a:ext uri="{FF2B5EF4-FFF2-40B4-BE49-F238E27FC236}">
              <a16:creationId xmlns:a16="http://schemas.microsoft.com/office/drawing/2014/main" xmlns="" id="{00000000-0008-0000-0A00-000029000000}"/>
            </a:ext>
          </a:extLst>
        </xdr:cNvPr>
        <xdr:cNvSpPr>
          <a:spLocks noChangeArrowheads="1"/>
        </xdr:cNvSpPr>
      </xdr:nvSpPr>
      <xdr:spPr bwMode="auto">
        <a:xfrm rot="5400000">
          <a:off x="2349645" y="600897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27</xdr:col>
      <xdr:colOff>148130</xdr:colOff>
      <xdr:row>15</xdr:row>
      <xdr:rowOff>33131</xdr:rowOff>
    </xdr:from>
    <xdr:to>
      <xdr:col>28</xdr:col>
      <xdr:colOff>74962</xdr:colOff>
      <xdr:row>15</xdr:row>
      <xdr:rowOff>170209</xdr:rowOff>
    </xdr:to>
    <xdr:pic>
      <xdr:nvPicPr>
        <xdr:cNvPr id="10" name="Picture 9">
          <a:extLst>
            <a:ext uri="{FF2B5EF4-FFF2-40B4-BE49-F238E27FC236}">
              <a16:creationId xmlns:a16="http://schemas.microsoft.com/office/drawing/2014/main" xmlns="" id="{00000000-0008-0000-0A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8822" y="3103112"/>
          <a:ext cx="146640" cy="137078"/>
        </a:xfrm>
        <a:prstGeom prst="rect">
          <a:avLst/>
        </a:prstGeom>
      </xdr:spPr>
    </xdr:pic>
    <xdr:clientData/>
  </xdr:twoCellAnchor>
  <xdr:twoCellAnchor>
    <xdr:from>
      <xdr:col>30</xdr:col>
      <xdr:colOff>115956</xdr:colOff>
      <xdr:row>15</xdr:row>
      <xdr:rowOff>49699</xdr:rowOff>
    </xdr:from>
    <xdr:to>
      <xdr:col>30</xdr:col>
      <xdr:colOff>173107</xdr:colOff>
      <xdr:row>15</xdr:row>
      <xdr:rowOff>144951</xdr:rowOff>
    </xdr:to>
    <xdr:sp macro="" textlink="">
      <xdr:nvSpPr>
        <xdr:cNvPr id="11" name="AutoShape 655">
          <a:extLst>
            <a:ext uri="{FF2B5EF4-FFF2-40B4-BE49-F238E27FC236}">
              <a16:creationId xmlns:a16="http://schemas.microsoft.com/office/drawing/2014/main" xmlns="" id="{00000000-0008-0000-0A00-00000B000000}"/>
            </a:ext>
          </a:extLst>
        </xdr:cNvPr>
        <xdr:cNvSpPr>
          <a:spLocks noChangeArrowheads="1"/>
        </xdr:cNvSpPr>
      </xdr:nvSpPr>
      <xdr:spPr bwMode="auto">
        <a:xfrm rot="5400000">
          <a:off x="8296689" y="310846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95250</xdr:colOff>
      <xdr:row>46</xdr:row>
      <xdr:rowOff>36641</xdr:rowOff>
    </xdr:from>
    <xdr:to>
      <xdr:col>24</xdr:col>
      <xdr:colOff>161925</xdr:colOff>
      <xdr:row>46</xdr:row>
      <xdr:rowOff>131891</xdr:rowOff>
    </xdr:to>
    <xdr:sp macro="" textlink="">
      <xdr:nvSpPr>
        <xdr:cNvPr id="12" name="AutoShape 515">
          <a:extLst>
            <a:ext uri="{FF2B5EF4-FFF2-40B4-BE49-F238E27FC236}">
              <a16:creationId xmlns:a16="http://schemas.microsoft.com/office/drawing/2014/main" xmlns="" id="{00000000-0008-0000-0A00-00000C000000}"/>
            </a:ext>
          </a:extLst>
        </xdr:cNvPr>
        <xdr:cNvSpPr>
          <a:spLocks noChangeArrowheads="1"/>
        </xdr:cNvSpPr>
      </xdr:nvSpPr>
      <xdr:spPr bwMode="auto">
        <a:xfrm rot="5400000">
          <a:off x="6916982" y="869669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95250</xdr:colOff>
      <xdr:row>47</xdr:row>
      <xdr:rowOff>36635</xdr:rowOff>
    </xdr:from>
    <xdr:to>
      <xdr:col>24</xdr:col>
      <xdr:colOff>161925</xdr:colOff>
      <xdr:row>47</xdr:row>
      <xdr:rowOff>131885</xdr:rowOff>
    </xdr:to>
    <xdr:sp macro="" textlink="">
      <xdr:nvSpPr>
        <xdr:cNvPr id="13" name="AutoShape 515">
          <a:extLst>
            <a:ext uri="{FF2B5EF4-FFF2-40B4-BE49-F238E27FC236}">
              <a16:creationId xmlns:a16="http://schemas.microsoft.com/office/drawing/2014/main" xmlns="" id="{00000000-0008-0000-0A00-00000D000000}"/>
            </a:ext>
          </a:extLst>
        </xdr:cNvPr>
        <xdr:cNvSpPr>
          <a:spLocks noChangeArrowheads="1"/>
        </xdr:cNvSpPr>
      </xdr:nvSpPr>
      <xdr:spPr bwMode="auto">
        <a:xfrm rot="5400000">
          <a:off x="6916982" y="8857884"/>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205154</xdr:colOff>
      <xdr:row>60</xdr:row>
      <xdr:rowOff>43963</xdr:rowOff>
    </xdr:from>
    <xdr:to>
      <xdr:col>26</xdr:col>
      <xdr:colOff>262305</xdr:colOff>
      <xdr:row>60</xdr:row>
      <xdr:rowOff>139215</xdr:rowOff>
    </xdr:to>
    <xdr:sp macro="" textlink="">
      <xdr:nvSpPr>
        <xdr:cNvPr id="14" name="AutoShape 655">
          <a:extLst>
            <a:ext uri="{FF2B5EF4-FFF2-40B4-BE49-F238E27FC236}">
              <a16:creationId xmlns:a16="http://schemas.microsoft.com/office/drawing/2014/main" xmlns="" id="{00000000-0008-0000-0A00-00000E000000}"/>
            </a:ext>
          </a:extLst>
        </xdr:cNvPr>
        <xdr:cNvSpPr>
          <a:spLocks noChangeArrowheads="1"/>
        </xdr:cNvSpPr>
      </xdr:nvSpPr>
      <xdr:spPr bwMode="auto">
        <a:xfrm rot="5400000">
          <a:off x="7469066" y="11287859"/>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820615</xdr:colOff>
      <xdr:row>57</xdr:row>
      <xdr:rowOff>51293</xdr:rowOff>
    </xdr:from>
    <xdr:to>
      <xdr:col>2</xdr:col>
      <xdr:colOff>877766</xdr:colOff>
      <xdr:row>57</xdr:row>
      <xdr:rowOff>146545</xdr:rowOff>
    </xdr:to>
    <xdr:sp macro="" textlink="">
      <xdr:nvSpPr>
        <xdr:cNvPr id="15" name="AutoShape 655">
          <a:extLst>
            <a:ext uri="{FF2B5EF4-FFF2-40B4-BE49-F238E27FC236}">
              <a16:creationId xmlns:a16="http://schemas.microsoft.com/office/drawing/2014/main" xmlns="" id="{00000000-0008-0000-0A00-00000F000000}"/>
            </a:ext>
          </a:extLst>
        </xdr:cNvPr>
        <xdr:cNvSpPr>
          <a:spLocks noChangeArrowheads="1"/>
        </xdr:cNvSpPr>
      </xdr:nvSpPr>
      <xdr:spPr bwMode="auto">
        <a:xfrm rot="5400000">
          <a:off x="1167911" y="1074567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821570</xdr:colOff>
      <xdr:row>58</xdr:row>
      <xdr:rowOff>53840</xdr:rowOff>
    </xdr:from>
    <xdr:to>
      <xdr:col>2</xdr:col>
      <xdr:colOff>878721</xdr:colOff>
      <xdr:row>58</xdr:row>
      <xdr:rowOff>148137</xdr:rowOff>
    </xdr:to>
    <xdr:sp macro="" textlink="">
      <xdr:nvSpPr>
        <xdr:cNvPr id="16" name="AutoShape 655">
          <a:extLst>
            <a:ext uri="{FF2B5EF4-FFF2-40B4-BE49-F238E27FC236}">
              <a16:creationId xmlns:a16="http://schemas.microsoft.com/office/drawing/2014/main" xmlns="" id="{00000000-0008-0000-0A00-000010000000}"/>
            </a:ext>
          </a:extLst>
        </xdr:cNvPr>
        <xdr:cNvSpPr>
          <a:spLocks noChangeArrowheads="1"/>
        </xdr:cNvSpPr>
      </xdr:nvSpPr>
      <xdr:spPr bwMode="auto">
        <a:xfrm rot="5400000">
          <a:off x="1175714" y="11113130"/>
          <a:ext cx="94297"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467591</xdr:colOff>
      <xdr:row>31</xdr:row>
      <xdr:rowOff>54556</xdr:rowOff>
    </xdr:from>
    <xdr:to>
      <xdr:col>6</xdr:col>
      <xdr:colOff>534266</xdr:colOff>
      <xdr:row>31</xdr:row>
      <xdr:rowOff>149806</xdr:rowOff>
    </xdr:to>
    <xdr:sp macro="" textlink="">
      <xdr:nvSpPr>
        <xdr:cNvPr id="17" name="AutoShape 515">
          <a:extLst>
            <a:ext uri="{FF2B5EF4-FFF2-40B4-BE49-F238E27FC236}">
              <a16:creationId xmlns:a16="http://schemas.microsoft.com/office/drawing/2014/main" xmlns="" id="{00000000-0008-0000-0A00-000011000000}"/>
            </a:ext>
          </a:extLst>
        </xdr:cNvPr>
        <xdr:cNvSpPr>
          <a:spLocks noChangeArrowheads="1"/>
        </xdr:cNvSpPr>
      </xdr:nvSpPr>
      <xdr:spPr bwMode="auto">
        <a:xfrm rot="5400000">
          <a:off x="2341739" y="5990908"/>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114300</xdr:colOff>
      <xdr:row>4</xdr:row>
      <xdr:rowOff>19050</xdr:rowOff>
    </xdr:from>
    <xdr:to>
      <xdr:col>14</xdr:col>
      <xdr:colOff>171450</xdr:colOff>
      <xdr:row>4</xdr:row>
      <xdr:rowOff>125016</xdr:rowOff>
    </xdr:to>
    <xdr:sp macro="" textlink="">
      <xdr:nvSpPr>
        <xdr:cNvPr id="17" name="AutoShape 85">
          <a:extLst>
            <a:ext uri="{FF2B5EF4-FFF2-40B4-BE49-F238E27FC236}">
              <a16:creationId xmlns:a16="http://schemas.microsoft.com/office/drawing/2014/main" xmlns="" id="{00000000-0008-0000-0B00-000011000000}"/>
            </a:ext>
          </a:extLst>
        </xdr:cNvPr>
        <xdr:cNvSpPr>
          <a:spLocks noChangeArrowheads="1"/>
        </xdr:cNvSpPr>
      </xdr:nvSpPr>
      <xdr:spPr bwMode="auto">
        <a:xfrm rot="5400000">
          <a:off x="3404592" y="814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89679</xdr:colOff>
      <xdr:row>5</xdr:row>
      <xdr:rowOff>866</xdr:rowOff>
    </xdr:from>
    <xdr:to>
      <xdr:col>6</xdr:col>
      <xdr:colOff>146829</xdr:colOff>
      <xdr:row>5</xdr:row>
      <xdr:rowOff>106832</xdr:rowOff>
    </xdr:to>
    <xdr:sp macro="" textlink="">
      <xdr:nvSpPr>
        <xdr:cNvPr id="4" name="AutoShape 85">
          <a:extLst>
            <a:ext uri="{FF2B5EF4-FFF2-40B4-BE49-F238E27FC236}">
              <a16:creationId xmlns:a16="http://schemas.microsoft.com/office/drawing/2014/main" xmlns="" id="{00000000-0008-0000-0B00-000004000000}"/>
            </a:ext>
          </a:extLst>
        </xdr:cNvPr>
        <xdr:cNvSpPr>
          <a:spLocks noChangeArrowheads="1"/>
        </xdr:cNvSpPr>
      </xdr:nvSpPr>
      <xdr:spPr bwMode="auto">
        <a:xfrm rot="5400000">
          <a:off x="1710498" y="93447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149802</xdr:colOff>
      <xdr:row>13</xdr:row>
      <xdr:rowOff>38100</xdr:rowOff>
    </xdr:from>
    <xdr:to>
      <xdr:col>24</xdr:col>
      <xdr:colOff>206952</xdr:colOff>
      <xdr:row>13</xdr:row>
      <xdr:rowOff>144066</xdr:rowOff>
    </xdr:to>
    <xdr:sp macro="" textlink="">
      <xdr:nvSpPr>
        <xdr:cNvPr id="5" name="AutoShape 85">
          <a:extLst>
            <a:ext uri="{FF2B5EF4-FFF2-40B4-BE49-F238E27FC236}">
              <a16:creationId xmlns:a16="http://schemas.microsoft.com/office/drawing/2014/main" xmlns="" id="{00000000-0008-0000-0B00-000005000000}"/>
            </a:ext>
          </a:extLst>
        </xdr:cNvPr>
        <xdr:cNvSpPr>
          <a:spLocks noChangeArrowheads="1"/>
        </xdr:cNvSpPr>
      </xdr:nvSpPr>
      <xdr:spPr bwMode="auto">
        <a:xfrm rot="5400000">
          <a:off x="5978939" y="228789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xmlns="" id="{00000000-0008-0000-0B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15</xdr:col>
      <xdr:colOff>124798</xdr:colOff>
      <xdr:row>21</xdr:row>
      <xdr:rowOff>43298</xdr:rowOff>
    </xdr:from>
    <xdr:to>
      <xdr:col>15</xdr:col>
      <xdr:colOff>179567</xdr:colOff>
      <xdr:row>21</xdr:row>
      <xdr:rowOff>149264</xdr:rowOff>
    </xdr:to>
    <xdr:sp macro="" textlink="">
      <xdr:nvSpPr>
        <xdr:cNvPr id="7" name="AutoShape 85">
          <a:extLst>
            <a:ext uri="{FF2B5EF4-FFF2-40B4-BE49-F238E27FC236}">
              <a16:creationId xmlns:a16="http://schemas.microsoft.com/office/drawing/2014/main" xmlns="" id="{00000000-0008-0000-0B00-000007000000}"/>
            </a:ext>
          </a:extLst>
        </xdr:cNvPr>
        <xdr:cNvSpPr>
          <a:spLocks noChangeArrowheads="1"/>
        </xdr:cNvSpPr>
      </xdr:nvSpPr>
      <xdr:spPr bwMode="auto">
        <a:xfrm rot="5400000">
          <a:off x="3766325" y="3700302"/>
          <a:ext cx="105966" cy="5476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114300</xdr:colOff>
      <xdr:row>4</xdr:row>
      <xdr:rowOff>19050</xdr:rowOff>
    </xdr:from>
    <xdr:to>
      <xdr:col>14</xdr:col>
      <xdr:colOff>171450</xdr:colOff>
      <xdr:row>4</xdr:row>
      <xdr:rowOff>125016</xdr:rowOff>
    </xdr:to>
    <xdr:sp macro="" textlink="">
      <xdr:nvSpPr>
        <xdr:cNvPr id="2" name="AutoShape 85">
          <a:extLst>
            <a:ext uri="{FF2B5EF4-FFF2-40B4-BE49-F238E27FC236}">
              <a16:creationId xmlns:a16="http://schemas.microsoft.com/office/drawing/2014/main" xmlns="" id="{00000000-0008-0000-0C00-000002000000}"/>
            </a:ext>
          </a:extLst>
        </xdr:cNvPr>
        <xdr:cNvSpPr>
          <a:spLocks noChangeArrowheads="1"/>
        </xdr:cNvSpPr>
      </xdr:nvSpPr>
      <xdr:spPr bwMode="auto">
        <a:xfrm rot="5400000">
          <a:off x="3645892" y="811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89678</xdr:colOff>
      <xdr:row>5</xdr:row>
      <xdr:rowOff>867</xdr:rowOff>
    </xdr:from>
    <xdr:to>
      <xdr:col>6</xdr:col>
      <xdr:colOff>146828</xdr:colOff>
      <xdr:row>5</xdr:row>
      <xdr:rowOff>106833</xdr:rowOff>
    </xdr:to>
    <xdr:sp macro="" textlink="">
      <xdr:nvSpPr>
        <xdr:cNvPr id="3" name="AutoShape 85">
          <a:extLst>
            <a:ext uri="{FF2B5EF4-FFF2-40B4-BE49-F238E27FC236}">
              <a16:creationId xmlns:a16="http://schemas.microsoft.com/office/drawing/2014/main" xmlns="" id="{00000000-0008-0000-0C00-000003000000}"/>
            </a:ext>
          </a:extLst>
        </xdr:cNvPr>
        <xdr:cNvSpPr>
          <a:spLocks noChangeArrowheads="1"/>
        </xdr:cNvSpPr>
      </xdr:nvSpPr>
      <xdr:spPr bwMode="auto">
        <a:xfrm rot="5400000">
          <a:off x="1710497" y="93448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xmlns="" id="{00000000-0008-0000-0C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168729</xdr:colOff>
      <xdr:row>4</xdr:row>
      <xdr:rowOff>46265</xdr:rowOff>
    </xdr:from>
    <xdr:to>
      <xdr:col>13</xdr:col>
      <xdr:colOff>225879</xdr:colOff>
      <xdr:row>4</xdr:row>
      <xdr:rowOff>152231</xdr:rowOff>
    </xdr:to>
    <xdr:sp macro="" textlink="">
      <xdr:nvSpPr>
        <xdr:cNvPr id="2" name="AutoShape 85">
          <a:extLst>
            <a:ext uri="{FF2B5EF4-FFF2-40B4-BE49-F238E27FC236}">
              <a16:creationId xmlns:a16="http://schemas.microsoft.com/office/drawing/2014/main" xmlns="" id="{00000000-0008-0000-0D00-000002000000}"/>
            </a:ext>
          </a:extLst>
        </xdr:cNvPr>
        <xdr:cNvSpPr>
          <a:spLocks noChangeArrowheads="1"/>
        </xdr:cNvSpPr>
      </xdr:nvSpPr>
      <xdr:spPr bwMode="auto">
        <a:xfrm rot="5400000">
          <a:off x="3377378" y="79457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xmlns="" id="{00000000-0008-0000-0D00-000003000000}"/>
            </a:ext>
          </a:extLst>
        </xdr:cNvPr>
        <xdr:cNvSpPr>
          <a:spLocks noChangeArrowheads="1"/>
        </xdr:cNvSpPr>
      </xdr:nvSpPr>
      <xdr:spPr bwMode="auto">
        <a:xfrm rot="5400000">
          <a:off x="1701837" y="92582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xmlns="" id="{00000000-0008-0000-0D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114300</xdr:colOff>
      <xdr:row>4</xdr:row>
      <xdr:rowOff>19050</xdr:rowOff>
    </xdr:from>
    <xdr:to>
      <xdr:col>14</xdr:col>
      <xdr:colOff>171450</xdr:colOff>
      <xdr:row>4</xdr:row>
      <xdr:rowOff>125016</xdr:rowOff>
    </xdr:to>
    <xdr:sp macro="" textlink="">
      <xdr:nvSpPr>
        <xdr:cNvPr id="2" name="AutoShape 85">
          <a:extLst>
            <a:ext uri="{FF2B5EF4-FFF2-40B4-BE49-F238E27FC236}">
              <a16:creationId xmlns:a16="http://schemas.microsoft.com/office/drawing/2014/main" xmlns="" id="{00000000-0008-0000-0E00-000002000000}"/>
            </a:ext>
          </a:extLst>
        </xdr:cNvPr>
        <xdr:cNvSpPr>
          <a:spLocks noChangeArrowheads="1"/>
        </xdr:cNvSpPr>
      </xdr:nvSpPr>
      <xdr:spPr bwMode="auto">
        <a:xfrm rot="5400000">
          <a:off x="3556992" y="76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xmlns="" id="{00000000-0008-0000-0E00-000003000000}"/>
            </a:ext>
          </a:extLst>
        </xdr:cNvPr>
        <xdr:cNvSpPr>
          <a:spLocks noChangeArrowheads="1"/>
        </xdr:cNvSpPr>
      </xdr:nvSpPr>
      <xdr:spPr bwMode="auto">
        <a:xfrm rot="5400000">
          <a:off x="1695343" y="921924"/>
          <a:ext cx="10510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xmlns="" id="{00000000-0008-0000-0E00-000004000000}"/>
            </a:ext>
          </a:extLst>
        </xdr:cNvPr>
        <xdr:cNvSpPr>
          <a:spLocks noChangeArrowheads="1"/>
        </xdr:cNvSpPr>
      </xdr:nvSpPr>
      <xdr:spPr bwMode="auto">
        <a:xfrm rot="10800000">
          <a:off x="9067800" y="1368287"/>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114300</xdr:colOff>
      <xdr:row>4</xdr:row>
      <xdr:rowOff>19050</xdr:rowOff>
    </xdr:from>
    <xdr:to>
      <xdr:col>14</xdr:col>
      <xdr:colOff>171450</xdr:colOff>
      <xdr:row>4</xdr:row>
      <xdr:rowOff>125016</xdr:rowOff>
    </xdr:to>
    <xdr:sp macro="" textlink="">
      <xdr:nvSpPr>
        <xdr:cNvPr id="2" name="AutoShape 85">
          <a:extLst>
            <a:ext uri="{FF2B5EF4-FFF2-40B4-BE49-F238E27FC236}">
              <a16:creationId xmlns:a16="http://schemas.microsoft.com/office/drawing/2014/main" xmlns="" id="{00000000-0008-0000-0F00-000002000000}"/>
            </a:ext>
          </a:extLst>
        </xdr:cNvPr>
        <xdr:cNvSpPr>
          <a:spLocks noChangeArrowheads="1"/>
        </xdr:cNvSpPr>
      </xdr:nvSpPr>
      <xdr:spPr bwMode="auto">
        <a:xfrm rot="5400000">
          <a:off x="3556992" y="76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xmlns="" id="{00000000-0008-0000-0F00-000003000000}"/>
            </a:ext>
          </a:extLst>
        </xdr:cNvPr>
        <xdr:cNvSpPr>
          <a:spLocks noChangeArrowheads="1"/>
        </xdr:cNvSpPr>
      </xdr:nvSpPr>
      <xdr:spPr bwMode="auto">
        <a:xfrm rot="5400000">
          <a:off x="1695343" y="921924"/>
          <a:ext cx="10510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xmlns="" id="{00000000-0008-0000-0F00-000004000000}"/>
            </a:ext>
          </a:extLst>
        </xdr:cNvPr>
        <xdr:cNvSpPr>
          <a:spLocks noChangeArrowheads="1"/>
        </xdr:cNvSpPr>
      </xdr:nvSpPr>
      <xdr:spPr bwMode="auto">
        <a:xfrm rot="10800000">
          <a:off x="9067800" y="1368287"/>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114300</xdr:colOff>
      <xdr:row>4</xdr:row>
      <xdr:rowOff>19050</xdr:rowOff>
    </xdr:from>
    <xdr:to>
      <xdr:col>14</xdr:col>
      <xdr:colOff>171450</xdr:colOff>
      <xdr:row>4</xdr:row>
      <xdr:rowOff>125016</xdr:rowOff>
    </xdr:to>
    <xdr:sp macro="" textlink="">
      <xdr:nvSpPr>
        <xdr:cNvPr id="2" name="AutoShape 85">
          <a:extLst>
            <a:ext uri="{FF2B5EF4-FFF2-40B4-BE49-F238E27FC236}">
              <a16:creationId xmlns:a16="http://schemas.microsoft.com/office/drawing/2014/main" xmlns="" id="{00000000-0008-0000-1000-000002000000}"/>
            </a:ext>
          </a:extLst>
        </xdr:cNvPr>
        <xdr:cNvSpPr>
          <a:spLocks noChangeArrowheads="1"/>
        </xdr:cNvSpPr>
      </xdr:nvSpPr>
      <xdr:spPr bwMode="auto">
        <a:xfrm rot="5400000">
          <a:off x="3556992" y="76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xmlns="" id="{00000000-0008-0000-1000-000003000000}"/>
            </a:ext>
          </a:extLst>
        </xdr:cNvPr>
        <xdr:cNvSpPr>
          <a:spLocks noChangeArrowheads="1"/>
        </xdr:cNvSpPr>
      </xdr:nvSpPr>
      <xdr:spPr bwMode="auto">
        <a:xfrm rot="5400000">
          <a:off x="1695343" y="921924"/>
          <a:ext cx="10510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216478</xdr:colOff>
      <xdr:row>13</xdr:row>
      <xdr:rowOff>34637</xdr:rowOff>
    </xdr:from>
    <xdr:to>
      <xdr:col>7</xdr:col>
      <xdr:colOff>48491</xdr:colOff>
      <xdr:row>13</xdr:row>
      <xdr:rowOff>140603</xdr:rowOff>
    </xdr:to>
    <xdr:sp macro="" textlink="">
      <xdr:nvSpPr>
        <xdr:cNvPr id="7" name="AutoShape 85">
          <a:extLst>
            <a:ext uri="{FF2B5EF4-FFF2-40B4-BE49-F238E27FC236}">
              <a16:creationId xmlns:a16="http://schemas.microsoft.com/office/drawing/2014/main" xmlns="" id="{00000000-0008-0000-1000-000007000000}"/>
            </a:ext>
          </a:extLst>
        </xdr:cNvPr>
        <xdr:cNvSpPr>
          <a:spLocks noChangeArrowheads="1"/>
        </xdr:cNvSpPr>
      </xdr:nvSpPr>
      <xdr:spPr bwMode="auto">
        <a:xfrm rot="5400000">
          <a:off x="1837297" y="2275772"/>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312268</xdr:colOff>
      <xdr:row>13</xdr:row>
      <xdr:rowOff>37883</xdr:rowOff>
    </xdr:from>
    <xdr:to>
      <xdr:col>27</xdr:col>
      <xdr:colOff>369418</xdr:colOff>
      <xdr:row>13</xdr:row>
      <xdr:rowOff>143849</xdr:rowOff>
    </xdr:to>
    <xdr:sp macro="" textlink="">
      <xdr:nvSpPr>
        <xdr:cNvPr id="8" name="AutoShape 85">
          <a:extLst>
            <a:ext uri="{FF2B5EF4-FFF2-40B4-BE49-F238E27FC236}">
              <a16:creationId xmlns:a16="http://schemas.microsoft.com/office/drawing/2014/main" xmlns="" id="{00000000-0008-0000-1000-000008000000}"/>
            </a:ext>
          </a:extLst>
        </xdr:cNvPr>
        <xdr:cNvSpPr>
          <a:spLocks noChangeArrowheads="1"/>
        </xdr:cNvSpPr>
      </xdr:nvSpPr>
      <xdr:spPr bwMode="auto">
        <a:xfrm rot="5400000">
          <a:off x="6872016" y="225899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138545</xdr:colOff>
      <xdr:row>13</xdr:row>
      <xdr:rowOff>34636</xdr:rowOff>
    </xdr:from>
    <xdr:to>
      <xdr:col>18</xdr:col>
      <xdr:colOff>195695</xdr:colOff>
      <xdr:row>13</xdr:row>
      <xdr:rowOff>140602</xdr:rowOff>
    </xdr:to>
    <xdr:sp macro="" textlink="">
      <xdr:nvSpPr>
        <xdr:cNvPr id="9" name="AutoShape 85">
          <a:extLst>
            <a:ext uri="{FF2B5EF4-FFF2-40B4-BE49-F238E27FC236}">
              <a16:creationId xmlns:a16="http://schemas.microsoft.com/office/drawing/2014/main" xmlns="" id="{00000000-0008-0000-1000-000009000000}"/>
            </a:ext>
          </a:extLst>
        </xdr:cNvPr>
        <xdr:cNvSpPr>
          <a:spLocks noChangeArrowheads="1"/>
        </xdr:cNvSpPr>
      </xdr:nvSpPr>
      <xdr:spPr bwMode="auto">
        <a:xfrm rot="5400000">
          <a:off x="4461001" y="227577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xmlns="" id="{00000000-0008-0000-11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62</xdr:row>
      <xdr:rowOff>19050</xdr:rowOff>
    </xdr:from>
    <xdr:to>
      <xdr:col>3</xdr:col>
      <xdr:colOff>1209675</xdr:colOff>
      <xdr:row>64</xdr:row>
      <xdr:rowOff>85725</xdr:rowOff>
    </xdr:to>
    <xdr:sp macro="" textlink="">
      <xdr:nvSpPr>
        <xdr:cNvPr id="108737" name="AutoShape 87">
          <a:extLst>
            <a:ext uri="{FF2B5EF4-FFF2-40B4-BE49-F238E27FC236}">
              <a16:creationId xmlns:a16="http://schemas.microsoft.com/office/drawing/2014/main" xmlns="" id="{00000000-0008-0000-1100-0000C1A80100}"/>
            </a:ext>
          </a:extLst>
        </xdr:cNvPr>
        <xdr:cNvSpPr>
          <a:spLocks noChangeArrowheads="1"/>
        </xdr:cNvSpPr>
      </xdr:nvSpPr>
      <xdr:spPr bwMode="auto">
        <a:xfrm>
          <a:off x="1400175" y="8162925"/>
          <a:ext cx="409575"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19050</xdr:colOff>
      <xdr:row>53</xdr:row>
      <xdr:rowOff>38100</xdr:rowOff>
    </xdr:from>
    <xdr:to>
      <xdr:col>4</xdr:col>
      <xdr:colOff>85725</xdr:colOff>
      <xdr:row>56</xdr:row>
      <xdr:rowOff>66675</xdr:rowOff>
    </xdr:to>
    <xdr:pic>
      <xdr:nvPicPr>
        <xdr:cNvPr id="110033" name="Picture 98">
          <a:extLst>
            <a:ext uri="{FF2B5EF4-FFF2-40B4-BE49-F238E27FC236}">
              <a16:creationId xmlns:a16="http://schemas.microsoft.com/office/drawing/2014/main" xmlns="" id="{00000000-0008-0000-12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9124950"/>
          <a:ext cx="457200" cy="447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28</xdr:row>
      <xdr:rowOff>127397</xdr:rowOff>
    </xdr:from>
    <xdr:to>
      <xdr:col>6</xdr:col>
      <xdr:colOff>602457</xdr:colOff>
      <xdr:row>36</xdr:row>
      <xdr:rowOff>127397</xdr:rowOff>
    </xdr:to>
    <xdr:sp macro="" textlink="">
      <xdr:nvSpPr>
        <xdr:cNvPr id="110034" name="AutoShape 99">
          <a:extLst>
            <a:ext uri="{FF2B5EF4-FFF2-40B4-BE49-F238E27FC236}">
              <a16:creationId xmlns:a16="http://schemas.microsoft.com/office/drawing/2014/main" xmlns="" id="{00000000-0008-0000-12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xmlns="" id="{00000000-0008-0000-12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23</xdr:row>
      <xdr:rowOff>38100</xdr:rowOff>
    </xdr:from>
    <xdr:to>
      <xdr:col>4</xdr:col>
      <xdr:colOff>761943</xdr:colOff>
      <xdr:row>25</xdr:row>
      <xdr:rowOff>123771</xdr:rowOff>
    </xdr:to>
    <xdr:pic>
      <xdr:nvPicPr>
        <xdr:cNvPr id="2" name="Picture 1">
          <a:extLst>
            <a:ext uri="{FF2B5EF4-FFF2-40B4-BE49-F238E27FC236}">
              <a16:creationId xmlns:a16="http://schemas.microsoft.com/office/drawing/2014/main" xmlns="" id="{00000000-0008-0000-12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36</xdr:row>
      <xdr:rowOff>152400</xdr:rowOff>
    </xdr:from>
    <xdr:to>
      <xdr:col>4</xdr:col>
      <xdr:colOff>712247</xdr:colOff>
      <xdr:row>39</xdr:row>
      <xdr:rowOff>76145</xdr:rowOff>
    </xdr:to>
    <xdr:pic>
      <xdr:nvPicPr>
        <xdr:cNvPr id="3" name="Picture 2">
          <a:extLst>
            <a:ext uri="{FF2B5EF4-FFF2-40B4-BE49-F238E27FC236}">
              <a16:creationId xmlns:a16="http://schemas.microsoft.com/office/drawing/2014/main" xmlns="" id="{00000000-0008-0000-12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xmlns="" id="{00000000-0008-0000-13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295275</xdr:colOff>
      <xdr:row>19</xdr:row>
      <xdr:rowOff>47625</xdr:rowOff>
    </xdr:from>
    <xdr:to>
      <xdr:col>8</xdr:col>
      <xdr:colOff>381000</xdr:colOff>
      <xdr:row>22</xdr:row>
      <xdr:rowOff>47625</xdr:rowOff>
    </xdr:to>
    <xdr:sp macro="" textlink="">
      <xdr:nvSpPr>
        <xdr:cNvPr id="30" name="AutoShape 973">
          <a:extLst>
            <a:ext uri="{FF2B5EF4-FFF2-40B4-BE49-F238E27FC236}">
              <a16:creationId xmlns:a16="http://schemas.microsoft.com/office/drawing/2014/main" xmlns="" id="{00000000-0008-0000-1300-00001E000000}"/>
            </a:ext>
          </a:extLst>
        </xdr:cNvPr>
        <xdr:cNvSpPr>
          <a:spLocks/>
        </xdr:cNvSpPr>
      </xdr:nvSpPr>
      <xdr:spPr bwMode="auto">
        <a:xfrm>
          <a:off x="4505325" y="335280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76200</xdr:rowOff>
    </xdr:to>
    <xdr:pic>
      <xdr:nvPicPr>
        <xdr:cNvPr id="40" name="Picture 10" descr="E:\My Documents\Excel\03_1040\Pencil - Black.jpg">
          <a:extLst>
            <a:ext uri="{FF2B5EF4-FFF2-40B4-BE49-F238E27FC236}">
              <a16:creationId xmlns:a16="http://schemas.microsoft.com/office/drawing/2014/main" xmlns="" id="{00000000-0008-0000-13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314325</xdr:colOff>
      <xdr:row>15</xdr:row>
      <xdr:rowOff>85725</xdr:rowOff>
    </xdr:from>
    <xdr:to>
      <xdr:col>8</xdr:col>
      <xdr:colOff>381000</xdr:colOff>
      <xdr:row>18</xdr:row>
      <xdr:rowOff>9525</xdr:rowOff>
    </xdr:to>
    <xdr:sp macro="" textlink="">
      <xdr:nvSpPr>
        <xdr:cNvPr id="6" name="AutoShape 973">
          <a:extLst>
            <a:ext uri="{FF2B5EF4-FFF2-40B4-BE49-F238E27FC236}">
              <a16:creationId xmlns:a16="http://schemas.microsoft.com/office/drawing/2014/main" xmlns="" id="{00000000-0008-0000-1300-000006000000}"/>
            </a:ext>
          </a:extLst>
        </xdr:cNvPr>
        <xdr:cNvSpPr>
          <a:spLocks/>
        </xdr:cNvSpPr>
      </xdr:nvSpPr>
      <xdr:spPr bwMode="auto">
        <a:xfrm>
          <a:off x="4505325" y="2705100"/>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19049</xdr:colOff>
      <xdr:row>50</xdr:row>
      <xdr:rowOff>76200</xdr:rowOff>
    </xdr:from>
    <xdr:to>
      <xdr:col>2</xdr:col>
      <xdr:colOff>447674</xdr:colOff>
      <xdr:row>53</xdr:row>
      <xdr:rowOff>80283</xdr:rowOff>
    </xdr:to>
    <xdr:pic>
      <xdr:nvPicPr>
        <xdr:cNvPr id="2" name="Picture 113" descr="E:\My Documents\Excel\04_1040\IRS Forms\CAUTION_Black.jpg">
          <a:extLst>
            <a:ext uri="{FF2B5EF4-FFF2-40B4-BE49-F238E27FC236}">
              <a16:creationId xmlns:a16="http://schemas.microsoft.com/office/drawing/2014/main" xmlns=""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4" y="7839075"/>
          <a:ext cx="428625" cy="489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227095</xdr:colOff>
      <xdr:row>1</xdr:row>
      <xdr:rowOff>83079</xdr:rowOff>
    </xdr:from>
    <xdr:to>
      <xdr:col>8</xdr:col>
      <xdr:colOff>761999</xdr:colOff>
      <xdr:row>4</xdr:row>
      <xdr:rowOff>47625</xdr:rowOff>
    </xdr:to>
    <xdr:pic>
      <xdr:nvPicPr>
        <xdr:cNvPr id="2" name="Picture 10" descr="E:\My Documents\Excel\03_1040\Pencil - Black.jpg">
          <a:extLst>
            <a:ext uri="{FF2B5EF4-FFF2-40B4-BE49-F238E27FC236}">
              <a16:creationId xmlns:a16="http://schemas.microsoft.com/office/drawing/2014/main" xmlns=""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61295" y="292629"/>
          <a:ext cx="534904" cy="564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10</xdr:col>
      <xdr:colOff>333375</xdr:colOff>
      <xdr:row>1</xdr:row>
      <xdr:rowOff>19050</xdr:rowOff>
    </xdr:from>
    <xdr:ext cx="352425" cy="356088"/>
    <xdr:pic>
      <xdr:nvPicPr>
        <xdr:cNvPr id="5" name="Picture 8" descr="E:\My Documents\Excel\03_1040\Pencil - Blue.jpg">
          <a:extLst>
            <a:ext uri="{FF2B5EF4-FFF2-40B4-BE49-F238E27FC236}">
              <a16:creationId xmlns:a16="http://schemas.microsoft.com/office/drawing/2014/main" xmlns="" id="{00000000-0008-0000-16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0325" y="219075"/>
          <a:ext cx="352425" cy="356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6.xml><?xml version="1.0" encoding="utf-8"?>
<xdr:wsDr xmlns:xdr="http://schemas.openxmlformats.org/drawingml/2006/spreadsheetDrawing" xmlns:a="http://schemas.openxmlformats.org/drawingml/2006/main">
  <xdr:twoCellAnchor>
    <xdr:from>
      <xdr:col>6</xdr:col>
      <xdr:colOff>2533650</xdr:colOff>
      <xdr:row>33</xdr:row>
      <xdr:rowOff>66675</xdr:rowOff>
    </xdr:from>
    <xdr:to>
      <xdr:col>6</xdr:col>
      <xdr:colOff>2638425</xdr:colOff>
      <xdr:row>36</xdr:row>
      <xdr:rowOff>9525</xdr:rowOff>
    </xdr:to>
    <xdr:sp macro="" textlink="">
      <xdr:nvSpPr>
        <xdr:cNvPr id="107799" name="AutoShape 7">
          <a:extLst>
            <a:ext uri="{FF2B5EF4-FFF2-40B4-BE49-F238E27FC236}">
              <a16:creationId xmlns:a16="http://schemas.microsoft.com/office/drawing/2014/main" xmlns="" id="{00000000-0008-0000-17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2352675</xdr:colOff>
      <xdr:row>37</xdr:row>
      <xdr:rowOff>161925</xdr:rowOff>
    </xdr:from>
    <xdr:to>
      <xdr:col>6</xdr:col>
      <xdr:colOff>2447925</xdr:colOff>
      <xdr:row>42</xdr:row>
      <xdr:rowOff>114300</xdr:rowOff>
    </xdr:to>
    <xdr:sp macro="" textlink="">
      <xdr:nvSpPr>
        <xdr:cNvPr id="107800" name="AutoShape 8">
          <a:extLst>
            <a:ext uri="{FF2B5EF4-FFF2-40B4-BE49-F238E27FC236}">
              <a16:creationId xmlns:a16="http://schemas.microsoft.com/office/drawing/2014/main" xmlns="" id="{00000000-0008-0000-1700-000018A50100}"/>
            </a:ext>
          </a:extLst>
        </xdr:cNvPr>
        <xdr:cNvSpPr>
          <a:spLocks/>
        </xdr:cNvSpPr>
      </xdr:nvSpPr>
      <xdr:spPr bwMode="auto">
        <a:xfrm>
          <a:off x="4095750" y="6048375"/>
          <a:ext cx="95250" cy="828675"/>
        </a:xfrm>
        <a:prstGeom prst="rightBrace">
          <a:avLst>
            <a:gd name="adj1" fmla="val 3906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xmlns="" id="{00000000-0008-0000-17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628650</xdr:colOff>
      <xdr:row>17</xdr:row>
      <xdr:rowOff>47625</xdr:rowOff>
    </xdr:from>
    <xdr:to>
      <xdr:col>14</xdr:col>
      <xdr:colOff>9525</xdr:colOff>
      <xdr:row>18</xdr:row>
      <xdr:rowOff>114300</xdr:rowOff>
    </xdr:to>
    <xdr:pic>
      <xdr:nvPicPr>
        <xdr:cNvPr id="111895" name="Picture 20">
          <a:extLst>
            <a:ext uri="{FF2B5EF4-FFF2-40B4-BE49-F238E27FC236}">
              <a16:creationId xmlns:a16="http://schemas.microsoft.com/office/drawing/2014/main" xmlns="" id="{00000000-0008-0000-1800-000017B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100" y="2190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39</xdr:row>
      <xdr:rowOff>47625</xdr:rowOff>
    </xdr:from>
    <xdr:to>
      <xdr:col>8</xdr:col>
      <xdr:colOff>95250</xdr:colOff>
      <xdr:row>42</xdr:row>
      <xdr:rowOff>0</xdr:rowOff>
    </xdr:to>
    <xdr:sp macro="" textlink="">
      <xdr:nvSpPr>
        <xdr:cNvPr id="111896" name="AutoShape 21">
          <a:extLst>
            <a:ext uri="{FF2B5EF4-FFF2-40B4-BE49-F238E27FC236}">
              <a16:creationId xmlns:a16="http://schemas.microsoft.com/office/drawing/2014/main" xmlns="" id="{00000000-0008-0000-1800-000018B50100}"/>
            </a:ext>
          </a:extLst>
        </xdr:cNvPr>
        <xdr:cNvSpPr>
          <a:spLocks/>
        </xdr:cNvSpPr>
      </xdr:nvSpPr>
      <xdr:spPr bwMode="auto">
        <a:xfrm>
          <a:off x="3752850" y="4238625"/>
          <a:ext cx="95250" cy="4381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1504950</xdr:colOff>
      <xdr:row>27</xdr:row>
      <xdr:rowOff>133350</xdr:rowOff>
    </xdr:from>
    <xdr:to>
      <xdr:col>7</xdr:col>
      <xdr:colOff>1676400</xdr:colOff>
      <xdr:row>32</xdr:row>
      <xdr:rowOff>0</xdr:rowOff>
    </xdr:to>
    <xdr:sp macro="" textlink="">
      <xdr:nvSpPr>
        <xdr:cNvPr id="111897" name="AutoShape 43">
          <a:extLst>
            <a:ext uri="{FF2B5EF4-FFF2-40B4-BE49-F238E27FC236}">
              <a16:creationId xmlns:a16="http://schemas.microsoft.com/office/drawing/2014/main" xmlns="" id="{00000000-0008-0000-1800-000019B50100}"/>
            </a:ext>
          </a:extLst>
        </xdr:cNvPr>
        <xdr:cNvSpPr>
          <a:spLocks/>
        </xdr:cNvSpPr>
      </xdr:nvSpPr>
      <xdr:spPr bwMode="auto">
        <a:xfrm>
          <a:off x="3400425" y="2466975"/>
          <a:ext cx="171450" cy="55245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1835150</xdr:colOff>
      <xdr:row>49</xdr:row>
      <xdr:rowOff>158750</xdr:rowOff>
    </xdr:from>
    <xdr:to>
      <xdr:col>8</xdr:col>
      <xdr:colOff>76200</xdr:colOff>
      <xdr:row>53</xdr:row>
      <xdr:rowOff>31750</xdr:rowOff>
    </xdr:to>
    <xdr:sp macro="" textlink="">
      <xdr:nvSpPr>
        <xdr:cNvPr id="5" name="AutoShape 21">
          <a:extLst>
            <a:ext uri="{FF2B5EF4-FFF2-40B4-BE49-F238E27FC236}">
              <a16:creationId xmlns:a16="http://schemas.microsoft.com/office/drawing/2014/main" xmlns="" id="{00000000-0008-0000-1800-000005000000}"/>
            </a:ext>
          </a:extLst>
        </xdr:cNvPr>
        <xdr:cNvSpPr>
          <a:spLocks/>
        </xdr:cNvSpPr>
      </xdr:nvSpPr>
      <xdr:spPr bwMode="auto">
        <a:xfrm>
          <a:off x="3733800" y="6007100"/>
          <a:ext cx="101600" cy="5270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508746</xdr:colOff>
      <xdr:row>74</xdr:row>
      <xdr:rowOff>47624</xdr:rowOff>
    </xdr:from>
    <xdr:to>
      <xdr:col>13</xdr:col>
      <xdr:colOff>914399</xdr:colOff>
      <xdr:row>74</xdr:row>
      <xdr:rowOff>430741</xdr:rowOff>
    </xdr:to>
    <xdr:pic>
      <xdr:nvPicPr>
        <xdr:cNvPr id="8" name="Picture 10" descr="E:\My Documents\Excel\03_1040\Pencil - Black.jpg">
          <a:extLst>
            <a:ext uri="{FF2B5EF4-FFF2-40B4-BE49-F238E27FC236}">
              <a16:creationId xmlns:a16="http://schemas.microsoft.com/office/drawing/2014/main" xmlns="" id="{00000000-0008-0000-18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66721" y="12639674"/>
          <a:ext cx="405653" cy="3831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75</xdr:row>
      <xdr:rowOff>95251</xdr:rowOff>
    </xdr:from>
    <xdr:to>
      <xdr:col>4</xdr:col>
      <xdr:colOff>19050</xdr:colOff>
      <xdr:row>76</xdr:row>
      <xdr:rowOff>344927</xdr:rowOff>
    </xdr:to>
    <xdr:pic>
      <xdr:nvPicPr>
        <xdr:cNvPr id="9" name="Picture 113" descr="E:\My Documents\Excel\04_1040\IRS Forms\CAUTION_Black.jpg">
          <a:extLst>
            <a:ext uri="{FF2B5EF4-FFF2-40B4-BE49-F238E27FC236}">
              <a16:creationId xmlns:a16="http://schemas.microsoft.com/office/drawing/2014/main" xmlns="" id="{00000000-0008-0000-1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3163551"/>
          <a:ext cx="390525" cy="4116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95250</xdr:colOff>
      <xdr:row>68</xdr:row>
      <xdr:rowOff>38100</xdr:rowOff>
    </xdr:from>
    <xdr:to>
      <xdr:col>7</xdr:col>
      <xdr:colOff>495300</xdr:colOff>
      <xdr:row>70</xdr:row>
      <xdr:rowOff>19050</xdr:rowOff>
    </xdr:to>
    <xdr:sp macro="" textlink="">
      <xdr:nvSpPr>
        <xdr:cNvPr id="121854" name="AutoShape 4">
          <a:extLst>
            <a:ext uri="{FF2B5EF4-FFF2-40B4-BE49-F238E27FC236}">
              <a16:creationId xmlns:a16="http://schemas.microsoft.com/office/drawing/2014/main" xmlns="" id="{00000000-0008-0000-1900-0000FEDB0100}"/>
            </a:ext>
          </a:extLst>
        </xdr:cNvPr>
        <xdr:cNvSpPr>
          <a:spLocks noChangeArrowheads="1"/>
        </xdr:cNvSpPr>
      </xdr:nvSpPr>
      <xdr:spPr bwMode="auto">
        <a:xfrm>
          <a:off x="2476500" y="12353925"/>
          <a:ext cx="400050" cy="323850"/>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9525</xdr:colOff>
      <xdr:row>117</xdr:row>
      <xdr:rowOff>219075</xdr:rowOff>
    </xdr:from>
    <xdr:to>
      <xdr:col>18</xdr:col>
      <xdr:colOff>114300</xdr:colOff>
      <xdr:row>117</xdr:row>
      <xdr:rowOff>219075</xdr:rowOff>
    </xdr:to>
    <xdr:sp macro="" textlink="">
      <xdr:nvSpPr>
        <xdr:cNvPr id="124930" name="Line 9">
          <a:extLst>
            <a:ext uri="{FF2B5EF4-FFF2-40B4-BE49-F238E27FC236}">
              <a16:creationId xmlns:a16="http://schemas.microsoft.com/office/drawing/2014/main" xmlns="" id="{00000000-0008-0000-1900-000002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3175</xdr:colOff>
      <xdr:row>183</xdr:row>
      <xdr:rowOff>9525</xdr:rowOff>
    </xdr:from>
    <xdr:to>
      <xdr:col>4</xdr:col>
      <xdr:colOff>187325</xdr:colOff>
      <xdr:row>183</xdr:row>
      <xdr:rowOff>9525</xdr:rowOff>
    </xdr:to>
    <xdr:sp macro="" textlink="">
      <xdr:nvSpPr>
        <xdr:cNvPr id="124931" name="Line 14">
          <a:extLst>
            <a:ext uri="{FF2B5EF4-FFF2-40B4-BE49-F238E27FC236}">
              <a16:creationId xmlns:a16="http://schemas.microsoft.com/office/drawing/2014/main" xmlns="" id="{00000000-0008-0000-1900-000003E80100}"/>
            </a:ext>
          </a:extLst>
        </xdr:cNvPr>
        <xdr:cNvSpPr>
          <a:spLocks noChangeShapeType="1"/>
        </xdr:cNvSpPr>
      </xdr:nvSpPr>
      <xdr:spPr bwMode="auto">
        <a:xfrm>
          <a:off x="622300" y="33337500"/>
          <a:ext cx="1127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175</xdr:row>
      <xdr:rowOff>0</xdr:rowOff>
    </xdr:from>
    <xdr:to>
      <xdr:col>4</xdr:col>
      <xdr:colOff>209550</xdr:colOff>
      <xdr:row>175</xdr:row>
      <xdr:rowOff>0</xdr:rowOff>
    </xdr:to>
    <xdr:sp macro="" textlink="">
      <xdr:nvSpPr>
        <xdr:cNvPr id="124932" name="Line 15">
          <a:extLst>
            <a:ext uri="{FF2B5EF4-FFF2-40B4-BE49-F238E27FC236}">
              <a16:creationId xmlns:a16="http://schemas.microsoft.com/office/drawing/2014/main" xmlns="" id="{00000000-0008-0000-1900-000004E80100}"/>
            </a:ext>
          </a:extLst>
        </xdr:cNvPr>
        <xdr:cNvSpPr>
          <a:spLocks noChangeShapeType="1"/>
        </xdr:cNvSpPr>
      </xdr:nvSpPr>
      <xdr:spPr bwMode="auto">
        <a:xfrm>
          <a:off x="619125" y="31689675"/>
          <a:ext cx="11525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742950</xdr:colOff>
      <xdr:row>207</xdr:row>
      <xdr:rowOff>28576</xdr:rowOff>
    </xdr:from>
    <xdr:to>
      <xdr:col>14</xdr:col>
      <xdr:colOff>838200</xdr:colOff>
      <xdr:row>211</xdr:row>
      <xdr:rowOff>57151</xdr:rowOff>
    </xdr:to>
    <xdr:sp macro="" textlink="">
      <xdr:nvSpPr>
        <xdr:cNvPr id="124933" name="AutoShape 24">
          <a:extLst>
            <a:ext uri="{FF2B5EF4-FFF2-40B4-BE49-F238E27FC236}">
              <a16:creationId xmlns:a16="http://schemas.microsoft.com/office/drawing/2014/main" xmlns="" id="{00000000-0008-0000-1900-000005E80100}"/>
            </a:ext>
          </a:extLst>
        </xdr:cNvPr>
        <xdr:cNvSpPr>
          <a:spLocks/>
        </xdr:cNvSpPr>
      </xdr:nvSpPr>
      <xdr:spPr bwMode="auto">
        <a:xfrm>
          <a:off x="6324600" y="39481126"/>
          <a:ext cx="95250" cy="723900"/>
        </a:xfrm>
        <a:prstGeom prst="rightBrace">
          <a:avLst>
            <a:gd name="adj1" fmla="val 6203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4</xdr:col>
      <xdr:colOff>190500</xdr:colOff>
      <xdr:row>122</xdr:row>
      <xdr:rowOff>57150</xdr:rowOff>
    </xdr:from>
    <xdr:to>
      <xdr:col>6</xdr:col>
      <xdr:colOff>219075</xdr:colOff>
      <xdr:row>125</xdr:row>
      <xdr:rowOff>47625</xdr:rowOff>
    </xdr:to>
    <xdr:pic>
      <xdr:nvPicPr>
        <xdr:cNvPr id="124935" name="Picture 26" descr="0tip">
          <a:extLst>
            <a:ext uri="{FF2B5EF4-FFF2-40B4-BE49-F238E27FC236}">
              <a16:creationId xmlns:a16="http://schemas.microsoft.com/office/drawing/2014/main" xmlns="" id="{00000000-0008-0000-1900-000007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104776</xdr:colOff>
      <xdr:row>38</xdr:row>
      <xdr:rowOff>28575</xdr:rowOff>
    </xdr:from>
    <xdr:to>
      <xdr:col>12</xdr:col>
      <xdr:colOff>123826</xdr:colOff>
      <xdr:row>43</xdr:row>
      <xdr:rowOff>38100</xdr:rowOff>
    </xdr:to>
    <xdr:sp macro="" textlink="">
      <xdr:nvSpPr>
        <xdr:cNvPr id="124937" name="AutoShape 31">
          <a:extLst>
            <a:ext uri="{FF2B5EF4-FFF2-40B4-BE49-F238E27FC236}">
              <a16:creationId xmlns:a16="http://schemas.microsoft.com/office/drawing/2014/main" xmlns="" id="{00000000-0008-0000-1900-000009E80100}"/>
            </a:ext>
          </a:extLst>
        </xdr:cNvPr>
        <xdr:cNvSpPr>
          <a:spLocks/>
        </xdr:cNvSpPr>
      </xdr:nvSpPr>
      <xdr:spPr bwMode="auto">
        <a:xfrm>
          <a:off x="4752976" y="6858000"/>
          <a:ext cx="152400" cy="933450"/>
        </a:xfrm>
        <a:prstGeom prst="rightBrace">
          <a:avLst>
            <a:gd name="adj1" fmla="val 8589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266700</xdr:colOff>
      <xdr:row>50</xdr:row>
      <xdr:rowOff>0</xdr:rowOff>
    </xdr:from>
    <xdr:to>
      <xdr:col>10</xdr:col>
      <xdr:colOff>381000</xdr:colOff>
      <xdr:row>52</xdr:row>
      <xdr:rowOff>0</xdr:rowOff>
    </xdr:to>
    <xdr:sp macro="" textlink="">
      <xdr:nvSpPr>
        <xdr:cNvPr id="124938" name="AutoShape 34">
          <a:extLst>
            <a:ext uri="{FF2B5EF4-FFF2-40B4-BE49-F238E27FC236}">
              <a16:creationId xmlns:a16="http://schemas.microsoft.com/office/drawing/2014/main" xmlns="" id="{00000000-0008-0000-1900-00000AE80100}"/>
            </a:ext>
          </a:extLst>
        </xdr:cNvPr>
        <xdr:cNvSpPr>
          <a:spLocks/>
        </xdr:cNvSpPr>
      </xdr:nvSpPr>
      <xdr:spPr bwMode="auto">
        <a:xfrm>
          <a:off x="4057650" y="11887200"/>
          <a:ext cx="114300" cy="657225"/>
        </a:xfrm>
        <a:prstGeom prst="rightBrace">
          <a:avLst>
            <a:gd name="adj1" fmla="val 64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14</xdr:col>
      <xdr:colOff>619125</xdr:colOff>
      <xdr:row>105</xdr:row>
      <xdr:rowOff>47625</xdr:rowOff>
    </xdr:from>
    <xdr:to>
      <xdr:col>14</xdr:col>
      <xdr:colOff>676275</xdr:colOff>
      <xdr:row>108</xdr:row>
      <xdr:rowOff>66675</xdr:rowOff>
    </xdr:to>
    <xdr:sp macro="" textlink="">
      <xdr:nvSpPr>
        <xdr:cNvPr id="124939" name="AutoShape 69">
          <a:extLst>
            <a:ext uri="{FF2B5EF4-FFF2-40B4-BE49-F238E27FC236}">
              <a16:creationId xmlns:a16="http://schemas.microsoft.com/office/drawing/2014/main" xmlns="" id="{00000000-0008-0000-1900-00000BE80100}"/>
            </a:ext>
          </a:extLst>
        </xdr:cNvPr>
        <xdr:cNvSpPr>
          <a:spLocks/>
        </xdr:cNvSpPr>
      </xdr:nvSpPr>
      <xdr:spPr bwMode="auto">
        <a:xfrm>
          <a:off x="5991225" y="21907500"/>
          <a:ext cx="57150" cy="638175"/>
        </a:xfrm>
        <a:prstGeom prst="rightBrace">
          <a:avLst>
            <a:gd name="adj1" fmla="val 5833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717794</xdr:colOff>
      <xdr:row>115</xdr:row>
      <xdr:rowOff>75712</xdr:rowOff>
    </xdr:from>
    <xdr:to>
      <xdr:col>10</xdr:col>
      <xdr:colOff>819394</xdr:colOff>
      <xdr:row>120</xdr:row>
      <xdr:rowOff>127000</xdr:rowOff>
    </xdr:to>
    <xdr:sp macro="" textlink="">
      <xdr:nvSpPr>
        <xdr:cNvPr id="124940" name="AutoShape 70">
          <a:extLst>
            <a:ext uri="{FF2B5EF4-FFF2-40B4-BE49-F238E27FC236}">
              <a16:creationId xmlns:a16="http://schemas.microsoft.com/office/drawing/2014/main" xmlns="" id="{00000000-0008-0000-1900-00000CE80100}"/>
            </a:ext>
          </a:extLst>
        </xdr:cNvPr>
        <xdr:cNvSpPr>
          <a:spLocks/>
        </xdr:cNvSpPr>
      </xdr:nvSpPr>
      <xdr:spPr bwMode="auto">
        <a:xfrm>
          <a:off x="5001602" y="23580481"/>
          <a:ext cx="101600" cy="871904"/>
        </a:xfrm>
        <a:prstGeom prst="rightBrace">
          <a:avLst>
            <a:gd name="adj1" fmla="val 86905"/>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820125</xdr:colOff>
      <xdr:row>121</xdr:row>
      <xdr:rowOff>48846</xdr:rowOff>
    </xdr:from>
    <xdr:to>
      <xdr:col>18</xdr:col>
      <xdr:colOff>131884</xdr:colOff>
      <xdr:row>121</xdr:row>
      <xdr:rowOff>51044</xdr:rowOff>
    </xdr:to>
    <xdr:sp macro="" textlink="">
      <xdr:nvSpPr>
        <xdr:cNvPr id="124941" name="Line 71">
          <a:extLst>
            <a:ext uri="{FF2B5EF4-FFF2-40B4-BE49-F238E27FC236}">
              <a16:creationId xmlns:a16="http://schemas.microsoft.com/office/drawing/2014/main" xmlns="" id="{00000000-0008-0000-1900-00000DE80100}"/>
            </a:ext>
          </a:extLst>
        </xdr:cNvPr>
        <xdr:cNvSpPr>
          <a:spLocks noChangeShapeType="1"/>
        </xdr:cNvSpPr>
      </xdr:nvSpPr>
      <xdr:spPr bwMode="auto">
        <a:xfrm flipH="1">
          <a:off x="7966317" y="24623346"/>
          <a:ext cx="454759" cy="2198"/>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114299</xdr:colOff>
      <xdr:row>117</xdr:row>
      <xdr:rowOff>190498</xdr:rowOff>
    </xdr:from>
    <xdr:to>
      <xdr:col>18</xdr:col>
      <xdr:colOff>117231</xdr:colOff>
      <xdr:row>121</xdr:row>
      <xdr:rowOff>43961</xdr:rowOff>
    </xdr:to>
    <xdr:sp macro="" textlink="">
      <xdr:nvSpPr>
        <xdr:cNvPr id="124942" name="Line 72">
          <a:extLst>
            <a:ext uri="{FF2B5EF4-FFF2-40B4-BE49-F238E27FC236}">
              <a16:creationId xmlns:a16="http://schemas.microsoft.com/office/drawing/2014/main" xmlns="" id="{00000000-0008-0000-1900-00000EE80100}"/>
            </a:ext>
          </a:extLst>
        </xdr:cNvPr>
        <xdr:cNvSpPr>
          <a:spLocks noChangeShapeType="1"/>
        </xdr:cNvSpPr>
      </xdr:nvSpPr>
      <xdr:spPr bwMode="auto">
        <a:xfrm flipH="1" flipV="1">
          <a:off x="8403491" y="23973690"/>
          <a:ext cx="2932" cy="644771"/>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17</xdr:col>
      <xdr:colOff>9525</xdr:colOff>
      <xdr:row>117</xdr:row>
      <xdr:rowOff>219075</xdr:rowOff>
    </xdr:from>
    <xdr:to>
      <xdr:col>18</xdr:col>
      <xdr:colOff>114300</xdr:colOff>
      <xdr:row>117</xdr:row>
      <xdr:rowOff>219075</xdr:rowOff>
    </xdr:to>
    <xdr:sp macro="" textlink="">
      <xdr:nvSpPr>
        <xdr:cNvPr id="124943" name="Line 73">
          <a:extLst>
            <a:ext uri="{FF2B5EF4-FFF2-40B4-BE49-F238E27FC236}">
              <a16:creationId xmlns:a16="http://schemas.microsoft.com/office/drawing/2014/main" xmlns="" id="{00000000-0008-0000-1900-00000F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editAs="oneCell">
    <xdr:from>
      <xdr:col>4</xdr:col>
      <xdr:colOff>190500</xdr:colOff>
      <xdr:row>122</xdr:row>
      <xdr:rowOff>57150</xdr:rowOff>
    </xdr:from>
    <xdr:to>
      <xdr:col>6</xdr:col>
      <xdr:colOff>219075</xdr:colOff>
      <xdr:row>125</xdr:row>
      <xdr:rowOff>47625</xdr:rowOff>
    </xdr:to>
    <xdr:pic>
      <xdr:nvPicPr>
        <xdr:cNvPr id="124944" name="Picture 74" descr="0tip">
          <a:extLst>
            <a:ext uri="{FF2B5EF4-FFF2-40B4-BE49-F238E27FC236}">
              <a16:creationId xmlns:a16="http://schemas.microsoft.com/office/drawing/2014/main" xmlns="" id="{00000000-0008-0000-1900-000010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175846</xdr:colOff>
      <xdr:row>134</xdr:row>
      <xdr:rowOff>73930</xdr:rowOff>
    </xdr:from>
    <xdr:to>
      <xdr:col>3</xdr:col>
      <xdr:colOff>219808</xdr:colOff>
      <xdr:row>136</xdr:row>
      <xdr:rowOff>131184</xdr:rowOff>
    </xdr:to>
    <xdr:pic>
      <xdr:nvPicPr>
        <xdr:cNvPr id="124946" name="Picture 117" descr="E:\My Documents\Excel\04_1040\IRS Forms\CAUTION_Black.jpg">
          <a:extLst>
            <a:ext uri="{FF2B5EF4-FFF2-40B4-BE49-F238E27FC236}">
              <a16:creationId xmlns:a16="http://schemas.microsoft.com/office/drawing/2014/main" xmlns="" id="{00000000-0008-0000-1900-000012E8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7058" y="29147161"/>
          <a:ext cx="461596" cy="467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231179</xdr:colOff>
      <xdr:row>120</xdr:row>
      <xdr:rowOff>53242</xdr:rowOff>
    </xdr:from>
    <xdr:to>
      <xdr:col>17</xdr:col>
      <xdr:colOff>617</xdr:colOff>
      <xdr:row>124</xdr:row>
      <xdr:rowOff>74490</xdr:rowOff>
    </xdr:to>
    <xdr:pic>
      <xdr:nvPicPr>
        <xdr:cNvPr id="2" name="Picture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3"/>
        <a:stretch>
          <a:fillRect/>
        </a:stretch>
      </xdr:blipFill>
      <xdr:spPr>
        <a:xfrm>
          <a:off x="7098948" y="24378627"/>
          <a:ext cx="886060" cy="827209"/>
        </a:xfrm>
        <a:prstGeom prst="rect">
          <a:avLst/>
        </a:prstGeom>
      </xdr:spPr>
    </xdr:pic>
    <xdr:clientData/>
  </xdr:twoCellAnchor>
  <xdr:oneCellAnchor>
    <xdr:from>
      <xdr:col>16</xdr:col>
      <xdr:colOff>492441</xdr:colOff>
      <xdr:row>17</xdr:row>
      <xdr:rowOff>47625</xdr:rowOff>
    </xdr:from>
    <xdr:ext cx="317183" cy="352425"/>
    <xdr:pic>
      <xdr:nvPicPr>
        <xdr:cNvPr id="27" name="Picture 27">
          <a:extLst>
            <a:ext uri="{FF2B5EF4-FFF2-40B4-BE49-F238E27FC236}">
              <a16:creationId xmlns:a16="http://schemas.microsoft.com/office/drawing/2014/main" xmlns="" id="{00000000-0008-0000-1900-00001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12316" y="18430875"/>
          <a:ext cx="317183" cy="35242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xdr:from>
      <xdr:col>14</xdr:col>
      <xdr:colOff>820615</xdr:colOff>
      <xdr:row>225</xdr:row>
      <xdr:rowOff>14654</xdr:rowOff>
    </xdr:from>
    <xdr:to>
      <xdr:col>14</xdr:col>
      <xdr:colOff>905607</xdr:colOff>
      <xdr:row>229</xdr:row>
      <xdr:rowOff>42498</xdr:rowOff>
    </xdr:to>
    <xdr:sp macro="" textlink="">
      <xdr:nvSpPr>
        <xdr:cNvPr id="26" name="AutoShape 24">
          <a:extLst>
            <a:ext uri="{FF2B5EF4-FFF2-40B4-BE49-F238E27FC236}">
              <a16:creationId xmlns:a16="http://schemas.microsoft.com/office/drawing/2014/main" xmlns="" id="{00000000-0008-0000-1900-00001A000000}"/>
            </a:ext>
          </a:extLst>
        </xdr:cNvPr>
        <xdr:cNvSpPr>
          <a:spLocks/>
        </xdr:cNvSpPr>
      </xdr:nvSpPr>
      <xdr:spPr bwMode="auto">
        <a:xfrm>
          <a:off x="6477000" y="39382212"/>
          <a:ext cx="84992" cy="694594"/>
        </a:xfrm>
        <a:prstGeom prst="rightBrace">
          <a:avLst>
            <a:gd name="adj1" fmla="val 6203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16</xdr:col>
      <xdr:colOff>95250</xdr:colOff>
      <xdr:row>351</xdr:row>
      <xdr:rowOff>19050</xdr:rowOff>
    </xdr:from>
    <xdr:to>
      <xdr:col>16</xdr:col>
      <xdr:colOff>152400</xdr:colOff>
      <xdr:row>355</xdr:row>
      <xdr:rowOff>0</xdr:rowOff>
    </xdr:to>
    <xdr:sp macro="" textlink="">
      <xdr:nvSpPr>
        <xdr:cNvPr id="3" name="AutoShape 2">
          <a:extLst>
            <a:ext uri="{FF2B5EF4-FFF2-40B4-BE49-F238E27FC236}">
              <a16:creationId xmlns:a16="http://schemas.microsoft.com/office/drawing/2014/main" xmlns="" id="{00000000-0008-0000-1A00-000003000000}"/>
            </a:ext>
          </a:extLst>
        </xdr:cNvPr>
        <xdr:cNvSpPr>
          <a:spLocks/>
        </xdr:cNvSpPr>
      </xdr:nvSpPr>
      <xdr:spPr bwMode="auto">
        <a:xfrm>
          <a:off x="8191500" y="55892700"/>
          <a:ext cx="57150" cy="638175"/>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152400</xdr:colOff>
      <xdr:row>218</xdr:row>
      <xdr:rowOff>66675</xdr:rowOff>
    </xdr:from>
    <xdr:to>
      <xdr:col>3</xdr:col>
      <xdr:colOff>519112</xdr:colOff>
      <xdr:row>220</xdr:row>
      <xdr:rowOff>133350</xdr:rowOff>
    </xdr:to>
    <xdr:pic>
      <xdr:nvPicPr>
        <xdr:cNvPr id="4" name="Picture 113" descr="E:\My Documents\Excel\04_1040\IRS Forms\CAUTION_Black.jpg">
          <a:extLst>
            <a:ext uri="{FF2B5EF4-FFF2-40B4-BE49-F238E27FC236}">
              <a16:creationId xmlns:a16="http://schemas.microsoft.com/office/drawing/2014/main" xmlns=""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3804285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133350</xdr:colOff>
      <xdr:row>450</xdr:row>
      <xdr:rowOff>57150</xdr:rowOff>
    </xdr:from>
    <xdr:to>
      <xdr:col>3</xdr:col>
      <xdr:colOff>500062</xdr:colOff>
      <xdr:row>452</xdr:row>
      <xdr:rowOff>152400</xdr:rowOff>
    </xdr:to>
    <xdr:pic>
      <xdr:nvPicPr>
        <xdr:cNvPr id="5" name="Picture 113" descr="E:\My Documents\Excel\04_1040\IRS Forms\CAUTION_Black.jpg">
          <a:extLst>
            <a:ext uri="{FF2B5EF4-FFF2-40B4-BE49-F238E27FC236}">
              <a16:creationId xmlns:a16="http://schemas.microsoft.com/office/drawing/2014/main" xmlns="" id="{00000000-0008-0000-1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7124700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314</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xmlns="" id="{00000000-0008-0000-1A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542925</xdr:colOff>
      <xdr:row>308</xdr:row>
      <xdr:rowOff>38100</xdr:rowOff>
    </xdr:from>
    <xdr:to>
      <xdr:col>12</xdr:col>
      <xdr:colOff>76200</xdr:colOff>
      <xdr:row>313</xdr:row>
      <xdr:rowOff>28966</xdr:rowOff>
    </xdr:to>
    <xdr:pic>
      <xdr:nvPicPr>
        <xdr:cNvPr id="9" name="Picture 8">
          <a:extLst>
            <a:ext uri="{FF2B5EF4-FFF2-40B4-BE49-F238E27FC236}">
              <a16:creationId xmlns:a16="http://schemas.microsoft.com/office/drawing/2014/main" xmlns="" id="{00000000-0008-0000-1A00-000009000000}"/>
            </a:ext>
          </a:extLst>
        </xdr:cNvPr>
        <xdr:cNvPicPr>
          <a:picLocks noChangeAspect="1"/>
        </xdr:cNvPicPr>
      </xdr:nvPicPr>
      <xdr:blipFill>
        <a:blip xmlns:r="http://schemas.openxmlformats.org/officeDocument/2006/relationships" r:embed="rId2"/>
        <a:stretch>
          <a:fillRect/>
        </a:stretch>
      </xdr:blipFill>
      <xdr:spPr>
        <a:xfrm>
          <a:off x="4514850" y="50472975"/>
          <a:ext cx="1562100" cy="914791"/>
        </a:xfrm>
        <a:prstGeom prst="rect">
          <a:avLst/>
        </a:prstGeom>
      </xdr:spPr>
    </xdr:pic>
    <xdr:clientData/>
  </xdr:twoCellAnchor>
  <xdr:twoCellAnchor editAs="oneCell">
    <xdr:from>
      <xdr:col>11</xdr:col>
      <xdr:colOff>483991</xdr:colOff>
      <xdr:row>443</xdr:row>
      <xdr:rowOff>28575</xdr:rowOff>
    </xdr:from>
    <xdr:to>
      <xdr:col>15</xdr:col>
      <xdr:colOff>47625</xdr:colOff>
      <xdr:row>451</xdr:row>
      <xdr:rowOff>95250</xdr:rowOff>
    </xdr:to>
    <xdr:pic>
      <xdr:nvPicPr>
        <xdr:cNvPr id="10" name="Picture 9">
          <a:extLst>
            <a:ext uri="{FF2B5EF4-FFF2-40B4-BE49-F238E27FC236}">
              <a16:creationId xmlns:a16="http://schemas.microsoft.com/office/drawing/2014/main" xmlns="" id="{00000000-0008-0000-1A00-00000A000000}"/>
            </a:ext>
          </a:extLst>
        </xdr:cNvPr>
        <xdr:cNvPicPr>
          <a:picLocks noChangeAspect="1"/>
        </xdr:cNvPicPr>
      </xdr:nvPicPr>
      <xdr:blipFill>
        <a:blip xmlns:r="http://schemas.openxmlformats.org/officeDocument/2006/relationships" r:embed="rId2"/>
        <a:stretch>
          <a:fillRect/>
        </a:stretch>
      </xdr:blipFill>
      <xdr:spPr>
        <a:xfrm>
          <a:off x="5751316" y="71885175"/>
          <a:ext cx="2325884" cy="13620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9</xdr:col>
      <xdr:colOff>28575</xdr:colOff>
      <xdr:row>20</xdr:row>
      <xdr:rowOff>238125</xdr:rowOff>
    </xdr:from>
    <xdr:to>
      <xdr:col>9</xdr:col>
      <xdr:colOff>200025</xdr:colOff>
      <xdr:row>28</xdr:row>
      <xdr:rowOff>19050</xdr:rowOff>
    </xdr:to>
    <xdr:sp macro="" textlink="">
      <xdr:nvSpPr>
        <xdr:cNvPr id="111150" name="AutoShape 24">
          <a:extLst>
            <a:ext uri="{FF2B5EF4-FFF2-40B4-BE49-F238E27FC236}">
              <a16:creationId xmlns:a16="http://schemas.microsoft.com/office/drawing/2014/main" xmlns="" id="{00000000-0008-0000-1B00-00002EB20100}"/>
            </a:ext>
          </a:extLst>
        </xdr:cNvPr>
        <xdr:cNvSpPr>
          <a:spLocks/>
        </xdr:cNvSpPr>
      </xdr:nvSpPr>
      <xdr:spPr bwMode="auto">
        <a:xfrm>
          <a:off x="5610225" y="4352925"/>
          <a:ext cx="171450" cy="1171575"/>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90</xdr:row>
      <xdr:rowOff>57150</xdr:rowOff>
    </xdr:from>
    <xdr:to>
      <xdr:col>4</xdr:col>
      <xdr:colOff>238125</xdr:colOff>
      <xdr:row>94</xdr:row>
      <xdr:rowOff>38100</xdr:rowOff>
    </xdr:to>
    <xdr:pic>
      <xdr:nvPicPr>
        <xdr:cNvPr id="111151" name="Picture 105" descr="caution">
          <a:extLst>
            <a:ext uri="{FF2B5EF4-FFF2-40B4-BE49-F238E27FC236}">
              <a16:creationId xmlns:a16="http://schemas.microsoft.com/office/drawing/2014/main" xmlns="" id="{00000000-0008-0000-1B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73</xdr:row>
      <xdr:rowOff>85725</xdr:rowOff>
    </xdr:from>
    <xdr:to>
      <xdr:col>7</xdr:col>
      <xdr:colOff>352425</xdr:colOff>
      <xdr:row>81</xdr:row>
      <xdr:rowOff>38100</xdr:rowOff>
    </xdr:to>
    <xdr:sp macro="" textlink="">
      <xdr:nvSpPr>
        <xdr:cNvPr id="111152" name="AutoShape 517">
          <a:extLst>
            <a:ext uri="{FF2B5EF4-FFF2-40B4-BE49-F238E27FC236}">
              <a16:creationId xmlns:a16="http://schemas.microsoft.com/office/drawing/2014/main" xmlns="" id="{00000000-0008-0000-1B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xdr:col>
      <xdr:colOff>47625</xdr:colOff>
      <xdr:row>2</xdr:row>
      <xdr:rowOff>0</xdr:rowOff>
    </xdr:from>
    <xdr:to>
      <xdr:col>3</xdr:col>
      <xdr:colOff>295275</xdr:colOff>
      <xdr:row>5</xdr:row>
      <xdr:rowOff>57150</xdr:rowOff>
    </xdr:to>
    <xdr:pic>
      <xdr:nvPicPr>
        <xdr:cNvPr id="111153" name="Picture 578" descr="caution">
          <a:extLst>
            <a:ext uri="{FF2B5EF4-FFF2-40B4-BE49-F238E27FC236}">
              <a16:creationId xmlns:a16="http://schemas.microsoft.com/office/drawing/2014/main" xmlns="" id="{00000000-0008-0000-1B00-000031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571500"/>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342900</xdr:colOff>
      <xdr:row>1</xdr:row>
      <xdr:rowOff>66675</xdr:rowOff>
    </xdr:from>
    <xdr:to>
      <xdr:col>18</xdr:col>
      <xdr:colOff>66675</xdr:colOff>
      <xdr:row>1</xdr:row>
      <xdr:rowOff>428625</xdr:rowOff>
    </xdr:to>
    <xdr:pic>
      <xdr:nvPicPr>
        <xdr:cNvPr id="111154" name="Picture 579" descr="Pencil - Black">
          <a:extLst>
            <a:ext uri="{FF2B5EF4-FFF2-40B4-BE49-F238E27FC236}">
              <a16:creationId xmlns:a16="http://schemas.microsoft.com/office/drawing/2014/main" xmlns="" id="{00000000-0008-0000-1B00-000032B2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43875" y="190500"/>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371475</xdr:colOff>
      <xdr:row>40</xdr:row>
      <xdr:rowOff>38100</xdr:rowOff>
    </xdr:from>
    <xdr:to>
      <xdr:col>9</xdr:col>
      <xdr:colOff>552450</xdr:colOff>
      <xdr:row>52</xdr:row>
      <xdr:rowOff>133350</xdr:rowOff>
    </xdr:to>
    <xdr:sp macro="" textlink="">
      <xdr:nvSpPr>
        <xdr:cNvPr id="111155" name="AutoShape 645">
          <a:extLst>
            <a:ext uri="{FF2B5EF4-FFF2-40B4-BE49-F238E27FC236}">
              <a16:creationId xmlns:a16="http://schemas.microsoft.com/office/drawing/2014/main" xmlns="" id="{00000000-0008-0000-1B00-000033B20100}"/>
            </a:ext>
          </a:extLst>
        </xdr:cNvPr>
        <xdr:cNvSpPr>
          <a:spLocks/>
        </xdr:cNvSpPr>
      </xdr:nvSpPr>
      <xdr:spPr bwMode="auto">
        <a:xfrm>
          <a:off x="5953125" y="7610475"/>
          <a:ext cx="180975" cy="1924050"/>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30</xdr:row>
      <xdr:rowOff>19050</xdr:rowOff>
    </xdr:from>
    <xdr:to>
      <xdr:col>23</xdr:col>
      <xdr:colOff>600075</xdr:colOff>
      <xdr:row>30</xdr:row>
      <xdr:rowOff>133350</xdr:rowOff>
    </xdr:to>
    <xdr:sp macro="" textlink="">
      <xdr:nvSpPr>
        <xdr:cNvPr id="8" name="AutoShape 344">
          <a:extLst>
            <a:ext uri="{FF2B5EF4-FFF2-40B4-BE49-F238E27FC236}">
              <a16:creationId xmlns:a16="http://schemas.microsoft.com/office/drawing/2014/main" xmlns="" id="{00000000-0008-0000-1B00-000008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75</xdr:row>
      <xdr:rowOff>19050</xdr:rowOff>
    </xdr:from>
    <xdr:to>
      <xdr:col>23</xdr:col>
      <xdr:colOff>600075</xdr:colOff>
      <xdr:row>75</xdr:row>
      <xdr:rowOff>133350</xdr:rowOff>
    </xdr:to>
    <xdr:sp macro="" textlink="">
      <xdr:nvSpPr>
        <xdr:cNvPr id="9" name="AutoShape 344">
          <a:extLst>
            <a:ext uri="{FF2B5EF4-FFF2-40B4-BE49-F238E27FC236}">
              <a16:creationId xmlns:a16="http://schemas.microsoft.com/office/drawing/2014/main" xmlns="" id="{00000000-0008-0000-1B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99</xdr:row>
      <xdr:rowOff>19050</xdr:rowOff>
    </xdr:from>
    <xdr:to>
      <xdr:col>23</xdr:col>
      <xdr:colOff>600075</xdr:colOff>
      <xdr:row>99</xdr:row>
      <xdr:rowOff>133350</xdr:rowOff>
    </xdr:to>
    <xdr:sp macro="" textlink="">
      <xdr:nvSpPr>
        <xdr:cNvPr id="10" name="AutoShape 344">
          <a:extLst>
            <a:ext uri="{FF2B5EF4-FFF2-40B4-BE49-F238E27FC236}">
              <a16:creationId xmlns:a16="http://schemas.microsoft.com/office/drawing/2014/main" xmlns="" id="{00000000-0008-0000-1B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44</xdr:row>
      <xdr:rowOff>19050</xdr:rowOff>
    </xdr:from>
    <xdr:to>
      <xdr:col>23</xdr:col>
      <xdr:colOff>600075</xdr:colOff>
      <xdr:row>44</xdr:row>
      <xdr:rowOff>133350</xdr:rowOff>
    </xdr:to>
    <xdr:sp macro="" textlink="">
      <xdr:nvSpPr>
        <xdr:cNvPr id="11" name="AutoShape 344">
          <a:extLst>
            <a:ext uri="{FF2B5EF4-FFF2-40B4-BE49-F238E27FC236}">
              <a16:creationId xmlns:a16="http://schemas.microsoft.com/office/drawing/2014/main" xmlns="" id="{00000000-0008-0000-1B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64</xdr:row>
      <xdr:rowOff>19050</xdr:rowOff>
    </xdr:from>
    <xdr:to>
      <xdr:col>23</xdr:col>
      <xdr:colOff>600075</xdr:colOff>
      <xdr:row>64</xdr:row>
      <xdr:rowOff>133350</xdr:rowOff>
    </xdr:to>
    <xdr:sp macro="" textlink="">
      <xdr:nvSpPr>
        <xdr:cNvPr id="12" name="AutoShape 344">
          <a:extLst>
            <a:ext uri="{FF2B5EF4-FFF2-40B4-BE49-F238E27FC236}">
              <a16:creationId xmlns:a16="http://schemas.microsoft.com/office/drawing/2014/main" xmlns="" id="{00000000-0008-0000-1B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xmlns="" id="{00000000-0008-0000-1C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20</xdr:row>
      <xdr:rowOff>47625</xdr:rowOff>
    </xdr:from>
    <xdr:to>
      <xdr:col>7</xdr:col>
      <xdr:colOff>447675</xdr:colOff>
      <xdr:row>23</xdr:row>
      <xdr:rowOff>38100</xdr:rowOff>
    </xdr:to>
    <xdr:sp macro="" textlink="">
      <xdr:nvSpPr>
        <xdr:cNvPr id="38" name="AutoShape 973">
          <a:extLst>
            <a:ext uri="{FF2B5EF4-FFF2-40B4-BE49-F238E27FC236}">
              <a16:creationId xmlns:a16="http://schemas.microsoft.com/office/drawing/2014/main" xmlns="" id="{00000000-0008-0000-1C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900605</xdr:colOff>
      <xdr:row>65</xdr:row>
      <xdr:rowOff>28575</xdr:rowOff>
    </xdr:from>
    <xdr:to>
      <xdr:col>12</xdr:col>
      <xdr:colOff>1005380</xdr:colOff>
      <xdr:row>65</xdr:row>
      <xdr:rowOff>152400</xdr:rowOff>
    </xdr:to>
    <xdr:sp macro="" textlink="">
      <xdr:nvSpPr>
        <xdr:cNvPr id="100539" name="AutoShape 85">
          <a:extLst>
            <a:ext uri="{FF2B5EF4-FFF2-40B4-BE49-F238E27FC236}">
              <a16:creationId xmlns:a16="http://schemas.microsoft.com/office/drawing/2014/main" xmlns="" id="{00000000-0008-0000-1D00-0000BB880100}"/>
            </a:ext>
          </a:extLst>
        </xdr:cNvPr>
        <xdr:cNvSpPr>
          <a:spLocks noChangeArrowheads="1"/>
        </xdr:cNvSpPr>
      </xdr:nvSpPr>
      <xdr:spPr bwMode="auto">
        <a:xfrm rot="5400000">
          <a:off x="6159390" y="11612617"/>
          <a:ext cx="123825"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32</xdr:col>
      <xdr:colOff>371475</xdr:colOff>
      <xdr:row>50</xdr:row>
      <xdr:rowOff>9525</xdr:rowOff>
    </xdr:from>
    <xdr:ext cx="428625" cy="475384"/>
    <xdr:pic>
      <xdr:nvPicPr>
        <xdr:cNvPr id="11" name="Picture 27">
          <a:extLst>
            <a:ext uri="{FF2B5EF4-FFF2-40B4-BE49-F238E27FC236}">
              <a16:creationId xmlns:a16="http://schemas.microsoft.com/office/drawing/2014/main" xmlns="" id="{00000000-0008-0000-1D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32</xdr:col>
      <xdr:colOff>400050</xdr:colOff>
      <xdr:row>20</xdr:row>
      <xdr:rowOff>38100</xdr:rowOff>
    </xdr:from>
    <xdr:ext cx="334937" cy="371476"/>
    <xdr:pic>
      <xdr:nvPicPr>
        <xdr:cNvPr id="13" name="Picture 27">
          <a:extLst>
            <a:ext uri="{FF2B5EF4-FFF2-40B4-BE49-F238E27FC236}">
              <a16:creationId xmlns:a16="http://schemas.microsoft.com/office/drawing/2014/main" xmlns="" id="{00000000-0008-0000-1D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457805</xdr:colOff>
      <xdr:row>11</xdr:row>
      <xdr:rowOff>5104</xdr:rowOff>
    </xdr:from>
    <xdr:to>
      <xdr:col>7</xdr:col>
      <xdr:colOff>518948</xdr:colOff>
      <xdr:row>11</xdr:row>
      <xdr:rowOff>115095</xdr:rowOff>
    </xdr:to>
    <xdr:pic>
      <xdr:nvPicPr>
        <xdr:cNvPr id="14" name="Picture 2">
          <a:extLst>
            <a:ext uri="{FF2B5EF4-FFF2-40B4-BE49-F238E27FC236}">
              <a16:creationId xmlns:a16="http://schemas.microsoft.com/office/drawing/2014/main" xmlns="" id="{00000000-0008-0000-1D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97064" y="168675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15161</xdr:colOff>
      <xdr:row>10</xdr:row>
      <xdr:rowOff>67965</xdr:rowOff>
    </xdr:from>
    <xdr:to>
      <xdr:col>5</xdr:col>
      <xdr:colOff>76304</xdr:colOff>
      <xdr:row>10</xdr:row>
      <xdr:rowOff>177956</xdr:rowOff>
    </xdr:to>
    <xdr:pic>
      <xdr:nvPicPr>
        <xdr:cNvPr id="16" name="Picture 2">
          <a:extLst>
            <a:ext uri="{FF2B5EF4-FFF2-40B4-BE49-F238E27FC236}">
              <a16:creationId xmlns:a16="http://schemas.microsoft.com/office/drawing/2014/main" xmlns="" id="{00000000-0008-0000-1D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32238" y="151136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542926</xdr:colOff>
      <xdr:row>30</xdr:row>
      <xdr:rowOff>1339</xdr:rowOff>
    </xdr:from>
    <xdr:to>
      <xdr:col>7</xdr:col>
      <xdr:colOff>623776</xdr:colOff>
      <xdr:row>30</xdr:row>
      <xdr:rowOff>146781</xdr:rowOff>
    </xdr:to>
    <xdr:pic>
      <xdr:nvPicPr>
        <xdr:cNvPr id="18" name="Picture 2">
          <a:extLst>
            <a:ext uri="{FF2B5EF4-FFF2-40B4-BE49-F238E27FC236}">
              <a16:creationId xmlns:a16="http://schemas.microsoft.com/office/drawing/2014/main" xmlns="" id="{00000000-0008-0000-1D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48026" y="5259139"/>
          <a:ext cx="80850" cy="14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652096</xdr:colOff>
      <xdr:row>24</xdr:row>
      <xdr:rowOff>29308</xdr:rowOff>
    </xdr:from>
    <xdr:to>
      <xdr:col>9</xdr:col>
      <xdr:colOff>732946</xdr:colOff>
      <xdr:row>25</xdr:row>
      <xdr:rowOff>13558</xdr:rowOff>
    </xdr:to>
    <xdr:pic>
      <xdr:nvPicPr>
        <xdr:cNvPr id="24" name="Picture 2">
          <a:extLst>
            <a:ext uri="{FF2B5EF4-FFF2-40B4-BE49-F238E27FC236}">
              <a16:creationId xmlns:a16="http://schemas.microsoft.com/office/drawing/2014/main" xmlns="" id="{00000000-0008-0000-1D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28038" y="3941885"/>
          <a:ext cx="80850" cy="14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637192</xdr:colOff>
      <xdr:row>35</xdr:row>
      <xdr:rowOff>29308</xdr:rowOff>
    </xdr:from>
    <xdr:ext cx="95754" cy="117649"/>
    <xdr:pic>
      <xdr:nvPicPr>
        <xdr:cNvPr id="26" name="Picture 2">
          <a:extLst>
            <a:ext uri="{FF2B5EF4-FFF2-40B4-BE49-F238E27FC236}">
              <a16:creationId xmlns:a16="http://schemas.microsoft.com/office/drawing/2014/main" xmlns="" id="{00000000-0008-0000-1D00-00001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23392" y="6201508"/>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620486</xdr:colOff>
      <xdr:row>41</xdr:row>
      <xdr:rowOff>16328</xdr:rowOff>
    </xdr:from>
    <xdr:ext cx="95754" cy="117649"/>
    <xdr:pic>
      <xdr:nvPicPr>
        <xdr:cNvPr id="12" name="Picture 2">
          <a:extLst>
            <a:ext uri="{FF2B5EF4-FFF2-40B4-BE49-F238E27FC236}">
              <a16:creationId xmlns:a16="http://schemas.microsoft.com/office/drawing/2014/main" xmlns=""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3843" y="7168242"/>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609600</xdr:colOff>
      <xdr:row>59</xdr:row>
      <xdr:rowOff>38100</xdr:rowOff>
    </xdr:from>
    <xdr:ext cx="95754" cy="117649"/>
    <xdr:pic>
      <xdr:nvPicPr>
        <xdr:cNvPr id="15" name="Picture 2">
          <a:extLst>
            <a:ext uri="{FF2B5EF4-FFF2-40B4-BE49-F238E27FC236}">
              <a16:creationId xmlns:a16="http://schemas.microsoft.com/office/drawing/2014/main" xmlns="" id="{00000000-0008-0000-1D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463143" y="10374086"/>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32</xdr:col>
      <xdr:colOff>314325</xdr:colOff>
      <xdr:row>40</xdr:row>
      <xdr:rowOff>19050</xdr:rowOff>
    </xdr:from>
    <xdr:ext cx="428625" cy="475384"/>
    <xdr:pic>
      <xdr:nvPicPr>
        <xdr:cNvPr id="17" name="Picture 27">
          <a:extLst>
            <a:ext uri="{FF2B5EF4-FFF2-40B4-BE49-F238E27FC236}">
              <a16:creationId xmlns:a16="http://schemas.microsoft.com/office/drawing/2014/main" xmlns="" id="{00000000-0008-0000-1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23.xml><?xml version="1.0" encoding="utf-8"?>
<xdr:wsDr xmlns:xdr="http://schemas.openxmlformats.org/drawingml/2006/spreadsheetDrawing" xmlns:a="http://schemas.openxmlformats.org/drawingml/2006/main">
  <xdr:twoCellAnchor editAs="oneCell">
    <xdr:from>
      <xdr:col>3</xdr:col>
      <xdr:colOff>1038225</xdr:colOff>
      <xdr:row>32</xdr:row>
      <xdr:rowOff>19050</xdr:rowOff>
    </xdr:from>
    <xdr:to>
      <xdr:col>3</xdr:col>
      <xdr:colOff>1133475</xdr:colOff>
      <xdr:row>33</xdr:row>
      <xdr:rowOff>9525</xdr:rowOff>
    </xdr:to>
    <xdr:pic>
      <xdr:nvPicPr>
        <xdr:cNvPr id="101867" name="Picture 1">
          <a:extLst>
            <a:ext uri="{FF2B5EF4-FFF2-40B4-BE49-F238E27FC236}">
              <a16:creationId xmlns:a16="http://schemas.microsoft.com/office/drawing/2014/main" xmlns="" id="{00000000-0008-0000-1E00-0000EB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5619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885825</xdr:colOff>
      <xdr:row>11</xdr:row>
      <xdr:rowOff>28575</xdr:rowOff>
    </xdr:from>
    <xdr:to>
      <xdr:col>6</xdr:col>
      <xdr:colOff>962025</xdr:colOff>
      <xdr:row>12</xdr:row>
      <xdr:rowOff>4535</xdr:rowOff>
    </xdr:to>
    <xdr:pic>
      <xdr:nvPicPr>
        <xdr:cNvPr id="101868" name="Picture 2">
          <a:extLst>
            <a:ext uri="{FF2B5EF4-FFF2-40B4-BE49-F238E27FC236}">
              <a16:creationId xmlns:a16="http://schemas.microsoft.com/office/drawing/2014/main" xmlns="" id="{00000000-0008-0000-1E00-0000EC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56225" y="1781175"/>
          <a:ext cx="76200" cy="136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1238250</xdr:colOff>
      <xdr:row>30</xdr:row>
      <xdr:rowOff>19050</xdr:rowOff>
    </xdr:from>
    <xdr:to>
      <xdr:col>6</xdr:col>
      <xdr:colOff>1314450</xdr:colOff>
      <xdr:row>30</xdr:row>
      <xdr:rowOff>152400</xdr:rowOff>
    </xdr:to>
    <xdr:pic>
      <xdr:nvPicPr>
        <xdr:cNvPr id="101869" name="Picture 3">
          <a:extLst>
            <a:ext uri="{FF2B5EF4-FFF2-40B4-BE49-F238E27FC236}">
              <a16:creationId xmlns:a16="http://schemas.microsoft.com/office/drawing/2014/main" xmlns="" id="{00000000-0008-0000-1E00-0000ED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5295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1287946</xdr:colOff>
      <xdr:row>66</xdr:row>
      <xdr:rowOff>12839</xdr:rowOff>
    </xdr:from>
    <xdr:to>
      <xdr:col>4</xdr:col>
      <xdr:colOff>38929</xdr:colOff>
      <xdr:row>67</xdr:row>
      <xdr:rowOff>829</xdr:rowOff>
    </xdr:to>
    <xdr:pic>
      <xdr:nvPicPr>
        <xdr:cNvPr id="101871" name="Picture 6">
          <a:extLst>
            <a:ext uri="{FF2B5EF4-FFF2-40B4-BE49-F238E27FC236}">
              <a16:creationId xmlns:a16="http://schemas.microsoft.com/office/drawing/2014/main" xmlns="" id="{00000000-0008-0000-1E00-0000EF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6903" y="10465491"/>
          <a:ext cx="76200" cy="137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15</xdr:col>
      <xdr:colOff>54429</xdr:colOff>
      <xdr:row>57</xdr:row>
      <xdr:rowOff>23132</xdr:rowOff>
    </xdr:from>
    <xdr:to>
      <xdr:col>15</xdr:col>
      <xdr:colOff>168729</xdr:colOff>
      <xdr:row>61</xdr:row>
      <xdr:rowOff>108857</xdr:rowOff>
    </xdr:to>
    <xdr:sp macro="" textlink="">
      <xdr:nvSpPr>
        <xdr:cNvPr id="103103" name="AutoShape 1">
          <a:extLst>
            <a:ext uri="{FF2B5EF4-FFF2-40B4-BE49-F238E27FC236}">
              <a16:creationId xmlns:a16="http://schemas.microsoft.com/office/drawing/2014/main" xmlns="" id="{00000000-0008-0000-1F00-0000BF920100}"/>
            </a:ext>
          </a:extLst>
        </xdr:cNvPr>
        <xdr:cNvSpPr>
          <a:spLocks/>
        </xdr:cNvSpPr>
      </xdr:nvSpPr>
      <xdr:spPr bwMode="auto">
        <a:xfrm>
          <a:off x="6014358" y="9248775"/>
          <a:ext cx="114300" cy="738868"/>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207064</xdr:colOff>
      <xdr:row>54</xdr:row>
      <xdr:rowOff>0</xdr:rowOff>
    </xdr:from>
    <xdr:to>
      <xdr:col>17</xdr:col>
      <xdr:colOff>274566</xdr:colOff>
      <xdr:row>57</xdr:row>
      <xdr:rowOff>14495</xdr:rowOff>
    </xdr:to>
    <xdr:sp macro="" textlink="">
      <xdr:nvSpPr>
        <xdr:cNvPr id="103104" name="AutoShape 2">
          <a:extLst>
            <a:ext uri="{FF2B5EF4-FFF2-40B4-BE49-F238E27FC236}">
              <a16:creationId xmlns:a16="http://schemas.microsoft.com/office/drawing/2014/main" xmlns="" id="{00000000-0008-0000-1F00-0000C0920100}"/>
            </a:ext>
          </a:extLst>
        </xdr:cNvPr>
        <xdr:cNvSpPr>
          <a:spLocks/>
        </xdr:cNvSpPr>
      </xdr:nvSpPr>
      <xdr:spPr bwMode="auto">
        <a:xfrm>
          <a:off x="6775173" y="8688457"/>
          <a:ext cx="67502" cy="511451"/>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117475</xdr:colOff>
      <xdr:row>4</xdr:row>
      <xdr:rowOff>19050</xdr:rowOff>
    </xdr:from>
    <xdr:to>
      <xdr:col>3</xdr:col>
      <xdr:colOff>174625</xdr:colOff>
      <xdr:row>4</xdr:row>
      <xdr:rowOff>123825</xdr:rowOff>
    </xdr:to>
    <xdr:pic>
      <xdr:nvPicPr>
        <xdr:cNvPr id="103106" name="Picture 3">
          <a:extLst>
            <a:ext uri="{FF2B5EF4-FFF2-40B4-BE49-F238E27FC236}">
              <a16:creationId xmlns:a16="http://schemas.microsoft.com/office/drawing/2014/main" xmlns="" id="{00000000-0008-0000-1F00-0000C2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4475" y="952500"/>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149225</xdr:colOff>
      <xdr:row>8</xdr:row>
      <xdr:rowOff>12700</xdr:rowOff>
    </xdr:from>
    <xdr:to>
      <xdr:col>14</xdr:col>
      <xdr:colOff>225425</xdr:colOff>
      <xdr:row>8</xdr:row>
      <xdr:rowOff>146050</xdr:rowOff>
    </xdr:to>
    <xdr:pic>
      <xdr:nvPicPr>
        <xdr:cNvPr id="103107" name="Picture 3">
          <a:extLst>
            <a:ext uri="{FF2B5EF4-FFF2-40B4-BE49-F238E27FC236}">
              <a16:creationId xmlns:a16="http://schemas.microsoft.com/office/drawing/2014/main" xmlns="" id="{00000000-0008-0000-1F00-0000C3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1873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152400</xdr:colOff>
      <xdr:row>14</xdr:row>
      <xdr:rowOff>31750</xdr:rowOff>
    </xdr:from>
    <xdr:to>
      <xdr:col>12</xdr:col>
      <xdr:colOff>228600</xdr:colOff>
      <xdr:row>14</xdr:row>
      <xdr:rowOff>165100</xdr:rowOff>
    </xdr:to>
    <xdr:pic>
      <xdr:nvPicPr>
        <xdr:cNvPr id="103108" name="Picture 3">
          <a:extLst>
            <a:ext uri="{FF2B5EF4-FFF2-40B4-BE49-F238E27FC236}">
              <a16:creationId xmlns:a16="http://schemas.microsoft.com/office/drawing/2014/main" xmlns="" id="{00000000-0008-0000-1F00-0000C4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3350" y="2724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180975</xdr:colOff>
      <xdr:row>17</xdr:row>
      <xdr:rowOff>19050</xdr:rowOff>
    </xdr:from>
    <xdr:to>
      <xdr:col>16</xdr:col>
      <xdr:colOff>257175</xdr:colOff>
      <xdr:row>17</xdr:row>
      <xdr:rowOff>152400</xdr:rowOff>
    </xdr:to>
    <xdr:pic>
      <xdr:nvPicPr>
        <xdr:cNvPr id="103109" name="Picture 3">
          <a:extLst>
            <a:ext uri="{FF2B5EF4-FFF2-40B4-BE49-F238E27FC236}">
              <a16:creationId xmlns:a16="http://schemas.microsoft.com/office/drawing/2014/main" xmlns="" id="{00000000-0008-0000-1F00-0000C5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8900" y="3086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196850</xdr:colOff>
      <xdr:row>22</xdr:row>
      <xdr:rowOff>19050</xdr:rowOff>
    </xdr:from>
    <xdr:to>
      <xdr:col>15</xdr:col>
      <xdr:colOff>273050</xdr:colOff>
      <xdr:row>23</xdr:row>
      <xdr:rowOff>0</xdr:rowOff>
    </xdr:to>
    <xdr:pic>
      <xdr:nvPicPr>
        <xdr:cNvPr id="9" name="Picture 3">
          <a:extLst>
            <a:ext uri="{FF2B5EF4-FFF2-40B4-BE49-F238E27FC236}">
              <a16:creationId xmlns:a16="http://schemas.microsoft.com/office/drawing/2014/main" xmlns="" id="{00000000-0008-0000-1F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396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126914</xdr:colOff>
      <xdr:row>46</xdr:row>
      <xdr:rowOff>55881</xdr:rowOff>
    </xdr:from>
    <xdr:to>
      <xdr:col>17</xdr:col>
      <xdr:colOff>256176</xdr:colOff>
      <xdr:row>46</xdr:row>
      <xdr:rowOff>163287</xdr:rowOff>
    </xdr:to>
    <xdr:pic>
      <xdr:nvPicPr>
        <xdr:cNvPr id="10" name="Picture 3">
          <a:extLst>
            <a:ext uri="{FF2B5EF4-FFF2-40B4-BE49-F238E27FC236}">
              <a16:creationId xmlns:a16="http://schemas.microsoft.com/office/drawing/2014/main" xmlns="" id="{00000000-0008-0000-1F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443" y="7376524"/>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142875</xdr:colOff>
      <xdr:row>90</xdr:row>
      <xdr:rowOff>38100</xdr:rowOff>
    </xdr:from>
    <xdr:to>
      <xdr:col>13</xdr:col>
      <xdr:colOff>219075</xdr:colOff>
      <xdr:row>90</xdr:row>
      <xdr:rowOff>171450</xdr:rowOff>
    </xdr:to>
    <xdr:pic>
      <xdr:nvPicPr>
        <xdr:cNvPr id="11" name="Picture 3">
          <a:extLst>
            <a:ext uri="{FF2B5EF4-FFF2-40B4-BE49-F238E27FC236}">
              <a16:creationId xmlns:a16="http://schemas.microsoft.com/office/drawing/2014/main" xmlns="" id="{00000000-0008-0000-1F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36398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205740</xdr:colOff>
      <xdr:row>28</xdr:row>
      <xdr:rowOff>0</xdr:rowOff>
    </xdr:from>
    <xdr:to>
      <xdr:col>17</xdr:col>
      <xdr:colOff>281940</xdr:colOff>
      <xdr:row>28</xdr:row>
      <xdr:rowOff>133350</xdr:rowOff>
    </xdr:to>
    <xdr:pic>
      <xdr:nvPicPr>
        <xdr:cNvPr id="12" name="Picture 3">
          <a:extLst>
            <a:ext uri="{FF2B5EF4-FFF2-40B4-BE49-F238E27FC236}">
              <a16:creationId xmlns:a16="http://schemas.microsoft.com/office/drawing/2014/main" xmlns="" id="{00000000-0008-0000-1F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6560" y="480822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426417</xdr:colOff>
      <xdr:row>3</xdr:row>
      <xdr:rowOff>36858</xdr:rowOff>
    </xdr:from>
    <xdr:to>
      <xdr:col>3</xdr:col>
      <xdr:colOff>483567</xdr:colOff>
      <xdr:row>3</xdr:row>
      <xdr:rowOff>141633</xdr:rowOff>
    </xdr:to>
    <xdr:pic>
      <xdr:nvPicPr>
        <xdr:cNvPr id="13" name="Picture 3">
          <a:extLst>
            <a:ext uri="{FF2B5EF4-FFF2-40B4-BE49-F238E27FC236}">
              <a16:creationId xmlns:a16="http://schemas.microsoft.com/office/drawing/2014/main" xmlns="" id="{00000000-0008-0000-1F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613" y="807141"/>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190500</xdr:colOff>
      <xdr:row>171</xdr:row>
      <xdr:rowOff>28575</xdr:rowOff>
    </xdr:from>
    <xdr:to>
      <xdr:col>16</xdr:col>
      <xdr:colOff>0</xdr:colOff>
      <xdr:row>175</xdr:row>
      <xdr:rowOff>114300</xdr:rowOff>
    </xdr:to>
    <xdr:sp macro="" textlink="">
      <xdr:nvSpPr>
        <xdr:cNvPr id="14" name="AutoShape 1">
          <a:extLst>
            <a:ext uri="{FF2B5EF4-FFF2-40B4-BE49-F238E27FC236}">
              <a16:creationId xmlns:a16="http://schemas.microsoft.com/office/drawing/2014/main" xmlns="" id="{00000000-0008-0000-1F00-00000E000000}"/>
            </a:ext>
          </a:extLst>
        </xdr:cNvPr>
        <xdr:cNvSpPr>
          <a:spLocks/>
        </xdr:cNvSpPr>
      </xdr:nvSpPr>
      <xdr:spPr bwMode="auto">
        <a:xfrm>
          <a:off x="6145696" y="9213988"/>
          <a:ext cx="115956" cy="748334"/>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207064</xdr:colOff>
      <xdr:row>168</xdr:row>
      <xdr:rowOff>0</xdr:rowOff>
    </xdr:from>
    <xdr:to>
      <xdr:col>17</xdr:col>
      <xdr:colOff>274566</xdr:colOff>
      <xdr:row>171</xdr:row>
      <xdr:rowOff>14495</xdr:rowOff>
    </xdr:to>
    <xdr:sp macro="" textlink="">
      <xdr:nvSpPr>
        <xdr:cNvPr id="15" name="AutoShape 2">
          <a:extLst>
            <a:ext uri="{FF2B5EF4-FFF2-40B4-BE49-F238E27FC236}">
              <a16:creationId xmlns:a16="http://schemas.microsoft.com/office/drawing/2014/main" xmlns="" id="{00000000-0008-0000-1F00-00000F000000}"/>
            </a:ext>
          </a:extLst>
        </xdr:cNvPr>
        <xdr:cNvSpPr>
          <a:spLocks/>
        </xdr:cNvSpPr>
      </xdr:nvSpPr>
      <xdr:spPr bwMode="auto">
        <a:xfrm>
          <a:off x="6775173" y="8688457"/>
          <a:ext cx="67502" cy="511451"/>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3</xdr:col>
      <xdr:colOff>117475</xdr:colOff>
      <xdr:row>118</xdr:row>
      <xdr:rowOff>19050</xdr:rowOff>
    </xdr:from>
    <xdr:ext cx="57150" cy="104775"/>
    <xdr:pic>
      <xdr:nvPicPr>
        <xdr:cNvPr id="16" name="Picture 3">
          <a:extLst>
            <a:ext uri="{FF2B5EF4-FFF2-40B4-BE49-F238E27FC236}">
              <a16:creationId xmlns:a16="http://schemas.microsoft.com/office/drawing/2014/main" xmlns="" id="{00000000-0008-0000-1F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0671" y="938420"/>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149225</xdr:colOff>
      <xdr:row>122</xdr:row>
      <xdr:rowOff>12700</xdr:rowOff>
    </xdr:from>
    <xdr:ext cx="76200" cy="133350"/>
    <xdr:pic>
      <xdr:nvPicPr>
        <xdr:cNvPr id="17" name="Picture 3">
          <a:extLst>
            <a:ext uri="{FF2B5EF4-FFF2-40B4-BE49-F238E27FC236}">
              <a16:creationId xmlns:a16="http://schemas.microsoft.com/office/drawing/2014/main" xmlns="" id="{00000000-0008-0000-1F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97964" y="156983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152400</xdr:colOff>
      <xdr:row>128</xdr:row>
      <xdr:rowOff>31750</xdr:rowOff>
    </xdr:from>
    <xdr:ext cx="76200" cy="133350"/>
    <xdr:pic>
      <xdr:nvPicPr>
        <xdr:cNvPr id="18" name="Picture 3">
          <a:extLst>
            <a:ext uri="{FF2B5EF4-FFF2-40B4-BE49-F238E27FC236}">
              <a16:creationId xmlns:a16="http://schemas.microsoft.com/office/drawing/2014/main" xmlns="" id="{00000000-0008-0000-1F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8226" y="240885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180975</xdr:colOff>
      <xdr:row>131</xdr:row>
      <xdr:rowOff>19050</xdr:rowOff>
    </xdr:from>
    <xdr:ext cx="76200" cy="133350"/>
    <xdr:pic>
      <xdr:nvPicPr>
        <xdr:cNvPr id="19" name="Picture 3">
          <a:extLst>
            <a:ext uri="{FF2B5EF4-FFF2-40B4-BE49-F238E27FC236}">
              <a16:creationId xmlns:a16="http://schemas.microsoft.com/office/drawing/2014/main" xmlns="" id="{00000000-0008-0000-1F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42627" y="27937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196850</xdr:colOff>
      <xdr:row>136</xdr:row>
      <xdr:rowOff>19050</xdr:rowOff>
    </xdr:from>
    <xdr:ext cx="76200" cy="130037"/>
    <xdr:pic>
      <xdr:nvPicPr>
        <xdr:cNvPr id="20" name="Picture 3">
          <a:extLst>
            <a:ext uri="{FF2B5EF4-FFF2-40B4-BE49-F238E27FC236}">
              <a16:creationId xmlns:a16="http://schemas.microsoft.com/office/drawing/2014/main" xmlns="" id="{00000000-0008-0000-1F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2046" y="3655115"/>
          <a:ext cx="76200" cy="13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142875</xdr:colOff>
      <xdr:row>204</xdr:row>
      <xdr:rowOff>38100</xdr:rowOff>
    </xdr:from>
    <xdr:ext cx="76200" cy="133350"/>
    <xdr:pic>
      <xdr:nvPicPr>
        <xdr:cNvPr id="22" name="Picture 3">
          <a:extLst>
            <a:ext uri="{FF2B5EF4-FFF2-40B4-BE49-F238E27FC236}">
              <a16:creationId xmlns:a16="http://schemas.microsoft.com/office/drawing/2014/main" xmlns="" id="{00000000-0008-0000-1F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5158" y="1431731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205740</xdr:colOff>
      <xdr:row>142</xdr:row>
      <xdr:rowOff>0</xdr:rowOff>
    </xdr:from>
    <xdr:ext cx="76200" cy="133350"/>
    <xdr:pic>
      <xdr:nvPicPr>
        <xdr:cNvPr id="23" name="Picture 3">
          <a:extLst>
            <a:ext uri="{FF2B5EF4-FFF2-40B4-BE49-F238E27FC236}">
              <a16:creationId xmlns:a16="http://schemas.microsoft.com/office/drawing/2014/main" xmlns="" id="{00000000-0008-0000-1F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73849" y="45305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418135</xdr:colOff>
      <xdr:row>117</xdr:row>
      <xdr:rowOff>20292</xdr:rowOff>
    </xdr:from>
    <xdr:ext cx="57150" cy="104775"/>
    <xdr:pic>
      <xdr:nvPicPr>
        <xdr:cNvPr id="24" name="Picture 3">
          <a:extLst>
            <a:ext uri="{FF2B5EF4-FFF2-40B4-BE49-F238E27FC236}">
              <a16:creationId xmlns:a16="http://schemas.microsoft.com/office/drawing/2014/main" xmlns="" id="{00000000-0008-0000-1F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1331" y="20453488"/>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147827</xdr:colOff>
      <xdr:row>11</xdr:row>
      <xdr:rowOff>27214</xdr:rowOff>
    </xdr:from>
    <xdr:to>
      <xdr:col>7</xdr:col>
      <xdr:colOff>234043</xdr:colOff>
      <xdr:row>11</xdr:row>
      <xdr:rowOff>125186</xdr:rowOff>
    </xdr:to>
    <xdr:pic>
      <xdr:nvPicPr>
        <xdr:cNvPr id="25" name="Picture 3">
          <a:extLst>
            <a:ext uri="{FF2B5EF4-FFF2-40B4-BE49-F238E27FC236}">
              <a16:creationId xmlns:a16="http://schemas.microsoft.com/office/drawing/2014/main" xmlns="" id="{00000000-0008-0000-1F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152400</xdr:colOff>
      <xdr:row>125</xdr:row>
      <xdr:rowOff>16329</xdr:rowOff>
    </xdr:from>
    <xdr:to>
      <xdr:col>7</xdr:col>
      <xdr:colOff>238616</xdr:colOff>
      <xdr:row>125</xdr:row>
      <xdr:rowOff>114301</xdr:rowOff>
    </xdr:to>
    <xdr:pic>
      <xdr:nvPicPr>
        <xdr:cNvPr id="26" name="Picture 3">
          <a:extLst>
            <a:ext uri="{FF2B5EF4-FFF2-40B4-BE49-F238E27FC236}">
              <a16:creationId xmlns:a16="http://schemas.microsoft.com/office/drawing/2014/main" xmlns="" id="{00000000-0008-0000-1F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7743" y="21695229"/>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141515</xdr:colOff>
      <xdr:row>160</xdr:row>
      <xdr:rowOff>70758</xdr:rowOff>
    </xdr:from>
    <xdr:to>
      <xdr:col>17</xdr:col>
      <xdr:colOff>270777</xdr:colOff>
      <xdr:row>160</xdr:row>
      <xdr:rowOff>178164</xdr:rowOff>
    </xdr:to>
    <xdr:pic>
      <xdr:nvPicPr>
        <xdr:cNvPr id="28" name="Picture 3">
          <a:extLst>
            <a:ext uri="{FF2B5EF4-FFF2-40B4-BE49-F238E27FC236}">
              <a16:creationId xmlns:a16="http://schemas.microsoft.com/office/drawing/2014/main" xmlns="" id="{00000000-0008-0000-1F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11044" y="27012901"/>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7</xdr:col>
      <xdr:colOff>36740</xdr:colOff>
      <xdr:row>87</xdr:row>
      <xdr:rowOff>104776</xdr:rowOff>
    </xdr:from>
    <xdr:to>
      <xdr:col>7</xdr:col>
      <xdr:colOff>85724</xdr:colOff>
      <xdr:row>89</xdr:row>
      <xdr:rowOff>142875</xdr:rowOff>
    </xdr:to>
    <xdr:sp macro="" textlink="">
      <xdr:nvSpPr>
        <xdr:cNvPr id="103982" name="AutoShape 7">
          <a:extLst>
            <a:ext uri="{FF2B5EF4-FFF2-40B4-BE49-F238E27FC236}">
              <a16:creationId xmlns:a16="http://schemas.microsoft.com/office/drawing/2014/main" xmlns="" id="{00000000-0008-0000-2000-00002E960100}"/>
            </a:ext>
          </a:extLst>
        </xdr:cNvPr>
        <xdr:cNvSpPr>
          <a:spLocks/>
        </xdr:cNvSpPr>
      </xdr:nvSpPr>
      <xdr:spPr bwMode="auto">
        <a:xfrm>
          <a:off x="3437165" y="15459076"/>
          <a:ext cx="48984" cy="361949"/>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5</xdr:col>
      <xdr:colOff>415803</xdr:colOff>
      <xdr:row>5</xdr:row>
      <xdr:rowOff>28575</xdr:rowOff>
    </xdr:from>
    <xdr:to>
      <xdr:col>5</xdr:col>
      <xdr:colOff>492003</xdr:colOff>
      <xdr:row>5</xdr:row>
      <xdr:rowOff>161925</xdr:rowOff>
    </xdr:to>
    <xdr:pic>
      <xdr:nvPicPr>
        <xdr:cNvPr id="103983" name="Picture 3">
          <a:extLst>
            <a:ext uri="{FF2B5EF4-FFF2-40B4-BE49-F238E27FC236}">
              <a16:creationId xmlns:a16="http://schemas.microsoft.com/office/drawing/2014/main" xmlns="" id="{00000000-0008-0000-2000-00002F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0303" y="86384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249360</xdr:colOff>
      <xdr:row>4</xdr:row>
      <xdr:rowOff>25767</xdr:rowOff>
    </xdr:from>
    <xdr:to>
      <xdr:col>5</xdr:col>
      <xdr:colOff>325560</xdr:colOff>
      <xdr:row>5</xdr:row>
      <xdr:rowOff>1101</xdr:rowOff>
    </xdr:to>
    <xdr:pic>
      <xdr:nvPicPr>
        <xdr:cNvPr id="103985" name="Picture 3">
          <a:extLst>
            <a:ext uri="{FF2B5EF4-FFF2-40B4-BE49-F238E27FC236}">
              <a16:creationId xmlns:a16="http://schemas.microsoft.com/office/drawing/2014/main" xmlns="" id="{00000000-0008-0000-2000-000031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3860" y="692517"/>
          <a:ext cx="76200" cy="134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581025</xdr:colOff>
      <xdr:row>72</xdr:row>
      <xdr:rowOff>57150</xdr:rowOff>
    </xdr:from>
    <xdr:to>
      <xdr:col>11</xdr:col>
      <xdr:colOff>657225</xdr:colOff>
      <xdr:row>73</xdr:row>
      <xdr:rowOff>28574</xdr:rowOff>
    </xdr:to>
    <xdr:pic>
      <xdr:nvPicPr>
        <xdr:cNvPr id="103986" name="Picture 3">
          <a:extLst>
            <a:ext uri="{FF2B5EF4-FFF2-40B4-BE49-F238E27FC236}">
              <a16:creationId xmlns:a16="http://schemas.microsoft.com/office/drawing/2014/main" xmlns="" id="{00000000-0008-0000-2000-000032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12811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590550</xdr:colOff>
      <xdr:row>75</xdr:row>
      <xdr:rowOff>57150</xdr:rowOff>
    </xdr:from>
    <xdr:to>
      <xdr:col>11</xdr:col>
      <xdr:colOff>666750</xdr:colOff>
      <xdr:row>76</xdr:row>
      <xdr:rowOff>19050</xdr:rowOff>
    </xdr:to>
    <xdr:pic>
      <xdr:nvPicPr>
        <xdr:cNvPr id="103987" name="Picture 3">
          <a:extLst>
            <a:ext uri="{FF2B5EF4-FFF2-40B4-BE49-F238E27FC236}">
              <a16:creationId xmlns:a16="http://schemas.microsoft.com/office/drawing/2014/main" xmlns="" id="{00000000-0008-0000-2000-000033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3150" y="10810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558800</xdr:colOff>
      <xdr:row>3</xdr:row>
      <xdr:rowOff>38100</xdr:rowOff>
    </xdr:from>
    <xdr:to>
      <xdr:col>6</xdr:col>
      <xdr:colOff>635000</xdr:colOff>
      <xdr:row>3</xdr:row>
      <xdr:rowOff>171450</xdr:rowOff>
    </xdr:to>
    <xdr:pic>
      <xdr:nvPicPr>
        <xdr:cNvPr id="8" name="Picture 3">
          <a:extLst>
            <a:ext uri="{FF2B5EF4-FFF2-40B4-BE49-F238E27FC236}">
              <a16:creationId xmlns:a16="http://schemas.microsoft.com/office/drawing/2014/main" xmlns="" id="{00000000-0008-0000-2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78150" y="5334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9</xdr:col>
      <xdr:colOff>468923</xdr:colOff>
      <xdr:row>89</xdr:row>
      <xdr:rowOff>0</xdr:rowOff>
    </xdr:from>
    <xdr:to>
      <xdr:col>9</xdr:col>
      <xdr:colOff>586155</xdr:colOff>
      <xdr:row>92</xdr:row>
      <xdr:rowOff>80596</xdr:rowOff>
    </xdr:to>
    <xdr:sp macro="" textlink="">
      <xdr:nvSpPr>
        <xdr:cNvPr id="124010" name="AutoShape 1">
          <a:extLst>
            <a:ext uri="{FF2B5EF4-FFF2-40B4-BE49-F238E27FC236}">
              <a16:creationId xmlns:a16="http://schemas.microsoft.com/office/drawing/2014/main" xmlns="" id="{00000000-0008-0000-2100-00006AE40100}"/>
            </a:ext>
          </a:extLst>
        </xdr:cNvPr>
        <xdr:cNvSpPr>
          <a:spLocks/>
        </xdr:cNvSpPr>
      </xdr:nvSpPr>
      <xdr:spPr bwMode="auto">
        <a:xfrm>
          <a:off x="4564673" y="9876692"/>
          <a:ext cx="117232" cy="578827"/>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49</xdr:row>
      <xdr:rowOff>66675</xdr:rowOff>
    </xdr:from>
    <xdr:to>
      <xdr:col>10</xdr:col>
      <xdr:colOff>151986</xdr:colOff>
      <xdr:row>52</xdr:row>
      <xdr:rowOff>9525</xdr:rowOff>
    </xdr:to>
    <xdr:sp macro="" textlink="">
      <xdr:nvSpPr>
        <xdr:cNvPr id="124011" name="AutoShape 2">
          <a:extLst>
            <a:ext uri="{FF2B5EF4-FFF2-40B4-BE49-F238E27FC236}">
              <a16:creationId xmlns:a16="http://schemas.microsoft.com/office/drawing/2014/main" xmlns="" id="{00000000-0008-0000-21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768350</xdr:colOff>
      <xdr:row>46</xdr:row>
      <xdr:rowOff>101600</xdr:rowOff>
    </xdr:from>
    <xdr:to>
      <xdr:col>17</xdr:col>
      <xdr:colOff>463550</xdr:colOff>
      <xdr:row>46</xdr:row>
      <xdr:rowOff>101600</xdr:rowOff>
    </xdr:to>
    <xdr:sp macro="" textlink="">
      <xdr:nvSpPr>
        <xdr:cNvPr id="124012" name="Line 3">
          <a:extLst>
            <a:ext uri="{FF2B5EF4-FFF2-40B4-BE49-F238E27FC236}">
              <a16:creationId xmlns:a16="http://schemas.microsoft.com/office/drawing/2014/main" xmlns="" id="{00000000-0008-0000-2100-00006CE40100}"/>
            </a:ext>
          </a:extLst>
        </xdr:cNvPr>
        <xdr:cNvSpPr>
          <a:spLocks noChangeShapeType="1"/>
        </xdr:cNvSpPr>
      </xdr:nvSpPr>
      <xdr:spPr bwMode="auto">
        <a:xfrm flipH="1" flipV="1">
          <a:off x="8683625" y="874077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771525</xdr:colOff>
      <xdr:row>48</xdr:row>
      <xdr:rowOff>76200</xdr:rowOff>
    </xdr:from>
    <xdr:to>
      <xdr:col>17</xdr:col>
      <xdr:colOff>466725</xdr:colOff>
      <xdr:row>48</xdr:row>
      <xdr:rowOff>76200</xdr:rowOff>
    </xdr:to>
    <xdr:sp macro="" textlink="">
      <xdr:nvSpPr>
        <xdr:cNvPr id="124013" name="Line 4">
          <a:extLst>
            <a:ext uri="{FF2B5EF4-FFF2-40B4-BE49-F238E27FC236}">
              <a16:creationId xmlns:a16="http://schemas.microsoft.com/office/drawing/2014/main" xmlns="" id="{00000000-0008-0000-2100-00006DE40100}"/>
            </a:ext>
          </a:extLst>
        </xdr:cNvPr>
        <xdr:cNvSpPr>
          <a:spLocks noChangeShapeType="1"/>
        </xdr:cNvSpPr>
      </xdr:nvSpPr>
      <xdr:spPr bwMode="auto">
        <a:xfrm flipH="1" flipV="1">
          <a:off x="8686800" y="904875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771525</xdr:colOff>
      <xdr:row>51</xdr:row>
      <xdr:rowOff>85725</xdr:rowOff>
    </xdr:from>
    <xdr:to>
      <xdr:col>17</xdr:col>
      <xdr:colOff>466725</xdr:colOff>
      <xdr:row>51</xdr:row>
      <xdr:rowOff>85725</xdr:rowOff>
    </xdr:to>
    <xdr:sp macro="" textlink="">
      <xdr:nvSpPr>
        <xdr:cNvPr id="124014" name="Line 5">
          <a:extLst>
            <a:ext uri="{FF2B5EF4-FFF2-40B4-BE49-F238E27FC236}">
              <a16:creationId xmlns:a16="http://schemas.microsoft.com/office/drawing/2014/main" xmlns="" id="{00000000-0008-0000-2100-00006EE40100}"/>
            </a:ext>
          </a:extLst>
        </xdr:cNvPr>
        <xdr:cNvSpPr>
          <a:spLocks noChangeShapeType="1"/>
        </xdr:cNvSpPr>
      </xdr:nvSpPr>
      <xdr:spPr bwMode="auto">
        <a:xfrm flipH="1" flipV="1">
          <a:off x="8686800" y="957262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771525</xdr:colOff>
      <xdr:row>53</xdr:row>
      <xdr:rowOff>95250</xdr:rowOff>
    </xdr:from>
    <xdr:to>
      <xdr:col>17</xdr:col>
      <xdr:colOff>466725</xdr:colOff>
      <xdr:row>53</xdr:row>
      <xdr:rowOff>95250</xdr:rowOff>
    </xdr:to>
    <xdr:sp macro="" textlink="">
      <xdr:nvSpPr>
        <xdr:cNvPr id="124015" name="Line 6">
          <a:extLst>
            <a:ext uri="{FF2B5EF4-FFF2-40B4-BE49-F238E27FC236}">
              <a16:creationId xmlns:a16="http://schemas.microsoft.com/office/drawing/2014/main" xmlns="" id="{00000000-0008-0000-2100-00006FE40100}"/>
            </a:ext>
          </a:extLst>
        </xdr:cNvPr>
        <xdr:cNvSpPr>
          <a:spLocks noChangeShapeType="1"/>
        </xdr:cNvSpPr>
      </xdr:nvSpPr>
      <xdr:spPr bwMode="auto">
        <a:xfrm flipH="1" flipV="1">
          <a:off x="8686800" y="99060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15</xdr:col>
      <xdr:colOff>428625</xdr:colOff>
      <xdr:row>58</xdr:row>
      <xdr:rowOff>28575</xdr:rowOff>
    </xdr:from>
    <xdr:to>
      <xdr:col>16</xdr:col>
      <xdr:colOff>656</xdr:colOff>
      <xdr:row>59</xdr:row>
      <xdr:rowOff>228927</xdr:rowOff>
    </xdr:to>
    <xdr:pic>
      <xdr:nvPicPr>
        <xdr:cNvPr id="124016" name="Picture 7" descr="E:\My Documents\Excel\03_1040\Pencil - Blue.jpg">
          <a:extLst>
            <a:ext uri="{FF2B5EF4-FFF2-40B4-BE49-F238E27FC236}">
              <a16:creationId xmlns:a16="http://schemas.microsoft.com/office/drawing/2014/main" xmlns="" id="{00000000-0008-0000-21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35</xdr:row>
      <xdr:rowOff>9525</xdr:rowOff>
    </xdr:from>
    <xdr:to>
      <xdr:col>16</xdr:col>
      <xdr:colOff>28575</xdr:colOff>
      <xdr:row>35</xdr:row>
      <xdr:rowOff>371476</xdr:rowOff>
    </xdr:to>
    <xdr:pic>
      <xdr:nvPicPr>
        <xdr:cNvPr id="124017" name="Picture 8" descr="E:\My Documents\Excel\03_1040\Pencil - Blue.jpg">
          <a:extLst>
            <a:ext uri="{FF2B5EF4-FFF2-40B4-BE49-F238E27FC236}">
              <a16:creationId xmlns:a16="http://schemas.microsoft.com/office/drawing/2014/main" xmlns="" id="{00000000-0008-0000-21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72475" y="6153150"/>
          <a:ext cx="352425"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1028700</xdr:colOff>
      <xdr:row>95</xdr:row>
      <xdr:rowOff>38100</xdr:rowOff>
    </xdr:from>
    <xdr:to>
      <xdr:col>12</xdr:col>
      <xdr:colOff>2484</xdr:colOff>
      <xdr:row>96</xdr:row>
      <xdr:rowOff>28574</xdr:rowOff>
    </xdr:to>
    <xdr:pic>
      <xdr:nvPicPr>
        <xdr:cNvPr id="124018" name="Picture 1">
          <a:extLst>
            <a:ext uri="{FF2B5EF4-FFF2-40B4-BE49-F238E27FC236}">
              <a16:creationId xmlns:a16="http://schemas.microsoft.com/office/drawing/2014/main" xmlns="" id="{00000000-0008-0000-2100-000072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19850" y="1016317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1028700</xdr:colOff>
      <xdr:row>96</xdr:row>
      <xdr:rowOff>38100</xdr:rowOff>
    </xdr:from>
    <xdr:to>
      <xdr:col>12</xdr:col>
      <xdr:colOff>2484</xdr:colOff>
      <xdr:row>97</xdr:row>
      <xdr:rowOff>28576</xdr:rowOff>
    </xdr:to>
    <xdr:pic>
      <xdr:nvPicPr>
        <xdr:cNvPr id="124019" name="Picture 1">
          <a:extLst>
            <a:ext uri="{FF2B5EF4-FFF2-40B4-BE49-F238E27FC236}">
              <a16:creationId xmlns:a16="http://schemas.microsoft.com/office/drawing/2014/main" xmlns="" id="{00000000-0008-0000-2100-000073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19850" y="103251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1047750</xdr:colOff>
      <xdr:row>100</xdr:row>
      <xdr:rowOff>19050</xdr:rowOff>
    </xdr:from>
    <xdr:to>
      <xdr:col>12</xdr:col>
      <xdr:colOff>19050</xdr:colOff>
      <xdr:row>101</xdr:row>
      <xdr:rowOff>7225</xdr:rowOff>
    </xdr:to>
    <xdr:pic>
      <xdr:nvPicPr>
        <xdr:cNvPr id="124020" name="Picture 1">
          <a:extLst>
            <a:ext uri="{FF2B5EF4-FFF2-40B4-BE49-F238E27FC236}">
              <a16:creationId xmlns:a16="http://schemas.microsoft.com/office/drawing/2014/main" xmlns="" id="{00000000-0008-0000-2100-000074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38900" y="10953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1057275</xdr:colOff>
      <xdr:row>120</xdr:row>
      <xdr:rowOff>19050</xdr:rowOff>
    </xdr:from>
    <xdr:to>
      <xdr:col>12</xdr:col>
      <xdr:colOff>28575</xdr:colOff>
      <xdr:row>121</xdr:row>
      <xdr:rowOff>9525</xdr:rowOff>
    </xdr:to>
    <xdr:pic>
      <xdr:nvPicPr>
        <xdr:cNvPr id="124021" name="Picture 1">
          <a:extLst>
            <a:ext uri="{FF2B5EF4-FFF2-40B4-BE49-F238E27FC236}">
              <a16:creationId xmlns:a16="http://schemas.microsoft.com/office/drawing/2014/main" xmlns="" id="{00000000-0008-0000-2100-000075E401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48425" y="1208722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25400</xdr:colOff>
      <xdr:row>46</xdr:row>
      <xdr:rowOff>44450</xdr:rowOff>
    </xdr:from>
    <xdr:to>
      <xdr:col>14</xdr:col>
      <xdr:colOff>127000</xdr:colOff>
      <xdr:row>52</xdr:row>
      <xdr:rowOff>25400</xdr:rowOff>
    </xdr:to>
    <xdr:sp macro="" textlink="">
      <xdr:nvSpPr>
        <xdr:cNvPr id="14" name="AutoShape 2">
          <a:extLst>
            <a:ext uri="{FF2B5EF4-FFF2-40B4-BE49-F238E27FC236}">
              <a16:creationId xmlns:a16="http://schemas.microsoft.com/office/drawing/2014/main" xmlns="" id="{00000000-0008-0000-2100-00000E000000}"/>
            </a:ext>
          </a:extLst>
        </xdr:cNvPr>
        <xdr:cNvSpPr>
          <a:spLocks/>
        </xdr:cNvSpPr>
      </xdr:nvSpPr>
      <xdr:spPr bwMode="auto">
        <a:xfrm flipH="1">
          <a:off x="7696200" y="2070100"/>
          <a:ext cx="101600" cy="99695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466726</xdr:colOff>
      <xdr:row>102</xdr:row>
      <xdr:rowOff>161925</xdr:rowOff>
    </xdr:from>
    <xdr:to>
      <xdr:col>9</xdr:col>
      <xdr:colOff>619126</xdr:colOff>
      <xdr:row>106</xdr:row>
      <xdr:rowOff>104775</xdr:rowOff>
    </xdr:to>
    <xdr:sp macro="" textlink="">
      <xdr:nvSpPr>
        <xdr:cNvPr id="15" name="AutoShape 1">
          <a:extLst>
            <a:ext uri="{FF2B5EF4-FFF2-40B4-BE49-F238E27FC236}">
              <a16:creationId xmlns:a16="http://schemas.microsoft.com/office/drawing/2014/main" xmlns="" id="{00000000-0008-0000-2100-00000F000000}"/>
            </a:ext>
          </a:extLst>
        </xdr:cNvPr>
        <xdr:cNvSpPr>
          <a:spLocks/>
        </xdr:cNvSpPr>
      </xdr:nvSpPr>
      <xdr:spPr bwMode="auto">
        <a:xfrm>
          <a:off x="4581526" y="11763375"/>
          <a:ext cx="152400" cy="62865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312807</xdr:colOff>
      <xdr:row>38</xdr:row>
      <xdr:rowOff>116233</xdr:rowOff>
    </xdr:from>
    <xdr:to>
      <xdr:col>11</xdr:col>
      <xdr:colOff>95802</xdr:colOff>
      <xdr:row>44</xdr:row>
      <xdr:rowOff>122583</xdr:rowOff>
    </xdr:to>
    <xdr:sp macro="" textlink="">
      <xdr:nvSpPr>
        <xdr:cNvPr id="16" name="AutoShape 2">
          <a:extLst>
            <a:ext uri="{FF2B5EF4-FFF2-40B4-BE49-F238E27FC236}">
              <a16:creationId xmlns:a16="http://schemas.microsoft.com/office/drawing/2014/main" xmlns="" id="{00000000-0008-0000-2100-000010000000}"/>
            </a:ext>
          </a:extLst>
        </xdr:cNvPr>
        <xdr:cNvSpPr>
          <a:spLocks/>
        </xdr:cNvSpPr>
      </xdr:nvSpPr>
      <xdr:spPr bwMode="auto">
        <a:xfrm>
          <a:off x="5406611" y="7570581"/>
          <a:ext cx="114300" cy="100026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13</xdr:col>
      <xdr:colOff>122183</xdr:colOff>
      <xdr:row>0</xdr:row>
      <xdr:rowOff>70945</xdr:rowOff>
    </xdr:from>
    <xdr:ext cx="352425" cy="356088"/>
    <xdr:pic>
      <xdr:nvPicPr>
        <xdr:cNvPr id="22" name="Picture 8" descr="E:\My Documents\Excel\03_1040\Pencil - Blue.jpg">
          <a:extLst>
            <a:ext uri="{FF2B5EF4-FFF2-40B4-BE49-F238E27FC236}">
              <a16:creationId xmlns:a16="http://schemas.microsoft.com/office/drawing/2014/main" xmlns="" id="{00000000-0008-0000-21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1355" y="70945"/>
          <a:ext cx="352425" cy="356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17</xdr:col>
      <xdr:colOff>0</xdr:colOff>
      <xdr:row>4</xdr:row>
      <xdr:rowOff>95250</xdr:rowOff>
    </xdr:from>
    <xdr:to>
      <xdr:col>18</xdr:col>
      <xdr:colOff>102577</xdr:colOff>
      <xdr:row>4</xdr:row>
      <xdr:rowOff>95250</xdr:rowOff>
    </xdr:to>
    <xdr:sp macro="" textlink="">
      <xdr:nvSpPr>
        <xdr:cNvPr id="25" name="Line 3">
          <a:extLst>
            <a:ext uri="{FF2B5EF4-FFF2-40B4-BE49-F238E27FC236}">
              <a16:creationId xmlns:a16="http://schemas.microsoft.com/office/drawing/2014/main" xmlns="" id="{00000000-0008-0000-2100-000019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xdr:row>
      <xdr:rowOff>95250</xdr:rowOff>
    </xdr:from>
    <xdr:to>
      <xdr:col>18</xdr:col>
      <xdr:colOff>102577</xdr:colOff>
      <xdr:row>5</xdr:row>
      <xdr:rowOff>95250</xdr:rowOff>
    </xdr:to>
    <xdr:sp macro="" textlink="">
      <xdr:nvSpPr>
        <xdr:cNvPr id="26" name="Line 3">
          <a:extLst>
            <a:ext uri="{FF2B5EF4-FFF2-40B4-BE49-F238E27FC236}">
              <a16:creationId xmlns:a16="http://schemas.microsoft.com/office/drawing/2014/main" xmlns="" id="{00000000-0008-0000-2100-00001A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27" name="Line 3">
          <a:extLst>
            <a:ext uri="{FF2B5EF4-FFF2-40B4-BE49-F238E27FC236}">
              <a16:creationId xmlns:a16="http://schemas.microsoft.com/office/drawing/2014/main" xmlns="" id="{00000000-0008-0000-2100-00001B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xdr:row>
      <xdr:rowOff>95250</xdr:rowOff>
    </xdr:from>
    <xdr:to>
      <xdr:col>18</xdr:col>
      <xdr:colOff>102577</xdr:colOff>
      <xdr:row>4</xdr:row>
      <xdr:rowOff>95250</xdr:rowOff>
    </xdr:to>
    <xdr:sp macro="" textlink="">
      <xdr:nvSpPr>
        <xdr:cNvPr id="29" name="Line 3">
          <a:extLst>
            <a:ext uri="{FF2B5EF4-FFF2-40B4-BE49-F238E27FC236}">
              <a16:creationId xmlns:a16="http://schemas.microsoft.com/office/drawing/2014/main" xmlns="" id="{00000000-0008-0000-2100-00001D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xdr:row>
      <xdr:rowOff>95250</xdr:rowOff>
    </xdr:from>
    <xdr:to>
      <xdr:col>18</xdr:col>
      <xdr:colOff>102577</xdr:colOff>
      <xdr:row>5</xdr:row>
      <xdr:rowOff>95250</xdr:rowOff>
    </xdr:to>
    <xdr:sp macro="" textlink="">
      <xdr:nvSpPr>
        <xdr:cNvPr id="30" name="Line 3">
          <a:extLst>
            <a:ext uri="{FF2B5EF4-FFF2-40B4-BE49-F238E27FC236}">
              <a16:creationId xmlns:a16="http://schemas.microsoft.com/office/drawing/2014/main" xmlns="" id="{00000000-0008-0000-2100-00001E000000}"/>
            </a:ext>
          </a:extLst>
        </xdr:cNvPr>
        <xdr:cNvSpPr>
          <a:spLocks noChangeShapeType="1"/>
        </xdr:cNvSpPr>
      </xdr:nvSpPr>
      <xdr:spPr bwMode="auto">
        <a:xfrm flipH="1" flipV="1">
          <a:off x="8770327" y="110636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3</xdr:row>
      <xdr:rowOff>95250</xdr:rowOff>
    </xdr:from>
    <xdr:to>
      <xdr:col>18</xdr:col>
      <xdr:colOff>102577</xdr:colOff>
      <xdr:row>3</xdr:row>
      <xdr:rowOff>95250</xdr:rowOff>
    </xdr:to>
    <xdr:sp macro="" textlink="">
      <xdr:nvSpPr>
        <xdr:cNvPr id="31" name="Line 3">
          <a:extLst>
            <a:ext uri="{FF2B5EF4-FFF2-40B4-BE49-F238E27FC236}">
              <a16:creationId xmlns:a16="http://schemas.microsoft.com/office/drawing/2014/main" xmlns="" id="{00000000-0008-0000-2100-00001F000000}"/>
            </a:ext>
          </a:extLst>
        </xdr:cNvPr>
        <xdr:cNvSpPr>
          <a:spLocks noChangeShapeType="1"/>
        </xdr:cNvSpPr>
      </xdr:nvSpPr>
      <xdr:spPr bwMode="auto">
        <a:xfrm flipH="1" flipV="1">
          <a:off x="8770327" y="1611923"/>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32" name="Line 3">
          <a:extLst>
            <a:ext uri="{FF2B5EF4-FFF2-40B4-BE49-F238E27FC236}">
              <a16:creationId xmlns:a16="http://schemas.microsoft.com/office/drawing/2014/main" xmlns="" id="{00000000-0008-0000-2100-000020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33" name="Line 3">
          <a:extLst>
            <a:ext uri="{FF2B5EF4-FFF2-40B4-BE49-F238E27FC236}">
              <a16:creationId xmlns:a16="http://schemas.microsoft.com/office/drawing/2014/main" xmlns="" id="{00000000-0008-0000-2100-000021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xdr:row>
      <xdr:rowOff>95250</xdr:rowOff>
    </xdr:from>
    <xdr:to>
      <xdr:col>18</xdr:col>
      <xdr:colOff>102577</xdr:colOff>
      <xdr:row>5</xdr:row>
      <xdr:rowOff>95250</xdr:rowOff>
    </xdr:to>
    <xdr:sp macro="" textlink="">
      <xdr:nvSpPr>
        <xdr:cNvPr id="34" name="Line 3">
          <a:extLst>
            <a:ext uri="{FF2B5EF4-FFF2-40B4-BE49-F238E27FC236}">
              <a16:creationId xmlns:a16="http://schemas.microsoft.com/office/drawing/2014/main" xmlns="" id="{00000000-0008-0000-2100-000022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xdr:row>
      <xdr:rowOff>95250</xdr:rowOff>
    </xdr:from>
    <xdr:to>
      <xdr:col>18</xdr:col>
      <xdr:colOff>102577</xdr:colOff>
      <xdr:row>5</xdr:row>
      <xdr:rowOff>95250</xdr:rowOff>
    </xdr:to>
    <xdr:sp macro="" textlink="">
      <xdr:nvSpPr>
        <xdr:cNvPr id="35" name="Line 3">
          <a:extLst>
            <a:ext uri="{FF2B5EF4-FFF2-40B4-BE49-F238E27FC236}">
              <a16:creationId xmlns:a16="http://schemas.microsoft.com/office/drawing/2014/main" xmlns="" id="{00000000-0008-0000-2100-000023000000}"/>
            </a:ext>
          </a:extLst>
        </xdr:cNvPr>
        <xdr:cNvSpPr>
          <a:spLocks noChangeShapeType="1"/>
        </xdr:cNvSpPr>
      </xdr:nvSpPr>
      <xdr:spPr bwMode="auto">
        <a:xfrm flipH="1" flipV="1">
          <a:off x="8770327" y="1274885"/>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7</xdr:row>
      <xdr:rowOff>95250</xdr:rowOff>
    </xdr:from>
    <xdr:to>
      <xdr:col>18</xdr:col>
      <xdr:colOff>102577</xdr:colOff>
      <xdr:row>7</xdr:row>
      <xdr:rowOff>95250</xdr:rowOff>
    </xdr:to>
    <xdr:sp macro="" textlink="">
      <xdr:nvSpPr>
        <xdr:cNvPr id="36" name="Line 3">
          <a:extLst>
            <a:ext uri="{FF2B5EF4-FFF2-40B4-BE49-F238E27FC236}">
              <a16:creationId xmlns:a16="http://schemas.microsoft.com/office/drawing/2014/main" xmlns="" id="{00000000-0008-0000-2100-000024000000}"/>
            </a:ext>
          </a:extLst>
        </xdr:cNvPr>
        <xdr:cNvSpPr>
          <a:spLocks noChangeShapeType="1"/>
        </xdr:cNvSpPr>
      </xdr:nvSpPr>
      <xdr:spPr bwMode="auto">
        <a:xfrm flipH="1" flipV="1">
          <a:off x="8770327" y="1780442"/>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37" name="Line 3">
          <a:extLst>
            <a:ext uri="{FF2B5EF4-FFF2-40B4-BE49-F238E27FC236}">
              <a16:creationId xmlns:a16="http://schemas.microsoft.com/office/drawing/2014/main" xmlns="" id="{00000000-0008-0000-2100-000025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38" name="Line 3">
          <a:extLst>
            <a:ext uri="{FF2B5EF4-FFF2-40B4-BE49-F238E27FC236}">
              <a16:creationId xmlns:a16="http://schemas.microsoft.com/office/drawing/2014/main" xmlns="" id="{00000000-0008-0000-2100-000026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39" name="Line 3">
          <a:extLst>
            <a:ext uri="{FF2B5EF4-FFF2-40B4-BE49-F238E27FC236}">
              <a16:creationId xmlns:a16="http://schemas.microsoft.com/office/drawing/2014/main" xmlns="" id="{00000000-0008-0000-2100-000027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6</xdr:row>
      <xdr:rowOff>95250</xdr:rowOff>
    </xdr:from>
    <xdr:to>
      <xdr:col>18</xdr:col>
      <xdr:colOff>102577</xdr:colOff>
      <xdr:row>6</xdr:row>
      <xdr:rowOff>95250</xdr:rowOff>
    </xdr:to>
    <xdr:sp macro="" textlink="">
      <xdr:nvSpPr>
        <xdr:cNvPr id="40" name="Line 3">
          <a:extLst>
            <a:ext uri="{FF2B5EF4-FFF2-40B4-BE49-F238E27FC236}">
              <a16:creationId xmlns:a16="http://schemas.microsoft.com/office/drawing/2014/main" xmlns="" id="{00000000-0008-0000-2100-000028000000}"/>
            </a:ext>
          </a:extLst>
        </xdr:cNvPr>
        <xdr:cNvSpPr>
          <a:spLocks noChangeShapeType="1"/>
        </xdr:cNvSpPr>
      </xdr:nvSpPr>
      <xdr:spPr bwMode="auto">
        <a:xfrm flipH="1" flipV="1">
          <a:off x="8770327" y="1443404"/>
          <a:ext cx="57882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17" name="AutoShape 85">
          <a:extLst>
            <a:ext uri="{FF2B5EF4-FFF2-40B4-BE49-F238E27FC236}">
              <a16:creationId xmlns:a16="http://schemas.microsoft.com/office/drawing/2014/main" xmlns="" id="{00000000-0008-0000-2200-000011000000}"/>
            </a:ext>
          </a:extLst>
        </xdr:cNvPr>
        <xdr:cNvSpPr>
          <a:spLocks noChangeArrowheads="1"/>
        </xdr:cNvSpPr>
      </xdr:nvSpPr>
      <xdr:spPr bwMode="auto">
        <a:xfrm rot="5400000">
          <a:off x="2063976" y="1236568"/>
          <a:ext cx="105966" cy="7549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18" name="AutoShape 85">
          <a:extLst>
            <a:ext uri="{FF2B5EF4-FFF2-40B4-BE49-F238E27FC236}">
              <a16:creationId xmlns:a16="http://schemas.microsoft.com/office/drawing/2014/main" xmlns="" id="{00000000-0008-0000-2200-000012000000}"/>
            </a:ext>
          </a:extLst>
        </xdr:cNvPr>
        <xdr:cNvSpPr>
          <a:spLocks noChangeArrowheads="1"/>
        </xdr:cNvSpPr>
      </xdr:nvSpPr>
      <xdr:spPr bwMode="auto">
        <a:xfrm rot="5400000">
          <a:off x="1484684" y="8098296"/>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91108</xdr:colOff>
      <xdr:row>4</xdr:row>
      <xdr:rowOff>24851</xdr:rowOff>
    </xdr:from>
    <xdr:to>
      <xdr:col>12</xdr:col>
      <xdr:colOff>168137</xdr:colOff>
      <xdr:row>4</xdr:row>
      <xdr:rowOff>130817</xdr:rowOff>
    </xdr:to>
    <xdr:sp macro="" textlink="">
      <xdr:nvSpPr>
        <xdr:cNvPr id="19" name="AutoShape 85">
          <a:extLst>
            <a:ext uri="{FF2B5EF4-FFF2-40B4-BE49-F238E27FC236}">
              <a16:creationId xmlns:a16="http://schemas.microsoft.com/office/drawing/2014/main" xmlns="" id="{00000000-0008-0000-2200-000013000000}"/>
            </a:ext>
          </a:extLst>
        </xdr:cNvPr>
        <xdr:cNvSpPr>
          <a:spLocks noChangeArrowheads="1"/>
        </xdr:cNvSpPr>
      </xdr:nvSpPr>
      <xdr:spPr bwMode="auto">
        <a:xfrm rot="5400000">
          <a:off x="2934140" y="105808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119</xdr:row>
      <xdr:rowOff>10739</xdr:rowOff>
    </xdr:from>
    <xdr:to>
      <xdr:col>32</xdr:col>
      <xdr:colOff>223661</xdr:colOff>
      <xdr:row>119</xdr:row>
      <xdr:rowOff>116705</xdr:rowOff>
    </xdr:to>
    <xdr:sp macro="" textlink="">
      <xdr:nvSpPr>
        <xdr:cNvPr id="20" name="AutoShape 85">
          <a:extLst>
            <a:ext uri="{FF2B5EF4-FFF2-40B4-BE49-F238E27FC236}">
              <a16:creationId xmlns:a16="http://schemas.microsoft.com/office/drawing/2014/main" xmlns="" id="{00000000-0008-0000-2200-000014000000}"/>
            </a:ext>
          </a:extLst>
        </xdr:cNvPr>
        <xdr:cNvSpPr>
          <a:spLocks noChangeArrowheads="1"/>
        </xdr:cNvSpPr>
      </xdr:nvSpPr>
      <xdr:spPr bwMode="auto">
        <a:xfrm rot="5400000">
          <a:off x="6841997" y="21629318"/>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133</xdr:row>
      <xdr:rowOff>21889</xdr:rowOff>
    </xdr:from>
    <xdr:to>
      <xdr:col>9</xdr:col>
      <xdr:colOff>52150</xdr:colOff>
      <xdr:row>133</xdr:row>
      <xdr:rowOff>127855</xdr:rowOff>
    </xdr:to>
    <xdr:sp macro="" textlink="">
      <xdr:nvSpPr>
        <xdr:cNvPr id="6" name="AutoShape 85">
          <a:extLst>
            <a:ext uri="{FF2B5EF4-FFF2-40B4-BE49-F238E27FC236}">
              <a16:creationId xmlns:a16="http://schemas.microsoft.com/office/drawing/2014/main" xmlns="" id="{00000000-0008-0000-22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171</xdr:row>
      <xdr:rowOff>33132</xdr:rowOff>
    </xdr:from>
    <xdr:to>
      <xdr:col>6</xdr:col>
      <xdr:colOff>159855</xdr:colOff>
      <xdr:row>171</xdr:row>
      <xdr:rowOff>139098</xdr:rowOff>
    </xdr:to>
    <xdr:sp macro="" textlink="">
      <xdr:nvSpPr>
        <xdr:cNvPr id="7" name="AutoShape 85">
          <a:extLst>
            <a:ext uri="{FF2B5EF4-FFF2-40B4-BE49-F238E27FC236}">
              <a16:creationId xmlns:a16="http://schemas.microsoft.com/office/drawing/2014/main" xmlns="" id="{00000000-0008-0000-2200-000007000000}"/>
            </a:ext>
          </a:extLst>
        </xdr:cNvPr>
        <xdr:cNvSpPr>
          <a:spLocks noChangeArrowheads="1"/>
        </xdr:cNvSpPr>
      </xdr:nvSpPr>
      <xdr:spPr bwMode="auto">
        <a:xfrm rot="5400000">
          <a:off x="1468533" y="816290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91108</xdr:colOff>
      <xdr:row>132</xdr:row>
      <xdr:rowOff>24851</xdr:rowOff>
    </xdr:from>
    <xdr:to>
      <xdr:col>12</xdr:col>
      <xdr:colOff>168137</xdr:colOff>
      <xdr:row>132</xdr:row>
      <xdr:rowOff>130817</xdr:rowOff>
    </xdr:to>
    <xdr:sp macro="" textlink="">
      <xdr:nvSpPr>
        <xdr:cNvPr id="8" name="AutoShape 85">
          <a:extLst>
            <a:ext uri="{FF2B5EF4-FFF2-40B4-BE49-F238E27FC236}">
              <a16:creationId xmlns:a16="http://schemas.microsoft.com/office/drawing/2014/main" xmlns="" id="{00000000-0008-0000-2200-000008000000}"/>
            </a:ext>
          </a:extLst>
        </xdr:cNvPr>
        <xdr:cNvSpPr>
          <a:spLocks noChangeArrowheads="1"/>
        </xdr:cNvSpPr>
      </xdr:nvSpPr>
      <xdr:spPr bwMode="auto">
        <a:xfrm rot="5400000">
          <a:off x="2905565" y="1001344"/>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247</xdr:row>
      <xdr:rowOff>10739</xdr:rowOff>
    </xdr:from>
    <xdr:to>
      <xdr:col>32</xdr:col>
      <xdr:colOff>223661</xdr:colOff>
      <xdr:row>247</xdr:row>
      <xdr:rowOff>116705</xdr:rowOff>
    </xdr:to>
    <xdr:sp macro="" textlink="">
      <xdr:nvSpPr>
        <xdr:cNvPr id="9" name="AutoShape 85">
          <a:extLst>
            <a:ext uri="{FF2B5EF4-FFF2-40B4-BE49-F238E27FC236}">
              <a16:creationId xmlns:a16="http://schemas.microsoft.com/office/drawing/2014/main" xmlns="" id="{00000000-0008-0000-2200-000009000000}"/>
            </a:ext>
          </a:extLst>
        </xdr:cNvPr>
        <xdr:cNvSpPr>
          <a:spLocks noChangeArrowheads="1"/>
        </xdr:cNvSpPr>
      </xdr:nvSpPr>
      <xdr:spPr bwMode="auto">
        <a:xfrm rot="5400000">
          <a:off x="6837764" y="215040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282575</xdr:colOff>
      <xdr:row>10</xdr:row>
      <xdr:rowOff>38100</xdr:rowOff>
    </xdr:from>
    <xdr:to>
      <xdr:col>6</xdr:col>
      <xdr:colOff>358775</xdr:colOff>
      <xdr:row>11</xdr:row>
      <xdr:rowOff>6350</xdr:rowOff>
    </xdr:to>
    <xdr:pic>
      <xdr:nvPicPr>
        <xdr:cNvPr id="6" name="Picture 3">
          <a:extLst>
            <a:ext uri="{FF2B5EF4-FFF2-40B4-BE49-F238E27FC236}">
              <a16:creationId xmlns:a16="http://schemas.microsoft.com/office/drawing/2014/main" xmlns="" id="{00000000-0008-0000-23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9675" y="17272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138113</xdr:colOff>
      <xdr:row>4</xdr:row>
      <xdr:rowOff>0</xdr:rowOff>
    </xdr:from>
    <xdr:ext cx="76200" cy="133350"/>
    <xdr:pic>
      <xdr:nvPicPr>
        <xdr:cNvPr id="12" name="Picture 11">
          <a:extLst>
            <a:ext uri="{FF2B5EF4-FFF2-40B4-BE49-F238E27FC236}">
              <a16:creationId xmlns:a16="http://schemas.microsoft.com/office/drawing/2014/main" xmlns="" id="{00000000-0008-0000-23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28863" y="809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531848</xdr:colOff>
      <xdr:row>5</xdr:row>
      <xdr:rowOff>61516</xdr:rowOff>
    </xdr:from>
    <xdr:ext cx="76200" cy="133350"/>
    <xdr:pic>
      <xdr:nvPicPr>
        <xdr:cNvPr id="14" name="Picture 13">
          <a:extLst>
            <a:ext uri="{FF2B5EF4-FFF2-40B4-BE49-F238E27FC236}">
              <a16:creationId xmlns:a16="http://schemas.microsoft.com/office/drawing/2014/main" xmlns="" id="{00000000-0008-0000-23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9173" y="99496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111125</xdr:colOff>
      <xdr:row>28</xdr:row>
      <xdr:rowOff>12700</xdr:rowOff>
    </xdr:from>
    <xdr:to>
      <xdr:col>9</xdr:col>
      <xdr:colOff>187325</xdr:colOff>
      <xdr:row>28</xdr:row>
      <xdr:rowOff>146050</xdr:rowOff>
    </xdr:to>
    <xdr:pic>
      <xdr:nvPicPr>
        <xdr:cNvPr id="15" name="Picture 3">
          <a:extLst>
            <a:ext uri="{FF2B5EF4-FFF2-40B4-BE49-F238E27FC236}">
              <a16:creationId xmlns:a16="http://schemas.microsoft.com/office/drawing/2014/main" xmlns="" id="{00000000-0008-0000-23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2950" y="41846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82550</xdr:colOff>
      <xdr:row>32</xdr:row>
      <xdr:rowOff>22225</xdr:rowOff>
    </xdr:from>
    <xdr:to>
      <xdr:col>22</xdr:col>
      <xdr:colOff>158750</xdr:colOff>
      <xdr:row>32</xdr:row>
      <xdr:rowOff>155575</xdr:rowOff>
    </xdr:to>
    <xdr:pic>
      <xdr:nvPicPr>
        <xdr:cNvPr id="16" name="Picture 3">
          <a:extLst>
            <a:ext uri="{FF2B5EF4-FFF2-40B4-BE49-F238E27FC236}">
              <a16:creationId xmlns:a16="http://schemas.microsoft.com/office/drawing/2014/main" xmlns="" id="{00000000-0008-0000-23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2875" y="4813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89453</xdr:colOff>
      <xdr:row>52</xdr:row>
      <xdr:rowOff>55907</xdr:rowOff>
    </xdr:from>
    <xdr:to>
      <xdr:col>22</xdr:col>
      <xdr:colOff>165653</xdr:colOff>
      <xdr:row>52</xdr:row>
      <xdr:rowOff>189257</xdr:rowOff>
    </xdr:to>
    <xdr:pic>
      <xdr:nvPicPr>
        <xdr:cNvPr id="17" name="Picture 3">
          <a:extLst>
            <a:ext uri="{FF2B5EF4-FFF2-40B4-BE49-F238E27FC236}">
              <a16:creationId xmlns:a16="http://schemas.microsoft.com/office/drawing/2014/main" xmlns="" id="{00000000-0008-0000-23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9388" y="77421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127397</xdr:colOff>
      <xdr:row>93</xdr:row>
      <xdr:rowOff>9525</xdr:rowOff>
    </xdr:from>
    <xdr:to>
      <xdr:col>22</xdr:col>
      <xdr:colOff>203597</xdr:colOff>
      <xdr:row>93</xdr:row>
      <xdr:rowOff>142875</xdr:rowOff>
    </xdr:to>
    <xdr:pic>
      <xdr:nvPicPr>
        <xdr:cNvPr id="18" name="Picture 3">
          <a:extLst>
            <a:ext uri="{FF2B5EF4-FFF2-40B4-BE49-F238E27FC236}">
              <a16:creationId xmlns:a16="http://schemas.microsoft.com/office/drawing/2014/main" xmlns="" id="{00000000-0008-0000-23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01991" y="1464230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92075</xdr:colOff>
      <xdr:row>97</xdr:row>
      <xdr:rowOff>73025</xdr:rowOff>
    </xdr:from>
    <xdr:to>
      <xdr:col>3</xdr:col>
      <xdr:colOff>101600</xdr:colOff>
      <xdr:row>100</xdr:row>
      <xdr:rowOff>139700</xdr:rowOff>
    </xdr:to>
    <xdr:pic>
      <xdr:nvPicPr>
        <xdr:cNvPr id="19" name="Picture 113" descr="E:\My Documents\Excel\04_1040\IRS Forms\CAUTION_Black.jpg">
          <a:extLst>
            <a:ext uri="{FF2B5EF4-FFF2-40B4-BE49-F238E27FC236}">
              <a16:creationId xmlns:a16="http://schemas.microsoft.com/office/drawing/2014/main" xmlns="" id="{00000000-0008-0000-23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oneCellAnchor>
    <xdr:from>
      <xdr:col>7</xdr:col>
      <xdr:colOff>76198</xdr:colOff>
      <xdr:row>14</xdr:row>
      <xdr:rowOff>2722</xdr:rowOff>
    </xdr:from>
    <xdr:ext cx="76200" cy="133350"/>
    <xdr:pic>
      <xdr:nvPicPr>
        <xdr:cNvPr id="3" name="Picture 2">
          <a:extLst>
            <a:ext uri="{FF2B5EF4-FFF2-40B4-BE49-F238E27FC236}">
              <a16:creationId xmlns:a16="http://schemas.microsoft.com/office/drawing/2014/main" xmlns="" id="{00000000-0008-0000-2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0427" y="182607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114848</xdr:colOff>
      <xdr:row>15</xdr:row>
      <xdr:rowOff>11340</xdr:rowOff>
    </xdr:from>
    <xdr:ext cx="76200" cy="133350"/>
    <xdr:pic>
      <xdr:nvPicPr>
        <xdr:cNvPr id="4" name="Picture 3">
          <a:extLst>
            <a:ext uri="{FF2B5EF4-FFF2-40B4-BE49-F238E27FC236}">
              <a16:creationId xmlns:a16="http://schemas.microsoft.com/office/drawing/2014/main" xmlns="" id="{00000000-0008-0000-2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1005" y="195988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19</xdr:col>
      <xdr:colOff>9525</xdr:colOff>
      <xdr:row>12</xdr:row>
      <xdr:rowOff>95342</xdr:rowOff>
    </xdr:from>
    <xdr:to>
      <xdr:col>22</xdr:col>
      <xdr:colOff>219075</xdr:colOff>
      <xdr:row>16</xdr:row>
      <xdr:rowOff>25369</xdr:rowOff>
    </xdr:to>
    <xdr:pic>
      <xdr:nvPicPr>
        <xdr:cNvPr id="10" name="Picture 9">
          <a:extLst>
            <a:ext uri="{FF2B5EF4-FFF2-40B4-BE49-F238E27FC236}">
              <a16:creationId xmlns:a16="http://schemas.microsoft.com/office/drawing/2014/main" xmlns="" id="{00000000-0008-0000-24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0700" y="495392"/>
          <a:ext cx="895350" cy="615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23</xdr:row>
      <xdr:rowOff>16329</xdr:rowOff>
    </xdr:from>
    <xdr:to>
      <xdr:col>2</xdr:col>
      <xdr:colOff>10884</xdr:colOff>
      <xdr:row>24</xdr:row>
      <xdr:rowOff>5443</xdr:rowOff>
    </xdr:to>
    <xdr:pic>
      <xdr:nvPicPr>
        <xdr:cNvPr id="11" name="Picture 10">
          <a:extLst>
            <a:ext uri="{FF2B5EF4-FFF2-40B4-BE49-F238E27FC236}">
              <a16:creationId xmlns:a16="http://schemas.microsoft.com/office/drawing/2014/main" xmlns="" id="{00000000-0008-0000-2400-00000B000000}"/>
            </a:ext>
          </a:extLst>
        </xdr:cNvPr>
        <xdr:cNvPicPr>
          <a:picLocks noChangeAspect="1"/>
        </xdr:cNvPicPr>
      </xdr:nvPicPr>
      <xdr:blipFill>
        <a:blip xmlns:r="http://schemas.openxmlformats.org/officeDocument/2006/relationships" r:embed="rId3"/>
        <a:stretch>
          <a:fillRect/>
        </a:stretch>
      </xdr:blipFill>
      <xdr:spPr>
        <a:xfrm>
          <a:off x="212271" y="3145972"/>
          <a:ext cx="228599" cy="228599"/>
        </a:xfrm>
        <a:prstGeom prst="rect">
          <a:avLst/>
        </a:prstGeom>
      </xdr:spPr>
    </xdr:pic>
    <xdr:clientData/>
  </xdr:twoCellAnchor>
  <xdr:oneCellAnchor>
    <xdr:from>
      <xdr:col>24</xdr:col>
      <xdr:colOff>190500</xdr:colOff>
      <xdr:row>65</xdr:row>
      <xdr:rowOff>38100</xdr:rowOff>
    </xdr:from>
    <xdr:ext cx="76200" cy="133350"/>
    <xdr:pic>
      <xdr:nvPicPr>
        <xdr:cNvPr id="14" name="Picture 13">
          <a:extLst>
            <a:ext uri="{FF2B5EF4-FFF2-40B4-BE49-F238E27FC236}">
              <a16:creationId xmlns:a16="http://schemas.microsoft.com/office/drawing/2014/main" xmlns="" id="{00000000-0008-0000-24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5971" y="947601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92527</xdr:colOff>
      <xdr:row>82</xdr:row>
      <xdr:rowOff>21773</xdr:rowOff>
    </xdr:from>
    <xdr:ext cx="76200" cy="133350"/>
    <xdr:pic>
      <xdr:nvPicPr>
        <xdr:cNvPr id="15" name="Picture 14">
          <a:extLst>
            <a:ext uri="{FF2B5EF4-FFF2-40B4-BE49-F238E27FC236}">
              <a16:creationId xmlns:a16="http://schemas.microsoft.com/office/drawing/2014/main" xmlns="" id="{00000000-0008-0000-24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3556" y="120994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81643</xdr:colOff>
      <xdr:row>84</xdr:row>
      <xdr:rowOff>10886</xdr:rowOff>
    </xdr:from>
    <xdr:ext cx="76200" cy="133350"/>
    <xdr:pic>
      <xdr:nvPicPr>
        <xdr:cNvPr id="16" name="Picture 15">
          <a:extLst>
            <a:ext uri="{FF2B5EF4-FFF2-40B4-BE49-F238E27FC236}">
              <a16:creationId xmlns:a16="http://schemas.microsoft.com/office/drawing/2014/main" xmlns="" id="{00000000-0008-0000-24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2672" y="1239338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604158</xdr:colOff>
      <xdr:row>55</xdr:row>
      <xdr:rowOff>21770</xdr:rowOff>
    </xdr:from>
    <xdr:ext cx="76200" cy="133350"/>
    <xdr:pic>
      <xdr:nvPicPr>
        <xdr:cNvPr id="17" name="Picture 16">
          <a:extLst>
            <a:ext uri="{FF2B5EF4-FFF2-40B4-BE49-F238E27FC236}">
              <a16:creationId xmlns:a16="http://schemas.microsoft.com/office/drawing/2014/main" xmlns="" id="{00000000-0008-0000-24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2558" y="801188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615045</xdr:colOff>
      <xdr:row>57</xdr:row>
      <xdr:rowOff>21771</xdr:rowOff>
    </xdr:from>
    <xdr:ext cx="76200" cy="133350"/>
    <xdr:pic>
      <xdr:nvPicPr>
        <xdr:cNvPr id="18" name="Picture 17">
          <a:extLst>
            <a:ext uri="{FF2B5EF4-FFF2-40B4-BE49-F238E27FC236}">
              <a16:creationId xmlns:a16="http://schemas.microsoft.com/office/drawing/2014/main" xmlns="" id="{00000000-0008-0000-24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3445" y="822415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97971</xdr:colOff>
      <xdr:row>93</xdr:row>
      <xdr:rowOff>59871</xdr:rowOff>
    </xdr:from>
    <xdr:to>
      <xdr:col>2</xdr:col>
      <xdr:colOff>32655</xdr:colOff>
      <xdr:row>95</xdr:row>
      <xdr:rowOff>48984</xdr:rowOff>
    </xdr:to>
    <xdr:pic>
      <xdr:nvPicPr>
        <xdr:cNvPr id="19" name="Picture 18">
          <a:extLst>
            <a:ext uri="{FF2B5EF4-FFF2-40B4-BE49-F238E27FC236}">
              <a16:creationId xmlns:a16="http://schemas.microsoft.com/office/drawing/2014/main" xmlns="" id="{00000000-0008-0000-2400-000013000000}"/>
            </a:ext>
          </a:extLst>
        </xdr:cNvPr>
        <xdr:cNvPicPr>
          <a:picLocks noChangeAspect="1"/>
        </xdr:cNvPicPr>
      </xdr:nvPicPr>
      <xdr:blipFill>
        <a:blip xmlns:r="http://schemas.openxmlformats.org/officeDocument/2006/relationships" r:embed="rId3"/>
        <a:stretch>
          <a:fillRect/>
        </a:stretch>
      </xdr:blipFill>
      <xdr:spPr>
        <a:xfrm>
          <a:off x="234042" y="14227628"/>
          <a:ext cx="228599" cy="2285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5</xdr:col>
      <xdr:colOff>9525</xdr:colOff>
      <xdr:row>11</xdr:row>
      <xdr:rowOff>76200</xdr:rowOff>
    </xdr:from>
    <xdr:to>
      <xdr:col>6</xdr:col>
      <xdr:colOff>0</xdr:colOff>
      <xdr:row>11</xdr:row>
      <xdr:rowOff>76200</xdr:rowOff>
    </xdr:to>
    <xdr:sp macro="" textlink="">
      <xdr:nvSpPr>
        <xdr:cNvPr id="123453" name="Line 2">
          <a:extLst>
            <a:ext uri="{FF2B5EF4-FFF2-40B4-BE49-F238E27FC236}">
              <a16:creationId xmlns:a16="http://schemas.microsoft.com/office/drawing/2014/main" xmlns="" id="{00000000-0008-0000-2500-00003DE20100}"/>
            </a:ext>
          </a:extLst>
        </xdr:cNvPr>
        <xdr:cNvSpPr>
          <a:spLocks noChangeShapeType="1"/>
        </xdr:cNvSpPr>
      </xdr:nvSpPr>
      <xdr:spPr bwMode="auto">
        <a:xfrm flipH="1">
          <a:off x="1371600" y="2428875"/>
          <a:ext cx="342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xdr:colOff>
      <xdr:row>11</xdr:row>
      <xdr:rowOff>76200</xdr:rowOff>
    </xdr:from>
    <xdr:to>
      <xdr:col>5</xdr:col>
      <xdr:colOff>9525</xdr:colOff>
      <xdr:row>14</xdr:row>
      <xdr:rowOff>9525</xdr:rowOff>
    </xdr:to>
    <xdr:sp macro="" textlink="">
      <xdr:nvSpPr>
        <xdr:cNvPr id="123454" name="Line 3">
          <a:extLst>
            <a:ext uri="{FF2B5EF4-FFF2-40B4-BE49-F238E27FC236}">
              <a16:creationId xmlns:a16="http://schemas.microsoft.com/office/drawing/2014/main" xmlns="" id="{00000000-0008-0000-2500-00003EE20100}"/>
            </a:ext>
          </a:extLst>
        </xdr:cNvPr>
        <xdr:cNvSpPr>
          <a:spLocks noChangeShapeType="1"/>
        </xdr:cNvSpPr>
      </xdr:nvSpPr>
      <xdr:spPr bwMode="auto">
        <a:xfrm>
          <a:off x="1371600" y="2428875"/>
          <a:ext cx="0" cy="504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18</xdr:row>
      <xdr:rowOff>0</xdr:rowOff>
    </xdr:from>
    <xdr:to>
      <xdr:col>5</xdr:col>
      <xdr:colOff>0</xdr:colOff>
      <xdr:row>20</xdr:row>
      <xdr:rowOff>0</xdr:rowOff>
    </xdr:to>
    <xdr:sp macro="" textlink="">
      <xdr:nvSpPr>
        <xdr:cNvPr id="123455" name="Line 4">
          <a:extLst>
            <a:ext uri="{FF2B5EF4-FFF2-40B4-BE49-F238E27FC236}">
              <a16:creationId xmlns:a16="http://schemas.microsoft.com/office/drawing/2014/main" xmlns="" id="{00000000-0008-0000-2500-00003FE20100}"/>
            </a:ext>
          </a:extLst>
        </xdr:cNvPr>
        <xdr:cNvSpPr>
          <a:spLocks noChangeShapeType="1"/>
        </xdr:cNvSpPr>
      </xdr:nvSpPr>
      <xdr:spPr bwMode="auto">
        <a:xfrm>
          <a:off x="1362075" y="35337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24</xdr:row>
      <xdr:rowOff>0</xdr:rowOff>
    </xdr:from>
    <xdr:to>
      <xdr:col>5</xdr:col>
      <xdr:colOff>0</xdr:colOff>
      <xdr:row>26</xdr:row>
      <xdr:rowOff>0</xdr:rowOff>
    </xdr:to>
    <xdr:sp macro="" textlink="">
      <xdr:nvSpPr>
        <xdr:cNvPr id="123456" name="Line 5">
          <a:extLst>
            <a:ext uri="{FF2B5EF4-FFF2-40B4-BE49-F238E27FC236}">
              <a16:creationId xmlns:a16="http://schemas.microsoft.com/office/drawing/2014/main" xmlns="" id="{00000000-0008-0000-2500-000040E20100}"/>
            </a:ext>
          </a:extLst>
        </xdr:cNvPr>
        <xdr:cNvSpPr>
          <a:spLocks noChangeShapeType="1"/>
        </xdr:cNvSpPr>
      </xdr:nvSpPr>
      <xdr:spPr bwMode="auto">
        <a:xfrm>
          <a:off x="1362075" y="42767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30</xdr:row>
      <xdr:rowOff>0</xdr:rowOff>
    </xdr:from>
    <xdr:to>
      <xdr:col>5</xdr:col>
      <xdr:colOff>0</xdr:colOff>
      <xdr:row>32</xdr:row>
      <xdr:rowOff>0</xdr:rowOff>
    </xdr:to>
    <xdr:sp macro="" textlink="">
      <xdr:nvSpPr>
        <xdr:cNvPr id="123457" name="Line 6">
          <a:extLst>
            <a:ext uri="{FF2B5EF4-FFF2-40B4-BE49-F238E27FC236}">
              <a16:creationId xmlns:a16="http://schemas.microsoft.com/office/drawing/2014/main" xmlns="" id="{00000000-0008-0000-2500-000041E20100}"/>
            </a:ext>
          </a:extLst>
        </xdr:cNvPr>
        <xdr:cNvSpPr>
          <a:spLocks noChangeShapeType="1"/>
        </xdr:cNvSpPr>
      </xdr:nvSpPr>
      <xdr:spPr bwMode="auto">
        <a:xfrm>
          <a:off x="1362075" y="50101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0</xdr:colOff>
      <xdr:row>11</xdr:row>
      <xdr:rowOff>85725</xdr:rowOff>
    </xdr:from>
    <xdr:to>
      <xdr:col>19</xdr:col>
      <xdr:colOff>0</xdr:colOff>
      <xdr:row>11</xdr:row>
      <xdr:rowOff>85725</xdr:rowOff>
    </xdr:to>
    <xdr:sp macro="" textlink="">
      <xdr:nvSpPr>
        <xdr:cNvPr id="123458" name="Line 7">
          <a:extLst>
            <a:ext uri="{FF2B5EF4-FFF2-40B4-BE49-F238E27FC236}">
              <a16:creationId xmlns:a16="http://schemas.microsoft.com/office/drawing/2014/main" xmlns="" id="{00000000-0008-0000-2500-000042E20100}"/>
            </a:ext>
          </a:extLst>
        </xdr:cNvPr>
        <xdr:cNvSpPr>
          <a:spLocks noChangeShapeType="1"/>
        </xdr:cNvSpPr>
      </xdr:nvSpPr>
      <xdr:spPr bwMode="auto">
        <a:xfrm>
          <a:off x="5495925" y="24384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11</xdr:row>
      <xdr:rowOff>85725</xdr:rowOff>
    </xdr:from>
    <xdr:to>
      <xdr:col>19</xdr:col>
      <xdr:colOff>0</xdr:colOff>
      <xdr:row>14</xdr:row>
      <xdr:rowOff>0</xdr:rowOff>
    </xdr:to>
    <xdr:sp macro="" textlink="">
      <xdr:nvSpPr>
        <xdr:cNvPr id="123459" name="Line 8">
          <a:extLst>
            <a:ext uri="{FF2B5EF4-FFF2-40B4-BE49-F238E27FC236}">
              <a16:creationId xmlns:a16="http://schemas.microsoft.com/office/drawing/2014/main" xmlns="" id="{00000000-0008-0000-2500-000043E20100}"/>
            </a:ext>
          </a:extLst>
        </xdr:cNvPr>
        <xdr:cNvSpPr>
          <a:spLocks noChangeShapeType="1"/>
        </xdr:cNvSpPr>
      </xdr:nvSpPr>
      <xdr:spPr bwMode="auto">
        <a:xfrm>
          <a:off x="6076950" y="2438400"/>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18</xdr:row>
      <xdr:rowOff>0</xdr:rowOff>
    </xdr:from>
    <xdr:to>
      <xdr:col>19</xdr:col>
      <xdr:colOff>19050</xdr:colOff>
      <xdr:row>19</xdr:row>
      <xdr:rowOff>152400</xdr:rowOff>
    </xdr:to>
    <xdr:sp macro="" textlink="">
      <xdr:nvSpPr>
        <xdr:cNvPr id="123460" name="Line 9">
          <a:extLst>
            <a:ext uri="{FF2B5EF4-FFF2-40B4-BE49-F238E27FC236}">
              <a16:creationId xmlns:a16="http://schemas.microsoft.com/office/drawing/2014/main" xmlns="" id="{00000000-0008-0000-2500-000044E20100}"/>
            </a:ext>
          </a:extLst>
        </xdr:cNvPr>
        <xdr:cNvSpPr>
          <a:spLocks noChangeShapeType="1"/>
        </xdr:cNvSpPr>
      </xdr:nvSpPr>
      <xdr:spPr bwMode="auto">
        <a:xfrm>
          <a:off x="6096000" y="353377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12</xdr:row>
      <xdr:rowOff>114300</xdr:rowOff>
    </xdr:from>
    <xdr:to>
      <xdr:col>12</xdr:col>
      <xdr:colOff>200025</xdr:colOff>
      <xdr:row>28</xdr:row>
      <xdr:rowOff>9525</xdr:rowOff>
    </xdr:to>
    <xdr:sp macro="" textlink="">
      <xdr:nvSpPr>
        <xdr:cNvPr id="123461" name="Line 11">
          <a:extLst>
            <a:ext uri="{FF2B5EF4-FFF2-40B4-BE49-F238E27FC236}">
              <a16:creationId xmlns:a16="http://schemas.microsoft.com/office/drawing/2014/main" xmlns="" id="{00000000-0008-0000-2500-000045E20100}"/>
            </a:ext>
          </a:extLst>
        </xdr:cNvPr>
        <xdr:cNvSpPr>
          <a:spLocks noChangeShapeType="1"/>
        </xdr:cNvSpPr>
      </xdr:nvSpPr>
      <xdr:spPr bwMode="auto">
        <a:xfrm flipH="1" flipV="1">
          <a:off x="3848100" y="2705100"/>
          <a:ext cx="0" cy="2066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xdr:row>
      <xdr:rowOff>123825</xdr:rowOff>
    </xdr:from>
    <xdr:to>
      <xdr:col>12</xdr:col>
      <xdr:colOff>200025</xdr:colOff>
      <xdr:row>12</xdr:row>
      <xdr:rowOff>123825</xdr:rowOff>
    </xdr:to>
    <xdr:sp macro="" textlink="">
      <xdr:nvSpPr>
        <xdr:cNvPr id="123462" name="Line 12">
          <a:extLst>
            <a:ext uri="{FF2B5EF4-FFF2-40B4-BE49-F238E27FC236}">
              <a16:creationId xmlns:a16="http://schemas.microsoft.com/office/drawing/2014/main" xmlns="" id="{00000000-0008-0000-2500-000046E20100}"/>
            </a:ext>
          </a:extLst>
        </xdr:cNvPr>
        <xdr:cNvSpPr>
          <a:spLocks noChangeShapeType="1"/>
        </xdr:cNvSpPr>
      </xdr:nvSpPr>
      <xdr:spPr bwMode="auto">
        <a:xfrm flipH="1">
          <a:off x="2828925" y="2714625"/>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xdr:row>
      <xdr:rowOff>123825</xdr:rowOff>
    </xdr:from>
    <xdr:to>
      <xdr:col>8</xdr:col>
      <xdr:colOff>400050</xdr:colOff>
      <xdr:row>13</xdr:row>
      <xdr:rowOff>161925</xdr:rowOff>
    </xdr:to>
    <xdr:sp macro="" textlink="">
      <xdr:nvSpPr>
        <xdr:cNvPr id="123463" name="Line 13">
          <a:extLst>
            <a:ext uri="{FF2B5EF4-FFF2-40B4-BE49-F238E27FC236}">
              <a16:creationId xmlns:a16="http://schemas.microsoft.com/office/drawing/2014/main" xmlns="" id="{00000000-0008-0000-2500-000047E20100}"/>
            </a:ext>
          </a:extLst>
        </xdr:cNvPr>
        <xdr:cNvSpPr>
          <a:spLocks noChangeShapeType="1"/>
        </xdr:cNvSpPr>
      </xdr:nvSpPr>
      <xdr:spPr bwMode="auto">
        <a:xfrm flipH="1">
          <a:off x="2828925" y="2714625"/>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16</xdr:row>
      <xdr:rowOff>19050</xdr:rowOff>
    </xdr:from>
    <xdr:to>
      <xdr:col>12</xdr:col>
      <xdr:colOff>0</xdr:colOff>
      <xdr:row>33</xdr:row>
      <xdr:rowOff>95250</xdr:rowOff>
    </xdr:to>
    <xdr:sp macro="" textlink="">
      <xdr:nvSpPr>
        <xdr:cNvPr id="123464" name="Line 17">
          <a:extLst>
            <a:ext uri="{FF2B5EF4-FFF2-40B4-BE49-F238E27FC236}">
              <a16:creationId xmlns:a16="http://schemas.microsoft.com/office/drawing/2014/main" xmlns="" id="{00000000-0008-0000-2500-000048E20100}"/>
            </a:ext>
          </a:extLst>
        </xdr:cNvPr>
        <xdr:cNvSpPr>
          <a:spLocks noChangeShapeType="1"/>
        </xdr:cNvSpPr>
      </xdr:nvSpPr>
      <xdr:spPr bwMode="auto">
        <a:xfrm>
          <a:off x="3648075" y="3267075"/>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33</xdr:row>
      <xdr:rowOff>85725</xdr:rowOff>
    </xdr:from>
    <xdr:to>
      <xdr:col>14</xdr:col>
      <xdr:colOff>0</xdr:colOff>
      <xdr:row>33</xdr:row>
      <xdr:rowOff>85725</xdr:rowOff>
    </xdr:to>
    <xdr:sp macro="" textlink="">
      <xdr:nvSpPr>
        <xdr:cNvPr id="123465" name="Line 18">
          <a:extLst>
            <a:ext uri="{FF2B5EF4-FFF2-40B4-BE49-F238E27FC236}">
              <a16:creationId xmlns:a16="http://schemas.microsoft.com/office/drawing/2014/main" xmlns="" id="{00000000-0008-0000-2500-000049E20100}"/>
            </a:ext>
          </a:extLst>
        </xdr:cNvPr>
        <xdr:cNvSpPr>
          <a:spLocks noChangeShapeType="1"/>
        </xdr:cNvSpPr>
      </xdr:nvSpPr>
      <xdr:spPr bwMode="auto">
        <a:xfrm>
          <a:off x="3648075" y="5419725"/>
          <a:ext cx="523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16</xdr:row>
      <xdr:rowOff>28575</xdr:rowOff>
    </xdr:from>
    <xdr:to>
      <xdr:col>12</xdr:col>
      <xdr:colOff>0</xdr:colOff>
      <xdr:row>16</xdr:row>
      <xdr:rowOff>28575</xdr:rowOff>
    </xdr:to>
    <xdr:sp macro="" textlink="">
      <xdr:nvSpPr>
        <xdr:cNvPr id="123466" name="Line 20">
          <a:extLst>
            <a:ext uri="{FF2B5EF4-FFF2-40B4-BE49-F238E27FC236}">
              <a16:creationId xmlns:a16="http://schemas.microsoft.com/office/drawing/2014/main" xmlns="" id="{00000000-0008-0000-2500-00004AE20100}"/>
            </a:ext>
          </a:extLst>
        </xdr:cNvPr>
        <xdr:cNvSpPr>
          <a:spLocks noChangeShapeType="1"/>
        </xdr:cNvSpPr>
      </xdr:nvSpPr>
      <xdr:spPr bwMode="auto">
        <a:xfrm>
          <a:off x="3324225" y="3276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22</xdr:row>
      <xdr:rowOff>19050</xdr:rowOff>
    </xdr:from>
    <xdr:to>
      <xdr:col>12</xdr:col>
      <xdr:colOff>0</xdr:colOff>
      <xdr:row>22</xdr:row>
      <xdr:rowOff>19050</xdr:rowOff>
    </xdr:to>
    <xdr:sp macro="" textlink="">
      <xdr:nvSpPr>
        <xdr:cNvPr id="123467" name="Line 21">
          <a:extLst>
            <a:ext uri="{FF2B5EF4-FFF2-40B4-BE49-F238E27FC236}">
              <a16:creationId xmlns:a16="http://schemas.microsoft.com/office/drawing/2014/main" xmlns="" id="{00000000-0008-0000-2500-00004BE20100}"/>
            </a:ext>
          </a:extLst>
        </xdr:cNvPr>
        <xdr:cNvSpPr>
          <a:spLocks noChangeShapeType="1"/>
        </xdr:cNvSpPr>
      </xdr:nvSpPr>
      <xdr:spPr bwMode="auto">
        <a:xfrm>
          <a:off x="3324225" y="4038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28</xdr:row>
      <xdr:rowOff>19050</xdr:rowOff>
    </xdr:from>
    <xdr:to>
      <xdr:col>12</xdr:col>
      <xdr:colOff>0</xdr:colOff>
      <xdr:row>28</xdr:row>
      <xdr:rowOff>19050</xdr:rowOff>
    </xdr:to>
    <xdr:sp macro="" textlink="">
      <xdr:nvSpPr>
        <xdr:cNvPr id="123468" name="Line 22">
          <a:extLst>
            <a:ext uri="{FF2B5EF4-FFF2-40B4-BE49-F238E27FC236}">
              <a16:creationId xmlns:a16="http://schemas.microsoft.com/office/drawing/2014/main" xmlns="" id="{00000000-0008-0000-2500-00004CE20100}"/>
            </a:ext>
          </a:extLst>
        </xdr:cNvPr>
        <xdr:cNvSpPr>
          <a:spLocks noChangeShapeType="1"/>
        </xdr:cNvSpPr>
      </xdr:nvSpPr>
      <xdr:spPr bwMode="auto">
        <a:xfrm>
          <a:off x="3324225"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295275</xdr:colOff>
      <xdr:row>16</xdr:row>
      <xdr:rowOff>76200</xdr:rowOff>
    </xdr:from>
    <xdr:to>
      <xdr:col>22</xdr:col>
      <xdr:colOff>295275</xdr:colOff>
      <xdr:row>32</xdr:row>
      <xdr:rowOff>0</xdr:rowOff>
    </xdr:to>
    <xdr:sp macro="" textlink="">
      <xdr:nvSpPr>
        <xdr:cNvPr id="123469" name="Line 23">
          <a:extLst>
            <a:ext uri="{FF2B5EF4-FFF2-40B4-BE49-F238E27FC236}">
              <a16:creationId xmlns:a16="http://schemas.microsoft.com/office/drawing/2014/main" xmlns="" id="{00000000-0008-0000-2500-00004DE20100}"/>
            </a:ext>
          </a:extLst>
        </xdr:cNvPr>
        <xdr:cNvSpPr>
          <a:spLocks noChangeShapeType="1"/>
        </xdr:cNvSpPr>
      </xdr:nvSpPr>
      <xdr:spPr bwMode="auto">
        <a:xfrm>
          <a:off x="7677150" y="3324225"/>
          <a:ext cx="0" cy="1933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16</xdr:row>
      <xdr:rowOff>66675</xdr:rowOff>
    </xdr:from>
    <xdr:to>
      <xdr:col>23</xdr:col>
      <xdr:colOff>0</xdr:colOff>
      <xdr:row>16</xdr:row>
      <xdr:rowOff>66675</xdr:rowOff>
    </xdr:to>
    <xdr:sp macro="" textlink="">
      <xdr:nvSpPr>
        <xdr:cNvPr id="123470" name="Line 24">
          <a:extLst>
            <a:ext uri="{FF2B5EF4-FFF2-40B4-BE49-F238E27FC236}">
              <a16:creationId xmlns:a16="http://schemas.microsoft.com/office/drawing/2014/main" xmlns="" id="{00000000-0008-0000-2500-00004EE20100}"/>
            </a:ext>
          </a:extLst>
        </xdr:cNvPr>
        <xdr:cNvSpPr>
          <a:spLocks noChangeShapeType="1"/>
        </xdr:cNvSpPr>
      </xdr:nvSpPr>
      <xdr:spPr bwMode="auto">
        <a:xfrm>
          <a:off x="7429500" y="3314700"/>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28</xdr:row>
      <xdr:rowOff>19050</xdr:rowOff>
    </xdr:from>
    <xdr:to>
      <xdr:col>22</xdr:col>
      <xdr:colOff>219075</xdr:colOff>
      <xdr:row>28</xdr:row>
      <xdr:rowOff>19050</xdr:rowOff>
    </xdr:to>
    <xdr:sp macro="" textlink="">
      <xdr:nvSpPr>
        <xdr:cNvPr id="123471" name="Line 25">
          <a:extLst>
            <a:ext uri="{FF2B5EF4-FFF2-40B4-BE49-F238E27FC236}">
              <a16:creationId xmlns:a16="http://schemas.microsoft.com/office/drawing/2014/main" xmlns="" id="{00000000-0008-0000-2500-00004FE20100}"/>
            </a:ext>
          </a:extLst>
        </xdr:cNvPr>
        <xdr:cNvSpPr>
          <a:spLocks noChangeShapeType="1"/>
        </xdr:cNvSpPr>
      </xdr:nvSpPr>
      <xdr:spPr bwMode="auto">
        <a:xfrm>
          <a:off x="7419975" y="4781550"/>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28</xdr:row>
      <xdr:rowOff>19050</xdr:rowOff>
    </xdr:from>
    <xdr:to>
      <xdr:col>14</xdr:col>
      <xdr:colOff>0</xdr:colOff>
      <xdr:row>28</xdr:row>
      <xdr:rowOff>19050</xdr:rowOff>
    </xdr:to>
    <xdr:sp macro="" textlink="">
      <xdr:nvSpPr>
        <xdr:cNvPr id="123472" name="Line 26">
          <a:extLst>
            <a:ext uri="{FF2B5EF4-FFF2-40B4-BE49-F238E27FC236}">
              <a16:creationId xmlns:a16="http://schemas.microsoft.com/office/drawing/2014/main" xmlns="" id="{00000000-0008-0000-2500-000050E20100}"/>
            </a:ext>
          </a:extLst>
        </xdr:cNvPr>
        <xdr:cNvSpPr>
          <a:spLocks noChangeShapeType="1"/>
        </xdr:cNvSpPr>
      </xdr:nvSpPr>
      <xdr:spPr bwMode="auto">
        <a:xfrm flipH="1">
          <a:off x="3848100"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24</xdr:row>
      <xdr:rowOff>9525</xdr:rowOff>
    </xdr:from>
    <xdr:to>
      <xdr:col>19</xdr:col>
      <xdr:colOff>19050</xdr:colOff>
      <xdr:row>26</xdr:row>
      <xdr:rowOff>0</xdr:rowOff>
    </xdr:to>
    <xdr:sp macro="" textlink="">
      <xdr:nvSpPr>
        <xdr:cNvPr id="123473" name="Line 93">
          <a:extLst>
            <a:ext uri="{FF2B5EF4-FFF2-40B4-BE49-F238E27FC236}">
              <a16:creationId xmlns:a16="http://schemas.microsoft.com/office/drawing/2014/main" xmlns="" id="{00000000-0008-0000-2500-000051E20100}"/>
            </a:ext>
          </a:extLst>
        </xdr:cNvPr>
        <xdr:cNvSpPr>
          <a:spLocks noChangeShapeType="1"/>
        </xdr:cNvSpPr>
      </xdr:nvSpPr>
      <xdr:spPr bwMode="auto">
        <a:xfrm>
          <a:off x="6096000" y="4286250"/>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22</xdr:row>
      <xdr:rowOff>28575</xdr:rowOff>
    </xdr:from>
    <xdr:to>
      <xdr:col>23</xdr:col>
      <xdr:colOff>9525</xdr:colOff>
      <xdr:row>22</xdr:row>
      <xdr:rowOff>28575</xdr:rowOff>
    </xdr:to>
    <xdr:sp macro="" textlink="">
      <xdr:nvSpPr>
        <xdr:cNvPr id="123474" name="Line 94">
          <a:extLst>
            <a:ext uri="{FF2B5EF4-FFF2-40B4-BE49-F238E27FC236}">
              <a16:creationId xmlns:a16="http://schemas.microsoft.com/office/drawing/2014/main" xmlns="" id="{00000000-0008-0000-2500-000052E20100}"/>
            </a:ext>
          </a:extLst>
        </xdr:cNvPr>
        <xdr:cNvSpPr>
          <a:spLocks noChangeShapeType="1"/>
        </xdr:cNvSpPr>
      </xdr:nvSpPr>
      <xdr:spPr bwMode="auto">
        <a:xfrm>
          <a:off x="7429500" y="4048125"/>
          <a:ext cx="257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19</xdr:col>
      <xdr:colOff>66675</xdr:colOff>
      <xdr:row>49</xdr:row>
      <xdr:rowOff>28575</xdr:rowOff>
    </xdr:from>
    <xdr:to>
      <xdr:col>19</xdr:col>
      <xdr:colOff>161925</xdr:colOff>
      <xdr:row>50</xdr:row>
      <xdr:rowOff>12698</xdr:rowOff>
    </xdr:to>
    <xdr:pic>
      <xdr:nvPicPr>
        <xdr:cNvPr id="123475" name="Picture 1">
          <a:extLst>
            <a:ext uri="{FF2B5EF4-FFF2-40B4-BE49-F238E27FC236}">
              <a16:creationId xmlns:a16="http://schemas.microsoft.com/office/drawing/2014/main" xmlns="" id="{00000000-0008-0000-2500-000053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43625" y="78295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63</xdr:row>
      <xdr:rowOff>9525</xdr:rowOff>
    </xdr:from>
    <xdr:to>
      <xdr:col>19</xdr:col>
      <xdr:colOff>133350</xdr:colOff>
      <xdr:row>63</xdr:row>
      <xdr:rowOff>161925</xdr:rowOff>
    </xdr:to>
    <xdr:pic>
      <xdr:nvPicPr>
        <xdr:cNvPr id="123476" name="Picture 1">
          <a:extLst>
            <a:ext uri="{FF2B5EF4-FFF2-40B4-BE49-F238E27FC236}">
              <a16:creationId xmlns:a16="http://schemas.microsoft.com/office/drawing/2014/main" xmlns="" id="{00000000-0008-0000-2500-000054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09347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857250</xdr:colOff>
      <xdr:row>69</xdr:row>
      <xdr:rowOff>9525</xdr:rowOff>
    </xdr:from>
    <xdr:to>
      <xdr:col>21</xdr:col>
      <xdr:colOff>952500</xdr:colOff>
      <xdr:row>70</xdr:row>
      <xdr:rowOff>2196</xdr:rowOff>
    </xdr:to>
    <xdr:pic>
      <xdr:nvPicPr>
        <xdr:cNvPr id="123477" name="Picture 1">
          <a:extLst>
            <a:ext uri="{FF2B5EF4-FFF2-40B4-BE49-F238E27FC236}">
              <a16:creationId xmlns:a16="http://schemas.microsoft.com/office/drawing/2014/main" xmlns="" id="{00000000-0008-0000-2500-000055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15200" y="120396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84</xdr:row>
      <xdr:rowOff>19050</xdr:rowOff>
    </xdr:from>
    <xdr:to>
      <xdr:col>19</xdr:col>
      <xdr:colOff>133350</xdr:colOff>
      <xdr:row>84</xdr:row>
      <xdr:rowOff>171450</xdr:rowOff>
    </xdr:to>
    <xdr:pic>
      <xdr:nvPicPr>
        <xdr:cNvPr id="123478" name="Picture 1">
          <a:extLst>
            <a:ext uri="{FF2B5EF4-FFF2-40B4-BE49-F238E27FC236}">
              <a16:creationId xmlns:a16="http://schemas.microsoft.com/office/drawing/2014/main" xmlns="" id="{00000000-0008-0000-2500-000056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44018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62278</xdr:colOff>
      <xdr:row>97</xdr:row>
      <xdr:rowOff>6595</xdr:rowOff>
    </xdr:from>
    <xdr:to>
      <xdr:col>19</xdr:col>
      <xdr:colOff>157528</xdr:colOff>
      <xdr:row>98</xdr:row>
      <xdr:rowOff>9524</xdr:rowOff>
    </xdr:to>
    <xdr:pic>
      <xdr:nvPicPr>
        <xdr:cNvPr id="123479" name="Picture 1">
          <a:extLst>
            <a:ext uri="{FF2B5EF4-FFF2-40B4-BE49-F238E27FC236}">
              <a16:creationId xmlns:a16="http://schemas.microsoft.com/office/drawing/2014/main" xmlns="" id="{00000000-0008-0000-2500-000057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4316" y="17459326"/>
          <a:ext cx="95250" cy="1641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59836</xdr:colOff>
      <xdr:row>6</xdr:row>
      <xdr:rowOff>24179</xdr:rowOff>
    </xdr:from>
    <xdr:to>
      <xdr:col>19</xdr:col>
      <xdr:colOff>155086</xdr:colOff>
      <xdr:row>6</xdr:row>
      <xdr:rowOff>176579</xdr:rowOff>
    </xdr:to>
    <xdr:pic>
      <xdr:nvPicPr>
        <xdr:cNvPr id="123480" name="Picture 1">
          <a:extLst>
            <a:ext uri="{FF2B5EF4-FFF2-40B4-BE49-F238E27FC236}">
              <a16:creationId xmlns:a16="http://schemas.microsoft.com/office/drawing/2014/main" xmlns="" id="{00000000-0008-0000-2500-000058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1874" y="2639891"/>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281750</xdr:colOff>
      <xdr:row>3</xdr:row>
      <xdr:rowOff>59871</xdr:rowOff>
    </xdr:from>
    <xdr:to>
      <xdr:col>6</xdr:col>
      <xdr:colOff>337733</xdr:colOff>
      <xdr:row>3</xdr:row>
      <xdr:rowOff>157842</xdr:rowOff>
    </xdr:to>
    <xdr:pic>
      <xdr:nvPicPr>
        <xdr:cNvPr id="30" name="Picture 3">
          <a:extLst>
            <a:ext uri="{FF2B5EF4-FFF2-40B4-BE49-F238E27FC236}">
              <a16:creationId xmlns:a16="http://schemas.microsoft.com/office/drawing/2014/main" xmlns="" id="{00000000-0008-0000-25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3577" y="216269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64266</xdr:colOff>
      <xdr:row>4</xdr:row>
      <xdr:rowOff>41478</xdr:rowOff>
    </xdr:from>
    <xdr:to>
      <xdr:col>9</xdr:col>
      <xdr:colOff>120249</xdr:colOff>
      <xdr:row>4</xdr:row>
      <xdr:rowOff>139449</xdr:rowOff>
    </xdr:to>
    <xdr:pic>
      <xdr:nvPicPr>
        <xdr:cNvPr id="32" name="Picture 3">
          <a:extLst>
            <a:ext uri="{FF2B5EF4-FFF2-40B4-BE49-F238E27FC236}">
              <a16:creationId xmlns:a16="http://schemas.microsoft.com/office/drawing/2014/main" xmlns="" id="{00000000-0008-0000-25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99785" y="2312824"/>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130</xdr:row>
      <xdr:rowOff>76200</xdr:rowOff>
    </xdr:from>
    <xdr:to>
      <xdr:col>6</xdr:col>
      <xdr:colOff>0</xdr:colOff>
      <xdr:row>130</xdr:row>
      <xdr:rowOff>76200</xdr:rowOff>
    </xdr:to>
    <xdr:sp macro="" textlink="">
      <xdr:nvSpPr>
        <xdr:cNvPr id="33" name="Line 2">
          <a:extLst>
            <a:ext uri="{FF2B5EF4-FFF2-40B4-BE49-F238E27FC236}">
              <a16:creationId xmlns:a16="http://schemas.microsoft.com/office/drawing/2014/main" xmlns="" id="{00000000-0008-0000-2500-000021000000}"/>
            </a:ext>
          </a:extLst>
        </xdr:cNvPr>
        <xdr:cNvSpPr>
          <a:spLocks noChangeShapeType="1"/>
        </xdr:cNvSpPr>
      </xdr:nvSpPr>
      <xdr:spPr bwMode="auto">
        <a:xfrm flipH="1">
          <a:off x="1371600" y="3829050"/>
          <a:ext cx="342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xdr:colOff>
      <xdr:row>130</xdr:row>
      <xdr:rowOff>76200</xdr:rowOff>
    </xdr:from>
    <xdr:to>
      <xdr:col>5</xdr:col>
      <xdr:colOff>9525</xdr:colOff>
      <xdr:row>133</xdr:row>
      <xdr:rowOff>9525</xdr:rowOff>
    </xdr:to>
    <xdr:sp macro="" textlink="">
      <xdr:nvSpPr>
        <xdr:cNvPr id="34" name="Line 3">
          <a:extLst>
            <a:ext uri="{FF2B5EF4-FFF2-40B4-BE49-F238E27FC236}">
              <a16:creationId xmlns:a16="http://schemas.microsoft.com/office/drawing/2014/main" xmlns="" id="{00000000-0008-0000-2500-000022000000}"/>
            </a:ext>
          </a:extLst>
        </xdr:cNvPr>
        <xdr:cNvSpPr>
          <a:spLocks noChangeShapeType="1"/>
        </xdr:cNvSpPr>
      </xdr:nvSpPr>
      <xdr:spPr bwMode="auto">
        <a:xfrm>
          <a:off x="1371600" y="3829050"/>
          <a:ext cx="0" cy="504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137</xdr:row>
      <xdr:rowOff>0</xdr:rowOff>
    </xdr:from>
    <xdr:to>
      <xdr:col>5</xdr:col>
      <xdr:colOff>0</xdr:colOff>
      <xdr:row>139</xdr:row>
      <xdr:rowOff>0</xdr:rowOff>
    </xdr:to>
    <xdr:sp macro="" textlink="">
      <xdr:nvSpPr>
        <xdr:cNvPr id="35" name="Line 4">
          <a:extLst>
            <a:ext uri="{FF2B5EF4-FFF2-40B4-BE49-F238E27FC236}">
              <a16:creationId xmlns:a16="http://schemas.microsoft.com/office/drawing/2014/main" xmlns="" id="{00000000-0008-0000-2500-000023000000}"/>
            </a:ext>
          </a:extLst>
        </xdr:cNvPr>
        <xdr:cNvSpPr>
          <a:spLocks noChangeShapeType="1"/>
        </xdr:cNvSpPr>
      </xdr:nvSpPr>
      <xdr:spPr bwMode="auto">
        <a:xfrm>
          <a:off x="1362075" y="49339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143</xdr:row>
      <xdr:rowOff>0</xdr:rowOff>
    </xdr:from>
    <xdr:to>
      <xdr:col>5</xdr:col>
      <xdr:colOff>0</xdr:colOff>
      <xdr:row>145</xdr:row>
      <xdr:rowOff>0</xdr:rowOff>
    </xdr:to>
    <xdr:sp macro="" textlink="">
      <xdr:nvSpPr>
        <xdr:cNvPr id="36" name="Line 5">
          <a:extLst>
            <a:ext uri="{FF2B5EF4-FFF2-40B4-BE49-F238E27FC236}">
              <a16:creationId xmlns:a16="http://schemas.microsoft.com/office/drawing/2014/main" xmlns="" id="{00000000-0008-0000-2500-000024000000}"/>
            </a:ext>
          </a:extLst>
        </xdr:cNvPr>
        <xdr:cNvSpPr>
          <a:spLocks noChangeShapeType="1"/>
        </xdr:cNvSpPr>
      </xdr:nvSpPr>
      <xdr:spPr bwMode="auto">
        <a:xfrm>
          <a:off x="1362075" y="567690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149</xdr:row>
      <xdr:rowOff>0</xdr:rowOff>
    </xdr:from>
    <xdr:to>
      <xdr:col>5</xdr:col>
      <xdr:colOff>0</xdr:colOff>
      <xdr:row>151</xdr:row>
      <xdr:rowOff>0</xdr:rowOff>
    </xdr:to>
    <xdr:sp macro="" textlink="">
      <xdr:nvSpPr>
        <xdr:cNvPr id="37" name="Line 6">
          <a:extLst>
            <a:ext uri="{FF2B5EF4-FFF2-40B4-BE49-F238E27FC236}">
              <a16:creationId xmlns:a16="http://schemas.microsoft.com/office/drawing/2014/main" xmlns="" id="{00000000-0008-0000-2500-000025000000}"/>
            </a:ext>
          </a:extLst>
        </xdr:cNvPr>
        <xdr:cNvSpPr>
          <a:spLocks noChangeShapeType="1"/>
        </xdr:cNvSpPr>
      </xdr:nvSpPr>
      <xdr:spPr bwMode="auto">
        <a:xfrm>
          <a:off x="1362075" y="64103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0</xdr:colOff>
      <xdr:row>130</xdr:row>
      <xdr:rowOff>85725</xdr:rowOff>
    </xdr:from>
    <xdr:to>
      <xdr:col>19</xdr:col>
      <xdr:colOff>0</xdr:colOff>
      <xdr:row>130</xdr:row>
      <xdr:rowOff>85725</xdr:rowOff>
    </xdr:to>
    <xdr:sp macro="" textlink="">
      <xdr:nvSpPr>
        <xdr:cNvPr id="38" name="Line 7">
          <a:extLst>
            <a:ext uri="{FF2B5EF4-FFF2-40B4-BE49-F238E27FC236}">
              <a16:creationId xmlns:a16="http://schemas.microsoft.com/office/drawing/2014/main" xmlns="" id="{00000000-0008-0000-2500-000026000000}"/>
            </a:ext>
          </a:extLst>
        </xdr:cNvPr>
        <xdr:cNvSpPr>
          <a:spLocks noChangeShapeType="1"/>
        </xdr:cNvSpPr>
      </xdr:nvSpPr>
      <xdr:spPr bwMode="auto">
        <a:xfrm>
          <a:off x="5457825" y="383857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130</xdr:row>
      <xdr:rowOff>85725</xdr:rowOff>
    </xdr:from>
    <xdr:to>
      <xdr:col>19</xdr:col>
      <xdr:colOff>0</xdr:colOff>
      <xdr:row>133</xdr:row>
      <xdr:rowOff>0</xdr:rowOff>
    </xdr:to>
    <xdr:sp macro="" textlink="">
      <xdr:nvSpPr>
        <xdr:cNvPr id="39" name="Line 8">
          <a:extLst>
            <a:ext uri="{FF2B5EF4-FFF2-40B4-BE49-F238E27FC236}">
              <a16:creationId xmlns:a16="http://schemas.microsoft.com/office/drawing/2014/main" xmlns="" id="{00000000-0008-0000-2500-000027000000}"/>
            </a:ext>
          </a:extLst>
        </xdr:cNvPr>
        <xdr:cNvSpPr>
          <a:spLocks noChangeShapeType="1"/>
        </xdr:cNvSpPr>
      </xdr:nvSpPr>
      <xdr:spPr bwMode="auto">
        <a:xfrm>
          <a:off x="6038850" y="3838575"/>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137</xdr:row>
      <xdr:rowOff>0</xdr:rowOff>
    </xdr:from>
    <xdr:to>
      <xdr:col>19</xdr:col>
      <xdr:colOff>19050</xdr:colOff>
      <xdr:row>138</xdr:row>
      <xdr:rowOff>152400</xdr:rowOff>
    </xdr:to>
    <xdr:sp macro="" textlink="">
      <xdr:nvSpPr>
        <xdr:cNvPr id="40" name="Line 9">
          <a:extLst>
            <a:ext uri="{FF2B5EF4-FFF2-40B4-BE49-F238E27FC236}">
              <a16:creationId xmlns:a16="http://schemas.microsoft.com/office/drawing/2014/main" xmlns="" id="{00000000-0008-0000-2500-000028000000}"/>
            </a:ext>
          </a:extLst>
        </xdr:cNvPr>
        <xdr:cNvSpPr>
          <a:spLocks noChangeShapeType="1"/>
        </xdr:cNvSpPr>
      </xdr:nvSpPr>
      <xdr:spPr bwMode="auto">
        <a:xfrm>
          <a:off x="6057900" y="4933950"/>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131</xdr:row>
      <xdr:rowOff>114300</xdr:rowOff>
    </xdr:from>
    <xdr:to>
      <xdr:col>12</xdr:col>
      <xdr:colOff>200025</xdr:colOff>
      <xdr:row>147</xdr:row>
      <xdr:rowOff>9525</xdr:rowOff>
    </xdr:to>
    <xdr:sp macro="" textlink="">
      <xdr:nvSpPr>
        <xdr:cNvPr id="41" name="Line 11">
          <a:extLst>
            <a:ext uri="{FF2B5EF4-FFF2-40B4-BE49-F238E27FC236}">
              <a16:creationId xmlns:a16="http://schemas.microsoft.com/office/drawing/2014/main" xmlns="" id="{00000000-0008-0000-2500-000029000000}"/>
            </a:ext>
          </a:extLst>
        </xdr:cNvPr>
        <xdr:cNvSpPr>
          <a:spLocks noChangeShapeType="1"/>
        </xdr:cNvSpPr>
      </xdr:nvSpPr>
      <xdr:spPr bwMode="auto">
        <a:xfrm flipH="1" flipV="1">
          <a:off x="3844373" y="23156517"/>
          <a:ext cx="0" cy="209011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131</xdr:row>
      <xdr:rowOff>123825</xdr:rowOff>
    </xdr:from>
    <xdr:to>
      <xdr:col>12</xdr:col>
      <xdr:colOff>200025</xdr:colOff>
      <xdr:row>131</xdr:row>
      <xdr:rowOff>123825</xdr:rowOff>
    </xdr:to>
    <xdr:sp macro="" textlink="">
      <xdr:nvSpPr>
        <xdr:cNvPr id="42" name="Line 12">
          <a:extLst>
            <a:ext uri="{FF2B5EF4-FFF2-40B4-BE49-F238E27FC236}">
              <a16:creationId xmlns:a16="http://schemas.microsoft.com/office/drawing/2014/main" xmlns="" id="{00000000-0008-0000-2500-00002A000000}"/>
            </a:ext>
          </a:extLst>
        </xdr:cNvPr>
        <xdr:cNvSpPr>
          <a:spLocks noChangeShapeType="1"/>
        </xdr:cNvSpPr>
      </xdr:nvSpPr>
      <xdr:spPr bwMode="auto">
        <a:xfrm flipH="1">
          <a:off x="2828925" y="4114800"/>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131</xdr:row>
      <xdr:rowOff>123825</xdr:rowOff>
    </xdr:from>
    <xdr:to>
      <xdr:col>8</xdr:col>
      <xdr:colOff>400050</xdr:colOff>
      <xdr:row>132</xdr:row>
      <xdr:rowOff>161925</xdr:rowOff>
    </xdr:to>
    <xdr:sp macro="" textlink="">
      <xdr:nvSpPr>
        <xdr:cNvPr id="43" name="Line 13">
          <a:extLst>
            <a:ext uri="{FF2B5EF4-FFF2-40B4-BE49-F238E27FC236}">
              <a16:creationId xmlns:a16="http://schemas.microsoft.com/office/drawing/2014/main" xmlns="" id="{00000000-0008-0000-2500-00002B000000}"/>
            </a:ext>
          </a:extLst>
        </xdr:cNvPr>
        <xdr:cNvSpPr>
          <a:spLocks noChangeShapeType="1"/>
        </xdr:cNvSpPr>
      </xdr:nvSpPr>
      <xdr:spPr bwMode="auto">
        <a:xfrm flipH="1">
          <a:off x="2828925" y="4114800"/>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135</xdr:row>
      <xdr:rowOff>19050</xdr:rowOff>
    </xdr:from>
    <xdr:to>
      <xdr:col>12</xdr:col>
      <xdr:colOff>0</xdr:colOff>
      <xdr:row>152</xdr:row>
      <xdr:rowOff>95250</xdr:rowOff>
    </xdr:to>
    <xdr:sp macro="" textlink="">
      <xdr:nvSpPr>
        <xdr:cNvPr id="44" name="Line 17">
          <a:extLst>
            <a:ext uri="{FF2B5EF4-FFF2-40B4-BE49-F238E27FC236}">
              <a16:creationId xmlns:a16="http://schemas.microsoft.com/office/drawing/2014/main" xmlns="" id="{00000000-0008-0000-2500-00002C000000}"/>
            </a:ext>
          </a:extLst>
        </xdr:cNvPr>
        <xdr:cNvSpPr>
          <a:spLocks noChangeShapeType="1"/>
        </xdr:cNvSpPr>
      </xdr:nvSpPr>
      <xdr:spPr bwMode="auto">
        <a:xfrm>
          <a:off x="3648075" y="4667250"/>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152</xdr:row>
      <xdr:rowOff>85725</xdr:rowOff>
    </xdr:from>
    <xdr:to>
      <xdr:col>14</xdr:col>
      <xdr:colOff>0</xdr:colOff>
      <xdr:row>152</xdr:row>
      <xdr:rowOff>85725</xdr:rowOff>
    </xdr:to>
    <xdr:sp macro="" textlink="">
      <xdr:nvSpPr>
        <xdr:cNvPr id="45" name="Line 18">
          <a:extLst>
            <a:ext uri="{FF2B5EF4-FFF2-40B4-BE49-F238E27FC236}">
              <a16:creationId xmlns:a16="http://schemas.microsoft.com/office/drawing/2014/main" xmlns="" id="{00000000-0008-0000-2500-00002D000000}"/>
            </a:ext>
          </a:extLst>
        </xdr:cNvPr>
        <xdr:cNvSpPr>
          <a:spLocks noChangeShapeType="1"/>
        </xdr:cNvSpPr>
      </xdr:nvSpPr>
      <xdr:spPr bwMode="auto">
        <a:xfrm>
          <a:off x="3648075" y="6819900"/>
          <a:ext cx="523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135</xdr:row>
      <xdr:rowOff>28575</xdr:rowOff>
    </xdr:from>
    <xdr:to>
      <xdr:col>12</xdr:col>
      <xdr:colOff>0</xdr:colOff>
      <xdr:row>135</xdr:row>
      <xdr:rowOff>28575</xdr:rowOff>
    </xdr:to>
    <xdr:sp macro="" textlink="">
      <xdr:nvSpPr>
        <xdr:cNvPr id="46" name="Line 20">
          <a:extLst>
            <a:ext uri="{FF2B5EF4-FFF2-40B4-BE49-F238E27FC236}">
              <a16:creationId xmlns:a16="http://schemas.microsoft.com/office/drawing/2014/main" xmlns="" id="{00000000-0008-0000-2500-00002E000000}"/>
            </a:ext>
          </a:extLst>
        </xdr:cNvPr>
        <xdr:cNvSpPr>
          <a:spLocks noChangeShapeType="1"/>
        </xdr:cNvSpPr>
      </xdr:nvSpPr>
      <xdr:spPr bwMode="auto">
        <a:xfrm>
          <a:off x="3324225" y="467677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141</xdr:row>
      <xdr:rowOff>19050</xdr:rowOff>
    </xdr:from>
    <xdr:to>
      <xdr:col>12</xdr:col>
      <xdr:colOff>0</xdr:colOff>
      <xdr:row>141</xdr:row>
      <xdr:rowOff>19050</xdr:rowOff>
    </xdr:to>
    <xdr:sp macro="" textlink="">
      <xdr:nvSpPr>
        <xdr:cNvPr id="47" name="Line 21">
          <a:extLst>
            <a:ext uri="{FF2B5EF4-FFF2-40B4-BE49-F238E27FC236}">
              <a16:creationId xmlns:a16="http://schemas.microsoft.com/office/drawing/2014/main" xmlns="" id="{00000000-0008-0000-2500-00002F000000}"/>
            </a:ext>
          </a:extLst>
        </xdr:cNvPr>
        <xdr:cNvSpPr>
          <a:spLocks noChangeShapeType="1"/>
        </xdr:cNvSpPr>
      </xdr:nvSpPr>
      <xdr:spPr bwMode="auto">
        <a:xfrm>
          <a:off x="3324225" y="543877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147</xdr:row>
      <xdr:rowOff>19050</xdr:rowOff>
    </xdr:from>
    <xdr:to>
      <xdr:col>12</xdr:col>
      <xdr:colOff>0</xdr:colOff>
      <xdr:row>147</xdr:row>
      <xdr:rowOff>19050</xdr:rowOff>
    </xdr:to>
    <xdr:sp macro="" textlink="">
      <xdr:nvSpPr>
        <xdr:cNvPr id="48" name="Line 22">
          <a:extLst>
            <a:ext uri="{FF2B5EF4-FFF2-40B4-BE49-F238E27FC236}">
              <a16:creationId xmlns:a16="http://schemas.microsoft.com/office/drawing/2014/main" xmlns="" id="{00000000-0008-0000-2500-000030000000}"/>
            </a:ext>
          </a:extLst>
        </xdr:cNvPr>
        <xdr:cNvSpPr>
          <a:spLocks noChangeShapeType="1"/>
        </xdr:cNvSpPr>
      </xdr:nvSpPr>
      <xdr:spPr bwMode="auto">
        <a:xfrm>
          <a:off x="3324225" y="618172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295275</xdr:colOff>
      <xdr:row>135</xdr:row>
      <xdr:rowOff>76200</xdr:rowOff>
    </xdr:from>
    <xdr:to>
      <xdr:col>22</xdr:col>
      <xdr:colOff>295275</xdr:colOff>
      <xdr:row>151</xdr:row>
      <xdr:rowOff>0</xdr:rowOff>
    </xdr:to>
    <xdr:sp macro="" textlink="">
      <xdr:nvSpPr>
        <xdr:cNvPr id="49" name="Line 23">
          <a:extLst>
            <a:ext uri="{FF2B5EF4-FFF2-40B4-BE49-F238E27FC236}">
              <a16:creationId xmlns:a16="http://schemas.microsoft.com/office/drawing/2014/main" xmlns="" id="{00000000-0008-0000-2500-000031000000}"/>
            </a:ext>
          </a:extLst>
        </xdr:cNvPr>
        <xdr:cNvSpPr>
          <a:spLocks noChangeShapeType="1"/>
        </xdr:cNvSpPr>
      </xdr:nvSpPr>
      <xdr:spPr bwMode="auto">
        <a:xfrm>
          <a:off x="7639050" y="4724400"/>
          <a:ext cx="0" cy="1933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135</xdr:row>
      <xdr:rowOff>66675</xdr:rowOff>
    </xdr:from>
    <xdr:to>
      <xdr:col>23</xdr:col>
      <xdr:colOff>0</xdr:colOff>
      <xdr:row>135</xdr:row>
      <xdr:rowOff>66675</xdr:rowOff>
    </xdr:to>
    <xdr:sp macro="" textlink="">
      <xdr:nvSpPr>
        <xdr:cNvPr id="50" name="Line 24">
          <a:extLst>
            <a:ext uri="{FF2B5EF4-FFF2-40B4-BE49-F238E27FC236}">
              <a16:creationId xmlns:a16="http://schemas.microsoft.com/office/drawing/2014/main" xmlns="" id="{00000000-0008-0000-2500-000032000000}"/>
            </a:ext>
          </a:extLst>
        </xdr:cNvPr>
        <xdr:cNvSpPr>
          <a:spLocks noChangeShapeType="1"/>
        </xdr:cNvSpPr>
      </xdr:nvSpPr>
      <xdr:spPr bwMode="auto">
        <a:xfrm>
          <a:off x="7391400" y="4714875"/>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147</xdr:row>
      <xdr:rowOff>19050</xdr:rowOff>
    </xdr:from>
    <xdr:to>
      <xdr:col>22</xdr:col>
      <xdr:colOff>219075</xdr:colOff>
      <xdr:row>147</xdr:row>
      <xdr:rowOff>19050</xdr:rowOff>
    </xdr:to>
    <xdr:sp macro="" textlink="">
      <xdr:nvSpPr>
        <xdr:cNvPr id="51" name="Line 25">
          <a:extLst>
            <a:ext uri="{FF2B5EF4-FFF2-40B4-BE49-F238E27FC236}">
              <a16:creationId xmlns:a16="http://schemas.microsoft.com/office/drawing/2014/main" xmlns="" id="{00000000-0008-0000-2500-000033000000}"/>
            </a:ext>
          </a:extLst>
        </xdr:cNvPr>
        <xdr:cNvSpPr>
          <a:spLocks noChangeShapeType="1"/>
        </xdr:cNvSpPr>
      </xdr:nvSpPr>
      <xdr:spPr bwMode="auto">
        <a:xfrm>
          <a:off x="7381875" y="6181725"/>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147</xdr:row>
      <xdr:rowOff>19050</xdr:rowOff>
    </xdr:from>
    <xdr:to>
      <xdr:col>14</xdr:col>
      <xdr:colOff>0</xdr:colOff>
      <xdr:row>147</xdr:row>
      <xdr:rowOff>19050</xdr:rowOff>
    </xdr:to>
    <xdr:sp macro="" textlink="">
      <xdr:nvSpPr>
        <xdr:cNvPr id="52" name="Line 26">
          <a:extLst>
            <a:ext uri="{FF2B5EF4-FFF2-40B4-BE49-F238E27FC236}">
              <a16:creationId xmlns:a16="http://schemas.microsoft.com/office/drawing/2014/main" xmlns="" id="{00000000-0008-0000-2500-000034000000}"/>
            </a:ext>
          </a:extLst>
        </xdr:cNvPr>
        <xdr:cNvSpPr>
          <a:spLocks noChangeShapeType="1"/>
        </xdr:cNvSpPr>
      </xdr:nvSpPr>
      <xdr:spPr bwMode="auto">
        <a:xfrm flipH="1">
          <a:off x="3848100" y="618172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143</xdr:row>
      <xdr:rowOff>9525</xdr:rowOff>
    </xdr:from>
    <xdr:to>
      <xdr:col>19</xdr:col>
      <xdr:colOff>19050</xdr:colOff>
      <xdr:row>145</xdr:row>
      <xdr:rowOff>0</xdr:rowOff>
    </xdr:to>
    <xdr:sp macro="" textlink="">
      <xdr:nvSpPr>
        <xdr:cNvPr id="53" name="Line 93">
          <a:extLst>
            <a:ext uri="{FF2B5EF4-FFF2-40B4-BE49-F238E27FC236}">
              <a16:creationId xmlns:a16="http://schemas.microsoft.com/office/drawing/2014/main" xmlns="" id="{00000000-0008-0000-2500-000035000000}"/>
            </a:ext>
          </a:extLst>
        </xdr:cNvPr>
        <xdr:cNvSpPr>
          <a:spLocks noChangeShapeType="1"/>
        </xdr:cNvSpPr>
      </xdr:nvSpPr>
      <xdr:spPr bwMode="auto">
        <a:xfrm>
          <a:off x="6057900" y="568642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141</xdr:row>
      <xdr:rowOff>28575</xdr:rowOff>
    </xdr:from>
    <xdr:to>
      <xdr:col>23</xdr:col>
      <xdr:colOff>9525</xdr:colOff>
      <xdr:row>141</xdr:row>
      <xdr:rowOff>28575</xdr:rowOff>
    </xdr:to>
    <xdr:sp macro="" textlink="">
      <xdr:nvSpPr>
        <xdr:cNvPr id="54" name="Line 94">
          <a:extLst>
            <a:ext uri="{FF2B5EF4-FFF2-40B4-BE49-F238E27FC236}">
              <a16:creationId xmlns:a16="http://schemas.microsoft.com/office/drawing/2014/main" xmlns="" id="{00000000-0008-0000-2500-000036000000}"/>
            </a:ext>
          </a:extLst>
        </xdr:cNvPr>
        <xdr:cNvSpPr>
          <a:spLocks noChangeShapeType="1"/>
        </xdr:cNvSpPr>
      </xdr:nvSpPr>
      <xdr:spPr bwMode="auto">
        <a:xfrm>
          <a:off x="7391400" y="5448300"/>
          <a:ext cx="257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19</xdr:col>
      <xdr:colOff>66675</xdr:colOff>
      <xdr:row>168</xdr:row>
      <xdr:rowOff>28575</xdr:rowOff>
    </xdr:from>
    <xdr:ext cx="95250" cy="155575"/>
    <xdr:pic>
      <xdr:nvPicPr>
        <xdr:cNvPr id="55" name="Picture 1">
          <a:extLst>
            <a:ext uri="{FF2B5EF4-FFF2-40B4-BE49-F238E27FC236}">
              <a16:creationId xmlns:a16="http://schemas.microsoft.com/office/drawing/2014/main" xmlns="" id="{00000000-0008-0000-2500-00003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05525" y="9239250"/>
          <a:ext cx="95250" cy="15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38100</xdr:colOff>
      <xdr:row>182</xdr:row>
      <xdr:rowOff>9525</xdr:rowOff>
    </xdr:from>
    <xdr:ext cx="95250" cy="152400"/>
    <xdr:pic>
      <xdr:nvPicPr>
        <xdr:cNvPr id="56" name="Picture 1">
          <a:extLst>
            <a:ext uri="{FF2B5EF4-FFF2-40B4-BE49-F238E27FC236}">
              <a16:creationId xmlns:a16="http://schemas.microsoft.com/office/drawing/2014/main" xmlns="" id="{00000000-0008-0000-2500-00003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76950" y="1164907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857250</xdr:colOff>
      <xdr:row>188</xdr:row>
      <xdr:rowOff>9525</xdr:rowOff>
    </xdr:from>
    <xdr:ext cx="95250" cy="152399"/>
    <xdr:pic>
      <xdr:nvPicPr>
        <xdr:cNvPr id="57" name="Picture 1">
          <a:extLst>
            <a:ext uri="{FF2B5EF4-FFF2-40B4-BE49-F238E27FC236}">
              <a16:creationId xmlns:a16="http://schemas.microsoft.com/office/drawing/2014/main" xmlns="" id="{00000000-0008-0000-2500-00003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77100" y="12734925"/>
          <a:ext cx="95250" cy="1523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38100</xdr:colOff>
      <xdr:row>203</xdr:row>
      <xdr:rowOff>19050</xdr:rowOff>
    </xdr:from>
    <xdr:ext cx="95250" cy="152400"/>
    <xdr:pic>
      <xdr:nvPicPr>
        <xdr:cNvPr id="58" name="Picture 1">
          <a:extLst>
            <a:ext uri="{FF2B5EF4-FFF2-40B4-BE49-F238E27FC236}">
              <a16:creationId xmlns:a16="http://schemas.microsoft.com/office/drawing/2014/main" xmlns="" id="{00000000-0008-0000-2500-00003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76950" y="153162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62278</xdr:colOff>
      <xdr:row>216</xdr:row>
      <xdr:rowOff>6595</xdr:rowOff>
    </xdr:from>
    <xdr:ext cx="95250" cy="164856"/>
    <xdr:pic>
      <xdr:nvPicPr>
        <xdr:cNvPr id="59" name="Picture 1">
          <a:extLst>
            <a:ext uri="{FF2B5EF4-FFF2-40B4-BE49-F238E27FC236}">
              <a16:creationId xmlns:a16="http://schemas.microsoft.com/office/drawing/2014/main" xmlns="" id="{00000000-0008-0000-2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01128" y="17513545"/>
          <a:ext cx="95250" cy="16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59836</xdr:colOff>
      <xdr:row>125</xdr:row>
      <xdr:rowOff>24179</xdr:rowOff>
    </xdr:from>
    <xdr:ext cx="95250" cy="152400"/>
    <xdr:pic>
      <xdr:nvPicPr>
        <xdr:cNvPr id="60" name="Picture 1">
          <a:extLst>
            <a:ext uri="{FF2B5EF4-FFF2-40B4-BE49-F238E27FC236}">
              <a16:creationId xmlns:a16="http://schemas.microsoft.com/office/drawing/2014/main" xmlns="" id="{00000000-0008-0000-2500-00003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8686" y="2653079"/>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281750</xdr:colOff>
      <xdr:row>122</xdr:row>
      <xdr:rowOff>59871</xdr:rowOff>
    </xdr:from>
    <xdr:ext cx="55983" cy="97971"/>
    <xdr:pic>
      <xdr:nvPicPr>
        <xdr:cNvPr id="61" name="Picture 3">
          <a:extLst>
            <a:ext uri="{FF2B5EF4-FFF2-40B4-BE49-F238E27FC236}">
              <a16:creationId xmlns:a16="http://schemas.microsoft.com/office/drawing/2014/main" xmlns="" id="{00000000-0008-0000-2500-00003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6250" y="2202996"/>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64266</xdr:colOff>
      <xdr:row>123</xdr:row>
      <xdr:rowOff>41478</xdr:rowOff>
    </xdr:from>
    <xdr:ext cx="55983" cy="97971"/>
    <xdr:pic>
      <xdr:nvPicPr>
        <xdr:cNvPr id="62" name="Picture 3">
          <a:extLst>
            <a:ext uri="{FF2B5EF4-FFF2-40B4-BE49-F238E27FC236}">
              <a16:creationId xmlns:a16="http://schemas.microsoft.com/office/drawing/2014/main" xmlns="" id="{00000000-0008-0000-2500-00003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93191" y="2356053"/>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1.xml><?xml version="1.0" encoding="utf-8"?>
<xdr:wsDr xmlns:xdr="http://schemas.openxmlformats.org/drawingml/2006/spreadsheetDrawing" xmlns:a="http://schemas.openxmlformats.org/drawingml/2006/main">
  <xdr:twoCellAnchor>
    <xdr:from>
      <xdr:col>11</xdr:col>
      <xdr:colOff>5861</xdr:colOff>
      <xdr:row>12</xdr:row>
      <xdr:rowOff>19050</xdr:rowOff>
    </xdr:from>
    <xdr:to>
      <xdr:col>11</xdr:col>
      <xdr:colOff>63011</xdr:colOff>
      <xdr:row>12</xdr:row>
      <xdr:rowOff>125016</xdr:rowOff>
    </xdr:to>
    <xdr:sp macro="" textlink="">
      <xdr:nvSpPr>
        <xdr:cNvPr id="2" name="AutoShape 85">
          <a:extLst>
            <a:ext uri="{FF2B5EF4-FFF2-40B4-BE49-F238E27FC236}">
              <a16:creationId xmlns:a16="http://schemas.microsoft.com/office/drawing/2014/main" xmlns="" id="{00000000-0008-0000-2600-000002000000}"/>
            </a:ext>
          </a:extLst>
        </xdr:cNvPr>
        <xdr:cNvSpPr>
          <a:spLocks noChangeArrowheads="1"/>
        </xdr:cNvSpPr>
      </xdr:nvSpPr>
      <xdr:spPr bwMode="auto">
        <a:xfrm rot="5400000">
          <a:off x="2562728" y="8435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30</xdr:row>
      <xdr:rowOff>65317</xdr:rowOff>
    </xdr:from>
    <xdr:to>
      <xdr:col>14</xdr:col>
      <xdr:colOff>57152</xdr:colOff>
      <xdr:row>30</xdr:row>
      <xdr:rowOff>130631</xdr:rowOff>
    </xdr:to>
    <xdr:sp macro="" textlink="">
      <xdr:nvSpPr>
        <xdr:cNvPr id="17" name="AutoShape 85">
          <a:extLst>
            <a:ext uri="{FF2B5EF4-FFF2-40B4-BE49-F238E27FC236}">
              <a16:creationId xmlns:a16="http://schemas.microsoft.com/office/drawing/2014/main" xmlns="" id="{00000000-0008-0000-2600-000011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24</xdr:row>
      <xdr:rowOff>76200</xdr:rowOff>
    </xdr:from>
    <xdr:to>
      <xdr:col>10</xdr:col>
      <xdr:colOff>161925</xdr:colOff>
      <xdr:row>24</xdr:row>
      <xdr:rowOff>182166</xdr:rowOff>
    </xdr:to>
    <xdr:sp macro="" textlink="">
      <xdr:nvSpPr>
        <xdr:cNvPr id="18" name="AutoShape 85">
          <a:extLst>
            <a:ext uri="{FF2B5EF4-FFF2-40B4-BE49-F238E27FC236}">
              <a16:creationId xmlns:a16="http://schemas.microsoft.com/office/drawing/2014/main" xmlns="" id="{00000000-0008-0000-2600-000012000000}"/>
            </a:ext>
          </a:extLst>
        </xdr:cNvPr>
        <xdr:cNvSpPr>
          <a:spLocks noChangeArrowheads="1"/>
        </xdr:cNvSpPr>
      </xdr:nvSpPr>
      <xdr:spPr bwMode="auto">
        <a:xfrm rot="5400000">
          <a:off x="2423517" y="2586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12</xdr:row>
      <xdr:rowOff>140677</xdr:rowOff>
    </xdr:from>
    <xdr:to>
      <xdr:col>8</xdr:col>
      <xdr:colOff>55684</xdr:colOff>
      <xdr:row>13</xdr:row>
      <xdr:rowOff>103768</xdr:rowOff>
    </xdr:to>
    <xdr:sp macro="" textlink="">
      <xdr:nvSpPr>
        <xdr:cNvPr id="22" name="AutoShape 85">
          <a:extLst>
            <a:ext uri="{FF2B5EF4-FFF2-40B4-BE49-F238E27FC236}">
              <a16:creationId xmlns:a16="http://schemas.microsoft.com/office/drawing/2014/main" xmlns="" id="{00000000-0008-0000-2600-000016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5861</xdr:colOff>
      <xdr:row>138</xdr:row>
      <xdr:rowOff>19050</xdr:rowOff>
    </xdr:from>
    <xdr:to>
      <xdr:col>11</xdr:col>
      <xdr:colOff>63011</xdr:colOff>
      <xdr:row>138</xdr:row>
      <xdr:rowOff>125016</xdr:rowOff>
    </xdr:to>
    <xdr:sp macro="" textlink="">
      <xdr:nvSpPr>
        <xdr:cNvPr id="9" name="AutoShape 85">
          <a:extLst>
            <a:ext uri="{FF2B5EF4-FFF2-40B4-BE49-F238E27FC236}">
              <a16:creationId xmlns:a16="http://schemas.microsoft.com/office/drawing/2014/main" xmlns="" id="{00000000-0008-0000-2600-000009000000}"/>
            </a:ext>
          </a:extLst>
        </xdr:cNvPr>
        <xdr:cNvSpPr>
          <a:spLocks noChangeArrowheads="1"/>
        </xdr:cNvSpPr>
      </xdr:nvSpPr>
      <xdr:spPr bwMode="auto">
        <a:xfrm rot="5400000">
          <a:off x="2562728" y="8435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150</xdr:row>
      <xdr:rowOff>76200</xdr:rowOff>
    </xdr:from>
    <xdr:to>
      <xdr:col>10</xdr:col>
      <xdr:colOff>161925</xdr:colOff>
      <xdr:row>150</xdr:row>
      <xdr:rowOff>182166</xdr:rowOff>
    </xdr:to>
    <xdr:sp macro="" textlink="">
      <xdr:nvSpPr>
        <xdr:cNvPr id="11" name="AutoShape 85">
          <a:extLst>
            <a:ext uri="{FF2B5EF4-FFF2-40B4-BE49-F238E27FC236}">
              <a16:creationId xmlns:a16="http://schemas.microsoft.com/office/drawing/2014/main" xmlns="" id="{00000000-0008-0000-2600-00000B000000}"/>
            </a:ext>
          </a:extLst>
        </xdr:cNvPr>
        <xdr:cNvSpPr>
          <a:spLocks noChangeArrowheads="1"/>
        </xdr:cNvSpPr>
      </xdr:nvSpPr>
      <xdr:spPr bwMode="auto">
        <a:xfrm rot="5400000">
          <a:off x="2356842" y="25294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138</xdr:row>
      <xdr:rowOff>140677</xdr:rowOff>
    </xdr:from>
    <xdr:to>
      <xdr:col>8</xdr:col>
      <xdr:colOff>55684</xdr:colOff>
      <xdr:row>139</xdr:row>
      <xdr:rowOff>103768</xdr:rowOff>
    </xdr:to>
    <xdr:sp macro="" textlink="">
      <xdr:nvSpPr>
        <xdr:cNvPr id="14" name="AutoShape 85">
          <a:extLst>
            <a:ext uri="{FF2B5EF4-FFF2-40B4-BE49-F238E27FC236}">
              <a16:creationId xmlns:a16="http://schemas.microsoft.com/office/drawing/2014/main" xmlns="" id="{00000000-0008-0000-2600-00000E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5861</xdr:colOff>
      <xdr:row>264</xdr:row>
      <xdr:rowOff>19050</xdr:rowOff>
    </xdr:from>
    <xdr:to>
      <xdr:col>11</xdr:col>
      <xdr:colOff>63011</xdr:colOff>
      <xdr:row>264</xdr:row>
      <xdr:rowOff>125016</xdr:rowOff>
    </xdr:to>
    <xdr:sp macro="" textlink="">
      <xdr:nvSpPr>
        <xdr:cNvPr id="16" name="AutoShape 85">
          <a:extLst>
            <a:ext uri="{FF2B5EF4-FFF2-40B4-BE49-F238E27FC236}">
              <a16:creationId xmlns:a16="http://schemas.microsoft.com/office/drawing/2014/main" xmlns="" id="{00000000-0008-0000-2600-000010000000}"/>
            </a:ext>
          </a:extLst>
        </xdr:cNvPr>
        <xdr:cNvSpPr>
          <a:spLocks noChangeArrowheads="1"/>
        </xdr:cNvSpPr>
      </xdr:nvSpPr>
      <xdr:spPr bwMode="auto">
        <a:xfrm rot="5400000">
          <a:off x="2562728" y="213794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276</xdr:row>
      <xdr:rowOff>76200</xdr:rowOff>
    </xdr:from>
    <xdr:to>
      <xdr:col>10</xdr:col>
      <xdr:colOff>161925</xdr:colOff>
      <xdr:row>276</xdr:row>
      <xdr:rowOff>182166</xdr:rowOff>
    </xdr:to>
    <xdr:sp macro="" textlink="">
      <xdr:nvSpPr>
        <xdr:cNvPr id="23" name="AutoShape 85">
          <a:extLst>
            <a:ext uri="{FF2B5EF4-FFF2-40B4-BE49-F238E27FC236}">
              <a16:creationId xmlns:a16="http://schemas.microsoft.com/office/drawing/2014/main" xmlns="" id="{00000000-0008-0000-2600-000017000000}"/>
            </a:ext>
          </a:extLst>
        </xdr:cNvPr>
        <xdr:cNvSpPr>
          <a:spLocks noChangeArrowheads="1"/>
        </xdr:cNvSpPr>
      </xdr:nvSpPr>
      <xdr:spPr bwMode="auto">
        <a:xfrm rot="5400000">
          <a:off x="2356842" y="23065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264</xdr:row>
      <xdr:rowOff>140677</xdr:rowOff>
    </xdr:from>
    <xdr:to>
      <xdr:col>8</xdr:col>
      <xdr:colOff>55684</xdr:colOff>
      <xdr:row>265</xdr:row>
      <xdr:rowOff>103768</xdr:rowOff>
    </xdr:to>
    <xdr:sp macro="" textlink="">
      <xdr:nvSpPr>
        <xdr:cNvPr id="27" name="AutoShape 85">
          <a:extLst>
            <a:ext uri="{FF2B5EF4-FFF2-40B4-BE49-F238E27FC236}">
              <a16:creationId xmlns:a16="http://schemas.microsoft.com/office/drawing/2014/main" xmlns="" id="{00000000-0008-0000-2600-00001B000000}"/>
            </a:ext>
          </a:extLst>
        </xdr:cNvPr>
        <xdr:cNvSpPr>
          <a:spLocks noChangeArrowheads="1"/>
        </xdr:cNvSpPr>
      </xdr:nvSpPr>
      <xdr:spPr bwMode="auto">
        <a:xfrm rot="5400000">
          <a:off x="1820877" y="214999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132</xdr:row>
      <xdr:rowOff>11860</xdr:rowOff>
    </xdr:from>
    <xdr:to>
      <xdr:col>34</xdr:col>
      <xdr:colOff>149086</xdr:colOff>
      <xdr:row>132</xdr:row>
      <xdr:rowOff>119120</xdr:rowOff>
    </xdr:to>
    <xdr:sp macro="" textlink="">
      <xdr:nvSpPr>
        <xdr:cNvPr id="31" name="AutoShape 85">
          <a:extLst>
            <a:ext uri="{FF2B5EF4-FFF2-40B4-BE49-F238E27FC236}">
              <a16:creationId xmlns:a16="http://schemas.microsoft.com/office/drawing/2014/main" xmlns="" id="{00000000-0008-0000-2600-00001F000000}"/>
            </a:ext>
          </a:extLst>
        </xdr:cNvPr>
        <xdr:cNvSpPr>
          <a:spLocks noChangeArrowheads="1"/>
        </xdr:cNvSpPr>
      </xdr:nvSpPr>
      <xdr:spPr bwMode="auto">
        <a:xfrm rot="5400000">
          <a:off x="6440999" y="2109041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119</xdr:row>
      <xdr:rowOff>29767</xdr:rowOff>
    </xdr:from>
    <xdr:to>
      <xdr:col>34</xdr:col>
      <xdr:colOff>131435</xdr:colOff>
      <xdr:row>119</xdr:row>
      <xdr:rowOff>137027</xdr:rowOff>
    </xdr:to>
    <xdr:sp macro="" textlink="">
      <xdr:nvSpPr>
        <xdr:cNvPr id="32" name="AutoShape 85">
          <a:extLst>
            <a:ext uri="{FF2B5EF4-FFF2-40B4-BE49-F238E27FC236}">
              <a16:creationId xmlns:a16="http://schemas.microsoft.com/office/drawing/2014/main" xmlns="" id="{00000000-0008-0000-2600-000020000000}"/>
            </a:ext>
          </a:extLst>
        </xdr:cNvPr>
        <xdr:cNvSpPr>
          <a:spLocks noChangeArrowheads="1"/>
        </xdr:cNvSpPr>
      </xdr:nvSpPr>
      <xdr:spPr bwMode="auto">
        <a:xfrm rot="5400000">
          <a:off x="6367049" y="18636077"/>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43961</xdr:colOff>
      <xdr:row>371</xdr:row>
      <xdr:rowOff>29309</xdr:rowOff>
    </xdr:from>
    <xdr:to>
      <xdr:col>34</xdr:col>
      <xdr:colOff>121818</xdr:colOff>
      <xdr:row>371</xdr:row>
      <xdr:rowOff>136569</xdr:rowOff>
    </xdr:to>
    <xdr:sp macro="" textlink="">
      <xdr:nvSpPr>
        <xdr:cNvPr id="33" name="AutoShape 85">
          <a:extLst>
            <a:ext uri="{FF2B5EF4-FFF2-40B4-BE49-F238E27FC236}">
              <a16:creationId xmlns:a16="http://schemas.microsoft.com/office/drawing/2014/main" xmlns="" id="{00000000-0008-0000-2600-000021000000}"/>
            </a:ext>
          </a:extLst>
        </xdr:cNvPr>
        <xdr:cNvSpPr>
          <a:spLocks noChangeArrowheads="1"/>
        </xdr:cNvSpPr>
      </xdr:nvSpPr>
      <xdr:spPr bwMode="auto">
        <a:xfrm rot="5400000">
          <a:off x="6367048" y="5981704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245</xdr:row>
      <xdr:rowOff>29767</xdr:rowOff>
    </xdr:from>
    <xdr:to>
      <xdr:col>34</xdr:col>
      <xdr:colOff>131435</xdr:colOff>
      <xdr:row>245</xdr:row>
      <xdr:rowOff>137027</xdr:rowOff>
    </xdr:to>
    <xdr:sp macro="" textlink="">
      <xdr:nvSpPr>
        <xdr:cNvPr id="34" name="AutoShape 85">
          <a:extLst>
            <a:ext uri="{FF2B5EF4-FFF2-40B4-BE49-F238E27FC236}">
              <a16:creationId xmlns:a16="http://schemas.microsoft.com/office/drawing/2014/main" xmlns="" id="{00000000-0008-0000-2600-000022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371</xdr:row>
      <xdr:rowOff>29767</xdr:rowOff>
    </xdr:from>
    <xdr:to>
      <xdr:col>34</xdr:col>
      <xdr:colOff>131435</xdr:colOff>
      <xdr:row>371</xdr:row>
      <xdr:rowOff>137027</xdr:rowOff>
    </xdr:to>
    <xdr:sp macro="" textlink="">
      <xdr:nvSpPr>
        <xdr:cNvPr id="35" name="AutoShape 85">
          <a:extLst>
            <a:ext uri="{FF2B5EF4-FFF2-40B4-BE49-F238E27FC236}">
              <a16:creationId xmlns:a16="http://schemas.microsoft.com/office/drawing/2014/main" xmlns="" id="{00000000-0008-0000-2600-000023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40</xdr:row>
      <xdr:rowOff>59874</xdr:rowOff>
    </xdr:from>
    <xdr:to>
      <xdr:col>12</xdr:col>
      <xdr:colOff>160564</xdr:colOff>
      <xdr:row>40</xdr:row>
      <xdr:rowOff>125188</xdr:rowOff>
    </xdr:to>
    <xdr:sp macro="" textlink="">
      <xdr:nvSpPr>
        <xdr:cNvPr id="36" name="AutoShape 85">
          <a:extLst>
            <a:ext uri="{FF2B5EF4-FFF2-40B4-BE49-F238E27FC236}">
              <a16:creationId xmlns:a16="http://schemas.microsoft.com/office/drawing/2014/main" xmlns="" id="{00000000-0008-0000-2600-000024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156</xdr:row>
      <xdr:rowOff>65317</xdr:rowOff>
    </xdr:from>
    <xdr:to>
      <xdr:col>14</xdr:col>
      <xdr:colOff>57152</xdr:colOff>
      <xdr:row>156</xdr:row>
      <xdr:rowOff>130631</xdr:rowOff>
    </xdr:to>
    <xdr:sp macro="" textlink="">
      <xdr:nvSpPr>
        <xdr:cNvPr id="37" name="AutoShape 85">
          <a:extLst>
            <a:ext uri="{FF2B5EF4-FFF2-40B4-BE49-F238E27FC236}">
              <a16:creationId xmlns:a16="http://schemas.microsoft.com/office/drawing/2014/main" xmlns="" id="{00000000-0008-0000-2600-000025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166</xdr:row>
      <xdr:rowOff>59874</xdr:rowOff>
    </xdr:from>
    <xdr:to>
      <xdr:col>12</xdr:col>
      <xdr:colOff>160564</xdr:colOff>
      <xdr:row>166</xdr:row>
      <xdr:rowOff>125188</xdr:rowOff>
    </xdr:to>
    <xdr:sp macro="" textlink="">
      <xdr:nvSpPr>
        <xdr:cNvPr id="39" name="AutoShape 85">
          <a:extLst>
            <a:ext uri="{FF2B5EF4-FFF2-40B4-BE49-F238E27FC236}">
              <a16:creationId xmlns:a16="http://schemas.microsoft.com/office/drawing/2014/main" xmlns="" id="{00000000-0008-0000-2600-000027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258</xdr:row>
      <xdr:rowOff>6418</xdr:rowOff>
    </xdr:from>
    <xdr:to>
      <xdr:col>34</xdr:col>
      <xdr:colOff>149086</xdr:colOff>
      <xdr:row>258</xdr:row>
      <xdr:rowOff>113678</xdr:rowOff>
    </xdr:to>
    <xdr:sp macro="" textlink="">
      <xdr:nvSpPr>
        <xdr:cNvPr id="40" name="AutoShape 85">
          <a:extLst>
            <a:ext uri="{FF2B5EF4-FFF2-40B4-BE49-F238E27FC236}">
              <a16:creationId xmlns:a16="http://schemas.microsoft.com/office/drawing/2014/main" xmlns="" id="{00000000-0008-0000-2600-000028000000}"/>
            </a:ext>
          </a:extLst>
        </xdr:cNvPr>
        <xdr:cNvSpPr>
          <a:spLocks noChangeArrowheads="1"/>
        </xdr:cNvSpPr>
      </xdr:nvSpPr>
      <xdr:spPr bwMode="auto">
        <a:xfrm rot="5400000">
          <a:off x="6440999" y="42437305"/>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282</xdr:row>
      <xdr:rowOff>65317</xdr:rowOff>
    </xdr:from>
    <xdr:to>
      <xdr:col>14</xdr:col>
      <xdr:colOff>57152</xdr:colOff>
      <xdr:row>282</xdr:row>
      <xdr:rowOff>130631</xdr:rowOff>
    </xdr:to>
    <xdr:sp macro="" textlink="">
      <xdr:nvSpPr>
        <xdr:cNvPr id="41" name="AutoShape 85">
          <a:extLst>
            <a:ext uri="{FF2B5EF4-FFF2-40B4-BE49-F238E27FC236}">
              <a16:creationId xmlns:a16="http://schemas.microsoft.com/office/drawing/2014/main" xmlns="" id="{00000000-0008-0000-2600-000029000000}"/>
            </a:ext>
          </a:extLst>
        </xdr:cNvPr>
        <xdr:cNvSpPr>
          <a:spLocks noChangeArrowheads="1"/>
        </xdr:cNvSpPr>
      </xdr:nvSpPr>
      <xdr:spPr bwMode="auto">
        <a:xfrm rot="5400000">
          <a:off x="3351442" y="3620863"/>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292</xdr:row>
      <xdr:rowOff>59874</xdr:rowOff>
    </xdr:from>
    <xdr:to>
      <xdr:col>12</xdr:col>
      <xdr:colOff>160564</xdr:colOff>
      <xdr:row>292</xdr:row>
      <xdr:rowOff>125188</xdr:rowOff>
    </xdr:to>
    <xdr:sp macro="" textlink="">
      <xdr:nvSpPr>
        <xdr:cNvPr id="42" name="AutoShape 85">
          <a:extLst>
            <a:ext uri="{FF2B5EF4-FFF2-40B4-BE49-F238E27FC236}">
              <a16:creationId xmlns:a16="http://schemas.microsoft.com/office/drawing/2014/main" xmlns="" id="{00000000-0008-0000-2600-00002A000000}"/>
            </a:ext>
          </a:extLst>
        </xdr:cNvPr>
        <xdr:cNvSpPr>
          <a:spLocks noChangeArrowheads="1"/>
        </xdr:cNvSpPr>
      </xdr:nvSpPr>
      <xdr:spPr bwMode="auto">
        <a:xfrm rot="5400000">
          <a:off x="3035754" y="5161191"/>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61</xdr:row>
      <xdr:rowOff>67868</xdr:rowOff>
    </xdr:from>
    <xdr:to>
      <xdr:col>34</xdr:col>
      <xdr:colOff>136878</xdr:colOff>
      <xdr:row>61</xdr:row>
      <xdr:rowOff>175128</xdr:rowOff>
    </xdr:to>
    <xdr:sp macro="" textlink="">
      <xdr:nvSpPr>
        <xdr:cNvPr id="43" name="AutoShape 85">
          <a:extLst>
            <a:ext uri="{FF2B5EF4-FFF2-40B4-BE49-F238E27FC236}">
              <a16:creationId xmlns:a16="http://schemas.microsoft.com/office/drawing/2014/main" xmlns="" id="{00000000-0008-0000-2600-00002B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313</xdr:row>
      <xdr:rowOff>67868</xdr:rowOff>
    </xdr:from>
    <xdr:to>
      <xdr:col>34</xdr:col>
      <xdr:colOff>136878</xdr:colOff>
      <xdr:row>313</xdr:row>
      <xdr:rowOff>175128</xdr:rowOff>
    </xdr:to>
    <xdr:sp macro="" textlink="">
      <xdr:nvSpPr>
        <xdr:cNvPr id="47" name="AutoShape 85">
          <a:extLst>
            <a:ext uri="{FF2B5EF4-FFF2-40B4-BE49-F238E27FC236}">
              <a16:creationId xmlns:a16="http://schemas.microsoft.com/office/drawing/2014/main" xmlns="" id="{00000000-0008-0000-2600-00002F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187</xdr:row>
      <xdr:rowOff>67868</xdr:rowOff>
    </xdr:from>
    <xdr:to>
      <xdr:col>34</xdr:col>
      <xdr:colOff>136878</xdr:colOff>
      <xdr:row>187</xdr:row>
      <xdr:rowOff>175128</xdr:rowOff>
    </xdr:to>
    <xdr:sp macro="" textlink="">
      <xdr:nvSpPr>
        <xdr:cNvPr id="48" name="AutoShape 85">
          <a:extLst>
            <a:ext uri="{FF2B5EF4-FFF2-40B4-BE49-F238E27FC236}">
              <a16:creationId xmlns:a16="http://schemas.microsoft.com/office/drawing/2014/main" xmlns="" id="{00000000-0008-0000-2600-000030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49" name="AutoShape 85">
          <a:extLst>
            <a:ext uri="{FF2B5EF4-FFF2-40B4-BE49-F238E27FC236}">
              <a16:creationId xmlns:a16="http://schemas.microsoft.com/office/drawing/2014/main" xmlns="" id="{00000000-0008-0000-2600-000031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329</xdr:row>
      <xdr:rowOff>67868</xdr:rowOff>
    </xdr:from>
    <xdr:to>
      <xdr:col>35</xdr:col>
      <xdr:colOff>136878</xdr:colOff>
      <xdr:row>329</xdr:row>
      <xdr:rowOff>175128</xdr:rowOff>
    </xdr:to>
    <xdr:sp macro="" textlink="">
      <xdr:nvSpPr>
        <xdr:cNvPr id="50" name="AutoShape 85">
          <a:extLst>
            <a:ext uri="{FF2B5EF4-FFF2-40B4-BE49-F238E27FC236}">
              <a16:creationId xmlns:a16="http://schemas.microsoft.com/office/drawing/2014/main" xmlns="" id="{00000000-0008-0000-2600-000032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203</xdr:row>
      <xdr:rowOff>67868</xdr:rowOff>
    </xdr:from>
    <xdr:to>
      <xdr:col>35</xdr:col>
      <xdr:colOff>136878</xdr:colOff>
      <xdr:row>203</xdr:row>
      <xdr:rowOff>175128</xdr:rowOff>
    </xdr:to>
    <xdr:sp macro="" textlink="">
      <xdr:nvSpPr>
        <xdr:cNvPr id="51" name="AutoShape 85">
          <a:extLst>
            <a:ext uri="{FF2B5EF4-FFF2-40B4-BE49-F238E27FC236}">
              <a16:creationId xmlns:a16="http://schemas.microsoft.com/office/drawing/2014/main" xmlns="" id="{00000000-0008-0000-2600-000033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384</xdr:row>
      <xdr:rowOff>11860</xdr:rowOff>
    </xdr:from>
    <xdr:to>
      <xdr:col>34</xdr:col>
      <xdr:colOff>149086</xdr:colOff>
      <xdr:row>384</xdr:row>
      <xdr:rowOff>119120</xdr:rowOff>
    </xdr:to>
    <xdr:sp macro="" textlink="">
      <xdr:nvSpPr>
        <xdr:cNvPr id="52" name="AutoShape 85">
          <a:extLst>
            <a:ext uri="{FF2B5EF4-FFF2-40B4-BE49-F238E27FC236}">
              <a16:creationId xmlns:a16="http://schemas.microsoft.com/office/drawing/2014/main" xmlns="" id="{00000000-0008-0000-2600-000034000000}"/>
            </a:ext>
          </a:extLst>
        </xdr:cNvPr>
        <xdr:cNvSpPr>
          <a:spLocks noChangeArrowheads="1"/>
        </xdr:cNvSpPr>
      </xdr:nvSpPr>
      <xdr:spPr bwMode="auto">
        <a:xfrm rot="5400000">
          <a:off x="6440999" y="21079532"/>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xmlns="" id="{00000000-0008-0000-27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xmlns="" id="{00000000-0008-0000-27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xmlns="" id="{00000000-0008-0000-27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xmlns="" id="{00000000-0008-0000-27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13137</xdr:colOff>
      <xdr:row>14</xdr:row>
      <xdr:rowOff>13137</xdr:rowOff>
    </xdr:from>
    <xdr:to>
      <xdr:col>13</xdr:col>
      <xdr:colOff>269327</xdr:colOff>
      <xdr:row>14</xdr:row>
      <xdr:rowOff>13137</xdr:rowOff>
    </xdr:to>
    <xdr:sp macro="" textlink="">
      <xdr:nvSpPr>
        <xdr:cNvPr id="15" name="Line 20">
          <a:extLst>
            <a:ext uri="{FF2B5EF4-FFF2-40B4-BE49-F238E27FC236}">
              <a16:creationId xmlns:a16="http://schemas.microsoft.com/office/drawing/2014/main" xmlns="" id="{00000000-0008-0000-2700-00000F000000}"/>
            </a:ext>
          </a:extLst>
        </xdr:cNvPr>
        <xdr:cNvSpPr>
          <a:spLocks noChangeShapeType="1"/>
        </xdr:cNvSpPr>
      </xdr:nvSpPr>
      <xdr:spPr bwMode="auto">
        <a:xfrm>
          <a:off x="3343603" y="2194034"/>
          <a:ext cx="82769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xdr:colOff>
      <xdr:row>19</xdr:row>
      <xdr:rowOff>19049</xdr:rowOff>
    </xdr:from>
    <xdr:to>
      <xdr:col>13</xdr:col>
      <xdr:colOff>269327</xdr:colOff>
      <xdr:row>19</xdr:row>
      <xdr:rowOff>19707</xdr:rowOff>
    </xdr:to>
    <xdr:sp macro="" textlink="">
      <xdr:nvSpPr>
        <xdr:cNvPr id="16" name="Line 21">
          <a:extLst>
            <a:ext uri="{FF2B5EF4-FFF2-40B4-BE49-F238E27FC236}">
              <a16:creationId xmlns:a16="http://schemas.microsoft.com/office/drawing/2014/main" xmlns="" id="{00000000-0008-0000-2700-000010000000}"/>
            </a:ext>
          </a:extLst>
        </xdr:cNvPr>
        <xdr:cNvSpPr>
          <a:spLocks noChangeShapeType="1"/>
        </xdr:cNvSpPr>
      </xdr:nvSpPr>
      <xdr:spPr bwMode="auto">
        <a:xfrm>
          <a:off x="3330467" y="2817428"/>
          <a:ext cx="840826" cy="65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xmlns="" id="{00000000-0008-0000-27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132406</xdr:colOff>
      <xdr:row>7</xdr:row>
      <xdr:rowOff>73792</xdr:rowOff>
    </xdr:from>
    <xdr:to>
      <xdr:col>6</xdr:col>
      <xdr:colOff>188389</xdr:colOff>
      <xdr:row>8</xdr:row>
      <xdr:rowOff>312</xdr:rowOff>
    </xdr:to>
    <xdr:pic>
      <xdr:nvPicPr>
        <xdr:cNvPr id="30" name="Picture 3">
          <a:extLst>
            <a:ext uri="{FF2B5EF4-FFF2-40B4-BE49-F238E27FC236}">
              <a16:creationId xmlns:a16="http://schemas.microsoft.com/office/drawing/2014/main" xmlns="" id="{00000000-0008-0000-27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1206" y="1521592"/>
          <a:ext cx="55983" cy="95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84364</xdr:colOff>
      <xdr:row>8</xdr:row>
      <xdr:rowOff>58510</xdr:rowOff>
    </xdr:from>
    <xdr:to>
      <xdr:col>7</xdr:col>
      <xdr:colOff>140035</xdr:colOff>
      <xdr:row>8</xdr:row>
      <xdr:rowOff>153759</xdr:rowOff>
    </xdr:to>
    <xdr:pic>
      <xdr:nvPicPr>
        <xdr:cNvPr id="31" name="Picture 3">
          <a:extLst>
            <a:ext uri="{FF2B5EF4-FFF2-40B4-BE49-F238E27FC236}">
              <a16:creationId xmlns:a16="http://schemas.microsoft.com/office/drawing/2014/main" xmlns="" id="{00000000-0008-0000-27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564" y="1677760"/>
          <a:ext cx="55671" cy="95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xmlns="" id="{00000000-0008-0000-27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xmlns="" id="{00000000-0008-0000-27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18</xdr:col>
      <xdr:colOff>577191</xdr:colOff>
      <xdr:row>106</xdr:row>
      <xdr:rowOff>149927</xdr:rowOff>
    </xdr:from>
    <xdr:to>
      <xdr:col>18</xdr:col>
      <xdr:colOff>672441</xdr:colOff>
      <xdr:row>107</xdr:row>
      <xdr:rowOff>144308</xdr:rowOff>
    </xdr:to>
    <xdr:pic>
      <xdr:nvPicPr>
        <xdr:cNvPr id="37" name="Picture 1">
          <a:extLst>
            <a:ext uri="{FF2B5EF4-FFF2-40B4-BE49-F238E27FC236}">
              <a16:creationId xmlns:a16="http://schemas.microsoft.com/office/drawing/2014/main" xmlns="" id="{00000000-0008-0000-27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54091" y="17955327"/>
          <a:ext cx="95250" cy="1594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563680</xdr:colOff>
      <xdr:row>145</xdr:row>
      <xdr:rowOff>3612</xdr:rowOff>
    </xdr:from>
    <xdr:ext cx="95250" cy="155574"/>
    <xdr:pic>
      <xdr:nvPicPr>
        <xdr:cNvPr id="38" name="Picture 1">
          <a:extLst>
            <a:ext uri="{FF2B5EF4-FFF2-40B4-BE49-F238E27FC236}">
              <a16:creationId xmlns:a16="http://schemas.microsoft.com/office/drawing/2014/main" xmlns="" id="{00000000-0008-0000-27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01289" y="24613831"/>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240506</xdr:colOff>
      <xdr:row>206</xdr:row>
      <xdr:rowOff>23813</xdr:rowOff>
    </xdr:from>
    <xdr:ext cx="95250" cy="155574"/>
    <xdr:pic>
      <xdr:nvPicPr>
        <xdr:cNvPr id="17" name="Picture 1">
          <a:extLst>
            <a:ext uri="{FF2B5EF4-FFF2-40B4-BE49-F238E27FC236}">
              <a16:creationId xmlns:a16="http://schemas.microsoft.com/office/drawing/2014/main" xmlns="" id="{00000000-0008-0000-27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4819" y="35736610"/>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42</xdr:col>
      <xdr:colOff>177800</xdr:colOff>
      <xdr:row>149</xdr:row>
      <xdr:rowOff>124178</xdr:rowOff>
    </xdr:from>
    <xdr:to>
      <xdr:col>43</xdr:col>
      <xdr:colOff>21589</xdr:colOff>
      <xdr:row>153</xdr:row>
      <xdr:rowOff>52212</xdr:rowOff>
    </xdr:to>
    <xdr:pic>
      <xdr:nvPicPr>
        <xdr:cNvPr id="19" name="Picture 27">
          <a:extLst>
            <a:ext uri="{FF2B5EF4-FFF2-40B4-BE49-F238E27FC236}">
              <a16:creationId xmlns:a16="http://schemas.microsoft.com/office/drawing/2014/main" xmlns="" id="{00000000-0008-0000-27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42</xdr:col>
      <xdr:colOff>177800</xdr:colOff>
      <xdr:row>235</xdr:row>
      <xdr:rowOff>124178</xdr:rowOff>
    </xdr:from>
    <xdr:ext cx="593090" cy="658989"/>
    <xdr:pic>
      <xdr:nvPicPr>
        <xdr:cNvPr id="20" name="Picture 27">
          <a:extLst>
            <a:ext uri="{FF2B5EF4-FFF2-40B4-BE49-F238E27FC236}">
              <a16:creationId xmlns:a16="http://schemas.microsoft.com/office/drawing/2014/main" xmlns="" id="{00000000-0008-0000-27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13</xdr:col>
      <xdr:colOff>235744</xdr:colOff>
      <xdr:row>137</xdr:row>
      <xdr:rowOff>25797</xdr:rowOff>
    </xdr:from>
    <xdr:to>
      <xdr:col>13</xdr:col>
      <xdr:colOff>330994</xdr:colOff>
      <xdr:row>138</xdr:row>
      <xdr:rowOff>13828</xdr:rowOff>
    </xdr:to>
    <xdr:pic>
      <xdr:nvPicPr>
        <xdr:cNvPr id="21" name="Picture 1">
          <a:extLst>
            <a:ext uri="{FF2B5EF4-FFF2-40B4-BE49-F238E27FC236}">
              <a16:creationId xmlns:a16="http://schemas.microsoft.com/office/drawing/2014/main" xmlns="" id="{00000000-0008-0000-27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0057" y="23231078"/>
          <a:ext cx="95250" cy="160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45296</xdr:colOff>
      <xdr:row>208</xdr:row>
      <xdr:rowOff>112061</xdr:rowOff>
    </xdr:from>
    <xdr:to>
      <xdr:col>22</xdr:col>
      <xdr:colOff>223481</xdr:colOff>
      <xdr:row>210</xdr:row>
      <xdr:rowOff>149412</xdr:rowOff>
    </xdr:to>
    <xdr:pic>
      <xdr:nvPicPr>
        <xdr:cNvPr id="23" name="Picture 27">
          <a:extLst>
            <a:ext uri="{FF2B5EF4-FFF2-40B4-BE49-F238E27FC236}">
              <a16:creationId xmlns:a16="http://schemas.microsoft.com/office/drawing/2014/main" xmlns="" id="{00000000-0008-0000-27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79303" y="36152980"/>
          <a:ext cx="414816" cy="457572"/>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9</xdr:col>
      <xdr:colOff>0</xdr:colOff>
      <xdr:row>20</xdr:row>
      <xdr:rowOff>57150</xdr:rowOff>
    </xdr:from>
    <xdr:to>
      <xdr:col>9</xdr:col>
      <xdr:colOff>615950</xdr:colOff>
      <xdr:row>20</xdr:row>
      <xdr:rowOff>57150</xdr:rowOff>
    </xdr:to>
    <xdr:sp macro="" textlink="">
      <xdr:nvSpPr>
        <xdr:cNvPr id="2" name="Line 1">
          <a:extLst>
            <a:ext uri="{FF2B5EF4-FFF2-40B4-BE49-F238E27FC236}">
              <a16:creationId xmlns:a16="http://schemas.microsoft.com/office/drawing/2014/main" xmlns="" id="{00000000-0008-0000-28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12700</xdr:colOff>
      <xdr:row>22</xdr:row>
      <xdr:rowOff>88900</xdr:rowOff>
    </xdr:from>
    <xdr:to>
      <xdr:col>9</xdr:col>
      <xdr:colOff>628650</xdr:colOff>
      <xdr:row>22</xdr:row>
      <xdr:rowOff>88900</xdr:rowOff>
    </xdr:to>
    <xdr:sp macro="" textlink="">
      <xdr:nvSpPr>
        <xdr:cNvPr id="3" name="Line 2">
          <a:extLst>
            <a:ext uri="{FF2B5EF4-FFF2-40B4-BE49-F238E27FC236}">
              <a16:creationId xmlns:a16="http://schemas.microsoft.com/office/drawing/2014/main" xmlns="" id="{00000000-0008-0000-28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247650</xdr:colOff>
      <xdr:row>20</xdr:row>
      <xdr:rowOff>57150</xdr:rowOff>
    </xdr:from>
    <xdr:to>
      <xdr:col>10</xdr:col>
      <xdr:colOff>806450</xdr:colOff>
      <xdr:row>20</xdr:row>
      <xdr:rowOff>57150</xdr:rowOff>
    </xdr:to>
    <xdr:sp macro="" textlink="">
      <xdr:nvSpPr>
        <xdr:cNvPr id="4" name="Line 3">
          <a:extLst>
            <a:ext uri="{FF2B5EF4-FFF2-40B4-BE49-F238E27FC236}">
              <a16:creationId xmlns:a16="http://schemas.microsoft.com/office/drawing/2014/main" xmlns="" id="{00000000-0008-0000-28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292100</xdr:colOff>
      <xdr:row>22</xdr:row>
      <xdr:rowOff>88900</xdr:rowOff>
    </xdr:from>
    <xdr:to>
      <xdr:col>11</xdr:col>
      <xdr:colOff>0</xdr:colOff>
      <xdr:row>22</xdr:row>
      <xdr:rowOff>88900</xdr:rowOff>
    </xdr:to>
    <xdr:sp macro="" textlink="">
      <xdr:nvSpPr>
        <xdr:cNvPr id="5" name="Line 4">
          <a:extLst>
            <a:ext uri="{FF2B5EF4-FFF2-40B4-BE49-F238E27FC236}">
              <a16:creationId xmlns:a16="http://schemas.microsoft.com/office/drawing/2014/main" xmlns="" id="{00000000-0008-0000-28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14758</xdr:colOff>
      <xdr:row>79</xdr:row>
      <xdr:rowOff>40473</xdr:rowOff>
    </xdr:from>
    <xdr:to>
      <xdr:col>9</xdr:col>
      <xdr:colOff>116358</xdr:colOff>
      <xdr:row>85</xdr:row>
      <xdr:rowOff>205573</xdr:rowOff>
    </xdr:to>
    <xdr:sp macro="" textlink="">
      <xdr:nvSpPr>
        <xdr:cNvPr id="6" name="AutoShape 6">
          <a:extLst>
            <a:ext uri="{FF2B5EF4-FFF2-40B4-BE49-F238E27FC236}">
              <a16:creationId xmlns:a16="http://schemas.microsoft.com/office/drawing/2014/main" xmlns="" id="{00000000-0008-0000-2800-000006000000}"/>
            </a:ext>
          </a:extLst>
        </xdr:cNvPr>
        <xdr:cNvSpPr>
          <a:spLocks/>
        </xdr:cNvSpPr>
      </xdr:nvSpPr>
      <xdr:spPr bwMode="auto">
        <a:xfrm>
          <a:off x="3729508" y="13727898"/>
          <a:ext cx="101600" cy="1231900"/>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12</xdr:col>
      <xdr:colOff>28575</xdr:colOff>
      <xdr:row>2</xdr:row>
      <xdr:rowOff>47626</xdr:rowOff>
    </xdr:from>
    <xdr:to>
      <xdr:col>13</xdr:col>
      <xdr:colOff>151038</xdr:colOff>
      <xdr:row>6</xdr:row>
      <xdr:rowOff>154279</xdr:rowOff>
    </xdr:to>
    <xdr:pic>
      <xdr:nvPicPr>
        <xdr:cNvPr id="8" name="Picture 7">
          <a:extLst>
            <a:ext uri="{FF2B5EF4-FFF2-40B4-BE49-F238E27FC236}">
              <a16:creationId xmlns:a16="http://schemas.microsoft.com/office/drawing/2014/main" xmlns="" id="{00000000-0008-0000-2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76875" y="276226"/>
          <a:ext cx="1209675" cy="878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131153</xdr:colOff>
      <xdr:row>3</xdr:row>
      <xdr:rowOff>52754</xdr:rowOff>
    </xdr:from>
    <xdr:to>
      <xdr:col>8</xdr:col>
      <xdr:colOff>229058</xdr:colOff>
      <xdr:row>3</xdr:row>
      <xdr:rowOff>152767</xdr:rowOff>
    </xdr:to>
    <xdr:pic>
      <xdr:nvPicPr>
        <xdr:cNvPr id="2" name="Picture 3">
          <a:extLst>
            <a:ext uri="{FF2B5EF4-FFF2-40B4-BE49-F238E27FC236}">
              <a16:creationId xmlns:a16="http://schemas.microsoft.com/office/drawing/2014/main" xmlns=""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9922" y="895350"/>
          <a:ext cx="97905"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222995</xdr:colOff>
      <xdr:row>5</xdr:row>
      <xdr:rowOff>32015</xdr:rowOff>
    </xdr:from>
    <xdr:to>
      <xdr:col>9</xdr:col>
      <xdr:colOff>70956</xdr:colOff>
      <xdr:row>5</xdr:row>
      <xdr:rowOff>132028</xdr:rowOff>
    </xdr:to>
    <xdr:pic>
      <xdr:nvPicPr>
        <xdr:cNvPr id="3" name="Picture 3">
          <a:extLst>
            <a:ext uri="{FF2B5EF4-FFF2-40B4-BE49-F238E27FC236}">
              <a16:creationId xmlns:a16="http://schemas.microsoft.com/office/drawing/2014/main" xmlns=""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76473" y="120814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248479</xdr:colOff>
      <xdr:row>166</xdr:row>
      <xdr:rowOff>81169</xdr:rowOff>
    </xdr:from>
    <xdr:to>
      <xdr:col>19</xdr:col>
      <xdr:colOff>314876</xdr:colOff>
      <xdr:row>168</xdr:row>
      <xdr:rowOff>141494</xdr:rowOff>
    </xdr:to>
    <xdr:sp macro="" textlink="">
      <xdr:nvSpPr>
        <xdr:cNvPr id="4" name="AutoShape 6">
          <a:extLst>
            <a:ext uri="{FF2B5EF4-FFF2-40B4-BE49-F238E27FC236}">
              <a16:creationId xmlns:a16="http://schemas.microsoft.com/office/drawing/2014/main" xmlns="" id="{00000000-0008-0000-2900-000004000000}"/>
            </a:ext>
          </a:extLst>
        </xdr:cNvPr>
        <xdr:cNvSpPr>
          <a:spLocks/>
        </xdr:cNvSpPr>
      </xdr:nvSpPr>
      <xdr:spPr bwMode="auto">
        <a:xfrm>
          <a:off x="5135218" y="2895434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24</xdr:col>
      <xdr:colOff>123825</xdr:colOff>
      <xdr:row>23</xdr:row>
      <xdr:rowOff>57150</xdr:rowOff>
    </xdr:from>
    <xdr:to>
      <xdr:col>24</xdr:col>
      <xdr:colOff>200025</xdr:colOff>
      <xdr:row>24</xdr:row>
      <xdr:rowOff>1</xdr:rowOff>
    </xdr:to>
    <xdr:pic>
      <xdr:nvPicPr>
        <xdr:cNvPr id="5" name="Picture 4">
          <a:extLst>
            <a:ext uri="{FF2B5EF4-FFF2-40B4-BE49-F238E27FC236}">
              <a16:creationId xmlns:a16="http://schemas.microsoft.com/office/drawing/2014/main" xmlns="" id="{00000000-0008-0000-29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8875" y="3924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15</xdr:row>
      <xdr:rowOff>57150</xdr:rowOff>
    </xdr:from>
    <xdr:to>
      <xdr:col>7</xdr:col>
      <xdr:colOff>219075</xdr:colOff>
      <xdr:row>16</xdr:row>
      <xdr:rowOff>0</xdr:rowOff>
    </xdr:to>
    <xdr:pic>
      <xdr:nvPicPr>
        <xdr:cNvPr id="6" name="Picture 5">
          <a:extLst>
            <a:ext uri="{FF2B5EF4-FFF2-40B4-BE49-F238E27FC236}">
              <a16:creationId xmlns:a16="http://schemas.microsoft.com/office/drawing/2014/main" xmlns="" id="{00000000-0008-0000-29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 y="265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133350</xdr:colOff>
      <xdr:row>16</xdr:row>
      <xdr:rowOff>57150</xdr:rowOff>
    </xdr:from>
    <xdr:to>
      <xdr:col>9</xdr:col>
      <xdr:colOff>209550</xdr:colOff>
      <xdr:row>17</xdr:row>
      <xdr:rowOff>0</xdr:rowOff>
    </xdr:to>
    <xdr:pic>
      <xdr:nvPicPr>
        <xdr:cNvPr id="7" name="Picture 6">
          <a:extLst>
            <a:ext uri="{FF2B5EF4-FFF2-40B4-BE49-F238E27FC236}">
              <a16:creationId xmlns:a16="http://schemas.microsoft.com/office/drawing/2014/main" xmlns="" id="{00000000-0008-0000-29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3650" y="28479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123825</xdr:colOff>
      <xdr:row>17</xdr:row>
      <xdr:rowOff>38100</xdr:rowOff>
    </xdr:from>
    <xdr:to>
      <xdr:col>9</xdr:col>
      <xdr:colOff>200025</xdr:colOff>
      <xdr:row>17</xdr:row>
      <xdr:rowOff>171450</xdr:rowOff>
    </xdr:to>
    <xdr:pic>
      <xdr:nvPicPr>
        <xdr:cNvPr id="8" name="Picture 7">
          <a:extLst>
            <a:ext uri="{FF2B5EF4-FFF2-40B4-BE49-F238E27FC236}">
              <a16:creationId xmlns:a16="http://schemas.microsoft.com/office/drawing/2014/main" xmlns="" id="{00000000-0008-0000-29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24125" y="30194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19</xdr:row>
      <xdr:rowOff>0</xdr:rowOff>
    </xdr:from>
    <xdr:to>
      <xdr:col>8</xdr:col>
      <xdr:colOff>114300</xdr:colOff>
      <xdr:row>21</xdr:row>
      <xdr:rowOff>133349</xdr:rowOff>
    </xdr:to>
    <xdr:pic>
      <xdr:nvPicPr>
        <xdr:cNvPr id="9" name="Picture 8">
          <a:extLst>
            <a:ext uri="{FF2B5EF4-FFF2-40B4-BE49-F238E27FC236}">
              <a16:creationId xmlns:a16="http://schemas.microsoft.com/office/drawing/2014/main" xmlns="" id="{00000000-0008-0000-29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3238500"/>
          <a:ext cx="114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114300</xdr:colOff>
      <xdr:row>21</xdr:row>
      <xdr:rowOff>28575</xdr:rowOff>
    </xdr:from>
    <xdr:to>
      <xdr:col>26</xdr:col>
      <xdr:colOff>190500</xdr:colOff>
      <xdr:row>21</xdr:row>
      <xdr:rowOff>161925</xdr:rowOff>
    </xdr:to>
    <xdr:pic>
      <xdr:nvPicPr>
        <xdr:cNvPr id="10" name="Picture 9">
          <a:extLst>
            <a:ext uri="{FF2B5EF4-FFF2-40B4-BE49-F238E27FC236}">
              <a16:creationId xmlns:a16="http://schemas.microsoft.com/office/drawing/2014/main" xmlns="" id="{00000000-0008-0000-29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4650" y="3514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133350</xdr:colOff>
      <xdr:row>22</xdr:row>
      <xdr:rowOff>47625</xdr:rowOff>
    </xdr:from>
    <xdr:to>
      <xdr:col>23</xdr:col>
      <xdr:colOff>209550</xdr:colOff>
      <xdr:row>22</xdr:row>
      <xdr:rowOff>180975</xdr:rowOff>
    </xdr:to>
    <xdr:pic>
      <xdr:nvPicPr>
        <xdr:cNvPr id="11" name="Picture 10">
          <a:extLst>
            <a:ext uri="{FF2B5EF4-FFF2-40B4-BE49-F238E27FC236}">
              <a16:creationId xmlns:a16="http://schemas.microsoft.com/office/drawing/2014/main" xmlns="" id="{00000000-0008-0000-29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0" y="37052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85725</xdr:colOff>
      <xdr:row>25</xdr:row>
      <xdr:rowOff>9525</xdr:rowOff>
    </xdr:from>
    <xdr:to>
      <xdr:col>27</xdr:col>
      <xdr:colOff>161925</xdr:colOff>
      <xdr:row>25</xdr:row>
      <xdr:rowOff>142875</xdr:rowOff>
    </xdr:to>
    <xdr:pic>
      <xdr:nvPicPr>
        <xdr:cNvPr id="12" name="Picture 11">
          <a:extLst>
            <a:ext uri="{FF2B5EF4-FFF2-40B4-BE49-F238E27FC236}">
              <a16:creationId xmlns:a16="http://schemas.microsoft.com/office/drawing/2014/main" xmlns="" id="{00000000-0008-0000-29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3725" y="4248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133350</xdr:colOff>
      <xdr:row>26</xdr:row>
      <xdr:rowOff>28575</xdr:rowOff>
    </xdr:from>
    <xdr:to>
      <xdr:col>13</xdr:col>
      <xdr:colOff>209550</xdr:colOff>
      <xdr:row>26</xdr:row>
      <xdr:rowOff>161925</xdr:rowOff>
    </xdr:to>
    <xdr:pic>
      <xdr:nvPicPr>
        <xdr:cNvPr id="13" name="Picture 12">
          <a:extLst>
            <a:ext uri="{FF2B5EF4-FFF2-40B4-BE49-F238E27FC236}">
              <a16:creationId xmlns:a16="http://schemas.microsoft.com/office/drawing/2014/main" xmlns="" id="{00000000-0008-0000-29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0" y="4429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133350</xdr:colOff>
      <xdr:row>30</xdr:row>
      <xdr:rowOff>28575</xdr:rowOff>
    </xdr:from>
    <xdr:to>
      <xdr:col>14</xdr:col>
      <xdr:colOff>209550</xdr:colOff>
      <xdr:row>30</xdr:row>
      <xdr:rowOff>161925</xdr:rowOff>
    </xdr:to>
    <xdr:pic>
      <xdr:nvPicPr>
        <xdr:cNvPr id="14" name="Picture 13">
          <a:extLst>
            <a:ext uri="{FF2B5EF4-FFF2-40B4-BE49-F238E27FC236}">
              <a16:creationId xmlns:a16="http://schemas.microsoft.com/office/drawing/2014/main" xmlns="" id="{00000000-0008-0000-29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1900" y="51720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31</xdr:row>
      <xdr:rowOff>38100</xdr:rowOff>
    </xdr:from>
    <xdr:to>
      <xdr:col>18</xdr:col>
      <xdr:colOff>209550</xdr:colOff>
      <xdr:row>31</xdr:row>
      <xdr:rowOff>171450</xdr:rowOff>
    </xdr:to>
    <xdr:pic>
      <xdr:nvPicPr>
        <xdr:cNvPr id="15" name="Picture 14">
          <a:extLst>
            <a:ext uri="{FF2B5EF4-FFF2-40B4-BE49-F238E27FC236}">
              <a16:creationId xmlns:a16="http://schemas.microsoft.com/office/drawing/2014/main" xmlns="" id="{00000000-0008-0000-29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53530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171450</xdr:colOff>
      <xdr:row>40</xdr:row>
      <xdr:rowOff>19050</xdr:rowOff>
    </xdr:from>
    <xdr:to>
      <xdr:col>11</xdr:col>
      <xdr:colOff>0</xdr:colOff>
      <xdr:row>40</xdr:row>
      <xdr:rowOff>152400</xdr:rowOff>
    </xdr:to>
    <xdr:pic>
      <xdr:nvPicPr>
        <xdr:cNvPr id="16" name="Picture 15">
          <a:extLst>
            <a:ext uri="{FF2B5EF4-FFF2-40B4-BE49-F238E27FC236}">
              <a16:creationId xmlns:a16="http://schemas.microsoft.com/office/drawing/2014/main" xmlns="" id="{00000000-0008-0000-29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6619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161925</xdr:colOff>
      <xdr:row>40</xdr:row>
      <xdr:rowOff>38100</xdr:rowOff>
    </xdr:from>
    <xdr:to>
      <xdr:col>23</xdr:col>
      <xdr:colOff>238125</xdr:colOff>
      <xdr:row>41</xdr:row>
      <xdr:rowOff>2484</xdr:rowOff>
    </xdr:to>
    <xdr:pic>
      <xdr:nvPicPr>
        <xdr:cNvPr id="17" name="Picture 16">
          <a:extLst>
            <a:ext uri="{FF2B5EF4-FFF2-40B4-BE49-F238E27FC236}">
              <a16:creationId xmlns:a16="http://schemas.microsoft.com/office/drawing/2014/main" xmlns="" id="{00000000-0008-0000-29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29325" y="66389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142875</xdr:colOff>
      <xdr:row>42</xdr:row>
      <xdr:rowOff>9525</xdr:rowOff>
    </xdr:from>
    <xdr:to>
      <xdr:col>12</xdr:col>
      <xdr:colOff>219075</xdr:colOff>
      <xdr:row>42</xdr:row>
      <xdr:rowOff>142875</xdr:rowOff>
    </xdr:to>
    <xdr:pic>
      <xdr:nvPicPr>
        <xdr:cNvPr id="18" name="Picture 17">
          <a:extLst>
            <a:ext uri="{FF2B5EF4-FFF2-40B4-BE49-F238E27FC236}">
              <a16:creationId xmlns:a16="http://schemas.microsoft.com/office/drawing/2014/main" xmlns="" id="{00000000-0008-0000-29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6125" y="6848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123825</xdr:colOff>
      <xdr:row>46</xdr:row>
      <xdr:rowOff>0</xdr:rowOff>
    </xdr:from>
    <xdr:to>
      <xdr:col>11</xdr:col>
      <xdr:colOff>200025</xdr:colOff>
      <xdr:row>46</xdr:row>
      <xdr:rowOff>133350</xdr:rowOff>
    </xdr:to>
    <xdr:pic>
      <xdr:nvPicPr>
        <xdr:cNvPr id="19" name="Picture 18">
          <a:extLst>
            <a:ext uri="{FF2B5EF4-FFF2-40B4-BE49-F238E27FC236}">
              <a16:creationId xmlns:a16="http://schemas.microsoft.com/office/drawing/2014/main" xmlns="" id="{00000000-0008-0000-29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9425" y="7439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114300</xdr:colOff>
      <xdr:row>61</xdr:row>
      <xdr:rowOff>9525</xdr:rowOff>
    </xdr:from>
    <xdr:to>
      <xdr:col>24</xdr:col>
      <xdr:colOff>190500</xdr:colOff>
      <xdr:row>61</xdr:row>
      <xdr:rowOff>142875</xdr:rowOff>
    </xdr:to>
    <xdr:pic>
      <xdr:nvPicPr>
        <xdr:cNvPr id="20" name="Picture 19">
          <a:extLst>
            <a:ext uri="{FF2B5EF4-FFF2-40B4-BE49-F238E27FC236}">
              <a16:creationId xmlns:a16="http://schemas.microsoft.com/office/drawing/2014/main" xmlns="" id="{00000000-0008-0000-29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9350" y="1027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161925</xdr:colOff>
      <xdr:row>63</xdr:row>
      <xdr:rowOff>38100</xdr:rowOff>
    </xdr:from>
    <xdr:to>
      <xdr:col>18</xdr:col>
      <xdr:colOff>238125</xdr:colOff>
      <xdr:row>63</xdr:row>
      <xdr:rowOff>171450</xdr:rowOff>
    </xdr:to>
    <xdr:pic>
      <xdr:nvPicPr>
        <xdr:cNvPr id="21" name="Picture 20">
          <a:extLst>
            <a:ext uri="{FF2B5EF4-FFF2-40B4-BE49-F238E27FC236}">
              <a16:creationId xmlns:a16="http://schemas.microsoft.com/office/drawing/2014/main" xmlns="" id="{00000000-0008-0000-29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91075" y="1066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133350</xdr:colOff>
      <xdr:row>69</xdr:row>
      <xdr:rowOff>28575</xdr:rowOff>
    </xdr:from>
    <xdr:to>
      <xdr:col>5</xdr:col>
      <xdr:colOff>209550</xdr:colOff>
      <xdr:row>69</xdr:row>
      <xdr:rowOff>161925</xdr:rowOff>
    </xdr:to>
    <xdr:pic>
      <xdr:nvPicPr>
        <xdr:cNvPr id="22" name="Picture 21">
          <a:extLst>
            <a:ext uri="{FF2B5EF4-FFF2-40B4-BE49-F238E27FC236}">
              <a16:creationId xmlns:a16="http://schemas.microsoft.com/office/drawing/2014/main" xmlns="" id="{00000000-0008-0000-29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11477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152400</xdr:colOff>
      <xdr:row>76</xdr:row>
      <xdr:rowOff>47625</xdr:rowOff>
    </xdr:from>
    <xdr:to>
      <xdr:col>18</xdr:col>
      <xdr:colOff>228600</xdr:colOff>
      <xdr:row>76</xdr:row>
      <xdr:rowOff>174625</xdr:rowOff>
    </xdr:to>
    <xdr:pic>
      <xdr:nvPicPr>
        <xdr:cNvPr id="23" name="Picture 22">
          <a:extLst>
            <a:ext uri="{FF2B5EF4-FFF2-40B4-BE49-F238E27FC236}">
              <a16:creationId xmlns:a16="http://schemas.microsoft.com/office/drawing/2014/main" xmlns="" id="{00000000-0008-0000-29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81550" y="12687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152400</xdr:colOff>
      <xdr:row>76</xdr:row>
      <xdr:rowOff>57150</xdr:rowOff>
    </xdr:from>
    <xdr:to>
      <xdr:col>28</xdr:col>
      <xdr:colOff>228600</xdr:colOff>
      <xdr:row>77</xdr:row>
      <xdr:rowOff>0</xdr:rowOff>
    </xdr:to>
    <xdr:pic>
      <xdr:nvPicPr>
        <xdr:cNvPr id="24" name="Picture 23">
          <a:extLst>
            <a:ext uri="{FF2B5EF4-FFF2-40B4-BE49-F238E27FC236}">
              <a16:creationId xmlns:a16="http://schemas.microsoft.com/office/drawing/2014/main" xmlns="" id="{00000000-0008-0000-29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0" y="12696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142875</xdr:colOff>
      <xdr:row>77</xdr:row>
      <xdr:rowOff>28575</xdr:rowOff>
    </xdr:from>
    <xdr:to>
      <xdr:col>17</xdr:col>
      <xdr:colOff>219075</xdr:colOff>
      <xdr:row>77</xdr:row>
      <xdr:rowOff>161925</xdr:rowOff>
    </xdr:to>
    <xdr:pic>
      <xdr:nvPicPr>
        <xdr:cNvPr id="25" name="Picture 24">
          <a:extLst>
            <a:ext uri="{FF2B5EF4-FFF2-40B4-BE49-F238E27FC236}">
              <a16:creationId xmlns:a16="http://schemas.microsoft.com/office/drawing/2014/main" xmlns="" id="{00000000-0008-0000-29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5" y="1285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101</xdr:row>
      <xdr:rowOff>19050</xdr:rowOff>
    </xdr:from>
    <xdr:to>
      <xdr:col>21</xdr:col>
      <xdr:colOff>19050</xdr:colOff>
      <xdr:row>101</xdr:row>
      <xdr:rowOff>152400</xdr:rowOff>
    </xdr:to>
    <xdr:pic>
      <xdr:nvPicPr>
        <xdr:cNvPr id="26" name="Picture 25">
          <a:extLst>
            <a:ext uri="{FF2B5EF4-FFF2-40B4-BE49-F238E27FC236}">
              <a16:creationId xmlns:a16="http://schemas.microsoft.com/office/drawing/2014/main" xmlns="" id="{00000000-0008-0000-29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7800" y="17487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123825</xdr:colOff>
      <xdr:row>118</xdr:row>
      <xdr:rowOff>9525</xdr:rowOff>
    </xdr:from>
    <xdr:to>
      <xdr:col>13</xdr:col>
      <xdr:colOff>200025</xdr:colOff>
      <xdr:row>118</xdr:row>
      <xdr:rowOff>142875</xdr:rowOff>
    </xdr:to>
    <xdr:pic>
      <xdr:nvPicPr>
        <xdr:cNvPr id="27" name="Picture 26">
          <a:extLst>
            <a:ext uri="{FF2B5EF4-FFF2-40B4-BE49-F238E27FC236}">
              <a16:creationId xmlns:a16="http://schemas.microsoft.com/office/drawing/2014/main" xmlns="" id="{00000000-0008-0000-2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14725" y="20393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200854</xdr:colOff>
      <xdr:row>122</xdr:row>
      <xdr:rowOff>52181</xdr:rowOff>
    </xdr:from>
    <xdr:to>
      <xdr:col>16</xdr:col>
      <xdr:colOff>28576</xdr:colOff>
      <xdr:row>122</xdr:row>
      <xdr:rowOff>185531</xdr:rowOff>
    </xdr:to>
    <xdr:pic>
      <xdr:nvPicPr>
        <xdr:cNvPr id="28" name="Picture 27">
          <a:extLst>
            <a:ext uri="{FF2B5EF4-FFF2-40B4-BE49-F238E27FC236}">
              <a16:creationId xmlns:a16="http://schemas.microsoft.com/office/drawing/2014/main" xmlns="" id="{00000000-0008-0000-29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93680" y="21388181"/>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142875</xdr:colOff>
      <xdr:row>110</xdr:row>
      <xdr:rowOff>19050</xdr:rowOff>
    </xdr:from>
    <xdr:to>
      <xdr:col>14</xdr:col>
      <xdr:colOff>219075</xdr:colOff>
      <xdr:row>110</xdr:row>
      <xdr:rowOff>152400</xdr:rowOff>
    </xdr:to>
    <xdr:pic>
      <xdr:nvPicPr>
        <xdr:cNvPr id="29" name="Picture 28">
          <a:extLst>
            <a:ext uri="{FF2B5EF4-FFF2-40B4-BE49-F238E27FC236}">
              <a16:creationId xmlns:a16="http://schemas.microsoft.com/office/drawing/2014/main" xmlns="" id="{00000000-0008-0000-2900-00001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1425" y="190309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129</xdr:row>
      <xdr:rowOff>0</xdr:rowOff>
    </xdr:from>
    <xdr:to>
      <xdr:col>27</xdr:col>
      <xdr:colOff>200025</xdr:colOff>
      <xdr:row>129</xdr:row>
      <xdr:rowOff>133350</xdr:rowOff>
    </xdr:to>
    <xdr:pic>
      <xdr:nvPicPr>
        <xdr:cNvPr id="30" name="Picture 29">
          <a:extLst>
            <a:ext uri="{FF2B5EF4-FFF2-40B4-BE49-F238E27FC236}">
              <a16:creationId xmlns:a16="http://schemas.microsoft.com/office/drawing/2014/main" xmlns="" id="{00000000-0008-0000-29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24218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147</xdr:row>
      <xdr:rowOff>38100</xdr:rowOff>
    </xdr:from>
    <xdr:to>
      <xdr:col>18</xdr:col>
      <xdr:colOff>209550</xdr:colOff>
      <xdr:row>147</xdr:row>
      <xdr:rowOff>171450</xdr:rowOff>
    </xdr:to>
    <xdr:pic>
      <xdr:nvPicPr>
        <xdr:cNvPr id="31" name="Picture 30">
          <a:extLst>
            <a:ext uri="{FF2B5EF4-FFF2-40B4-BE49-F238E27FC236}">
              <a16:creationId xmlns:a16="http://schemas.microsoft.com/office/drawing/2014/main" xmlns="" id="{00000000-0008-0000-29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25241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159</xdr:row>
      <xdr:rowOff>28575</xdr:rowOff>
    </xdr:from>
    <xdr:to>
      <xdr:col>27</xdr:col>
      <xdr:colOff>200025</xdr:colOff>
      <xdr:row>159</xdr:row>
      <xdr:rowOff>161925</xdr:rowOff>
    </xdr:to>
    <xdr:pic>
      <xdr:nvPicPr>
        <xdr:cNvPr id="32" name="Picture 31">
          <a:extLst>
            <a:ext uri="{FF2B5EF4-FFF2-40B4-BE49-F238E27FC236}">
              <a16:creationId xmlns:a16="http://schemas.microsoft.com/office/drawing/2014/main" xmlns="" id="{00000000-0008-0000-29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7517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174</xdr:row>
      <xdr:rowOff>28575</xdr:rowOff>
    </xdr:from>
    <xdr:to>
      <xdr:col>27</xdr:col>
      <xdr:colOff>200025</xdr:colOff>
      <xdr:row>174</xdr:row>
      <xdr:rowOff>161925</xdr:rowOff>
    </xdr:to>
    <xdr:pic>
      <xdr:nvPicPr>
        <xdr:cNvPr id="33" name="Picture 32">
          <a:extLst>
            <a:ext uri="{FF2B5EF4-FFF2-40B4-BE49-F238E27FC236}">
              <a16:creationId xmlns:a16="http://schemas.microsoft.com/office/drawing/2014/main" xmlns="" id="{00000000-0008-0000-29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30156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114300</xdr:colOff>
      <xdr:row>197</xdr:row>
      <xdr:rowOff>19050</xdr:rowOff>
    </xdr:from>
    <xdr:to>
      <xdr:col>27</xdr:col>
      <xdr:colOff>190500</xdr:colOff>
      <xdr:row>197</xdr:row>
      <xdr:rowOff>152400</xdr:rowOff>
    </xdr:to>
    <xdr:pic>
      <xdr:nvPicPr>
        <xdr:cNvPr id="34" name="Picture 33">
          <a:extLst>
            <a:ext uri="{FF2B5EF4-FFF2-40B4-BE49-F238E27FC236}">
              <a16:creationId xmlns:a16="http://schemas.microsoft.com/office/drawing/2014/main" xmlns="" id="{00000000-0008-0000-2900-00002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0" y="341185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182217</xdr:colOff>
      <xdr:row>169</xdr:row>
      <xdr:rowOff>25644</xdr:rowOff>
    </xdr:from>
    <xdr:to>
      <xdr:col>27</xdr:col>
      <xdr:colOff>235426</xdr:colOff>
      <xdr:row>171</xdr:row>
      <xdr:rowOff>85969</xdr:rowOff>
    </xdr:to>
    <xdr:sp macro="" textlink="">
      <xdr:nvSpPr>
        <xdr:cNvPr id="35" name="AutoShape 6">
          <a:extLst>
            <a:ext uri="{FF2B5EF4-FFF2-40B4-BE49-F238E27FC236}">
              <a16:creationId xmlns:a16="http://schemas.microsoft.com/office/drawing/2014/main" xmlns="" id="{00000000-0008-0000-29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5.xml><?xml version="1.0" encoding="utf-8"?>
<xdr:wsDr xmlns:xdr="http://schemas.openxmlformats.org/drawingml/2006/spreadsheetDrawing" xmlns:a="http://schemas.openxmlformats.org/drawingml/2006/main">
  <xdr:twoCellAnchor>
    <xdr:from>
      <xdr:col>10</xdr:col>
      <xdr:colOff>58614</xdr:colOff>
      <xdr:row>48</xdr:row>
      <xdr:rowOff>43962</xdr:rowOff>
    </xdr:from>
    <xdr:to>
      <xdr:col>10</xdr:col>
      <xdr:colOff>144094</xdr:colOff>
      <xdr:row>55</xdr:row>
      <xdr:rowOff>53278</xdr:rowOff>
    </xdr:to>
    <xdr:sp macro="" textlink="">
      <xdr:nvSpPr>
        <xdr:cNvPr id="107241" name="AutoShape 7">
          <a:extLst>
            <a:ext uri="{FF2B5EF4-FFF2-40B4-BE49-F238E27FC236}">
              <a16:creationId xmlns:a16="http://schemas.microsoft.com/office/drawing/2014/main" xmlns="" id="{00000000-0008-0000-2A00-0000E9A20100}"/>
            </a:ext>
          </a:extLst>
        </xdr:cNvPr>
        <xdr:cNvSpPr>
          <a:spLocks/>
        </xdr:cNvSpPr>
      </xdr:nvSpPr>
      <xdr:spPr bwMode="auto">
        <a:xfrm>
          <a:off x="5758960" y="9078058"/>
          <a:ext cx="85480" cy="1181624"/>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9560</xdr:colOff>
      <xdr:row>85</xdr:row>
      <xdr:rowOff>82615</xdr:rowOff>
    </xdr:from>
    <xdr:to>
      <xdr:col>7</xdr:col>
      <xdr:colOff>76235</xdr:colOff>
      <xdr:row>88</xdr:row>
      <xdr:rowOff>15940</xdr:rowOff>
    </xdr:to>
    <xdr:sp macro="" textlink="">
      <xdr:nvSpPr>
        <xdr:cNvPr id="107244" name="AutoShape 318">
          <a:extLst>
            <a:ext uri="{FF2B5EF4-FFF2-40B4-BE49-F238E27FC236}">
              <a16:creationId xmlns:a16="http://schemas.microsoft.com/office/drawing/2014/main" xmlns="" id="{00000000-0008-0000-2A00-0000ECA20100}"/>
            </a:ext>
          </a:extLst>
        </xdr:cNvPr>
        <xdr:cNvSpPr>
          <a:spLocks/>
        </xdr:cNvSpPr>
      </xdr:nvSpPr>
      <xdr:spPr bwMode="auto">
        <a:xfrm>
          <a:off x="4436178" y="15583299"/>
          <a:ext cx="66675" cy="454694"/>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647372</xdr:colOff>
      <xdr:row>98</xdr:row>
      <xdr:rowOff>169151</xdr:rowOff>
    </xdr:from>
    <xdr:to>
      <xdr:col>6</xdr:col>
      <xdr:colOff>714047</xdr:colOff>
      <xdr:row>102</xdr:row>
      <xdr:rowOff>102476</xdr:rowOff>
    </xdr:to>
    <xdr:sp macro="" textlink="">
      <xdr:nvSpPr>
        <xdr:cNvPr id="13" name="AutoShape 318">
          <a:extLst>
            <a:ext uri="{FF2B5EF4-FFF2-40B4-BE49-F238E27FC236}">
              <a16:creationId xmlns:a16="http://schemas.microsoft.com/office/drawing/2014/main" xmlns="" id="{00000000-0008-0000-2A00-00000D000000}"/>
            </a:ext>
          </a:extLst>
        </xdr:cNvPr>
        <xdr:cNvSpPr>
          <a:spLocks/>
        </xdr:cNvSpPr>
      </xdr:nvSpPr>
      <xdr:spPr bwMode="auto">
        <a:xfrm>
          <a:off x="4200197" y="18171401"/>
          <a:ext cx="66675" cy="6572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xmlns="" id="{00000000-0008-0000-2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27</xdr:col>
      <xdr:colOff>48986</xdr:colOff>
      <xdr:row>110</xdr:row>
      <xdr:rowOff>42182</xdr:rowOff>
    </xdr:from>
    <xdr:ext cx="66675" cy="157150"/>
    <xdr:pic>
      <xdr:nvPicPr>
        <xdr:cNvPr id="23" name="Picture 9">
          <a:extLst>
            <a:ext uri="{FF2B5EF4-FFF2-40B4-BE49-F238E27FC236}">
              <a16:creationId xmlns:a16="http://schemas.microsoft.com/office/drawing/2014/main" xmlns="" id="{00000000-0008-0000-2A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66851" y="29987317"/>
          <a:ext cx="66675" cy="1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9525</xdr:colOff>
      <xdr:row>114</xdr:row>
      <xdr:rowOff>0</xdr:rowOff>
    </xdr:from>
    <xdr:ext cx="95250" cy="161193"/>
    <xdr:pic>
      <xdr:nvPicPr>
        <xdr:cNvPr id="24" name="Picture 10">
          <a:extLst>
            <a:ext uri="{FF2B5EF4-FFF2-40B4-BE49-F238E27FC236}">
              <a16:creationId xmlns:a16="http://schemas.microsoft.com/office/drawing/2014/main" xmlns="" id="{00000000-0008-0000-2A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27390" y="30604558"/>
          <a:ext cx="95250" cy="16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575128</xdr:colOff>
      <xdr:row>84</xdr:row>
      <xdr:rowOff>144236</xdr:rowOff>
    </xdr:from>
    <xdr:ext cx="345274" cy="340272"/>
    <xdr:pic>
      <xdr:nvPicPr>
        <xdr:cNvPr id="25" name="Picture 24">
          <a:extLst>
            <a:ext uri="{FF2B5EF4-FFF2-40B4-BE49-F238E27FC236}">
              <a16:creationId xmlns:a16="http://schemas.microsoft.com/office/drawing/2014/main" xmlns="" id="{00000000-0008-0000-2A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118</xdr:row>
      <xdr:rowOff>69753</xdr:rowOff>
    </xdr:from>
    <xdr:ext cx="450542" cy="445908"/>
    <xdr:pic>
      <xdr:nvPicPr>
        <xdr:cNvPr id="26" name="Picture 25">
          <a:extLst>
            <a:ext uri="{FF2B5EF4-FFF2-40B4-BE49-F238E27FC236}">
              <a16:creationId xmlns:a16="http://schemas.microsoft.com/office/drawing/2014/main" xmlns="" id="{00000000-0008-0000-2A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84385</xdr:colOff>
      <xdr:row>131</xdr:row>
      <xdr:rowOff>74760</xdr:rowOff>
    </xdr:from>
    <xdr:to>
      <xdr:col>27</xdr:col>
      <xdr:colOff>176704</xdr:colOff>
      <xdr:row>139</xdr:row>
      <xdr:rowOff>170010</xdr:rowOff>
    </xdr:to>
    <xdr:sp macro="" textlink="">
      <xdr:nvSpPr>
        <xdr:cNvPr id="27" name="AutoShape 7">
          <a:extLst>
            <a:ext uri="{FF2B5EF4-FFF2-40B4-BE49-F238E27FC236}">
              <a16:creationId xmlns:a16="http://schemas.microsoft.com/office/drawing/2014/main" xmlns="" id="{00000000-0008-0000-2A00-00001B000000}"/>
            </a:ext>
          </a:extLst>
        </xdr:cNvPr>
        <xdr:cNvSpPr>
          <a:spLocks/>
        </xdr:cNvSpPr>
      </xdr:nvSpPr>
      <xdr:spPr bwMode="auto">
        <a:xfrm>
          <a:off x="16749851" y="24721519"/>
          <a:ext cx="92319" cy="1468163"/>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121</xdr:row>
      <xdr:rowOff>9526</xdr:rowOff>
    </xdr:from>
    <xdr:to>
      <xdr:col>22</xdr:col>
      <xdr:colOff>990600</xdr:colOff>
      <xdr:row>122</xdr:row>
      <xdr:rowOff>447</xdr:rowOff>
    </xdr:to>
    <xdr:pic>
      <xdr:nvPicPr>
        <xdr:cNvPr id="16" name="Picture 15">
          <a:extLst>
            <a:ext uri="{FF2B5EF4-FFF2-40B4-BE49-F238E27FC236}">
              <a16:creationId xmlns:a16="http://schemas.microsoft.com/office/drawing/2014/main" xmlns="" id="{00000000-0008-0000-2A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611242</xdr:colOff>
      <xdr:row>41</xdr:row>
      <xdr:rowOff>91310</xdr:rowOff>
    </xdr:from>
    <xdr:to>
      <xdr:col>10</xdr:col>
      <xdr:colOff>683501</xdr:colOff>
      <xdr:row>44</xdr:row>
      <xdr:rowOff>150431</xdr:rowOff>
    </xdr:to>
    <xdr:sp macro="" textlink="">
      <xdr:nvSpPr>
        <xdr:cNvPr id="17" name="AutoShape 7">
          <a:extLst>
            <a:ext uri="{FF2B5EF4-FFF2-40B4-BE49-F238E27FC236}">
              <a16:creationId xmlns:a16="http://schemas.microsoft.com/office/drawing/2014/main" xmlns="" id="{00000000-0008-0000-2A00-000011000000}"/>
            </a:ext>
          </a:extLst>
        </xdr:cNvPr>
        <xdr:cNvSpPr>
          <a:spLocks/>
        </xdr:cNvSpPr>
      </xdr:nvSpPr>
      <xdr:spPr bwMode="auto">
        <a:xfrm>
          <a:off x="6259567" y="835901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352425</xdr:colOff>
      <xdr:row>6</xdr:row>
      <xdr:rowOff>19050</xdr:rowOff>
    </xdr:from>
    <xdr:to>
      <xdr:col>4</xdr:col>
      <xdr:colOff>409575</xdr:colOff>
      <xdr:row>6</xdr:row>
      <xdr:rowOff>125016</xdr:rowOff>
    </xdr:to>
    <xdr:sp macro="" textlink="">
      <xdr:nvSpPr>
        <xdr:cNvPr id="19" name="AutoShape 85">
          <a:extLst>
            <a:ext uri="{FF2B5EF4-FFF2-40B4-BE49-F238E27FC236}">
              <a16:creationId xmlns:a16="http://schemas.microsoft.com/office/drawing/2014/main" xmlns="" id="{00000000-0008-0000-2A00-000013000000}"/>
            </a:ext>
          </a:extLst>
        </xdr:cNvPr>
        <xdr:cNvSpPr>
          <a:spLocks noChangeArrowheads="1"/>
        </xdr:cNvSpPr>
      </xdr:nvSpPr>
      <xdr:spPr bwMode="auto">
        <a:xfrm rot="5400000">
          <a:off x="1871067" y="1195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628650</xdr:colOff>
      <xdr:row>7</xdr:row>
      <xdr:rowOff>0</xdr:rowOff>
    </xdr:from>
    <xdr:to>
      <xdr:col>5</xdr:col>
      <xdr:colOff>685800</xdr:colOff>
      <xdr:row>7</xdr:row>
      <xdr:rowOff>105966</xdr:rowOff>
    </xdr:to>
    <xdr:sp macro="" textlink="">
      <xdr:nvSpPr>
        <xdr:cNvPr id="20" name="AutoShape 85">
          <a:extLst>
            <a:ext uri="{FF2B5EF4-FFF2-40B4-BE49-F238E27FC236}">
              <a16:creationId xmlns:a16="http://schemas.microsoft.com/office/drawing/2014/main" xmlns="" id="{00000000-0008-0000-2A00-000014000000}"/>
            </a:ext>
          </a:extLst>
        </xdr:cNvPr>
        <xdr:cNvSpPr>
          <a:spLocks noChangeArrowheads="1"/>
        </xdr:cNvSpPr>
      </xdr:nvSpPr>
      <xdr:spPr bwMode="auto">
        <a:xfrm rot="5400000">
          <a:off x="2775942" y="13388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704850</xdr:colOff>
      <xdr:row>83</xdr:row>
      <xdr:rowOff>47625</xdr:rowOff>
    </xdr:from>
    <xdr:to>
      <xdr:col>10</xdr:col>
      <xdr:colOff>762000</xdr:colOff>
      <xdr:row>83</xdr:row>
      <xdr:rowOff>153591</xdr:rowOff>
    </xdr:to>
    <xdr:sp macro="" textlink="">
      <xdr:nvSpPr>
        <xdr:cNvPr id="21" name="AutoShape 85">
          <a:extLst>
            <a:ext uri="{FF2B5EF4-FFF2-40B4-BE49-F238E27FC236}">
              <a16:creationId xmlns:a16="http://schemas.microsoft.com/office/drawing/2014/main" xmlns="" id="{00000000-0008-0000-2A00-000015000000}"/>
            </a:ext>
          </a:extLst>
        </xdr:cNvPr>
        <xdr:cNvSpPr>
          <a:spLocks noChangeArrowheads="1"/>
        </xdr:cNvSpPr>
      </xdr:nvSpPr>
      <xdr:spPr bwMode="auto">
        <a:xfrm rot="5400000">
          <a:off x="6395442" y="15216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111</xdr:row>
      <xdr:rowOff>76201</xdr:rowOff>
    </xdr:from>
    <xdr:to>
      <xdr:col>10</xdr:col>
      <xdr:colOff>770021</xdr:colOff>
      <xdr:row>112</xdr:row>
      <xdr:rowOff>1192</xdr:rowOff>
    </xdr:to>
    <xdr:sp macro="" textlink="">
      <xdr:nvSpPr>
        <xdr:cNvPr id="22" name="AutoShape 85">
          <a:extLst>
            <a:ext uri="{FF2B5EF4-FFF2-40B4-BE49-F238E27FC236}">
              <a16:creationId xmlns:a16="http://schemas.microsoft.com/office/drawing/2014/main" xmlns="" id="{00000000-0008-0000-2A00-000016000000}"/>
            </a:ext>
          </a:extLst>
        </xdr:cNvPr>
        <xdr:cNvSpPr>
          <a:spLocks noChangeArrowheads="1"/>
        </xdr:cNvSpPr>
      </xdr:nvSpPr>
      <xdr:spPr bwMode="auto">
        <a:xfrm rot="5400000">
          <a:off x="6408726" y="20193096"/>
          <a:ext cx="105465"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115</xdr:row>
      <xdr:rowOff>57150</xdr:rowOff>
    </xdr:from>
    <xdr:to>
      <xdr:col>10</xdr:col>
      <xdr:colOff>770021</xdr:colOff>
      <xdr:row>115</xdr:row>
      <xdr:rowOff>163116</xdr:rowOff>
    </xdr:to>
    <xdr:sp macro="" textlink="">
      <xdr:nvSpPr>
        <xdr:cNvPr id="28" name="AutoShape 85">
          <a:extLst>
            <a:ext uri="{FF2B5EF4-FFF2-40B4-BE49-F238E27FC236}">
              <a16:creationId xmlns:a16="http://schemas.microsoft.com/office/drawing/2014/main" xmlns="" id="{00000000-0008-0000-2A00-00001C000000}"/>
            </a:ext>
          </a:extLst>
        </xdr:cNvPr>
        <xdr:cNvSpPr>
          <a:spLocks noChangeArrowheads="1"/>
        </xdr:cNvSpPr>
      </xdr:nvSpPr>
      <xdr:spPr bwMode="auto">
        <a:xfrm rot="5400000">
          <a:off x="6408476" y="2089619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657225</xdr:colOff>
      <xdr:row>119</xdr:row>
      <xdr:rowOff>66675</xdr:rowOff>
    </xdr:from>
    <xdr:to>
      <xdr:col>10</xdr:col>
      <xdr:colOff>714375</xdr:colOff>
      <xdr:row>119</xdr:row>
      <xdr:rowOff>172641</xdr:rowOff>
    </xdr:to>
    <xdr:sp macro="" textlink="">
      <xdr:nvSpPr>
        <xdr:cNvPr id="29" name="AutoShape 85">
          <a:extLst>
            <a:ext uri="{FF2B5EF4-FFF2-40B4-BE49-F238E27FC236}">
              <a16:creationId xmlns:a16="http://schemas.microsoft.com/office/drawing/2014/main" xmlns="" id="{00000000-0008-0000-2A00-00001D000000}"/>
            </a:ext>
          </a:extLst>
        </xdr:cNvPr>
        <xdr:cNvSpPr>
          <a:spLocks noChangeArrowheads="1"/>
        </xdr:cNvSpPr>
      </xdr:nvSpPr>
      <xdr:spPr bwMode="auto">
        <a:xfrm rot="5400000">
          <a:off x="6281142" y="218842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59120</xdr:colOff>
      <xdr:row>35</xdr:row>
      <xdr:rowOff>52552</xdr:rowOff>
    </xdr:from>
    <xdr:to>
      <xdr:col>25</xdr:col>
      <xdr:colOff>131379</xdr:colOff>
      <xdr:row>38</xdr:row>
      <xdr:rowOff>52552</xdr:rowOff>
    </xdr:to>
    <xdr:sp macro="" textlink="">
      <xdr:nvSpPr>
        <xdr:cNvPr id="30" name="AutoShape 7">
          <a:extLst>
            <a:ext uri="{FF2B5EF4-FFF2-40B4-BE49-F238E27FC236}">
              <a16:creationId xmlns:a16="http://schemas.microsoft.com/office/drawing/2014/main" xmlns="" id="{00000000-0008-0000-2A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23</xdr:row>
      <xdr:rowOff>65690</xdr:rowOff>
    </xdr:from>
    <xdr:to>
      <xdr:col>25</xdr:col>
      <xdr:colOff>216777</xdr:colOff>
      <xdr:row>26</xdr:row>
      <xdr:rowOff>65690</xdr:rowOff>
    </xdr:to>
    <xdr:sp macro="" textlink="">
      <xdr:nvSpPr>
        <xdr:cNvPr id="31" name="AutoShape 7">
          <a:extLst>
            <a:ext uri="{FF2B5EF4-FFF2-40B4-BE49-F238E27FC236}">
              <a16:creationId xmlns:a16="http://schemas.microsoft.com/office/drawing/2014/main" xmlns="" id="{00000000-0008-0000-2A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xdr:from>
      <xdr:col>11</xdr:col>
      <xdr:colOff>133350</xdr:colOff>
      <xdr:row>3</xdr:row>
      <xdr:rowOff>9525</xdr:rowOff>
    </xdr:from>
    <xdr:to>
      <xdr:col>11</xdr:col>
      <xdr:colOff>190500</xdr:colOff>
      <xdr:row>3</xdr:row>
      <xdr:rowOff>115491</xdr:rowOff>
    </xdr:to>
    <xdr:sp macro="" textlink="">
      <xdr:nvSpPr>
        <xdr:cNvPr id="2" name="AutoShape 85">
          <a:extLst>
            <a:ext uri="{FF2B5EF4-FFF2-40B4-BE49-F238E27FC236}">
              <a16:creationId xmlns:a16="http://schemas.microsoft.com/office/drawing/2014/main" xmlns="" id="{00000000-0008-0000-2B00-000002000000}"/>
            </a:ext>
          </a:extLst>
        </xdr:cNvPr>
        <xdr:cNvSpPr>
          <a:spLocks noChangeArrowheads="1"/>
        </xdr:cNvSpPr>
      </xdr:nvSpPr>
      <xdr:spPr bwMode="auto">
        <a:xfrm rot="5400000">
          <a:off x="2623542" y="738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142875</xdr:colOff>
      <xdr:row>5</xdr:row>
      <xdr:rowOff>9525</xdr:rowOff>
    </xdr:from>
    <xdr:to>
      <xdr:col>7</xdr:col>
      <xdr:colOff>200025</xdr:colOff>
      <xdr:row>5</xdr:row>
      <xdr:rowOff>115491</xdr:rowOff>
    </xdr:to>
    <xdr:sp macro="" textlink="">
      <xdr:nvSpPr>
        <xdr:cNvPr id="3" name="AutoShape 85">
          <a:extLst>
            <a:ext uri="{FF2B5EF4-FFF2-40B4-BE49-F238E27FC236}">
              <a16:creationId xmlns:a16="http://schemas.microsoft.com/office/drawing/2014/main" xmlns="" id="{00000000-0008-0000-2B00-000003000000}"/>
            </a:ext>
          </a:extLst>
        </xdr:cNvPr>
        <xdr:cNvSpPr>
          <a:spLocks noChangeArrowheads="1"/>
        </xdr:cNvSpPr>
      </xdr:nvSpPr>
      <xdr:spPr bwMode="auto">
        <a:xfrm rot="5400000">
          <a:off x="1718667" y="1062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123825</xdr:colOff>
      <xdr:row>44</xdr:row>
      <xdr:rowOff>38100</xdr:rowOff>
    </xdr:from>
    <xdr:to>
      <xdr:col>33</xdr:col>
      <xdr:colOff>180975</xdr:colOff>
      <xdr:row>44</xdr:row>
      <xdr:rowOff>144066</xdr:rowOff>
    </xdr:to>
    <xdr:sp macro="" textlink="">
      <xdr:nvSpPr>
        <xdr:cNvPr id="4" name="AutoShape 85">
          <a:extLst>
            <a:ext uri="{FF2B5EF4-FFF2-40B4-BE49-F238E27FC236}">
              <a16:creationId xmlns:a16="http://schemas.microsoft.com/office/drawing/2014/main" xmlns="" id="{00000000-0008-0000-2B00-000004000000}"/>
            </a:ext>
          </a:extLst>
        </xdr:cNvPr>
        <xdr:cNvSpPr>
          <a:spLocks noChangeArrowheads="1"/>
        </xdr:cNvSpPr>
      </xdr:nvSpPr>
      <xdr:spPr bwMode="auto">
        <a:xfrm rot="5400000">
          <a:off x="6833592" y="7253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46</xdr:row>
      <xdr:rowOff>47625</xdr:rowOff>
    </xdr:from>
    <xdr:to>
      <xdr:col>33</xdr:col>
      <xdr:colOff>171450</xdr:colOff>
      <xdr:row>46</xdr:row>
      <xdr:rowOff>153591</xdr:rowOff>
    </xdr:to>
    <xdr:sp macro="" textlink="">
      <xdr:nvSpPr>
        <xdr:cNvPr id="5" name="AutoShape 85">
          <a:extLst>
            <a:ext uri="{FF2B5EF4-FFF2-40B4-BE49-F238E27FC236}">
              <a16:creationId xmlns:a16="http://schemas.microsoft.com/office/drawing/2014/main" xmlns="" id="{00000000-0008-0000-2B00-000005000000}"/>
            </a:ext>
          </a:extLst>
        </xdr:cNvPr>
        <xdr:cNvSpPr>
          <a:spLocks noChangeArrowheads="1"/>
        </xdr:cNvSpPr>
      </xdr:nvSpPr>
      <xdr:spPr bwMode="auto">
        <a:xfrm rot="5400000">
          <a:off x="6824067" y="7634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47</xdr:row>
      <xdr:rowOff>57150</xdr:rowOff>
    </xdr:from>
    <xdr:to>
      <xdr:col>33</xdr:col>
      <xdr:colOff>171450</xdr:colOff>
      <xdr:row>47</xdr:row>
      <xdr:rowOff>163116</xdr:rowOff>
    </xdr:to>
    <xdr:sp macro="" textlink="">
      <xdr:nvSpPr>
        <xdr:cNvPr id="6" name="AutoShape 85">
          <a:extLst>
            <a:ext uri="{FF2B5EF4-FFF2-40B4-BE49-F238E27FC236}">
              <a16:creationId xmlns:a16="http://schemas.microsoft.com/office/drawing/2014/main" xmlns="" id="{00000000-0008-0000-2B00-000006000000}"/>
            </a:ext>
          </a:extLst>
        </xdr:cNvPr>
        <xdr:cNvSpPr>
          <a:spLocks noChangeArrowheads="1"/>
        </xdr:cNvSpPr>
      </xdr:nvSpPr>
      <xdr:spPr bwMode="auto">
        <a:xfrm rot="5400000">
          <a:off x="6824067" y="78349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56</xdr:row>
      <xdr:rowOff>38100</xdr:rowOff>
    </xdr:from>
    <xdr:to>
      <xdr:col>27</xdr:col>
      <xdr:colOff>133350</xdr:colOff>
      <xdr:row>56</xdr:row>
      <xdr:rowOff>144066</xdr:rowOff>
    </xdr:to>
    <xdr:sp macro="" textlink="">
      <xdr:nvSpPr>
        <xdr:cNvPr id="7" name="AutoShape 85">
          <a:extLst>
            <a:ext uri="{FF2B5EF4-FFF2-40B4-BE49-F238E27FC236}">
              <a16:creationId xmlns:a16="http://schemas.microsoft.com/office/drawing/2014/main" xmlns="" id="{00000000-0008-0000-2B00-000007000000}"/>
            </a:ext>
          </a:extLst>
        </xdr:cNvPr>
        <xdr:cNvSpPr>
          <a:spLocks noChangeArrowheads="1"/>
        </xdr:cNvSpPr>
      </xdr:nvSpPr>
      <xdr:spPr bwMode="auto">
        <a:xfrm rot="5400000">
          <a:off x="5509617" y="949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57</xdr:row>
      <xdr:rowOff>28575</xdr:rowOff>
    </xdr:from>
    <xdr:to>
      <xdr:col>33</xdr:col>
      <xdr:colOff>171450</xdr:colOff>
      <xdr:row>57</xdr:row>
      <xdr:rowOff>134541</xdr:rowOff>
    </xdr:to>
    <xdr:sp macro="" textlink="">
      <xdr:nvSpPr>
        <xdr:cNvPr id="8" name="AutoShape 85">
          <a:extLst>
            <a:ext uri="{FF2B5EF4-FFF2-40B4-BE49-F238E27FC236}">
              <a16:creationId xmlns:a16="http://schemas.microsoft.com/office/drawing/2014/main" xmlns="" id="{00000000-0008-0000-2B00-000008000000}"/>
            </a:ext>
          </a:extLst>
        </xdr:cNvPr>
        <xdr:cNvSpPr>
          <a:spLocks noChangeArrowheads="1"/>
        </xdr:cNvSpPr>
      </xdr:nvSpPr>
      <xdr:spPr bwMode="auto">
        <a:xfrm rot="5400000">
          <a:off x="6824067" y="967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29</xdr:col>
      <xdr:colOff>123825</xdr:colOff>
      <xdr:row>106</xdr:row>
      <xdr:rowOff>9525</xdr:rowOff>
    </xdr:from>
    <xdr:to>
      <xdr:col>29</xdr:col>
      <xdr:colOff>180975</xdr:colOff>
      <xdr:row>106</xdr:row>
      <xdr:rowOff>115491</xdr:rowOff>
    </xdr:to>
    <xdr:sp macro="" textlink="">
      <xdr:nvSpPr>
        <xdr:cNvPr id="10" name="AutoShape 85">
          <a:extLst>
            <a:ext uri="{FF2B5EF4-FFF2-40B4-BE49-F238E27FC236}">
              <a16:creationId xmlns:a16="http://schemas.microsoft.com/office/drawing/2014/main" xmlns="" id="{00000000-0008-0000-2B00-00000A000000}"/>
            </a:ext>
          </a:extLst>
        </xdr:cNvPr>
        <xdr:cNvSpPr>
          <a:spLocks noChangeArrowheads="1"/>
        </xdr:cNvSpPr>
      </xdr:nvSpPr>
      <xdr:spPr bwMode="auto">
        <a:xfrm rot="5400000">
          <a:off x="5947767" y="19607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114300</xdr:colOff>
      <xdr:row>108</xdr:row>
      <xdr:rowOff>38100</xdr:rowOff>
    </xdr:from>
    <xdr:to>
      <xdr:col>34</xdr:col>
      <xdr:colOff>171450</xdr:colOff>
      <xdr:row>108</xdr:row>
      <xdr:rowOff>144066</xdr:rowOff>
    </xdr:to>
    <xdr:sp macro="" textlink="">
      <xdr:nvSpPr>
        <xdr:cNvPr id="11" name="AutoShape 85">
          <a:extLst>
            <a:ext uri="{FF2B5EF4-FFF2-40B4-BE49-F238E27FC236}">
              <a16:creationId xmlns:a16="http://schemas.microsoft.com/office/drawing/2014/main" xmlns="" id="{00000000-0008-0000-2B00-00000B000000}"/>
            </a:ext>
          </a:extLst>
        </xdr:cNvPr>
        <xdr:cNvSpPr>
          <a:spLocks noChangeArrowheads="1"/>
        </xdr:cNvSpPr>
      </xdr:nvSpPr>
      <xdr:spPr bwMode="auto">
        <a:xfrm rot="5400000">
          <a:off x="7081242" y="19960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76200</xdr:colOff>
      <xdr:row>108</xdr:row>
      <xdr:rowOff>57150</xdr:rowOff>
    </xdr:from>
    <xdr:to>
      <xdr:col>8</xdr:col>
      <xdr:colOff>133350</xdr:colOff>
      <xdr:row>108</xdr:row>
      <xdr:rowOff>163116</xdr:rowOff>
    </xdr:to>
    <xdr:sp macro="" textlink="">
      <xdr:nvSpPr>
        <xdr:cNvPr id="12" name="AutoShape 85">
          <a:extLst>
            <a:ext uri="{FF2B5EF4-FFF2-40B4-BE49-F238E27FC236}">
              <a16:creationId xmlns:a16="http://schemas.microsoft.com/office/drawing/2014/main" xmlns="" id="{00000000-0008-0000-2B00-00000C000000}"/>
            </a:ext>
          </a:extLst>
        </xdr:cNvPr>
        <xdr:cNvSpPr>
          <a:spLocks noChangeArrowheads="1"/>
        </xdr:cNvSpPr>
      </xdr:nvSpPr>
      <xdr:spPr bwMode="auto">
        <a:xfrm rot="5400000">
          <a:off x="1909167" y="19950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113</xdr:row>
      <xdr:rowOff>38100</xdr:rowOff>
    </xdr:from>
    <xdr:to>
      <xdr:col>34</xdr:col>
      <xdr:colOff>180975</xdr:colOff>
      <xdr:row>113</xdr:row>
      <xdr:rowOff>144066</xdr:rowOff>
    </xdr:to>
    <xdr:sp macro="" textlink="">
      <xdr:nvSpPr>
        <xdr:cNvPr id="15" name="AutoShape 85">
          <a:extLst>
            <a:ext uri="{FF2B5EF4-FFF2-40B4-BE49-F238E27FC236}">
              <a16:creationId xmlns:a16="http://schemas.microsoft.com/office/drawing/2014/main" xmlns="" id="{00000000-0008-0000-2B00-00000F000000}"/>
            </a:ext>
          </a:extLst>
        </xdr:cNvPr>
        <xdr:cNvSpPr>
          <a:spLocks noChangeArrowheads="1"/>
        </xdr:cNvSpPr>
      </xdr:nvSpPr>
      <xdr:spPr bwMode="auto">
        <a:xfrm rot="5400000">
          <a:off x="7090767" y="21979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113</xdr:row>
      <xdr:rowOff>28575</xdr:rowOff>
    </xdr:from>
    <xdr:to>
      <xdr:col>21</xdr:col>
      <xdr:colOff>114300</xdr:colOff>
      <xdr:row>113</xdr:row>
      <xdr:rowOff>134541</xdr:rowOff>
    </xdr:to>
    <xdr:sp macro="" textlink="">
      <xdr:nvSpPr>
        <xdr:cNvPr id="16" name="AutoShape 85">
          <a:extLst>
            <a:ext uri="{FF2B5EF4-FFF2-40B4-BE49-F238E27FC236}">
              <a16:creationId xmlns:a16="http://schemas.microsoft.com/office/drawing/2014/main" xmlns="" id="{00000000-0008-0000-2B00-000010000000}"/>
            </a:ext>
          </a:extLst>
        </xdr:cNvPr>
        <xdr:cNvSpPr>
          <a:spLocks noChangeArrowheads="1"/>
        </xdr:cNvSpPr>
      </xdr:nvSpPr>
      <xdr:spPr bwMode="auto">
        <a:xfrm rot="5400000">
          <a:off x="4433292" y="219700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113</xdr:row>
      <xdr:rowOff>47625</xdr:rowOff>
    </xdr:from>
    <xdr:to>
      <xdr:col>5</xdr:col>
      <xdr:colOff>209550</xdr:colOff>
      <xdr:row>113</xdr:row>
      <xdr:rowOff>153591</xdr:rowOff>
    </xdr:to>
    <xdr:sp macro="" textlink="">
      <xdr:nvSpPr>
        <xdr:cNvPr id="17" name="AutoShape 85">
          <a:extLst>
            <a:ext uri="{FF2B5EF4-FFF2-40B4-BE49-F238E27FC236}">
              <a16:creationId xmlns:a16="http://schemas.microsoft.com/office/drawing/2014/main" xmlns="" id="{00000000-0008-0000-2B00-000011000000}"/>
            </a:ext>
          </a:extLst>
        </xdr:cNvPr>
        <xdr:cNvSpPr>
          <a:spLocks noChangeArrowheads="1"/>
        </xdr:cNvSpPr>
      </xdr:nvSpPr>
      <xdr:spPr bwMode="auto">
        <a:xfrm rot="5400000">
          <a:off x="1299567" y="21989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0</xdr:colOff>
      <xdr:row>120</xdr:row>
      <xdr:rowOff>19050</xdr:rowOff>
    </xdr:from>
    <xdr:to>
      <xdr:col>13</xdr:col>
      <xdr:colOff>57150</xdr:colOff>
      <xdr:row>120</xdr:row>
      <xdr:rowOff>125016</xdr:rowOff>
    </xdr:to>
    <xdr:sp macro="" textlink="">
      <xdr:nvSpPr>
        <xdr:cNvPr id="18" name="AutoShape 85">
          <a:extLst>
            <a:ext uri="{FF2B5EF4-FFF2-40B4-BE49-F238E27FC236}">
              <a16:creationId xmlns:a16="http://schemas.microsoft.com/office/drawing/2014/main" xmlns="" id="{00000000-0008-0000-2B00-000012000000}"/>
            </a:ext>
          </a:extLst>
        </xdr:cNvPr>
        <xdr:cNvSpPr>
          <a:spLocks noChangeArrowheads="1"/>
        </xdr:cNvSpPr>
      </xdr:nvSpPr>
      <xdr:spPr bwMode="auto">
        <a:xfrm rot="5400000">
          <a:off x="2928342" y="232844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124</xdr:row>
      <xdr:rowOff>28575</xdr:rowOff>
    </xdr:from>
    <xdr:to>
      <xdr:col>32</xdr:col>
      <xdr:colOff>171450</xdr:colOff>
      <xdr:row>124</xdr:row>
      <xdr:rowOff>134541</xdr:rowOff>
    </xdr:to>
    <xdr:sp macro="" textlink="">
      <xdr:nvSpPr>
        <xdr:cNvPr id="19" name="AutoShape 85">
          <a:extLst>
            <a:ext uri="{FF2B5EF4-FFF2-40B4-BE49-F238E27FC236}">
              <a16:creationId xmlns:a16="http://schemas.microsoft.com/office/drawing/2014/main" xmlns="" id="{00000000-0008-0000-2B00-000013000000}"/>
            </a:ext>
          </a:extLst>
        </xdr:cNvPr>
        <xdr:cNvSpPr>
          <a:spLocks noChangeArrowheads="1"/>
        </xdr:cNvSpPr>
      </xdr:nvSpPr>
      <xdr:spPr bwMode="auto">
        <a:xfrm rot="5400000">
          <a:off x="6624042" y="23960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7.xml><?xml version="1.0" encoding="utf-8"?>
<xdr:wsDr xmlns:xdr="http://schemas.openxmlformats.org/drawingml/2006/spreadsheetDrawing" xmlns:a="http://schemas.openxmlformats.org/drawingml/2006/main">
  <xdr:twoCellAnchor>
    <xdr:from>
      <xdr:col>9</xdr:col>
      <xdr:colOff>180975</xdr:colOff>
      <xdr:row>5</xdr:row>
      <xdr:rowOff>9525</xdr:rowOff>
    </xdr:from>
    <xdr:to>
      <xdr:col>9</xdr:col>
      <xdr:colOff>238125</xdr:colOff>
      <xdr:row>5</xdr:row>
      <xdr:rowOff>115491</xdr:rowOff>
    </xdr:to>
    <xdr:sp macro="" textlink="">
      <xdr:nvSpPr>
        <xdr:cNvPr id="3" name="AutoShape 85">
          <a:extLst>
            <a:ext uri="{FF2B5EF4-FFF2-40B4-BE49-F238E27FC236}">
              <a16:creationId xmlns:a16="http://schemas.microsoft.com/office/drawing/2014/main" xmlns="" id="{00000000-0008-0000-2C00-000003000000}"/>
            </a:ext>
          </a:extLst>
        </xdr:cNvPr>
        <xdr:cNvSpPr>
          <a:spLocks noChangeArrowheads="1"/>
        </xdr:cNvSpPr>
      </xdr:nvSpPr>
      <xdr:spPr bwMode="auto">
        <a:xfrm rot="5400000">
          <a:off x="2166342" y="900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123825</xdr:colOff>
      <xdr:row>4</xdr:row>
      <xdr:rowOff>28575</xdr:rowOff>
    </xdr:from>
    <xdr:to>
      <xdr:col>11</xdr:col>
      <xdr:colOff>180975</xdr:colOff>
      <xdr:row>4</xdr:row>
      <xdr:rowOff>134541</xdr:rowOff>
    </xdr:to>
    <xdr:sp macro="" textlink="">
      <xdr:nvSpPr>
        <xdr:cNvPr id="20" name="AutoShape 85">
          <a:extLst>
            <a:ext uri="{FF2B5EF4-FFF2-40B4-BE49-F238E27FC236}">
              <a16:creationId xmlns:a16="http://schemas.microsoft.com/office/drawing/2014/main" xmlns="" id="{00000000-0008-0000-2C00-000014000000}"/>
            </a:ext>
          </a:extLst>
        </xdr:cNvPr>
        <xdr:cNvSpPr>
          <a:spLocks noChangeArrowheads="1"/>
        </xdr:cNvSpPr>
      </xdr:nvSpPr>
      <xdr:spPr bwMode="auto">
        <a:xfrm rot="5400000">
          <a:off x="2556867" y="7483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57150</xdr:colOff>
      <xdr:row>12</xdr:row>
      <xdr:rowOff>66675</xdr:rowOff>
    </xdr:from>
    <xdr:to>
      <xdr:col>34</xdr:col>
      <xdr:colOff>114300</xdr:colOff>
      <xdr:row>17</xdr:row>
      <xdr:rowOff>76200</xdr:rowOff>
    </xdr:to>
    <xdr:sp macro="" textlink="">
      <xdr:nvSpPr>
        <xdr:cNvPr id="21" name="AutoShape 318">
          <a:extLst>
            <a:ext uri="{FF2B5EF4-FFF2-40B4-BE49-F238E27FC236}">
              <a16:creationId xmlns:a16="http://schemas.microsoft.com/office/drawing/2014/main" xmlns="" id="{00000000-0008-0000-2C00-000015000000}"/>
            </a:ext>
          </a:extLst>
        </xdr:cNvPr>
        <xdr:cNvSpPr>
          <a:spLocks/>
        </xdr:cNvSpPr>
      </xdr:nvSpPr>
      <xdr:spPr bwMode="auto">
        <a:xfrm>
          <a:off x="6924675" y="2047875"/>
          <a:ext cx="57150" cy="847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152400</xdr:colOff>
      <xdr:row>45</xdr:row>
      <xdr:rowOff>38100</xdr:rowOff>
    </xdr:from>
    <xdr:to>
      <xdr:col>27</xdr:col>
      <xdr:colOff>76201</xdr:colOff>
      <xdr:row>52</xdr:row>
      <xdr:rowOff>85725</xdr:rowOff>
    </xdr:to>
    <xdr:sp macro="" textlink="">
      <xdr:nvSpPr>
        <xdr:cNvPr id="9" name="AutoShape 318">
          <a:extLst>
            <a:ext uri="{FF2B5EF4-FFF2-40B4-BE49-F238E27FC236}">
              <a16:creationId xmlns:a16="http://schemas.microsoft.com/office/drawing/2014/main" xmlns="" id="{00000000-0008-0000-2C00-000009000000}"/>
            </a:ext>
          </a:extLst>
        </xdr:cNvPr>
        <xdr:cNvSpPr>
          <a:spLocks/>
        </xdr:cNvSpPr>
      </xdr:nvSpPr>
      <xdr:spPr bwMode="auto">
        <a:xfrm>
          <a:off x="5438775" y="8039100"/>
          <a:ext cx="104776" cy="113347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137947</xdr:colOff>
      <xdr:row>54</xdr:row>
      <xdr:rowOff>66676</xdr:rowOff>
    </xdr:from>
    <xdr:to>
      <xdr:col>27</xdr:col>
      <xdr:colOff>9525</xdr:colOff>
      <xdr:row>56</xdr:row>
      <xdr:rowOff>131380</xdr:rowOff>
    </xdr:to>
    <xdr:sp macro="" textlink="">
      <xdr:nvSpPr>
        <xdr:cNvPr id="10" name="AutoShape 318">
          <a:extLst>
            <a:ext uri="{FF2B5EF4-FFF2-40B4-BE49-F238E27FC236}">
              <a16:creationId xmlns:a16="http://schemas.microsoft.com/office/drawing/2014/main" xmlns="" id="{00000000-0008-0000-2C00-00000A000000}"/>
            </a:ext>
          </a:extLst>
        </xdr:cNvPr>
        <xdr:cNvSpPr>
          <a:spLocks/>
        </xdr:cNvSpPr>
      </xdr:nvSpPr>
      <xdr:spPr bwMode="auto">
        <a:xfrm>
          <a:off x="5452240" y="9348624"/>
          <a:ext cx="55509" cy="577084"/>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20025</xdr:colOff>
      <xdr:row>1</xdr:row>
      <xdr:rowOff>66675</xdr:rowOff>
    </xdr:from>
    <xdr:to>
      <xdr:col>34</xdr:col>
      <xdr:colOff>167090</xdr:colOff>
      <xdr:row>6</xdr:row>
      <xdr:rowOff>104775</xdr:rowOff>
    </xdr:to>
    <xdr:pic>
      <xdr:nvPicPr>
        <xdr:cNvPr id="5" name="Picture 4">
          <a:extLst>
            <a:ext uri="{FF2B5EF4-FFF2-40B4-BE49-F238E27FC236}">
              <a16:creationId xmlns:a16="http://schemas.microsoft.com/office/drawing/2014/main" xmlns="" id="{00000000-0008-0000-2C00-000005000000}"/>
            </a:ext>
          </a:extLst>
        </xdr:cNvPr>
        <xdr:cNvPicPr>
          <a:picLocks noChangeAspect="1"/>
        </xdr:cNvPicPr>
      </xdr:nvPicPr>
      <xdr:blipFill>
        <a:blip xmlns:r="http://schemas.openxmlformats.org/officeDocument/2006/relationships" r:embed="rId1"/>
        <a:stretch>
          <a:fillRect/>
        </a:stretch>
      </xdr:blipFill>
      <xdr:spPr>
        <a:xfrm>
          <a:off x="5849325" y="257175"/>
          <a:ext cx="1185290" cy="866775"/>
        </a:xfrm>
        <a:prstGeom prst="rect">
          <a:avLst/>
        </a:prstGeom>
      </xdr:spPr>
    </xdr:pic>
    <xdr:clientData/>
  </xdr:twoCellAnchor>
  <xdr:twoCellAnchor editAs="oneCell">
    <xdr:from>
      <xdr:col>31</xdr:col>
      <xdr:colOff>47624</xdr:colOff>
      <xdr:row>62</xdr:row>
      <xdr:rowOff>17156</xdr:rowOff>
    </xdr:from>
    <xdr:to>
      <xdr:col>41</xdr:col>
      <xdr:colOff>247204</xdr:colOff>
      <xdr:row>66</xdr:row>
      <xdr:rowOff>133350</xdr:rowOff>
    </xdr:to>
    <xdr:pic>
      <xdr:nvPicPr>
        <xdr:cNvPr id="7" name="Picture 6">
          <a:extLst>
            <a:ext uri="{FF2B5EF4-FFF2-40B4-BE49-F238E27FC236}">
              <a16:creationId xmlns:a16="http://schemas.microsoft.com/office/drawing/2014/main" xmlns="" id="{00000000-0008-0000-2C00-000007000000}"/>
            </a:ext>
          </a:extLst>
        </xdr:cNvPr>
        <xdr:cNvPicPr>
          <a:picLocks noChangeAspect="1"/>
        </xdr:cNvPicPr>
      </xdr:nvPicPr>
      <xdr:blipFill>
        <a:blip xmlns:r="http://schemas.openxmlformats.org/officeDocument/2006/relationships" r:embed="rId2"/>
        <a:stretch>
          <a:fillRect/>
        </a:stretch>
      </xdr:blipFill>
      <xdr:spPr>
        <a:xfrm>
          <a:off x="6286499" y="11818631"/>
          <a:ext cx="2380805" cy="763894"/>
        </a:xfrm>
        <a:prstGeom prst="rect">
          <a:avLst/>
        </a:prstGeom>
      </xdr:spPr>
    </xdr:pic>
    <xdr:clientData/>
  </xdr:twoCellAnchor>
  <xdr:twoCellAnchor editAs="oneCell">
    <xdr:from>
      <xdr:col>39</xdr:col>
      <xdr:colOff>148590</xdr:colOff>
      <xdr:row>68</xdr:row>
      <xdr:rowOff>47625</xdr:rowOff>
    </xdr:from>
    <xdr:to>
      <xdr:col>41</xdr:col>
      <xdr:colOff>85725</xdr:colOff>
      <xdr:row>68</xdr:row>
      <xdr:rowOff>485775</xdr:rowOff>
    </xdr:to>
    <xdr:pic>
      <xdr:nvPicPr>
        <xdr:cNvPr id="11" name="Picture 27">
          <a:extLst>
            <a:ext uri="{FF2B5EF4-FFF2-40B4-BE49-F238E27FC236}">
              <a16:creationId xmlns:a16="http://schemas.microsoft.com/office/drawing/2014/main" xmlns="" id="{00000000-0008-0000-2C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11490" y="12220575"/>
          <a:ext cx="394335" cy="43815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10</xdr:col>
      <xdr:colOff>977790</xdr:colOff>
      <xdr:row>14</xdr:row>
      <xdr:rowOff>135550</xdr:rowOff>
    </xdr:from>
    <xdr:to>
      <xdr:col>10</xdr:col>
      <xdr:colOff>1025415</xdr:colOff>
      <xdr:row>16</xdr:row>
      <xdr:rowOff>23802</xdr:rowOff>
    </xdr:to>
    <xdr:sp macro="" textlink="">
      <xdr:nvSpPr>
        <xdr:cNvPr id="2" name="AutoShape 85">
          <a:extLst>
            <a:ext uri="{FF2B5EF4-FFF2-40B4-BE49-F238E27FC236}">
              <a16:creationId xmlns:a16="http://schemas.microsoft.com/office/drawing/2014/main" xmlns="" id="{00000000-0008-0000-2D00-000002000000}"/>
            </a:ext>
          </a:extLst>
        </xdr:cNvPr>
        <xdr:cNvSpPr>
          <a:spLocks noChangeArrowheads="1"/>
        </xdr:cNvSpPr>
      </xdr:nvSpPr>
      <xdr:spPr bwMode="auto">
        <a:xfrm rot="5400000">
          <a:off x="5994149" y="2722863"/>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243922</xdr:colOff>
      <xdr:row>54</xdr:row>
      <xdr:rowOff>9525</xdr:rowOff>
    </xdr:from>
    <xdr:to>
      <xdr:col>8</xdr:col>
      <xdr:colOff>301072</xdr:colOff>
      <xdr:row>54</xdr:row>
      <xdr:rowOff>115491</xdr:rowOff>
    </xdr:to>
    <xdr:sp macro="" textlink="">
      <xdr:nvSpPr>
        <xdr:cNvPr id="3" name="AutoShape 85">
          <a:extLst>
            <a:ext uri="{FF2B5EF4-FFF2-40B4-BE49-F238E27FC236}">
              <a16:creationId xmlns:a16="http://schemas.microsoft.com/office/drawing/2014/main" xmlns="" id="{00000000-0008-0000-2D00-000003000000}"/>
            </a:ext>
          </a:extLst>
        </xdr:cNvPr>
        <xdr:cNvSpPr>
          <a:spLocks noChangeArrowheads="1"/>
        </xdr:cNvSpPr>
      </xdr:nvSpPr>
      <xdr:spPr bwMode="auto">
        <a:xfrm rot="5400000">
          <a:off x="4559601" y="844906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219808</xdr:colOff>
      <xdr:row>127</xdr:row>
      <xdr:rowOff>29307</xdr:rowOff>
    </xdr:from>
    <xdr:to>
      <xdr:col>8</xdr:col>
      <xdr:colOff>276958</xdr:colOff>
      <xdr:row>127</xdr:row>
      <xdr:rowOff>135273</xdr:rowOff>
    </xdr:to>
    <xdr:sp macro="" textlink="">
      <xdr:nvSpPr>
        <xdr:cNvPr id="4" name="AutoShape 85">
          <a:extLst>
            <a:ext uri="{FF2B5EF4-FFF2-40B4-BE49-F238E27FC236}">
              <a16:creationId xmlns:a16="http://schemas.microsoft.com/office/drawing/2014/main" xmlns="" id="{00000000-0008-0000-2D00-000004000000}"/>
            </a:ext>
          </a:extLst>
        </xdr:cNvPr>
        <xdr:cNvSpPr>
          <a:spLocks noChangeArrowheads="1"/>
        </xdr:cNvSpPr>
      </xdr:nvSpPr>
      <xdr:spPr bwMode="auto">
        <a:xfrm rot="5400000">
          <a:off x="4518285" y="2012948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974271</xdr:colOff>
      <xdr:row>87</xdr:row>
      <xdr:rowOff>136073</xdr:rowOff>
    </xdr:from>
    <xdr:to>
      <xdr:col>10</xdr:col>
      <xdr:colOff>1021896</xdr:colOff>
      <xdr:row>89</xdr:row>
      <xdr:rowOff>24325</xdr:rowOff>
    </xdr:to>
    <xdr:sp macro="" textlink="">
      <xdr:nvSpPr>
        <xdr:cNvPr id="5" name="AutoShape 85">
          <a:extLst>
            <a:ext uri="{FF2B5EF4-FFF2-40B4-BE49-F238E27FC236}">
              <a16:creationId xmlns:a16="http://schemas.microsoft.com/office/drawing/2014/main" xmlns="" id="{00000000-0008-0000-2D00-000005000000}"/>
            </a:ext>
          </a:extLst>
        </xdr:cNvPr>
        <xdr:cNvSpPr>
          <a:spLocks noChangeArrowheads="1"/>
        </xdr:cNvSpPr>
      </xdr:nvSpPr>
      <xdr:spPr bwMode="auto">
        <a:xfrm rot="5400000">
          <a:off x="6039615" y="14311229"/>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115081" name="Picture 4">
          <a:extLst>
            <a:ext uri="{FF2B5EF4-FFF2-40B4-BE49-F238E27FC236}">
              <a16:creationId xmlns:a16="http://schemas.microsoft.com/office/drawing/2014/main" xmlns="" id="{00000000-0008-0000-2E00-000089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120616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115082" name="Picture 5">
          <a:extLst>
            <a:ext uri="{FF2B5EF4-FFF2-40B4-BE49-F238E27FC236}">
              <a16:creationId xmlns:a16="http://schemas.microsoft.com/office/drawing/2014/main" xmlns="" id="{00000000-0008-0000-2E00-00008A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270283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142876</xdr:colOff>
      <xdr:row>7</xdr:row>
      <xdr:rowOff>76199</xdr:rowOff>
    </xdr:from>
    <xdr:to>
      <xdr:col>7</xdr:col>
      <xdr:colOff>239316</xdr:colOff>
      <xdr:row>8</xdr:row>
      <xdr:rowOff>49212</xdr:rowOff>
    </xdr:to>
    <xdr:pic>
      <xdr:nvPicPr>
        <xdr:cNvPr id="7" name="Picture 3">
          <a:extLst>
            <a:ext uri="{FF2B5EF4-FFF2-40B4-BE49-F238E27FC236}">
              <a16:creationId xmlns:a16="http://schemas.microsoft.com/office/drawing/2014/main" xmlns="" id="{00000000-0008-0000-2E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751"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xmlns="" id="{00000000-0008-0000-2E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xmlns="" id="{00000000-0008-0000-2E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xmlns="" id="{00000000-0008-0000-2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3" name="Picture 5">
          <a:extLst>
            <a:ext uri="{FF2B5EF4-FFF2-40B4-BE49-F238E27FC236}">
              <a16:creationId xmlns:a16="http://schemas.microsoft.com/office/drawing/2014/main" xmlns="" id="{00000000-0008-0000-2F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170271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138794</xdr:colOff>
      <xdr:row>7</xdr:row>
      <xdr:rowOff>74838</xdr:rowOff>
    </xdr:from>
    <xdr:to>
      <xdr:col>7</xdr:col>
      <xdr:colOff>235234</xdr:colOff>
      <xdr:row>8</xdr:row>
      <xdr:rowOff>47851</xdr:rowOff>
    </xdr:to>
    <xdr:pic>
      <xdr:nvPicPr>
        <xdr:cNvPr id="4" name="Picture 3">
          <a:extLst>
            <a:ext uri="{FF2B5EF4-FFF2-40B4-BE49-F238E27FC236}">
              <a16:creationId xmlns:a16="http://schemas.microsoft.com/office/drawing/2014/main" xmlns="" id="{00000000-0008-0000-2F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0637" y="1130752"/>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xmlns="" id="{00000000-0008-0000-2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xmlns="" id="{00000000-0008-0000-2F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xmlns="" id="{00000000-0008-0000-2F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xmlns="" id="{00000000-0008-0000-3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4" name="Picture 3">
          <a:extLst>
            <a:ext uri="{FF2B5EF4-FFF2-40B4-BE49-F238E27FC236}">
              <a16:creationId xmlns:a16="http://schemas.microsoft.com/office/drawing/2014/main" xmlns="" id="{00000000-0008-0000-3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1" y="1132113"/>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xmlns="" id="{00000000-0008-0000-3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xmlns="" id="{00000000-0008-0000-30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8" name="Picture 7">
          <a:extLst>
            <a:ext uri="{FF2B5EF4-FFF2-40B4-BE49-F238E27FC236}">
              <a16:creationId xmlns:a16="http://schemas.microsoft.com/office/drawing/2014/main" xmlns="" id="{00000000-0008-0000-3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9" name="Picture 3">
          <a:extLst>
            <a:ext uri="{FF2B5EF4-FFF2-40B4-BE49-F238E27FC236}">
              <a16:creationId xmlns:a16="http://schemas.microsoft.com/office/drawing/2014/main" xmlns="" id="{00000000-0008-0000-30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xmlns="" id="{00000000-0008-0000-3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6651" y="106441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3" name="Picture 2">
          <a:extLst>
            <a:ext uri="{FF2B5EF4-FFF2-40B4-BE49-F238E27FC236}">
              <a16:creationId xmlns:a16="http://schemas.microsoft.com/office/drawing/2014/main" xmlns="" id="{00000000-0008-0000-3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3833"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4" name="Picture 3">
          <a:extLst>
            <a:ext uri="{FF2B5EF4-FFF2-40B4-BE49-F238E27FC236}">
              <a16:creationId xmlns:a16="http://schemas.microsoft.com/office/drawing/2014/main" xmlns="" id="{00000000-0008-0000-31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5" name="Picture 4">
          <a:extLst>
            <a:ext uri="{FF2B5EF4-FFF2-40B4-BE49-F238E27FC236}">
              <a16:creationId xmlns:a16="http://schemas.microsoft.com/office/drawing/2014/main" xmlns="" id="{00000000-0008-0000-31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xmlns="" id="{00000000-0008-0000-31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7" name="Picture 3">
          <a:extLst>
            <a:ext uri="{FF2B5EF4-FFF2-40B4-BE49-F238E27FC236}">
              <a16:creationId xmlns:a16="http://schemas.microsoft.com/office/drawing/2014/main" xmlns="" id="{00000000-0008-0000-3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28</xdr:col>
      <xdr:colOff>733425</xdr:colOff>
      <xdr:row>48</xdr:row>
      <xdr:rowOff>47625</xdr:rowOff>
    </xdr:from>
    <xdr:to>
      <xdr:col>29</xdr:col>
      <xdr:colOff>180975</xdr:colOff>
      <xdr:row>50</xdr:row>
      <xdr:rowOff>123825</xdr:rowOff>
    </xdr:to>
    <xdr:pic>
      <xdr:nvPicPr>
        <xdr:cNvPr id="2" name="Picture 2" descr="pencil">
          <a:extLst>
            <a:ext uri="{FF2B5EF4-FFF2-40B4-BE49-F238E27FC236}">
              <a16:creationId xmlns:a16="http://schemas.microsoft.com/office/drawing/2014/main" xmlns="" id="{00000000-0008-0000-3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12</xdr:col>
      <xdr:colOff>219075</xdr:colOff>
      <xdr:row>6</xdr:row>
      <xdr:rowOff>38100</xdr:rowOff>
    </xdr:from>
    <xdr:to>
      <xdr:col>13</xdr:col>
      <xdr:colOff>67865</xdr:colOff>
      <xdr:row>6</xdr:row>
      <xdr:rowOff>138113</xdr:rowOff>
    </xdr:to>
    <xdr:pic>
      <xdr:nvPicPr>
        <xdr:cNvPr id="2" name="Picture 3">
          <a:extLst>
            <a:ext uri="{FF2B5EF4-FFF2-40B4-BE49-F238E27FC236}">
              <a16:creationId xmlns:a16="http://schemas.microsoft.com/office/drawing/2014/main" xmlns="" id="{00000000-0008-0000-3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0875" y="1104900"/>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7</xdr:row>
      <xdr:rowOff>30773</xdr:rowOff>
    </xdr:from>
    <xdr:to>
      <xdr:col>10</xdr:col>
      <xdr:colOff>86183</xdr:colOff>
      <xdr:row>7</xdr:row>
      <xdr:rowOff>130786</xdr:rowOff>
    </xdr:to>
    <xdr:pic>
      <xdr:nvPicPr>
        <xdr:cNvPr id="3" name="Picture 3">
          <a:extLst>
            <a:ext uri="{FF2B5EF4-FFF2-40B4-BE49-F238E27FC236}">
              <a16:creationId xmlns:a16="http://schemas.microsoft.com/office/drawing/2014/main" xmlns="" id="{00000000-0008-0000-3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157656</xdr:colOff>
      <xdr:row>12</xdr:row>
      <xdr:rowOff>52552</xdr:rowOff>
    </xdr:from>
    <xdr:to>
      <xdr:col>33</xdr:col>
      <xdr:colOff>214806</xdr:colOff>
      <xdr:row>12</xdr:row>
      <xdr:rowOff>158518</xdr:rowOff>
    </xdr:to>
    <xdr:sp macro="" textlink="">
      <xdr:nvSpPr>
        <xdr:cNvPr id="4" name="AutoShape 85">
          <a:extLst>
            <a:ext uri="{FF2B5EF4-FFF2-40B4-BE49-F238E27FC236}">
              <a16:creationId xmlns:a16="http://schemas.microsoft.com/office/drawing/2014/main" xmlns="" id="{00000000-0008-0000-3400-000004000000}"/>
            </a:ext>
          </a:extLst>
        </xdr:cNvPr>
        <xdr:cNvSpPr>
          <a:spLocks noChangeArrowheads="1"/>
        </xdr:cNvSpPr>
      </xdr:nvSpPr>
      <xdr:spPr bwMode="auto">
        <a:xfrm rot="5400000">
          <a:off x="8732024" y="227099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site/excel1040/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irs.gov/pub/irs-pdf/i1099msc.pdf" TargetMode="External"/><Relationship Id="rId1" Type="http://schemas.openxmlformats.org/officeDocument/2006/relationships/hyperlink" Target="https://www.irs.gov/pub/irs-pdf/f1099msc.pdf" TargetMode="External"/><Relationship Id="rId4"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1.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9.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22.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31.bin"/><Relationship Id="rId1" Type="http://schemas.openxmlformats.org/officeDocument/2006/relationships/hyperlink" Target="http://www.irs.gov/pub/irs-pdf/f1040sb.pdf"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24.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5.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6.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8.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9.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4" Type="http://schemas.openxmlformats.org/officeDocument/2006/relationships/drawing" Target="../drawings/drawing30.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32.xml"/><Relationship Id="rId5" Type="http://schemas.openxmlformats.org/officeDocument/2006/relationships/printerSettings" Target="../printerSettings/printerSettings40.bin"/><Relationship Id="rId4" Type="http://schemas.openxmlformats.org/officeDocument/2006/relationships/hyperlink" Target="http://www.irs.gov/pub/irs-pdf/i2210.pdf"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33.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35.xml"/><Relationship Id="rId4"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8.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43.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5"/>
  <sheetViews>
    <sheetView tabSelected="1" zoomScaleNormal="100" zoomScaleSheetLayoutView="100" workbookViewId="0"/>
  </sheetViews>
  <sheetFormatPr defaultColWidth="9.140625" defaultRowHeight="12.75"/>
  <cols>
    <col min="1" max="1" width="5.140625" style="1443" customWidth="1"/>
    <col min="2" max="2" width="12.42578125" style="1443" customWidth="1"/>
    <col min="3" max="3" width="9.140625" style="1443"/>
    <col min="4" max="4" width="34.7109375" style="1443" customWidth="1"/>
    <col min="5" max="5" width="21" style="1443" customWidth="1"/>
    <col min="6" max="6" width="19.7109375" style="1443" customWidth="1"/>
    <col min="7" max="11" width="7.140625" style="1443" customWidth="1"/>
    <col min="12" max="12" width="4.42578125" style="1443" customWidth="1"/>
    <col min="13" max="16384" width="9.140625" style="1443"/>
  </cols>
  <sheetData>
    <row r="1" spans="2:11" s="2260" customFormat="1" ht="30.75" customHeight="1" thickBot="1">
      <c r="D1" s="5205" t="s">
        <v>5087</v>
      </c>
      <c r="E1" s="5276">
        <f>RevDateTime</f>
        <v>43926.614583333336</v>
      </c>
    </row>
    <row r="2" spans="2:11" ht="23.25" customHeight="1">
      <c r="B2" s="5295" t="s">
        <v>4544</v>
      </c>
      <c r="C2" s="5296"/>
      <c r="D2" s="5296"/>
      <c r="E2" s="5296"/>
      <c r="F2" s="5296"/>
      <c r="G2" s="5296"/>
      <c r="H2" s="5296"/>
      <c r="I2" s="5296"/>
      <c r="J2" s="5296"/>
      <c r="K2" s="5297"/>
    </row>
    <row r="3" spans="2:11" ht="23.25" customHeight="1">
      <c r="B3" s="5298"/>
      <c r="C3" s="5299"/>
      <c r="D3" s="5299"/>
      <c r="E3" s="5299"/>
      <c r="F3" s="5299"/>
      <c r="G3" s="5299"/>
      <c r="H3" s="5299"/>
      <c r="I3" s="5299"/>
      <c r="J3" s="5299"/>
      <c r="K3" s="5300"/>
    </row>
    <row r="4" spans="2:11" ht="23.25" customHeight="1">
      <c r="B4" s="5298"/>
      <c r="C4" s="5299"/>
      <c r="D4" s="5299"/>
      <c r="E4" s="5299"/>
      <c r="F4" s="5299"/>
      <c r="G4" s="5299"/>
      <c r="H4" s="5299"/>
      <c r="I4" s="5299"/>
      <c r="J4" s="5299"/>
      <c r="K4" s="5300"/>
    </row>
    <row r="5" spans="2:11" ht="23.25" customHeight="1">
      <c r="B5" s="5298"/>
      <c r="C5" s="5299"/>
      <c r="D5" s="5299"/>
      <c r="E5" s="5299"/>
      <c r="F5" s="5299"/>
      <c r="G5" s="5299"/>
      <c r="H5" s="5299"/>
      <c r="I5" s="5299"/>
      <c r="J5" s="5299"/>
      <c r="K5" s="5300"/>
    </row>
    <row r="6" spans="2:11" ht="23.25" customHeight="1">
      <c r="B6" s="5298"/>
      <c r="C6" s="5299"/>
      <c r="D6" s="5299"/>
      <c r="E6" s="5299"/>
      <c r="F6" s="5299"/>
      <c r="G6" s="5299"/>
      <c r="H6" s="5299"/>
      <c r="I6" s="5299"/>
      <c r="J6" s="5299"/>
      <c r="K6" s="5300"/>
    </row>
    <row r="7" spans="2:11" ht="23.25" customHeight="1">
      <c r="B7" s="5298"/>
      <c r="C7" s="5299"/>
      <c r="D7" s="5299"/>
      <c r="E7" s="5299"/>
      <c r="F7" s="5299"/>
      <c r="G7" s="5299"/>
      <c r="H7" s="5299"/>
      <c r="I7" s="5299"/>
      <c r="J7" s="5299"/>
      <c r="K7" s="5300"/>
    </row>
    <row r="8" spans="2:11" ht="23.25" customHeight="1">
      <c r="B8" s="5298"/>
      <c r="C8" s="5299"/>
      <c r="D8" s="5299"/>
      <c r="E8" s="5299"/>
      <c r="F8" s="5299"/>
      <c r="G8" s="5299"/>
      <c r="H8" s="5299"/>
      <c r="I8" s="5299"/>
      <c r="J8" s="5299"/>
      <c r="K8" s="5300"/>
    </row>
    <row r="9" spans="2:11" ht="23.25" customHeight="1">
      <c r="B9" s="5298"/>
      <c r="C9" s="5299"/>
      <c r="D9" s="5299"/>
      <c r="E9" s="5299"/>
      <c r="F9" s="5299"/>
      <c r="G9" s="5299"/>
      <c r="H9" s="5299"/>
      <c r="I9" s="5299"/>
      <c r="J9" s="5299"/>
      <c r="K9" s="5300"/>
    </row>
    <row r="10" spans="2:11" ht="12.75" customHeight="1" thickBot="1">
      <c r="B10" s="5301"/>
      <c r="C10" s="5302"/>
      <c r="D10" s="5302"/>
      <c r="E10" s="5302"/>
      <c r="F10" s="5302"/>
      <c r="G10" s="5302"/>
      <c r="H10" s="5302"/>
      <c r="I10" s="5302"/>
      <c r="J10" s="5302"/>
      <c r="K10" s="5303"/>
    </row>
    <row r="11" spans="2:11" s="5252" customFormat="1" ht="14.25" thickBot="1">
      <c r="B11" s="2085"/>
      <c r="C11" s="2085"/>
      <c r="D11" s="2085"/>
      <c r="E11" s="2085"/>
      <c r="F11" s="2085"/>
      <c r="G11" s="2085"/>
      <c r="H11" s="2085"/>
      <c r="I11" s="2085"/>
      <c r="J11" s="2085"/>
      <c r="K11" s="2085"/>
    </row>
    <row r="12" spans="2:11" s="5252" customFormat="1">
      <c r="B12" s="5304" t="s">
        <v>5088</v>
      </c>
      <c r="C12" s="5296"/>
      <c r="D12" s="5296"/>
      <c r="E12" s="5296"/>
      <c r="F12" s="5296"/>
      <c r="G12" s="5296"/>
      <c r="H12" s="5296"/>
      <c r="I12" s="5296"/>
      <c r="J12" s="5296"/>
      <c r="K12" s="5297"/>
    </row>
    <row r="13" spans="2:11" s="5252" customFormat="1">
      <c r="B13" s="5298"/>
      <c r="C13" s="5299"/>
      <c r="D13" s="5299"/>
      <c r="E13" s="5299"/>
      <c r="F13" s="5299"/>
      <c r="G13" s="5299"/>
      <c r="H13" s="5299"/>
      <c r="I13" s="5299"/>
      <c r="J13" s="5299"/>
      <c r="K13" s="5300"/>
    </row>
    <row r="14" spans="2:11" s="5252" customFormat="1">
      <c r="B14" s="5298"/>
      <c r="C14" s="5299"/>
      <c r="D14" s="5299"/>
      <c r="E14" s="5299"/>
      <c r="F14" s="5299"/>
      <c r="G14" s="5299"/>
      <c r="H14" s="5299"/>
      <c r="I14" s="5299"/>
      <c r="J14" s="5299"/>
      <c r="K14" s="5300"/>
    </row>
    <row r="15" spans="2:11" s="5252" customFormat="1">
      <c r="B15" s="5298"/>
      <c r="C15" s="5299"/>
      <c r="D15" s="5299"/>
      <c r="E15" s="5299"/>
      <c r="F15" s="5299"/>
      <c r="G15" s="5299"/>
      <c r="H15" s="5299"/>
      <c r="I15" s="5299"/>
      <c r="J15" s="5299"/>
      <c r="K15" s="5300"/>
    </row>
    <row r="16" spans="2:11" s="5252" customFormat="1">
      <c r="B16" s="5298"/>
      <c r="C16" s="5299"/>
      <c r="D16" s="5299"/>
      <c r="E16" s="5299"/>
      <c r="F16" s="5299"/>
      <c r="G16" s="5299"/>
      <c r="H16" s="5299"/>
      <c r="I16" s="5299"/>
      <c r="J16" s="5299"/>
      <c r="K16" s="5300"/>
    </row>
    <row r="17" spans="2:15" s="5252" customFormat="1">
      <c r="B17" s="5298"/>
      <c r="C17" s="5299"/>
      <c r="D17" s="5299"/>
      <c r="E17" s="5299"/>
      <c r="F17" s="5299"/>
      <c r="G17" s="5299"/>
      <c r="H17" s="5299"/>
      <c r="I17" s="5299"/>
      <c r="J17" s="5299"/>
      <c r="K17" s="5300"/>
    </row>
    <row r="18" spans="2:15" s="5252" customFormat="1">
      <c r="B18" s="5298"/>
      <c r="C18" s="5299"/>
      <c r="D18" s="5299"/>
      <c r="E18" s="5299"/>
      <c r="F18" s="5299"/>
      <c r="G18" s="5299"/>
      <c r="H18" s="5299"/>
      <c r="I18" s="5299"/>
      <c r="J18" s="5299"/>
      <c r="K18" s="5300"/>
    </row>
    <row r="19" spans="2:15" s="5252" customFormat="1">
      <c r="B19" s="5298"/>
      <c r="C19" s="5299"/>
      <c r="D19" s="5299"/>
      <c r="E19" s="5299"/>
      <c r="F19" s="5299"/>
      <c r="G19" s="5299"/>
      <c r="H19" s="5299"/>
      <c r="I19" s="5299"/>
      <c r="J19" s="5299"/>
      <c r="K19" s="5300"/>
    </row>
    <row r="20" spans="2:15" s="5252" customFormat="1" ht="13.5" thickBot="1">
      <c r="B20" s="5301"/>
      <c r="C20" s="5302"/>
      <c r="D20" s="5302"/>
      <c r="E20" s="5302"/>
      <c r="F20" s="5302"/>
      <c r="G20" s="5302"/>
      <c r="H20" s="5302"/>
      <c r="I20" s="5302"/>
      <c r="J20" s="5302"/>
      <c r="K20" s="5303"/>
    </row>
    <row r="21" spans="2:15" ht="14.25" thickBot="1">
      <c r="B21" s="2085"/>
      <c r="C21" s="2085"/>
      <c r="D21" s="2085"/>
      <c r="E21" s="2085"/>
      <c r="F21" s="2085"/>
      <c r="G21" s="2085"/>
      <c r="H21" s="2085"/>
      <c r="I21" s="2085"/>
      <c r="J21" s="2085"/>
      <c r="K21" s="2085"/>
    </row>
    <row r="22" spans="2:15" ht="27" customHeight="1">
      <c r="B22" s="5304" t="s">
        <v>5094</v>
      </c>
      <c r="C22" s="5305"/>
      <c r="D22" s="5305"/>
      <c r="E22" s="5305"/>
      <c r="F22" s="5305"/>
      <c r="G22" s="5305"/>
      <c r="H22" s="5305"/>
      <c r="I22" s="5305"/>
      <c r="J22" s="5305"/>
      <c r="K22" s="5306"/>
      <c r="O22" s="5252"/>
    </row>
    <row r="23" spans="2:15" ht="18" customHeight="1">
      <c r="B23" s="5307"/>
      <c r="C23" s="5308"/>
      <c r="D23" s="5308"/>
      <c r="E23" s="5308"/>
      <c r="F23" s="5308"/>
      <c r="G23" s="5308"/>
      <c r="H23" s="5308"/>
      <c r="I23" s="5308"/>
      <c r="J23" s="5308"/>
      <c r="K23" s="5309"/>
      <c r="O23" s="5252"/>
    </row>
    <row r="24" spans="2:15" ht="18" customHeight="1">
      <c r="B24" s="5256"/>
      <c r="C24" s="5257"/>
      <c r="D24" s="5257"/>
      <c r="E24" s="5266" t="s">
        <v>5089</v>
      </c>
      <c r="F24" s="5257"/>
      <c r="G24" s="5257"/>
      <c r="H24" s="5257"/>
      <c r="I24" s="5257"/>
      <c r="J24" s="5257"/>
      <c r="K24" s="5258"/>
      <c r="O24" s="5252"/>
    </row>
    <row r="25" spans="2:15" ht="13.5" customHeight="1">
      <c r="B25" s="5259"/>
      <c r="C25" s="5264" t="s">
        <v>5090</v>
      </c>
      <c r="D25" s="5264"/>
      <c r="E25" s="5264"/>
      <c r="F25" s="5264"/>
      <c r="G25" s="5264"/>
      <c r="H25" s="5264"/>
      <c r="I25" s="5264"/>
      <c r="J25" s="5264"/>
      <c r="K25" s="5260"/>
      <c r="O25" s="5252"/>
    </row>
    <row r="26" spans="2:15" ht="13.5" customHeight="1">
      <c r="B26" s="5259"/>
      <c r="C26" s="5264" t="s">
        <v>5091</v>
      </c>
      <c r="D26" s="5264"/>
      <c r="E26" s="5264"/>
      <c r="F26" s="5264"/>
      <c r="G26" s="5264"/>
      <c r="H26" s="5264"/>
      <c r="I26" s="5264"/>
      <c r="J26" s="5264"/>
      <c r="K26" s="5260"/>
      <c r="O26" s="5252"/>
    </row>
    <row r="27" spans="2:15" ht="13.5" customHeight="1">
      <c r="B27" s="5259"/>
      <c r="C27" s="5264" t="s">
        <v>5092</v>
      </c>
      <c r="D27" s="5264"/>
      <c r="E27" s="5264"/>
      <c r="F27" s="5264"/>
      <c r="G27" s="5264"/>
      <c r="H27" s="5264"/>
      <c r="I27" s="5264"/>
      <c r="J27" s="5264"/>
      <c r="K27" s="5260"/>
      <c r="O27" s="5252"/>
    </row>
    <row r="28" spans="2:15" ht="13.5" customHeight="1">
      <c r="B28" s="5259"/>
      <c r="C28" s="5264" t="s">
        <v>5093</v>
      </c>
      <c r="D28" s="5264"/>
      <c r="E28" s="5264"/>
      <c r="F28" s="5264"/>
      <c r="G28" s="5264"/>
      <c r="H28" s="5264"/>
      <c r="I28" s="5264"/>
      <c r="J28" s="5264"/>
      <c r="K28" s="5260"/>
      <c r="O28" s="5252"/>
    </row>
    <row r="29" spans="2:15" ht="13.5" customHeight="1">
      <c r="B29" s="5259"/>
      <c r="C29" s="5264" t="s">
        <v>5099</v>
      </c>
      <c r="D29" s="5264"/>
      <c r="E29" s="5264"/>
      <c r="F29" s="5264"/>
      <c r="G29" s="5264"/>
      <c r="H29" s="5264"/>
      <c r="I29" s="5264"/>
      <c r="J29" s="5264"/>
      <c r="K29" s="5260"/>
      <c r="O29" s="5252"/>
    </row>
    <row r="30" spans="2:15" ht="24.75" customHeight="1" thickBot="1">
      <c r="B30" s="5261"/>
      <c r="C30" s="5262"/>
      <c r="D30" s="5262"/>
      <c r="E30" s="5265" t="s">
        <v>2491</v>
      </c>
      <c r="F30" s="5262"/>
      <c r="G30" s="5262"/>
      <c r="H30" s="5262"/>
      <c r="I30" s="5262"/>
      <c r="J30" s="5262"/>
      <c r="K30" s="5263"/>
      <c r="O30" s="5252"/>
    </row>
    <row r="31" spans="2:15" ht="14.25" thickBot="1">
      <c r="B31" s="2085"/>
      <c r="C31" s="2085"/>
      <c r="D31" s="2085"/>
      <c r="E31" s="2085"/>
      <c r="F31" s="2085"/>
      <c r="G31" s="2085"/>
      <c r="H31" s="2085"/>
      <c r="I31" s="2085"/>
      <c r="J31" s="2085"/>
      <c r="K31" s="2085"/>
      <c r="O31" s="5252"/>
    </row>
    <row r="32" spans="2:15" ht="12.75" customHeight="1">
      <c r="B32" s="2094"/>
      <c r="C32" s="1605"/>
      <c r="D32" s="1605"/>
      <c r="E32" s="1605"/>
      <c r="F32" s="2086"/>
      <c r="G32" s="1605"/>
      <c r="H32" s="1605"/>
      <c r="I32" s="1605"/>
      <c r="J32" s="1605"/>
      <c r="K32" s="1606"/>
    </row>
    <row r="33" spans="1:14" ht="21.75" customHeight="1">
      <c r="B33" s="4944" t="s">
        <v>1351</v>
      </c>
      <c r="F33" s="2914"/>
      <c r="K33" s="1554"/>
    </row>
    <row r="34" spans="1:14">
      <c r="B34" s="2091" t="s">
        <v>1348</v>
      </c>
      <c r="E34" s="2087">
        <f>Adj_Gross_Inc</f>
        <v>0</v>
      </c>
      <c r="G34" s="1607" t="s">
        <v>3471</v>
      </c>
      <c r="K34" s="1554"/>
      <c r="M34" s="3023" t="s">
        <v>77</v>
      </c>
      <c r="N34" s="1588" t="str">
        <f>IF(Taxable_Inc="","---",IF(Taxable_Inc&lt;BOTT_A2,TEXT(RATE_A1,"0%"),IF(Taxable_Inc&lt;BOTT_A3,TEXT(RATE_A2,"0%"),IF(Taxable_Inc&lt;BOTT_A4,TEXT(RATE_A3,"0%"),IF(Taxable_Inc&lt;BOTT_A5,TEXT(RATE_A4,"0%"),IF(Taxable_Inc&lt;BOTT_A6,TEXT(RATE_A5,"0%"),IF(Taxable_Inc&lt;BOTT_A7,TEXT(RATE_A6,"0%"),TEXT(RATE_A7,"0.0%"))))))))</f>
        <v>10%</v>
      </c>
    </row>
    <row r="35" spans="1:14" ht="15">
      <c r="A35" s="1704"/>
      <c r="B35" s="2091" t="s">
        <v>974</v>
      </c>
      <c r="E35" s="2088">
        <f>Taxable_Inc</f>
        <v>0</v>
      </c>
      <c r="F35" s="2089"/>
      <c r="G35" s="1607" t="s">
        <v>3472</v>
      </c>
      <c r="K35" s="1554"/>
      <c r="M35" s="3023" t="s">
        <v>617</v>
      </c>
      <c r="N35" s="1588" t="str">
        <f>IF(Taxable_Inc="","---",IF(Taxable_Inc&lt;BOTT_B2,TEXT(RATE_B1,"0%"),IF(Taxable_Inc&lt;BOTT_B3,TEXT(RATE_B2,"0%"),IF(Taxable_Inc&lt;BOTT_B4,TEXT(RATE_B3,"0%"),IF(Taxable_Inc&lt;BOTT_B5,TEXT(RATE_B4,"0%"),IF(Taxable_Inc&lt;BOTT_B6,TEXT(RATE_B5,"0%"),IF(Taxable_Inc&lt;BOTT_B7,TEXT(RATE_B6,"0%"),TEXT(RATE_B7,"0.0%"))))))))</f>
        <v>10%</v>
      </c>
    </row>
    <row r="36" spans="1:14" ht="15">
      <c r="B36" s="2091" t="s">
        <v>1349</v>
      </c>
      <c r="E36" s="2088">
        <f>Tot_Tax</f>
        <v>0</v>
      </c>
      <c r="F36" s="2089"/>
      <c r="G36" s="1607" t="s">
        <v>3473</v>
      </c>
      <c r="K36" s="1554"/>
      <c r="M36" s="3023" t="s">
        <v>531</v>
      </c>
      <c r="N36" s="1588" t="str">
        <f>IF(Taxable_Inc="","---",IF(Taxable_Inc&lt;BOTT_C2,TEXT(RATE_C1,"0%"),IF(Taxable_Inc&lt;BOTT_C3,TEXT(RATE_C2,"0%"),IF(Taxable_Inc&lt;BOTT_C4,TEXT(RATE_C3,"0%"),IF(Taxable_Inc&lt;BOTT_C5,TEXT(RATE_C4,"0%"),IF(Taxable_Inc&lt;BOTT_C6,TEXT(RATE_C5,"0%"),IF(Taxable_Inc&lt;BOTT_C7,TEXT(RATE_C6,"0%"),TEXT(RATE_C7,"0.0%"))))))))</f>
        <v>10%</v>
      </c>
    </row>
    <row r="37" spans="1:14" ht="15">
      <c r="B37" s="2091" t="s">
        <v>1350</v>
      </c>
      <c r="E37" s="2088">
        <f>Tot_Payments</f>
        <v>0</v>
      </c>
      <c r="F37" s="2089"/>
      <c r="G37" s="1607" t="s">
        <v>3474</v>
      </c>
      <c r="K37" s="1554"/>
      <c r="M37" s="3023" t="s">
        <v>2508</v>
      </c>
      <c r="N37" s="1588" t="str">
        <f>IF(Taxable_Inc="","---",IF(Taxable_Inc&lt;BOTT_D2,TEXT(RATE_D1,"0%"),IF(Taxable_Inc&lt;BOTT_D3,TEXT(RATE_D2,"0%"),IF(Taxable_Inc&lt;BOTT_D4,TEXT(RATE_D3,"0%"),IF(Taxable_Inc&lt;BOTT_D5,TEXT(RATE_D4,"0%"),IF(Taxable_Inc&lt;BOTT_D6,TEXT(RATE_D5,"0%"),IF(Taxable_Inc&lt;BOTT_D7,TEXT(RATE_D6,"0%"),TEXT(RATE_D7,"0.0%"))))))))</f>
        <v>10%</v>
      </c>
    </row>
    <row r="38" spans="1:14">
      <c r="B38" s="2091" t="str">
        <f>IF(Overpaid&gt;0,"Amount To be Refunded","Amount You Owe")</f>
        <v>Amount You Owe</v>
      </c>
      <c r="E38" s="2088">
        <f>IF(Overpaid&gt;0,Overpaid,You_Owe)</f>
        <v>0</v>
      </c>
      <c r="G38" s="1607" t="str">
        <f>IF(Overpaid&gt;0,"Form 1040, Line 20a","Form 1040, Line 22")</f>
        <v>Form 1040, Line 22</v>
      </c>
      <c r="K38" s="1554"/>
    </row>
    <row r="39" spans="1:14">
      <c r="B39" s="2092"/>
      <c r="K39" s="1554"/>
    </row>
    <row r="40" spans="1:14">
      <c r="B40" s="2091" t="s">
        <v>2510</v>
      </c>
      <c r="E40" s="2090" t="str">
        <f>IF(File_Single&lt;&gt;"",N34,IF(OR(File_Marr_Joint&lt;&gt;"",File_Qual_Widow&lt;&gt;""),N35,IF(File_Marr_Sep&lt;&gt;"",N36,IF(File_Head&lt;&gt;"",N37,"---"))))</f>
        <v>---</v>
      </c>
      <c r="G40" s="1607"/>
      <c r="K40" s="1554"/>
    </row>
    <row r="41" spans="1:14" ht="13.5" thickBot="1">
      <c r="B41" s="2093"/>
      <c r="C41" s="1612"/>
      <c r="D41" s="1612"/>
      <c r="E41" s="1612"/>
      <c r="F41" s="1612"/>
      <c r="G41" s="1612"/>
      <c r="H41" s="1612"/>
      <c r="I41" s="1612"/>
      <c r="J41" s="1612"/>
      <c r="K41" s="1613"/>
    </row>
    <row r="42" spans="1:14" ht="13.5" thickBot="1"/>
    <row r="43" spans="1:14">
      <c r="B43" s="1604"/>
      <c r="C43" s="1605"/>
      <c r="D43" s="1605"/>
      <c r="E43" s="1605"/>
      <c r="F43" s="1605"/>
      <c r="G43" s="1605"/>
      <c r="H43" s="1605"/>
      <c r="I43" s="1605"/>
      <c r="J43" s="1605"/>
      <c r="K43" s="1606"/>
    </row>
    <row r="44" spans="1:14" ht="21.75" customHeight="1">
      <c r="B44" s="5291" t="s">
        <v>4532</v>
      </c>
      <c r="C44" s="5292"/>
      <c r="D44" s="5292"/>
      <c r="E44" s="5292"/>
      <c r="F44" s="5292"/>
      <c r="G44" s="5292"/>
      <c r="H44" s="5292"/>
      <c r="I44" s="5292"/>
      <c r="J44" s="5292"/>
      <c r="K44" s="5293"/>
    </row>
    <row r="45" spans="1:14" ht="21.75" customHeight="1">
      <c r="B45" s="5294"/>
      <c r="C45" s="5292"/>
      <c r="D45" s="5292"/>
      <c r="E45" s="5292"/>
      <c r="F45" s="5292"/>
      <c r="G45" s="5292"/>
      <c r="H45" s="5292"/>
      <c r="I45" s="5292"/>
      <c r="J45" s="5292"/>
      <c r="K45" s="5293"/>
    </row>
    <row r="46" spans="1:14" ht="21.75" customHeight="1">
      <c r="B46" s="5294"/>
      <c r="C46" s="5292"/>
      <c r="D46" s="5292"/>
      <c r="E46" s="5292"/>
      <c r="F46" s="5292"/>
      <c r="G46" s="5292"/>
      <c r="H46" s="5292"/>
      <c r="I46" s="5292"/>
      <c r="J46" s="5292"/>
      <c r="K46" s="5293"/>
    </row>
    <row r="47" spans="1:14" ht="21.75" customHeight="1">
      <c r="B47" s="5294"/>
      <c r="C47" s="5292"/>
      <c r="D47" s="5292"/>
      <c r="E47" s="5292"/>
      <c r="F47" s="5292"/>
      <c r="G47" s="5292"/>
      <c r="H47" s="5292"/>
      <c r="I47" s="5292"/>
      <c r="J47" s="5292"/>
      <c r="K47" s="5293"/>
    </row>
    <row r="48" spans="1:14">
      <c r="B48" s="5294"/>
      <c r="C48" s="5292"/>
      <c r="D48" s="5292"/>
      <c r="E48" s="5292"/>
      <c r="F48" s="5292"/>
      <c r="G48" s="5292"/>
      <c r="H48" s="5292"/>
      <c r="I48" s="5292"/>
      <c r="J48" s="5292"/>
      <c r="K48" s="5293"/>
    </row>
    <row r="49" spans="2:12">
      <c r="B49" s="2117"/>
      <c r="C49" s="4833" t="s">
        <v>4541</v>
      </c>
      <c r="D49" s="2118"/>
      <c r="E49" s="4833" t="s">
        <v>4542</v>
      </c>
      <c r="F49" s="2118"/>
      <c r="G49" s="2118"/>
      <c r="H49" s="2118"/>
      <c r="I49" s="2118"/>
      <c r="J49" s="2118"/>
      <c r="K49" s="1554"/>
      <c r="L49" s="1610"/>
    </row>
    <row r="50" spans="2:12">
      <c r="B50" s="4834"/>
      <c r="C50" s="3312" t="s">
        <v>4535</v>
      </c>
      <c r="D50" s="3446"/>
      <c r="E50" s="3312" t="s">
        <v>4533</v>
      </c>
      <c r="F50" s="3446"/>
      <c r="G50" s="3446"/>
      <c r="H50" s="3446"/>
      <c r="I50" s="3446"/>
      <c r="J50" s="3446"/>
      <c r="K50" s="4835"/>
    </row>
    <row r="51" spans="2:12">
      <c r="B51" s="2117"/>
      <c r="C51" s="3617" t="s">
        <v>4543</v>
      </c>
      <c r="D51" s="2118"/>
      <c r="E51" s="3617" t="s">
        <v>4534</v>
      </c>
      <c r="F51" s="2118"/>
      <c r="G51" s="2118"/>
      <c r="H51" s="2118"/>
      <c r="I51" s="2118"/>
      <c r="J51" s="2118"/>
      <c r="K51" s="2119"/>
    </row>
    <row r="52" spans="2:12">
      <c r="B52" s="2117"/>
      <c r="C52" s="5251"/>
      <c r="D52" s="2118"/>
      <c r="E52" s="3617"/>
      <c r="F52" s="2118"/>
      <c r="G52" s="2118"/>
      <c r="H52" s="2118"/>
      <c r="I52" s="2118"/>
      <c r="J52" s="2118"/>
      <c r="K52" s="2119"/>
    </row>
    <row r="53" spans="2:12">
      <c r="B53" s="2117"/>
      <c r="C53" s="4833" t="s">
        <v>4926</v>
      </c>
      <c r="D53" s="2118"/>
      <c r="E53" s="4833" t="s">
        <v>4929</v>
      </c>
      <c r="F53" s="2118"/>
      <c r="G53" s="2118"/>
      <c r="H53" s="2118"/>
      <c r="I53" s="2118"/>
      <c r="J53" s="2118"/>
      <c r="K53" s="1554"/>
      <c r="L53" s="1610"/>
    </row>
    <row r="54" spans="2:12">
      <c r="B54" s="4834"/>
      <c r="C54" s="3312" t="s">
        <v>4927</v>
      </c>
      <c r="D54" s="1408"/>
      <c r="E54" s="3312" t="s">
        <v>4930</v>
      </c>
      <c r="F54" s="1408"/>
      <c r="G54" s="1408"/>
      <c r="H54" s="1408"/>
      <c r="I54" s="1408"/>
      <c r="J54" s="1408"/>
      <c r="K54" s="1877"/>
    </row>
    <row r="55" spans="2:12">
      <c r="B55" s="2117"/>
      <c r="C55" s="3617" t="s">
        <v>4928</v>
      </c>
      <c r="D55" s="2118"/>
      <c r="E55" s="3617" t="s">
        <v>4928</v>
      </c>
      <c r="F55" s="2118"/>
      <c r="G55" s="2118"/>
      <c r="H55" s="2118"/>
      <c r="I55" s="2118"/>
      <c r="J55" s="2118"/>
      <c r="K55" s="2119"/>
    </row>
    <row r="56" spans="2:12">
      <c r="B56" s="2117"/>
      <c r="C56" s="2118"/>
      <c r="D56" s="2118"/>
      <c r="E56" s="2118"/>
      <c r="F56" s="2118"/>
      <c r="G56" s="2118"/>
      <c r="H56" s="2118"/>
      <c r="I56" s="2118"/>
      <c r="J56" s="2118"/>
      <c r="K56" s="2119"/>
    </row>
    <row r="57" spans="2:12">
      <c r="B57" s="2117"/>
      <c r="C57" s="4833" t="s">
        <v>4540</v>
      </c>
      <c r="D57" s="2118"/>
      <c r="E57" s="4833"/>
      <c r="F57" s="2118"/>
      <c r="G57" s="2118"/>
      <c r="H57" s="2118"/>
      <c r="I57" s="2118"/>
      <c r="J57" s="2118"/>
      <c r="K57" s="1554"/>
      <c r="L57" s="1610"/>
    </row>
    <row r="58" spans="2:12" ht="16.5">
      <c r="B58" s="2117"/>
      <c r="C58" s="4832" t="s">
        <v>4536</v>
      </c>
      <c r="E58" s="4832"/>
      <c r="K58" s="1554"/>
      <c r="L58" s="1610"/>
    </row>
    <row r="59" spans="2:12" ht="16.5">
      <c r="B59" s="2117"/>
      <c r="C59" s="4832" t="s">
        <v>4537</v>
      </c>
      <c r="E59" s="4832"/>
      <c r="K59" s="1554"/>
      <c r="L59" s="1610"/>
    </row>
    <row r="60" spans="2:12" ht="16.5">
      <c r="B60" s="2117"/>
      <c r="C60" s="4832" t="s">
        <v>4538</v>
      </c>
      <c r="E60" s="4832"/>
      <c r="K60" s="1554"/>
      <c r="L60" s="1610"/>
    </row>
    <row r="61" spans="2:12" ht="16.5">
      <c r="B61" s="2117"/>
      <c r="C61" s="4832" t="s">
        <v>4539</v>
      </c>
      <c r="E61" s="4832"/>
      <c r="K61" s="1554"/>
      <c r="L61" s="1610"/>
    </row>
    <row r="62" spans="2:12" ht="16.5">
      <c r="B62" s="2117"/>
      <c r="E62" s="4832"/>
      <c r="K62" s="1554"/>
    </row>
    <row r="63" spans="2:12" ht="22.5" customHeight="1">
      <c r="B63" s="2117"/>
      <c r="C63" s="4836"/>
      <c r="D63" s="4838" t="s">
        <v>4545</v>
      </c>
      <c r="E63" s="4836"/>
      <c r="F63" s="4836"/>
      <c r="G63" s="4836"/>
      <c r="H63" s="4836"/>
      <c r="I63" s="4836"/>
      <c r="J63" s="4836"/>
      <c r="K63" s="4837"/>
    </row>
    <row r="64" spans="2:12" ht="13.5" thickBot="1">
      <c r="B64" s="1611"/>
      <c r="C64" s="1612"/>
      <c r="D64" s="1612"/>
      <c r="E64" s="1612"/>
      <c r="F64" s="1612"/>
      <c r="G64" s="1612"/>
      <c r="H64" s="1612"/>
      <c r="I64" s="1612"/>
      <c r="J64" s="1612"/>
      <c r="K64" s="1613"/>
    </row>
    <row r="65" spans="2:11">
      <c r="B65" s="1605"/>
      <c r="C65" s="1605"/>
      <c r="D65" s="1605"/>
      <c r="E65" s="1605"/>
      <c r="F65" s="1605"/>
      <c r="G65" s="1605"/>
      <c r="H65" s="1605"/>
      <c r="I65" s="1605"/>
      <c r="J65" s="1605"/>
      <c r="K65" s="1605"/>
    </row>
  </sheetData>
  <sheetProtection password="F07E" sheet="1" objects="1" scenarios="1"/>
  <mergeCells count="4">
    <mergeCell ref="B44:K48"/>
    <mergeCell ref="B2:K10"/>
    <mergeCell ref="B12:K20"/>
    <mergeCell ref="B22:K23"/>
  </mergeCells>
  <conditionalFormatting sqref="A35">
    <cfRule type="expression" dxfId="3148" priority="4">
      <formula>IF(Disclaimer,TRUE,FALSE)</formula>
    </cfRule>
  </conditionalFormatting>
  <conditionalFormatting sqref="F35">
    <cfRule type="expression" dxfId="3147" priority="3">
      <formula>IF(Disclaimer,TRUE,FALSE)</formula>
    </cfRule>
  </conditionalFormatting>
  <conditionalFormatting sqref="F36">
    <cfRule type="expression" dxfId="3146" priority="2">
      <formula>IF(Disclaimer,TRUE,FALSE)</formula>
    </cfRule>
  </conditionalFormatting>
  <conditionalFormatting sqref="F37">
    <cfRule type="expression" dxfId="3145" priority="1">
      <formula>IF(Disclaimer,TRUE,FALSE)</formula>
    </cfRule>
  </conditionalFormatting>
  <hyperlinks>
    <hyperlink ref="C50" r:id="rId1" display="http://paypal.me/incometaxspreadsheet"/>
    <hyperlink ref="E50" r:id="rId2"/>
    <hyperlink ref="C54" r:id="rId3" location="sendRequestMoney"/>
    <hyperlink ref="E54" r:id="rId4"/>
    <hyperlink ref="E24" r:id="rId5"/>
    <hyperlink ref="E30" r:id="rId6"/>
  </hyperlinks>
  <pageMargins left="0.75" right="0.25" top="0.36" bottom="0.28999999999999998" header="0.36" footer="0.21"/>
  <pageSetup scale="73" orientation="portrait" horizontalDpi="4294967293" verticalDpi="4294967293"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64"/>
  <sheetViews>
    <sheetView topLeftCell="A22" workbookViewId="0">
      <selection activeCell="B41" sqref="B41"/>
    </sheetView>
  </sheetViews>
  <sheetFormatPr defaultRowHeight="14.25" customHeight="1"/>
  <cols>
    <col min="1" max="1" width="3.85546875" customWidth="1"/>
    <col min="2" max="2" width="21.85546875" style="931" customWidth="1"/>
    <col min="3" max="3" width="114.42578125" style="5217" customWidth="1"/>
  </cols>
  <sheetData>
    <row r="1" spans="2:3" ht="14.25" customHeight="1" thickBot="1"/>
    <row r="2" spans="2:3" ht="8.25" customHeight="1" thickTop="1">
      <c r="B2" s="5225"/>
      <c r="C2" s="5218"/>
    </row>
    <row r="3" spans="2:3" ht="16.5" customHeight="1">
      <c r="B3" s="5226"/>
      <c r="C3" s="5232" t="s">
        <v>5064</v>
      </c>
    </row>
    <row r="4" spans="2:3" ht="16.5" customHeight="1">
      <c r="B4" s="5310" t="s">
        <v>5063</v>
      </c>
      <c r="C4" s="5224" t="s">
        <v>5009</v>
      </c>
    </row>
    <row r="5" spans="2:3" ht="16.5" customHeight="1">
      <c r="B5" s="5310"/>
      <c r="C5" s="5219"/>
    </row>
    <row r="6" spans="2:3" ht="16.5" customHeight="1">
      <c r="B6" s="5310"/>
      <c r="C6" s="5230" t="s">
        <v>5010</v>
      </c>
    </row>
    <row r="7" spans="2:3" ht="16.5" customHeight="1">
      <c r="B7" s="5227" t="s">
        <v>4975</v>
      </c>
      <c r="C7" s="5221" t="s">
        <v>5011</v>
      </c>
    </row>
    <row r="8" spans="2:3" ht="16.5" customHeight="1">
      <c r="B8" s="5227" t="s">
        <v>5009</v>
      </c>
      <c r="C8" s="5221" t="s">
        <v>5012</v>
      </c>
    </row>
    <row r="9" spans="2:3" ht="16.5" customHeight="1">
      <c r="B9" s="5227" t="s">
        <v>4976</v>
      </c>
      <c r="C9" s="5221" t="s">
        <v>5013</v>
      </c>
    </row>
    <row r="10" spans="2:3" ht="16.5" customHeight="1">
      <c r="B10" s="5227" t="s">
        <v>4850</v>
      </c>
      <c r="C10" s="5221" t="s">
        <v>5014</v>
      </c>
    </row>
    <row r="11" spans="2:3" ht="16.5" customHeight="1">
      <c r="B11" s="5227" t="s">
        <v>4977</v>
      </c>
      <c r="C11" s="5221" t="s">
        <v>5015</v>
      </c>
    </row>
    <row r="12" spans="2:3" ht="16.5" customHeight="1">
      <c r="B12" s="5227" t="s">
        <v>4978</v>
      </c>
      <c r="C12" s="5221" t="s">
        <v>5016</v>
      </c>
    </row>
    <row r="13" spans="2:3" ht="16.5" customHeight="1">
      <c r="B13" s="5227" t="s">
        <v>4895</v>
      </c>
      <c r="C13" s="5221" t="s">
        <v>5017</v>
      </c>
    </row>
    <row r="14" spans="2:3" ht="16.5" customHeight="1">
      <c r="B14" s="5227" t="s">
        <v>4979</v>
      </c>
      <c r="C14" s="5221" t="s">
        <v>5018</v>
      </c>
    </row>
    <row r="15" spans="2:3" ht="16.5" customHeight="1">
      <c r="B15" s="5227" t="s">
        <v>4628</v>
      </c>
      <c r="C15" s="5221" t="s">
        <v>5019</v>
      </c>
    </row>
    <row r="16" spans="2:3" ht="16.5" customHeight="1">
      <c r="B16" s="5227" t="s">
        <v>4980</v>
      </c>
      <c r="C16" s="5221" t="s">
        <v>5020</v>
      </c>
    </row>
    <row r="17" spans="2:3" ht="16.5" customHeight="1">
      <c r="B17" s="5228" t="s">
        <v>3408</v>
      </c>
      <c r="C17" s="5221" t="s">
        <v>5021</v>
      </c>
    </row>
    <row r="18" spans="2:3" ht="16.5" customHeight="1">
      <c r="B18" s="5227" t="s">
        <v>4778</v>
      </c>
      <c r="C18" s="5221" t="s">
        <v>5022</v>
      </c>
    </row>
    <row r="19" spans="2:3" ht="16.5" customHeight="1">
      <c r="B19" s="5227" t="s">
        <v>4981</v>
      </c>
      <c r="C19" s="5221" t="s">
        <v>5023</v>
      </c>
    </row>
    <row r="20" spans="2:3" ht="16.5" customHeight="1">
      <c r="B20" s="5227" t="s">
        <v>4982</v>
      </c>
      <c r="C20" s="5221" t="s">
        <v>5024</v>
      </c>
    </row>
    <row r="21" spans="2:3" ht="16.5" customHeight="1">
      <c r="B21" s="5227" t="s">
        <v>4983</v>
      </c>
      <c r="C21" s="5221" t="s">
        <v>5025</v>
      </c>
    </row>
    <row r="22" spans="2:3" ht="16.5" customHeight="1">
      <c r="B22" s="5227" t="s">
        <v>4984</v>
      </c>
      <c r="C22" s="5221" t="s">
        <v>5026</v>
      </c>
    </row>
    <row r="23" spans="2:3" ht="16.5" customHeight="1">
      <c r="B23" s="5227" t="s">
        <v>4985</v>
      </c>
      <c r="C23" s="5221" t="s">
        <v>5027</v>
      </c>
    </row>
    <row r="24" spans="2:3" ht="16.5" customHeight="1">
      <c r="B24" s="5227" t="s">
        <v>4986</v>
      </c>
      <c r="C24" s="5221" t="s">
        <v>5028</v>
      </c>
    </row>
    <row r="25" spans="2:3" ht="16.5" customHeight="1">
      <c r="B25" s="5227" t="s">
        <v>4987</v>
      </c>
      <c r="C25" s="5221" t="s">
        <v>5029</v>
      </c>
    </row>
    <row r="26" spans="2:3" ht="16.5" customHeight="1">
      <c r="B26" s="5227" t="s">
        <v>4988</v>
      </c>
      <c r="C26" s="5221" t="s">
        <v>5050</v>
      </c>
    </row>
    <row r="27" spans="2:3" ht="16.5" customHeight="1">
      <c r="B27" s="5227" t="s">
        <v>4991</v>
      </c>
      <c r="C27" s="5221" t="s">
        <v>5049</v>
      </c>
    </row>
    <row r="28" spans="2:3" ht="16.5" customHeight="1">
      <c r="B28" s="5227" t="s">
        <v>4900</v>
      </c>
      <c r="C28" s="5220" t="s">
        <v>5030</v>
      </c>
    </row>
    <row r="29" spans="2:3" ht="16.5" customHeight="1">
      <c r="B29" s="5227" t="s">
        <v>4593</v>
      </c>
      <c r="C29" s="5221" t="s">
        <v>5048</v>
      </c>
    </row>
    <row r="30" spans="2:3" ht="16.5" customHeight="1">
      <c r="B30" s="5227" t="s">
        <v>4429</v>
      </c>
      <c r="C30" s="5220" t="s">
        <v>5047</v>
      </c>
    </row>
    <row r="31" spans="2:3" ht="16.5" customHeight="1">
      <c r="B31" s="5227" t="s">
        <v>4960</v>
      </c>
      <c r="C31" s="5220" t="s">
        <v>3687</v>
      </c>
    </row>
    <row r="32" spans="2:3" ht="16.5" customHeight="1">
      <c r="B32" s="5227" t="s">
        <v>4531</v>
      </c>
      <c r="C32" s="5220" t="s">
        <v>5031</v>
      </c>
    </row>
    <row r="33" spans="2:3" ht="16.5" customHeight="1">
      <c r="B33" s="5227" t="s">
        <v>4932</v>
      </c>
      <c r="C33" s="5220" t="s">
        <v>5038</v>
      </c>
    </row>
    <row r="34" spans="2:3" ht="16.5" customHeight="1">
      <c r="B34" s="5227" t="s">
        <v>4989</v>
      </c>
      <c r="C34" s="5220" t="s">
        <v>5037</v>
      </c>
    </row>
    <row r="35" spans="2:3" ht="16.5" customHeight="1">
      <c r="B35" s="5227" t="s">
        <v>4990</v>
      </c>
      <c r="C35" s="5220" t="s">
        <v>5036</v>
      </c>
    </row>
    <row r="36" spans="2:3" ht="16.5" customHeight="1">
      <c r="B36" s="5227" t="s">
        <v>4868</v>
      </c>
      <c r="C36" s="5220" t="s">
        <v>5033</v>
      </c>
    </row>
    <row r="37" spans="2:3" ht="16.5" customHeight="1">
      <c r="B37" s="5227" t="s">
        <v>4992</v>
      </c>
      <c r="C37" s="5220" t="s">
        <v>5034</v>
      </c>
    </row>
    <row r="38" spans="2:3" ht="16.5" customHeight="1">
      <c r="B38" s="5227" t="s">
        <v>3884</v>
      </c>
      <c r="C38" s="5220" t="s">
        <v>5057</v>
      </c>
    </row>
    <row r="39" spans="2:3" ht="16.5" customHeight="1">
      <c r="B39" s="5227" t="s">
        <v>3406</v>
      </c>
      <c r="C39" s="5220" t="s">
        <v>5035</v>
      </c>
    </row>
    <row r="40" spans="2:3" ht="54" customHeight="1">
      <c r="B40" s="5231" t="s">
        <v>3872</v>
      </c>
      <c r="C40" s="5222" t="s">
        <v>5039</v>
      </c>
    </row>
    <row r="41" spans="2:3" ht="16.5" customHeight="1">
      <c r="B41" s="5227" t="s">
        <v>3885</v>
      </c>
      <c r="C41" s="5220" t="s">
        <v>5040</v>
      </c>
    </row>
    <row r="42" spans="2:3" ht="16.5" customHeight="1">
      <c r="B42" s="5227" t="s">
        <v>3886</v>
      </c>
      <c r="C42" s="5220" t="s">
        <v>5041</v>
      </c>
    </row>
    <row r="43" spans="2:3" ht="16.5" customHeight="1">
      <c r="B43" s="5227" t="s">
        <v>4993</v>
      </c>
      <c r="C43" s="5220" t="s">
        <v>5042</v>
      </c>
    </row>
    <row r="44" spans="2:3" ht="16.5" customHeight="1">
      <c r="B44" s="5227" t="s">
        <v>3423</v>
      </c>
      <c r="C44" s="5220" t="s">
        <v>5056</v>
      </c>
    </row>
    <row r="45" spans="2:3" ht="16.5" customHeight="1">
      <c r="B45" s="5228" t="s">
        <v>4994</v>
      </c>
      <c r="C45" s="5220" t="s">
        <v>5043</v>
      </c>
    </row>
    <row r="46" spans="2:3" ht="16.5" customHeight="1">
      <c r="B46" s="5228" t="s">
        <v>4995</v>
      </c>
      <c r="C46" s="5220" t="s">
        <v>5044</v>
      </c>
    </row>
    <row r="47" spans="2:3" ht="16.5" customHeight="1">
      <c r="B47" s="5228" t="s">
        <v>4996</v>
      </c>
      <c r="C47" s="5220" t="s">
        <v>5045</v>
      </c>
    </row>
    <row r="48" spans="2:3" ht="16.5" customHeight="1">
      <c r="B48" s="5228" t="s">
        <v>1785</v>
      </c>
      <c r="C48" s="5220" t="s">
        <v>5046</v>
      </c>
    </row>
    <row r="49" spans="2:3" ht="16.5" customHeight="1">
      <c r="B49" s="5228" t="s">
        <v>4997</v>
      </c>
      <c r="C49" s="5220" t="s">
        <v>5051</v>
      </c>
    </row>
    <row r="50" spans="2:3" ht="16.5" customHeight="1">
      <c r="B50" s="5228" t="s">
        <v>4998</v>
      </c>
      <c r="C50" s="5220" t="s">
        <v>5052</v>
      </c>
    </row>
    <row r="51" spans="2:3" ht="16.5" customHeight="1">
      <c r="B51" s="5228" t="s">
        <v>4999</v>
      </c>
      <c r="C51" s="5220" t="s">
        <v>5053</v>
      </c>
    </row>
    <row r="52" spans="2:3" ht="16.5" customHeight="1">
      <c r="B52" s="5228" t="s">
        <v>5000</v>
      </c>
      <c r="C52" s="5220" t="s">
        <v>5054</v>
      </c>
    </row>
    <row r="53" spans="2:3" ht="16.5" customHeight="1">
      <c r="B53" s="5228" t="s">
        <v>5001</v>
      </c>
      <c r="C53" s="5220" t="s">
        <v>5055</v>
      </c>
    </row>
    <row r="54" spans="2:3" ht="16.5" customHeight="1">
      <c r="B54" s="5228" t="s">
        <v>5002</v>
      </c>
      <c r="C54" s="5220" t="s">
        <v>5055</v>
      </c>
    </row>
    <row r="55" spans="2:3" ht="16.5" customHeight="1">
      <c r="B55" s="5227" t="s">
        <v>5003</v>
      </c>
      <c r="C55" s="5220" t="s">
        <v>5055</v>
      </c>
    </row>
    <row r="56" spans="2:3" ht="16.5" customHeight="1">
      <c r="B56" s="5227" t="s">
        <v>4922</v>
      </c>
      <c r="C56" s="5220" t="s">
        <v>5055</v>
      </c>
    </row>
    <row r="57" spans="2:3" ht="16.5" customHeight="1">
      <c r="B57" s="5228" t="s">
        <v>5004</v>
      </c>
      <c r="C57" s="5220" t="s">
        <v>5058</v>
      </c>
    </row>
    <row r="58" spans="2:3" ht="16.5" customHeight="1">
      <c r="B58" s="5228" t="s">
        <v>5005</v>
      </c>
      <c r="C58" s="5220" t="s">
        <v>5059</v>
      </c>
    </row>
    <row r="59" spans="2:3" ht="16.5" customHeight="1">
      <c r="B59" s="5228" t="s">
        <v>1358</v>
      </c>
      <c r="C59" s="5220" t="s">
        <v>5060</v>
      </c>
    </row>
    <row r="60" spans="2:3" ht="16.5" customHeight="1">
      <c r="B60" s="5227" t="s">
        <v>5006</v>
      </c>
      <c r="C60" s="5220" t="s">
        <v>5061</v>
      </c>
    </row>
    <row r="61" spans="2:3" ht="16.5" customHeight="1">
      <c r="B61" s="5227" t="s">
        <v>5007</v>
      </c>
      <c r="C61" s="5221" t="s">
        <v>5065</v>
      </c>
    </row>
    <row r="62" spans="2:3" ht="16.5" customHeight="1">
      <c r="B62" s="5227" t="s">
        <v>5008</v>
      </c>
      <c r="C62" s="5221" t="s">
        <v>5062</v>
      </c>
    </row>
    <row r="63" spans="2:3" ht="14.25" customHeight="1" thickBot="1">
      <c r="B63" s="5229"/>
      <c r="C63" s="5223"/>
    </row>
    <row r="64" spans="2:3" ht="14.25" customHeight="1" thickTop="1"/>
  </sheetData>
  <sheetProtection password="F07E" sheet="1" objects="1" scenarios="1"/>
  <mergeCells count="1">
    <mergeCell ref="B4:B6"/>
  </mergeCells>
  <hyperlinks>
    <hyperlink ref="B17" location="'1040'!A1" display="1040"/>
    <hyperlink ref="B7" location="Disclaimer!A1" display="Disclaimer"/>
    <hyperlink ref="B9" location="Instructions!A1" display="Instructions"/>
    <hyperlink ref="B10" location="'W-2s'!A1" display="W-2s"/>
    <hyperlink ref="B11" location="'1099-INT'!A1" display="1099-INT"/>
    <hyperlink ref="B12" location="'1099-DIV'!A1" display="1099-DIV"/>
    <hyperlink ref="B13" location="'1099-G'!A1" display="1099-G"/>
    <hyperlink ref="B14" location="'1099-MISC'!A1" display="1099-MISC"/>
    <hyperlink ref="B15" location="'1099-R'!A1" display="1099-R"/>
    <hyperlink ref="B16" location="'SSA-1099'!A1" display="SSA-1099"/>
    <hyperlink ref="B8" location="'Table of Contents'!A1" display="Table of Contents"/>
    <hyperlink ref="B18" location="'Sch. 1'!A1" display="Sch. 1"/>
    <hyperlink ref="B19" location="'Sch. 2'!A1" display="Sch. 2"/>
    <hyperlink ref="B20" location="'Sch. 3'!A1" display="Sch. 3"/>
    <hyperlink ref="B21" location="'Sch. 4'!A1" display="Sch. 4"/>
    <hyperlink ref="B22" location="'Sch. 5'!A1" display="Sch. 5"/>
    <hyperlink ref="B23" location="'Sch. 6'!A1" display="Sch. 6"/>
    <hyperlink ref="B24" location="'Line 4 (Annuity)'!A1" display="Line 4 (Annuity)"/>
    <hyperlink ref="B25" location="'Line 5 (SS Bene)'!A1" display="Line 5 (SS Bene)"/>
    <hyperlink ref="B26" location="'Line 8 (SD Depnts)'!A1" display="Line 8 (SD Depnts)"/>
    <hyperlink ref="B27" location="'Earned Inc Calc'!A1" display="Earned Inc Calc"/>
    <hyperlink ref="B28" location="'Line 9 (QBID)'!A1" display="Line 9 (QBID)"/>
    <hyperlink ref="B29" location="'QBID (Unofficial)'!A1" display="QBID (Unofficial)"/>
    <hyperlink ref="B30" location="'Sch 1, Line 10 (SALT)'!A1" display="Sch. 1, Line 10 (SALT)"/>
    <hyperlink ref="B31" location="'Line 11a (QDCG Tax)'!A1" display="Line 11a (QDCG Tax)"/>
    <hyperlink ref="B32" location="'Line 12a (CTC)'!A1" display="Line 12a (CTC)"/>
    <hyperlink ref="B33" location="'Line 17a (EIC)'!A1" display="Line 17a (EIC)"/>
    <hyperlink ref="B34" location="'Sch. 1, Line 32 (IRA)'!A1" display="Sch. 1 Line 32 (IRA)"/>
    <hyperlink ref="B35" location="'Line 33 (Stu Loan)'!A1" display="Line 33 (Stu Loan)"/>
    <hyperlink ref="B36" location="'Sch. A'!A1" display="Sch. A"/>
    <hyperlink ref="B37" location="'Sch. B'!A1" display="Sch. B"/>
    <hyperlink ref="B38" location="'Sch. C'!A1" display="Sch. C"/>
    <hyperlink ref="B39" location="'Sch. D'!A1" display="Sch. D"/>
    <hyperlink ref="B40" location="'Sch. D WS'!A1" display="Sch. D WS"/>
    <hyperlink ref="B41" location="'Sch. E'!A1" display="Sch. E"/>
    <hyperlink ref="B42" location="'Sch. F'!A1" display="Sch. F"/>
    <hyperlink ref="B43" location="'Sch. R'!A1" display="Sch. R"/>
    <hyperlink ref="B44" location="'Sch. SE'!A1" display="Sch. SE"/>
    <hyperlink ref="B45" location="'1116'!A1" display="1116"/>
    <hyperlink ref="B46" location="'2210'!A1" display="2210"/>
    <hyperlink ref="B47" location="'2441'!A1" display="2441"/>
    <hyperlink ref="B48" location="'2555'!A1" display="2555"/>
    <hyperlink ref="B49" location="'6251'!A1" display="6251"/>
    <hyperlink ref="B50" location="'8283'!A1" display="8283"/>
    <hyperlink ref="B51" location="'8812'!A1" display="8812"/>
    <hyperlink ref="B52" location="'8889'!A1" display="8889"/>
    <hyperlink ref="B53" location="'8949A'!A1" display="8949A"/>
    <hyperlink ref="B54" location="'8949B'!A1" display="8949B"/>
    <hyperlink ref="B55" location="'8949C'!A1" display="8949C"/>
    <hyperlink ref="B56" location="'8949D'!A1" display="8949D"/>
    <hyperlink ref="B57" location="'8959'!A1" display="8959"/>
    <hyperlink ref="B58" location="'8960'!A1" display="8960"/>
    <hyperlink ref="B59" location="'8962'!A1" display="8962"/>
    <hyperlink ref="B60" location="'EIC Table'!A1" display="EIC Table"/>
    <hyperlink ref="B61" location="'Tax Table'!A1" display="Tax Table"/>
    <hyperlink ref="B62" location="Changes!A1" display="Changes"/>
  </hyperlinks>
  <pageMargins left="0.7" right="0.7" top="0.75" bottom="0.75" header="0.3" footer="0.3"/>
  <pageSetup scale="67"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L72"/>
  <sheetViews>
    <sheetView workbookViewId="0"/>
  </sheetViews>
  <sheetFormatPr defaultColWidth="9.140625" defaultRowHeight="12.75"/>
  <cols>
    <col min="1" max="1" width="5.28515625" style="1443" customWidth="1"/>
    <col min="2" max="2" width="4.42578125" style="1443" customWidth="1"/>
    <col min="3" max="3" width="9.140625" style="2248"/>
    <col min="4" max="11" width="9.140625" style="1443"/>
    <col min="12" max="12" width="10.7109375" style="1443" customWidth="1"/>
    <col min="13" max="16384" width="9.140625" style="1443"/>
  </cols>
  <sheetData>
    <row r="2" spans="1:12" ht="26.25">
      <c r="A2" s="3310" t="s">
        <v>2440</v>
      </c>
      <c r="B2" s="3310"/>
      <c r="C2" s="2241"/>
      <c r="D2" s="2241"/>
      <c r="E2" s="2241"/>
      <c r="F2" s="2241"/>
      <c r="G2" s="2241"/>
      <c r="H2" s="2241"/>
      <c r="I2" s="2241"/>
      <c r="J2" s="2241"/>
      <c r="K2" s="2241"/>
      <c r="L2" s="2241"/>
    </row>
    <row r="3" spans="1:12" ht="23.25">
      <c r="A3" s="3311" t="s">
        <v>2441</v>
      </c>
      <c r="B3" s="2241"/>
      <c r="C3" s="2241"/>
      <c r="D3" s="2241"/>
      <c r="E3" s="3311"/>
      <c r="F3" s="2241"/>
      <c r="G3" s="2241"/>
      <c r="H3" s="2241"/>
      <c r="I3" s="2241"/>
      <c r="J3" s="2241"/>
      <c r="K3" s="2241"/>
      <c r="L3" s="2241"/>
    </row>
    <row r="5" spans="1:12">
      <c r="B5" s="1615" t="s">
        <v>2442</v>
      </c>
    </row>
    <row r="6" spans="1:12">
      <c r="B6" s="2523" t="s">
        <v>336</v>
      </c>
      <c r="C6" s="2247" t="s">
        <v>2443</v>
      </c>
    </row>
    <row r="7" spans="1:12">
      <c r="C7" s="2247" t="s">
        <v>2519</v>
      </c>
    </row>
    <row r="8" spans="1:12">
      <c r="C8" s="2247" t="s">
        <v>2447</v>
      </c>
    </row>
    <row r="10" spans="1:12">
      <c r="B10" s="2523" t="s">
        <v>0</v>
      </c>
      <c r="C10" s="2247" t="s">
        <v>2444</v>
      </c>
    </row>
    <row r="11" spans="1:12">
      <c r="B11" s="2523"/>
      <c r="C11" s="2247" t="s">
        <v>2445</v>
      </c>
    </row>
    <row r="12" spans="1:12">
      <c r="C12" s="2247" t="s">
        <v>2446</v>
      </c>
    </row>
    <row r="13" spans="1:12">
      <c r="C13" s="2247" t="s">
        <v>2520</v>
      </c>
    </row>
    <row r="14" spans="1:12">
      <c r="C14" s="2247" t="s">
        <v>2518</v>
      </c>
    </row>
    <row r="15" spans="1:12">
      <c r="C15" s="2247"/>
    </row>
    <row r="16" spans="1:12">
      <c r="B16" s="2523" t="s">
        <v>1</v>
      </c>
      <c r="C16" s="2247" t="s">
        <v>2448</v>
      </c>
    </row>
    <row r="17" spans="2:9">
      <c r="C17" s="2247" t="s">
        <v>2463</v>
      </c>
    </row>
    <row r="18" spans="2:9">
      <c r="C18" s="2247" t="s">
        <v>2489</v>
      </c>
      <c r="I18" s="3312" t="s">
        <v>2490</v>
      </c>
    </row>
    <row r="20" spans="2:9">
      <c r="B20" s="2523" t="s">
        <v>455</v>
      </c>
      <c r="C20" s="2247" t="s">
        <v>2449</v>
      </c>
    </row>
    <row r="21" spans="2:9">
      <c r="C21" s="2247" t="s">
        <v>2492</v>
      </c>
      <c r="F21" s="2541" t="s">
        <v>2493</v>
      </c>
      <c r="G21" s="3312" t="s">
        <v>2491</v>
      </c>
    </row>
    <row r="23" spans="2:9">
      <c r="B23" s="1615" t="s">
        <v>2450</v>
      </c>
    </row>
    <row r="24" spans="2:9">
      <c r="B24" s="2523" t="s">
        <v>336</v>
      </c>
      <c r="C24" s="2247" t="s">
        <v>2451</v>
      </c>
    </row>
    <row r="25" spans="2:9">
      <c r="C25" s="2247" t="s">
        <v>2452</v>
      </c>
    </row>
    <row r="26" spans="2:9">
      <c r="C26" s="2247" t="s">
        <v>2454</v>
      </c>
    </row>
    <row r="28" spans="2:9">
      <c r="B28" s="2523" t="s">
        <v>0</v>
      </c>
      <c r="C28" s="3313" t="s">
        <v>2459</v>
      </c>
    </row>
    <row r="29" spans="2:9">
      <c r="B29" s="2523"/>
      <c r="C29" s="3313" t="s">
        <v>2460</v>
      </c>
    </row>
    <row r="30" spans="2:9">
      <c r="B30" s="2523"/>
      <c r="C30" s="3313" t="s">
        <v>2461</v>
      </c>
    </row>
    <row r="31" spans="2:9">
      <c r="B31" s="2523"/>
      <c r="C31" s="3313"/>
    </row>
    <row r="32" spans="2:9">
      <c r="B32" s="2523"/>
      <c r="C32" s="3313" t="s">
        <v>4837</v>
      </c>
    </row>
    <row r="33" spans="2:3">
      <c r="B33" s="2523"/>
      <c r="C33" s="3313" t="s">
        <v>4620</v>
      </c>
    </row>
    <row r="34" spans="2:3">
      <c r="B34" s="2523"/>
      <c r="C34" s="3313" t="s">
        <v>4619</v>
      </c>
    </row>
    <row r="36" spans="2:3">
      <c r="B36" s="2523" t="s">
        <v>1</v>
      </c>
      <c r="C36" s="3313" t="s">
        <v>2462</v>
      </c>
    </row>
    <row r="37" spans="2:3">
      <c r="B37" s="2523"/>
      <c r="C37" s="3313"/>
    </row>
    <row r="38" spans="2:3">
      <c r="B38" s="2523"/>
      <c r="C38" s="3313" t="s">
        <v>4836</v>
      </c>
    </row>
    <row r="39" spans="2:3">
      <c r="B39" s="2523"/>
      <c r="C39" s="3313" t="s">
        <v>4620</v>
      </c>
    </row>
    <row r="40" spans="2:3">
      <c r="B40" s="2523"/>
      <c r="C40" s="3313" t="s">
        <v>4619</v>
      </c>
    </row>
    <row r="42" spans="2:3">
      <c r="B42" s="2523" t="s">
        <v>455</v>
      </c>
      <c r="C42" s="3313" t="s">
        <v>3317</v>
      </c>
    </row>
    <row r="44" spans="2:3">
      <c r="B44" s="2523" t="s">
        <v>35</v>
      </c>
      <c r="C44" s="3313" t="s">
        <v>4616</v>
      </c>
    </row>
    <row r="45" spans="2:3">
      <c r="B45" s="2523"/>
      <c r="C45" s="3313" t="s">
        <v>2458</v>
      </c>
    </row>
    <row r="46" spans="2:3">
      <c r="B46" s="2523"/>
      <c r="C46" s="3313" t="s">
        <v>2455</v>
      </c>
    </row>
    <row r="48" spans="2:3">
      <c r="B48" s="1615" t="s">
        <v>2453</v>
      </c>
    </row>
    <row r="49" spans="2:3">
      <c r="B49" s="2523" t="s">
        <v>336</v>
      </c>
      <c r="C49" s="2247" t="s">
        <v>4617</v>
      </c>
    </row>
    <row r="50" spans="2:3">
      <c r="B50" s="2523" t="s">
        <v>0</v>
      </c>
      <c r="C50" s="2247" t="s">
        <v>4621</v>
      </c>
    </row>
    <row r="51" spans="2:3">
      <c r="B51" s="2523" t="s">
        <v>455</v>
      </c>
      <c r="C51" s="2247" t="s">
        <v>4838</v>
      </c>
    </row>
    <row r="52" spans="2:3">
      <c r="B52" s="2523" t="s">
        <v>35</v>
      </c>
      <c r="C52" s="2247" t="s">
        <v>4839</v>
      </c>
    </row>
    <row r="53" spans="2:3">
      <c r="B53" s="2523"/>
      <c r="C53" s="2247" t="s">
        <v>2522</v>
      </c>
    </row>
    <row r="54" spans="2:3">
      <c r="B54" s="2523" t="s">
        <v>75</v>
      </c>
      <c r="C54" s="2247" t="s">
        <v>4840</v>
      </c>
    </row>
    <row r="55" spans="2:3">
      <c r="B55" s="2523"/>
      <c r="C55" s="2247" t="s">
        <v>2523</v>
      </c>
    </row>
    <row r="56" spans="2:3">
      <c r="B56" s="2523" t="s">
        <v>76</v>
      </c>
      <c r="C56" s="2247" t="s">
        <v>4841</v>
      </c>
    </row>
    <row r="57" spans="2:3">
      <c r="B57" s="2523" t="s">
        <v>232</v>
      </c>
      <c r="C57" s="2247" t="s">
        <v>4842</v>
      </c>
    </row>
    <row r="58" spans="2:3">
      <c r="B58" s="2523" t="s">
        <v>233</v>
      </c>
      <c r="C58" s="2247" t="s">
        <v>2456</v>
      </c>
    </row>
    <row r="59" spans="2:3">
      <c r="C59" s="2247" t="s">
        <v>4546</v>
      </c>
    </row>
    <row r="60" spans="2:3">
      <c r="C60" s="2247" t="s">
        <v>2457</v>
      </c>
    </row>
    <row r="61" spans="2:3" ht="14.1" customHeight="1">
      <c r="C61" s="2247" t="s">
        <v>4618</v>
      </c>
    </row>
    <row r="62" spans="2:3" ht="14.1" customHeight="1">
      <c r="B62" s="2523" t="s">
        <v>337</v>
      </c>
      <c r="C62" s="2247" t="s">
        <v>2464</v>
      </c>
    </row>
    <row r="63" spans="2:3" ht="14.1" customHeight="1">
      <c r="B63" s="2523"/>
      <c r="C63" s="2247" t="s">
        <v>4843</v>
      </c>
    </row>
    <row r="64" spans="2:3" ht="14.1" customHeight="1">
      <c r="B64" s="2523"/>
      <c r="C64" s="2247" t="s">
        <v>4844</v>
      </c>
    </row>
    <row r="65" spans="2:4">
      <c r="B65" s="2523"/>
      <c r="C65" s="2247" t="s">
        <v>4845</v>
      </c>
    </row>
    <row r="66" spans="2:4">
      <c r="B66" s="2523" t="s">
        <v>338</v>
      </c>
      <c r="C66" s="2247" t="s">
        <v>2465</v>
      </c>
    </row>
    <row r="67" spans="2:4">
      <c r="B67" s="2523" t="s">
        <v>339</v>
      </c>
      <c r="C67" s="2247" t="s">
        <v>2466</v>
      </c>
    </row>
    <row r="69" spans="2:4" ht="13.5" thickBot="1"/>
    <row r="70" spans="2:4">
      <c r="C70" s="5241"/>
      <c r="D70" s="1606"/>
    </row>
    <row r="71" spans="2:4">
      <c r="C71" s="5242" t="s">
        <v>5009</v>
      </c>
      <c r="D71" s="1554"/>
    </row>
    <row r="72" spans="2:4" ht="13.5" thickBot="1">
      <c r="C72" s="2093"/>
      <c r="D72" s="1613"/>
    </row>
  </sheetData>
  <sheetProtection password="F07E" sheet="1" objects="1" scenarios="1"/>
  <hyperlinks>
    <hyperlink ref="I18" r:id="rId1"/>
    <hyperlink ref="G21" r:id="rId2"/>
    <hyperlink ref="C71" location="'Table of Contents'!A1" display="Table of Contents"/>
  </hyperlinks>
  <pageMargins left="0.25" right="0.25" top="0.25" bottom="0.5" header="0.3" footer="0.3"/>
  <pageSetup scale="81"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A89"/>
  <sheetViews>
    <sheetView zoomScaleNormal="100" zoomScaleSheetLayoutView="100" workbookViewId="0">
      <pane ySplit="1" topLeftCell="A2" activePane="bottomLeft" state="frozen"/>
      <selection activeCell="O28" sqref="O28"/>
      <selection pane="bottomLeft"/>
    </sheetView>
  </sheetViews>
  <sheetFormatPr defaultColWidth="9.140625" defaultRowHeight="12.75"/>
  <cols>
    <col min="1" max="1" width="7" style="331" customWidth="1"/>
    <col min="2" max="2" width="37.7109375" customWidth="1"/>
    <col min="3" max="8" width="19.42578125" customWidth="1"/>
    <col min="9" max="9" width="13" customWidth="1"/>
    <col min="10" max="10" width="13.28515625" customWidth="1"/>
    <col min="11" max="11" width="2.140625" customWidth="1"/>
    <col min="12" max="12" width="13.5703125" style="6" customWidth="1"/>
    <col min="13" max="13" width="24" customWidth="1"/>
    <col min="14" max="14" width="7.7109375" customWidth="1"/>
    <col min="15" max="15" width="11.28515625" style="3742" customWidth="1"/>
    <col min="16" max="25" width="9.140625" style="3169"/>
    <col min="26" max="26" width="9.140625" style="932"/>
    <col min="27" max="27" width="8.140625" style="932" bestFit="1" customWidth="1"/>
  </cols>
  <sheetData>
    <row r="1" spans="1:27" ht="42" customHeight="1" thickBot="1">
      <c r="A1" s="492"/>
      <c r="B1" s="2976" t="s">
        <v>2497</v>
      </c>
      <c r="C1" s="3081"/>
      <c r="D1" s="3082"/>
      <c r="E1" s="3083"/>
      <c r="F1" s="4402" t="s">
        <v>3801</v>
      </c>
      <c r="G1" s="4919">
        <v>128400</v>
      </c>
      <c r="H1" s="4402" t="s">
        <v>3800</v>
      </c>
      <c r="I1" s="4403">
        <v>6.2E-2</v>
      </c>
      <c r="J1" s="4402"/>
      <c r="K1" s="4402" t="s">
        <v>3802</v>
      </c>
      <c r="L1" s="4919">
        <f>MaxSSTaxEarnings*SSTaxRate</f>
        <v>7960.8</v>
      </c>
      <c r="M1" s="4918" t="s">
        <v>4622</v>
      </c>
      <c r="N1" s="3080"/>
      <c r="O1" s="3741" t="s">
        <v>2552</v>
      </c>
    </row>
    <row r="2" spans="1:27" ht="42" customHeight="1" thickTop="1">
      <c r="A2" s="1136"/>
      <c r="B2" s="1614" t="str">
        <f>IF(Name_1st_Yours="","Enter your name on the"&amp;CHAR(10)&amp;"sheet labeled '1040'",NameYours)</f>
        <v>Enter your name on the
sheet labeled '1040'</v>
      </c>
      <c r="C2" s="3084" t="s">
        <v>1480</v>
      </c>
      <c r="D2" s="3085" t="s">
        <v>270</v>
      </c>
      <c r="E2" s="3085" t="s">
        <v>271</v>
      </c>
      <c r="F2" s="3085" t="s">
        <v>229</v>
      </c>
      <c r="G2" s="3084" t="s">
        <v>2872</v>
      </c>
      <c r="H2" s="3084" t="s">
        <v>2873</v>
      </c>
      <c r="I2" s="1136" t="s">
        <v>230</v>
      </c>
      <c r="J2" s="3086" t="s">
        <v>231</v>
      </c>
      <c r="K2" s="331"/>
      <c r="L2" s="3127" t="s">
        <v>2433</v>
      </c>
      <c r="M2" s="3088"/>
      <c r="N2" s="3088"/>
      <c r="O2" s="4398" t="s">
        <v>123</v>
      </c>
    </row>
    <row r="3" spans="1:27" ht="19.5" customHeight="1">
      <c r="A3" s="5169" t="s">
        <v>165</v>
      </c>
      <c r="B3" s="1123" t="s">
        <v>188</v>
      </c>
      <c r="C3" s="3089"/>
      <c r="D3" s="3089"/>
      <c r="E3" s="3090"/>
      <c r="F3" s="3091"/>
      <c r="G3" s="3091"/>
      <c r="H3" s="3091"/>
      <c r="I3" s="3092">
        <f t="shared" ref="I3:I25" si="0">SUM(C3:H3)</f>
        <v>0</v>
      </c>
      <c r="J3" s="3093"/>
      <c r="K3" s="3093"/>
      <c r="L3" s="3094"/>
      <c r="M3" s="3130"/>
      <c r="N3" s="3130"/>
      <c r="Z3" s="5158">
        <v>170000</v>
      </c>
      <c r="AA3" s="5158"/>
    </row>
    <row r="4" spans="1:27">
      <c r="A4" s="5170" t="s">
        <v>166</v>
      </c>
      <c r="B4" s="1123" t="s">
        <v>189</v>
      </c>
      <c r="C4" s="3095"/>
      <c r="D4" s="3095"/>
      <c r="E4" s="3096"/>
      <c r="F4" s="3097"/>
      <c r="G4" s="3097"/>
      <c r="H4" s="3097"/>
      <c r="I4" s="3098">
        <f t="shared" si="0"/>
        <v>0</v>
      </c>
      <c r="J4" s="3093"/>
      <c r="K4" s="3093"/>
      <c r="L4" s="3099"/>
      <c r="M4" s="3099"/>
      <c r="N4" s="3099"/>
      <c r="Z4" s="5158">
        <f>0.17*Z3</f>
        <v>28900.000000000004</v>
      </c>
      <c r="AA4" s="5158"/>
    </row>
    <row r="5" spans="1:27">
      <c r="A5" s="5170" t="s">
        <v>167</v>
      </c>
      <c r="B5" s="3100" t="s">
        <v>350</v>
      </c>
      <c r="C5" s="3095"/>
      <c r="D5" s="3095"/>
      <c r="E5" s="3096"/>
      <c r="F5" s="3097"/>
      <c r="G5" s="3097"/>
      <c r="H5" s="3097"/>
      <c r="I5" s="3098">
        <f t="shared" si="0"/>
        <v>0</v>
      </c>
      <c r="J5" s="273"/>
      <c r="K5" s="273"/>
      <c r="L5" s="3088" t="s">
        <v>3799</v>
      </c>
      <c r="M5" s="922"/>
      <c r="N5" s="922"/>
      <c r="Z5" s="5158">
        <f>MIN(Z3,MaxSSTaxEarnings)</f>
        <v>128400</v>
      </c>
      <c r="AA5" s="5158"/>
    </row>
    <row r="6" spans="1:27">
      <c r="A6" s="5170" t="s">
        <v>168</v>
      </c>
      <c r="B6" s="3100" t="s">
        <v>351</v>
      </c>
      <c r="C6" s="3095"/>
      <c r="D6" s="3095"/>
      <c r="E6" s="3096"/>
      <c r="F6" s="3097"/>
      <c r="G6" s="3097"/>
      <c r="H6" s="3097"/>
      <c r="I6" s="3098">
        <f t="shared" si="0"/>
        <v>0</v>
      </c>
      <c r="J6" s="273">
        <f>IF(EmployerCountYou&lt;2,0,IF(AND(EmployerCountYou&gt;1,SUM(I6,-MaxSSTax)&gt;0),SUM(I6,-MaxSSTax),0))</f>
        <v>0</v>
      </c>
      <c r="K6" s="273"/>
      <c r="L6" s="3101"/>
      <c r="M6" s="3101"/>
      <c r="N6" s="3101"/>
      <c r="Z6" s="5158">
        <f>MIN(SSTaxRate*Z3,MaxSSTax)</f>
        <v>7960.8</v>
      </c>
      <c r="AA6" s="5158"/>
    </row>
    <row r="7" spans="1:27">
      <c r="A7" s="5170" t="s">
        <v>228</v>
      </c>
      <c r="B7" s="3100" t="s">
        <v>352</v>
      </c>
      <c r="C7" s="3095"/>
      <c r="D7" s="3095"/>
      <c r="E7" s="3096"/>
      <c r="F7" s="3097"/>
      <c r="G7" s="3097"/>
      <c r="H7" s="3097"/>
      <c r="I7" s="3098">
        <f t="shared" si="0"/>
        <v>0</v>
      </c>
      <c r="J7" s="273"/>
      <c r="K7" s="273"/>
      <c r="L7" s="3099"/>
      <c r="M7" s="3088"/>
      <c r="N7" s="3088"/>
      <c r="Z7" s="5158">
        <f>Z3</f>
        <v>170000</v>
      </c>
      <c r="AA7" s="5158"/>
    </row>
    <row r="8" spans="1:27">
      <c r="A8" s="5170" t="s">
        <v>112</v>
      </c>
      <c r="B8" s="3100" t="s">
        <v>353</v>
      </c>
      <c r="C8" s="3095"/>
      <c r="D8" s="3095"/>
      <c r="E8" s="3095"/>
      <c r="F8" s="3095"/>
      <c r="G8" s="3095"/>
      <c r="H8" s="3095"/>
      <c r="I8" s="3098">
        <f t="shared" si="0"/>
        <v>0</v>
      </c>
      <c r="J8" s="273"/>
      <c r="K8" s="273"/>
      <c r="L8" s="3102" t="s">
        <v>867</v>
      </c>
      <c r="M8" s="3088"/>
      <c r="N8" s="3088"/>
      <c r="Z8" s="5158">
        <f>0.0145*Z7</f>
        <v>2465</v>
      </c>
      <c r="AA8" s="5158"/>
    </row>
    <row r="9" spans="1:27">
      <c r="A9" s="5170" t="s">
        <v>113</v>
      </c>
      <c r="B9" s="3100" t="s">
        <v>580</v>
      </c>
      <c r="C9" s="3095"/>
      <c r="D9" s="3095"/>
      <c r="E9" s="3096"/>
      <c r="F9" s="3097"/>
      <c r="G9" s="3097"/>
      <c r="H9" s="3097"/>
      <c r="I9" s="3098">
        <f t="shared" si="0"/>
        <v>0</v>
      </c>
      <c r="J9" s="273"/>
      <c r="K9" s="273"/>
      <c r="L9" s="3088" t="s">
        <v>3799</v>
      </c>
      <c r="M9" s="922"/>
      <c r="N9" s="922"/>
    </row>
    <row r="10" spans="1:27">
      <c r="A10" s="5170" t="s">
        <v>114</v>
      </c>
      <c r="B10" s="3103" t="s">
        <v>581</v>
      </c>
      <c r="C10" s="3095"/>
      <c r="D10" s="3095"/>
      <c r="E10" s="3096"/>
      <c r="F10" s="3097"/>
      <c r="G10" s="3097"/>
      <c r="H10" s="3097"/>
      <c r="I10" s="3098">
        <f t="shared" si="0"/>
        <v>0</v>
      </c>
      <c r="J10" s="273"/>
      <c r="K10" s="273"/>
      <c r="L10" s="2519"/>
      <c r="M10" s="922"/>
      <c r="N10" s="922"/>
      <c r="P10" s="3175"/>
    </row>
    <row r="11" spans="1:27">
      <c r="A11" s="5170" t="s">
        <v>115</v>
      </c>
      <c r="B11" s="3103" t="s">
        <v>582</v>
      </c>
      <c r="C11" s="4443"/>
      <c r="D11" s="4443"/>
      <c r="E11" s="3096"/>
      <c r="F11" s="3097"/>
      <c r="G11" s="3097"/>
      <c r="H11" s="3097"/>
      <c r="I11" s="3098">
        <f t="shared" si="0"/>
        <v>0</v>
      </c>
      <c r="J11" s="273"/>
      <c r="K11" s="273"/>
      <c r="L11" s="2519"/>
      <c r="M11" s="922"/>
      <c r="N11" s="922"/>
    </row>
    <row r="12" spans="1:27">
      <c r="A12" s="5170" t="s">
        <v>116</v>
      </c>
      <c r="B12" s="3100" t="s">
        <v>583</v>
      </c>
      <c r="C12" s="3095"/>
      <c r="D12" s="3095"/>
      <c r="E12" s="3096"/>
      <c r="F12" s="3097"/>
      <c r="G12" s="3097"/>
      <c r="H12" s="3097"/>
      <c r="I12" s="3098">
        <f t="shared" si="0"/>
        <v>0</v>
      </c>
      <c r="J12" s="273"/>
      <c r="K12" s="273"/>
      <c r="L12" s="2519"/>
      <c r="M12" s="922"/>
      <c r="N12" s="922"/>
    </row>
    <row r="13" spans="1:27">
      <c r="A13" s="5170" t="s">
        <v>801</v>
      </c>
      <c r="B13" s="3103" t="s">
        <v>584</v>
      </c>
      <c r="C13" s="3095"/>
      <c r="D13" s="3095"/>
      <c r="E13" s="3096"/>
      <c r="F13" s="3097"/>
      <c r="G13" s="3097"/>
      <c r="H13" s="3097"/>
      <c r="I13" s="3098">
        <f t="shared" si="0"/>
        <v>0</v>
      </c>
      <c r="J13" s="273"/>
      <c r="K13" s="273"/>
      <c r="L13" s="2519"/>
      <c r="M13" s="922"/>
      <c r="N13" s="922"/>
    </row>
    <row r="14" spans="1:27">
      <c r="A14" s="5199" t="s">
        <v>586</v>
      </c>
      <c r="B14" s="3103" t="s">
        <v>585</v>
      </c>
      <c r="C14" s="3095"/>
      <c r="D14" s="3095"/>
      <c r="E14" s="3096"/>
      <c r="F14" s="3097"/>
      <c r="G14" s="3097"/>
      <c r="H14" s="3097"/>
      <c r="I14" s="3098">
        <f t="shared" si="0"/>
        <v>0</v>
      </c>
      <c r="J14" s="273"/>
      <c r="K14" s="273"/>
      <c r="L14" s="2519"/>
      <c r="M14" s="922"/>
      <c r="N14" s="922"/>
    </row>
    <row r="15" spans="1:27">
      <c r="A15" s="5199" t="s">
        <v>587</v>
      </c>
      <c r="B15" s="3104"/>
      <c r="C15" s="3095"/>
      <c r="D15" s="3095"/>
      <c r="E15" s="3096"/>
      <c r="F15" s="3097"/>
      <c r="G15" s="3097"/>
      <c r="H15" s="3097"/>
      <c r="I15" s="3098">
        <f t="shared" si="0"/>
        <v>0</v>
      </c>
      <c r="J15" s="273"/>
      <c r="K15" s="273"/>
      <c r="L15" s="2519"/>
      <c r="M15" s="922"/>
      <c r="N15" s="922"/>
    </row>
    <row r="16" spans="1:27">
      <c r="A16" s="5199" t="s">
        <v>588</v>
      </c>
      <c r="B16" s="3104"/>
      <c r="C16" s="3095"/>
      <c r="D16" s="3095"/>
      <c r="E16" s="3096"/>
      <c r="F16" s="3097"/>
      <c r="G16" s="3097"/>
      <c r="H16" s="3097"/>
      <c r="I16" s="3098">
        <f t="shared" si="0"/>
        <v>0</v>
      </c>
      <c r="J16" s="273"/>
      <c r="K16" s="273"/>
      <c r="L16" s="2519"/>
      <c r="M16" s="922"/>
      <c r="N16" s="922"/>
    </row>
    <row r="17" spans="1:27">
      <c r="A17" s="5199" t="s">
        <v>589</v>
      </c>
      <c r="B17" s="3104"/>
      <c r="C17" s="3095"/>
      <c r="D17" s="3095"/>
      <c r="E17" s="3096"/>
      <c r="F17" s="3097"/>
      <c r="G17" s="3097"/>
      <c r="H17" s="3097"/>
      <c r="I17" s="3098">
        <f t="shared" si="0"/>
        <v>0</v>
      </c>
      <c r="J17" s="273"/>
      <c r="K17" s="273"/>
      <c r="L17" s="2519"/>
      <c r="M17" s="922"/>
      <c r="N17" s="922"/>
      <c r="O17" s="4026"/>
    </row>
    <row r="18" spans="1:27">
      <c r="A18" s="5170" t="s">
        <v>803</v>
      </c>
      <c r="B18" s="3103" t="s">
        <v>590</v>
      </c>
      <c r="C18" s="3095"/>
      <c r="D18" s="3095"/>
      <c r="E18" s="3096"/>
      <c r="F18" s="3097"/>
      <c r="G18" s="3097"/>
      <c r="H18" s="3097"/>
      <c r="I18" s="3098">
        <f t="shared" si="0"/>
        <v>0</v>
      </c>
      <c r="J18" s="273"/>
      <c r="K18" s="273"/>
      <c r="L18" s="2519"/>
      <c r="M18" s="922"/>
      <c r="N18" s="922"/>
    </row>
    <row r="19" spans="1:27">
      <c r="A19" s="5170" t="s">
        <v>815</v>
      </c>
      <c r="B19" s="3103" t="s">
        <v>458</v>
      </c>
      <c r="C19" s="3095"/>
      <c r="D19" s="3095"/>
      <c r="E19" s="3096"/>
      <c r="F19" s="3097"/>
      <c r="G19" s="3097"/>
      <c r="H19" s="3097"/>
      <c r="I19" s="3098">
        <f t="shared" si="0"/>
        <v>0</v>
      </c>
      <c r="J19" s="273"/>
      <c r="K19" s="273"/>
      <c r="L19" s="2519"/>
      <c r="M19" s="922"/>
      <c r="N19" s="922"/>
      <c r="O19" s="4026"/>
    </row>
    <row r="20" spans="1:27">
      <c r="A20" s="5170" t="s">
        <v>815</v>
      </c>
      <c r="B20" s="3100" t="s">
        <v>2533</v>
      </c>
      <c r="C20" s="3095"/>
      <c r="D20" s="3095"/>
      <c r="E20" s="3096"/>
      <c r="F20" s="3096"/>
      <c r="G20" s="3096"/>
      <c r="H20" s="3096"/>
      <c r="I20" s="3098">
        <f t="shared" si="0"/>
        <v>0</v>
      </c>
      <c r="J20" s="273"/>
      <c r="K20" s="273"/>
      <c r="L20" s="2519"/>
      <c r="M20" s="922"/>
      <c r="N20" s="922"/>
    </row>
    <row r="21" spans="1:27">
      <c r="A21" s="5170" t="s">
        <v>815</v>
      </c>
      <c r="B21" s="3105" t="s">
        <v>2534</v>
      </c>
      <c r="C21" s="3095"/>
      <c r="D21" s="3095"/>
      <c r="E21" s="3095"/>
      <c r="F21" s="3095"/>
      <c r="G21" s="3095"/>
      <c r="H21" s="3095"/>
      <c r="I21" s="3098">
        <f t="shared" si="0"/>
        <v>0</v>
      </c>
      <c r="J21" s="273"/>
      <c r="K21" s="273"/>
      <c r="L21" s="2519"/>
      <c r="M21" s="922"/>
      <c r="N21" s="922"/>
    </row>
    <row r="22" spans="1:27">
      <c r="A22" s="5170" t="s">
        <v>1374</v>
      </c>
      <c r="B22" s="3103" t="s">
        <v>591</v>
      </c>
      <c r="C22" s="3095"/>
      <c r="D22" s="3095"/>
      <c r="E22" s="3096"/>
      <c r="F22" s="3096"/>
      <c r="G22" s="3096"/>
      <c r="H22" s="3096"/>
      <c r="I22" s="3098">
        <f t="shared" si="0"/>
        <v>0</v>
      </c>
      <c r="J22" s="273"/>
      <c r="K22" s="273"/>
      <c r="L22" s="2519"/>
      <c r="M22" s="922"/>
      <c r="N22" s="922"/>
    </row>
    <row r="23" spans="1:27">
      <c r="A23" s="5170" t="s">
        <v>1376</v>
      </c>
      <c r="B23" s="3100" t="s">
        <v>209</v>
      </c>
      <c r="C23" s="3095"/>
      <c r="D23" s="3095"/>
      <c r="E23" s="3096"/>
      <c r="F23" s="3097"/>
      <c r="G23" s="3097"/>
      <c r="H23" s="3097"/>
      <c r="I23" s="3098">
        <f t="shared" si="0"/>
        <v>0</v>
      </c>
      <c r="J23" s="273"/>
      <c r="K23" s="273"/>
      <c r="L23" s="2519"/>
      <c r="M23" s="922"/>
      <c r="N23" s="922"/>
      <c r="Z23" s="5171">
        <f>0.05*Z3</f>
        <v>8500</v>
      </c>
    </row>
    <row r="24" spans="1:27">
      <c r="A24" s="5170" t="s">
        <v>1378</v>
      </c>
      <c r="B24" s="3103" t="s">
        <v>592</v>
      </c>
      <c r="C24" s="3095"/>
      <c r="D24" s="3096"/>
      <c r="E24" s="3096"/>
      <c r="F24" s="3097"/>
      <c r="G24" s="3097"/>
      <c r="H24" s="3097"/>
      <c r="I24" s="3098">
        <f t="shared" si="0"/>
        <v>0</v>
      </c>
      <c r="J24" s="273"/>
      <c r="K24" s="273"/>
      <c r="L24" s="2519"/>
      <c r="M24" s="922"/>
      <c r="N24" s="922"/>
    </row>
    <row r="25" spans="1:27">
      <c r="A25" s="5170" t="s">
        <v>1380</v>
      </c>
      <c r="B25" s="3106" t="s">
        <v>574</v>
      </c>
      <c r="C25" s="3107"/>
      <c r="D25" s="3108"/>
      <c r="E25" s="3108"/>
      <c r="F25" s="3109"/>
      <c r="G25" s="3109"/>
      <c r="H25" s="3109"/>
      <c r="I25" s="3110">
        <f t="shared" si="0"/>
        <v>0</v>
      </c>
      <c r="J25" s="3111"/>
      <c r="K25" s="273"/>
      <c r="L25" s="2519"/>
      <c r="M25" s="922"/>
      <c r="N25" s="922"/>
    </row>
    <row r="26" spans="1:27" hidden="1">
      <c r="B26" s="3112" t="s">
        <v>3803</v>
      </c>
      <c r="C26" s="4404">
        <f t="shared" ref="C26:H26" si="1">IF(AND(C6&lt;&gt;"",C6&lt;&gt;0),1,0)</f>
        <v>0</v>
      </c>
      <c r="D26" s="4404">
        <f t="shared" si="1"/>
        <v>0</v>
      </c>
      <c r="E26" s="4404">
        <f t="shared" si="1"/>
        <v>0</v>
      </c>
      <c r="F26" s="4404">
        <f t="shared" si="1"/>
        <v>0</v>
      </c>
      <c r="G26" s="4404">
        <f t="shared" si="1"/>
        <v>0</v>
      </c>
      <c r="H26" s="4404">
        <f t="shared" si="1"/>
        <v>0</v>
      </c>
      <c r="I26" s="4404">
        <f>SUM(C26:H26)</f>
        <v>0</v>
      </c>
      <c r="J26" s="1435"/>
      <c r="K26" s="273"/>
      <c r="L26" s="2519"/>
      <c r="M26" s="922"/>
      <c r="N26" s="922"/>
    </row>
    <row r="27" spans="1:27" s="46" customFormat="1" ht="15" hidden="1" customHeight="1">
      <c r="A27" s="2552"/>
      <c r="B27" s="3112" t="str">
        <f>"Medicare wages and tip &gt; "&amp;TEXT('8959'!$G$25,"$0,000")</f>
        <v>Medicare wages and tip &gt; $200,000</v>
      </c>
      <c r="C27" s="3069" t="b">
        <f>IF(C7&gt;'8959'!$G$25,TRUE,FALSE)</f>
        <v>0</v>
      </c>
      <c r="D27" s="3069" t="b">
        <f>IF(D7&gt;'8959'!$G$25,TRUE,FALSE)</f>
        <v>0</v>
      </c>
      <c r="E27" s="3069" t="b">
        <f>IF(E7&gt;'8959'!$G$25,TRUE,FALSE)</f>
        <v>0</v>
      </c>
      <c r="F27" s="3069" t="b">
        <f>IF(F7&gt;'8959'!$G$25,TRUE,FALSE)</f>
        <v>0</v>
      </c>
      <c r="G27" s="3069" t="b">
        <f>IF(G7&gt;'8959'!$G$25,TRUE,FALSE)</f>
        <v>0</v>
      </c>
      <c r="H27" s="3069" t="b">
        <f>IF(H7&gt;'8959'!$G$25,TRUE,FALSE)</f>
        <v>0</v>
      </c>
      <c r="I27" s="3113"/>
      <c r="J27" s="3113"/>
      <c r="K27" s="331"/>
      <c r="L27" s="3087"/>
      <c r="M27" s="523"/>
      <c r="N27" s="523"/>
      <c r="O27" s="3742"/>
      <c r="P27" s="3169"/>
      <c r="Q27" s="3169"/>
      <c r="R27" s="3169"/>
      <c r="S27" s="3169"/>
      <c r="T27" s="3169"/>
      <c r="U27" s="3169"/>
      <c r="V27" s="3169"/>
      <c r="W27" s="3169"/>
      <c r="X27" s="3169"/>
      <c r="Y27" s="3169"/>
      <c r="Z27" s="932"/>
      <c r="AA27" s="932"/>
    </row>
    <row r="28" spans="1:27" s="46" customFormat="1" ht="15" hidden="1" customHeight="1">
      <c r="A28" s="2552"/>
      <c r="B28" s="3112" t="str">
        <f>"RRTA &gt; "&amp;TEXT('8959'!$G$25,"$0,000")</f>
        <v>RRTA &gt; $200,000</v>
      </c>
      <c r="C28" s="3069" t="b">
        <f>IF(C20&gt;'8959'!$G$25,TRUE,FALSE)</f>
        <v>0</v>
      </c>
      <c r="D28" s="3069" t="b">
        <f>IF(D20&gt;'8959'!$G$25,TRUE,FALSE)</f>
        <v>0</v>
      </c>
      <c r="E28" s="3069" t="b">
        <f>IF(E20&gt;'8959'!$G$25,TRUE,FALSE)</f>
        <v>0</v>
      </c>
      <c r="F28" s="3069" t="b">
        <f>IF(F20&gt;'8959'!$G$25,TRUE,FALSE)</f>
        <v>0</v>
      </c>
      <c r="G28" s="3069" t="b">
        <f>IF(G20&gt;'8959'!$G$25,TRUE,FALSE)</f>
        <v>0</v>
      </c>
      <c r="H28" s="3069" t="b">
        <f>IF(H20&gt;'8959'!$G$25,TRUE,FALSE)</f>
        <v>0</v>
      </c>
      <c r="I28" s="3069"/>
      <c r="J28" s="3113"/>
      <c r="K28" s="331"/>
      <c r="L28" s="3087"/>
      <c r="M28" s="523"/>
      <c r="N28" s="523"/>
      <c r="O28" s="3742"/>
      <c r="P28" s="3169"/>
      <c r="Q28" s="3169"/>
      <c r="R28" s="3169"/>
      <c r="S28" s="3169"/>
      <c r="T28" s="3169"/>
      <c r="U28" s="3169"/>
      <c r="V28" s="3169"/>
      <c r="W28" s="3169"/>
      <c r="X28" s="3169"/>
      <c r="Y28" s="3169"/>
      <c r="Z28" s="932"/>
      <c r="AA28" s="932"/>
    </row>
    <row r="29" spans="1:27" s="46" customFormat="1" ht="15" customHeight="1">
      <c r="A29" s="2552"/>
      <c r="B29" s="3113"/>
      <c r="C29" s="979" t="str">
        <f>IF(AND(I6&gt;MaxSSTax,EmployerCountYou=1),"Notify your employer that they withheld "&amp;TEXT(SUM(I6,-MaxSSTax),"$0.00")&amp;" too much Social Security Tax or file Form 843, Claim for Refund and Request for Abatement.","")</f>
        <v/>
      </c>
      <c r="D29" s="3113"/>
      <c r="E29" s="3113"/>
      <c r="F29" s="3113"/>
      <c r="G29" s="3113"/>
      <c r="H29" s="3113"/>
      <c r="I29" s="3113"/>
      <c r="J29" s="3113"/>
      <c r="K29" s="331"/>
      <c r="L29" s="3087"/>
      <c r="M29" s="523"/>
      <c r="N29" s="523"/>
      <c r="O29" s="3742"/>
      <c r="P29" s="3169"/>
      <c r="Q29" s="3169"/>
      <c r="R29" s="3169"/>
      <c r="S29" s="3169"/>
      <c r="T29" s="3169"/>
      <c r="U29" s="3169"/>
      <c r="V29" s="3169"/>
      <c r="W29" s="3169"/>
      <c r="X29" s="3169"/>
      <c r="Y29" s="3169"/>
      <c r="Z29" s="932"/>
      <c r="AA29" s="932"/>
    </row>
    <row r="30" spans="1:27" s="46" customFormat="1" ht="15" customHeight="1" thickBot="1">
      <c r="A30" s="2552"/>
      <c r="B30" s="2612" t="str">
        <f>IF(OR(AND(C7="",C8&lt;&gt;""),AND(D7="",D8&lt;&gt;""),AND(E7="",E8&lt;&gt;""),AND(F7="",F8&lt;&gt;"")),"CAUTION:  Entering an amount into Line 6 without entering an amount into Line 5 will result in a tax calculation error.","")</f>
        <v/>
      </c>
      <c r="C30" s="2612"/>
      <c r="D30" s="52"/>
      <c r="E30" s="52"/>
      <c r="F30" s="52"/>
      <c r="G30" s="52"/>
      <c r="H30" s="52"/>
      <c r="I30" s="52"/>
      <c r="J30" s="52"/>
      <c r="K30" s="331"/>
      <c r="L30" s="3087"/>
      <c r="M30" s="523"/>
      <c r="N30" s="523"/>
      <c r="O30" s="3742"/>
      <c r="P30" s="3169"/>
      <c r="Q30" s="3169"/>
      <c r="R30" s="3169"/>
      <c r="S30" s="3169"/>
      <c r="T30" s="3169"/>
      <c r="U30" s="3169"/>
      <c r="V30" s="3169"/>
      <c r="W30" s="3169"/>
      <c r="X30" s="3169"/>
      <c r="Y30" s="3169"/>
      <c r="Z30" s="932"/>
      <c r="AA30" s="932"/>
    </row>
    <row r="31" spans="1:27" ht="42" customHeight="1" thickTop="1">
      <c r="A31" s="2955"/>
      <c r="B31" s="2977" t="s">
        <v>2497</v>
      </c>
      <c r="C31" s="3114"/>
      <c r="D31" s="3115"/>
      <c r="E31" s="3116"/>
      <c r="F31" s="3115"/>
      <c r="G31" s="3115"/>
      <c r="H31" s="3115"/>
      <c r="I31" s="3115"/>
      <c r="J31" s="3115"/>
      <c r="K31" s="3115"/>
      <c r="L31" s="1095"/>
      <c r="M31" s="3080"/>
      <c r="N31" s="3080"/>
    </row>
    <row r="32" spans="1:27" ht="36.75" customHeight="1">
      <c r="A32" s="52"/>
      <c r="B32" s="2954" t="str">
        <f>IF(Name_1st_Sp="","Enter your spouse's name on"&amp;CHAR(10)&amp;"the sheet labeled '1040'",NameSpouse)</f>
        <v>Enter your spouse's name on
the sheet labeled '1040'</v>
      </c>
      <c r="C32" s="3117" t="s">
        <v>1480</v>
      </c>
      <c r="D32" s="3118" t="s">
        <v>270</v>
      </c>
      <c r="E32" s="3118" t="s">
        <v>271</v>
      </c>
      <c r="F32" s="3118" t="s">
        <v>229</v>
      </c>
      <c r="G32" s="3117" t="s">
        <v>2872</v>
      </c>
      <c r="H32" s="3117" t="s">
        <v>2873</v>
      </c>
      <c r="I32" s="3119" t="s">
        <v>230</v>
      </c>
      <c r="J32" s="3119" t="s">
        <v>231</v>
      </c>
      <c r="K32" s="331"/>
      <c r="L32" s="3127" t="s">
        <v>2433</v>
      </c>
      <c r="M32" s="523"/>
      <c r="N32" s="523"/>
    </row>
    <row r="33" spans="1:14" ht="18" customHeight="1">
      <c r="A33" s="5169" t="s">
        <v>165</v>
      </c>
      <c r="B33" s="1123" t="s">
        <v>188</v>
      </c>
      <c r="C33" s="3089"/>
      <c r="D33" s="3089"/>
      <c r="E33" s="3090"/>
      <c r="F33" s="3091"/>
      <c r="G33" s="3091"/>
      <c r="H33" s="3091"/>
      <c r="I33" s="3120">
        <f t="shared" ref="I33:I55" si="2">SUM(C33:H33)</f>
        <v>0</v>
      </c>
      <c r="J33" s="3093"/>
      <c r="K33" s="3093"/>
      <c r="L33" s="3094"/>
      <c r="M33" s="3121"/>
      <c r="N33" s="3121"/>
    </row>
    <row r="34" spans="1:14">
      <c r="A34" s="5170" t="s">
        <v>166</v>
      </c>
      <c r="B34" s="1123" t="s">
        <v>189</v>
      </c>
      <c r="C34" s="3095"/>
      <c r="D34" s="3095"/>
      <c r="E34" s="3096"/>
      <c r="F34" s="3097"/>
      <c r="G34" s="3097"/>
      <c r="H34" s="3097"/>
      <c r="I34" s="3122">
        <f t="shared" si="2"/>
        <v>0</v>
      </c>
      <c r="J34" s="3093"/>
      <c r="K34" s="3093"/>
      <c r="L34" s="3123"/>
      <c r="M34" s="922"/>
      <c r="N34" s="922"/>
    </row>
    <row r="35" spans="1:14">
      <c r="A35" s="5170" t="s">
        <v>167</v>
      </c>
      <c r="B35" s="3100" t="s">
        <v>350</v>
      </c>
      <c r="C35" s="3095"/>
      <c r="D35" s="3095"/>
      <c r="E35" s="3096"/>
      <c r="F35" s="3097"/>
      <c r="G35" s="3097"/>
      <c r="H35" s="3097"/>
      <c r="I35" s="3122">
        <f t="shared" si="2"/>
        <v>0</v>
      </c>
      <c r="J35" s="273"/>
      <c r="K35" s="273"/>
      <c r="L35" s="3088" t="s">
        <v>3799</v>
      </c>
      <c r="M35" s="922"/>
      <c r="N35" s="922"/>
    </row>
    <row r="36" spans="1:14">
      <c r="A36" s="5170" t="s">
        <v>168</v>
      </c>
      <c r="B36" s="3100" t="s">
        <v>351</v>
      </c>
      <c r="C36" s="3095"/>
      <c r="D36" s="3095"/>
      <c r="E36" s="3096"/>
      <c r="F36" s="3097"/>
      <c r="G36" s="3097"/>
      <c r="H36" s="3097"/>
      <c r="I36" s="3122">
        <f t="shared" si="2"/>
        <v>0</v>
      </c>
      <c r="J36" s="273">
        <f>IF(EmployerCountSpouse&lt;2,0,IF(AND(EmployerCountSpouse&gt;1,SUM(I36,-MaxSSTax)&gt;0),SUM(I36,-MaxSSTax),0))</f>
        <v>0</v>
      </c>
      <c r="K36" s="273"/>
      <c r="L36" s="3124"/>
      <c r="M36" s="3101"/>
      <c r="N36" s="3101"/>
    </row>
    <row r="37" spans="1:14">
      <c r="A37" s="5170" t="s">
        <v>228</v>
      </c>
      <c r="B37" s="3100" t="s">
        <v>352</v>
      </c>
      <c r="C37" s="3095"/>
      <c r="D37" s="3095"/>
      <c r="E37" s="3096"/>
      <c r="F37" s="3097"/>
      <c r="G37" s="3097"/>
      <c r="H37" s="3097"/>
      <c r="I37" s="3122">
        <f t="shared" si="2"/>
        <v>0</v>
      </c>
      <c r="J37" s="273"/>
      <c r="K37" s="273"/>
      <c r="L37" s="3124"/>
      <c r="M37" s="922"/>
      <c r="N37" s="922"/>
    </row>
    <row r="38" spans="1:14">
      <c r="A38" s="5170" t="s">
        <v>112</v>
      </c>
      <c r="B38" s="3100" t="s">
        <v>353</v>
      </c>
      <c r="C38" s="3095"/>
      <c r="D38" s="3095"/>
      <c r="E38" s="3095"/>
      <c r="F38" s="3095"/>
      <c r="G38" s="3095"/>
      <c r="H38" s="3095"/>
      <c r="I38" s="3122">
        <f t="shared" si="2"/>
        <v>0</v>
      </c>
      <c r="J38" s="46"/>
      <c r="K38" s="46"/>
      <c r="L38" s="3102" t="s">
        <v>867</v>
      </c>
      <c r="M38" s="922"/>
      <c r="N38" s="922"/>
    </row>
    <row r="39" spans="1:14">
      <c r="A39" s="5170" t="s">
        <v>113</v>
      </c>
      <c r="B39" s="3100" t="s">
        <v>580</v>
      </c>
      <c r="C39" s="3095"/>
      <c r="D39" s="3095"/>
      <c r="E39" s="3096"/>
      <c r="F39" s="3097"/>
      <c r="G39" s="3097"/>
      <c r="H39" s="3097"/>
      <c r="I39" s="3122">
        <f t="shared" si="2"/>
        <v>0</v>
      </c>
      <c r="J39" s="273"/>
      <c r="K39" s="273"/>
      <c r="L39" s="3088" t="s">
        <v>3799</v>
      </c>
      <c r="M39" s="922"/>
      <c r="N39" s="922"/>
    </row>
    <row r="40" spans="1:14">
      <c r="A40" s="5170" t="s">
        <v>114</v>
      </c>
      <c r="B40" s="3103" t="s">
        <v>581</v>
      </c>
      <c r="C40" s="3095"/>
      <c r="D40" s="3095"/>
      <c r="E40" s="3096"/>
      <c r="F40" s="3097"/>
      <c r="G40" s="3097"/>
      <c r="H40" s="3097"/>
      <c r="I40" s="3122">
        <f t="shared" si="2"/>
        <v>0</v>
      </c>
      <c r="J40" s="273"/>
      <c r="K40" s="273"/>
      <c r="L40" s="2519"/>
      <c r="M40" s="922"/>
      <c r="N40" s="922"/>
    </row>
    <row r="41" spans="1:14">
      <c r="A41" s="5170" t="s">
        <v>115</v>
      </c>
      <c r="B41" s="3103" t="s">
        <v>582</v>
      </c>
      <c r="C41" s="3095"/>
      <c r="D41" s="4443"/>
      <c r="E41" s="3096"/>
      <c r="F41" s="3097"/>
      <c r="G41" s="3097"/>
      <c r="H41" s="3097"/>
      <c r="I41" s="3122">
        <f t="shared" si="2"/>
        <v>0</v>
      </c>
      <c r="J41" s="273"/>
      <c r="K41" s="273"/>
      <c r="L41" s="2519"/>
      <c r="M41" s="922"/>
      <c r="N41" s="922"/>
    </row>
    <row r="42" spans="1:14">
      <c r="A42" s="5170" t="s">
        <v>116</v>
      </c>
      <c r="B42" s="3100" t="s">
        <v>583</v>
      </c>
      <c r="C42" s="3095"/>
      <c r="D42" s="3095"/>
      <c r="E42" s="3096"/>
      <c r="F42" s="3097"/>
      <c r="G42" s="3097"/>
      <c r="H42" s="3097"/>
      <c r="I42" s="3122">
        <f t="shared" si="2"/>
        <v>0</v>
      </c>
      <c r="J42" s="273"/>
      <c r="K42" s="273"/>
      <c r="L42" s="2519"/>
      <c r="M42" s="922"/>
      <c r="N42" s="922"/>
    </row>
    <row r="43" spans="1:14">
      <c r="A43" s="5170" t="s">
        <v>801</v>
      </c>
      <c r="B43" s="3103" t="s">
        <v>584</v>
      </c>
      <c r="C43" s="3095"/>
      <c r="D43" s="3095"/>
      <c r="E43" s="3096"/>
      <c r="F43" s="3097"/>
      <c r="G43" s="3097"/>
      <c r="H43" s="3097"/>
      <c r="I43" s="3122">
        <f t="shared" si="2"/>
        <v>0</v>
      </c>
      <c r="J43" s="273"/>
      <c r="K43" s="273"/>
      <c r="L43" s="2519"/>
      <c r="M43" s="922"/>
      <c r="N43" s="922"/>
    </row>
    <row r="44" spans="1:14">
      <c r="A44" s="5199" t="s">
        <v>586</v>
      </c>
      <c r="B44" s="3103" t="s">
        <v>585</v>
      </c>
      <c r="C44" s="3095"/>
      <c r="D44" s="3095"/>
      <c r="E44" s="3096"/>
      <c r="F44" s="3097"/>
      <c r="G44" s="3097"/>
      <c r="H44" s="3097"/>
      <c r="I44" s="3122">
        <f t="shared" si="2"/>
        <v>0</v>
      </c>
      <c r="J44" s="273"/>
      <c r="K44" s="273"/>
      <c r="L44" s="2519"/>
      <c r="M44" s="922"/>
      <c r="N44" s="922"/>
    </row>
    <row r="45" spans="1:14">
      <c r="A45" s="5199" t="s">
        <v>587</v>
      </c>
      <c r="B45" s="3104"/>
      <c r="C45" s="3095"/>
      <c r="D45" s="3095"/>
      <c r="E45" s="3096"/>
      <c r="F45" s="3097"/>
      <c r="G45" s="3097"/>
      <c r="H45" s="3097"/>
      <c r="I45" s="3122">
        <f t="shared" si="2"/>
        <v>0</v>
      </c>
      <c r="J45" s="273"/>
      <c r="K45" s="273"/>
      <c r="L45" s="2519"/>
      <c r="M45" s="922"/>
      <c r="N45" s="922"/>
    </row>
    <row r="46" spans="1:14">
      <c r="A46" s="5199" t="s">
        <v>588</v>
      </c>
      <c r="B46" s="3104"/>
      <c r="C46" s="3095"/>
      <c r="D46" s="3095"/>
      <c r="E46" s="3096"/>
      <c r="F46" s="3097"/>
      <c r="G46" s="3097"/>
      <c r="H46" s="3097"/>
      <c r="I46" s="3122">
        <f t="shared" si="2"/>
        <v>0</v>
      </c>
      <c r="J46" s="273"/>
      <c r="K46" s="273"/>
      <c r="L46" s="2519"/>
      <c r="M46" s="922"/>
      <c r="N46" s="922"/>
    </row>
    <row r="47" spans="1:14">
      <c r="A47" s="5199" t="s">
        <v>589</v>
      </c>
      <c r="B47" s="3104"/>
      <c r="C47" s="3095"/>
      <c r="D47" s="3095"/>
      <c r="E47" s="3096"/>
      <c r="F47" s="3097"/>
      <c r="G47" s="3097"/>
      <c r="H47" s="3097"/>
      <c r="I47" s="3122">
        <f t="shared" si="2"/>
        <v>0</v>
      </c>
      <c r="J47" s="273"/>
      <c r="K47" s="273"/>
      <c r="L47" s="2519"/>
      <c r="M47" s="922"/>
      <c r="N47" s="922"/>
    </row>
    <row r="48" spans="1:14">
      <c r="A48" s="5170" t="s">
        <v>803</v>
      </c>
      <c r="B48" s="3103" t="s">
        <v>590</v>
      </c>
      <c r="C48" s="3095"/>
      <c r="D48" s="3095"/>
      <c r="E48" s="3096"/>
      <c r="F48" s="3097"/>
      <c r="G48" s="3097"/>
      <c r="H48" s="3097"/>
      <c r="I48" s="3122">
        <f t="shared" si="2"/>
        <v>0</v>
      </c>
      <c r="J48" s="273"/>
      <c r="K48" s="273"/>
      <c r="L48" s="2519"/>
      <c r="M48" s="922"/>
      <c r="N48" s="922"/>
    </row>
    <row r="49" spans="1:27">
      <c r="A49" s="5170" t="s">
        <v>815</v>
      </c>
      <c r="B49" s="3103" t="s">
        <v>458</v>
      </c>
      <c r="C49" s="3095"/>
      <c r="D49" s="3095"/>
      <c r="E49" s="3096"/>
      <c r="F49" s="3097"/>
      <c r="G49" s="3097"/>
      <c r="H49" s="3097"/>
      <c r="I49" s="3122">
        <f t="shared" si="2"/>
        <v>0</v>
      </c>
      <c r="J49" s="273"/>
      <c r="K49" s="273"/>
      <c r="L49" s="2519"/>
      <c r="M49" s="922"/>
      <c r="N49" s="922"/>
    </row>
    <row r="50" spans="1:27">
      <c r="A50" s="5170" t="s">
        <v>815</v>
      </c>
      <c r="B50" s="3100" t="s">
        <v>2533</v>
      </c>
      <c r="C50" s="3095"/>
      <c r="D50" s="3095"/>
      <c r="E50" s="3096"/>
      <c r="F50" s="3097"/>
      <c r="G50" s="3097"/>
      <c r="H50" s="3097"/>
      <c r="I50" s="3098">
        <f t="shared" si="2"/>
        <v>0</v>
      </c>
      <c r="J50" s="273"/>
      <c r="K50" s="273"/>
      <c r="L50" s="2519"/>
      <c r="M50" s="922"/>
      <c r="N50" s="922"/>
    </row>
    <row r="51" spans="1:27">
      <c r="A51" s="5170" t="s">
        <v>815</v>
      </c>
      <c r="B51" s="3105" t="s">
        <v>2534</v>
      </c>
      <c r="C51" s="3095"/>
      <c r="D51" s="3095"/>
      <c r="E51" s="3096"/>
      <c r="F51" s="3097"/>
      <c r="G51" s="3097"/>
      <c r="H51" s="3097"/>
      <c r="I51" s="3098">
        <f t="shared" si="2"/>
        <v>0</v>
      </c>
      <c r="J51" s="273"/>
      <c r="K51" s="273"/>
      <c r="L51" s="2519"/>
      <c r="M51" s="922"/>
      <c r="N51" s="922"/>
    </row>
    <row r="52" spans="1:27">
      <c r="A52" s="5170" t="s">
        <v>1374</v>
      </c>
      <c r="B52" s="3103" t="s">
        <v>591</v>
      </c>
      <c r="C52" s="3095"/>
      <c r="D52" s="3095"/>
      <c r="E52" s="3096"/>
      <c r="F52" s="3097"/>
      <c r="G52" s="3097"/>
      <c r="H52" s="3097"/>
      <c r="I52" s="3122">
        <f t="shared" si="2"/>
        <v>0</v>
      </c>
      <c r="J52" s="273"/>
      <c r="K52" s="273"/>
      <c r="L52" s="2519"/>
      <c r="M52" s="922"/>
      <c r="N52" s="922"/>
    </row>
    <row r="53" spans="1:27">
      <c r="A53" s="5170" t="s">
        <v>1376</v>
      </c>
      <c r="B53" s="3100" t="s">
        <v>209</v>
      </c>
      <c r="C53" s="3095"/>
      <c r="D53" s="3095"/>
      <c r="E53" s="3096"/>
      <c r="F53" s="3097"/>
      <c r="G53" s="3097"/>
      <c r="H53" s="3097"/>
      <c r="I53" s="3122">
        <f t="shared" si="2"/>
        <v>0</v>
      </c>
      <c r="J53" s="46"/>
      <c r="K53" s="46"/>
      <c r="L53" s="2519"/>
      <c r="M53" s="922"/>
      <c r="N53" s="922"/>
    </row>
    <row r="54" spans="1:27">
      <c r="A54" s="5170" t="s">
        <v>1378</v>
      </c>
      <c r="B54" s="3103" t="s">
        <v>592</v>
      </c>
      <c r="C54" s="3095"/>
      <c r="D54" s="3096"/>
      <c r="E54" s="3096"/>
      <c r="F54" s="3097"/>
      <c r="G54" s="3097"/>
      <c r="H54" s="3097"/>
      <c r="I54" s="3122">
        <f t="shared" si="2"/>
        <v>0</v>
      </c>
      <c r="J54" s="273"/>
      <c r="K54" s="273"/>
      <c r="L54" s="2519"/>
      <c r="M54" s="922"/>
      <c r="N54" s="922"/>
    </row>
    <row r="55" spans="1:27">
      <c r="A55" s="5170" t="s">
        <v>1380</v>
      </c>
      <c r="B55" s="3106" t="s">
        <v>574</v>
      </c>
      <c r="C55" s="3107"/>
      <c r="D55" s="3108"/>
      <c r="E55" s="3108"/>
      <c r="F55" s="3109"/>
      <c r="G55" s="3109"/>
      <c r="H55" s="3109"/>
      <c r="I55" s="3125">
        <f t="shared" si="2"/>
        <v>0</v>
      </c>
      <c r="J55" s="3111"/>
      <c r="K55" s="273"/>
      <c r="L55" s="2519"/>
      <c r="M55" s="922"/>
      <c r="N55" s="922"/>
    </row>
    <row r="56" spans="1:27" hidden="1">
      <c r="B56" s="3112" t="s">
        <v>3804</v>
      </c>
      <c r="C56" s="4404">
        <f t="shared" ref="C56:H56" si="3">IF(AND(C36&lt;&gt;"",C36&lt;&gt;0),1,0)</f>
        <v>0</v>
      </c>
      <c r="D56" s="4404">
        <f t="shared" si="3"/>
        <v>0</v>
      </c>
      <c r="E56" s="4404">
        <f t="shared" si="3"/>
        <v>0</v>
      </c>
      <c r="F56" s="4404">
        <f t="shared" si="3"/>
        <v>0</v>
      </c>
      <c r="G56" s="4404">
        <f t="shared" si="3"/>
        <v>0</v>
      </c>
      <c r="H56" s="4404">
        <f t="shared" si="3"/>
        <v>0</v>
      </c>
      <c r="I56" s="4404">
        <f>SUM(C56:H56)</f>
        <v>0</v>
      </c>
      <c r="J56" s="1435"/>
      <c r="K56" s="273"/>
      <c r="L56" s="2519"/>
      <c r="M56" s="922"/>
      <c r="N56" s="922"/>
    </row>
    <row r="57" spans="1:27" s="46" customFormat="1" ht="15" hidden="1" customHeight="1">
      <c r="A57" s="2552"/>
      <c r="B57" s="3112" t="str">
        <f>"Medicare wages and tip &gt; "&amp;TEXT('8959'!$G$25,"$0,000")</f>
        <v>Medicare wages and tip &gt; $200,000</v>
      </c>
      <c r="C57" s="3069" t="b">
        <f>IF(C37&gt;'8959'!$G$25,TRUE,FALSE)</f>
        <v>0</v>
      </c>
      <c r="D57" s="3069" t="b">
        <f>IF(D37&gt;'8959'!$G$25,TRUE,FALSE)</f>
        <v>0</v>
      </c>
      <c r="E57" s="3069" t="b">
        <f>IF(E37&gt;'8959'!$G$25,TRUE,FALSE)</f>
        <v>0</v>
      </c>
      <c r="F57" s="3069" t="b">
        <f>IF(F37&gt;'8959'!$G$25,TRUE,FALSE)</f>
        <v>0</v>
      </c>
      <c r="G57" s="3069" t="b">
        <f>IF(G37&gt;'8959'!$G$25,TRUE,FALSE)</f>
        <v>0</v>
      </c>
      <c r="H57" s="3069" t="b">
        <f>IF(H37&gt;'8959'!$G$25,TRUE,FALSE)</f>
        <v>0</v>
      </c>
      <c r="I57" s="3069" t="b">
        <f>OR(C27:H27,C57:H57)</f>
        <v>0</v>
      </c>
      <c r="J57" s="3113"/>
      <c r="K57" s="331"/>
      <c r="L57" s="3087"/>
      <c r="M57" s="523"/>
      <c r="N57" s="523"/>
      <c r="O57" s="3742"/>
      <c r="P57" s="3169"/>
      <c r="Q57" s="3169"/>
      <c r="R57" s="3169"/>
      <c r="S57" s="3169"/>
      <c r="T57" s="3169"/>
      <c r="U57" s="3169"/>
      <c r="V57" s="3169"/>
      <c r="W57" s="3169"/>
      <c r="X57" s="3169"/>
      <c r="Y57" s="3169"/>
      <c r="Z57" s="932"/>
      <c r="AA57" s="932"/>
    </row>
    <row r="58" spans="1:27" s="46" customFormat="1" ht="15" hidden="1" customHeight="1">
      <c r="A58" s="2552"/>
      <c r="B58" s="3112" t="str">
        <f>"RRTA &gt; "&amp;TEXT('8959'!$G$25,"$0,000")</f>
        <v>RRTA &gt; $200,000</v>
      </c>
      <c r="C58" s="3069" t="b">
        <f>IF(C50&gt;'8959'!$G$25,TRUE,FALSE)</f>
        <v>0</v>
      </c>
      <c r="D58" s="3069" t="b">
        <f>IF(D50&gt;'8959'!$G$25,TRUE,FALSE)</f>
        <v>0</v>
      </c>
      <c r="E58" s="3069" t="b">
        <f>IF(E50&gt;'8959'!$G$25,TRUE,FALSE)</f>
        <v>0</v>
      </c>
      <c r="F58" s="3069" t="b">
        <f>IF(F50&gt;'8959'!$G$25,TRUE,FALSE)</f>
        <v>0</v>
      </c>
      <c r="G58" s="3069" t="b">
        <f>IF(G50&gt;'8959'!$G$25,TRUE,FALSE)</f>
        <v>0</v>
      </c>
      <c r="H58" s="3069" t="b">
        <f>IF(H50&gt;'8959'!$G$25,TRUE,FALSE)</f>
        <v>0</v>
      </c>
      <c r="I58" s="3069" t="b">
        <f>OR(C28:H28,C58:H58)</f>
        <v>0</v>
      </c>
      <c r="J58" s="3113"/>
      <c r="K58" s="331"/>
      <c r="L58" s="3087"/>
      <c r="M58" s="523"/>
      <c r="N58" s="523"/>
      <c r="O58" s="3742"/>
      <c r="P58" s="3169"/>
      <c r="Q58" s="3169"/>
      <c r="R58" s="3169"/>
      <c r="S58" s="3169"/>
      <c r="T58" s="3169"/>
      <c r="U58" s="3169"/>
      <c r="V58" s="3169"/>
      <c r="W58" s="3169"/>
      <c r="X58" s="3169"/>
      <c r="Y58" s="3169"/>
      <c r="Z58" s="932"/>
      <c r="AA58" s="932"/>
    </row>
    <row r="59" spans="1:27" s="46" customFormat="1" ht="15" customHeight="1">
      <c r="A59" s="2552"/>
      <c r="B59" s="3113"/>
      <c r="C59" s="979" t="str">
        <f>IF(AND(I36&gt;MaxSSTax,EmployerCountSpouse=1),"Notify your employer that they withheld "&amp;TEXT(SUM(I36,-MaxSSTax),"$0.00")&amp;" too much Social Security Tax or file Form 843, Claim for Refund and Request for Abatement.","")</f>
        <v/>
      </c>
      <c r="D59" s="3113"/>
      <c r="E59" s="3113"/>
      <c r="F59" s="3113"/>
      <c r="G59" s="3113"/>
      <c r="H59" s="3113"/>
      <c r="I59" s="3113"/>
      <c r="J59" s="3113"/>
      <c r="K59" s="331"/>
      <c r="L59" s="3087"/>
      <c r="M59" s="523"/>
      <c r="N59" s="523"/>
      <c r="O59" s="3742"/>
      <c r="P59" s="3169"/>
      <c r="Q59" s="3169"/>
      <c r="R59" s="3169"/>
      <c r="S59" s="3169"/>
      <c r="T59" s="3169"/>
      <c r="U59" s="3169"/>
      <c r="V59" s="3169"/>
      <c r="W59" s="3169"/>
      <c r="X59" s="3169"/>
      <c r="Y59" s="3169"/>
      <c r="Z59" s="932"/>
      <c r="AA59" s="932"/>
    </row>
    <row r="60" spans="1:27" s="46" customFormat="1" ht="15" customHeight="1">
      <c r="A60" s="2552"/>
      <c r="B60" s="2612" t="str">
        <f>IF(OR(AND(C37="",C38&lt;&gt;""),AND(D37="",D38&lt;&gt;""),AND(E37="",E38&lt;&gt;""),AND(F37="",F38&lt;&gt;"")),"CAUTION:  Entering an amount into Line 6 without entering an amount into Line 5 will resutl in a tax calculation error.","")</f>
        <v/>
      </c>
      <c r="C60" s="2612"/>
      <c r="D60" s="52"/>
      <c r="E60" s="52"/>
      <c r="F60" s="52"/>
      <c r="G60" s="52"/>
      <c r="H60" s="52"/>
      <c r="I60" s="52"/>
      <c r="J60" s="3309"/>
      <c r="K60" s="331"/>
      <c r="L60" s="3087"/>
      <c r="M60" s="523"/>
      <c r="N60" s="523"/>
      <c r="O60" s="3742"/>
      <c r="P60" s="3169"/>
      <c r="Q60" s="3169"/>
      <c r="R60" s="3169"/>
      <c r="S60" s="3169"/>
      <c r="T60" s="3169"/>
      <c r="U60" s="3169"/>
      <c r="V60" s="3169"/>
      <c r="W60" s="3169"/>
      <c r="X60" s="3169"/>
      <c r="Y60" s="3169"/>
      <c r="Z60" s="932"/>
      <c r="AA60" s="932"/>
    </row>
    <row r="61" spans="1:27" ht="33" customHeight="1">
      <c r="A61" s="2552"/>
      <c r="B61" s="3126" t="s">
        <v>540</v>
      </c>
      <c r="C61" s="3119" t="s">
        <v>540</v>
      </c>
      <c r="D61" s="3127" t="s">
        <v>4847</v>
      </c>
      <c r="E61" s="3127" t="s">
        <v>2433</v>
      </c>
      <c r="F61" s="3119"/>
      <c r="G61" s="3119"/>
      <c r="H61" s="3119"/>
      <c r="I61" s="3119"/>
      <c r="J61" s="3532" t="s">
        <v>2439</v>
      </c>
      <c r="K61" s="3533"/>
      <c r="L61" s="3127" t="s">
        <v>2433</v>
      </c>
      <c r="M61" s="3128"/>
      <c r="N61" s="922"/>
    </row>
    <row r="62" spans="1:27" ht="18" customHeight="1">
      <c r="A62" s="5169" t="s">
        <v>165</v>
      </c>
      <c r="B62" s="1123" t="s">
        <v>188</v>
      </c>
      <c r="C62" s="5104">
        <f t="shared" ref="C62:C84" si="4">SUM(I3,I33)</f>
        <v>0</v>
      </c>
      <c r="D62" s="5099">
        <f t="shared" ref="D62:D84" si="5">ROUND(C62,0)</f>
        <v>0</v>
      </c>
      <c r="E62" s="4406" t="s">
        <v>3811</v>
      </c>
      <c r="F62" s="3129"/>
      <c r="G62" s="3129"/>
      <c r="H62" s="3129"/>
      <c r="I62" s="3130"/>
      <c r="J62" s="3093"/>
      <c r="K62" s="3093"/>
      <c r="L62" s="3123"/>
      <c r="M62" s="922"/>
      <c r="N62" s="922"/>
    </row>
    <row r="63" spans="1:27">
      <c r="A63" s="5170" t="s">
        <v>166</v>
      </c>
      <c r="B63" s="1123" t="s">
        <v>189</v>
      </c>
      <c r="C63" s="5105">
        <f t="shared" si="4"/>
        <v>0</v>
      </c>
      <c r="D63" s="5100">
        <f t="shared" si="5"/>
        <v>0</v>
      </c>
      <c r="E63" s="2920" t="s">
        <v>3812</v>
      </c>
      <c r="F63" s="3131"/>
      <c r="G63" s="3131"/>
      <c r="H63" s="3131"/>
      <c r="I63" s="3130"/>
      <c r="J63" s="3093"/>
      <c r="K63" s="3093"/>
      <c r="L63" s="3102" t="s">
        <v>867</v>
      </c>
      <c r="M63" s="3121"/>
      <c r="N63" s="3121"/>
    </row>
    <row r="64" spans="1:27">
      <c r="A64" s="5170" t="s">
        <v>167</v>
      </c>
      <c r="B64" s="3132" t="s">
        <v>350</v>
      </c>
      <c r="C64" s="5106">
        <f t="shared" si="4"/>
        <v>0</v>
      </c>
      <c r="D64" s="5101">
        <f t="shared" si="5"/>
        <v>0</v>
      </c>
      <c r="E64" s="5109" t="s">
        <v>4849</v>
      </c>
      <c r="F64" s="3131"/>
      <c r="G64" s="3131"/>
      <c r="H64" s="3131"/>
      <c r="I64" s="3130"/>
      <c r="J64" s="273"/>
      <c r="K64" s="273"/>
      <c r="L64" s="3124"/>
      <c r="M64" s="922"/>
      <c r="N64" s="922"/>
    </row>
    <row r="65" spans="1:14">
      <c r="A65" s="5170" t="s">
        <v>168</v>
      </c>
      <c r="B65" s="3100" t="s">
        <v>351</v>
      </c>
      <c r="C65" s="5105">
        <f t="shared" si="4"/>
        <v>0</v>
      </c>
      <c r="D65" s="5100">
        <f t="shared" si="5"/>
        <v>0</v>
      </c>
      <c r="E65" s="2920" t="s">
        <v>4848</v>
      </c>
      <c r="F65" s="3131"/>
      <c r="G65" s="3131"/>
      <c r="H65" s="3131"/>
      <c r="I65" s="3130"/>
      <c r="J65" s="3133">
        <f>ROUND(SUM(J6,J36),0)</f>
        <v>0</v>
      </c>
      <c r="K65" s="273"/>
      <c r="L65" s="3134" t="s">
        <v>3809</v>
      </c>
      <c r="M65" s="922"/>
      <c r="N65" s="922"/>
    </row>
    <row r="66" spans="1:14">
      <c r="A66" s="5170" t="s">
        <v>228</v>
      </c>
      <c r="B66" s="3100" t="s">
        <v>352</v>
      </c>
      <c r="C66" s="5105">
        <f t="shared" si="4"/>
        <v>0</v>
      </c>
      <c r="D66" s="5100">
        <f t="shared" si="5"/>
        <v>0</v>
      </c>
      <c r="E66" s="2920" t="s">
        <v>3813</v>
      </c>
      <c r="F66" s="3131"/>
      <c r="G66" s="3131"/>
      <c r="H66" s="3131"/>
      <c r="I66" s="3130"/>
      <c r="J66" s="3135"/>
      <c r="K66" s="273"/>
      <c r="L66" s="3124"/>
      <c r="M66" s="922"/>
      <c r="N66" s="922"/>
    </row>
    <row r="67" spans="1:14">
      <c r="A67" s="5170" t="s">
        <v>112</v>
      </c>
      <c r="B67" s="3100" t="s">
        <v>353</v>
      </c>
      <c r="C67" s="5105">
        <f t="shared" si="4"/>
        <v>0</v>
      </c>
      <c r="D67" s="5100">
        <f t="shared" si="5"/>
        <v>0</v>
      </c>
      <c r="E67" s="2920" t="s">
        <v>3806</v>
      </c>
      <c r="F67" s="3131"/>
      <c r="G67" s="3131"/>
      <c r="H67" s="3131"/>
      <c r="I67" s="3130"/>
      <c r="J67" s="273"/>
      <c r="K67" s="273"/>
      <c r="L67" s="3102"/>
      <c r="M67" s="922"/>
      <c r="N67" s="922"/>
    </row>
    <row r="68" spans="1:14">
      <c r="A68" s="5170" t="s">
        <v>113</v>
      </c>
      <c r="B68" s="3103" t="s">
        <v>580</v>
      </c>
      <c r="C68" s="5107">
        <f t="shared" si="4"/>
        <v>0</v>
      </c>
      <c r="D68" s="5102">
        <f t="shared" si="5"/>
        <v>0</v>
      </c>
      <c r="E68" s="2920"/>
      <c r="F68" s="3131"/>
      <c r="G68" s="3131"/>
      <c r="H68" s="3131"/>
      <c r="I68" s="3130"/>
      <c r="J68" s="273"/>
      <c r="K68" s="273"/>
      <c r="L68" s="2519"/>
      <c r="M68" s="922"/>
      <c r="N68" s="922"/>
    </row>
    <row r="69" spans="1:14">
      <c r="A69" s="5170" t="s">
        <v>114</v>
      </c>
      <c r="B69" s="3103" t="s">
        <v>581</v>
      </c>
      <c r="C69" s="5106">
        <f t="shared" si="4"/>
        <v>0</v>
      </c>
      <c r="D69" s="5102">
        <f t="shared" si="5"/>
        <v>0</v>
      </c>
      <c r="E69" s="2920"/>
      <c r="F69" s="3131"/>
      <c r="G69" s="3131"/>
      <c r="H69" s="3131"/>
      <c r="I69" s="3130"/>
      <c r="J69" s="273"/>
      <c r="K69" s="273"/>
      <c r="L69" s="2519"/>
      <c r="M69" s="922"/>
      <c r="N69" s="922"/>
    </row>
    <row r="70" spans="1:14">
      <c r="A70" s="5170" t="s">
        <v>115</v>
      </c>
      <c r="B70" s="3103" t="s">
        <v>582</v>
      </c>
      <c r="C70" s="5106">
        <f t="shared" si="4"/>
        <v>0</v>
      </c>
      <c r="D70" s="5102">
        <f t="shared" si="5"/>
        <v>0</v>
      </c>
      <c r="E70" s="2920"/>
      <c r="F70" s="3131"/>
      <c r="G70" s="3131"/>
      <c r="H70" s="3131"/>
      <c r="I70" s="3130"/>
      <c r="J70" s="273"/>
      <c r="K70" s="273"/>
      <c r="L70" s="2519"/>
      <c r="M70" s="922"/>
      <c r="N70" s="922"/>
    </row>
    <row r="71" spans="1:14">
      <c r="A71" s="5170" t="s">
        <v>116</v>
      </c>
      <c r="B71" s="3100" t="s">
        <v>583</v>
      </c>
      <c r="C71" s="5105">
        <f t="shared" si="4"/>
        <v>0</v>
      </c>
      <c r="D71" s="5100">
        <f t="shared" si="5"/>
        <v>0</v>
      </c>
      <c r="E71" s="2920" t="s">
        <v>3814</v>
      </c>
      <c r="F71" s="3131"/>
      <c r="G71" s="3131"/>
      <c r="H71" s="3131"/>
      <c r="I71" s="3130"/>
      <c r="J71" s="273"/>
      <c r="K71" s="273"/>
      <c r="L71" s="2519"/>
      <c r="M71" s="922"/>
      <c r="N71" s="922"/>
    </row>
    <row r="72" spans="1:14">
      <c r="A72" s="5170" t="s">
        <v>801</v>
      </c>
      <c r="B72" s="3103" t="s">
        <v>584</v>
      </c>
      <c r="C72" s="5106">
        <f t="shared" si="4"/>
        <v>0</v>
      </c>
      <c r="D72" s="5102">
        <f t="shared" si="5"/>
        <v>0</v>
      </c>
      <c r="E72" s="2920"/>
      <c r="F72" s="3131"/>
      <c r="G72" s="3131"/>
      <c r="H72" s="3131"/>
      <c r="I72" s="3130"/>
      <c r="J72" s="273"/>
      <c r="K72" s="273"/>
      <c r="L72" s="2519"/>
      <c r="M72" s="922"/>
      <c r="N72" s="922"/>
    </row>
    <row r="73" spans="1:14">
      <c r="A73" s="5199" t="s">
        <v>586</v>
      </c>
      <c r="B73" s="3103" t="s">
        <v>585</v>
      </c>
      <c r="C73" s="5106">
        <f t="shared" si="4"/>
        <v>0</v>
      </c>
      <c r="D73" s="5102">
        <f t="shared" si="5"/>
        <v>0</v>
      </c>
      <c r="E73" s="2920"/>
      <c r="F73" s="3131"/>
      <c r="G73" s="3131"/>
      <c r="H73" s="3131"/>
      <c r="I73" s="3130"/>
      <c r="J73" s="273"/>
      <c r="K73" s="273"/>
      <c r="L73" s="2519"/>
      <c r="M73" s="922"/>
      <c r="N73" s="922"/>
    </row>
    <row r="74" spans="1:14">
      <c r="A74" s="5199" t="s">
        <v>587</v>
      </c>
      <c r="B74" s="3103"/>
      <c r="C74" s="5106">
        <f t="shared" si="4"/>
        <v>0</v>
      </c>
      <c r="D74" s="5102">
        <f t="shared" si="5"/>
        <v>0</v>
      </c>
      <c r="E74" s="2920"/>
      <c r="F74" s="3131"/>
      <c r="G74" s="3131"/>
      <c r="H74" s="3131"/>
      <c r="I74" s="3130"/>
      <c r="J74" s="273"/>
      <c r="K74" s="273"/>
      <c r="L74" s="2519"/>
      <c r="M74" s="922"/>
      <c r="N74" s="922"/>
    </row>
    <row r="75" spans="1:14">
      <c r="A75" s="5199" t="s">
        <v>588</v>
      </c>
      <c r="B75" s="3103"/>
      <c r="C75" s="5106">
        <f t="shared" si="4"/>
        <v>0</v>
      </c>
      <c r="D75" s="5102">
        <f t="shared" si="5"/>
        <v>0</v>
      </c>
      <c r="E75" s="2920"/>
      <c r="F75" s="3131"/>
      <c r="G75" s="3131"/>
      <c r="H75" s="3131"/>
      <c r="I75" s="3130"/>
      <c r="J75" s="273"/>
      <c r="K75" s="273"/>
      <c r="L75" s="2519"/>
      <c r="M75" s="922"/>
      <c r="N75" s="922"/>
    </row>
    <row r="76" spans="1:14">
      <c r="A76" s="5199" t="s">
        <v>589</v>
      </c>
      <c r="B76" s="3103"/>
      <c r="C76" s="5106">
        <f t="shared" si="4"/>
        <v>0</v>
      </c>
      <c r="D76" s="5102">
        <f t="shared" si="5"/>
        <v>0</v>
      </c>
      <c r="E76" s="2920"/>
      <c r="F76" s="3131"/>
      <c r="G76" s="3131"/>
      <c r="H76" s="3131"/>
      <c r="I76" s="3130"/>
      <c r="J76" s="273"/>
      <c r="K76" s="273"/>
      <c r="L76" s="2519"/>
      <c r="M76" s="922"/>
      <c r="N76" s="922"/>
    </row>
    <row r="77" spans="1:14">
      <c r="A77" s="5170" t="s">
        <v>803</v>
      </c>
      <c r="B77" s="3103" t="s">
        <v>590</v>
      </c>
      <c r="C77" s="5106">
        <f t="shared" si="4"/>
        <v>0</v>
      </c>
      <c r="D77" s="5102">
        <f t="shared" si="5"/>
        <v>0</v>
      </c>
      <c r="E77" s="2920"/>
      <c r="F77" s="3131"/>
      <c r="G77" s="3131"/>
      <c r="H77" s="3131"/>
      <c r="I77" s="3130"/>
      <c r="J77" s="273"/>
      <c r="K77" s="273"/>
      <c r="L77" s="2519"/>
      <c r="M77" s="922"/>
      <c r="N77" s="922"/>
    </row>
    <row r="78" spans="1:14">
      <c r="A78" s="5170" t="s">
        <v>815</v>
      </c>
      <c r="B78" s="3103" t="s">
        <v>458</v>
      </c>
      <c r="C78" s="5106">
        <f t="shared" si="4"/>
        <v>0</v>
      </c>
      <c r="D78" s="5102">
        <f t="shared" si="5"/>
        <v>0</v>
      </c>
      <c r="E78" s="2920"/>
      <c r="F78" s="3131"/>
      <c r="G78" s="3131"/>
      <c r="H78" s="3131"/>
      <c r="I78" s="3130"/>
      <c r="J78" s="273"/>
      <c r="K78" s="273"/>
      <c r="L78" s="2519"/>
      <c r="M78" s="922"/>
      <c r="N78" s="922"/>
    </row>
    <row r="79" spans="1:14">
      <c r="A79" s="5170" t="s">
        <v>815</v>
      </c>
      <c r="B79" s="3100" t="s">
        <v>2533</v>
      </c>
      <c r="C79" s="5105">
        <f t="shared" si="4"/>
        <v>0</v>
      </c>
      <c r="D79" s="5100">
        <f t="shared" si="5"/>
        <v>0</v>
      </c>
      <c r="E79" s="2920" t="s">
        <v>3807</v>
      </c>
      <c r="F79" s="3131"/>
      <c r="G79" s="3131"/>
      <c r="H79" s="3131"/>
      <c r="I79" s="3130"/>
      <c r="J79" s="273"/>
      <c r="K79" s="273"/>
      <c r="L79" s="2519"/>
      <c r="M79" s="922"/>
      <c r="N79" s="922"/>
    </row>
    <row r="80" spans="1:14">
      <c r="A80" s="5170" t="s">
        <v>815</v>
      </c>
      <c r="B80" s="3105" t="s">
        <v>2534</v>
      </c>
      <c r="C80" s="5105">
        <f t="shared" si="4"/>
        <v>0</v>
      </c>
      <c r="D80" s="5100">
        <f t="shared" si="5"/>
        <v>0</v>
      </c>
      <c r="E80" s="2920" t="s">
        <v>3808</v>
      </c>
      <c r="F80" s="3131"/>
      <c r="G80" s="3131"/>
      <c r="H80" s="3131"/>
      <c r="I80" s="3130"/>
      <c r="J80" s="273"/>
      <c r="K80" s="273"/>
      <c r="L80" s="2519"/>
      <c r="M80" s="922"/>
      <c r="N80" s="922"/>
    </row>
    <row r="81" spans="1:14">
      <c r="A81" s="5170" t="s">
        <v>1374</v>
      </c>
      <c r="B81" s="3103" t="s">
        <v>591</v>
      </c>
      <c r="C81" s="5106">
        <f t="shared" si="4"/>
        <v>0</v>
      </c>
      <c r="D81" s="5102">
        <f t="shared" si="5"/>
        <v>0</v>
      </c>
      <c r="E81" s="2920"/>
      <c r="F81" s="3131"/>
      <c r="G81" s="3131"/>
      <c r="H81" s="3131"/>
      <c r="I81" s="3130"/>
      <c r="J81" s="273"/>
      <c r="K81" s="273"/>
      <c r="L81" s="2519"/>
      <c r="M81" s="922"/>
      <c r="N81" s="922"/>
    </row>
    <row r="82" spans="1:14">
      <c r="A82" s="5170" t="s">
        <v>1376</v>
      </c>
      <c r="B82" s="3100" t="s">
        <v>209</v>
      </c>
      <c r="C82" s="5105">
        <f t="shared" si="4"/>
        <v>0</v>
      </c>
      <c r="D82" s="5100">
        <f t="shared" si="5"/>
        <v>0</v>
      </c>
      <c r="E82" s="2920" t="s">
        <v>3810</v>
      </c>
      <c r="F82" s="3131"/>
      <c r="G82" s="3131"/>
      <c r="H82" s="3131"/>
      <c r="I82" s="3130"/>
      <c r="J82" s="273"/>
      <c r="K82" s="273"/>
      <c r="L82" s="3124"/>
      <c r="M82" s="922"/>
      <c r="N82" s="922"/>
    </row>
    <row r="83" spans="1:14">
      <c r="A83" s="5170" t="s">
        <v>1378</v>
      </c>
      <c r="B83" s="3103" t="s">
        <v>592</v>
      </c>
      <c r="C83" s="5106">
        <f t="shared" si="4"/>
        <v>0</v>
      </c>
      <c r="D83" s="5102">
        <f t="shared" si="5"/>
        <v>0</v>
      </c>
      <c r="E83" s="2920"/>
      <c r="F83" s="3131"/>
      <c r="G83" s="3131"/>
      <c r="H83" s="3131"/>
      <c r="I83" s="3130"/>
      <c r="J83" s="273"/>
      <c r="K83" s="273"/>
      <c r="L83" s="3124"/>
      <c r="M83" s="922"/>
      <c r="N83" s="922"/>
    </row>
    <row r="84" spans="1:14">
      <c r="A84" s="5170" t="s">
        <v>1380</v>
      </c>
      <c r="B84" s="3106" t="s">
        <v>574</v>
      </c>
      <c r="C84" s="5108">
        <f t="shared" si="4"/>
        <v>0</v>
      </c>
      <c r="D84" s="5103">
        <f t="shared" si="5"/>
        <v>0</v>
      </c>
      <c r="E84" s="4405" t="s">
        <v>3810</v>
      </c>
      <c r="F84" s="3136"/>
      <c r="G84" s="3136"/>
      <c r="H84" s="3136"/>
      <c r="I84" s="3111"/>
      <c r="J84" s="3137"/>
      <c r="K84" s="46"/>
      <c r="L84" s="2519"/>
      <c r="M84" s="922"/>
      <c r="N84" s="922"/>
    </row>
    <row r="85" spans="1:14" ht="26.25" customHeight="1">
      <c r="A85" s="52"/>
      <c r="B85" s="290"/>
      <c r="C85" s="290"/>
      <c r="D85" s="290"/>
      <c r="E85" s="290"/>
      <c r="F85" s="290"/>
      <c r="G85" s="290"/>
      <c r="H85" s="290"/>
      <c r="I85" s="290"/>
      <c r="J85" s="290"/>
    </row>
    <row r="86" spans="1:14" ht="13.5" thickBot="1"/>
    <row r="87" spans="1:14">
      <c r="B87" s="5238"/>
    </row>
    <row r="88" spans="1:14">
      <c r="B88" s="5239" t="s">
        <v>5009</v>
      </c>
    </row>
    <row r="89" spans="1:14" ht="13.5" thickBot="1">
      <c r="B89" s="5240"/>
    </row>
  </sheetData>
  <sheetProtection password="F07E" sheet="1" objects="1" scenarios="1"/>
  <phoneticPr fontId="12" type="noConversion"/>
  <conditionalFormatting sqref="C22 C24:F25 E22:F23 C26:I26 E3:F19 C3:C19">
    <cfRule type="expression" dxfId="3144" priority="95">
      <formula>IF(NoColor,1,0)</formula>
    </cfRule>
  </conditionalFormatting>
  <conditionalFormatting sqref="C48:C49 C54:F55 C39:C45 F39:F40 C33 F37 C52:C53 E52:F53 E41:F49 E33:F36 C35:C37">
    <cfRule type="expression" dxfId="3143" priority="94">
      <formula>IF(NoColor,1,0)</formula>
    </cfRule>
  </conditionalFormatting>
  <conditionalFormatting sqref="C2:F2">
    <cfRule type="expression" dxfId="3142" priority="93">
      <formula>IF(NoColor,1,0)</formula>
    </cfRule>
  </conditionalFormatting>
  <conditionalFormatting sqref="D32:F32">
    <cfRule type="expression" dxfId="3141" priority="92">
      <formula>IF(NoColor,1,0)</formula>
    </cfRule>
  </conditionalFormatting>
  <conditionalFormatting sqref="C32">
    <cfRule type="expression" dxfId="3140" priority="91">
      <formula>IF(NoColor,1,0)</formula>
    </cfRule>
  </conditionalFormatting>
  <conditionalFormatting sqref="C38 F38">
    <cfRule type="expression" dxfId="3139" priority="90">
      <formula>IF(NoColor,1,0)</formula>
    </cfRule>
  </conditionalFormatting>
  <conditionalFormatting sqref="C46">
    <cfRule type="expression" dxfId="3138" priority="87">
      <formula>IF(NoColor,1,0)</formula>
    </cfRule>
  </conditionalFormatting>
  <conditionalFormatting sqref="C47">
    <cfRule type="expression" dxfId="3137" priority="86">
      <formula>IF(NoColor,1,0)</formula>
    </cfRule>
  </conditionalFormatting>
  <conditionalFormatting sqref="I3:I19 I22:I25">
    <cfRule type="expression" dxfId="3136" priority="85">
      <formula>IF(NoColor,1,0)</formula>
    </cfRule>
  </conditionalFormatting>
  <conditionalFormatting sqref="I33:I49 I52:I55">
    <cfRule type="expression" dxfId="3135" priority="84">
      <formula>IF(NoColor,1,0)</formula>
    </cfRule>
  </conditionalFormatting>
  <conditionalFormatting sqref="C62:C78 C81:C84">
    <cfRule type="expression" dxfId="3134" priority="83">
      <formula>IF(NoColor,1,0)</formula>
    </cfRule>
  </conditionalFormatting>
  <conditionalFormatting sqref="J65">
    <cfRule type="expression" dxfId="3133" priority="82">
      <formula>IF(NoColor,1,0)</formula>
    </cfRule>
  </conditionalFormatting>
  <conditionalFormatting sqref="C20 E20:F20">
    <cfRule type="expression" dxfId="3132" priority="81">
      <formula>IF(NoColor,1,0)</formula>
    </cfRule>
  </conditionalFormatting>
  <conditionalFormatting sqref="I20">
    <cfRule type="expression" dxfId="3131" priority="80">
      <formula>IF(NoColor,1,0)</formula>
    </cfRule>
  </conditionalFormatting>
  <conditionalFormatting sqref="C50 E50:F50">
    <cfRule type="expression" dxfId="3130" priority="79">
      <formula>IF(NoColor,1,0)</formula>
    </cfRule>
  </conditionalFormatting>
  <conditionalFormatting sqref="I50">
    <cfRule type="expression" dxfId="3129" priority="78">
      <formula>IF(NoColor,1,0)</formula>
    </cfRule>
  </conditionalFormatting>
  <conditionalFormatting sqref="C79">
    <cfRule type="expression" dxfId="3128" priority="77">
      <formula>IF(NoColor,1,0)</formula>
    </cfRule>
  </conditionalFormatting>
  <conditionalFormatting sqref="C21">
    <cfRule type="expression" dxfId="3127" priority="76">
      <formula>IF(NoColor,1,0)</formula>
    </cfRule>
  </conditionalFormatting>
  <conditionalFormatting sqref="I21">
    <cfRule type="expression" dxfId="3126" priority="75">
      <formula>IF(NoColor,1,0)</formula>
    </cfRule>
  </conditionalFormatting>
  <conditionalFormatting sqref="E21:F21">
    <cfRule type="expression" dxfId="3125" priority="73">
      <formula>IF(NoColor,1,0)</formula>
    </cfRule>
  </conditionalFormatting>
  <conditionalFormatting sqref="C51 E51:F51">
    <cfRule type="expression" dxfId="3124" priority="71">
      <formula>IF(NoColor,1,0)</formula>
    </cfRule>
  </conditionalFormatting>
  <conditionalFormatting sqref="I51">
    <cfRule type="expression" dxfId="3123" priority="70">
      <formula>IF(NoColor,1,0)</formula>
    </cfRule>
  </conditionalFormatting>
  <conditionalFormatting sqref="C80">
    <cfRule type="expression" dxfId="3122" priority="68">
      <formula>IF(NoColor,1,0)</formula>
    </cfRule>
  </conditionalFormatting>
  <conditionalFormatting sqref="E39 E37">
    <cfRule type="expression" dxfId="3121" priority="57">
      <formula>IF(NoColor,1,0)</formula>
    </cfRule>
  </conditionalFormatting>
  <conditionalFormatting sqref="E38">
    <cfRule type="expression" dxfId="3120" priority="56">
      <formula>IF(NoColor,1,0)</formula>
    </cfRule>
  </conditionalFormatting>
  <conditionalFormatting sqref="E40">
    <cfRule type="expression" dxfId="3119" priority="55">
      <formula>IF(NoColor,1,0)</formula>
    </cfRule>
  </conditionalFormatting>
  <conditionalFormatting sqref="G3:G19 G22:G25">
    <cfRule type="expression" dxfId="3118" priority="54">
      <formula>IF(NoColor,1,0)</formula>
    </cfRule>
  </conditionalFormatting>
  <conditionalFormatting sqref="G52:G55 G39:G49 G33:G37">
    <cfRule type="expression" dxfId="3117" priority="53">
      <formula>IF(NoColor,1,0)</formula>
    </cfRule>
  </conditionalFormatting>
  <conditionalFormatting sqref="G2">
    <cfRule type="expression" dxfId="3116" priority="52">
      <formula>IF(NoColor,1,0)</formula>
    </cfRule>
  </conditionalFormatting>
  <conditionalFormatting sqref="G32">
    <cfRule type="expression" dxfId="3115" priority="51">
      <formula>IF(NoColor,1,0)</formula>
    </cfRule>
  </conditionalFormatting>
  <conditionalFormatting sqref="G38">
    <cfRule type="expression" dxfId="3114" priority="50">
      <formula>IF(NoColor,1,0)</formula>
    </cfRule>
  </conditionalFormatting>
  <conditionalFormatting sqref="G20">
    <cfRule type="expression" dxfId="3113" priority="49">
      <formula>IF(NoColor,1,0)</formula>
    </cfRule>
  </conditionalFormatting>
  <conditionalFormatting sqref="G50">
    <cfRule type="expression" dxfId="3112" priority="48">
      <formula>IF(NoColor,1,0)</formula>
    </cfRule>
  </conditionalFormatting>
  <conditionalFormatting sqref="G21">
    <cfRule type="expression" dxfId="3111" priority="47">
      <formula>IF(NoColor,1,0)</formula>
    </cfRule>
  </conditionalFormatting>
  <conditionalFormatting sqref="G51">
    <cfRule type="expression" dxfId="3110" priority="46">
      <formula>IF(NoColor,1,0)</formula>
    </cfRule>
  </conditionalFormatting>
  <conditionalFormatting sqref="H3:H19 H22:H25">
    <cfRule type="expression" dxfId="3109" priority="45">
      <formula>IF(NoColor,1,0)</formula>
    </cfRule>
  </conditionalFormatting>
  <conditionalFormatting sqref="H52:H55 H39:H49 H33:H37">
    <cfRule type="expression" dxfId="3108" priority="44">
      <formula>IF(NoColor,1,0)</formula>
    </cfRule>
  </conditionalFormatting>
  <conditionalFormatting sqref="H2">
    <cfRule type="expression" dxfId="3107" priority="43">
      <formula>IF(NoColor,1,0)</formula>
    </cfRule>
  </conditionalFormatting>
  <conditionalFormatting sqref="H32">
    <cfRule type="expression" dxfId="3106" priority="42">
      <formula>IF(NoColor,1,0)</formula>
    </cfRule>
  </conditionalFormatting>
  <conditionalFormatting sqref="H38">
    <cfRule type="expression" dxfId="3105" priority="41">
      <formula>IF(NoColor,1,0)</formula>
    </cfRule>
  </conditionalFormatting>
  <conditionalFormatting sqref="H20">
    <cfRule type="expression" dxfId="3104" priority="40">
      <formula>IF(NoColor,1,0)</formula>
    </cfRule>
  </conditionalFormatting>
  <conditionalFormatting sqref="H50">
    <cfRule type="expression" dxfId="3103" priority="39">
      <formula>IF(NoColor,1,0)</formula>
    </cfRule>
  </conditionalFormatting>
  <conditionalFormatting sqref="H21">
    <cfRule type="expression" dxfId="3102" priority="38">
      <formula>IF(NoColor,1,0)</formula>
    </cfRule>
  </conditionalFormatting>
  <conditionalFormatting sqref="H51">
    <cfRule type="expression" dxfId="3101" priority="37">
      <formula>IF(NoColor,1,0)</formula>
    </cfRule>
  </conditionalFormatting>
  <conditionalFormatting sqref="C56:I56">
    <cfRule type="expression" dxfId="3100" priority="35">
      <formula>IF(NoColor,1,0)</formula>
    </cfRule>
  </conditionalFormatting>
  <conditionalFormatting sqref="D62:D78 D81:D83">
    <cfRule type="expression" dxfId="3099" priority="33">
      <formula>IF(NoColor,1,0)</formula>
    </cfRule>
  </conditionalFormatting>
  <conditionalFormatting sqref="D79">
    <cfRule type="expression" dxfId="3098" priority="30">
      <formula>IF(NoColor,1,0)</formula>
    </cfRule>
  </conditionalFormatting>
  <conditionalFormatting sqref="D80">
    <cfRule type="expression" dxfId="3097" priority="29">
      <formula>IF(NoColor,1,0)</formula>
    </cfRule>
  </conditionalFormatting>
  <conditionalFormatting sqref="D84">
    <cfRule type="expression" dxfId="3096" priority="28">
      <formula>IF(NoColor,1,0)</formula>
    </cfRule>
  </conditionalFormatting>
  <conditionalFormatting sqref="D22 D3 D5:D19">
    <cfRule type="expression" dxfId="3095" priority="22">
      <formula>IF(NoColor,1,0)</formula>
    </cfRule>
  </conditionalFormatting>
  <conditionalFormatting sqref="D20">
    <cfRule type="expression" dxfId="3094" priority="21">
      <formula>IF(NoColor,1,0)</formula>
    </cfRule>
  </conditionalFormatting>
  <conditionalFormatting sqref="D21">
    <cfRule type="expression" dxfId="3093" priority="20">
      <formula>IF(NoColor,1,0)</formula>
    </cfRule>
  </conditionalFormatting>
  <conditionalFormatting sqref="D23">
    <cfRule type="expression" dxfId="3092" priority="19">
      <formula>IF(NoColor,1,0)</formula>
    </cfRule>
  </conditionalFormatting>
  <conditionalFormatting sqref="D52 D33:D49">
    <cfRule type="expression" dxfId="3091" priority="18">
      <formula>IF(NoColor,1,0)</formula>
    </cfRule>
  </conditionalFormatting>
  <conditionalFormatting sqref="D50">
    <cfRule type="expression" dxfId="3090" priority="17">
      <formula>IF(NoColor,1,0)</formula>
    </cfRule>
  </conditionalFormatting>
  <conditionalFormatting sqref="D51">
    <cfRule type="expression" dxfId="3089" priority="16">
      <formula>IF(NoColor,1,0)</formula>
    </cfRule>
  </conditionalFormatting>
  <conditionalFormatting sqref="D53">
    <cfRule type="expression" dxfId="3088" priority="15">
      <formula>IF(NoColor,1,0)</formula>
    </cfRule>
  </conditionalFormatting>
  <conditionalFormatting sqref="D4">
    <cfRule type="expression" dxfId="3087" priority="14">
      <formula>IF(NoColor,1,0)</formula>
    </cfRule>
  </conditionalFormatting>
  <conditionalFormatting sqref="C34">
    <cfRule type="expression" dxfId="3086" priority="13">
      <formula>IF(NoColor,1,0)</formula>
    </cfRule>
  </conditionalFormatting>
  <conditionalFormatting sqref="C23">
    <cfRule type="expression" dxfId="3085" priority="1">
      <formula>IF(NoColor,1,0)</formula>
    </cfRule>
  </conditionalFormatting>
  <hyperlinks>
    <hyperlink ref="B88" location="'Table of Contents'!A1" display="Table of Contents"/>
  </hyperlinks>
  <printOptions gridLines="1" gridLinesSet="0"/>
  <pageMargins left="0.75" right="0.75" top="1" bottom="1" header="0.5" footer="0.5"/>
  <pageSetup scale="54" fitToHeight="0" orientation="landscape" horizontalDpi="360" verticalDpi="360" r:id="rId1"/>
  <headerFooter alignWithMargins="0">
    <oddHeader>&amp;A</oddHeader>
    <oddFooter>Page &amp;P</oddFooter>
  </headerFooter>
  <rowBreaks count="1" manualBreakCount="1">
    <brk id="60"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94"/>
  <sheetViews>
    <sheetView zoomScaleNormal="100" zoomScaleSheetLayoutView="100" workbookViewId="0">
      <pane ySplit="1" topLeftCell="A40" activePane="bottomLeft" state="frozen"/>
      <selection activeCell="O28" sqref="O28"/>
      <selection pane="bottomLeft" activeCell="J73" sqref="J73"/>
    </sheetView>
  </sheetViews>
  <sheetFormatPr defaultRowHeight="12.75"/>
  <cols>
    <col min="1" max="1" width="2.5703125" customWidth="1"/>
    <col min="2" max="2" width="4.42578125" customWidth="1"/>
    <col min="3" max="3" width="48" customWidth="1"/>
    <col min="4" max="8" width="26.28515625" customWidth="1"/>
    <col min="9" max="9" width="17.28515625" customWidth="1"/>
    <col min="10" max="10" width="46.28515625" customWidth="1"/>
    <col min="11" max="25" width="9.140625" style="3169"/>
  </cols>
  <sheetData>
    <row r="1" spans="1:11" ht="42" customHeight="1" thickBot="1">
      <c r="A1" s="1416"/>
      <c r="B1" s="2976" t="s">
        <v>2495</v>
      </c>
      <c r="C1" s="493"/>
      <c r="D1" s="494"/>
      <c r="E1" s="2915"/>
      <c r="F1" s="494"/>
      <c r="G1" s="494"/>
      <c r="H1" s="494"/>
      <c r="I1" s="2805"/>
      <c r="J1" s="2805"/>
      <c r="K1" s="3168" t="s">
        <v>2552</v>
      </c>
    </row>
    <row r="2" spans="1:11" ht="42" customHeight="1" thickTop="1" thickBot="1">
      <c r="A2" s="1417"/>
      <c r="B2" s="891"/>
      <c r="C2" s="1621" t="str">
        <f>IF(Name_1st_Yours="","Enter your name(s) on the"&amp;CHAR(10)&amp;"sheet lableled '1040'",IF(File_Marr_Joint&lt;&gt;"",NameYours&amp;CHAR(10)&amp;" and "&amp;NameSpouse,NameYours))</f>
        <v>Enter your name(s) on the
sheet lableled '1040'</v>
      </c>
      <c r="D2" s="2367" t="s">
        <v>320</v>
      </c>
      <c r="E2" s="2367" t="s">
        <v>321</v>
      </c>
      <c r="F2" s="2367" t="s">
        <v>322</v>
      </c>
      <c r="G2" s="2367" t="s">
        <v>416</v>
      </c>
      <c r="H2" s="2368" t="s">
        <v>2043</v>
      </c>
      <c r="I2" s="587"/>
      <c r="J2" s="587"/>
    </row>
    <row r="3" spans="1:11">
      <c r="A3" s="1408"/>
      <c r="B3" s="2794"/>
      <c r="C3" s="2990" t="s">
        <v>2359</v>
      </c>
      <c r="D3" s="2994"/>
      <c r="E3" s="2995"/>
      <c r="F3" s="2995"/>
      <c r="G3" s="2995"/>
      <c r="H3" s="2996"/>
      <c r="I3" s="2993"/>
      <c r="J3" s="515"/>
    </row>
    <row r="4" spans="1:11">
      <c r="A4" s="1408"/>
      <c r="B4" s="2795"/>
      <c r="C4" s="2991" t="s">
        <v>2358</v>
      </c>
      <c r="D4" s="3029"/>
      <c r="E4" s="3030"/>
      <c r="F4" s="3030"/>
      <c r="G4" s="3030"/>
      <c r="H4" s="3031"/>
      <c r="I4" s="2993"/>
      <c r="J4" s="515"/>
    </row>
    <row r="5" spans="1:11" ht="13.5" thickBot="1">
      <c r="A5" s="1408"/>
      <c r="B5" s="2796"/>
      <c r="C5" s="2992" t="s">
        <v>177</v>
      </c>
      <c r="D5" s="3032"/>
      <c r="E5" s="3033"/>
      <c r="F5" s="3033"/>
      <c r="G5" s="3033"/>
      <c r="H5" s="3034"/>
      <c r="I5" s="2993"/>
      <c r="J5" s="515"/>
    </row>
    <row r="6" spans="1:11" ht="13.5" customHeight="1">
      <c r="A6" s="1408"/>
      <c r="B6" s="480">
        <v>1</v>
      </c>
      <c r="C6" s="2797" t="s">
        <v>2343</v>
      </c>
      <c r="D6" s="2999"/>
      <c r="E6" s="3000"/>
      <c r="F6" s="3000"/>
      <c r="G6" s="3138"/>
      <c r="H6" s="3139"/>
      <c r="I6" s="3140"/>
      <c r="J6" s="515"/>
    </row>
    <row r="7" spans="1:11" ht="13.5" customHeight="1">
      <c r="A7" s="1408"/>
      <c r="B7" s="481">
        <v>2</v>
      </c>
      <c r="C7" s="2798" t="s">
        <v>2344</v>
      </c>
      <c r="D7" s="3001"/>
      <c r="E7" s="3002"/>
      <c r="F7" s="3002"/>
      <c r="G7" s="3003"/>
      <c r="H7" s="3004"/>
      <c r="I7" s="2806"/>
      <c r="J7" s="515"/>
    </row>
    <row r="8" spans="1:11" ht="13.5" customHeight="1">
      <c r="A8" s="1408"/>
      <c r="B8" s="2801">
        <v>3</v>
      </c>
      <c r="C8" s="2798" t="s">
        <v>2345</v>
      </c>
      <c r="D8" s="3001"/>
      <c r="E8" s="3002"/>
      <c r="F8" s="3002"/>
      <c r="G8" s="3003"/>
      <c r="H8" s="3004"/>
      <c r="I8" s="2806"/>
      <c r="J8" s="515"/>
    </row>
    <row r="9" spans="1:11" ht="13.5" customHeight="1">
      <c r="A9" s="1408"/>
      <c r="B9" s="2801" t="s">
        <v>2863</v>
      </c>
      <c r="C9" s="2798" t="s">
        <v>3070</v>
      </c>
      <c r="D9" s="3484" t="s">
        <v>2561</v>
      </c>
      <c r="E9" s="3485" t="s">
        <v>2561</v>
      </c>
      <c r="F9" s="3485" t="s">
        <v>2561</v>
      </c>
      <c r="G9" s="3486" t="s">
        <v>2561</v>
      </c>
      <c r="H9" s="3487" t="s">
        <v>2561</v>
      </c>
      <c r="I9" s="2806"/>
      <c r="J9" s="515"/>
    </row>
    <row r="10" spans="1:11" ht="13.5" customHeight="1">
      <c r="A10" s="1408"/>
      <c r="B10" s="481">
        <v>4</v>
      </c>
      <c r="C10" s="3141" t="s">
        <v>189</v>
      </c>
      <c r="D10" s="3001"/>
      <c r="E10" s="3002"/>
      <c r="F10" s="3002"/>
      <c r="G10" s="3003"/>
      <c r="H10" s="3004"/>
      <c r="I10" s="2806"/>
      <c r="J10" s="515"/>
    </row>
    <row r="11" spans="1:11">
      <c r="A11" s="1408"/>
      <c r="B11" s="1418">
        <v>5</v>
      </c>
      <c r="C11" s="1419" t="s">
        <v>2346</v>
      </c>
      <c r="D11" s="3001"/>
      <c r="E11" s="3002"/>
      <c r="F11" s="3002"/>
      <c r="G11" s="3003"/>
      <c r="H11" s="3004"/>
      <c r="I11" s="2806"/>
      <c r="J11" s="515"/>
    </row>
    <row r="12" spans="1:11">
      <c r="A12" s="1408"/>
      <c r="B12" s="481">
        <v>6</v>
      </c>
      <c r="C12" s="3141" t="s">
        <v>2347</v>
      </c>
      <c r="D12" s="3001"/>
      <c r="E12" s="3002"/>
      <c r="F12" s="3002"/>
      <c r="G12" s="3003"/>
      <c r="H12" s="3004"/>
      <c r="I12" s="3450" t="str">
        <f>IF(SUM(D12:H12)&gt;0,"Check Form 1116, Foreign Tax Credit","")</f>
        <v/>
      </c>
      <c r="J12" s="515"/>
    </row>
    <row r="13" spans="1:11">
      <c r="A13" s="1408"/>
      <c r="B13" s="1418">
        <v>7</v>
      </c>
      <c r="C13" s="1419" t="s">
        <v>2348</v>
      </c>
      <c r="D13" s="2984"/>
      <c r="E13" s="2985"/>
      <c r="F13" s="2985"/>
      <c r="G13" s="3005"/>
      <c r="H13" s="3006"/>
      <c r="I13" s="2807"/>
      <c r="J13" s="515"/>
    </row>
    <row r="14" spans="1:11">
      <c r="A14" s="1408"/>
      <c r="B14" s="481">
        <v>8</v>
      </c>
      <c r="C14" s="3141" t="s">
        <v>2349</v>
      </c>
      <c r="D14" s="3001"/>
      <c r="E14" s="3002"/>
      <c r="F14" s="3002"/>
      <c r="G14" s="3003"/>
      <c r="H14" s="3004"/>
      <c r="I14" s="2806"/>
      <c r="J14" s="515"/>
    </row>
    <row r="15" spans="1:11">
      <c r="A15" s="1408"/>
      <c r="B15" s="481">
        <v>9</v>
      </c>
      <c r="C15" s="3141" t="s">
        <v>2350</v>
      </c>
      <c r="D15" s="3001"/>
      <c r="E15" s="3002"/>
      <c r="F15" s="3002"/>
      <c r="G15" s="3002"/>
      <c r="H15" s="3004"/>
      <c r="I15" s="2808"/>
      <c r="J15" s="515"/>
    </row>
    <row r="16" spans="1:11">
      <c r="A16" s="1408"/>
      <c r="B16" s="1418"/>
      <c r="C16" s="1419"/>
      <c r="D16" s="3001"/>
      <c r="E16" s="3002"/>
      <c r="F16" s="3002"/>
      <c r="G16" s="3003"/>
      <c r="H16" s="3004"/>
      <c r="I16" s="2806"/>
      <c r="J16" s="515"/>
    </row>
    <row r="17" spans="1:25">
      <c r="A17" s="1408"/>
      <c r="B17" s="481">
        <v>10</v>
      </c>
      <c r="C17" s="3141" t="s">
        <v>2351</v>
      </c>
      <c r="D17" s="3001"/>
      <c r="E17" s="3002"/>
      <c r="F17" s="3002"/>
      <c r="G17" s="3003"/>
      <c r="H17" s="3004"/>
      <c r="I17" s="2806"/>
      <c r="J17" s="515"/>
    </row>
    <row r="18" spans="1:25">
      <c r="A18" s="1408"/>
      <c r="B18" s="1418">
        <v>11</v>
      </c>
      <c r="C18" s="1419" t="s">
        <v>2352</v>
      </c>
      <c r="D18" s="3001"/>
      <c r="E18" s="3002"/>
      <c r="F18" s="3002"/>
      <c r="G18" s="3003"/>
      <c r="H18" s="3004"/>
      <c r="I18" s="2806"/>
      <c r="J18" s="515"/>
    </row>
    <row r="19" spans="1:25">
      <c r="A19" s="1408"/>
      <c r="B19" s="1418">
        <v>12</v>
      </c>
      <c r="C19" s="1419" t="s">
        <v>2353</v>
      </c>
      <c r="D19" s="3001"/>
      <c r="E19" s="3002"/>
      <c r="F19" s="3002"/>
      <c r="G19" s="3003"/>
      <c r="H19" s="3004"/>
      <c r="I19" s="2806"/>
      <c r="J19" s="515"/>
    </row>
    <row r="20" spans="1:25">
      <c r="A20" s="1408"/>
      <c r="B20" s="1418">
        <v>13</v>
      </c>
      <c r="C20" s="1419" t="s">
        <v>2354</v>
      </c>
      <c r="D20" s="2986"/>
      <c r="E20" s="2987"/>
      <c r="F20" s="2987"/>
      <c r="G20" s="2988"/>
      <c r="H20" s="2989"/>
      <c r="I20" s="2807"/>
      <c r="J20" s="515"/>
    </row>
    <row r="21" spans="1:25">
      <c r="A21" s="1408"/>
      <c r="B21" s="1418">
        <v>14</v>
      </c>
      <c r="C21" s="1419" t="s">
        <v>2355</v>
      </c>
      <c r="D21" s="3001"/>
      <c r="E21" s="3002"/>
      <c r="F21" s="3002"/>
      <c r="G21" s="3003"/>
      <c r="H21" s="3004"/>
      <c r="I21" s="2806"/>
      <c r="J21" s="515"/>
    </row>
    <row r="22" spans="1:25">
      <c r="A22" s="1408"/>
      <c r="B22" s="1418">
        <v>15</v>
      </c>
      <c r="C22" s="1419" t="s">
        <v>2356</v>
      </c>
      <c r="D22" s="3001"/>
      <c r="E22" s="3002"/>
      <c r="F22" s="3002"/>
      <c r="G22" s="3003"/>
      <c r="H22" s="3004"/>
      <c r="I22" s="2806"/>
      <c r="J22" s="515"/>
    </row>
    <row r="23" spans="1:25">
      <c r="A23" s="1408"/>
      <c r="B23" s="1418">
        <v>16</v>
      </c>
      <c r="C23" s="1419" t="s">
        <v>2357</v>
      </c>
      <c r="D23" s="3001"/>
      <c r="E23" s="3002"/>
      <c r="F23" s="3002"/>
      <c r="G23" s="3003"/>
      <c r="H23" s="3004"/>
      <c r="I23" s="2807"/>
      <c r="J23" s="515"/>
    </row>
    <row r="24" spans="1:25" ht="13.5" thickBot="1">
      <c r="A24" s="1408"/>
      <c r="B24" s="482">
        <v>17</v>
      </c>
      <c r="C24" s="3142" t="s">
        <v>482</v>
      </c>
      <c r="D24" s="3011"/>
      <c r="E24" s="3012"/>
      <c r="F24" s="3012"/>
      <c r="G24" s="3013"/>
      <c r="H24" s="3014"/>
      <c r="I24" s="2806"/>
      <c r="J24" s="515"/>
    </row>
    <row r="25" spans="1:25" ht="17.25" customHeight="1" thickBot="1">
      <c r="A25" s="1408"/>
      <c r="B25" s="2959" t="s">
        <v>2494</v>
      </c>
      <c r="C25" s="1408"/>
      <c r="D25" s="1408"/>
      <c r="E25" s="1408"/>
      <c r="F25" s="1408"/>
      <c r="G25" s="1408"/>
      <c r="H25" s="1408"/>
      <c r="I25" s="1408"/>
      <c r="J25" s="515"/>
    </row>
    <row r="26" spans="1:25" s="2928" customFormat="1" ht="17.25" hidden="1" customHeight="1">
      <c r="A26" s="2953"/>
      <c r="B26" s="2959"/>
      <c r="C26" s="2953"/>
      <c r="D26" s="3504" t="str">
        <f>IF(OR(LEFT(D9,1)="Y",LEFT(D9,1)="y"),D8,"")</f>
        <v/>
      </c>
      <c r="E26" s="3504" t="str">
        <f>IF(OR(LEFT(E9,1)="Y",LEFT(E9,1)="y"),E8,"")</f>
        <v/>
      </c>
      <c r="F26" s="3504" t="str">
        <f>IF(OR(LEFT(F9,1)="Y",LEFT(F9,1)="y"),F8,"")</f>
        <v/>
      </c>
      <c r="G26" s="3504" t="str">
        <f>IF(OR(LEFT(G9,1)="Y",LEFT(G9,1)="y"),G8,"")</f>
        <v/>
      </c>
      <c r="H26" s="3504" t="str">
        <f>IF(OR(LEFT(H9,1)="Y",LEFT(H9,1)="y"),H8,"")</f>
        <v/>
      </c>
      <c r="I26" s="2953"/>
      <c r="J26" s="3505"/>
      <c r="K26" s="3506"/>
      <c r="L26" s="3506"/>
      <c r="M26" s="3506"/>
      <c r="N26" s="3506"/>
      <c r="O26" s="3506"/>
      <c r="P26" s="3506"/>
      <c r="Q26" s="3506"/>
      <c r="R26" s="3506"/>
      <c r="S26" s="3506"/>
      <c r="T26" s="3506"/>
      <c r="U26" s="3506"/>
      <c r="V26" s="3506"/>
      <c r="W26" s="3506"/>
      <c r="X26" s="3506"/>
      <c r="Y26" s="3506"/>
    </row>
    <row r="27" spans="1:25" s="3019" customFormat="1" hidden="1">
      <c r="D27" s="3019" t="str">
        <f>IF(D3&lt;&gt;"",D3,"")</f>
        <v/>
      </c>
      <c r="E27" s="3019" t="str">
        <f>IF(E3&lt;&gt;"",E3,"")</f>
        <v/>
      </c>
      <c r="F27" s="3019" t="str">
        <f>IF(F3&lt;&gt;"",F3,"")</f>
        <v/>
      </c>
      <c r="G27" s="3019" t="str">
        <f>IF(G3&lt;&gt;"",G3,"")</f>
        <v/>
      </c>
      <c r="H27" s="3019" t="str">
        <f>IF(H3&lt;&gt;"",H3,"")</f>
        <v/>
      </c>
      <c r="K27" s="3428"/>
      <c r="L27" s="3428"/>
      <c r="M27" s="3428"/>
      <c r="N27" s="3428"/>
      <c r="O27" s="3428"/>
      <c r="P27" s="3428"/>
      <c r="Q27" s="3428"/>
      <c r="R27" s="3428"/>
      <c r="S27" s="3428"/>
      <c r="T27" s="3428"/>
      <c r="U27" s="3428"/>
      <c r="V27" s="3428"/>
      <c r="W27" s="3428"/>
      <c r="X27" s="3428"/>
      <c r="Y27" s="3428"/>
    </row>
    <row r="28" spans="1:25" s="3019" customFormat="1" hidden="1">
      <c r="D28" s="3019" t="str">
        <f>IF(D4&lt;&gt;"", " - "&amp;D4,"")</f>
        <v/>
      </c>
      <c r="E28" s="3019" t="str">
        <f>IF(E4&lt;&gt;"", " - "&amp;E4,"")</f>
        <v/>
      </c>
      <c r="F28" s="3019" t="str">
        <f>IF(F4&lt;&gt;"", " - "&amp;F4,"")</f>
        <v/>
      </c>
      <c r="G28" s="3019" t="str">
        <f>IF(G4&lt;&gt;"", " - "&amp;G4,"")</f>
        <v/>
      </c>
      <c r="H28" s="3019" t="str">
        <f>IF(H4&lt;&gt;"", " - "&amp;H4,"")</f>
        <v/>
      </c>
      <c r="K28" s="3428"/>
      <c r="L28" s="3428"/>
      <c r="M28" s="3428"/>
      <c r="N28" s="3428"/>
      <c r="O28" s="3428"/>
      <c r="P28" s="3428"/>
      <c r="Q28" s="3428"/>
      <c r="R28" s="3428"/>
      <c r="S28" s="3428"/>
      <c r="T28" s="3428"/>
      <c r="U28" s="3428"/>
      <c r="V28" s="3428"/>
      <c r="W28" s="3428"/>
      <c r="X28" s="3428"/>
      <c r="Y28" s="3428"/>
    </row>
    <row r="29" spans="1:25" s="3019" customFormat="1" hidden="1">
      <c r="D29" s="3019" t="str">
        <f>IF(D5&lt;&gt;""," - "&amp;D5,"")</f>
        <v/>
      </c>
      <c r="E29" s="3019" t="str">
        <f>IF(E5&lt;&gt;""," - "&amp;E5,"")</f>
        <v/>
      </c>
      <c r="F29" s="3019" t="str">
        <f>IF(F5&lt;&gt;""," - "&amp;F5,"")</f>
        <v/>
      </c>
      <c r="G29" s="3019" t="str">
        <f>IF(G5&lt;&gt;""," - "&amp;G5,"")</f>
        <v/>
      </c>
      <c r="H29" s="3019" t="str">
        <f>IF(H5&lt;&gt;""," - "&amp;H5,"")</f>
        <v/>
      </c>
      <c r="K29" s="3428"/>
      <c r="L29" s="3428"/>
      <c r="M29" s="3428"/>
      <c r="N29" s="3428"/>
      <c r="O29" s="3428"/>
      <c r="P29" s="3428"/>
      <c r="Q29" s="3428"/>
      <c r="R29" s="3428"/>
      <c r="S29" s="3428"/>
      <c r="T29" s="3428"/>
      <c r="U29" s="3428"/>
      <c r="V29" s="3428"/>
      <c r="W29" s="3428"/>
      <c r="X29" s="3428"/>
      <c r="Y29" s="3428"/>
    </row>
    <row r="30" spans="1:25" s="3019" customFormat="1" ht="13.5" hidden="1" thickBot="1">
      <c r="D30" s="3429" t="str">
        <f>D27&amp;D28&amp;D29</f>
        <v/>
      </c>
      <c r="E30" s="3429" t="str">
        <f>E27&amp;E28&amp;E29</f>
        <v/>
      </c>
      <c r="F30" s="3429" t="str">
        <f>F27&amp;F28&amp;F29</f>
        <v/>
      </c>
      <c r="G30" s="3429" t="str">
        <f>G27&amp;G28&amp;G29</f>
        <v/>
      </c>
      <c r="H30" s="3429" t="str">
        <f>H27&amp;H28&amp;H29</f>
        <v/>
      </c>
      <c r="K30" s="3428"/>
      <c r="L30" s="3428"/>
      <c r="M30" s="3428"/>
      <c r="N30" s="3428"/>
      <c r="O30" s="3428"/>
      <c r="P30" s="3428"/>
      <c r="Q30" s="3428"/>
      <c r="R30" s="3428"/>
      <c r="S30" s="3428"/>
      <c r="T30" s="3428"/>
      <c r="U30" s="3428"/>
      <c r="V30" s="3428"/>
      <c r="W30" s="3428"/>
      <c r="X30" s="3428"/>
      <c r="Y30" s="3428"/>
    </row>
    <row r="31" spans="1:25" ht="42" customHeight="1" thickTop="1" thickBot="1">
      <c r="A31" s="1417"/>
      <c r="B31" s="891"/>
      <c r="C31" s="1621" t="str">
        <f>IF(Name_1st_Yours="","Enter your name(s) on the"&amp;CHAR(10)&amp;"sheet lableled '1040'",IF(File_Marr_Joint&lt;&gt;"",NameYours&amp;CHAR(10)&amp;" and "&amp;NameSpouse,NameYours))</f>
        <v>Enter your name(s) on the
sheet lableled '1040'</v>
      </c>
      <c r="D31" s="2368" t="s">
        <v>2044</v>
      </c>
      <c r="E31" s="2368" t="s">
        <v>2045</v>
      </c>
      <c r="F31" s="2368" t="s">
        <v>2320</v>
      </c>
      <c r="G31" s="2368" t="s">
        <v>2321</v>
      </c>
      <c r="H31" s="2368" t="s">
        <v>2360</v>
      </c>
      <c r="I31" s="587"/>
      <c r="J31" s="587"/>
    </row>
    <row r="32" spans="1:25">
      <c r="A32" s="1408"/>
      <c r="B32" s="2794"/>
      <c r="C32" s="2990" t="s">
        <v>2359</v>
      </c>
      <c r="D32" s="2994"/>
      <c r="E32" s="2995"/>
      <c r="F32" s="2995"/>
      <c r="G32" s="2995"/>
      <c r="H32" s="2996"/>
      <c r="I32" s="2993"/>
      <c r="J32" s="515"/>
    </row>
    <row r="33" spans="1:10">
      <c r="A33" s="1408"/>
      <c r="B33" s="2795"/>
      <c r="C33" s="2991" t="s">
        <v>2358</v>
      </c>
      <c r="D33" s="3029"/>
      <c r="E33" s="3030"/>
      <c r="F33" s="3030"/>
      <c r="G33" s="3030"/>
      <c r="H33" s="3031"/>
      <c r="I33" s="2993"/>
      <c r="J33" s="515"/>
    </row>
    <row r="34" spans="1:10" ht="13.5" thickBot="1">
      <c r="A34" s="1408"/>
      <c r="B34" s="2796"/>
      <c r="C34" s="2992" t="s">
        <v>177</v>
      </c>
      <c r="D34" s="3032"/>
      <c r="E34" s="3033"/>
      <c r="F34" s="3033"/>
      <c r="G34" s="3033"/>
      <c r="H34" s="3034"/>
      <c r="I34" s="2993"/>
      <c r="J34" s="515"/>
    </row>
    <row r="35" spans="1:10" ht="13.5" customHeight="1">
      <c r="A35" s="1408"/>
      <c r="B35" s="480">
        <v>1</v>
      </c>
      <c r="C35" s="2797" t="s">
        <v>2343</v>
      </c>
      <c r="D35" s="2999"/>
      <c r="E35" s="3000"/>
      <c r="F35" s="3000"/>
      <c r="G35" s="3138"/>
      <c r="H35" s="3139"/>
      <c r="I35" s="3140"/>
      <c r="J35" s="515"/>
    </row>
    <row r="36" spans="1:10" ht="13.5" customHeight="1">
      <c r="A36" s="1408"/>
      <c r="B36" s="481">
        <v>2</v>
      </c>
      <c r="C36" s="2798" t="s">
        <v>2344</v>
      </c>
      <c r="D36" s="3001"/>
      <c r="E36" s="3002"/>
      <c r="F36" s="3002"/>
      <c r="G36" s="3003"/>
      <c r="H36" s="3004"/>
      <c r="I36" s="2806"/>
      <c r="J36" s="515"/>
    </row>
    <row r="37" spans="1:10" ht="13.5" customHeight="1">
      <c r="A37" s="1408"/>
      <c r="B37" s="2801">
        <v>3</v>
      </c>
      <c r="C37" s="2798" t="s">
        <v>2345</v>
      </c>
      <c r="D37" s="3001"/>
      <c r="E37" s="3002"/>
      <c r="F37" s="3002"/>
      <c r="G37" s="3003"/>
      <c r="H37" s="3004"/>
      <c r="I37" s="2806"/>
      <c r="J37" s="515"/>
    </row>
    <row r="38" spans="1:10" ht="13.5" customHeight="1">
      <c r="A38" s="1408"/>
      <c r="B38" s="2801" t="s">
        <v>2863</v>
      </c>
      <c r="C38" s="2798" t="s">
        <v>3070</v>
      </c>
      <c r="D38" s="3484" t="s">
        <v>2561</v>
      </c>
      <c r="E38" s="3485" t="s">
        <v>2561</v>
      </c>
      <c r="F38" s="3485" t="s">
        <v>2561</v>
      </c>
      <c r="G38" s="3486" t="s">
        <v>2561</v>
      </c>
      <c r="H38" s="3487" t="s">
        <v>2561</v>
      </c>
      <c r="I38" s="2806"/>
      <c r="J38" s="515"/>
    </row>
    <row r="39" spans="1:10" ht="13.5" customHeight="1">
      <c r="A39" s="1408"/>
      <c r="B39" s="481">
        <v>4</v>
      </c>
      <c r="C39" s="3141" t="s">
        <v>189</v>
      </c>
      <c r="D39" s="3001"/>
      <c r="E39" s="3002"/>
      <c r="F39" s="3002"/>
      <c r="G39" s="3003"/>
      <c r="H39" s="3004"/>
      <c r="I39" s="2806"/>
      <c r="J39" s="515"/>
    </row>
    <row r="40" spans="1:10">
      <c r="A40" s="1408"/>
      <c r="B40" s="1418">
        <v>5</v>
      </c>
      <c r="C40" s="1419" t="s">
        <v>2346</v>
      </c>
      <c r="D40" s="3001"/>
      <c r="E40" s="3002"/>
      <c r="F40" s="3002"/>
      <c r="G40" s="3003"/>
      <c r="H40" s="3004"/>
      <c r="I40" s="2806"/>
      <c r="J40" s="515"/>
    </row>
    <row r="41" spans="1:10">
      <c r="A41" s="1408"/>
      <c r="B41" s="481">
        <v>6</v>
      </c>
      <c r="C41" s="3141" t="s">
        <v>2347</v>
      </c>
      <c r="D41" s="3001"/>
      <c r="E41" s="3002"/>
      <c r="F41" s="3002"/>
      <c r="G41" s="3003"/>
      <c r="H41" s="3004"/>
      <c r="I41" s="3450" t="str">
        <f>IF(SUM(D41:H41)&gt;0,"Check Form 1116, Foreign Tax Credit","")</f>
        <v/>
      </c>
      <c r="J41" s="515"/>
    </row>
    <row r="42" spans="1:10">
      <c r="A42" s="1408"/>
      <c r="B42" s="1418">
        <v>7</v>
      </c>
      <c r="C42" s="1419" t="s">
        <v>2348</v>
      </c>
      <c r="D42" s="2984"/>
      <c r="E42" s="2985"/>
      <c r="F42" s="2985"/>
      <c r="G42" s="3005"/>
      <c r="H42" s="3006"/>
      <c r="I42" s="2807"/>
      <c r="J42" s="515"/>
    </row>
    <row r="43" spans="1:10">
      <c r="A43" s="1408"/>
      <c r="B43" s="481">
        <v>8</v>
      </c>
      <c r="C43" s="3141" t="s">
        <v>2349</v>
      </c>
      <c r="D43" s="3001"/>
      <c r="E43" s="3002"/>
      <c r="F43" s="3002"/>
      <c r="G43" s="3003"/>
      <c r="H43" s="3004"/>
      <c r="I43" s="2806"/>
      <c r="J43" s="515"/>
    </row>
    <row r="44" spans="1:10">
      <c r="A44" s="1408"/>
      <c r="B44" s="481">
        <v>9</v>
      </c>
      <c r="C44" s="3141" t="s">
        <v>2350</v>
      </c>
      <c r="D44" s="3001"/>
      <c r="E44" s="3002"/>
      <c r="F44" s="3002"/>
      <c r="G44" s="3002"/>
      <c r="H44" s="3004"/>
      <c r="I44" s="2808"/>
      <c r="J44" s="515"/>
    </row>
    <row r="45" spans="1:10">
      <c r="A45" s="1408"/>
      <c r="B45" s="1418"/>
      <c r="C45" s="1419"/>
      <c r="D45" s="3001"/>
      <c r="E45" s="3002"/>
      <c r="F45" s="3002"/>
      <c r="G45" s="3003"/>
      <c r="H45" s="3004"/>
      <c r="I45" s="2806"/>
      <c r="J45" s="515"/>
    </row>
    <row r="46" spans="1:10">
      <c r="A46" s="1408"/>
      <c r="B46" s="481">
        <v>10</v>
      </c>
      <c r="C46" s="3141" t="s">
        <v>2351</v>
      </c>
      <c r="D46" s="3001"/>
      <c r="E46" s="3002"/>
      <c r="F46" s="3002"/>
      <c r="G46" s="3003"/>
      <c r="H46" s="3004"/>
      <c r="I46" s="2806"/>
      <c r="J46" s="515"/>
    </row>
    <row r="47" spans="1:10">
      <c r="A47" s="1408"/>
      <c r="B47" s="1418">
        <v>11</v>
      </c>
      <c r="C47" s="1419" t="s">
        <v>2352</v>
      </c>
      <c r="D47" s="3001"/>
      <c r="E47" s="3002"/>
      <c r="F47" s="3002"/>
      <c r="G47" s="3003"/>
      <c r="H47" s="3004"/>
      <c r="I47" s="2806"/>
      <c r="J47" s="515"/>
    </row>
    <row r="48" spans="1:10">
      <c r="A48" s="1408"/>
      <c r="B48" s="1418">
        <v>12</v>
      </c>
      <c r="C48" s="1419" t="s">
        <v>2353</v>
      </c>
      <c r="D48" s="3001"/>
      <c r="E48" s="3002"/>
      <c r="F48" s="3002"/>
      <c r="G48" s="3003"/>
      <c r="H48" s="3004"/>
      <c r="I48" s="2806"/>
      <c r="J48" s="515"/>
    </row>
    <row r="49" spans="1:25">
      <c r="A49" s="1408"/>
      <c r="B49" s="1418">
        <v>13</v>
      </c>
      <c r="C49" s="1419" t="s">
        <v>2354</v>
      </c>
      <c r="D49" s="2986"/>
      <c r="E49" s="2987"/>
      <c r="F49" s="2987"/>
      <c r="G49" s="2988"/>
      <c r="H49" s="2989"/>
      <c r="I49" s="2807"/>
      <c r="J49" s="515"/>
    </row>
    <row r="50" spans="1:25">
      <c r="A50" s="1408"/>
      <c r="B50" s="1418">
        <v>14</v>
      </c>
      <c r="C50" s="1419" t="s">
        <v>2355</v>
      </c>
      <c r="D50" s="3001"/>
      <c r="E50" s="3002"/>
      <c r="F50" s="3002"/>
      <c r="G50" s="3003"/>
      <c r="H50" s="3004"/>
      <c r="I50" s="2806"/>
      <c r="J50" s="515"/>
    </row>
    <row r="51" spans="1:25">
      <c r="A51" s="1408"/>
      <c r="B51" s="1418">
        <v>15</v>
      </c>
      <c r="C51" s="1419" t="s">
        <v>2356</v>
      </c>
      <c r="D51" s="3001"/>
      <c r="E51" s="3002"/>
      <c r="F51" s="3002"/>
      <c r="G51" s="3003"/>
      <c r="H51" s="3004"/>
      <c r="I51" s="2806"/>
      <c r="J51" s="515"/>
    </row>
    <row r="52" spans="1:25">
      <c r="A52" s="1408"/>
      <c r="B52" s="1418">
        <v>16</v>
      </c>
      <c r="C52" s="1419" t="s">
        <v>2357</v>
      </c>
      <c r="D52" s="3001"/>
      <c r="E52" s="3002"/>
      <c r="F52" s="3002"/>
      <c r="G52" s="3003"/>
      <c r="H52" s="3004"/>
      <c r="I52" s="2807"/>
      <c r="J52" s="515"/>
    </row>
    <row r="53" spans="1:25" ht="13.5" thickBot="1">
      <c r="A53" s="1408"/>
      <c r="B53" s="482">
        <v>17</v>
      </c>
      <c r="C53" s="3142" t="s">
        <v>482</v>
      </c>
      <c r="D53" s="3011"/>
      <c r="E53" s="3012"/>
      <c r="F53" s="3012"/>
      <c r="G53" s="3013"/>
      <c r="H53" s="3014"/>
      <c r="I53" s="2806"/>
      <c r="J53" s="515"/>
    </row>
    <row r="54" spans="1:25" ht="17.25" customHeight="1" thickBot="1">
      <c r="A54" s="1408"/>
      <c r="B54" s="2959" t="s">
        <v>2494</v>
      </c>
      <c r="C54" s="1408"/>
      <c r="D54" s="1408"/>
      <c r="E54" s="1408"/>
      <c r="F54" s="1408"/>
      <c r="G54" s="1408"/>
      <c r="H54" s="1408"/>
      <c r="I54" s="1408"/>
      <c r="J54" s="515"/>
    </row>
    <row r="55" spans="1:25" ht="17.25" hidden="1" customHeight="1">
      <c r="A55" s="1408"/>
      <c r="B55" s="2959"/>
      <c r="C55" s="1408"/>
      <c r="D55" s="3488" t="str">
        <f>IF(OR(LEFT(D38,1)="Y",LEFT(D38,1)="y"),D37,"")</f>
        <v/>
      </c>
      <c r="E55" s="3488" t="str">
        <f>IF(OR(LEFT(E38,1)="Y",LEFT(E38,1)="y"),E37,"")</f>
        <v/>
      </c>
      <c r="F55" s="3488" t="str">
        <f>IF(OR(LEFT(F38,1)="Y",LEFT(F38,1)="y"),F37,"")</f>
        <v/>
      </c>
      <c r="G55" s="3488" t="str">
        <f>IF(OR(LEFT(G38,1)="Y",LEFT(G38,1)="y"),G37,"")</f>
        <v/>
      </c>
      <c r="H55" s="3488" t="str">
        <f>IF(OR(LEFT(H38,1)="Y",LEFT(H38,1)="y"),H37,"")</f>
        <v/>
      </c>
      <c r="I55" s="1408"/>
      <c r="J55" s="515"/>
    </row>
    <row r="56" spans="1:25" s="3019" customFormat="1" hidden="1">
      <c r="D56" s="3019" t="str">
        <f>IF(D32&lt;&gt;"",D32,"")</f>
        <v/>
      </c>
      <c r="E56" s="3019" t="str">
        <f>IF(E32&lt;&gt;"",E32,"")</f>
        <v/>
      </c>
      <c r="F56" s="3019" t="str">
        <f>IF(F32&lt;&gt;"",F32,"")</f>
        <v/>
      </c>
      <c r="G56" s="3019" t="str">
        <f>IF(G32&lt;&gt;"",G32,"")</f>
        <v/>
      </c>
      <c r="H56" s="3019" t="str">
        <f>IF(H32&lt;&gt;"",H32,"")</f>
        <v/>
      </c>
      <c r="K56" s="3428"/>
      <c r="L56" s="3428"/>
      <c r="M56" s="3428"/>
      <c r="N56" s="3428"/>
      <c r="O56" s="3428"/>
      <c r="P56" s="3428"/>
      <c r="Q56" s="3428"/>
      <c r="R56" s="3428"/>
      <c r="S56" s="3428"/>
      <c r="T56" s="3428"/>
      <c r="U56" s="3428"/>
      <c r="V56" s="3428"/>
      <c r="W56" s="3428"/>
      <c r="X56" s="3428"/>
      <c r="Y56" s="3428"/>
    </row>
    <row r="57" spans="1:25" s="3019" customFormat="1" hidden="1">
      <c r="D57" s="3019" t="str">
        <f>IF(D33&lt;&gt;"", " - "&amp;D33,"")</f>
        <v/>
      </c>
      <c r="E57" s="3019" t="str">
        <f>IF(E33&lt;&gt;"", " - "&amp;E33,"")</f>
        <v/>
      </c>
      <c r="F57" s="3019" t="str">
        <f>IF(F33&lt;&gt;"", " - "&amp;F33,"")</f>
        <v/>
      </c>
      <c r="G57" s="3019" t="str">
        <f>IF(G33&lt;&gt;"", " - "&amp;G33,"")</f>
        <v/>
      </c>
      <c r="H57" s="3019" t="str">
        <f>IF(H33&lt;&gt;"", " - "&amp;H33,"")</f>
        <v/>
      </c>
      <c r="K57" s="3428"/>
      <c r="L57" s="3428"/>
      <c r="M57" s="3428"/>
      <c r="N57" s="3428"/>
      <c r="O57" s="3428"/>
      <c r="P57" s="3428"/>
      <c r="Q57" s="3428"/>
      <c r="R57" s="3428"/>
      <c r="S57" s="3428"/>
      <c r="T57" s="3428"/>
      <c r="U57" s="3428"/>
      <c r="V57" s="3428"/>
      <c r="W57" s="3428"/>
      <c r="X57" s="3428"/>
      <c r="Y57" s="3428"/>
    </row>
    <row r="58" spans="1:25" s="3019" customFormat="1" hidden="1">
      <c r="D58" s="3019" t="str">
        <f>IF(D34&lt;&gt;""," - "&amp;D34,"")</f>
        <v/>
      </c>
      <c r="E58" s="3019" t="str">
        <f>IF(E34&lt;&gt;""," - "&amp;E34,"")</f>
        <v/>
      </c>
      <c r="F58" s="3019" t="str">
        <f>IF(F34&lt;&gt;""," - "&amp;F34,"")</f>
        <v/>
      </c>
      <c r="G58" s="3019" t="str">
        <f>IF(G34&lt;&gt;""," - "&amp;G34,"")</f>
        <v/>
      </c>
      <c r="H58" s="3019" t="str">
        <f>IF(H34&lt;&gt;""," - "&amp;H34,"")</f>
        <v/>
      </c>
      <c r="K58" s="3428"/>
      <c r="L58" s="3428"/>
      <c r="M58" s="3428"/>
      <c r="N58" s="3428"/>
      <c r="O58" s="3428"/>
      <c r="P58" s="3428"/>
      <c r="Q58" s="3428"/>
      <c r="R58" s="3428"/>
      <c r="S58" s="3428"/>
      <c r="T58" s="3428"/>
      <c r="U58" s="3428"/>
      <c r="V58" s="3428"/>
      <c r="W58" s="3428"/>
      <c r="X58" s="3428"/>
      <c r="Y58" s="3428"/>
    </row>
    <row r="59" spans="1:25" s="3019" customFormat="1" ht="13.5" hidden="1" thickBot="1">
      <c r="D59" s="3429" t="str">
        <f>D56&amp;D57&amp;D58</f>
        <v/>
      </c>
      <c r="E59" s="3429" t="str">
        <f>E56&amp;E57&amp;E58</f>
        <v/>
      </c>
      <c r="F59" s="3429" t="str">
        <f>F56&amp;F57&amp;F58</f>
        <v/>
      </c>
      <c r="G59" s="3429" t="str">
        <f>G56&amp;G57&amp;G58</f>
        <v/>
      </c>
      <c r="H59" s="3429" t="str">
        <f>H56&amp;H57&amp;H58</f>
        <v/>
      </c>
      <c r="K59" s="3428"/>
      <c r="L59" s="3428"/>
      <c r="M59" s="3428"/>
      <c r="N59" s="3428"/>
      <c r="O59" s="3428"/>
      <c r="P59" s="3428"/>
      <c r="Q59" s="3428"/>
      <c r="R59" s="3428"/>
      <c r="S59" s="3428"/>
      <c r="T59" s="3428"/>
      <c r="U59" s="3428"/>
      <c r="V59" s="3428"/>
      <c r="W59" s="3428"/>
      <c r="X59" s="3428"/>
      <c r="Y59" s="3428"/>
    </row>
    <row r="60" spans="1:25" ht="42" customHeight="1" thickTop="1" thickBot="1">
      <c r="A60" s="2955"/>
      <c r="B60" s="2977" t="s">
        <v>2495</v>
      </c>
      <c r="C60" s="2956"/>
      <c r="D60" s="2957"/>
      <c r="E60" s="2958"/>
      <c r="F60" s="2957"/>
      <c r="G60" s="2957"/>
      <c r="H60" s="2957"/>
      <c r="I60" s="2809"/>
      <c r="J60" s="515"/>
    </row>
    <row r="61" spans="1:25" ht="42" customHeight="1" thickTop="1" thickBot="1">
      <c r="A61" s="1408"/>
      <c r="B61" s="491"/>
      <c r="C61" s="1621" t="str">
        <f>IF(Name_1st_Yours="","Enter your name(s) on the"&amp;CHAR(10)&amp;"sheet lableled '1040'",IF(File_Marr_Joint&lt;&gt;"",NameYours&amp;CHAR(10)&amp;" and "&amp;NameSpouse,NameYours))</f>
        <v>Enter your name(s) on the
sheet lableled '1040'</v>
      </c>
      <c r="D61" s="2368" t="s">
        <v>2833</v>
      </c>
      <c r="E61" s="2368" t="s">
        <v>2834</v>
      </c>
      <c r="F61" s="2368" t="s">
        <v>2835</v>
      </c>
      <c r="G61" s="2368" t="s">
        <v>2836</v>
      </c>
      <c r="H61" s="2368" t="s">
        <v>2837</v>
      </c>
      <c r="I61" s="2810" t="s">
        <v>230</v>
      </c>
      <c r="J61" s="2916" t="s">
        <v>2433</v>
      </c>
    </row>
    <row r="62" spans="1:25">
      <c r="A62" s="1408"/>
      <c r="B62" s="2794"/>
      <c r="C62" s="2990" t="s">
        <v>2359</v>
      </c>
      <c r="D62" s="2994"/>
      <c r="E62" s="2995"/>
      <c r="F62" s="2995"/>
      <c r="G62" s="2995"/>
      <c r="H62" s="2996"/>
      <c r="I62" s="2997"/>
      <c r="J62" s="2917"/>
    </row>
    <row r="63" spans="1:25">
      <c r="A63" s="1408"/>
      <c r="B63" s="2795"/>
      <c r="C63" s="2991" t="s">
        <v>2358</v>
      </c>
      <c r="D63" s="3029"/>
      <c r="E63" s="3030"/>
      <c r="F63" s="3030"/>
      <c r="G63" s="3030"/>
      <c r="H63" s="3031"/>
      <c r="I63" s="3144"/>
      <c r="J63" s="2917"/>
    </row>
    <row r="64" spans="1:25" ht="13.5" thickBot="1">
      <c r="A64" s="1408"/>
      <c r="B64" s="2796"/>
      <c r="C64" s="2992" t="s">
        <v>177</v>
      </c>
      <c r="D64" s="3032"/>
      <c r="E64" s="3033"/>
      <c r="F64" s="3033"/>
      <c r="G64" s="3033"/>
      <c r="H64" s="3034"/>
      <c r="I64" s="3145"/>
      <c r="J64" s="3450" t="str">
        <f>IF(AND(ForeignTaxPaid&lt;&gt;"",ForeignTaxPaid&gt;0),"Check Form 1116, Foreign Tax Credit","")</f>
        <v/>
      </c>
    </row>
    <row r="65" spans="1:10" ht="13.5" customHeight="1">
      <c r="A65" s="1408"/>
      <c r="B65" s="480">
        <v>1</v>
      </c>
      <c r="C65" s="2797" t="s">
        <v>2343</v>
      </c>
      <c r="D65" s="2999"/>
      <c r="E65" s="3000"/>
      <c r="F65" s="3000"/>
      <c r="G65" s="3138"/>
      <c r="H65" s="3139"/>
      <c r="I65" s="3143">
        <f>SUM(D6:H6,D35:H35,D65:H65)</f>
        <v>0</v>
      </c>
      <c r="J65" s="2918" t="s">
        <v>2436</v>
      </c>
    </row>
    <row r="66" spans="1:10" ht="13.5" customHeight="1">
      <c r="A66" s="1408"/>
      <c r="B66" s="481">
        <v>2</v>
      </c>
      <c r="C66" s="2798" t="s">
        <v>2344</v>
      </c>
      <c r="D66" s="3001"/>
      <c r="E66" s="3002"/>
      <c r="F66" s="3002"/>
      <c r="G66" s="3003"/>
      <c r="H66" s="3004"/>
      <c r="I66" s="2998">
        <f>SUM(D7:H7,D36:H36,D66:H66)</f>
        <v>0</v>
      </c>
      <c r="J66" s="2918" t="s">
        <v>4833</v>
      </c>
    </row>
    <row r="67" spans="1:10" ht="13.5" customHeight="1">
      <c r="A67" s="1408"/>
      <c r="B67" s="2801">
        <v>3</v>
      </c>
      <c r="C67" s="2798" t="s">
        <v>2345</v>
      </c>
      <c r="D67" s="3001"/>
      <c r="E67" s="3002"/>
      <c r="F67" s="3002"/>
      <c r="G67" s="3003"/>
      <c r="H67" s="3004"/>
      <c r="I67" s="2982">
        <f>SUM(D8:H8,D37:H37,D67:H67)</f>
        <v>0</v>
      </c>
      <c r="J67" s="2918" t="s">
        <v>3421</v>
      </c>
    </row>
    <row r="68" spans="1:10" ht="13.5" customHeight="1">
      <c r="A68" s="1408"/>
      <c r="B68" s="2801" t="s">
        <v>2863</v>
      </c>
      <c r="C68" s="2798" t="s">
        <v>3070</v>
      </c>
      <c r="D68" s="3484" t="s">
        <v>2561</v>
      </c>
      <c r="E68" s="3485" t="s">
        <v>2561</v>
      </c>
      <c r="F68" s="3485" t="s">
        <v>2561</v>
      </c>
      <c r="G68" s="3486" t="s">
        <v>2561</v>
      </c>
      <c r="H68" s="3487" t="s">
        <v>2561</v>
      </c>
      <c r="I68" s="2806"/>
      <c r="J68" s="2918"/>
    </row>
    <row r="69" spans="1:10" ht="13.5" customHeight="1">
      <c r="A69" s="1408"/>
      <c r="B69" s="481">
        <v>4</v>
      </c>
      <c r="C69" s="3141" t="s">
        <v>189</v>
      </c>
      <c r="D69" s="3001"/>
      <c r="E69" s="3002"/>
      <c r="F69" s="3002"/>
      <c r="G69" s="3003"/>
      <c r="H69" s="3004"/>
      <c r="I69" s="2998">
        <f>SUM(D10:H10,D39:H39,D69:H69)</f>
        <v>0</v>
      </c>
      <c r="J69" s="2918" t="s">
        <v>4115</v>
      </c>
    </row>
    <row r="70" spans="1:10" ht="12.75" customHeight="1">
      <c r="A70" s="1408"/>
      <c r="B70" s="1418">
        <v>5</v>
      </c>
      <c r="C70" s="1419" t="s">
        <v>2346</v>
      </c>
      <c r="D70" s="3001"/>
      <c r="E70" s="3002"/>
      <c r="F70" s="3002"/>
      <c r="G70" s="3003"/>
      <c r="H70" s="3004"/>
      <c r="I70" s="5288">
        <f>SUM(D11:H11,D40:H40,D70:H70)</f>
        <v>0</v>
      </c>
      <c r="J70" s="2918" t="s">
        <v>5105</v>
      </c>
    </row>
    <row r="71" spans="1:10">
      <c r="A71" s="1408"/>
      <c r="B71" s="481">
        <v>6</v>
      </c>
      <c r="C71" s="3141" t="s">
        <v>2347</v>
      </c>
      <c r="D71" s="3001"/>
      <c r="E71" s="3002"/>
      <c r="F71" s="3002"/>
      <c r="G71" s="3003"/>
      <c r="H71" s="3004"/>
      <c r="I71" s="2998">
        <f>SUM(D12:H12,D41:H41,D71:H71)</f>
        <v>0</v>
      </c>
      <c r="J71" s="2919" t="s">
        <v>4834</v>
      </c>
    </row>
    <row r="72" spans="1:10">
      <c r="A72" s="1408"/>
      <c r="B72" s="1418">
        <v>7</v>
      </c>
      <c r="C72" s="1419" t="s">
        <v>2348</v>
      </c>
      <c r="D72" s="2984"/>
      <c r="E72" s="2985"/>
      <c r="F72" s="2985"/>
      <c r="G72" s="3005"/>
      <c r="H72" s="3006"/>
      <c r="I72" s="2983" t="str">
        <f>" - - - -"</f>
        <v xml:space="preserve"> - - - -</v>
      </c>
      <c r="J72" s="4604" t="str">
        <f>IF(ForeignTaxPaid_INT&gt;0,"Check Form 1116, Foreign Tax Credit","")</f>
        <v/>
      </c>
    </row>
    <row r="73" spans="1:10">
      <c r="A73" s="1408"/>
      <c r="B73" s="481">
        <v>8</v>
      </c>
      <c r="C73" s="3141" t="s">
        <v>2349</v>
      </c>
      <c r="D73" s="3001"/>
      <c r="E73" s="3002"/>
      <c r="F73" s="3002"/>
      <c r="G73" s="3003"/>
      <c r="H73" s="3004"/>
      <c r="I73" s="2998">
        <f t="shared" ref="I73:I78" si="0">SUM(D14:H14,D43:H43,D73:H73)</f>
        <v>0</v>
      </c>
      <c r="J73" s="2918" t="s">
        <v>4915</v>
      </c>
    </row>
    <row r="74" spans="1:10">
      <c r="A74" s="1408"/>
      <c r="B74" s="481">
        <v>9</v>
      </c>
      <c r="C74" s="3141" t="s">
        <v>2350</v>
      </c>
      <c r="D74" s="3001"/>
      <c r="E74" s="3002"/>
      <c r="F74" s="3002"/>
      <c r="G74" s="3002"/>
      <c r="H74" s="3004"/>
      <c r="I74" s="2998">
        <f t="shared" si="0"/>
        <v>0</v>
      </c>
      <c r="J74" s="2918" t="s">
        <v>4916</v>
      </c>
    </row>
    <row r="75" spans="1:10">
      <c r="A75" s="1408"/>
      <c r="B75" s="1418"/>
      <c r="C75" s="1419"/>
      <c r="D75" s="3001"/>
      <c r="E75" s="3002"/>
      <c r="F75" s="3002"/>
      <c r="G75" s="3003"/>
      <c r="H75" s="3004"/>
      <c r="I75" s="2982">
        <f t="shared" si="0"/>
        <v>0</v>
      </c>
      <c r="J75" s="2918"/>
    </row>
    <row r="76" spans="1:10">
      <c r="A76" s="1408"/>
      <c r="B76" s="481">
        <v>10</v>
      </c>
      <c r="C76" s="3141" t="s">
        <v>2351</v>
      </c>
      <c r="D76" s="3001"/>
      <c r="E76" s="3002"/>
      <c r="F76" s="3002"/>
      <c r="G76" s="3003"/>
      <c r="H76" s="3004"/>
      <c r="I76" s="2998">
        <f t="shared" si="0"/>
        <v>0</v>
      </c>
      <c r="J76" s="2917" t="s">
        <v>2436</v>
      </c>
    </row>
    <row r="77" spans="1:10">
      <c r="A77" s="1408"/>
      <c r="B77" s="1418">
        <v>11</v>
      </c>
      <c r="C77" s="1419" t="s">
        <v>2352</v>
      </c>
      <c r="D77" s="3001"/>
      <c r="E77" s="3002"/>
      <c r="F77" s="3002"/>
      <c r="G77" s="3003"/>
      <c r="H77" s="3004"/>
      <c r="I77" s="2982">
        <f t="shared" si="0"/>
        <v>0</v>
      </c>
      <c r="J77" s="2917"/>
    </row>
    <row r="78" spans="1:10">
      <c r="A78" s="1408"/>
      <c r="B78" s="1418">
        <v>12</v>
      </c>
      <c r="C78" s="1419" t="s">
        <v>2353</v>
      </c>
      <c r="D78" s="3001"/>
      <c r="E78" s="3002"/>
      <c r="F78" s="3002"/>
      <c r="G78" s="3003"/>
      <c r="H78" s="3004"/>
      <c r="I78" s="2982">
        <f t="shared" si="0"/>
        <v>0</v>
      </c>
      <c r="J78" s="2918"/>
    </row>
    <row r="79" spans="1:10">
      <c r="A79" s="1408"/>
      <c r="B79" s="1418">
        <v>13</v>
      </c>
      <c r="C79" s="1419" t="s">
        <v>2354</v>
      </c>
      <c r="D79" s="2986"/>
      <c r="E79" s="2987"/>
      <c r="F79" s="2987"/>
      <c r="G79" s="2988"/>
      <c r="H79" s="2989"/>
      <c r="I79" s="2983" t="str">
        <f>" - - - -"</f>
        <v xml:space="preserve"> - - - -</v>
      </c>
      <c r="J79" s="2918"/>
    </row>
    <row r="80" spans="1:10">
      <c r="A80" s="1408"/>
      <c r="B80" s="1418">
        <v>14</v>
      </c>
      <c r="C80" s="1419" t="s">
        <v>2355</v>
      </c>
      <c r="D80" s="3001"/>
      <c r="E80" s="3002"/>
      <c r="F80" s="3002"/>
      <c r="G80" s="3003"/>
      <c r="H80" s="3004"/>
      <c r="I80" s="2983" t="str">
        <f>" - - - -"</f>
        <v xml:space="preserve"> - - - -</v>
      </c>
      <c r="J80" s="2918"/>
    </row>
    <row r="81" spans="1:25">
      <c r="A81" s="1408"/>
      <c r="B81" s="1418">
        <v>15</v>
      </c>
      <c r="C81" s="1419" t="s">
        <v>2356</v>
      </c>
      <c r="D81" s="3001"/>
      <c r="E81" s="3002"/>
      <c r="F81" s="3002"/>
      <c r="G81" s="3003"/>
      <c r="H81" s="3004"/>
      <c r="I81" s="2983" t="str">
        <f>" - - - -"</f>
        <v xml:space="preserve"> - - - -</v>
      </c>
      <c r="J81" s="2918"/>
    </row>
    <row r="82" spans="1:25" ht="12.75" customHeight="1">
      <c r="A82" s="1408"/>
      <c r="B82" s="1418">
        <v>16</v>
      </c>
      <c r="C82" s="1419" t="s">
        <v>2357</v>
      </c>
      <c r="D82" s="3001"/>
      <c r="E82" s="3002"/>
      <c r="F82" s="3002"/>
      <c r="G82" s="3003"/>
      <c r="H82" s="3004"/>
      <c r="I82" s="2983" t="str">
        <f>" - - - -"</f>
        <v xml:space="preserve"> - - - -</v>
      </c>
      <c r="J82" s="2918"/>
    </row>
    <row r="83" spans="1:25" ht="13.5" thickBot="1">
      <c r="A83" s="1408"/>
      <c r="B83" s="482">
        <v>17</v>
      </c>
      <c r="C83" s="3142" t="s">
        <v>482</v>
      </c>
      <c r="D83" s="3011"/>
      <c r="E83" s="3012"/>
      <c r="F83" s="3012"/>
      <c r="G83" s="3013"/>
      <c r="H83" s="3014"/>
      <c r="I83" s="2998">
        <f>SUM(D24:H24,D53:H53,D83:H83)</f>
        <v>0</v>
      </c>
      <c r="J83" s="2918" t="s">
        <v>4917</v>
      </c>
    </row>
    <row r="84" spans="1:25" ht="17.25" customHeight="1">
      <c r="A84" s="1408"/>
      <c r="B84" s="2953" t="s">
        <v>2494</v>
      </c>
      <c r="C84" s="1408"/>
      <c r="D84" s="1408"/>
      <c r="E84" s="1408"/>
      <c r="F84" s="1408"/>
      <c r="G84" s="1408"/>
      <c r="H84" s="1408"/>
      <c r="I84" s="1408"/>
      <c r="J84" s="1408"/>
    </row>
    <row r="85" spans="1:25" ht="17.25" hidden="1" customHeight="1">
      <c r="A85" s="1408"/>
      <c r="B85" s="2959"/>
      <c r="C85" s="1408"/>
      <c r="D85" s="3488" t="str">
        <f>IF(OR(LEFT(D68,1)="Y",LEFT(D68,1)="y"),D67,"")</f>
        <v/>
      </c>
      <c r="E85" s="3488" t="str">
        <f>IF(OR(LEFT(E68,1)="Y",LEFT(E68,1)="y"),E67,"")</f>
        <v/>
      </c>
      <c r="F85" s="3488" t="str">
        <f>IF(OR(LEFT(F68,1)="Y",LEFT(F68,1)="y"),F67,"")</f>
        <v/>
      </c>
      <c r="G85" s="3488" t="str">
        <f>IF(OR(LEFT(G68,1)="Y",LEFT(G68,1)="y"),G67,"")</f>
        <v/>
      </c>
      <c r="H85" s="3488" t="str">
        <f>IF(OR(LEFT(H68,1)="Y",LEFT(H68,1)="y"),H67,"")</f>
        <v/>
      </c>
      <c r="I85" s="1408"/>
      <c r="J85" s="515"/>
    </row>
    <row r="86" spans="1:25" s="3019" customFormat="1" hidden="1">
      <c r="D86" s="3019" t="str">
        <f>IF(D62&lt;&gt;"",D62,"")</f>
        <v/>
      </c>
      <c r="E86" s="3019" t="str">
        <f>IF(E62&lt;&gt;"",E62,"")</f>
        <v/>
      </c>
      <c r="F86" s="3019" t="str">
        <f>IF(F62&lt;&gt;"",F62,"")</f>
        <v/>
      </c>
      <c r="G86" s="3019" t="str">
        <f>IF(G62&lt;&gt;"",G62,"")</f>
        <v/>
      </c>
      <c r="H86" s="3019" t="str">
        <f>IF(H62&lt;&gt;"",H62,"")</f>
        <v/>
      </c>
      <c r="K86" s="3428"/>
      <c r="L86" s="3428"/>
      <c r="M86" s="3428"/>
      <c r="N86" s="3428"/>
      <c r="O86" s="3428"/>
      <c r="P86" s="3428"/>
      <c r="Q86" s="3428"/>
      <c r="R86" s="3428"/>
      <c r="S86" s="3428"/>
      <c r="T86" s="3428"/>
      <c r="U86" s="3428"/>
      <c r="V86" s="3428"/>
      <c r="W86" s="3428"/>
      <c r="X86" s="3428"/>
      <c r="Y86" s="3428"/>
    </row>
    <row r="87" spans="1:25" s="3019" customFormat="1" hidden="1">
      <c r="D87" s="3019" t="str">
        <f>IF(D63&lt;&gt;"", " - "&amp;D63,"")</f>
        <v/>
      </c>
      <c r="E87" s="3019" t="str">
        <f>IF(E63&lt;&gt;"", " - "&amp;E63,"")</f>
        <v/>
      </c>
      <c r="F87" s="3019" t="str">
        <f>IF(F63&lt;&gt;"", " - "&amp;F63,"")</f>
        <v/>
      </c>
      <c r="G87" s="3019" t="str">
        <f>IF(G63&lt;&gt;"", " - "&amp;G63,"")</f>
        <v/>
      </c>
      <c r="H87" s="3019" t="str">
        <f>IF(H63&lt;&gt;"", " - "&amp;H63,"")</f>
        <v/>
      </c>
      <c r="K87" s="3428"/>
      <c r="L87" s="3428"/>
      <c r="M87" s="3428"/>
      <c r="N87" s="3428"/>
      <c r="O87" s="3428"/>
      <c r="P87" s="3428"/>
      <c r="Q87" s="3428"/>
      <c r="R87" s="3428"/>
      <c r="S87" s="3428"/>
      <c r="T87" s="3428"/>
      <c r="U87" s="3428"/>
      <c r="V87" s="3428"/>
      <c r="W87" s="3428"/>
      <c r="X87" s="3428"/>
      <c r="Y87" s="3428"/>
    </row>
    <row r="88" spans="1:25" s="3019" customFormat="1" hidden="1">
      <c r="D88" s="3019" t="str">
        <f>IF(D64&lt;&gt;""," - "&amp;D64,"")</f>
        <v/>
      </c>
      <c r="E88" s="3019" t="str">
        <f>IF(E64&lt;&gt;""," - "&amp;E64,"")</f>
        <v/>
      </c>
      <c r="F88" s="3019" t="str">
        <f>IF(F64&lt;&gt;""," - "&amp;F64,"")</f>
        <v/>
      </c>
      <c r="G88" s="3019" t="str">
        <f>IF(G64&lt;&gt;""," - "&amp;G64,"")</f>
        <v/>
      </c>
      <c r="H88" s="3019" t="str">
        <f>IF(H64&lt;&gt;""," - "&amp;H64,"")</f>
        <v/>
      </c>
      <c r="K88" s="3428"/>
      <c r="L88" s="3428"/>
      <c r="M88" s="3428"/>
      <c r="N88" s="3428"/>
      <c r="O88" s="3428"/>
      <c r="P88" s="3428"/>
      <c r="Q88" s="3428"/>
      <c r="R88" s="3428"/>
      <c r="S88" s="3428"/>
      <c r="T88" s="3428"/>
      <c r="U88" s="3428"/>
      <c r="V88" s="3428"/>
      <c r="W88" s="3428"/>
      <c r="X88" s="3428"/>
      <c r="Y88" s="3428"/>
    </row>
    <row r="89" spans="1:25" s="3019" customFormat="1" hidden="1">
      <c r="D89" s="3429" t="str">
        <f>D86&amp;D87&amp;D88</f>
        <v/>
      </c>
      <c r="E89" s="3429" t="str">
        <f>E86&amp;E87&amp;E88</f>
        <v/>
      </c>
      <c r="F89" s="3429" t="str">
        <f>F86&amp;F87&amp;F88</f>
        <v/>
      </c>
      <c r="G89" s="3429" t="str">
        <f>G86&amp;G87&amp;G88</f>
        <v/>
      </c>
      <c r="H89" s="3429" t="str">
        <f>H86&amp;H87&amp;H88</f>
        <v/>
      </c>
      <c r="K89" s="3428"/>
      <c r="L89" s="3428"/>
      <c r="M89" s="3428"/>
      <c r="N89" s="3428"/>
      <c r="O89" s="3428"/>
      <c r="P89" s="3428"/>
      <c r="Q89" s="3428"/>
      <c r="R89" s="3428"/>
      <c r="S89" s="3428"/>
      <c r="T89" s="3428"/>
      <c r="U89" s="3428"/>
      <c r="V89" s="3428"/>
      <c r="W89" s="3428"/>
      <c r="X89" s="3428"/>
      <c r="Y89" s="3428"/>
    </row>
    <row r="91" spans="1:25" ht="13.5" thickBot="1"/>
    <row r="92" spans="1:25">
      <c r="C92" s="5238"/>
    </row>
    <row r="93" spans="1:25">
      <c r="C93" s="5239" t="s">
        <v>5009</v>
      </c>
    </row>
    <row r="94" spans="1:25" ht="13.5" thickBot="1">
      <c r="C94" s="5240"/>
    </row>
  </sheetData>
  <sheetProtection password="F07E" sheet="1" objects="1" scenarios="1"/>
  <conditionalFormatting sqref="D2:H8 D61:H67 D10:H24 D69:H83">
    <cfRule type="expression" dxfId="3084" priority="14">
      <formula>IF(NoColor,1,0)</formula>
    </cfRule>
  </conditionalFormatting>
  <conditionalFormatting sqref="D35:H37 D39:H53">
    <cfRule type="expression" dxfId="3083" priority="7">
      <formula>IF(NoColor,1,0)</formula>
    </cfRule>
  </conditionalFormatting>
  <conditionalFormatting sqref="D31:H31">
    <cfRule type="expression" dxfId="3082" priority="6">
      <formula>IF(NoColor,1,0)</formula>
    </cfRule>
  </conditionalFormatting>
  <conditionalFormatting sqref="D32:H34">
    <cfRule type="expression" dxfId="3081" priority="5">
      <formula>IF(NoColor,1,0)</formula>
    </cfRule>
  </conditionalFormatting>
  <conditionalFormatting sqref="D9:H9">
    <cfRule type="expression" dxfId="3080" priority="4">
      <formula>IF(NoColor,1,0)</formula>
    </cfRule>
  </conditionalFormatting>
  <conditionalFormatting sqref="D38:H38">
    <cfRule type="expression" dxfId="3079" priority="3">
      <formula>IF(NoColor,1,0)</formula>
    </cfRule>
  </conditionalFormatting>
  <conditionalFormatting sqref="D68:H68">
    <cfRule type="expression" dxfId="3078" priority="2">
      <formula>IF(NoColor,1,0)</formula>
    </cfRule>
  </conditionalFormatting>
  <conditionalFormatting sqref="I62:I83">
    <cfRule type="expression" dxfId="3077" priority="1">
      <formula>NoColor</formula>
    </cfRule>
  </conditionalFormatting>
  <hyperlinks>
    <hyperlink ref="C93" location="'Table of Contents'!A1" display="Table of Contents"/>
  </hyperlinks>
  <printOptions gridLines="1" gridLinesSet="0"/>
  <pageMargins left="0.75" right="0.75" top="1" bottom="1" header="0.5" footer="0.5"/>
  <pageSetup scale="49" fitToHeight="0" orientation="landscape" r:id="rId1"/>
  <headerFooter alignWithMargins="0">
    <oddHeader>&amp;A</oddHeader>
    <oddFooter>Page &amp;P</oddFooter>
  </headerFooter>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20"/>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5.7109375" customWidth="1"/>
    <col min="4" max="8" width="26.28515625" customWidth="1"/>
    <col min="9" max="9" width="46.42578125" customWidth="1"/>
    <col min="10" max="10" width="5.5703125" customWidth="1"/>
    <col min="11" max="25" width="9.140625" style="3167"/>
  </cols>
  <sheetData>
    <row r="1" spans="1:11" ht="42" customHeight="1" thickBot="1">
      <c r="A1" s="1416"/>
      <c r="B1" s="2976" t="s">
        <v>2496</v>
      </c>
      <c r="C1" s="493"/>
      <c r="D1" s="494"/>
      <c r="E1" s="2915"/>
      <c r="F1" s="494"/>
      <c r="G1" s="494"/>
      <c r="H1" s="494"/>
      <c r="I1" s="494"/>
      <c r="J1" s="3079"/>
      <c r="K1" s="3166" t="s">
        <v>2552</v>
      </c>
    </row>
    <row r="2" spans="1:11" ht="42" customHeight="1" thickTop="1" thickBot="1">
      <c r="A2" s="1417"/>
      <c r="B2" s="891"/>
      <c r="C2" s="1621" t="str">
        <f>IF(Name_1st_Yours="","Enter your name(s) on the"&amp;CHAR(10)&amp;"sheet labeled '1040'",Names)</f>
        <v>Enter your name(s) on the
sheet labeled '1040'</v>
      </c>
      <c r="D2" s="2367" t="s">
        <v>320</v>
      </c>
      <c r="E2" s="2367" t="s">
        <v>321</v>
      </c>
      <c r="F2" s="2367" t="s">
        <v>322</v>
      </c>
      <c r="G2" s="2367" t="s">
        <v>416</v>
      </c>
      <c r="H2" s="2368" t="s">
        <v>2043</v>
      </c>
      <c r="I2" s="89"/>
      <c r="J2" s="515"/>
    </row>
    <row r="3" spans="1:11">
      <c r="A3" s="1408"/>
      <c r="B3" s="2794"/>
      <c r="C3" s="2802" t="s">
        <v>2359</v>
      </c>
      <c r="D3" s="2994"/>
      <c r="E3" s="2995"/>
      <c r="F3" s="2995"/>
      <c r="G3" s="2995"/>
      <c r="H3" s="2995"/>
      <c r="I3" s="133"/>
      <c r="J3" s="515"/>
    </row>
    <row r="4" spans="1:11">
      <c r="A4" s="1408"/>
      <c r="B4" s="2795"/>
      <c r="C4" s="2803" t="s">
        <v>2358</v>
      </c>
      <c r="D4" s="3029"/>
      <c r="E4" s="3030"/>
      <c r="F4" s="3030"/>
      <c r="G4" s="3030"/>
      <c r="H4" s="3030"/>
      <c r="I4" s="133"/>
      <c r="J4" s="515"/>
    </row>
    <row r="5" spans="1:11" ht="13.5" thickBot="1">
      <c r="A5" s="1408"/>
      <c r="B5" s="2796"/>
      <c r="C5" s="2804" t="s">
        <v>177</v>
      </c>
      <c r="D5" s="3032"/>
      <c r="E5" s="3033"/>
      <c r="F5" s="3033"/>
      <c r="G5" s="3033"/>
      <c r="H5" s="3033"/>
      <c r="I5" s="133"/>
      <c r="J5" s="515"/>
    </row>
    <row r="6" spans="1:11" ht="13.5" customHeight="1">
      <c r="A6" s="1408"/>
      <c r="B6" s="2800" t="s">
        <v>14</v>
      </c>
      <c r="C6" s="2797" t="s">
        <v>2361</v>
      </c>
      <c r="D6" s="2999"/>
      <c r="E6" s="3000"/>
      <c r="F6" s="3000"/>
      <c r="G6" s="3000"/>
      <c r="H6" s="3000"/>
      <c r="I6" s="411"/>
      <c r="J6" s="515"/>
    </row>
    <row r="7" spans="1:11" ht="13.5" customHeight="1">
      <c r="A7" s="1408"/>
      <c r="B7" s="2801" t="s">
        <v>17</v>
      </c>
      <c r="C7" s="2798" t="s">
        <v>567</v>
      </c>
      <c r="D7" s="3001"/>
      <c r="E7" s="3002"/>
      <c r="F7" s="3002"/>
      <c r="G7" s="3002"/>
      <c r="H7" s="3002"/>
      <c r="I7" s="411"/>
      <c r="J7" s="515"/>
    </row>
    <row r="8" spans="1:11" ht="13.5" customHeight="1">
      <c r="A8" s="1408"/>
      <c r="B8" s="2801" t="s">
        <v>386</v>
      </c>
      <c r="C8" s="2798" t="s">
        <v>2364</v>
      </c>
      <c r="D8" s="3001"/>
      <c r="E8" s="3002"/>
      <c r="F8" s="3002"/>
      <c r="G8" s="3002"/>
      <c r="H8" s="3002"/>
      <c r="I8" s="411"/>
      <c r="J8" s="515"/>
    </row>
    <row r="9" spans="1:11" ht="13.5" customHeight="1">
      <c r="A9" s="1408"/>
      <c r="B9" s="1420" t="s">
        <v>387</v>
      </c>
      <c r="C9" s="1419" t="s">
        <v>2365</v>
      </c>
      <c r="D9" s="3001"/>
      <c r="E9" s="3002"/>
      <c r="F9" s="3002"/>
      <c r="G9" s="3002"/>
      <c r="H9" s="3002"/>
      <c r="I9" s="411"/>
      <c r="J9" s="515"/>
    </row>
    <row r="10" spans="1:11">
      <c r="A10" s="1408"/>
      <c r="B10" s="1420" t="s">
        <v>2362</v>
      </c>
      <c r="C10" s="2799" t="s">
        <v>2366</v>
      </c>
      <c r="D10" s="3001"/>
      <c r="E10" s="3002"/>
      <c r="F10" s="3002"/>
      <c r="G10" s="3002"/>
      <c r="H10" s="3002"/>
      <c r="I10" s="133"/>
      <c r="J10" s="515"/>
    </row>
    <row r="11" spans="1:11">
      <c r="A11" s="1408"/>
      <c r="B11" s="2801" t="s">
        <v>2363</v>
      </c>
      <c r="C11" s="2798" t="s">
        <v>2367</v>
      </c>
      <c r="D11" s="3001"/>
      <c r="E11" s="3002"/>
      <c r="F11" s="3002"/>
      <c r="G11" s="3002"/>
      <c r="H11" s="3002"/>
      <c r="I11" s="133"/>
      <c r="J11" s="515"/>
    </row>
    <row r="12" spans="1:11">
      <c r="A12" s="1408"/>
      <c r="B12" s="1418">
        <v>3</v>
      </c>
      <c r="C12" s="1419" t="s">
        <v>2368</v>
      </c>
      <c r="D12" s="3001"/>
      <c r="E12" s="3002"/>
      <c r="F12" s="3002"/>
      <c r="G12" s="3002"/>
      <c r="H12" s="3002"/>
      <c r="I12" s="133"/>
      <c r="J12" s="515"/>
    </row>
    <row r="13" spans="1:11">
      <c r="A13" s="1408"/>
      <c r="B13" s="2801">
        <v>4</v>
      </c>
      <c r="C13" s="2798" t="s">
        <v>189</v>
      </c>
      <c r="D13" s="3001"/>
      <c r="E13" s="3002"/>
      <c r="F13" s="3002"/>
      <c r="G13" s="3002"/>
      <c r="H13" s="3002"/>
      <c r="I13" s="133"/>
      <c r="J13" s="515"/>
    </row>
    <row r="14" spans="1:11">
      <c r="A14" s="1408"/>
      <c r="B14" s="1418">
        <v>5</v>
      </c>
      <c r="C14" s="1419" t="s">
        <v>3645</v>
      </c>
      <c r="D14" s="3001"/>
      <c r="E14" s="3002"/>
      <c r="F14" s="3002"/>
      <c r="G14" s="3002"/>
      <c r="H14" s="3002"/>
      <c r="I14" s="133"/>
      <c r="J14" s="515"/>
    </row>
    <row r="15" spans="1:11">
      <c r="A15" s="1408"/>
      <c r="B15" s="1418">
        <v>6</v>
      </c>
      <c r="C15" s="1419" t="s">
        <v>2346</v>
      </c>
      <c r="D15" s="3001"/>
      <c r="E15" s="3002"/>
      <c r="F15" s="3002"/>
      <c r="G15" s="3002"/>
      <c r="H15" s="3002"/>
      <c r="I15" s="133"/>
      <c r="J15" s="515"/>
    </row>
    <row r="16" spans="1:11">
      <c r="A16" s="1408"/>
      <c r="B16" s="2801">
        <v>7</v>
      </c>
      <c r="C16" s="2798" t="s">
        <v>2347</v>
      </c>
      <c r="D16" s="3001"/>
      <c r="E16" s="3002"/>
      <c r="F16" s="3002"/>
      <c r="G16" s="3002"/>
      <c r="H16" s="3002"/>
      <c r="I16" s="3450" t="str">
        <f>IF(SUM(D16:H16)&gt;0,"Check Form 1116, Foreign Tax Credit","")</f>
        <v/>
      </c>
      <c r="J16" s="515"/>
    </row>
    <row r="17" spans="1:25">
      <c r="A17" s="1408"/>
      <c r="B17" s="1418">
        <v>8</v>
      </c>
      <c r="C17" s="1419" t="s">
        <v>2348</v>
      </c>
      <c r="D17" s="3001"/>
      <c r="E17" s="3002"/>
      <c r="F17" s="3002"/>
      <c r="G17" s="3002"/>
      <c r="H17" s="3002"/>
      <c r="I17" s="133"/>
      <c r="J17" s="515"/>
    </row>
    <row r="18" spans="1:25">
      <c r="A18" s="1408"/>
      <c r="B18" s="1418">
        <v>9</v>
      </c>
      <c r="C18" s="1419" t="s">
        <v>2369</v>
      </c>
      <c r="D18" s="3001"/>
      <c r="E18" s="3002"/>
      <c r="F18" s="3002"/>
      <c r="G18" s="3002"/>
      <c r="H18" s="3002"/>
      <c r="I18" s="133"/>
      <c r="J18" s="515"/>
    </row>
    <row r="19" spans="1:25">
      <c r="A19" s="1408"/>
      <c r="B19" s="1418">
        <v>10</v>
      </c>
      <c r="C19" s="1419" t="s">
        <v>2370</v>
      </c>
      <c r="D19" s="3001"/>
      <c r="E19" s="3002"/>
      <c r="F19" s="3002"/>
      <c r="G19" s="3002"/>
      <c r="H19" s="3002"/>
      <c r="I19" s="133"/>
      <c r="J19" s="515"/>
    </row>
    <row r="20" spans="1:25">
      <c r="A20" s="1408"/>
      <c r="B20" s="2801">
        <v>11</v>
      </c>
      <c r="C20" s="2798" t="s">
        <v>2371</v>
      </c>
      <c r="D20" s="3001"/>
      <c r="E20" s="3002"/>
      <c r="F20" s="3002"/>
      <c r="G20" s="3002"/>
      <c r="H20" s="3002"/>
      <c r="I20" s="133"/>
      <c r="J20" s="515"/>
    </row>
    <row r="21" spans="1:25">
      <c r="A21" s="1408"/>
      <c r="B21" s="2801">
        <v>12</v>
      </c>
      <c r="C21" s="2798" t="s">
        <v>2372</v>
      </c>
      <c r="D21" s="3001"/>
      <c r="E21" s="3002"/>
      <c r="F21" s="3002"/>
      <c r="G21" s="3002"/>
      <c r="H21" s="3002"/>
      <c r="I21" s="133"/>
      <c r="J21" s="515"/>
    </row>
    <row r="22" spans="1:25">
      <c r="A22" s="1408"/>
      <c r="B22" s="1418">
        <v>13</v>
      </c>
      <c r="C22" s="1419" t="s">
        <v>2356</v>
      </c>
      <c r="D22" s="3001"/>
      <c r="E22" s="3002"/>
      <c r="F22" s="3002"/>
      <c r="G22" s="3002"/>
      <c r="H22" s="3002"/>
      <c r="I22" s="133"/>
      <c r="J22" s="515"/>
    </row>
    <row r="23" spans="1:25">
      <c r="A23" s="1408"/>
      <c r="B23" s="1418">
        <v>14</v>
      </c>
      <c r="C23" s="1419" t="s">
        <v>2357</v>
      </c>
      <c r="D23" s="3001"/>
      <c r="E23" s="3002"/>
      <c r="F23" s="3002"/>
      <c r="G23" s="3002"/>
      <c r="H23" s="3002"/>
      <c r="I23" s="133"/>
      <c r="J23" s="515"/>
    </row>
    <row r="24" spans="1:25" ht="13.5" thickBot="1">
      <c r="A24" s="1408"/>
      <c r="B24" s="4284">
        <v>15</v>
      </c>
      <c r="C24" s="2811" t="s">
        <v>482</v>
      </c>
      <c r="D24" s="3011"/>
      <c r="E24" s="3012"/>
      <c r="F24" s="3012"/>
      <c r="G24" s="3012"/>
      <c r="H24" s="3012"/>
      <c r="I24" s="133"/>
      <c r="J24" s="515"/>
    </row>
    <row r="25" spans="1:25" ht="17.25" customHeight="1" thickBot="1">
      <c r="A25" s="1408"/>
      <c r="B25" s="2953" t="s">
        <v>2494</v>
      </c>
      <c r="C25" s="1408"/>
      <c r="D25" s="1408"/>
      <c r="E25" s="1408"/>
      <c r="F25" s="1408"/>
      <c r="G25" s="1408"/>
      <c r="H25" s="1408"/>
      <c r="I25" s="133"/>
      <c r="J25" s="515"/>
    </row>
    <row r="26" spans="1:25" s="3019" customFormat="1" hidden="1">
      <c r="D26" s="3019" t="str">
        <f>IF(D3&lt;&gt;"",D3,"")</f>
        <v/>
      </c>
      <c r="E26" s="3019" t="str">
        <f>IF(E3&lt;&gt;"",E3,"")</f>
        <v/>
      </c>
      <c r="F26" s="3019" t="str">
        <f>IF(F3&lt;&gt;"",F3,"")</f>
        <v/>
      </c>
      <c r="G26" s="3019" t="str">
        <f>IF(G3&lt;&gt;"",G3,"")</f>
        <v/>
      </c>
      <c r="H26" s="3019" t="str">
        <f>IF(H3&lt;&gt;"",H3,"")</f>
        <v/>
      </c>
      <c r="I26" s="133"/>
      <c r="J26" s="515"/>
      <c r="K26" s="3428"/>
      <c r="L26" s="3428"/>
      <c r="M26" s="3428"/>
      <c r="N26" s="3428"/>
      <c r="O26" s="3428"/>
      <c r="P26" s="3428"/>
      <c r="Q26" s="3428"/>
      <c r="R26" s="3428"/>
      <c r="S26" s="3428"/>
      <c r="T26" s="3428"/>
      <c r="U26" s="3428"/>
      <c r="V26" s="3428"/>
      <c r="W26" s="3428"/>
      <c r="X26" s="3428"/>
      <c r="Y26" s="3428"/>
    </row>
    <row r="27" spans="1:25" s="3019" customFormat="1" hidden="1">
      <c r="D27" s="3019" t="str">
        <f>IF(D4&lt;&gt;"", " - "&amp;D4,"")</f>
        <v/>
      </c>
      <c r="E27" s="3019" t="str">
        <f>IF(E4&lt;&gt;"", " - "&amp;E4,"")</f>
        <v/>
      </c>
      <c r="F27" s="3019" t="str">
        <f>IF(F4&lt;&gt;"", " - "&amp;F4,"")</f>
        <v/>
      </c>
      <c r="G27" s="3019" t="str">
        <f>IF(G4&lt;&gt;"", " - "&amp;G4,"")</f>
        <v/>
      </c>
      <c r="H27" s="3019" t="str">
        <f>IF(H4&lt;&gt;"", " - "&amp;H4,"")</f>
        <v/>
      </c>
      <c r="I27" s="133"/>
      <c r="J27" s="515"/>
      <c r="K27" s="3428"/>
      <c r="L27" s="3428"/>
      <c r="M27" s="3428"/>
      <c r="N27" s="3428"/>
      <c r="O27" s="3428"/>
      <c r="P27" s="3428"/>
      <c r="Q27" s="3428"/>
      <c r="R27" s="3428"/>
      <c r="S27" s="3428"/>
      <c r="T27" s="3428"/>
      <c r="U27" s="3428"/>
      <c r="V27" s="3428"/>
      <c r="W27" s="3428"/>
      <c r="X27" s="3428"/>
      <c r="Y27" s="3428"/>
    </row>
    <row r="28" spans="1:25" s="3019" customFormat="1" hidden="1">
      <c r="D28" s="3019" t="str">
        <f>IF(D5&lt;&gt;""," - "&amp;D5,"")</f>
        <v/>
      </c>
      <c r="E28" s="3019" t="str">
        <f>IF(E5&lt;&gt;""," - "&amp;E5,"")</f>
        <v/>
      </c>
      <c r="F28" s="3019" t="str">
        <f>IF(F5&lt;&gt;""," - "&amp;F5,"")</f>
        <v/>
      </c>
      <c r="G28" s="3019" t="str">
        <f>IF(G5&lt;&gt;""," - "&amp;G5,"")</f>
        <v/>
      </c>
      <c r="H28" s="3019" t="str">
        <f>IF(H5&lt;&gt;""," - "&amp;H5,"")</f>
        <v/>
      </c>
      <c r="I28" s="133"/>
      <c r="J28" s="515"/>
      <c r="K28" s="3428"/>
      <c r="L28" s="3428"/>
      <c r="M28" s="3428"/>
      <c r="N28" s="3428"/>
      <c r="O28" s="3428"/>
      <c r="P28" s="3428"/>
      <c r="Q28" s="3428"/>
      <c r="R28" s="3428"/>
      <c r="S28" s="3428"/>
      <c r="T28" s="3428"/>
      <c r="U28" s="3428"/>
      <c r="V28" s="3428"/>
      <c r="W28" s="3428"/>
      <c r="X28" s="3428"/>
      <c r="Y28" s="3428"/>
    </row>
    <row r="29" spans="1:25" s="3019" customFormat="1" ht="13.5" hidden="1" thickBot="1">
      <c r="D29" s="3429" t="str">
        <f>IF(D6="","",D26&amp;D27&amp;D28)</f>
        <v/>
      </c>
      <c r="E29" s="3429" t="str">
        <f>IF(E6="","",E26&amp;E27&amp;E28)</f>
        <v/>
      </c>
      <c r="F29" s="3429" t="str">
        <f>IF(F6="","",F26&amp;F27&amp;F28)</f>
        <v/>
      </c>
      <c r="G29" s="3429" t="str">
        <f>IF(G6="","",G26&amp;G27&amp;G28)</f>
        <v/>
      </c>
      <c r="H29" s="3429" t="str">
        <f>IF(H6="","",H26&amp;H27&amp;H28)</f>
        <v/>
      </c>
      <c r="I29" s="133"/>
      <c r="J29" s="515"/>
      <c r="K29" s="3428"/>
      <c r="L29" s="3428"/>
      <c r="M29" s="3428"/>
      <c r="N29" s="3428"/>
      <c r="O29" s="3428"/>
      <c r="P29" s="3428"/>
      <c r="Q29" s="3428"/>
      <c r="R29" s="3428"/>
      <c r="S29" s="3428"/>
      <c r="T29" s="3428"/>
      <c r="U29" s="3428"/>
      <c r="V29" s="3428"/>
      <c r="W29" s="3428"/>
      <c r="X29" s="3428"/>
      <c r="Y29" s="3428"/>
    </row>
    <row r="30" spans="1:25" ht="42" customHeight="1" thickTop="1" thickBot="1">
      <c r="A30" s="1417"/>
      <c r="B30" s="891"/>
      <c r="C30" s="1621" t="str">
        <f>IF(Name_1st_Yours="","Enter your name(s) on the"&amp;CHAR(10)&amp;"sheet labeled '1040'",Names)</f>
        <v>Enter your name(s) on the
sheet labeled '1040'</v>
      </c>
      <c r="D30" s="2368" t="s">
        <v>2044</v>
      </c>
      <c r="E30" s="2368" t="s">
        <v>2045</v>
      </c>
      <c r="F30" s="2368" t="s">
        <v>2320</v>
      </c>
      <c r="G30" s="2368" t="s">
        <v>2321</v>
      </c>
      <c r="H30" s="2368" t="s">
        <v>2360</v>
      </c>
      <c r="I30" s="89"/>
      <c r="J30" s="515"/>
    </row>
    <row r="31" spans="1:25">
      <c r="A31" s="1408"/>
      <c r="B31" s="2794"/>
      <c r="C31" s="2802" t="s">
        <v>2359</v>
      </c>
      <c r="D31" s="2994"/>
      <c r="E31" s="2995"/>
      <c r="F31" s="2995"/>
      <c r="G31" s="2995"/>
      <c r="H31" s="2995"/>
      <c r="I31" s="133"/>
      <c r="J31" s="515"/>
    </row>
    <row r="32" spans="1:25">
      <c r="A32" s="1408"/>
      <c r="B32" s="2795"/>
      <c r="C32" s="2803" t="s">
        <v>2358</v>
      </c>
      <c r="D32" s="3029"/>
      <c r="E32" s="3030"/>
      <c r="F32" s="3030"/>
      <c r="G32" s="3030"/>
      <c r="H32" s="3030"/>
      <c r="I32" s="133"/>
      <c r="J32" s="515"/>
    </row>
    <row r="33" spans="1:10" ht="13.5" thickBot="1">
      <c r="A33" s="1408"/>
      <c r="B33" s="2796"/>
      <c r="C33" s="2804" t="s">
        <v>177</v>
      </c>
      <c r="D33" s="3032"/>
      <c r="E33" s="3033"/>
      <c r="F33" s="3033"/>
      <c r="G33" s="3033"/>
      <c r="H33" s="3033"/>
      <c r="I33" s="133"/>
      <c r="J33" s="515"/>
    </row>
    <row r="34" spans="1:10" ht="13.5" customHeight="1">
      <c r="A34" s="1408"/>
      <c r="B34" s="2800" t="s">
        <v>14</v>
      </c>
      <c r="C34" s="2797" t="s">
        <v>2361</v>
      </c>
      <c r="D34" s="2999"/>
      <c r="E34" s="3000"/>
      <c r="F34" s="3000"/>
      <c r="G34" s="3000"/>
      <c r="H34" s="3000"/>
      <c r="I34" s="411"/>
      <c r="J34" s="515"/>
    </row>
    <row r="35" spans="1:10" ht="13.5" customHeight="1">
      <c r="A35" s="1408"/>
      <c r="B35" s="2801" t="s">
        <v>17</v>
      </c>
      <c r="C35" s="2798" t="s">
        <v>567</v>
      </c>
      <c r="D35" s="3001"/>
      <c r="E35" s="3002"/>
      <c r="F35" s="3002"/>
      <c r="G35" s="3002"/>
      <c r="H35" s="3002"/>
      <c r="I35" s="411"/>
      <c r="J35" s="515"/>
    </row>
    <row r="36" spans="1:10" ht="13.5" customHeight="1">
      <c r="A36" s="1408"/>
      <c r="B36" s="2801" t="s">
        <v>386</v>
      </c>
      <c r="C36" s="2798" t="s">
        <v>2364</v>
      </c>
      <c r="D36" s="3001"/>
      <c r="E36" s="3002"/>
      <c r="F36" s="3002"/>
      <c r="G36" s="3002"/>
      <c r="H36" s="3002"/>
      <c r="I36" s="411"/>
      <c r="J36" s="515"/>
    </row>
    <row r="37" spans="1:10" ht="13.5" customHeight="1">
      <c r="A37" s="1408"/>
      <c r="B37" s="1420" t="s">
        <v>387</v>
      </c>
      <c r="C37" s="1419" t="s">
        <v>2365</v>
      </c>
      <c r="D37" s="3001"/>
      <c r="E37" s="3002"/>
      <c r="F37" s="3002"/>
      <c r="G37" s="3002"/>
      <c r="H37" s="3002"/>
      <c r="I37" s="411"/>
      <c r="J37" s="515"/>
    </row>
    <row r="38" spans="1:10">
      <c r="A38" s="1408"/>
      <c r="B38" s="1420" t="s">
        <v>2362</v>
      </c>
      <c r="C38" s="2799" t="s">
        <v>2366</v>
      </c>
      <c r="D38" s="3001"/>
      <c r="E38" s="3002"/>
      <c r="F38" s="3002"/>
      <c r="G38" s="3002"/>
      <c r="H38" s="3002"/>
      <c r="I38" s="133"/>
      <c r="J38" s="515"/>
    </row>
    <row r="39" spans="1:10">
      <c r="A39" s="1408"/>
      <c r="B39" s="2801" t="s">
        <v>2363</v>
      </c>
      <c r="C39" s="2798" t="s">
        <v>2367</v>
      </c>
      <c r="D39" s="3001"/>
      <c r="E39" s="3002"/>
      <c r="F39" s="3002"/>
      <c r="G39" s="3002"/>
      <c r="H39" s="3002"/>
      <c r="I39" s="133"/>
      <c r="J39" s="515"/>
    </row>
    <row r="40" spans="1:10">
      <c r="A40" s="1408"/>
      <c r="B40" s="1418">
        <v>3</v>
      </c>
      <c r="C40" s="1419" t="s">
        <v>2368</v>
      </c>
      <c r="D40" s="3001"/>
      <c r="E40" s="3002"/>
      <c r="F40" s="3002"/>
      <c r="G40" s="3002"/>
      <c r="H40" s="3002"/>
      <c r="I40" s="133"/>
      <c r="J40" s="515"/>
    </row>
    <row r="41" spans="1:10">
      <c r="A41" s="1408"/>
      <c r="B41" s="2801">
        <v>4</v>
      </c>
      <c r="C41" s="2798" t="s">
        <v>189</v>
      </c>
      <c r="D41" s="3001"/>
      <c r="E41" s="3002"/>
      <c r="F41" s="3002"/>
      <c r="G41" s="3002"/>
      <c r="H41" s="3002"/>
      <c r="I41" s="133"/>
      <c r="J41" s="515"/>
    </row>
    <row r="42" spans="1:10">
      <c r="A42" s="1408"/>
      <c r="B42" s="1418">
        <v>5</v>
      </c>
      <c r="C42" s="1419" t="s">
        <v>3645</v>
      </c>
      <c r="D42" s="3001"/>
      <c r="E42" s="3002"/>
      <c r="F42" s="3002"/>
      <c r="G42" s="3002"/>
      <c r="H42" s="3002"/>
      <c r="I42" s="133"/>
      <c r="J42" s="515"/>
    </row>
    <row r="43" spans="1:10">
      <c r="A43" s="1408"/>
      <c r="B43" s="1418">
        <v>6</v>
      </c>
      <c r="C43" s="1419" t="s">
        <v>2346</v>
      </c>
      <c r="D43" s="3001"/>
      <c r="E43" s="3002"/>
      <c r="F43" s="3002"/>
      <c r="G43" s="3002"/>
      <c r="H43" s="3002"/>
      <c r="I43" s="133"/>
      <c r="J43" s="515"/>
    </row>
    <row r="44" spans="1:10">
      <c r="A44" s="1408"/>
      <c r="B44" s="2801">
        <v>7</v>
      </c>
      <c r="C44" s="2798" t="s">
        <v>2347</v>
      </c>
      <c r="D44" s="3001"/>
      <c r="E44" s="3002"/>
      <c r="F44" s="3002"/>
      <c r="G44" s="3002"/>
      <c r="H44" s="3002"/>
      <c r="I44" s="3450" t="str">
        <f>IF(SUM(D44:H44)&gt;0,"Check Form 1116, Foreign Tax Credit","")</f>
        <v/>
      </c>
      <c r="J44" s="515"/>
    </row>
    <row r="45" spans="1:10">
      <c r="A45" s="1408"/>
      <c r="B45" s="1418">
        <v>8</v>
      </c>
      <c r="C45" s="1419" t="s">
        <v>2348</v>
      </c>
      <c r="D45" s="3001"/>
      <c r="E45" s="3002"/>
      <c r="F45" s="3002"/>
      <c r="G45" s="3002"/>
      <c r="H45" s="3002"/>
      <c r="I45" s="133"/>
      <c r="J45" s="515"/>
    </row>
    <row r="46" spans="1:10">
      <c r="A46" s="1408"/>
      <c r="B46" s="1418">
        <v>9</v>
      </c>
      <c r="C46" s="1419" t="s">
        <v>2369</v>
      </c>
      <c r="D46" s="3001"/>
      <c r="E46" s="3002"/>
      <c r="F46" s="3002"/>
      <c r="G46" s="3002"/>
      <c r="H46" s="3002"/>
      <c r="I46" s="133"/>
      <c r="J46" s="515"/>
    </row>
    <row r="47" spans="1:10">
      <c r="A47" s="1408"/>
      <c r="B47" s="1418">
        <v>10</v>
      </c>
      <c r="C47" s="1419" t="s">
        <v>2370</v>
      </c>
      <c r="D47" s="3001"/>
      <c r="E47" s="3002"/>
      <c r="F47" s="3002"/>
      <c r="G47" s="3002"/>
      <c r="H47" s="3002"/>
      <c r="I47" s="133"/>
      <c r="J47" s="515"/>
    </row>
    <row r="48" spans="1:10">
      <c r="A48" s="1408"/>
      <c r="B48" s="2801">
        <v>11</v>
      </c>
      <c r="C48" s="2798" t="s">
        <v>2371</v>
      </c>
      <c r="D48" s="3001"/>
      <c r="E48" s="3002"/>
      <c r="F48" s="3002"/>
      <c r="G48" s="3002"/>
      <c r="H48" s="3002"/>
      <c r="I48" s="133"/>
      <c r="J48" s="515"/>
    </row>
    <row r="49" spans="1:25">
      <c r="A49" s="1408"/>
      <c r="B49" s="2801">
        <v>12</v>
      </c>
      <c r="C49" s="2798" t="s">
        <v>2372</v>
      </c>
      <c r="D49" s="3001"/>
      <c r="E49" s="3002"/>
      <c r="F49" s="3002"/>
      <c r="G49" s="3002"/>
      <c r="H49" s="3002"/>
      <c r="I49" s="133"/>
      <c r="J49" s="515"/>
    </row>
    <row r="50" spans="1:25">
      <c r="A50" s="1408"/>
      <c r="B50" s="1418">
        <v>13</v>
      </c>
      <c r="C50" s="1419" t="s">
        <v>2356</v>
      </c>
      <c r="D50" s="3001"/>
      <c r="E50" s="3002"/>
      <c r="F50" s="3002"/>
      <c r="G50" s="3002"/>
      <c r="H50" s="3002"/>
      <c r="I50" s="133"/>
      <c r="J50" s="515"/>
    </row>
    <row r="51" spans="1:25">
      <c r="A51" s="1408"/>
      <c r="B51" s="1418">
        <v>14</v>
      </c>
      <c r="C51" s="1419" t="s">
        <v>2357</v>
      </c>
      <c r="D51" s="3001"/>
      <c r="E51" s="3002"/>
      <c r="F51" s="3002"/>
      <c r="G51" s="3002"/>
      <c r="H51" s="3002"/>
      <c r="I51" s="133"/>
      <c r="J51" s="515"/>
    </row>
    <row r="52" spans="1:25" ht="13.5" thickBot="1">
      <c r="A52" s="1408"/>
      <c r="B52" s="4284">
        <v>15</v>
      </c>
      <c r="C52" s="2811" t="s">
        <v>482</v>
      </c>
      <c r="D52" s="3011"/>
      <c r="E52" s="3012"/>
      <c r="F52" s="3012"/>
      <c r="G52" s="3012"/>
      <c r="H52" s="3012"/>
      <c r="I52" s="133"/>
      <c r="J52" s="515"/>
    </row>
    <row r="53" spans="1:25" ht="17.25" customHeight="1" thickBot="1">
      <c r="A53" s="1408"/>
      <c r="B53" s="2953" t="s">
        <v>2494</v>
      </c>
      <c r="C53" s="1408"/>
      <c r="D53" s="1408"/>
      <c r="E53" s="1408"/>
      <c r="F53" s="1408"/>
      <c r="G53" s="1408"/>
      <c r="H53" s="1408"/>
      <c r="I53" s="133"/>
      <c r="J53" s="515"/>
    </row>
    <row r="54" spans="1:25" s="3019" customFormat="1" hidden="1">
      <c r="D54" s="3019" t="str">
        <f>IF(D31&lt;&gt;"",D31,"")</f>
        <v/>
      </c>
      <c r="E54" s="3019" t="str">
        <f>IF(E31&lt;&gt;"",E31,"")</f>
        <v/>
      </c>
      <c r="F54" s="3019" t="str">
        <f>IF(F31&lt;&gt;"",F31,"")</f>
        <v/>
      </c>
      <c r="G54" s="3019" t="str">
        <f>IF(G31&lt;&gt;"",G31,"")</f>
        <v/>
      </c>
      <c r="H54" s="3019" t="str">
        <f>IF(H31&lt;&gt;"",H31,"")</f>
        <v/>
      </c>
      <c r="I54" s="133"/>
      <c r="J54" s="515"/>
      <c r="K54" s="3428"/>
      <c r="L54" s="3428"/>
      <c r="M54" s="3428"/>
      <c r="N54" s="3428"/>
      <c r="O54" s="3428"/>
      <c r="P54" s="3428"/>
      <c r="Q54" s="3428"/>
      <c r="R54" s="3428"/>
      <c r="S54" s="3428"/>
      <c r="T54" s="3428"/>
      <c r="U54" s="3428"/>
      <c r="V54" s="3428"/>
      <c r="W54" s="3428"/>
      <c r="X54" s="3428"/>
      <c r="Y54" s="3428"/>
    </row>
    <row r="55" spans="1:25" s="3019" customFormat="1" hidden="1">
      <c r="D55" s="3019" t="str">
        <f>IF(D32&lt;&gt;"", " - "&amp;D32,"")</f>
        <v/>
      </c>
      <c r="E55" s="3019" t="str">
        <f>IF(E32&lt;&gt;"", " - "&amp;E32,"")</f>
        <v/>
      </c>
      <c r="F55" s="3019" t="str">
        <f>IF(F32&lt;&gt;"", " - "&amp;F32,"")</f>
        <v/>
      </c>
      <c r="G55" s="3019" t="str">
        <f>IF(G32&lt;&gt;"", " - "&amp;G32,"")</f>
        <v/>
      </c>
      <c r="H55" s="3019" t="str">
        <f>IF(H32&lt;&gt;"", " - "&amp;H32,"")</f>
        <v/>
      </c>
      <c r="I55" s="133"/>
      <c r="J55" s="515"/>
      <c r="K55" s="3428"/>
      <c r="L55" s="3428"/>
      <c r="M55" s="3428"/>
      <c r="N55" s="3428"/>
      <c r="O55" s="3428"/>
      <c r="P55" s="3428"/>
      <c r="Q55" s="3428"/>
      <c r="R55" s="3428"/>
      <c r="S55" s="3428"/>
      <c r="T55" s="3428"/>
      <c r="U55" s="3428"/>
      <c r="V55" s="3428"/>
      <c r="W55" s="3428"/>
      <c r="X55" s="3428"/>
      <c r="Y55" s="3428"/>
    </row>
    <row r="56" spans="1:25" s="3019" customFormat="1" hidden="1">
      <c r="D56" s="3019" t="str">
        <f>IF(D33&lt;&gt;""," - "&amp;D33,"")</f>
        <v/>
      </c>
      <c r="E56" s="3019" t="str">
        <f>IF(E33&lt;&gt;""," - "&amp;E33,"")</f>
        <v/>
      </c>
      <c r="F56" s="3019" t="str">
        <f>IF(F33&lt;&gt;""," - "&amp;F33,"")</f>
        <v/>
      </c>
      <c r="G56" s="3019" t="str">
        <f>IF(G33&lt;&gt;""," - "&amp;G33,"")</f>
        <v/>
      </c>
      <c r="H56" s="3019" t="str">
        <f>IF(H33&lt;&gt;""," - "&amp;H33,"")</f>
        <v/>
      </c>
      <c r="I56" s="133"/>
      <c r="J56" s="515"/>
      <c r="K56" s="3428"/>
      <c r="L56" s="3428"/>
      <c r="M56" s="3428"/>
      <c r="N56" s="3428"/>
      <c r="O56" s="3428"/>
      <c r="P56" s="3428"/>
      <c r="Q56" s="3428"/>
      <c r="R56" s="3428"/>
      <c r="S56" s="3428"/>
      <c r="T56" s="3428"/>
      <c r="U56" s="3428"/>
      <c r="V56" s="3428"/>
      <c r="W56" s="3428"/>
      <c r="X56" s="3428"/>
      <c r="Y56" s="3428"/>
    </row>
    <row r="57" spans="1:25" s="3019" customFormat="1" ht="13.5" hidden="1" thickBot="1">
      <c r="D57" s="3429" t="str">
        <f>IF(D34="","",D54&amp;D55&amp;D56)</f>
        <v/>
      </c>
      <c r="E57" s="3429" t="str">
        <f>IF(E34="","",E54&amp;E55&amp;E56)</f>
        <v/>
      </c>
      <c r="F57" s="3429" t="str">
        <f>IF(F34="","",F54&amp;F55&amp;F56)</f>
        <v/>
      </c>
      <c r="G57" s="3429" t="str">
        <f>IF(G34="","",G54&amp;G55&amp;G56)</f>
        <v/>
      </c>
      <c r="H57" s="3429" t="str">
        <f>IF(H34="","",H54&amp;H55&amp;H56)</f>
        <v/>
      </c>
      <c r="I57" s="133"/>
      <c r="J57" s="515"/>
      <c r="K57" s="3428"/>
      <c r="L57" s="3428"/>
      <c r="M57" s="3428"/>
      <c r="N57" s="3428"/>
      <c r="O57" s="3428"/>
      <c r="P57" s="3428"/>
      <c r="Q57" s="3428"/>
      <c r="R57" s="3428"/>
      <c r="S57" s="3428"/>
      <c r="T57" s="3428"/>
      <c r="U57" s="3428"/>
      <c r="V57" s="3428"/>
      <c r="W57" s="3428"/>
      <c r="X57" s="3428"/>
      <c r="Y57" s="3428"/>
    </row>
    <row r="58" spans="1:25" ht="42" customHeight="1" thickTop="1" thickBot="1">
      <c r="A58" s="1417"/>
      <c r="B58" s="891"/>
      <c r="C58" s="1621" t="str">
        <f>IF(Name_1st_Yours="","Enter your name(s) on the"&amp;CHAR(10)&amp;"sheet labeled '1040'",Names)</f>
        <v>Enter your name(s) on the
sheet labeled '1040'</v>
      </c>
      <c r="D58" s="2368" t="s">
        <v>2833</v>
      </c>
      <c r="E58" s="2368" t="s">
        <v>2834</v>
      </c>
      <c r="F58" s="2368" t="s">
        <v>2835</v>
      </c>
      <c r="G58" s="2368" t="s">
        <v>2836</v>
      </c>
      <c r="H58" s="2368" t="s">
        <v>2837</v>
      </c>
      <c r="I58" s="89"/>
      <c r="J58" s="515"/>
    </row>
    <row r="59" spans="1:25">
      <c r="A59" s="1408"/>
      <c r="B59" s="2794"/>
      <c r="C59" s="2802" t="s">
        <v>2359</v>
      </c>
      <c r="D59" s="2994"/>
      <c r="E59" s="2995"/>
      <c r="F59" s="2995"/>
      <c r="G59" s="2994"/>
      <c r="H59" s="2995"/>
      <c r="I59" s="133"/>
      <c r="J59" s="515"/>
    </row>
    <row r="60" spans="1:25">
      <c r="A60" s="1408"/>
      <c r="B60" s="2795"/>
      <c r="C60" s="2803" t="s">
        <v>2358</v>
      </c>
      <c r="D60" s="3029"/>
      <c r="E60" s="3030"/>
      <c r="F60" s="3030"/>
      <c r="G60" s="3030"/>
      <c r="H60" s="3030"/>
      <c r="I60" s="133"/>
      <c r="J60" s="515"/>
    </row>
    <row r="61" spans="1:25" ht="13.5" thickBot="1">
      <c r="A61" s="1408"/>
      <c r="B61" s="2796"/>
      <c r="C61" s="2804" t="s">
        <v>177</v>
      </c>
      <c r="D61" s="3032"/>
      <c r="E61" s="3033"/>
      <c r="F61" s="3033"/>
      <c r="G61" s="3033"/>
      <c r="H61" s="3033"/>
      <c r="I61" s="133"/>
      <c r="J61" s="515"/>
    </row>
    <row r="62" spans="1:25" ht="13.5" customHeight="1">
      <c r="A62" s="1408"/>
      <c r="B62" s="2800" t="s">
        <v>14</v>
      </c>
      <c r="C62" s="2797" t="s">
        <v>2361</v>
      </c>
      <c r="D62" s="2999"/>
      <c r="E62" s="3000"/>
      <c r="F62" s="3000"/>
      <c r="G62" s="3000"/>
      <c r="H62" s="3000"/>
      <c r="I62" s="411"/>
      <c r="J62" s="515"/>
    </row>
    <row r="63" spans="1:25" ht="13.5" customHeight="1">
      <c r="A63" s="1408"/>
      <c r="B63" s="2801" t="s">
        <v>17</v>
      </c>
      <c r="C63" s="2798" t="s">
        <v>567</v>
      </c>
      <c r="D63" s="3001"/>
      <c r="E63" s="3002"/>
      <c r="F63" s="3002"/>
      <c r="G63" s="3002"/>
      <c r="H63" s="3002"/>
      <c r="I63" s="411"/>
      <c r="J63" s="515"/>
    </row>
    <row r="64" spans="1:25" ht="13.5" customHeight="1">
      <c r="A64" s="1408"/>
      <c r="B64" s="2801" t="s">
        <v>386</v>
      </c>
      <c r="C64" s="2798" t="s">
        <v>2364</v>
      </c>
      <c r="D64" s="3001"/>
      <c r="E64" s="3002"/>
      <c r="F64" s="3002"/>
      <c r="G64" s="3002"/>
      <c r="H64" s="3002"/>
      <c r="I64" s="411"/>
      <c r="J64" s="515"/>
    </row>
    <row r="65" spans="1:10" ht="13.5" customHeight="1">
      <c r="A65" s="1408"/>
      <c r="B65" s="1420" t="s">
        <v>387</v>
      </c>
      <c r="C65" s="1419" t="s">
        <v>2365</v>
      </c>
      <c r="D65" s="3001"/>
      <c r="E65" s="3002"/>
      <c r="F65" s="3002"/>
      <c r="G65" s="3002"/>
      <c r="H65" s="3002"/>
      <c r="I65" s="411"/>
      <c r="J65" s="515"/>
    </row>
    <row r="66" spans="1:10">
      <c r="A66" s="1408"/>
      <c r="B66" s="1420" t="s">
        <v>2362</v>
      </c>
      <c r="C66" s="2799" t="s">
        <v>2366</v>
      </c>
      <c r="D66" s="3001"/>
      <c r="E66" s="3002"/>
      <c r="F66" s="3002"/>
      <c r="G66" s="3002"/>
      <c r="H66" s="3002"/>
      <c r="I66" s="133"/>
      <c r="J66" s="515"/>
    </row>
    <row r="67" spans="1:10">
      <c r="A67" s="1408"/>
      <c r="B67" s="2801" t="s">
        <v>2363</v>
      </c>
      <c r="C67" s="2798" t="s">
        <v>2367</v>
      </c>
      <c r="D67" s="3001"/>
      <c r="E67" s="3002"/>
      <c r="F67" s="3002"/>
      <c r="G67" s="3002"/>
      <c r="H67" s="3002"/>
      <c r="I67" s="133"/>
      <c r="J67" s="515"/>
    </row>
    <row r="68" spans="1:10">
      <c r="A68" s="1408"/>
      <c r="B68" s="1418">
        <v>3</v>
      </c>
      <c r="C68" s="1419" t="s">
        <v>2368</v>
      </c>
      <c r="D68" s="3001"/>
      <c r="E68" s="3002"/>
      <c r="F68" s="3002"/>
      <c r="G68" s="3002"/>
      <c r="H68" s="3002"/>
      <c r="I68" s="133"/>
      <c r="J68" s="515"/>
    </row>
    <row r="69" spans="1:10">
      <c r="A69" s="1408"/>
      <c r="B69" s="2801">
        <v>4</v>
      </c>
      <c r="C69" s="2798" t="s">
        <v>189</v>
      </c>
      <c r="D69" s="3001"/>
      <c r="E69" s="3002"/>
      <c r="F69" s="3002"/>
      <c r="G69" s="3002"/>
      <c r="H69" s="3002"/>
      <c r="I69" s="133"/>
      <c r="J69" s="515"/>
    </row>
    <row r="70" spans="1:10">
      <c r="A70" s="1408"/>
      <c r="B70" s="1418">
        <v>5</v>
      </c>
      <c r="C70" s="1419" t="s">
        <v>3645</v>
      </c>
      <c r="D70" s="3001"/>
      <c r="E70" s="3002"/>
      <c r="F70" s="3002"/>
      <c r="G70" s="3002"/>
      <c r="H70" s="3002"/>
      <c r="I70" s="133"/>
      <c r="J70" s="515"/>
    </row>
    <row r="71" spans="1:10">
      <c r="A71" s="1408"/>
      <c r="B71" s="1418">
        <v>6</v>
      </c>
      <c r="C71" s="1419" t="s">
        <v>2346</v>
      </c>
      <c r="D71" s="3001"/>
      <c r="E71" s="3002"/>
      <c r="F71" s="3002"/>
      <c r="G71" s="3002"/>
      <c r="H71" s="3002"/>
      <c r="I71" s="133"/>
      <c r="J71" s="515"/>
    </row>
    <row r="72" spans="1:10">
      <c r="A72" s="1408"/>
      <c r="B72" s="2801">
        <v>7</v>
      </c>
      <c r="C72" s="2798" t="s">
        <v>2347</v>
      </c>
      <c r="D72" s="3001"/>
      <c r="E72" s="3002"/>
      <c r="F72" s="3002"/>
      <c r="G72" s="3002"/>
      <c r="H72" s="3002"/>
      <c r="I72" s="3450" t="str">
        <f>IF(SUM(D72:H72)&gt;0,"Check Form 1116, Foreign Tax Credit","")</f>
        <v/>
      </c>
      <c r="J72" s="515"/>
    </row>
    <row r="73" spans="1:10">
      <c r="A73" s="1408"/>
      <c r="B73" s="1418">
        <v>8</v>
      </c>
      <c r="C73" s="1419" t="s">
        <v>2348</v>
      </c>
      <c r="D73" s="3001"/>
      <c r="E73" s="3002"/>
      <c r="F73" s="3002"/>
      <c r="G73" s="3002"/>
      <c r="H73" s="3002"/>
      <c r="I73" s="133"/>
      <c r="J73" s="515"/>
    </row>
    <row r="74" spans="1:10">
      <c r="A74" s="1408"/>
      <c r="B74" s="1418">
        <v>9</v>
      </c>
      <c r="C74" s="1419" t="s">
        <v>2369</v>
      </c>
      <c r="D74" s="3001"/>
      <c r="E74" s="3002"/>
      <c r="F74" s="3002"/>
      <c r="G74" s="3002"/>
      <c r="H74" s="3002"/>
      <c r="I74" s="133"/>
      <c r="J74" s="515"/>
    </row>
    <row r="75" spans="1:10">
      <c r="A75" s="1408"/>
      <c r="B75" s="1418">
        <v>10</v>
      </c>
      <c r="C75" s="1419" t="s">
        <v>2370</v>
      </c>
      <c r="D75" s="3001"/>
      <c r="E75" s="3002"/>
      <c r="F75" s="3002"/>
      <c r="G75" s="3002"/>
      <c r="H75" s="3002"/>
      <c r="I75" s="133"/>
      <c r="J75" s="515"/>
    </row>
    <row r="76" spans="1:10">
      <c r="A76" s="1408"/>
      <c r="B76" s="2801">
        <v>11</v>
      </c>
      <c r="C76" s="2798" t="s">
        <v>2371</v>
      </c>
      <c r="D76" s="3001"/>
      <c r="E76" s="3002"/>
      <c r="F76" s="3002"/>
      <c r="G76" s="3002"/>
      <c r="H76" s="3002"/>
      <c r="I76" s="133"/>
      <c r="J76" s="515"/>
    </row>
    <row r="77" spans="1:10">
      <c r="A77" s="1408"/>
      <c r="B77" s="2801">
        <v>12</v>
      </c>
      <c r="C77" s="2798" t="s">
        <v>2372</v>
      </c>
      <c r="D77" s="3001"/>
      <c r="E77" s="3002"/>
      <c r="F77" s="3002"/>
      <c r="G77" s="3002"/>
      <c r="H77" s="3002"/>
      <c r="I77" s="133"/>
      <c r="J77" s="515"/>
    </row>
    <row r="78" spans="1:10">
      <c r="A78" s="1408"/>
      <c r="B78" s="1418">
        <v>13</v>
      </c>
      <c r="C78" s="1419" t="s">
        <v>2356</v>
      </c>
      <c r="D78" s="3001"/>
      <c r="E78" s="3002"/>
      <c r="F78" s="3002"/>
      <c r="G78" s="3002"/>
      <c r="H78" s="3002"/>
      <c r="I78" s="133"/>
      <c r="J78" s="515"/>
    </row>
    <row r="79" spans="1:10">
      <c r="A79" s="1408"/>
      <c r="B79" s="1418">
        <v>14</v>
      </c>
      <c r="C79" s="1419" t="s">
        <v>2357</v>
      </c>
      <c r="D79" s="3001"/>
      <c r="E79" s="3002"/>
      <c r="F79" s="3002"/>
      <c r="G79" s="3002"/>
      <c r="H79" s="3002"/>
      <c r="I79" s="133"/>
      <c r="J79" s="515"/>
    </row>
    <row r="80" spans="1:10" ht="13.5" thickBot="1">
      <c r="A80" s="1408"/>
      <c r="B80" s="4284">
        <v>15</v>
      </c>
      <c r="C80" s="2811" t="s">
        <v>482</v>
      </c>
      <c r="D80" s="3011"/>
      <c r="E80" s="3012"/>
      <c r="F80" s="3012"/>
      <c r="G80" s="3012"/>
      <c r="H80" s="3012"/>
      <c r="I80" s="133"/>
      <c r="J80" s="515"/>
    </row>
    <row r="81" spans="1:25" ht="17.25" customHeight="1" thickBot="1">
      <c r="A81" s="1408"/>
      <c r="B81" s="2953" t="s">
        <v>2494</v>
      </c>
      <c r="C81" s="1408"/>
      <c r="D81" s="1408"/>
      <c r="E81" s="1408"/>
      <c r="F81" s="1408"/>
      <c r="G81" s="1408"/>
      <c r="H81" s="1408"/>
      <c r="I81" s="133"/>
      <c r="J81" s="515"/>
    </row>
    <row r="82" spans="1:25" s="3019" customFormat="1" hidden="1">
      <c r="D82" s="3019" t="str">
        <f>IF(D59&lt;&gt;"",D59,"")</f>
        <v/>
      </c>
      <c r="E82" s="3019" t="str">
        <f>IF(E59&lt;&gt;"",E59,"")</f>
        <v/>
      </c>
      <c r="F82" s="3019" t="str">
        <f>IF(F59&lt;&gt;"",F59,"")</f>
        <v/>
      </c>
      <c r="G82" s="3019" t="str">
        <f>IF(G59&lt;&gt;"",G59,"")</f>
        <v/>
      </c>
      <c r="H82" s="3019" t="str">
        <f>IF(H59&lt;&gt;"",H59,"")</f>
        <v/>
      </c>
      <c r="I82" s="133"/>
      <c r="K82" s="3428"/>
      <c r="L82" s="3428"/>
      <c r="M82" s="3428"/>
      <c r="N82" s="3428"/>
      <c r="O82" s="3428"/>
      <c r="P82" s="3428"/>
      <c r="Q82" s="3428"/>
      <c r="R82" s="3428"/>
      <c r="S82" s="3428"/>
      <c r="T82" s="3428"/>
      <c r="U82" s="3428"/>
      <c r="V82" s="3428"/>
      <c r="W82" s="3428"/>
      <c r="X82" s="3428"/>
      <c r="Y82" s="3428"/>
    </row>
    <row r="83" spans="1:25" s="3019" customFormat="1" hidden="1">
      <c r="D83" s="3019" t="str">
        <f>IF(D60&lt;&gt;"", " - "&amp;D60,"")</f>
        <v/>
      </c>
      <c r="E83" s="3019" t="str">
        <f>IF(E60&lt;&gt;"", " - "&amp;E60,"")</f>
        <v/>
      </c>
      <c r="F83" s="3019" t="str">
        <f>IF(F60&lt;&gt;"", " - "&amp;F60,"")</f>
        <v/>
      </c>
      <c r="G83" s="3019" t="str">
        <f>IF(G60&lt;&gt;"", " - "&amp;G60,"")</f>
        <v/>
      </c>
      <c r="H83" s="3019" t="str">
        <f>IF(H60&lt;&gt;"", " - "&amp;H60,"")</f>
        <v/>
      </c>
      <c r="I83" s="133"/>
      <c r="K83" s="3428"/>
      <c r="L83" s="3428"/>
      <c r="M83" s="3428"/>
      <c r="N83" s="3428"/>
      <c r="O83" s="3428"/>
      <c r="P83" s="3428"/>
      <c r="Q83" s="3428"/>
      <c r="R83" s="3428"/>
      <c r="S83" s="3428"/>
      <c r="T83" s="3428"/>
      <c r="U83" s="3428"/>
      <c r="V83" s="3428"/>
      <c r="W83" s="3428"/>
      <c r="X83" s="3428"/>
      <c r="Y83" s="3428"/>
    </row>
    <row r="84" spans="1:25" s="3019" customFormat="1" hidden="1">
      <c r="D84" s="3019" t="str">
        <f>IF(D61&lt;&gt;""," - "&amp;D61,"")</f>
        <v/>
      </c>
      <c r="E84" s="3019" t="str">
        <f>IF(E61&lt;&gt;""," - "&amp;E61,"")</f>
        <v/>
      </c>
      <c r="F84" s="3019" t="str">
        <f>IF(F61&lt;&gt;""," - "&amp;F61,"")</f>
        <v/>
      </c>
      <c r="G84" s="3019" t="str">
        <f>IF(G61&lt;&gt;""," - "&amp;G61,"")</f>
        <v/>
      </c>
      <c r="H84" s="3019" t="str">
        <f>IF(H61&lt;&gt;""," - "&amp;H61,"")</f>
        <v/>
      </c>
      <c r="I84" s="133"/>
      <c r="J84"/>
      <c r="K84" s="3428"/>
      <c r="L84" s="3428"/>
      <c r="M84" s="3428"/>
      <c r="N84" s="3428"/>
      <c r="O84" s="3428"/>
      <c r="P84" s="3428"/>
      <c r="Q84" s="3428"/>
      <c r="R84" s="3428"/>
      <c r="S84" s="3428"/>
      <c r="T84" s="3428"/>
      <c r="U84" s="3428"/>
      <c r="V84" s="3428"/>
      <c r="W84" s="3428"/>
      <c r="X84" s="3428"/>
      <c r="Y84" s="3428"/>
    </row>
    <row r="85" spans="1:25" s="3019" customFormat="1" ht="13.5" hidden="1" thickBot="1">
      <c r="D85" s="3429" t="str">
        <f>IF(D62="","",D82&amp;D83&amp;D84)</f>
        <v/>
      </c>
      <c r="E85" s="3429" t="str">
        <f>IF(E62="","",E82&amp;E83&amp;E84)</f>
        <v/>
      </c>
      <c r="F85" s="3429" t="str">
        <f>IF(F62="","",F82&amp;F83&amp;F84)</f>
        <v/>
      </c>
      <c r="G85" s="3429" t="str">
        <f>IF(G62="","",G82&amp;G83&amp;G84)</f>
        <v/>
      </c>
      <c r="H85" s="3429" t="str">
        <f>IF(H62="","",H82&amp;H83&amp;H84)</f>
        <v/>
      </c>
      <c r="I85" s="133"/>
      <c r="J85"/>
      <c r="K85" s="3428"/>
      <c r="L85" s="3428"/>
      <c r="M85" s="3428"/>
      <c r="N85" s="3428"/>
      <c r="O85" s="3428"/>
      <c r="P85" s="3428"/>
      <c r="Q85" s="3428"/>
      <c r="R85" s="3428"/>
      <c r="S85" s="3428"/>
      <c r="T85" s="3428"/>
      <c r="U85" s="3428"/>
      <c r="V85" s="3428"/>
      <c r="W85" s="3428"/>
      <c r="X85" s="3428"/>
      <c r="Y85" s="3428"/>
    </row>
    <row r="86" spans="1:25" ht="42" customHeight="1" thickTop="1" thickBot="1">
      <c r="A86" s="1417"/>
      <c r="B86" s="891"/>
      <c r="C86" s="1621" t="str">
        <f>IF(Name_1st_Yours="","Enter your name(s) on the"&amp;CHAR(10)&amp;"sheet labeled '1040'",Names)</f>
        <v>Enter your name(s) on the
sheet labeled '1040'</v>
      </c>
      <c r="D86" s="2368" t="s">
        <v>2879</v>
      </c>
      <c r="E86" s="2368" t="s">
        <v>2880</v>
      </c>
      <c r="F86" s="2368" t="s">
        <v>2881</v>
      </c>
      <c r="G86" s="2368" t="s">
        <v>2882</v>
      </c>
      <c r="H86" s="2368" t="s">
        <v>230</v>
      </c>
      <c r="I86" s="89" t="s">
        <v>2433</v>
      </c>
      <c r="J86" s="515"/>
    </row>
    <row r="87" spans="1:25">
      <c r="A87" s="1408"/>
      <c r="B87" s="2794"/>
      <c r="C87" s="2802" t="s">
        <v>2359</v>
      </c>
      <c r="D87" s="2994"/>
      <c r="E87" s="2995"/>
      <c r="F87" s="2995"/>
      <c r="G87" s="2995"/>
      <c r="H87" s="4603"/>
      <c r="I87" s="3451"/>
      <c r="J87" s="1408"/>
      <c r="Y87"/>
    </row>
    <row r="88" spans="1:25">
      <c r="A88" s="1408"/>
      <c r="B88" s="2795"/>
      <c r="C88" s="2803" t="s">
        <v>2358</v>
      </c>
      <c r="D88" s="3029"/>
      <c r="E88" s="3030"/>
      <c r="F88" s="3030"/>
      <c r="G88" s="3030"/>
      <c r="H88" s="5096"/>
      <c r="I88" s="3147"/>
      <c r="J88" s="1408"/>
      <c r="Y88"/>
    </row>
    <row r="89" spans="1:25" ht="13.5" thickBot="1">
      <c r="A89" s="1408"/>
      <c r="B89" s="2796"/>
      <c r="C89" s="2804" t="s">
        <v>177</v>
      </c>
      <c r="D89" s="3032"/>
      <c r="E89" s="3033"/>
      <c r="F89" s="3033"/>
      <c r="G89" s="3033"/>
      <c r="H89" s="5097"/>
      <c r="I89" s="3147">
        <f>SUM(ForeignTaxPaid_INT,ForeignTaxPaid_DIV)</f>
        <v>0</v>
      </c>
      <c r="J89" s="1408"/>
      <c r="Y89"/>
    </row>
    <row r="90" spans="1:25" ht="13.5" customHeight="1">
      <c r="A90" s="1408"/>
      <c r="B90" s="2800" t="s">
        <v>14</v>
      </c>
      <c r="C90" s="2797" t="s">
        <v>2361</v>
      </c>
      <c r="D90" s="2999"/>
      <c r="E90" s="3000"/>
      <c r="F90" s="3000"/>
      <c r="G90" s="3000"/>
      <c r="H90" s="3425">
        <f t="shared" ref="H90:H100" si="0">SUM(D6:H6,D34:H34,D62:H62,D90:G90)</f>
        <v>0</v>
      </c>
      <c r="I90" s="2918" t="s">
        <v>4831</v>
      </c>
      <c r="J90" s="1408"/>
      <c r="Y90"/>
    </row>
    <row r="91" spans="1:25" ht="13.5" customHeight="1">
      <c r="A91" s="1408"/>
      <c r="B91" s="2801" t="s">
        <v>17</v>
      </c>
      <c r="C91" s="2798" t="s">
        <v>567</v>
      </c>
      <c r="D91" s="3001"/>
      <c r="E91" s="3002"/>
      <c r="F91" s="3002"/>
      <c r="G91" s="3002"/>
      <c r="H91" s="3426">
        <f t="shared" si="0"/>
        <v>0</v>
      </c>
      <c r="I91" s="2918" t="s">
        <v>4832</v>
      </c>
      <c r="J91" s="1408"/>
      <c r="Y91"/>
    </row>
    <row r="92" spans="1:25" ht="13.5" customHeight="1">
      <c r="A92" s="1408"/>
      <c r="B92" s="2801" t="s">
        <v>386</v>
      </c>
      <c r="C92" s="2798" t="s">
        <v>2364</v>
      </c>
      <c r="D92" s="3001"/>
      <c r="E92" s="3002"/>
      <c r="F92" s="3002"/>
      <c r="G92" s="3002"/>
      <c r="H92" s="3426">
        <f t="shared" si="0"/>
        <v>0</v>
      </c>
      <c r="I92" s="2918" t="s">
        <v>2437</v>
      </c>
      <c r="J92" s="1408"/>
      <c r="Y92"/>
    </row>
    <row r="93" spans="1:25" ht="13.5" customHeight="1">
      <c r="A93" s="1408"/>
      <c r="B93" s="1418" t="s">
        <v>387</v>
      </c>
      <c r="C93" s="1419" t="s">
        <v>2365</v>
      </c>
      <c r="D93" s="3001"/>
      <c r="E93" s="3002"/>
      <c r="F93" s="3002"/>
      <c r="G93" s="3002"/>
      <c r="H93" s="3427">
        <f t="shared" si="0"/>
        <v>0</v>
      </c>
      <c r="I93" s="2918"/>
      <c r="J93" s="1408"/>
      <c r="Y93"/>
    </row>
    <row r="94" spans="1:25" ht="26.25" customHeight="1">
      <c r="A94" s="1408"/>
      <c r="B94" s="1420" t="s">
        <v>2362</v>
      </c>
      <c r="C94" s="2799" t="s">
        <v>2366</v>
      </c>
      <c r="D94" s="3001"/>
      <c r="E94" s="3002"/>
      <c r="F94" s="3002"/>
      <c r="G94" s="3002"/>
      <c r="H94" s="3427">
        <f t="shared" si="0"/>
        <v>0</v>
      </c>
      <c r="I94" s="2629"/>
      <c r="J94" s="1408"/>
      <c r="Y94"/>
    </row>
    <row r="95" spans="1:25">
      <c r="A95" s="1408"/>
      <c r="B95" s="2801" t="s">
        <v>2363</v>
      </c>
      <c r="C95" s="2798" t="s">
        <v>2367</v>
      </c>
      <c r="D95" s="3001"/>
      <c r="E95" s="3002"/>
      <c r="F95" s="3002"/>
      <c r="G95" s="3002"/>
      <c r="H95" s="3426">
        <f t="shared" si="0"/>
        <v>0</v>
      </c>
      <c r="I95" s="2918" t="s">
        <v>2438</v>
      </c>
      <c r="J95" s="1408"/>
      <c r="Y95"/>
    </row>
    <row r="96" spans="1:25">
      <c r="A96" s="1408"/>
      <c r="B96" s="1418">
        <v>3</v>
      </c>
      <c r="C96" s="1419" t="s">
        <v>2368</v>
      </c>
      <c r="D96" s="3001"/>
      <c r="E96" s="3002"/>
      <c r="F96" s="3002"/>
      <c r="G96" s="3002"/>
      <c r="H96" s="3427">
        <f t="shared" si="0"/>
        <v>0</v>
      </c>
      <c r="I96" s="2918"/>
      <c r="J96" s="1408"/>
      <c r="Y96"/>
    </row>
    <row r="97" spans="1:25">
      <c r="A97" s="1408"/>
      <c r="B97" s="2801">
        <v>4</v>
      </c>
      <c r="C97" s="2798" t="s">
        <v>189</v>
      </c>
      <c r="D97" s="3001"/>
      <c r="E97" s="3002"/>
      <c r="F97" s="3002"/>
      <c r="G97" s="3002"/>
      <c r="H97" s="3426">
        <f t="shared" si="0"/>
        <v>0</v>
      </c>
      <c r="I97" s="2918" t="s">
        <v>4115</v>
      </c>
      <c r="J97" s="1408"/>
      <c r="Y97"/>
    </row>
    <row r="98" spans="1:25">
      <c r="A98" s="1408"/>
      <c r="B98" s="1418">
        <v>5</v>
      </c>
      <c r="C98" s="1419" t="s">
        <v>3645</v>
      </c>
      <c r="D98" s="3001"/>
      <c r="E98" s="3002"/>
      <c r="F98" s="3002"/>
      <c r="G98" s="3002"/>
      <c r="H98" s="3427">
        <f t="shared" si="0"/>
        <v>0</v>
      </c>
      <c r="I98" s="2918"/>
      <c r="J98" s="1408"/>
      <c r="Y98"/>
    </row>
    <row r="99" spans="1:25">
      <c r="A99" s="1408"/>
      <c r="B99" s="1418">
        <v>6</v>
      </c>
      <c r="C99" s="1419" t="s">
        <v>2346</v>
      </c>
      <c r="D99" s="3001"/>
      <c r="E99" s="3002"/>
      <c r="F99" s="3002"/>
      <c r="G99" s="3002"/>
      <c r="H99" s="3427">
        <f t="shared" si="0"/>
        <v>0</v>
      </c>
      <c r="I99" s="2918"/>
      <c r="J99" s="1408"/>
      <c r="Y99"/>
    </row>
    <row r="100" spans="1:25">
      <c r="A100" s="1408"/>
      <c r="B100" s="2801">
        <v>7</v>
      </c>
      <c r="C100" s="2798" t="s">
        <v>2347</v>
      </c>
      <c r="D100" s="3001"/>
      <c r="E100" s="3002"/>
      <c r="F100" s="3002"/>
      <c r="G100" s="3002"/>
      <c r="H100" s="3426">
        <f t="shared" si="0"/>
        <v>0</v>
      </c>
      <c r="I100" s="2919" t="s">
        <v>4193</v>
      </c>
      <c r="J100" s="1408"/>
      <c r="Y100"/>
    </row>
    <row r="101" spans="1:25">
      <c r="A101" s="1408"/>
      <c r="B101" s="1418">
        <v>8</v>
      </c>
      <c r="C101" s="1419" t="s">
        <v>2348</v>
      </c>
      <c r="D101" s="3001"/>
      <c r="E101" s="3002"/>
      <c r="F101" s="3002"/>
      <c r="G101" s="3002"/>
      <c r="H101" s="3146" t="str">
        <f>" - - - -"</f>
        <v xml:space="preserve"> - - - -</v>
      </c>
      <c r="I101" s="4604" t="str">
        <f>IF(ForeignTaxPaid_DIV&gt;0,"Check Form 1116, Foreign Tax Credit","")</f>
        <v/>
      </c>
      <c r="J101" s="1408"/>
      <c r="Y101"/>
    </row>
    <row r="102" spans="1:25">
      <c r="A102" s="1408"/>
      <c r="B102" s="1418">
        <v>9</v>
      </c>
      <c r="C102" s="1419" t="s">
        <v>2369</v>
      </c>
      <c r="D102" s="3001"/>
      <c r="E102" s="3002"/>
      <c r="F102" s="3002"/>
      <c r="G102" s="3002"/>
      <c r="H102" s="3427">
        <f>SUM(D18:H18,D46:H46,D74:H74,D102:G102)</f>
        <v>0</v>
      </c>
      <c r="I102" s="3450"/>
      <c r="J102" s="1408"/>
      <c r="Y102"/>
    </row>
    <row r="103" spans="1:25">
      <c r="A103" s="1408"/>
      <c r="B103" s="1418">
        <v>10</v>
      </c>
      <c r="C103" s="1419" t="s">
        <v>2370</v>
      </c>
      <c r="D103" s="3001"/>
      <c r="E103" s="3002"/>
      <c r="F103" s="3002"/>
      <c r="G103" s="3002"/>
      <c r="H103" s="3427">
        <f>SUM(D19:H19,D47:H47,D75:H75,D103:G103)</f>
        <v>0</v>
      </c>
      <c r="I103" s="2918"/>
      <c r="J103" s="1408"/>
      <c r="Y103"/>
    </row>
    <row r="104" spans="1:25">
      <c r="A104" s="1408"/>
      <c r="B104" s="2801">
        <v>11</v>
      </c>
      <c r="C104" s="2798" t="s">
        <v>2371</v>
      </c>
      <c r="D104" s="3001"/>
      <c r="E104" s="3002"/>
      <c r="F104" s="3002"/>
      <c r="G104" s="3002"/>
      <c r="H104" s="3426">
        <f>SUM(D20:H20,D48:H48,D76:H76,D104:G104)</f>
        <v>0</v>
      </c>
      <c r="I104" s="2918" t="s">
        <v>4915</v>
      </c>
      <c r="J104" s="1408"/>
      <c r="Y104"/>
    </row>
    <row r="105" spans="1:25">
      <c r="A105" s="1408"/>
      <c r="B105" s="2801">
        <v>12</v>
      </c>
      <c r="C105" s="2798" t="s">
        <v>2372</v>
      </c>
      <c r="D105" s="3001"/>
      <c r="E105" s="3002"/>
      <c r="F105" s="3002"/>
      <c r="G105" s="3002"/>
      <c r="H105" s="3426">
        <f>SUM(D21:H21,D49:H49,D77:H77,D105:G105)</f>
        <v>0</v>
      </c>
      <c r="I105" s="2918" t="s">
        <v>4916</v>
      </c>
      <c r="J105" s="1408"/>
      <c r="Y105"/>
    </row>
    <row r="106" spans="1:25">
      <c r="A106" s="1408"/>
      <c r="B106" s="1418">
        <v>13</v>
      </c>
      <c r="C106" s="1419" t="s">
        <v>2356</v>
      </c>
      <c r="D106" s="3001"/>
      <c r="E106" s="3002"/>
      <c r="F106" s="3002"/>
      <c r="G106" s="3002"/>
      <c r="H106" s="3146" t="str">
        <f>" - - - -"</f>
        <v xml:space="preserve"> - - - -</v>
      </c>
      <c r="I106" s="2918"/>
      <c r="J106" s="1408"/>
      <c r="Y106"/>
    </row>
    <row r="107" spans="1:25">
      <c r="A107" s="1408"/>
      <c r="B107" s="1418">
        <v>14</v>
      </c>
      <c r="C107" s="1419" t="s">
        <v>2357</v>
      </c>
      <c r="D107" s="3001"/>
      <c r="E107" s="3002"/>
      <c r="F107" s="3002"/>
      <c r="G107" s="3002"/>
      <c r="H107" s="3146" t="str">
        <f>" - - - -"</f>
        <v xml:space="preserve"> - - - -</v>
      </c>
      <c r="I107" s="2918"/>
      <c r="J107" s="1408"/>
      <c r="Y107"/>
    </row>
    <row r="108" spans="1:25" ht="13.5" thickBot="1">
      <c r="A108" s="1408"/>
      <c r="B108" s="4284">
        <v>15</v>
      </c>
      <c r="C108" s="2811" t="s">
        <v>482</v>
      </c>
      <c r="D108" s="3011"/>
      <c r="E108" s="3012"/>
      <c r="F108" s="3012"/>
      <c r="G108" s="3012"/>
      <c r="H108" s="3430">
        <f>SUM(D24:H24,D52:H52,D80:H80,D108:G108)</f>
        <v>0</v>
      </c>
      <c r="I108" s="2918" t="s">
        <v>4917</v>
      </c>
      <c r="J108" s="1408"/>
      <c r="Y108"/>
    </row>
    <row r="109" spans="1:25" ht="17.25" customHeight="1" thickBot="1">
      <c r="A109" s="24"/>
      <c r="B109" s="2953" t="s">
        <v>2494</v>
      </c>
      <c r="C109" s="24"/>
      <c r="D109" s="24"/>
      <c r="E109" s="24"/>
      <c r="F109" s="24"/>
      <c r="G109" s="24"/>
      <c r="H109" s="24"/>
      <c r="I109" s="24"/>
      <c r="J109" s="1408"/>
      <c r="Y109"/>
    </row>
    <row r="110" spans="1:25" s="3019" customFormat="1" hidden="1">
      <c r="D110" s="3019" t="str">
        <f>IF(D87&lt;&gt;"",D87,"")</f>
        <v/>
      </c>
      <c r="E110" s="3019" t="str">
        <f>IF(E87&lt;&gt;"",E87,"")</f>
        <v/>
      </c>
      <c r="F110" s="3019" t="str">
        <f>IF(F87&lt;&gt;"",F87,"")</f>
        <v/>
      </c>
      <c r="G110" s="3019" t="str">
        <f>IF(G87&lt;&gt;"",G87,"")</f>
        <v/>
      </c>
      <c r="J110"/>
      <c r="K110" s="3428"/>
      <c r="L110" s="3428"/>
      <c r="M110" s="3428"/>
      <c r="N110" s="3428"/>
      <c r="O110" s="3428"/>
      <c r="P110" s="3428"/>
      <c r="Q110" s="3428"/>
      <c r="R110" s="3428"/>
      <c r="S110" s="3428"/>
      <c r="T110" s="3428"/>
      <c r="U110" s="3428"/>
      <c r="V110" s="3428"/>
      <c r="W110" s="3428"/>
      <c r="X110" s="3428"/>
    </row>
    <row r="111" spans="1:25" s="3019" customFormat="1" hidden="1">
      <c r="D111" s="3019" t="str">
        <f>IF(D88&lt;&gt;"", " - "&amp;D88,"")</f>
        <v/>
      </c>
      <c r="E111" s="3019" t="str">
        <f>IF(E88&lt;&gt;"", " - "&amp;E88,"")</f>
        <v/>
      </c>
      <c r="F111" s="3019" t="str">
        <f>IF(F88&lt;&gt;"", " - "&amp;F88,"")</f>
        <v/>
      </c>
      <c r="G111" s="3019" t="str">
        <f>IF(G88&lt;&gt;"", " - "&amp;G88,"")</f>
        <v/>
      </c>
      <c r="J111"/>
      <c r="K111" s="3428"/>
      <c r="L111" s="3428"/>
      <c r="M111" s="3428"/>
      <c r="N111" s="3428"/>
      <c r="O111" s="3428"/>
      <c r="P111" s="3428"/>
      <c r="Q111" s="3428"/>
      <c r="R111" s="3428"/>
      <c r="S111" s="3428"/>
      <c r="T111" s="3428"/>
      <c r="U111" s="3428"/>
      <c r="V111" s="3428"/>
      <c r="W111" s="3428"/>
      <c r="X111" s="3428"/>
    </row>
    <row r="112" spans="1:25" s="3019" customFormat="1" hidden="1">
      <c r="D112" s="3019" t="str">
        <f>IF(D89&lt;&gt;""," - "&amp;D89,"")</f>
        <v/>
      </c>
      <c r="E112" s="3019" t="str">
        <f>IF(E89&lt;&gt;""," - "&amp;E89,"")</f>
        <v/>
      </c>
      <c r="F112" s="3019" t="str">
        <f>IF(F89&lt;&gt;""," - "&amp;F89,"")</f>
        <v/>
      </c>
      <c r="G112" s="3019" t="str">
        <f>IF(G89&lt;&gt;""," - "&amp;G89,"")</f>
        <v/>
      </c>
      <c r="J112"/>
      <c r="K112" s="3428"/>
      <c r="L112" s="3428"/>
      <c r="M112" s="3428"/>
      <c r="N112" s="3428"/>
      <c r="O112" s="3428"/>
      <c r="P112" s="3428"/>
      <c r="Q112" s="3428"/>
      <c r="R112" s="3428"/>
      <c r="S112" s="3428"/>
      <c r="T112" s="3428"/>
      <c r="U112" s="3428"/>
      <c r="V112" s="3428"/>
      <c r="W112" s="3428"/>
      <c r="X112" s="3428"/>
    </row>
    <row r="113" spans="1:25" s="3019" customFormat="1" ht="13.5" hidden="1" thickBot="1">
      <c r="D113" s="3429" t="str">
        <f>IF(D90="","",D110&amp;D111&amp;D112)</f>
        <v/>
      </c>
      <c r="E113" s="3429" t="str">
        <f>IF(E90="","",E110&amp;E111&amp;E112)</f>
        <v/>
      </c>
      <c r="F113" s="3429" t="str">
        <f>IF(F90="","",F110&amp;F111&amp;F112)</f>
        <v/>
      </c>
      <c r="G113" s="3429" t="str">
        <f>IF(G90="","",G110&amp;G111&amp;G112)</f>
        <v/>
      </c>
      <c r="H113" s="3429" t="str">
        <f>IF(H90="","",H110&amp;H111&amp;H112)</f>
        <v/>
      </c>
      <c r="J113"/>
      <c r="K113" s="3428"/>
      <c r="L113" s="3428"/>
      <c r="M113" s="3428"/>
      <c r="N113" s="3428"/>
      <c r="O113" s="3428"/>
      <c r="P113" s="3428"/>
      <c r="Q113" s="3428"/>
      <c r="R113" s="3428"/>
      <c r="S113" s="3428"/>
      <c r="T113" s="3428"/>
      <c r="U113" s="3428"/>
      <c r="V113" s="3428"/>
      <c r="W113" s="3428"/>
      <c r="X113" s="3428"/>
      <c r="Y113" s="3428"/>
    </row>
    <row r="114" spans="1:25" ht="13.5" thickTop="1">
      <c r="A114" s="3543"/>
      <c r="Y114"/>
    </row>
    <row r="115" spans="1:25">
      <c r="Y115"/>
    </row>
    <row r="116" spans="1:25">
      <c r="Y116"/>
    </row>
    <row r="117" spans="1:25" ht="13.5" thickBot="1">
      <c r="Y117"/>
    </row>
    <row r="118" spans="1:25">
      <c r="C118" s="5243"/>
      <c r="Y118"/>
    </row>
    <row r="119" spans="1:25">
      <c r="C119" s="5239" t="s">
        <v>5009</v>
      </c>
      <c r="Y119"/>
    </row>
    <row r="120" spans="1:25" ht="13.5" thickBot="1">
      <c r="C120" s="5244"/>
      <c r="Y120"/>
    </row>
  </sheetData>
  <sheetProtection password="F07E" sheet="1" objects="1" scenarios="1"/>
  <conditionalFormatting sqref="D2:H7 D21:H24 D87:G95 E8:H11 E13:H19 D97:G108">
    <cfRule type="expression" dxfId="3076" priority="27">
      <formula>IF(NoColor,1,0)</formula>
    </cfRule>
  </conditionalFormatting>
  <conditionalFormatting sqref="E20:H20">
    <cfRule type="expression" dxfId="3075" priority="19">
      <formula>IF(NoColor,1,0)</formula>
    </cfRule>
  </conditionalFormatting>
  <conditionalFormatting sqref="D30:H30 D49:H52 D34:H39 D41:H47">
    <cfRule type="expression" dxfId="3074" priority="18">
      <formula>IF(NoColor,1,0)</formula>
    </cfRule>
  </conditionalFormatting>
  <conditionalFormatting sqref="D48:H48">
    <cfRule type="expression" dxfId="3073" priority="17">
      <formula>IF(NoColor,1,0)</formula>
    </cfRule>
  </conditionalFormatting>
  <conditionalFormatting sqref="D31:H33">
    <cfRule type="expression" dxfId="3072" priority="16">
      <formula>IF(NoColor,1,0)</formula>
    </cfRule>
  </conditionalFormatting>
  <conditionalFormatting sqref="D58:H58 D80:H80 D62:H64 D69:D75 F69:H75 D65:D67 F65:H67 D77:D79 F77:H79 E65:E79">
    <cfRule type="expression" dxfId="3071" priority="14">
      <formula>IF(NoColor,1,0)</formula>
    </cfRule>
  </conditionalFormatting>
  <conditionalFormatting sqref="D76 F76:H76">
    <cfRule type="expression" dxfId="3070" priority="13">
      <formula>IF(NoColor,1,0)</formula>
    </cfRule>
  </conditionalFormatting>
  <conditionalFormatting sqref="D59:H61">
    <cfRule type="expression" dxfId="3069" priority="12">
      <formula>IF(NoColor,1,0)</formula>
    </cfRule>
  </conditionalFormatting>
  <conditionalFormatting sqref="D8:D11 D13:D20">
    <cfRule type="expression" dxfId="3068" priority="11">
      <formula>IF(NoColor,1,0)</formula>
    </cfRule>
  </conditionalFormatting>
  <conditionalFormatting sqref="E12:H12">
    <cfRule type="expression" dxfId="3067" priority="10">
      <formula>IF(NoColor,1,0)</formula>
    </cfRule>
  </conditionalFormatting>
  <conditionalFormatting sqref="D12">
    <cfRule type="expression" dxfId="3066" priority="9">
      <formula>IF(NoColor,1,0)</formula>
    </cfRule>
  </conditionalFormatting>
  <conditionalFormatting sqref="E40:H40">
    <cfRule type="expression" dxfId="3065" priority="8">
      <formula>IF(NoColor,1,0)</formula>
    </cfRule>
  </conditionalFormatting>
  <conditionalFormatting sqref="D40">
    <cfRule type="expression" dxfId="3064" priority="7">
      <formula>IF(NoColor,1,0)</formula>
    </cfRule>
  </conditionalFormatting>
  <conditionalFormatting sqref="F68:H68">
    <cfRule type="expression" dxfId="3063" priority="6">
      <formula>IF(NoColor,1,0)</formula>
    </cfRule>
  </conditionalFormatting>
  <conditionalFormatting sqref="D68">
    <cfRule type="expression" dxfId="3062" priority="5">
      <formula>IF(NoColor,1,0)</formula>
    </cfRule>
  </conditionalFormatting>
  <conditionalFormatting sqref="E96:G96">
    <cfRule type="expression" dxfId="3061" priority="4">
      <formula>IF(NoColor,1,0)</formula>
    </cfRule>
  </conditionalFormatting>
  <conditionalFormatting sqref="D96">
    <cfRule type="expression" dxfId="3060" priority="3">
      <formula>IF(NoColor,1,0)</formula>
    </cfRule>
  </conditionalFormatting>
  <conditionalFormatting sqref="D86:H86">
    <cfRule type="expression" dxfId="3059" priority="2">
      <formula>IF(NoColor,1,0)</formula>
    </cfRule>
  </conditionalFormatting>
  <conditionalFormatting sqref="H87:H108">
    <cfRule type="expression" dxfId="3058" priority="1">
      <formula>NoColor</formula>
    </cfRule>
  </conditionalFormatting>
  <hyperlinks>
    <hyperlink ref="C119" location="'Table of Contents'!A1" display="Table of Contents"/>
  </hyperlinks>
  <printOptions gridLines="1" gridLinesSet="0"/>
  <pageMargins left="0.75" right="0.75" top="1" bottom="1" header="0.5" footer="0.5"/>
  <pageSetup scale="52" fitToHeight="0" orientation="landscape" horizontalDpi="360" verticalDpi="360" r:id="rId1"/>
  <headerFooter alignWithMargins="0">
    <oddHeader>&amp;A</oddHeader>
    <oddFooter>Page &amp;P</oddFooter>
  </headerFooter>
  <rowBreaks count="1" manualBreakCount="1">
    <brk id="53"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1"/>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5.7109375" customWidth="1"/>
    <col min="4" max="8" width="19.85546875" customWidth="1"/>
    <col min="9" max="9" width="46.42578125" customWidth="1"/>
    <col min="10" max="10" width="5.5703125" customWidth="1"/>
    <col min="11" max="25" width="9.140625" style="5267"/>
  </cols>
  <sheetData>
    <row r="1" spans="1:25" ht="42" customHeight="1" thickBot="1">
      <c r="A1" s="1416"/>
      <c r="B1" s="2976" t="s">
        <v>4872</v>
      </c>
      <c r="C1" s="493"/>
      <c r="D1" s="494"/>
      <c r="E1" s="2915"/>
      <c r="F1" s="494"/>
      <c r="G1" s="494"/>
      <c r="H1" s="494"/>
      <c r="I1" s="494"/>
      <c r="J1" s="3079"/>
      <c r="K1" s="3166" t="s">
        <v>2552</v>
      </c>
      <c r="L1" s="3167"/>
      <c r="M1" s="3167"/>
      <c r="N1" s="3167"/>
      <c r="O1" s="3167"/>
      <c r="P1" s="3167"/>
      <c r="Q1" s="3167"/>
      <c r="R1" s="3167"/>
      <c r="S1" s="3167"/>
      <c r="T1" s="3167"/>
      <c r="U1" s="3167"/>
      <c r="V1" s="3167"/>
      <c r="W1" s="3167"/>
      <c r="X1" s="3167"/>
      <c r="Y1" s="3167"/>
    </row>
    <row r="2" spans="1:25" ht="42" customHeight="1" thickTop="1" thickBot="1">
      <c r="A2" s="1417"/>
      <c r="B2" s="891"/>
      <c r="C2" s="1621" t="str">
        <f>IF(Name_1st_Yours="","Enter your name(s) on the"&amp;CHAR(10)&amp;"sheet labeled '1040'",Names)</f>
        <v>Enter your name(s) on the
sheet labeled '1040'</v>
      </c>
      <c r="D2" s="2367" t="s">
        <v>320</v>
      </c>
      <c r="E2" s="2367" t="s">
        <v>321</v>
      </c>
      <c r="F2" s="2367" t="s">
        <v>322</v>
      </c>
      <c r="G2" s="2367" t="s">
        <v>416</v>
      </c>
      <c r="H2" s="2368" t="s">
        <v>2043</v>
      </c>
      <c r="I2" s="89"/>
      <c r="J2" s="515"/>
      <c r="K2" s="3167"/>
      <c r="L2" s="3167"/>
      <c r="M2" s="3167"/>
      <c r="N2" s="3167"/>
      <c r="O2" s="3167"/>
      <c r="P2" s="3167"/>
      <c r="Q2" s="3167"/>
      <c r="R2" s="3167"/>
      <c r="S2" s="3167"/>
      <c r="T2" s="3167"/>
      <c r="U2" s="3167"/>
      <c r="V2" s="3167"/>
      <c r="W2" s="3167"/>
      <c r="X2" s="3167"/>
      <c r="Y2" s="3167"/>
    </row>
    <row r="3" spans="1:25">
      <c r="A3" s="1408"/>
      <c r="B3" s="2794"/>
      <c r="C3" s="2802" t="s">
        <v>2359</v>
      </c>
      <c r="D3" s="2994"/>
      <c r="E3" s="2995"/>
      <c r="F3" s="2995"/>
      <c r="G3" s="2995"/>
      <c r="H3" s="2995"/>
      <c r="I3" s="133"/>
      <c r="J3" s="515"/>
      <c r="K3" s="3167"/>
      <c r="L3" s="3167"/>
      <c r="M3" s="3167"/>
      <c r="N3" s="3167"/>
      <c r="O3" s="3167"/>
      <c r="P3" s="3167"/>
      <c r="Q3" s="3167"/>
      <c r="R3" s="3167"/>
      <c r="S3" s="3167"/>
      <c r="T3" s="3167"/>
      <c r="U3" s="3167"/>
      <c r="V3" s="3167"/>
      <c r="W3" s="3167"/>
      <c r="X3" s="3167"/>
      <c r="Y3" s="3167"/>
    </row>
    <row r="4" spans="1:25">
      <c r="A4" s="1408"/>
      <c r="B4" s="2795"/>
      <c r="C4" s="2803" t="s">
        <v>4873</v>
      </c>
      <c r="D4" s="3029"/>
      <c r="E4" s="3030"/>
      <c r="F4" s="3030"/>
      <c r="G4" s="3030"/>
      <c r="H4" s="3030"/>
      <c r="I4" s="133"/>
      <c r="J4" s="515"/>
      <c r="K4" s="3167"/>
      <c r="L4" s="3167"/>
      <c r="M4" s="3167"/>
      <c r="N4" s="3167"/>
      <c r="O4" s="3167"/>
      <c r="P4" s="3167"/>
      <c r="Q4" s="3167"/>
      <c r="R4" s="3167"/>
      <c r="S4" s="3167"/>
      <c r="T4" s="3167"/>
      <c r="U4" s="3167"/>
      <c r="V4" s="3167"/>
      <c r="W4" s="3167"/>
      <c r="X4" s="3167"/>
      <c r="Y4" s="3167"/>
    </row>
    <row r="5" spans="1:25" ht="13.5" thickBot="1">
      <c r="A5" s="1408"/>
      <c r="B5" s="2796"/>
      <c r="C5" s="2804" t="s">
        <v>177</v>
      </c>
      <c r="D5" s="3032"/>
      <c r="E5" s="3033"/>
      <c r="F5" s="3033"/>
      <c r="G5" s="3033"/>
      <c r="H5" s="3033"/>
      <c r="I5" s="133"/>
      <c r="J5" s="515"/>
      <c r="K5" s="3167"/>
      <c r="L5" s="3167"/>
      <c r="M5" s="3167"/>
      <c r="N5" s="3167"/>
      <c r="O5" s="3167"/>
      <c r="P5" s="3167"/>
      <c r="Q5" s="3167"/>
      <c r="R5" s="3167"/>
      <c r="S5" s="3167"/>
      <c r="T5" s="3167"/>
      <c r="U5" s="3167"/>
      <c r="V5" s="3167"/>
      <c r="W5" s="3167"/>
      <c r="X5" s="3167"/>
      <c r="Y5" s="3167"/>
    </row>
    <row r="6" spans="1:25" ht="13.5" customHeight="1">
      <c r="A6" s="1408"/>
      <c r="B6" s="5130" t="s">
        <v>165</v>
      </c>
      <c r="C6" s="2797" t="s">
        <v>4874</v>
      </c>
      <c r="D6" s="2999"/>
      <c r="E6" s="3000"/>
      <c r="F6" s="3000"/>
      <c r="G6" s="3000"/>
      <c r="H6" s="3000"/>
      <c r="I6" s="411"/>
      <c r="J6" s="515"/>
      <c r="K6" s="3167"/>
      <c r="L6" s="3167"/>
      <c r="M6" s="3167"/>
      <c r="N6" s="3167"/>
      <c r="O6" s="3167"/>
      <c r="P6" s="3167"/>
      <c r="Q6" s="3167"/>
      <c r="R6" s="3167"/>
      <c r="S6" s="3167"/>
      <c r="T6" s="3167"/>
      <c r="U6" s="3167"/>
      <c r="V6" s="3167"/>
      <c r="W6" s="3167"/>
      <c r="X6" s="3167"/>
      <c r="Y6" s="3167"/>
    </row>
    <row r="7" spans="1:25" ht="13.5" customHeight="1">
      <c r="A7" s="1408"/>
      <c r="B7" s="1671" t="s">
        <v>166</v>
      </c>
      <c r="C7" s="2798" t="s">
        <v>4875</v>
      </c>
      <c r="D7" s="3001"/>
      <c r="E7" s="3002"/>
      <c r="F7" s="3002"/>
      <c r="G7" s="3002"/>
      <c r="H7" s="3002"/>
      <c r="I7" s="4948" t="str">
        <f>IF(Needs_SALT,"  See sheet labeled","   Sch. 1, Line 10, (SALT)  [State &amp; local tax]")</f>
        <v xml:space="preserve">   Sch. 1, Line 10, (SALT)  [State &amp; local tax]</v>
      </c>
      <c r="J7" s="515"/>
      <c r="K7" s="3167"/>
      <c r="L7" s="3167"/>
      <c r="M7" s="3167"/>
      <c r="N7" s="3167"/>
      <c r="O7" s="3167"/>
      <c r="P7" s="3167"/>
      <c r="Q7" s="3167"/>
      <c r="R7" s="3167"/>
      <c r="S7" s="3167"/>
      <c r="T7" s="3167"/>
      <c r="U7" s="3167"/>
      <c r="V7" s="3167"/>
      <c r="W7" s="3167"/>
      <c r="X7" s="3167"/>
      <c r="Y7" s="3167"/>
    </row>
    <row r="8" spans="1:25" ht="13.5" customHeight="1">
      <c r="A8" s="1408"/>
      <c r="B8" s="5131" t="s">
        <v>167</v>
      </c>
      <c r="C8" s="2799" t="s">
        <v>4876</v>
      </c>
      <c r="D8" s="5136"/>
      <c r="E8" s="5137"/>
      <c r="F8" s="5137"/>
      <c r="G8" s="5137"/>
      <c r="H8" s="5137"/>
      <c r="I8" s="3450" t="str">
        <f>IF(Needs_SALT,"'Sch. 1, Line 10 (SALT)'. (State &amp; Local Tax)","")</f>
        <v/>
      </c>
      <c r="J8" s="515"/>
      <c r="K8" s="3167"/>
      <c r="L8" s="3167"/>
      <c r="M8" s="3167"/>
      <c r="N8" s="3167"/>
      <c r="O8" s="3167"/>
      <c r="P8" s="3167"/>
      <c r="Q8" s="3167"/>
      <c r="R8" s="3167"/>
      <c r="S8" s="3167"/>
      <c r="T8" s="3167"/>
      <c r="U8" s="3167"/>
      <c r="V8" s="3167"/>
      <c r="W8" s="3167"/>
      <c r="X8" s="3167"/>
      <c r="Y8" s="3167"/>
    </row>
    <row r="9" spans="1:25" ht="13.5" customHeight="1">
      <c r="A9" s="1408"/>
      <c r="B9" s="1671">
        <v>4</v>
      </c>
      <c r="C9" s="2798" t="s">
        <v>189</v>
      </c>
      <c r="D9" s="3001"/>
      <c r="E9" s="3002"/>
      <c r="F9" s="3002"/>
      <c r="G9" s="3002"/>
      <c r="H9" s="3002"/>
      <c r="I9" s="411"/>
      <c r="J9" s="515"/>
      <c r="K9" s="3167"/>
      <c r="L9" s="3167"/>
      <c r="M9" s="3167"/>
      <c r="N9" s="3167"/>
      <c r="O9" s="3167"/>
      <c r="P9" s="3167"/>
      <c r="Q9" s="3167"/>
      <c r="R9" s="3167"/>
      <c r="S9" s="3167"/>
      <c r="T9" s="3167"/>
      <c r="U9" s="3167"/>
      <c r="V9" s="3167"/>
      <c r="W9" s="3167"/>
      <c r="X9" s="3167"/>
      <c r="Y9" s="3167"/>
    </row>
    <row r="10" spans="1:25">
      <c r="A10" s="1408"/>
      <c r="B10" s="1671" t="s">
        <v>228</v>
      </c>
      <c r="C10" s="2798" t="s">
        <v>4877</v>
      </c>
      <c r="D10" s="3001"/>
      <c r="E10" s="3002"/>
      <c r="F10" s="3002"/>
      <c r="G10" s="3002"/>
      <c r="H10" s="3002"/>
      <c r="I10" s="133"/>
      <c r="J10" s="515"/>
      <c r="K10" s="3167"/>
      <c r="L10" s="3167"/>
      <c r="M10" s="3167"/>
      <c r="N10" s="3167"/>
      <c r="O10" s="3167"/>
      <c r="P10" s="3167"/>
      <c r="Q10" s="3167"/>
      <c r="R10" s="3167"/>
      <c r="S10" s="3167"/>
      <c r="T10" s="3167"/>
      <c r="U10" s="3167"/>
      <c r="V10" s="3167"/>
      <c r="W10" s="3167"/>
      <c r="X10" s="3167"/>
      <c r="Y10" s="3167"/>
    </row>
    <row r="11" spans="1:25" s="5268" customFormat="1">
      <c r="B11" s="5270" t="s">
        <v>112</v>
      </c>
      <c r="C11" s="5271" t="s">
        <v>4878</v>
      </c>
      <c r="D11" s="3001"/>
      <c r="E11" s="3002"/>
      <c r="F11" s="3002"/>
      <c r="G11" s="3002"/>
      <c r="H11" s="3002"/>
      <c r="I11" s="133"/>
      <c r="J11" s="515"/>
      <c r="K11" s="3167"/>
      <c r="L11" s="3167"/>
      <c r="M11" s="3167"/>
      <c r="N11" s="3167"/>
      <c r="O11" s="3167"/>
      <c r="P11" s="3167"/>
      <c r="Q11" s="3167"/>
      <c r="R11" s="3167"/>
      <c r="S11" s="3167"/>
      <c r="T11" s="3167"/>
      <c r="U11" s="3167"/>
      <c r="V11" s="3167"/>
      <c r="W11" s="3167"/>
      <c r="X11" s="3167"/>
      <c r="Y11" s="3167"/>
    </row>
    <row r="12" spans="1:25" s="5267" customFormat="1">
      <c r="A12" s="5268"/>
      <c r="B12" s="5270" t="s">
        <v>300</v>
      </c>
      <c r="C12" s="5271" t="s">
        <v>4888</v>
      </c>
      <c r="D12" s="3001"/>
      <c r="E12" s="3002"/>
      <c r="F12" s="3002"/>
      <c r="G12" s="3002"/>
      <c r="H12" s="3002"/>
      <c r="I12" s="133"/>
      <c r="J12" s="515"/>
      <c r="K12" s="3167"/>
      <c r="L12" s="3167"/>
      <c r="M12" s="3167"/>
      <c r="N12" s="3167"/>
      <c r="O12" s="3167"/>
      <c r="P12" s="3167"/>
      <c r="Q12" s="3167"/>
      <c r="R12" s="3167"/>
      <c r="S12" s="3167"/>
      <c r="T12" s="3167"/>
      <c r="U12" s="3167"/>
      <c r="V12" s="3167"/>
      <c r="W12" s="3167"/>
      <c r="X12" s="3167"/>
      <c r="Y12" s="3167"/>
    </row>
    <row r="13" spans="1:25" s="5267" customFormat="1">
      <c r="A13" s="5268"/>
      <c r="B13" s="5270" t="s">
        <v>45</v>
      </c>
      <c r="C13" s="5271" t="s">
        <v>4889</v>
      </c>
      <c r="D13" s="3001"/>
      <c r="E13" s="3002"/>
      <c r="F13" s="3002"/>
      <c r="G13" s="3002"/>
      <c r="H13" s="3002"/>
      <c r="I13" s="133"/>
      <c r="J13" s="515"/>
      <c r="K13" s="3167"/>
      <c r="L13" s="3167"/>
      <c r="M13" s="3167"/>
      <c r="N13" s="3167"/>
      <c r="O13" s="3167"/>
      <c r="P13" s="3167"/>
      <c r="Q13" s="3167"/>
      <c r="R13" s="3167"/>
      <c r="S13" s="3167"/>
      <c r="T13" s="3167"/>
      <c r="U13" s="3167"/>
      <c r="V13" s="3167"/>
      <c r="W13" s="3167"/>
      <c r="X13" s="3167"/>
      <c r="Y13" s="3167"/>
    </row>
    <row r="14" spans="1:25" s="5267" customFormat="1">
      <c r="A14" s="5268"/>
      <c r="B14" s="5272" t="s">
        <v>114</v>
      </c>
      <c r="C14" s="5273" t="s">
        <v>4879</v>
      </c>
      <c r="D14" s="3001"/>
      <c r="E14" s="3002"/>
      <c r="F14" s="3002"/>
      <c r="G14" s="3002"/>
      <c r="H14" s="3002"/>
      <c r="I14" s="133"/>
      <c r="J14" s="515"/>
      <c r="K14" s="3167"/>
      <c r="L14" s="3167"/>
      <c r="M14" s="3167"/>
      <c r="N14" s="3167"/>
      <c r="O14" s="3167"/>
      <c r="P14" s="3167"/>
      <c r="Q14" s="3167"/>
      <c r="R14" s="3167"/>
      <c r="S14" s="3167"/>
      <c r="T14" s="3167"/>
      <c r="U14" s="3167"/>
      <c r="V14" s="3167"/>
      <c r="W14" s="3167"/>
      <c r="X14" s="3167"/>
      <c r="Y14" s="3167"/>
    </row>
    <row r="15" spans="1:25" s="5267" customFormat="1">
      <c r="A15" s="5268"/>
      <c r="B15" s="5270" t="s">
        <v>115</v>
      </c>
      <c r="C15" s="5271" t="s">
        <v>4880</v>
      </c>
      <c r="D15" s="3001"/>
      <c r="E15" s="3002"/>
      <c r="F15" s="3002"/>
      <c r="G15" s="3002"/>
      <c r="H15" s="3002"/>
      <c r="I15" s="133"/>
      <c r="J15" s="515"/>
      <c r="K15" s="3167"/>
      <c r="L15" s="3167"/>
      <c r="M15" s="3167"/>
      <c r="N15" s="3167"/>
      <c r="O15" s="3167"/>
      <c r="P15" s="3167"/>
      <c r="Q15" s="3167"/>
      <c r="R15" s="3167"/>
      <c r="S15" s="3167"/>
      <c r="T15" s="3167"/>
      <c r="U15" s="3167"/>
      <c r="V15" s="3167"/>
      <c r="W15" s="3167"/>
      <c r="X15" s="3167"/>
      <c r="Y15" s="3167"/>
    </row>
    <row r="16" spans="1:25" s="5267" customFormat="1">
      <c r="A16" s="5268"/>
      <c r="B16" s="5272" t="s">
        <v>4881</v>
      </c>
      <c r="C16" s="5273" t="s">
        <v>2356</v>
      </c>
      <c r="D16" s="3001"/>
      <c r="E16" s="3002"/>
      <c r="F16" s="3002"/>
      <c r="G16" s="3002"/>
      <c r="H16" s="3002"/>
      <c r="I16" s="133"/>
      <c r="J16" s="515"/>
      <c r="K16" s="3167"/>
      <c r="L16" s="3167"/>
      <c r="M16" s="3167"/>
      <c r="N16" s="3167"/>
      <c r="O16" s="3167"/>
      <c r="P16" s="3167"/>
      <c r="Q16" s="3167"/>
      <c r="R16" s="3167"/>
      <c r="S16" s="3167"/>
      <c r="T16" s="3167"/>
      <c r="U16" s="3167"/>
      <c r="V16" s="3167"/>
      <c r="W16" s="3167"/>
      <c r="X16" s="3167"/>
      <c r="Y16" s="3167"/>
    </row>
    <row r="17" spans="1:25" s="5267" customFormat="1">
      <c r="A17" s="5268"/>
      <c r="B17" s="5272" t="s">
        <v>4882</v>
      </c>
      <c r="C17" s="5273" t="s">
        <v>2357</v>
      </c>
      <c r="D17" s="3001"/>
      <c r="E17" s="3002"/>
      <c r="F17" s="3002"/>
      <c r="G17" s="3002"/>
      <c r="H17" s="3002"/>
      <c r="I17" s="133" t="str">
        <f>IF(SUM(D17:H17)&gt;0,"Check Form 1116, Foreign Tax Credit","")</f>
        <v/>
      </c>
      <c r="J17" s="515"/>
      <c r="K17" s="3167"/>
      <c r="L17" s="3167"/>
      <c r="M17" s="3167"/>
      <c r="N17" s="3167"/>
      <c r="O17" s="3167"/>
      <c r="P17" s="3167"/>
      <c r="Q17" s="3167"/>
      <c r="R17" s="3167"/>
      <c r="S17" s="3167"/>
      <c r="T17" s="3167"/>
      <c r="U17" s="3167"/>
      <c r="V17" s="3167"/>
      <c r="W17" s="3167"/>
      <c r="X17" s="3167"/>
      <c r="Y17" s="3167"/>
    </row>
    <row r="18" spans="1:25">
      <c r="A18" s="1408"/>
      <c r="B18" s="1671">
        <v>11</v>
      </c>
      <c r="C18" s="2798" t="s">
        <v>209</v>
      </c>
      <c r="D18" s="3001"/>
      <c r="E18" s="3002"/>
      <c r="F18" s="3002"/>
      <c r="G18" s="3002"/>
      <c r="H18" s="3002"/>
      <c r="I18" s="133"/>
      <c r="J18" s="515"/>
      <c r="K18" s="3167"/>
      <c r="L18" s="3167"/>
      <c r="M18" s="3167"/>
      <c r="N18" s="3167"/>
      <c r="O18" s="3167"/>
      <c r="P18" s="3167"/>
      <c r="Q18" s="3167"/>
      <c r="R18" s="3167"/>
      <c r="S18" s="3167"/>
      <c r="T18" s="3167"/>
      <c r="U18" s="3167"/>
      <c r="V18" s="3167"/>
      <c r="W18" s="3167"/>
      <c r="X18" s="3167"/>
      <c r="Y18" s="3167"/>
    </row>
    <row r="19" spans="1:25">
      <c r="A19" s="1408"/>
      <c r="B19" s="1418"/>
      <c r="C19" s="1419"/>
      <c r="D19" s="3001"/>
      <c r="E19" s="3002"/>
      <c r="F19" s="3002"/>
      <c r="G19" s="3002"/>
      <c r="H19" s="3002"/>
      <c r="I19" s="133"/>
      <c r="J19" s="515"/>
      <c r="K19" s="3167"/>
      <c r="L19" s="3167"/>
      <c r="M19" s="3167"/>
      <c r="N19" s="3167"/>
      <c r="O19" s="3167"/>
      <c r="P19" s="3167"/>
      <c r="Q19" s="3167"/>
      <c r="R19" s="3167"/>
      <c r="S19" s="3167"/>
      <c r="T19" s="3167"/>
      <c r="U19" s="3167"/>
      <c r="V19" s="3167"/>
      <c r="W19" s="3167"/>
      <c r="X19" s="3167"/>
      <c r="Y19" s="3167"/>
    </row>
    <row r="20" spans="1:25">
      <c r="A20" s="1408"/>
      <c r="B20" s="1418"/>
      <c r="C20" s="1419"/>
      <c r="D20" s="3001"/>
      <c r="E20" s="3002"/>
      <c r="F20" s="3002"/>
      <c r="G20" s="3002"/>
      <c r="H20" s="3002"/>
      <c r="I20" s="133"/>
      <c r="J20" s="515"/>
      <c r="K20" s="3167"/>
      <c r="L20" s="3167"/>
      <c r="M20" s="3167"/>
      <c r="N20" s="3167"/>
      <c r="O20" s="3167"/>
      <c r="P20" s="3167"/>
      <c r="Q20" s="3167"/>
      <c r="R20" s="3167"/>
      <c r="S20" s="3167"/>
      <c r="T20" s="3167"/>
      <c r="U20" s="3167"/>
      <c r="V20" s="3167"/>
      <c r="W20" s="3167"/>
      <c r="X20" s="3167"/>
      <c r="Y20" s="3167"/>
    </row>
    <row r="21" spans="1:25">
      <c r="A21" s="1408"/>
      <c r="B21" s="2801"/>
      <c r="C21" s="2798"/>
      <c r="D21" s="3001"/>
      <c r="E21" s="3002"/>
      <c r="F21" s="3002"/>
      <c r="G21" s="3002"/>
      <c r="H21" s="3002"/>
      <c r="I21" s="133"/>
      <c r="J21" s="515"/>
      <c r="K21" s="3167"/>
      <c r="L21" s="3167"/>
      <c r="M21" s="3167"/>
      <c r="N21" s="3167"/>
      <c r="O21" s="3167"/>
      <c r="P21" s="3167"/>
      <c r="Q21" s="3167"/>
      <c r="R21" s="3167"/>
      <c r="S21" s="3167"/>
      <c r="T21" s="3167"/>
      <c r="U21" s="3167"/>
      <c r="V21" s="3167"/>
      <c r="W21" s="3167"/>
      <c r="X21" s="3167"/>
      <c r="Y21" s="3167"/>
    </row>
    <row r="22" spans="1:25">
      <c r="A22" s="1408"/>
      <c r="B22" s="2801"/>
      <c r="C22" s="2798"/>
      <c r="D22" s="3001"/>
      <c r="E22" s="3002"/>
      <c r="F22" s="3002"/>
      <c r="G22" s="3002"/>
      <c r="H22" s="3002"/>
      <c r="I22" s="133"/>
      <c r="J22" s="515"/>
      <c r="K22" s="3167"/>
      <c r="L22" s="3167"/>
      <c r="M22" s="3167"/>
      <c r="N22" s="3167"/>
      <c r="O22" s="3167"/>
      <c r="P22" s="3167"/>
      <c r="Q22" s="3167"/>
      <c r="R22" s="3167"/>
      <c r="S22" s="3167"/>
      <c r="T22" s="3167"/>
      <c r="U22" s="3167"/>
      <c r="V22" s="3167"/>
      <c r="W22" s="3167"/>
      <c r="X22" s="3167"/>
      <c r="Y22" s="3167"/>
    </row>
    <row r="23" spans="1:25">
      <c r="A23" s="1408"/>
      <c r="B23" s="1418"/>
      <c r="C23" s="1419"/>
      <c r="D23" s="3001"/>
      <c r="E23" s="3002"/>
      <c r="F23" s="3002"/>
      <c r="G23" s="3002"/>
      <c r="H23" s="3002"/>
      <c r="I23" s="133"/>
      <c r="J23" s="515"/>
      <c r="K23" s="3167"/>
      <c r="L23" s="3167"/>
      <c r="M23" s="3167"/>
      <c r="N23" s="3167"/>
      <c r="O23" s="3167"/>
      <c r="P23" s="3167"/>
      <c r="Q23" s="3167"/>
      <c r="R23" s="3167"/>
      <c r="S23" s="3167"/>
      <c r="T23" s="3167"/>
      <c r="U23" s="3167"/>
      <c r="V23" s="3167"/>
      <c r="W23" s="3167"/>
      <c r="X23" s="3167"/>
      <c r="Y23" s="3167"/>
    </row>
    <row r="24" spans="1:25">
      <c r="A24" s="1408"/>
      <c r="B24" s="1418"/>
      <c r="C24" s="1419"/>
      <c r="D24" s="3001"/>
      <c r="E24" s="3002"/>
      <c r="F24" s="3002"/>
      <c r="G24" s="3002"/>
      <c r="H24" s="3002"/>
      <c r="I24" s="133"/>
      <c r="J24" s="515"/>
      <c r="K24" s="3167"/>
      <c r="L24" s="3167"/>
      <c r="M24" s="3167"/>
      <c r="N24" s="3167"/>
      <c r="O24" s="3167"/>
      <c r="P24" s="3167"/>
      <c r="Q24" s="3167"/>
      <c r="R24" s="3167"/>
      <c r="S24" s="3167"/>
      <c r="T24" s="3167"/>
      <c r="U24" s="3167"/>
      <c r="V24" s="3167"/>
      <c r="W24" s="3167"/>
      <c r="X24" s="3167"/>
      <c r="Y24" s="3167"/>
    </row>
    <row r="25" spans="1:25" ht="13.5" thickBot="1">
      <c r="A25" s="1408"/>
      <c r="B25" s="4284"/>
      <c r="C25" s="2811"/>
      <c r="D25" s="3011"/>
      <c r="E25" s="3012"/>
      <c r="F25" s="3012"/>
      <c r="G25" s="3012"/>
      <c r="H25" s="3012"/>
      <c r="I25" s="133"/>
      <c r="J25" s="515"/>
      <c r="K25" s="3167"/>
      <c r="L25" s="3167"/>
      <c r="M25" s="3167"/>
      <c r="N25" s="3167"/>
      <c r="O25" s="3167"/>
      <c r="P25" s="3167"/>
      <c r="Q25" s="3167"/>
      <c r="R25" s="3167"/>
      <c r="S25" s="3167"/>
      <c r="T25" s="3167"/>
      <c r="U25" s="3167"/>
      <c r="V25" s="3167"/>
      <c r="W25" s="3167"/>
      <c r="X25" s="3167"/>
      <c r="Y25" s="3167"/>
    </row>
    <row r="26" spans="1:25" ht="17.25" customHeight="1">
      <c r="A26" s="1408"/>
      <c r="B26" s="2953" t="s">
        <v>2494</v>
      </c>
      <c r="C26" s="1408"/>
      <c r="D26" s="1408"/>
      <c r="E26" s="1408"/>
      <c r="F26" s="1408"/>
      <c r="G26" s="1408"/>
      <c r="H26" s="1408"/>
      <c r="I26" s="133"/>
      <c r="J26" s="515"/>
      <c r="K26" s="3167"/>
      <c r="L26" s="3167"/>
      <c r="M26" s="3167"/>
      <c r="N26" s="3167"/>
      <c r="O26" s="3167"/>
      <c r="P26" s="3167"/>
      <c r="Q26" s="3167"/>
      <c r="R26" s="3167"/>
      <c r="S26" s="3167"/>
      <c r="T26" s="3167"/>
      <c r="U26" s="3167"/>
      <c r="V26" s="3167"/>
      <c r="W26" s="3167"/>
      <c r="X26" s="3167"/>
      <c r="Y26" s="3167"/>
    </row>
    <row r="27" spans="1:25" s="3019" customFormat="1" ht="13.5" thickBot="1">
      <c r="A27" s="5255"/>
      <c r="B27" s="5255"/>
      <c r="C27" s="5255"/>
      <c r="D27" s="5255" t="str">
        <f>IF(D3&lt;&gt;"",D3,"")</f>
        <v/>
      </c>
      <c r="E27" s="5255" t="str">
        <f>IF(E3&lt;&gt;"",E3,"")</f>
        <v/>
      </c>
      <c r="F27" s="5255" t="str">
        <f>IF(F3&lt;&gt;"",F3,"")</f>
        <v/>
      </c>
      <c r="G27" s="5255" t="str">
        <f>IF(G3&lt;&gt;"",G3,"")</f>
        <v/>
      </c>
      <c r="H27" s="5255" t="str">
        <f>IF(H3&lt;&gt;"",H3,"")</f>
        <v/>
      </c>
      <c r="I27" s="133"/>
      <c r="J27" s="515"/>
      <c r="K27" s="3428"/>
      <c r="L27" s="3428"/>
      <c r="M27" s="3428"/>
      <c r="N27" s="3428"/>
      <c r="O27" s="3428"/>
      <c r="P27" s="3428"/>
      <c r="Q27" s="3428"/>
      <c r="R27" s="3428"/>
      <c r="S27" s="3428"/>
      <c r="T27" s="3428"/>
      <c r="U27" s="3428"/>
      <c r="V27" s="3428"/>
      <c r="W27" s="3428"/>
      <c r="X27" s="3428"/>
      <c r="Y27" s="3428"/>
    </row>
    <row r="28" spans="1:25" ht="42" customHeight="1" thickTop="1" thickBot="1">
      <c r="A28" s="1417"/>
      <c r="B28" s="891"/>
      <c r="C28" s="1621" t="str">
        <f>IF(Name_1st_Yours="","Enter your name(s) on the"&amp;CHAR(10)&amp;"sheet labeled '1040'",Names)</f>
        <v>Enter your name(s) on the
sheet labeled '1040'</v>
      </c>
      <c r="D28" s="2368" t="s">
        <v>2044</v>
      </c>
      <c r="E28" s="2368" t="s">
        <v>2045</v>
      </c>
      <c r="F28" s="2368" t="s">
        <v>2320</v>
      </c>
      <c r="G28" s="2368" t="s">
        <v>2321</v>
      </c>
      <c r="H28" s="2368" t="s">
        <v>230</v>
      </c>
      <c r="I28" s="2916" t="s">
        <v>2433</v>
      </c>
      <c r="J28" s="515"/>
      <c r="K28" s="3167"/>
      <c r="L28" s="3167"/>
      <c r="M28" s="3167"/>
      <c r="N28" s="3167"/>
      <c r="O28" s="3167"/>
      <c r="P28" s="3167"/>
      <c r="Q28" s="3167"/>
      <c r="R28" s="3167"/>
      <c r="S28" s="3167"/>
      <c r="T28" s="3167"/>
      <c r="U28" s="3167"/>
      <c r="V28" s="3167"/>
      <c r="W28" s="3167"/>
      <c r="X28" s="3167"/>
      <c r="Y28" s="3167"/>
    </row>
    <row r="29" spans="1:25">
      <c r="A29" s="1408"/>
      <c r="B29" s="2794"/>
      <c r="C29" s="2802" t="s">
        <v>2359</v>
      </c>
      <c r="D29" s="2994"/>
      <c r="E29" s="2995"/>
      <c r="F29" s="2995"/>
      <c r="G29" s="2995"/>
      <c r="H29" s="4603"/>
      <c r="I29" s="3451"/>
      <c r="J29" s="1408"/>
      <c r="K29" s="3167"/>
      <c r="L29" s="3167"/>
      <c r="M29" s="3167"/>
      <c r="N29" s="3167"/>
      <c r="O29" s="3167"/>
      <c r="P29" s="3167"/>
      <c r="Q29" s="3167"/>
      <c r="R29" s="3167"/>
      <c r="S29" s="3167"/>
      <c r="T29" s="3167"/>
      <c r="U29" s="3167"/>
      <c r="V29" s="3167"/>
      <c r="W29" s="3167"/>
      <c r="X29" s="3167"/>
      <c r="Y29" s="5269"/>
    </row>
    <row r="30" spans="1:25">
      <c r="A30" s="1408"/>
      <c r="B30" s="2795"/>
      <c r="C30" s="2803" t="s">
        <v>2358</v>
      </c>
      <c r="D30" s="3029"/>
      <c r="E30" s="3030"/>
      <c r="F30" s="3030"/>
      <c r="G30" s="3030"/>
      <c r="H30" s="5096"/>
      <c r="I30" s="3147"/>
      <c r="J30" s="1408"/>
      <c r="K30" s="3167"/>
      <c r="L30" s="3167"/>
      <c r="M30" s="3167"/>
      <c r="N30" s="3167"/>
      <c r="O30" s="3167"/>
      <c r="P30" s="3167"/>
      <c r="Q30" s="3167"/>
      <c r="R30" s="3167"/>
      <c r="S30" s="3167"/>
      <c r="T30" s="3167"/>
      <c r="U30" s="3167"/>
      <c r="V30" s="3167"/>
      <c r="W30" s="3167"/>
      <c r="X30" s="3167"/>
      <c r="Y30" s="5269"/>
    </row>
    <row r="31" spans="1:25" ht="13.5" thickBot="1">
      <c r="A31" s="1408"/>
      <c r="B31" s="2796"/>
      <c r="C31" s="2804" t="s">
        <v>177</v>
      </c>
      <c r="D31" s="3032"/>
      <c r="E31" s="3033"/>
      <c r="F31" s="3033"/>
      <c r="G31" s="3033"/>
      <c r="H31" s="5097"/>
      <c r="I31" s="3147">
        <f>SUM(ForeignTaxPaid_INT,ForeignTaxPaid_DIV)</f>
        <v>0</v>
      </c>
      <c r="J31" s="1408"/>
      <c r="K31" s="3167"/>
      <c r="L31" s="3167"/>
      <c r="M31" s="3167"/>
      <c r="N31" s="3167"/>
      <c r="O31" s="3167"/>
      <c r="P31" s="3167"/>
      <c r="Q31" s="3167"/>
      <c r="R31" s="3167"/>
      <c r="S31" s="3167"/>
      <c r="T31" s="3167"/>
      <c r="U31" s="3167"/>
      <c r="V31" s="3167"/>
      <c r="W31" s="3167"/>
      <c r="X31" s="3167"/>
      <c r="Y31" s="5269"/>
    </row>
    <row r="32" spans="1:25" ht="13.5" customHeight="1">
      <c r="A32" s="1408"/>
      <c r="B32" s="5130" t="s">
        <v>165</v>
      </c>
      <c r="C32" s="2797" t="s">
        <v>4874</v>
      </c>
      <c r="D32" s="2999"/>
      <c r="E32" s="3000"/>
      <c r="F32" s="3000"/>
      <c r="G32" s="3000"/>
      <c r="H32" s="3425">
        <f>ROUND(SUM(D6:H6,D32:G32),0)</f>
        <v>0</v>
      </c>
      <c r="I32" s="2918" t="s">
        <v>4883</v>
      </c>
      <c r="J32" s="1408"/>
      <c r="K32" s="3167"/>
      <c r="L32" s="3167"/>
      <c r="M32" s="3167"/>
      <c r="N32" s="3167"/>
      <c r="O32" s="3167"/>
      <c r="P32" s="3167"/>
      <c r="Q32" s="3167"/>
      <c r="R32" s="3167"/>
      <c r="S32" s="3167"/>
      <c r="T32" s="3167"/>
      <c r="U32" s="3167"/>
      <c r="V32" s="3167"/>
      <c r="W32" s="3167"/>
      <c r="X32" s="3167"/>
      <c r="Y32" s="5269"/>
    </row>
    <row r="33" spans="1:25" ht="13.5" customHeight="1">
      <c r="A33" s="1408"/>
      <c r="B33" s="1671" t="s">
        <v>166</v>
      </c>
      <c r="C33" s="2798" t="s">
        <v>4875</v>
      </c>
      <c r="D33" s="3001"/>
      <c r="E33" s="3002"/>
      <c r="F33" s="3002"/>
      <c r="G33" s="3002"/>
      <c r="H33" s="3426">
        <f>ROUND(SUM(D7:H7,D33:G33),0)</f>
        <v>0</v>
      </c>
      <c r="I33" s="4948" t="str">
        <f>IF(Needs_SALT,"  See sheet labeled","   Sch. 1, Line 10 (SALT)   [State &amp; local tax]")</f>
        <v xml:space="preserve">   Sch. 1, Line 10 (SALT)   [State &amp; local tax]</v>
      </c>
      <c r="J33" s="1408"/>
      <c r="K33" s="3167"/>
      <c r="L33" s="3167"/>
      <c r="M33" s="3167"/>
      <c r="N33" s="3167"/>
      <c r="O33" s="3167"/>
      <c r="P33" s="3167"/>
      <c r="Q33" s="3167"/>
      <c r="R33" s="3167"/>
      <c r="S33" s="3167"/>
      <c r="T33" s="3167"/>
      <c r="U33" s="3167"/>
      <c r="V33" s="3167"/>
      <c r="W33" s="3167"/>
      <c r="X33" s="3167"/>
      <c r="Y33" s="5269"/>
    </row>
    <row r="34" spans="1:25" ht="13.5" customHeight="1">
      <c r="A34" s="1408"/>
      <c r="B34" s="5131" t="s">
        <v>167</v>
      </c>
      <c r="C34" s="2799" t="s">
        <v>4876</v>
      </c>
      <c r="D34" s="3001"/>
      <c r="E34" s="3002"/>
      <c r="F34" s="3002"/>
      <c r="G34" s="3002"/>
      <c r="H34" s="5138" t="s">
        <v>868</v>
      </c>
      <c r="I34" s="3450" t="str">
        <f>IF(Needs_SALT,"'Sch. 1, Line 10 (SALT)'. (State &amp; Local Tax)","")</f>
        <v/>
      </c>
      <c r="J34" s="1408"/>
      <c r="K34" s="3167"/>
      <c r="L34" s="3167"/>
      <c r="M34" s="3167"/>
      <c r="N34" s="3167"/>
      <c r="O34" s="3167"/>
      <c r="P34" s="3167"/>
      <c r="Q34" s="3167"/>
      <c r="R34" s="3167"/>
      <c r="S34" s="3167"/>
      <c r="T34" s="3167"/>
      <c r="U34" s="3167"/>
      <c r="V34" s="3167"/>
      <c r="W34" s="3167"/>
      <c r="X34" s="3167"/>
      <c r="Y34" s="5269"/>
    </row>
    <row r="35" spans="1:25" ht="13.5" customHeight="1">
      <c r="A35" s="1408"/>
      <c r="B35" s="1671">
        <v>4</v>
      </c>
      <c r="C35" s="2798" t="s">
        <v>189</v>
      </c>
      <c r="D35" s="3001"/>
      <c r="E35" s="3002"/>
      <c r="F35" s="3002"/>
      <c r="G35" s="3002"/>
      <c r="H35" s="3426">
        <f t="shared" ref="H35:H41" si="0">ROUND(SUM(D9:H9,D35:G35),0)</f>
        <v>0</v>
      </c>
      <c r="I35" s="2918" t="s">
        <v>4887</v>
      </c>
      <c r="J35" s="1408"/>
      <c r="K35" s="3167"/>
      <c r="L35" s="3167"/>
      <c r="M35" s="3167"/>
      <c r="N35" s="3167"/>
      <c r="O35" s="3167"/>
      <c r="P35" s="3167"/>
      <c r="Q35" s="3167"/>
      <c r="R35" s="3167"/>
      <c r="S35" s="3167"/>
      <c r="T35" s="3167"/>
      <c r="U35" s="3167"/>
      <c r="V35" s="3167"/>
      <c r="W35" s="3167"/>
      <c r="X35" s="3167"/>
      <c r="Y35" s="5269"/>
    </row>
    <row r="36" spans="1:25" ht="26.25" customHeight="1">
      <c r="A36" s="1408"/>
      <c r="B36" s="1671" t="s">
        <v>228</v>
      </c>
      <c r="C36" s="2798" t="s">
        <v>4877</v>
      </c>
      <c r="D36" s="3001"/>
      <c r="E36" s="3002"/>
      <c r="F36" s="3002"/>
      <c r="G36" s="3002"/>
      <c r="H36" s="3426">
        <f t="shared" si="0"/>
        <v>0</v>
      </c>
      <c r="I36" s="2918" t="s">
        <v>4886</v>
      </c>
      <c r="J36" s="1408"/>
      <c r="K36" s="3167"/>
      <c r="L36" s="3167"/>
      <c r="M36" s="3167"/>
      <c r="N36" s="3167"/>
      <c r="O36" s="3167"/>
      <c r="P36" s="3167"/>
      <c r="Q36" s="3167"/>
      <c r="R36" s="3167"/>
      <c r="S36" s="3167"/>
      <c r="T36" s="3167"/>
      <c r="U36" s="3167"/>
      <c r="V36" s="3167"/>
      <c r="W36" s="3167"/>
      <c r="X36" s="3167"/>
      <c r="Y36" s="5269"/>
    </row>
    <row r="37" spans="1:25">
      <c r="A37" s="1408"/>
      <c r="B37" s="1671" t="s">
        <v>112</v>
      </c>
      <c r="C37" s="2798" t="s">
        <v>4878</v>
      </c>
      <c r="D37" s="3001"/>
      <c r="E37" s="3002"/>
      <c r="F37" s="3002"/>
      <c r="G37" s="3002"/>
      <c r="H37" s="3426">
        <f t="shared" si="0"/>
        <v>0</v>
      </c>
      <c r="I37" s="2918" t="s">
        <v>4886</v>
      </c>
      <c r="J37" s="1408"/>
      <c r="K37" s="3167"/>
      <c r="L37" s="3167"/>
      <c r="M37" s="3167"/>
      <c r="N37" s="3167"/>
      <c r="O37" s="3167"/>
      <c r="P37" s="3167"/>
      <c r="Q37" s="3167"/>
      <c r="R37" s="3167"/>
      <c r="S37" s="3167"/>
      <c r="T37" s="3167"/>
      <c r="U37" s="3167"/>
      <c r="V37" s="3167"/>
      <c r="W37" s="3167"/>
      <c r="X37" s="3167"/>
      <c r="Y37" s="5269"/>
    </row>
    <row r="38" spans="1:25">
      <c r="A38" s="1408"/>
      <c r="B38" s="1671" t="s">
        <v>300</v>
      </c>
      <c r="C38" s="2798" t="s">
        <v>4888</v>
      </c>
      <c r="D38" s="3001"/>
      <c r="E38" s="3002"/>
      <c r="F38" s="3002"/>
      <c r="G38" s="3002"/>
      <c r="H38" s="3426">
        <f t="shared" si="0"/>
        <v>0</v>
      </c>
      <c r="I38" s="2918" t="s">
        <v>4891</v>
      </c>
      <c r="J38" s="1408"/>
      <c r="K38" s="3167"/>
      <c r="L38" s="3167"/>
      <c r="M38" s="3167"/>
      <c r="N38" s="3167"/>
      <c r="O38" s="3167"/>
      <c r="P38" s="3167"/>
      <c r="Q38" s="3167"/>
      <c r="R38" s="3167"/>
      <c r="S38" s="3167"/>
      <c r="T38" s="3167"/>
      <c r="U38" s="3167"/>
      <c r="V38" s="3167"/>
      <c r="W38" s="3167"/>
      <c r="X38" s="3167"/>
      <c r="Y38" s="5269"/>
    </row>
    <row r="39" spans="1:25">
      <c r="A39" s="1408"/>
      <c r="B39" s="1671" t="s">
        <v>45</v>
      </c>
      <c r="C39" s="2798" t="s">
        <v>4889</v>
      </c>
      <c r="D39" s="3001"/>
      <c r="E39" s="3002"/>
      <c r="F39" s="3002"/>
      <c r="G39" s="3002"/>
      <c r="H39" s="3426">
        <f t="shared" si="0"/>
        <v>0</v>
      </c>
      <c r="I39" s="2918" t="s">
        <v>4890</v>
      </c>
      <c r="J39" s="1408"/>
      <c r="K39" s="3167"/>
      <c r="L39" s="3167"/>
      <c r="M39" s="3167"/>
      <c r="N39" s="3167"/>
      <c r="O39" s="3167"/>
      <c r="P39" s="3167"/>
      <c r="Q39" s="3167"/>
      <c r="R39" s="3167"/>
      <c r="S39" s="3167"/>
      <c r="T39" s="3167"/>
      <c r="U39" s="3167"/>
      <c r="V39" s="3167"/>
      <c r="W39" s="3167"/>
      <c r="X39" s="3167"/>
      <c r="Y39" s="5269"/>
    </row>
    <row r="40" spans="1:25">
      <c r="A40" s="1408"/>
      <c r="B40" s="5131" t="s">
        <v>114</v>
      </c>
      <c r="C40" s="2799" t="s">
        <v>4879</v>
      </c>
      <c r="D40" s="3001"/>
      <c r="E40" s="3002"/>
      <c r="F40" s="3002"/>
      <c r="G40" s="3002"/>
      <c r="H40" s="3426">
        <f t="shared" si="0"/>
        <v>0</v>
      </c>
      <c r="I40" s="5133"/>
      <c r="J40" s="1408"/>
      <c r="K40" s="3167"/>
      <c r="L40" s="3167"/>
      <c r="M40" s="3167"/>
      <c r="N40" s="3167"/>
      <c r="O40" s="3167"/>
      <c r="P40" s="3167"/>
      <c r="Q40" s="3167"/>
      <c r="R40" s="3167"/>
      <c r="S40" s="3167"/>
      <c r="T40" s="3167"/>
      <c r="U40" s="3167"/>
      <c r="V40" s="3167"/>
      <c r="W40" s="3167"/>
      <c r="X40" s="3167"/>
      <c r="Y40" s="5269"/>
    </row>
    <row r="41" spans="1:25">
      <c r="A41" s="1408"/>
      <c r="B41" s="1671" t="s">
        <v>115</v>
      </c>
      <c r="C41" s="2798" t="s">
        <v>4880</v>
      </c>
      <c r="D41" s="3001"/>
      <c r="E41" s="3002"/>
      <c r="F41" s="3002"/>
      <c r="G41" s="3002"/>
      <c r="H41" s="3426">
        <f t="shared" si="0"/>
        <v>0</v>
      </c>
      <c r="I41" s="2918" t="s">
        <v>4890</v>
      </c>
      <c r="J41" s="1408"/>
      <c r="K41" s="3167"/>
      <c r="L41" s="3167"/>
      <c r="M41" s="3167"/>
      <c r="N41" s="3167"/>
      <c r="O41" s="3167"/>
      <c r="P41" s="3167"/>
      <c r="Q41" s="3167"/>
      <c r="R41" s="3167"/>
      <c r="S41" s="3167"/>
      <c r="T41" s="3167"/>
      <c r="U41" s="3167"/>
      <c r="V41" s="3167"/>
      <c r="W41" s="3167"/>
      <c r="X41" s="3167"/>
      <c r="Y41" s="5269"/>
    </row>
    <row r="42" spans="1:25">
      <c r="A42" s="1408"/>
      <c r="B42" s="5131" t="s">
        <v>4881</v>
      </c>
      <c r="C42" s="2799" t="s">
        <v>2356</v>
      </c>
      <c r="D42" s="3001"/>
      <c r="E42" s="3002"/>
      <c r="F42" s="3002"/>
      <c r="G42" s="3002"/>
      <c r="H42" s="3426"/>
      <c r="I42" s="5133"/>
      <c r="J42" s="1408"/>
      <c r="K42" s="3167"/>
      <c r="L42" s="3167"/>
      <c r="M42" s="3167"/>
      <c r="N42" s="3167"/>
      <c r="O42" s="3167"/>
      <c r="P42" s="3167"/>
      <c r="Q42" s="3167"/>
      <c r="R42" s="3167"/>
      <c r="S42" s="3167"/>
      <c r="T42" s="3167"/>
      <c r="U42" s="3167"/>
      <c r="V42" s="3167"/>
      <c r="W42" s="3167"/>
      <c r="X42" s="3167"/>
      <c r="Y42" s="5269"/>
    </row>
    <row r="43" spans="1:25">
      <c r="A43" s="1408"/>
      <c r="B43" s="5131" t="s">
        <v>4882</v>
      </c>
      <c r="C43" s="2799" t="s">
        <v>2357</v>
      </c>
      <c r="D43" s="3001"/>
      <c r="E43" s="3002"/>
      <c r="F43" s="3002"/>
      <c r="G43" s="3002"/>
      <c r="H43" s="3426">
        <f>ROUND(SUM(D17:H17,D43:G43),0)</f>
        <v>0</v>
      </c>
      <c r="I43" s="5133"/>
      <c r="J43" s="1408"/>
      <c r="K43" s="3167"/>
      <c r="L43" s="3167"/>
      <c r="M43" s="3167"/>
      <c r="N43" s="3167"/>
      <c r="O43" s="3167"/>
      <c r="P43" s="3167"/>
      <c r="Q43" s="3167"/>
      <c r="R43" s="3167"/>
      <c r="S43" s="3167"/>
      <c r="T43" s="3167"/>
      <c r="U43" s="3167"/>
      <c r="V43" s="3167"/>
      <c r="W43" s="3167"/>
      <c r="X43" s="3167"/>
      <c r="Y43" s="5269"/>
    </row>
    <row r="44" spans="1:25" ht="13.5" thickBot="1">
      <c r="A44" s="1408"/>
      <c r="B44" s="5132">
        <v>11</v>
      </c>
      <c r="C44" s="2811" t="s">
        <v>209</v>
      </c>
      <c r="D44" s="3011"/>
      <c r="E44" s="3012"/>
      <c r="F44" s="3012"/>
      <c r="G44" s="3012"/>
      <c r="H44" s="5134">
        <f>ROUND(SUM(D18:H18,D44:G44),0)</f>
        <v>0</v>
      </c>
      <c r="I44" s="2918" t="s">
        <v>4116</v>
      </c>
      <c r="J44" s="1408"/>
      <c r="K44" s="3167"/>
      <c r="L44" s="3167"/>
      <c r="M44" s="3167"/>
      <c r="N44" s="3167"/>
      <c r="O44" s="3167"/>
      <c r="P44" s="3167"/>
      <c r="Q44" s="3167"/>
      <c r="R44" s="3167"/>
      <c r="S44" s="3167"/>
      <c r="T44" s="3167"/>
      <c r="U44" s="3167"/>
      <c r="V44" s="3167"/>
      <c r="W44" s="3167"/>
      <c r="X44" s="3167"/>
      <c r="Y44" s="5269"/>
    </row>
    <row r="45" spans="1:25" ht="17.25" customHeight="1" thickBot="1">
      <c r="A45" s="24"/>
      <c r="B45" s="2953" t="s">
        <v>2494</v>
      </c>
      <c r="C45" s="24"/>
      <c r="D45" s="24"/>
      <c r="E45" s="24"/>
      <c r="F45" s="24"/>
      <c r="G45" s="24"/>
      <c r="H45" s="24"/>
      <c r="I45" s="24"/>
      <c r="J45" s="1408"/>
      <c r="K45" s="3167"/>
      <c r="L45" s="3167"/>
      <c r="M45" s="3167"/>
      <c r="N45" s="3167"/>
      <c r="O45" s="3167"/>
      <c r="P45" s="3167"/>
      <c r="Q45" s="3167"/>
      <c r="R45" s="3167"/>
      <c r="S45" s="3167"/>
      <c r="T45" s="3167"/>
      <c r="U45" s="3167"/>
      <c r="V45" s="3167"/>
      <c r="W45" s="3167"/>
      <c r="X45" s="3167"/>
      <c r="Y45" s="5269"/>
    </row>
    <row r="46" spans="1:25" ht="13.5" thickTop="1">
      <c r="A46" s="3543"/>
      <c r="Y46" s="5268"/>
    </row>
    <row r="47" spans="1:25">
      <c r="Y47" s="5268"/>
    </row>
    <row r="48" spans="1:25" ht="13.5" thickBot="1">
      <c r="Y48" s="5268"/>
    </row>
    <row r="49" spans="3:25">
      <c r="C49" s="5243"/>
      <c r="Y49" s="5268"/>
    </row>
    <row r="50" spans="3:25">
      <c r="C50" s="5239" t="s">
        <v>5009</v>
      </c>
    </row>
    <row r="51" spans="3:25" ht="13.5" thickBot="1">
      <c r="C51" s="5244"/>
    </row>
  </sheetData>
  <sheetProtection password="F07E" sheet="1" objects="1" scenarios="1"/>
  <conditionalFormatting sqref="D2:H7 D22:H25 D29:G37 E8:H10 E18:H20 D40:G44">
    <cfRule type="expression" dxfId="3057" priority="28">
      <formula>IF(NoColor,1,0)</formula>
    </cfRule>
  </conditionalFormatting>
  <conditionalFormatting sqref="E21:H21">
    <cfRule type="expression" dxfId="3056" priority="27">
      <formula>IF(NoColor,1,0)</formula>
    </cfRule>
  </conditionalFormatting>
  <conditionalFormatting sqref="D8:D10 D18:D21">
    <cfRule type="expression" dxfId="3055" priority="20">
      <formula>IF(NoColor,1,0)</formula>
    </cfRule>
  </conditionalFormatting>
  <conditionalFormatting sqref="D38">
    <cfRule type="expression" dxfId="3054" priority="12">
      <formula>IF(NoColor,1,0)</formula>
    </cfRule>
  </conditionalFormatting>
  <conditionalFormatting sqref="D28:H28">
    <cfRule type="expression" dxfId="3053" priority="11">
      <formula>IF(NoColor,1,0)</formula>
    </cfRule>
  </conditionalFormatting>
  <conditionalFormatting sqref="E38:G38">
    <cfRule type="expression" dxfId="3052" priority="13">
      <formula>IF(NoColor,1,0)</formula>
    </cfRule>
  </conditionalFormatting>
  <conditionalFormatting sqref="E39:G39">
    <cfRule type="expression" dxfId="3051" priority="7">
      <formula>IF(NoColor,1,0)</formula>
    </cfRule>
  </conditionalFormatting>
  <conditionalFormatting sqref="H29:H38 H40:H44">
    <cfRule type="expression" dxfId="3050" priority="10">
      <formula>NoColor</formula>
    </cfRule>
  </conditionalFormatting>
  <conditionalFormatting sqref="D39">
    <cfRule type="expression" dxfId="3049" priority="6">
      <formula>IF(NoColor,1,0)</formula>
    </cfRule>
  </conditionalFormatting>
  <conditionalFormatting sqref="H39">
    <cfRule type="expression" dxfId="3048" priority="5">
      <formula>NoColor</formula>
    </cfRule>
  </conditionalFormatting>
  <conditionalFormatting sqref="I7">
    <cfRule type="expression" dxfId="3047" priority="4">
      <formula>Needs_SALT</formula>
    </cfRule>
  </conditionalFormatting>
  <conditionalFormatting sqref="I33">
    <cfRule type="expression" dxfId="3046" priority="3">
      <formula>Needs_SALT</formula>
    </cfRule>
  </conditionalFormatting>
  <conditionalFormatting sqref="E11:H17">
    <cfRule type="expression" dxfId="3045" priority="2">
      <formula>IF(NoColor,1,0)</formula>
    </cfRule>
  </conditionalFormatting>
  <conditionalFormatting sqref="D11:D17">
    <cfRule type="expression" dxfId="3044" priority="1">
      <formula>IF(NoColor,1,0)</formula>
    </cfRule>
  </conditionalFormatting>
  <hyperlinks>
    <hyperlink ref="C50" location="'Table of Contents'!A1" display="Table of Contents"/>
  </hyperlinks>
  <printOptions gridLines="1" gridLinesSet="0"/>
  <pageMargins left="0.75" right="0.75" top="1" bottom="1" header="0.5" footer="0.5"/>
  <pageSetup scale="52" fitToHeight="0" orientation="landscape" horizontalDpi="360" verticalDpi="360"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3"/>
  <sheetViews>
    <sheetView workbookViewId="0"/>
  </sheetViews>
  <sheetFormatPr defaultRowHeight="12.75"/>
  <cols>
    <col min="1" max="1" width="3" customWidth="1"/>
    <col min="2" max="2" width="5.7109375" customWidth="1"/>
    <col min="15" max="15" width="3.28515625" customWidth="1"/>
  </cols>
  <sheetData>
    <row r="1" spans="1:15" ht="13.5" thickBot="1">
      <c r="A1" s="3443"/>
      <c r="B1" s="3443"/>
      <c r="C1" s="3443"/>
      <c r="D1" s="3443"/>
      <c r="E1" s="3443"/>
      <c r="F1" s="3443"/>
      <c r="G1" s="3443"/>
      <c r="H1" s="3443"/>
      <c r="I1" s="3443"/>
      <c r="J1" s="3443"/>
      <c r="K1" s="3443"/>
      <c r="L1" s="3443"/>
      <c r="M1" s="3443"/>
      <c r="N1" s="3443"/>
      <c r="O1" s="3443"/>
    </row>
    <row r="2" spans="1:15" ht="13.5" thickTop="1">
      <c r="A2" s="3443"/>
      <c r="B2" s="3436"/>
      <c r="C2" s="1417"/>
      <c r="D2" s="1417"/>
      <c r="E2" s="1417"/>
      <c r="F2" s="1417"/>
      <c r="G2" s="1417"/>
      <c r="H2" s="1417"/>
      <c r="I2" s="1417"/>
      <c r="J2" s="1417"/>
      <c r="K2" s="1417"/>
      <c r="L2" s="1417"/>
      <c r="M2" s="1417"/>
      <c r="N2" s="3437"/>
      <c r="O2" s="3443"/>
    </row>
    <row r="3" spans="1:15">
      <c r="A3" s="3443"/>
      <c r="B3" s="3438"/>
      <c r="C3" s="1772" t="s">
        <v>2844</v>
      </c>
      <c r="D3" s="1408"/>
      <c r="E3" s="1408"/>
      <c r="F3" s="1408"/>
      <c r="G3" s="1408"/>
      <c r="H3" s="1408"/>
      <c r="I3" s="1408"/>
      <c r="J3" s="1408"/>
      <c r="K3" s="1408"/>
      <c r="L3" s="1408"/>
      <c r="M3" s="1408"/>
      <c r="N3" s="3439"/>
      <c r="O3" s="3443"/>
    </row>
    <row r="4" spans="1:15">
      <c r="A4" s="3443"/>
      <c r="B4" s="3438"/>
      <c r="C4" s="1408"/>
      <c r="D4" s="1408"/>
      <c r="E4" s="1408"/>
      <c r="F4" s="1408"/>
      <c r="G4" s="1408"/>
      <c r="H4" s="1408"/>
      <c r="I4" s="1408"/>
      <c r="J4" s="1408"/>
      <c r="K4" s="1408"/>
      <c r="L4" s="1408"/>
      <c r="M4" s="1408"/>
      <c r="N4" s="3439"/>
      <c r="O4" s="3443"/>
    </row>
    <row r="5" spans="1:15">
      <c r="A5" s="3443"/>
      <c r="B5" s="3438"/>
      <c r="C5" s="1766" t="s">
        <v>2845</v>
      </c>
      <c r="D5" s="1408"/>
      <c r="E5" s="1408"/>
      <c r="F5" s="1408"/>
      <c r="G5" s="1408"/>
      <c r="H5" s="1408"/>
      <c r="I5" s="1408"/>
      <c r="J5" s="1408"/>
      <c r="K5" s="1408"/>
      <c r="L5" s="1408"/>
      <c r="M5" s="1408"/>
      <c r="N5" s="3439"/>
      <c r="O5" s="3443"/>
    </row>
    <row r="6" spans="1:15">
      <c r="A6" s="3443"/>
      <c r="B6" s="3438"/>
      <c r="C6" s="1408"/>
      <c r="D6" s="1408"/>
      <c r="E6" s="1408"/>
      <c r="F6" s="1408"/>
      <c r="G6" s="1408"/>
      <c r="H6" s="1408"/>
      <c r="I6" s="1408"/>
      <c r="J6" s="1408"/>
      <c r="K6" s="1408"/>
      <c r="L6" s="1408"/>
      <c r="M6" s="1408"/>
      <c r="N6" s="3439"/>
      <c r="O6" s="3443"/>
    </row>
    <row r="7" spans="1:15">
      <c r="A7" s="3443"/>
      <c r="B7" s="3438"/>
      <c r="C7" s="1772" t="s">
        <v>2130</v>
      </c>
      <c r="D7" s="3445" t="s">
        <v>3970</v>
      </c>
      <c r="E7" s="1408"/>
      <c r="F7" s="1408"/>
      <c r="G7" s="1408"/>
      <c r="H7" s="1408"/>
      <c r="I7" s="1408"/>
      <c r="J7" s="1408"/>
      <c r="K7" s="1408"/>
      <c r="L7" s="1408"/>
      <c r="M7" s="1408"/>
      <c r="N7" s="3439"/>
      <c r="O7" s="3443"/>
    </row>
    <row r="8" spans="1:15">
      <c r="A8" s="3443"/>
      <c r="B8" s="3438"/>
      <c r="C8" s="1772" t="s">
        <v>2130</v>
      </c>
      <c r="D8" s="3444" t="s">
        <v>3870</v>
      </c>
      <c r="E8" s="1408"/>
      <c r="F8" s="1408"/>
      <c r="G8" s="1408"/>
      <c r="H8" s="1408"/>
      <c r="I8" s="1408"/>
      <c r="J8" s="1408"/>
      <c r="K8" s="1408"/>
      <c r="L8" s="1408"/>
      <c r="M8" s="1408"/>
      <c r="N8" s="3439"/>
      <c r="O8" s="3443"/>
    </row>
    <row r="9" spans="1:15">
      <c r="A9" s="3443"/>
      <c r="B9" s="3438"/>
      <c r="C9" s="1408"/>
      <c r="D9" s="3444" t="s">
        <v>3871</v>
      </c>
      <c r="E9" s="1408"/>
      <c r="F9" s="1408"/>
      <c r="G9" s="1408"/>
      <c r="H9" s="1408"/>
      <c r="I9" s="1408"/>
      <c r="J9" s="1408"/>
      <c r="K9" s="1408"/>
      <c r="L9" s="1408"/>
      <c r="M9" s="1408"/>
      <c r="N9" s="3439"/>
      <c r="O9" s="3443"/>
    </row>
    <row r="10" spans="1:15">
      <c r="A10" s="3443"/>
      <c r="B10" s="3438"/>
      <c r="C10" s="1408"/>
      <c r="D10" s="1766"/>
      <c r="E10" s="1408"/>
      <c r="F10" s="1408"/>
      <c r="G10" s="1408"/>
      <c r="H10" s="1408"/>
      <c r="I10" s="1408"/>
      <c r="J10" s="1408"/>
      <c r="K10" s="1408"/>
      <c r="L10" s="1408"/>
      <c r="M10" s="1408"/>
      <c r="N10" s="3439"/>
      <c r="O10" s="3443"/>
    </row>
    <row r="11" spans="1:15">
      <c r="A11" s="3443"/>
      <c r="B11" s="3438"/>
      <c r="C11" s="1772" t="s">
        <v>2846</v>
      </c>
      <c r="D11" s="1408"/>
      <c r="E11" s="1408"/>
      <c r="F11" s="1408"/>
      <c r="G11" s="1408"/>
      <c r="H11" s="1408"/>
      <c r="I11" s="1408"/>
      <c r="J11" s="1408"/>
      <c r="K11" s="1408"/>
      <c r="L11" s="1408"/>
      <c r="M11" s="1408"/>
      <c r="N11" s="3439"/>
      <c r="O11" s="3443"/>
    </row>
    <row r="12" spans="1:15">
      <c r="A12" s="3443"/>
      <c r="B12" s="3438"/>
      <c r="C12" s="3446" t="s">
        <v>2843</v>
      </c>
      <c r="D12" s="1408"/>
      <c r="E12" s="1408"/>
      <c r="F12" s="1408"/>
      <c r="G12" s="1408"/>
      <c r="H12" s="1408"/>
      <c r="I12" s="1408"/>
      <c r="J12" s="1408"/>
      <c r="K12" s="1408"/>
      <c r="L12" s="1408"/>
      <c r="M12" s="1408"/>
      <c r="N12" s="3439"/>
      <c r="O12" s="3443"/>
    </row>
    <row r="13" spans="1:15">
      <c r="A13" s="3443"/>
      <c r="B13" s="3438"/>
      <c r="C13" s="1408"/>
      <c r="D13" s="1408"/>
      <c r="E13" s="1408"/>
      <c r="F13" s="1408"/>
      <c r="G13" s="1408"/>
      <c r="H13" s="1408"/>
      <c r="I13" s="1408"/>
      <c r="J13" s="1408"/>
      <c r="K13" s="1408"/>
      <c r="L13" s="1408"/>
      <c r="M13" s="1408"/>
      <c r="N13" s="3439"/>
      <c r="O13" s="3443"/>
    </row>
    <row r="14" spans="1:15">
      <c r="A14" s="3443"/>
      <c r="B14" s="3438"/>
      <c r="C14" s="1772" t="s">
        <v>2847</v>
      </c>
      <c r="D14" s="1408"/>
      <c r="E14" s="1408"/>
      <c r="F14" s="1408"/>
      <c r="G14" s="1408"/>
      <c r="H14" s="1408"/>
      <c r="I14" s="1408"/>
      <c r="J14" s="1408"/>
      <c r="K14" s="1408"/>
      <c r="L14" s="1408"/>
      <c r="M14" s="1408"/>
      <c r="N14" s="3439"/>
      <c r="O14" s="3443"/>
    </row>
    <row r="15" spans="1:15">
      <c r="A15" s="3443"/>
      <c r="B15" s="3438"/>
      <c r="C15" s="3446" t="s">
        <v>2842</v>
      </c>
      <c r="D15" s="1408"/>
      <c r="E15" s="1408"/>
      <c r="F15" s="1408"/>
      <c r="G15" s="1408"/>
      <c r="H15" s="1408"/>
      <c r="I15" s="1408"/>
      <c r="J15" s="1408"/>
      <c r="K15" s="1408"/>
      <c r="L15" s="1408"/>
      <c r="M15" s="1408"/>
      <c r="N15" s="3439"/>
      <c r="O15" s="3443"/>
    </row>
    <row r="16" spans="1:15">
      <c r="A16" s="3443"/>
      <c r="B16" s="3438"/>
      <c r="C16" s="1408"/>
      <c r="D16" s="1408"/>
      <c r="E16" s="1408"/>
      <c r="F16" s="1408"/>
      <c r="G16" s="1408"/>
      <c r="H16" s="1408"/>
      <c r="I16" s="1408"/>
      <c r="J16" s="1408"/>
      <c r="K16" s="1408"/>
      <c r="L16" s="1408"/>
      <c r="M16" s="1408"/>
      <c r="N16" s="3439"/>
      <c r="O16" s="3443"/>
    </row>
    <row r="17" spans="1:15">
      <c r="A17" s="3443"/>
      <c r="B17" s="3438"/>
      <c r="C17" s="1408"/>
      <c r="D17" s="1408"/>
      <c r="E17" s="1408"/>
      <c r="F17" s="1408"/>
      <c r="G17" s="1408"/>
      <c r="H17" s="1408"/>
      <c r="I17" s="1408"/>
      <c r="J17" s="1408"/>
      <c r="K17" s="1408"/>
      <c r="L17" s="1408"/>
      <c r="M17" s="1408"/>
      <c r="N17" s="3439"/>
      <c r="O17" s="3443"/>
    </row>
    <row r="18" spans="1:15">
      <c r="A18" s="3443"/>
      <c r="B18" s="3438"/>
      <c r="C18" s="1408"/>
      <c r="D18" s="1408"/>
      <c r="E18" s="1408"/>
      <c r="F18" s="1408"/>
      <c r="G18" s="1408"/>
      <c r="H18" s="1408"/>
      <c r="I18" s="1408"/>
      <c r="J18" s="1408"/>
      <c r="K18" s="1408"/>
      <c r="L18" s="1408"/>
      <c r="M18" s="1408"/>
      <c r="N18" s="3439"/>
      <c r="O18" s="3443"/>
    </row>
    <row r="19" spans="1:15">
      <c r="A19" s="3443"/>
      <c r="B19" s="3438"/>
      <c r="C19" s="1408"/>
      <c r="D19" s="1408"/>
      <c r="E19" s="1408"/>
      <c r="F19" s="1408"/>
      <c r="G19" s="1408"/>
      <c r="H19" s="1408"/>
      <c r="I19" s="1408"/>
      <c r="J19" s="1408"/>
      <c r="K19" s="1408"/>
      <c r="L19" s="1408"/>
      <c r="M19" s="1408"/>
      <c r="N19" s="3439"/>
      <c r="O19" s="3443"/>
    </row>
    <row r="20" spans="1:15">
      <c r="A20" s="3443"/>
      <c r="B20" s="3438"/>
      <c r="C20" s="1408"/>
      <c r="D20" s="1408"/>
      <c r="E20" s="1408"/>
      <c r="F20" s="1408"/>
      <c r="G20" s="1408"/>
      <c r="H20" s="1408"/>
      <c r="I20" s="1408"/>
      <c r="J20" s="1408"/>
      <c r="K20" s="1408"/>
      <c r="L20" s="1408"/>
      <c r="M20" s="1408"/>
      <c r="N20" s="3439"/>
      <c r="O20" s="3443"/>
    </row>
    <row r="21" spans="1:15">
      <c r="A21" s="3443"/>
      <c r="B21" s="3438"/>
      <c r="C21" s="1408"/>
      <c r="D21" s="1408"/>
      <c r="E21" s="1408"/>
      <c r="F21" s="1408"/>
      <c r="G21" s="1408"/>
      <c r="H21" s="1408"/>
      <c r="I21" s="1408"/>
      <c r="J21" s="1408"/>
      <c r="K21" s="1408"/>
      <c r="L21" s="1408"/>
      <c r="M21" s="1408"/>
      <c r="N21" s="3439"/>
      <c r="O21" s="3443"/>
    </row>
    <row r="22" spans="1:15">
      <c r="A22" s="3443"/>
      <c r="B22" s="3438"/>
      <c r="C22" s="1408"/>
      <c r="D22" s="1408"/>
      <c r="E22" s="1408"/>
      <c r="F22" s="1408"/>
      <c r="G22" s="1408"/>
      <c r="H22" s="1408"/>
      <c r="I22" s="1408"/>
      <c r="J22" s="1408"/>
      <c r="K22" s="1408"/>
      <c r="L22" s="1408"/>
      <c r="M22" s="1408"/>
      <c r="N22" s="3439"/>
      <c r="O22" s="3443"/>
    </row>
    <row r="23" spans="1:15">
      <c r="A23" s="3443"/>
      <c r="B23" s="3438"/>
      <c r="C23" s="1408"/>
      <c r="D23" s="1408"/>
      <c r="E23" s="1408"/>
      <c r="F23" s="1408"/>
      <c r="G23" s="1408"/>
      <c r="H23" s="1408"/>
      <c r="I23" s="1408"/>
      <c r="J23" s="1408"/>
      <c r="K23" s="1408"/>
      <c r="L23" s="1408"/>
      <c r="M23" s="1408"/>
      <c r="N23" s="3439"/>
      <c r="O23" s="3443"/>
    </row>
    <row r="24" spans="1:15">
      <c r="A24" s="3443"/>
      <c r="B24" s="3438"/>
      <c r="C24" s="1408"/>
      <c r="D24" s="1408"/>
      <c r="E24" s="1408"/>
      <c r="F24" s="1408"/>
      <c r="G24" s="1408"/>
      <c r="H24" s="1408"/>
      <c r="I24" s="1408"/>
      <c r="J24" s="1408"/>
      <c r="K24" s="1408"/>
      <c r="L24" s="1408"/>
      <c r="M24" s="1408"/>
      <c r="N24" s="3439"/>
      <c r="O24" s="3443"/>
    </row>
    <row r="25" spans="1:15">
      <c r="A25" s="3443"/>
      <c r="B25" s="3438"/>
      <c r="C25" s="1408"/>
      <c r="D25" s="1408"/>
      <c r="E25" s="1408"/>
      <c r="F25" s="1408"/>
      <c r="G25" s="1408"/>
      <c r="H25" s="1408"/>
      <c r="I25" s="1408"/>
      <c r="J25" s="1408"/>
      <c r="K25" s="1408"/>
      <c r="L25" s="1408"/>
      <c r="M25" s="1408"/>
      <c r="N25" s="3439"/>
      <c r="O25" s="3443"/>
    </row>
    <row r="26" spans="1:15">
      <c r="A26" s="3443"/>
      <c r="B26" s="3438"/>
      <c r="C26" s="1408"/>
      <c r="D26" s="1408"/>
      <c r="E26" s="1408"/>
      <c r="F26" s="1408"/>
      <c r="G26" s="1408"/>
      <c r="H26" s="1408"/>
      <c r="I26" s="1408"/>
      <c r="J26" s="1408"/>
      <c r="K26" s="1408"/>
      <c r="L26" s="1408"/>
      <c r="M26" s="1408"/>
      <c r="N26" s="3439"/>
      <c r="O26" s="3443"/>
    </row>
    <row r="27" spans="1:15">
      <c r="A27" s="3443"/>
      <c r="B27" s="3438"/>
      <c r="C27" s="1408"/>
      <c r="D27" s="1408"/>
      <c r="E27" s="1408"/>
      <c r="F27" s="1408"/>
      <c r="G27" s="1408"/>
      <c r="H27" s="1408"/>
      <c r="I27" s="1408"/>
      <c r="J27" s="1408"/>
      <c r="K27" s="1408"/>
      <c r="L27" s="1408"/>
      <c r="M27" s="1408"/>
      <c r="N27" s="3439"/>
      <c r="O27" s="3443"/>
    </row>
    <row r="28" spans="1:15">
      <c r="A28" s="3443"/>
      <c r="B28" s="3438"/>
      <c r="C28" s="1408"/>
      <c r="D28" s="1408"/>
      <c r="E28" s="1408"/>
      <c r="F28" s="1408"/>
      <c r="G28" s="1408"/>
      <c r="H28" s="1408"/>
      <c r="I28" s="1408"/>
      <c r="J28" s="1408"/>
      <c r="K28" s="1408"/>
      <c r="L28" s="1408"/>
      <c r="M28" s="1408"/>
      <c r="N28" s="3439"/>
      <c r="O28" s="3443"/>
    </row>
    <row r="29" spans="1:15">
      <c r="A29" s="3443"/>
      <c r="B29" s="3438"/>
      <c r="C29" s="1408"/>
      <c r="D29" s="1408"/>
      <c r="E29" s="1408"/>
      <c r="F29" s="1408"/>
      <c r="G29" s="1408"/>
      <c r="H29" s="1408"/>
      <c r="I29" s="1408"/>
      <c r="J29" s="1408"/>
      <c r="K29" s="1408"/>
      <c r="L29" s="1408"/>
      <c r="M29" s="1408"/>
      <c r="N29" s="3439"/>
      <c r="O29" s="3443"/>
    </row>
    <row r="30" spans="1:15">
      <c r="A30" s="3443"/>
      <c r="B30" s="3438"/>
      <c r="C30" s="1408"/>
      <c r="D30" s="1408"/>
      <c r="E30" s="1408"/>
      <c r="F30" s="1408"/>
      <c r="G30" s="1408"/>
      <c r="H30" s="1408"/>
      <c r="I30" s="1408"/>
      <c r="J30" s="1408"/>
      <c r="K30" s="1408"/>
      <c r="L30" s="1408"/>
      <c r="M30" s="1408"/>
      <c r="N30" s="3439"/>
      <c r="O30" s="3443"/>
    </row>
    <row r="31" spans="1:15">
      <c r="A31" s="3443"/>
      <c r="B31" s="3438"/>
      <c r="C31" s="1408"/>
      <c r="D31" s="1408"/>
      <c r="E31" s="1408"/>
      <c r="F31" s="1408"/>
      <c r="G31" s="1408"/>
      <c r="H31" s="1408"/>
      <c r="I31" s="1408"/>
      <c r="J31" s="1408"/>
      <c r="K31" s="1408"/>
      <c r="L31" s="1408"/>
      <c r="M31" s="1408"/>
      <c r="N31" s="3439"/>
      <c r="O31" s="3443"/>
    </row>
    <row r="32" spans="1:15">
      <c r="A32" s="3443"/>
      <c r="B32" s="3438"/>
      <c r="C32" s="1408"/>
      <c r="D32" s="1408"/>
      <c r="E32" s="1408"/>
      <c r="F32" s="1408"/>
      <c r="G32" s="1408"/>
      <c r="H32" s="1408"/>
      <c r="I32" s="1408"/>
      <c r="J32" s="1408"/>
      <c r="K32" s="1408"/>
      <c r="L32" s="1408"/>
      <c r="M32" s="1408"/>
      <c r="N32" s="3439"/>
      <c r="O32" s="3443"/>
    </row>
    <row r="33" spans="1:15">
      <c r="A33" s="3443"/>
      <c r="B33" s="3438"/>
      <c r="C33" s="1408"/>
      <c r="D33" s="1408"/>
      <c r="E33" s="1408"/>
      <c r="F33" s="1408"/>
      <c r="G33" s="1408"/>
      <c r="H33" s="1408"/>
      <c r="I33" s="1408"/>
      <c r="J33" s="1408"/>
      <c r="K33" s="1408"/>
      <c r="L33" s="1408"/>
      <c r="M33" s="1408"/>
      <c r="N33" s="3439"/>
      <c r="O33" s="3443"/>
    </row>
    <row r="34" spans="1:15">
      <c r="A34" s="3443"/>
      <c r="B34" s="3438"/>
      <c r="C34" s="1408"/>
      <c r="D34" s="1408"/>
      <c r="E34" s="1408"/>
      <c r="F34" s="1408"/>
      <c r="G34" s="1408"/>
      <c r="H34" s="1408"/>
      <c r="I34" s="1408"/>
      <c r="J34" s="1408"/>
      <c r="K34" s="1408"/>
      <c r="L34" s="1408"/>
      <c r="M34" s="1408"/>
      <c r="N34" s="3439"/>
      <c r="O34" s="3443"/>
    </row>
    <row r="35" spans="1:15">
      <c r="A35" s="3443"/>
      <c r="B35" s="3438"/>
      <c r="C35" s="1408"/>
      <c r="D35" s="1408"/>
      <c r="E35" s="1408"/>
      <c r="F35" s="1408"/>
      <c r="G35" s="1408"/>
      <c r="H35" s="1408"/>
      <c r="I35" s="1408"/>
      <c r="J35" s="1408"/>
      <c r="K35" s="1408"/>
      <c r="L35" s="1408"/>
      <c r="M35" s="1408"/>
      <c r="N35" s="3439"/>
      <c r="O35" s="3443"/>
    </row>
    <row r="36" spans="1:15">
      <c r="A36" s="3443"/>
      <c r="B36" s="3438"/>
      <c r="C36" s="1408"/>
      <c r="D36" s="1408"/>
      <c r="E36" s="1408"/>
      <c r="F36" s="1408"/>
      <c r="G36" s="1408"/>
      <c r="H36" s="1408"/>
      <c r="I36" s="1408"/>
      <c r="J36" s="1408"/>
      <c r="K36" s="1408"/>
      <c r="L36" s="1408"/>
      <c r="M36" s="1408"/>
      <c r="N36" s="3439"/>
      <c r="O36" s="3443"/>
    </row>
    <row r="37" spans="1:15">
      <c r="A37" s="3443"/>
      <c r="B37" s="3438"/>
      <c r="C37" s="1408"/>
      <c r="D37" s="1408"/>
      <c r="E37" s="1408"/>
      <c r="F37" s="1408"/>
      <c r="G37" s="1408"/>
      <c r="H37" s="1408"/>
      <c r="I37" s="1408"/>
      <c r="J37" s="1408"/>
      <c r="K37" s="1408"/>
      <c r="L37" s="1408"/>
      <c r="M37" s="1408"/>
      <c r="N37" s="3439"/>
      <c r="O37" s="3443"/>
    </row>
    <row r="38" spans="1:15">
      <c r="A38" s="3443"/>
      <c r="B38" s="3438"/>
      <c r="C38" s="1408"/>
      <c r="D38" s="1408"/>
      <c r="E38" s="1408"/>
      <c r="F38" s="1408"/>
      <c r="G38" s="1408"/>
      <c r="H38" s="1408"/>
      <c r="I38" s="1408"/>
      <c r="J38" s="1408"/>
      <c r="K38" s="1408"/>
      <c r="L38" s="1408"/>
      <c r="M38" s="1408"/>
      <c r="N38" s="3439"/>
      <c r="O38" s="3443"/>
    </row>
    <row r="39" spans="1:15">
      <c r="A39" s="3443"/>
      <c r="B39" s="3438"/>
      <c r="C39" s="1408"/>
      <c r="D39" s="1408"/>
      <c r="E39" s="1408"/>
      <c r="F39" s="1408"/>
      <c r="G39" s="1408"/>
      <c r="H39" s="1408"/>
      <c r="I39" s="1408"/>
      <c r="J39" s="1408"/>
      <c r="K39" s="1408"/>
      <c r="L39" s="1408"/>
      <c r="M39" s="1408"/>
      <c r="N39" s="3439"/>
      <c r="O39" s="3443"/>
    </row>
    <row r="40" spans="1:15">
      <c r="A40" s="3443"/>
      <c r="B40" s="3438"/>
      <c r="C40" s="1408"/>
      <c r="D40" s="1408"/>
      <c r="E40" s="1408"/>
      <c r="F40" s="1408"/>
      <c r="G40" s="1408"/>
      <c r="H40" s="1408"/>
      <c r="I40" s="1408"/>
      <c r="J40" s="1408"/>
      <c r="K40" s="1408"/>
      <c r="L40" s="1408"/>
      <c r="M40" s="1408"/>
      <c r="N40" s="3439"/>
      <c r="O40" s="3443"/>
    </row>
    <row r="41" spans="1:15">
      <c r="A41" s="3443"/>
      <c r="B41" s="3438"/>
      <c r="C41" s="1408"/>
      <c r="D41" s="1408"/>
      <c r="E41" s="1408"/>
      <c r="F41" s="1408"/>
      <c r="G41" s="1408"/>
      <c r="H41" s="1408"/>
      <c r="I41" s="1408"/>
      <c r="J41" s="1408"/>
      <c r="K41" s="1408"/>
      <c r="L41" s="1408"/>
      <c r="M41" s="1408"/>
      <c r="N41" s="3439"/>
      <c r="O41" s="3443"/>
    </row>
    <row r="42" spans="1:15">
      <c r="A42" s="3443"/>
      <c r="B42" s="3438"/>
      <c r="C42" s="1408"/>
      <c r="D42" s="1408"/>
      <c r="E42" s="1408"/>
      <c r="F42" s="1408"/>
      <c r="G42" s="1408"/>
      <c r="H42" s="1408"/>
      <c r="I42" s="1408"/>
      <c r="J42" s="1408"/>
      <c r="K42" s="1408"/>
      <c r="L42" s="1408"/>
      <c r="M42" s="1408"/>
      <c r="N42" s="3439"/>
      <c r="O42" s="3443"/>
    </row>
    <row r="43" spans="1:15">
      <c r="A43" s="3443"/>
      <c r="B43" s="3438"/>
      <c r="C43" s="1408"/>
      <c r="D43" s="1408"/>
      <c r="E43" s="1408"/>
      <c r="F43" s="1408"/>
      <c r="G43" s="1408"/>
      <c r="H43" s="1408"/>
      <c r="I43" s="1408"/>
      <c r="J43" s="1408"/>
      <c r="K43" s="1408"/>
      <c r="L43" s="1408"/>
      <c r="M43" s="1408"/>
      <c r="N43" s="3439"/>
      <c r="O43" s="3443"/>
    </row>
    <row r="44" spans="1:15" ht="13.5" thickBot="1">
      <c r="A44" s="3443"/>
      <c r="B44" s="3440"/>
      <c r="C44" s="3441"/>
      <c r="D44" s="3441"/>
      <c r="E44" s="3441"/>
      <c r="F44" s="3441"/>
      <c r="G44" s="3441"/>
      <c r="H44" s="3441"/>
      <c r="I44" s="3441"/>
      <c r="J44" s="3441"/>
      <c r="K44" s="3441"/>
      <c r="L44" s="3441"/>
      <c r="M44" s="3441"/>
      <c r="N44" s="3442"/>
      <c r="O44" s="3443"/>
    </row>
    <row r="45" spans="1:15" ht="13.5" thickTop="1">
      <c r="A45" s="3443"/>
      <c r="B45" s="3443"/>
      <c r="C45" s="3443"/>
      <c r="D45" s="3443"/>
      <c r="E45" s="3443"/>
      <c r="F45" s="3443"/>
      <c r="G45" s="3443"/>
      <c r="H45" s="3443"/>
      <c r="I45" s="3443"/>
      <c r="J45" s="3443"/>
      <c r="K45" s="3443"/>
      <c r="L45" s="3443"/>
      <c r="M45" s="3443"/>
      <c r="N45" s="3443"/>
      <c r="O45" s="3443"/>
    </row>
    <row r="50" spans="3:4" ht="13.5" thickBot="1"/>
    <row r="51" spans="3:4">
      <c r="C51" s="5311" t="s">
        <v>5009</v>
      </c>
      <c r="D51" s="5312"/>
    </row>
    <row r="52" spans="3:4">
      <c r="C52" s="5313"/>
      <c r="D52" s="5314"/>
    </row>
    <row r="53" spans="3:4" ht="13.5" thickBot="1">
      <c r="C53" s="5315"/>
      <c r="D53" s="5316"/>
    </row>
  </sheetData>
  <sheetProtection password="F07E" sheet="1" objects="1" scenarios="1"/>
  <mergeCells count="1">
    <mergeCell ref="C51:D53"/>
  </mergeCells>
  <hyperlinks>
    <hyperlink ref="C12" r:id="rId1"/>
    <hyperlink ref="C15" r:id="rId2"/>
    <hyperlink ref="C51" location="'Table of Contents'!A1" display="Table of Contents"/>
  </hyperlinks>
  <pageMargins left="0.7" right="0.7" top="0.75" bottom="0.75" header="0.3" footer="0.3"/>
  <pageSetup scale="7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K81"/>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4" customWidth="1"/>
    <col min="4" max="12" width="13.140625" customWidth="1"/>
    <col min="13" max="13" width="13.42578125" customWidth="1"/>
    <col min="14" max="14" width="12.42578125" customWidth="1"/>
    <col min="15" max="15" width="13.140625" customWidth="1"/>
    <col min="16" max="24" width="9.140625" hidden="1" customWidth="1"/>
    <col min="25" max="37" width="9.140625" style="3169"/>
  </cols>
  <sheetData>
    <row r="1" spans="1:37" s="2975" customFormat="1" ht="36.75" customHeight="1" thickBot="1">
      <c r="A1" s="436"/>
      <c r="B1" s="2978" t="s">
        <v>2498</v>
      </c>
      <c r="C1" s="2971"/>
      <c r="D1" s="2972"/>
      <c r="E1" s="2972"/>
      <c r="F1" s="2972"/>
      <c r="G1" s="2972"/>
      <c r="H1" s="2972"/>
      <c r="I1" s="2972"/>
      <c r="J1" s="2972"/>
      <c r="K1" s="2972"/>
      <c r="L1" s="2972"/>
      <c r="M1" s="2972"/>
      <c r="N1" s="2972"/>
      <c r="O1" s="2973"/>
      <c r="P1" s="2974"/>
      <c r="Q1" s="2974"/>
      <c r="R1" s="2974"/>
      <c r="S1" s="2974"/>
      <c r="T1" s="2974"/>
      <c r="U1" s="2974"/>
      <c r="V1" s="2974"/>
      <c r="W1" s="2974"/>
      <c r="X1" s="2974"/>
      <c r="Y1" s="3168" t="s">
        <v>2552</v>
      </c>
      <c r="Z1" s="3174"/>
      <c r="AA1" s="3174"/>
      <c r="AB1" s="3174"/>
      <c r="AC1" s="3174"/>
      <c r="AD1" s="3174"/>
      <c r="AE1" s="3174"/>
      <c r="AF1" s="3174"/>
      <c r="AG1" s="3174"/>
      <c r="AH1" s="3174"/>
      <c r="AI1" s="3174"/>
      <c r="AJ1" s="3174"/>
      <c r="AK1" s="3174"/>
    </row>
    <row r="2" spans="1:37" ht="41.25" customHeight="1" thickTop="1" thickBot="1">
      <c r="A2" s="1417"/>
      <c r="B2" s="891"/>
      <c r="C2" s="1621" t="str">
        <f>IF(Name_1st_Yours="","Enter your name on the"&amp;CHAR(10)&amp;"sheet labeled '1040'",NameYours)</f>
        <v>Enter your name on the
sheet labeled '1040'</v>
      </c>
      <c r="D2" s="2368" t="s">
        <v>2886</v>
      </c>
      <c r="E2" s="2367" t="s">
        <v>321</v>
      </c>
      <c r="F2" s="2367" t="s">
        <v>322</v>
      </c>
      <c r="G2" s="2367" t="s">
        <v>416</v>
      </c>
      <c r="H2" s="2368" t="s">
        <v>2043</v>
      </c>
      <c r="I2" s="2368" t="s">
        <v>2044</v>
      </c>
      <c r="J2" s="2368" t="s">
        <v>2045</v>
      </c>
      <c r="K2" s="2368" t="s">
        <v>2320</v>
      </c>
      <c r="L2" s="2368" t="s">
        <v>2321</v>
      </c>
      <c r="M2" s="3552" t="s">
        <v>2885</v>
      </c>
      <c r="N2" s="490" t="s">
        <v>467</v>
      </c>
      <c r="O2" s="89"/>
      <c r="P2" s="361"/>
      <c r="Q2" s="361"/>
      <c r="R2" s="361"/>
      <c r="S2" s="361"/>
      <c r="T2" s="361"/>
      <c r="U2" s="361"/>
      <c r="V2" s="361"/>
      <c r="W2" s="361"/>
      <c r="X2" s="361"/>
    </row>
    <row r="3" spans="1:37" ht="13.5" thickBot="1">
      <c r="A3" s="1408"/>
      <c r="B3" s="1410"/>
      <c r="C3" s="1411" t="s">
        <v>1497</v>
      </c>
      <c r="D3" s="2369"/>
      <c r="E3" s="2759"/>
      <c r="F3" s="2759"/>
      <c r="G3" s="2760"/>
      <c r="H3" s="2760"/>
      <c r="I3" s="2760"/>
      <c r="J3" s="2760"/>
      <c r="K3" s="2760"/>
      <c r="L3" s="2760"/>
      <c r="M3" s="1412" t="s">
        <v>466</v>
      </c>
      <c r="N3" s="1409" t="s">
        <v>447</v>
      </c>
      <c r="O3" s="3148"/>
      <c r="P3" s="46"/>
      <c r="Q3" s="46"/>
      <c r="R3" s="46"/>
      <c r="S3" s="46"/>
      <c r="T3" s="46"/>
      <c r="U3" s="46"/>
      <c r="V3" s="46"/>
      <c r="W3" s="46"/>
      <c r="X3" s="46"/>
    </row>
    <row r="4" spans="1:37" ht="13.5" customHeight="1">
      <c r="A4" s="1408"/>
      <c r="B4" s="480">
        <v>1</v>
      </c>
      <c r="C4" s="3149" t="s">
        <v>547</v>
      </c>
      <c r="D4" s="2999"/>
      <c r="E4" s="3000"/>
      <c r="F4" s="3000"/>
      <c r="G4" s="3138"/>
      <c r="H4" s="3138"/>
      <c r="I4" s="3138"/>
      <c r="J4" s="3138"/>
      <c r="K4" s="3138"/>
      <c r="L4" s="3139"/>
      <c r="M4" s="3150">
        <f t="shared" ref="M4:M10" si="0">SUM(P4:X4)</f>
        <v>0</v>
      </c>
      <c r="N4" s="3150">
        <f t="shared" ref="N4:N10" si="1">SUM(D4:L4)-M4</f>
        <v>0</v>
      </c>
      <c r="O4" s="411"/>
      <c r="P4" s="3151">
        <f t="shared" ref="P4:X10" si="2">IF(D$3="ira",D4,0)</f>
        <v>0</v>
      </c>
      <c r="Q4" s="3151">
        <f t="shared" si="2"/>
        <v>0</v>
      </c>
      <c r="R4" s="3151">
        <f t="shared" si="2"/>
        <v>0</v>
      </c>
      <c r="S4" s="3151">
        <f t="shared" si="2"/>
        <v>0</v>
      </c>
      <c r="T4" s="3151">
        <f t="shared" si="2"/>
        <v>0</v>
      </c>
      <c r="U4" s="3151">
        <f t="shared" si="2"/>
        <v>0</v>
      </c>
      <c r="V4" s="3151">
        <f t="shared" si="2"/>
        <v>0</v>
      </c>
      <c r="W4" s="3151">
        <f t="shared" si="2"/>
        <v>0</v>
      </c>
      <c r="X4" s="3152">
        <f t="shared" si="2"/>
        <v>0</v>
      </c>
    </row>
    <row r="5" spans="1:37" ht="13.5" customHeight="1">
      <c r="A5" s="1408"/>
      <c r="B5" s="481" t="s">
        <v>386</v>
      </c>
      <c r="C5" s="3141" t="s">
        <v>319</v>
      </c>
      <c r="D5" s="3001"/>
      <c r="E5" s="3002"/>
      <c r="F5" s="3002"/>
      <c r="G5" s="3003"/>
      <c r="H5" s="3003"/>
      <c r="I5" s="3003"/>
      <c r="J5" s="3003"/>
      <c r="K5" s="3003"/>
      <c r="L5" s="3004"/>
      <c r="M5" s="3015">
        <f t="shared" si="0"/>
        <v>0</v>
      </c>
      <c r="N5" s="3153">
        <f>SUM(D5:L5)-IRA_Taxable_You</f>
        <v>0</v>
      </c>
      <c r="O5" s="411"/>
      <c r="P5" s="3151">
        <f t="shared" si="2"/>
        <v>0</v>
      </c>
      <c r="Q5" s="3151">
        <f t="shared" si="2"/>
        <v>0</v>
      </c>
      <c r="R5" s="3151">
        <f t="shared" si="2"/>
        <v>0</v>
      </c>
      <c r="S5" s="3151">
        <f t="shared" si="2"/>
        <v>0</v>
      </c>
      <c r="T5" s="3151">
        <f t="shared" si="2"/>
        <v>0</v>
      </c>
      <c r="U5" s="3151">
        <f t="shared" si="2"/>
        <v>0</v>
      </c>
      <c r="V5" s="3151">
        <f t="shared" si="2"/>
        <v>0</v>
      </c>
      <c r="W5" s="3151">
        <f t="shared" si="2"/>
        <v>0</v>
      </c>
      <c r="X5" s="3152">
        <f t="shared" si="2"/>
        <v>0</v>
      </c>
    </row>
    <row r="6" spans="1:37" ht="13.5" customHeight="1">
      <c r="A6" s="1408"/>
      <c r="B6" s="1418" t="s">
        <v>387</v>
      </c>
      <c r="C6" s="1419" t="s">
        <v>4613</v>
      </c>
      <c r="D6" s="3001"/>
      <c r="E6" s="3002"/>
      <c r="F6" s="3002"/>
      <c r="G6" s="3003"/>
      <c r="H6" s="3003"/>
      <c r="I6" s="3003"/>
      <c r="J6" s="3003"/>
      <c r="K6" s="3003"/>
      <c r="L6" s="3004"/>
      <c r="M6" s="1422" t="str">
        <f>" - - - -"</f>
        <v xml:space="preserve"> - - - -</v>
      </c>
      <c r="N6" s="1422" t="str">
        <f>" - - - -"</f>
        <v xml:space="preserve"> - - - -</v>
      </c>
      <c r="O6" s="411"/>
      <c r="P6" s="3151">
        <f t="shared" ref="P6:X6" si="3">IF(D$3="ira",D6,0)</f>
        <v>0</v>
      </c>
      <c r="Q6" s="3151">
        <f t="shared" si="3"/>
        <v>0</v>
      </c>
      <c r="R6" s="3151">
        <f t="shared" si="3"/>
        <v>0</v>
      </c>
      <c r="S6" s="3151">
        <f t="shared" si="3"/>
        <v>0</v>
      </c>
      <c r="T6" s="3151">
        <f t="shared" si="3"/>
        <v>0</v>
      </c>
      <c r="U6" s="3151">
        <f t="shared" si="3"/>
        <v>0</v>
      </c>
      <c r="V6" s="3151">
        <f t="shared" si="3"/>
        <v>0</v>
      </c>
      <c r="W6" s="3151">
        <f t="shared" si="3"/>
        <v>0</v>
      </c>
      <c r="X6" s="3152">
        <f t="shared" si="3"/>
        <v>0</v>
      </c>
    </row>
    <row r="7" spans="1:37" ht="13.5" customHeight="1">
      <c r="A7" s="1408"/>
      <c r="B7" s="1418">
        <v>3</v>
      </c>
      <c r="C7" s="1419" t="s">
        <v>863</v>
      </c>
      <c r="D7" s="3001"/>
      <c r="E7" s="3002"/>
      <c r="F7" s="3002"/>
      <c r="G7" s="3003"/>
      <c r="H7" s="3003"/>
      <c r="I7" s="3003"/>
      <c r="J7" s="3003"/>
      <c r="K7" s="3003"/>
      <c r="L7" s="3004"/>
      <c r="M7" s="3015">
        <f t="shared" si="0"/>
        <v>0</v>
      </c>
      <c r="N7" s="3153">
        <f t="shared" si="1"/>
        <v>0</v>
      </c>
      <c r="O7" s="411"/>
      <c r="P7" s="3151">
        <f t="shared" si="2"/>
        <v>0</v>
      </c>
      <c r="Q7" s="3151">
        <f t="shared" si="2"/>
        <v>0</v>
      </c>
      <c r="R7" s="3151">
        <f t="shared" si="2"/>
        <v>0</v>
      </c>
      <c r="S7" s="3151">
        <f t="shared" si="2"/>
        <v>0</v>
      </c>
      <c r="T7" s="3151">
        <f t="shared" si="2"/>
        <v>0</v>
      </c>
      <c r="U7" s="3151">
        <f t="shared" si="2"/>
        <v>0</v>
      </c>
      <c r="V7" s="3151">
        <f t="shared" si="2"/>
        <v>0</v>
      </c>
      <c r="W7" s="3151">
        <f t="shared" si="2"/>
        <v>0</v>
      </c>
      <c r="X7" s="3152">
        <f t="shared" si="2"/>
        <v>0</v>
      </c>
    </row>
    <row r="8" spans="1:37" ht="13.5" customHeight="1">
      <c r="A8" s="1408"/>
      <c r="B8" s="481">
        <v>4</v>
      </c>
      <c r="C8" s="3141" t="s">
        <v>189</v>
      </c>
      <c r="D8" s="3001"/>
      <c r="E8" s="3002"/>
      <c r="F8" s="3002"/>
      <c r="G8" s="3003"/>
      <c r="H8" s="3003"/>
      <c r="I8" s="3003"/>
      <c r="J8" s="3003"/>
      <c r="K8" s="3003"/>
      <c r="L8" s="3004"/>
      <c r="M8" s="3015">
        <f t="shared" si="0"/>
        <v>0</v>
      </c>
      <c r="N8" s="3153">
        <f t="shared" si="1"/>
        <v>0</v>
      </c>
      <c r="O8" s="411"/>
      <c r="P8" s="3151">
        <f t="shared" si="2"/>
        <v>0</v>
      </c>
      <c r="Q8" s="3151">
        <f t="shared" si="2"/>
        <v>0</v>
      </c>
      <c r="R8" s="3151">
        <f t="shared" si="2"/>
        <v>0</v>
      </c>
      <c r="S8" s="3151">
        <f t="shared" si="2"/>
        <v>0</v>
      </c>
      <c r="T8" s="3151">
        <f t="shared" si="2"/>
        <v>0</v>
      </c>
      <c r="U8" s="3151">
        <f t="shared" si="2"/>
        <v>0</v>
      </c>
      <c r="V8" s="3151">
        <f t="shared" si="2"/>
        <v>0</v>
      </c>
      <c r="W8" s="3151">
        <f t="shared" si="2"/>
        <v>0</v>
      </c>
      <c r="X8" s="3152">
        <f t="shared" si="2"/>
        <v>0</v>
      </c>
    </row>
    <row r="9" spans="1:37" ht="27" customHeight="1">
      <c r="A9" s="1408"/>
      <c r="B9" s="1420">
        <v>5</v>
      </c>
      <c r="C9" s="1421" t="s">
        <v>864</v>
      </c>
      <c r="D9" s="3001"/>
      <c r="E9" s="3002"/>
      <c r="F9" s="3002"/>
      <c r="G9" s="3003"/>
      <c r="H9" s="3003"/>
      <c r="I9" s="3003"/>
      <c r="J9" s="3003"/>
      <c r="K9" s="3003"/>
      <c r="L9" s="3004"/>
      <c r="M9" s="3015">
        <f t="shared" si="0"/>
        <v>0</v>
      </c>
      <c r="N9" s="3153">
        <f t="shared" si="1"/>
        <v>0</v>
      </c>
      <c r="O9" s="133"/>
      <c r="P9" s="3151">
        <f t="shared" si="2"/>
        <v>0</v>
      </c>
      <c r="Q9" s="3151">
        <f t="shared" si="2"/>
        <v>0</v>
      </c>
      <c r="R9" s="3151">
        <f t="shared" si="2"/>
        <v>0</v>
      </c>
      <c r="S9" s="3151">
        <f t="shared" si="2"/>
        <v>0</v>
      </c>
      <c r="T9" s="3151">
        <f t="shared" si="2"/>
        <v>0</v>
      </c>
      <c r="U9" s="3151">
        <f t="shared" si="2"/>
        <v>0</v>
      </c>
      <c r="V9" s="3151">
        <f t="shared" si="2"/>
        <v>0</v>
      </c>
      <c r="W9" s="3151">
        <f t="shared" si="2"/>
        <v>0</v>
      </c>
      <c r="X9" s="3152">
        <f t="shared" si="2"/>
        <v>0</v>
      </c>
    </row>
    <row r="10" spans="1:37">
      <c r="A10" s="1408"/>
      <c r="B10" s="1418">
        <v>6</v>
      </c>
      <c r="C10" s="1419" t="s">
        <v>110</v>
      </c>
      <c r="D10" s="3001"/>
      <c r="E10" s="3002"/>
      <c r="F10" s="3002"/>
      <c r="G10" s="3003"/>
      <c r="H10" s="3003"/>
      <c r="I10" s="3003"/>
      <c r="J10" s="3003"/>
      <c r="K10" s="3003"/>
      <c r="L10" s="3004"/>
      <c r="M10" s="3015">
        <f t="shared" si="0"/>
        <v>0</v>
      </c>
      <c r="N10" s="3153">
        <f t="shared" si="1"/>
        <v>0</v>
      </c>
      <c r="O10" s="133"/>
      <c r="P10" s="3151">
        <f t="shared" si="2"/>
        <v>0</v>
      </c>
      <c r="Q10" s="3151">
        <f t="shared" si="2"/>
        <v>0</v>
      </c>
      <c r="R10" s="3151">
        <f t="shared" si="2"/>
        <v>0</v>
      </c>
      <c r="S10" s="3151">
        <f t="shared" si="2"/>
        <v>0</v>
      </c>
      <c r="T10" s="3151">
        <f t="shared" si="2"/>
        <v>0</v>
      </c>
      <c r="U10" s="3151">
        <f t="shared" si="2"/>
        <v>0</v>
      </c>
      <c r="V10" s="3151">
        <f t="shared" si="2"/>
        <v>0</v>
      </c>
      <c r="W10" s="3151">
        <f t="shared" si="2"/>
        <v>0</v>
      </c>
      <c r="X10" s="3152">
        <f t="shared" si="2"/>
        <v>0</v>
      </c>
    </row>
    <row r="11" spans="1:37">
      <c r="A11" s="1408"/>
      <c r="B11" s="1418">
        <v>7</v>
      </c>
      <c r="C11" s="1419" t="s">
        <v>2864</v>
      </c>
      <c r="D11" s="3489"/>
      <c r="E11" s="3490"/>
      <c r="F11" s="3490"/>
      <c r="G11" s="3491"/>
      <c r="H11" s="3491"/>
      <c r="I11" s="3491"/>
      <c r="J11" s="3491"/>
      <c r="K11" s="3491"/>
      <c r="L11" s="3492"/>
      <c r="M11" s="3016" t="str">
        <f>" - - - -"</f>
        <v xml:space="preserve"> - - - -</v>
      </c>
      <c r="N11" s="3016" t="str">
        <f>" - - - -"</f>
        <v xml:space="preserve"> - - - -</v>
      </c>
      <c r="O11" s="133"/>
      <c r="P11" s="3151"/>
      <c r="Q11" s="3151"/>
      <c r="R11" s="3151"/>
      <c r="S11" s="3151"/>
      <c r="T11" s="3151"/>
      <c r="U11" s="3151"/>
      <c r="V11" s="3151"/>
      <c r="W11" s="3151"/>
      <c r="X11" s="3152"/>
    </row>
    <row r="12" spans="1:37">
      <c r="A12" s="1408"/>
      <c r="B12" s="1418">
        <v>8</v>
      </c>
      <c r="C12" s="1419" t="s">
        <v>458</v>
      </c>
      <c r="D12" s="3001"/>
      <c r="E12" s="3002"/>
      <c r="F12" s="3002"/>
      <c r="G12" s="3003"/>
      <c r="H12" s="3003"/>
      <c r="I12" s="3003"/>
      <c r="J12" s="3003"/>
      <c r="K12" s="3003"/>
      <c r="L12" s="3004"/>
      <c r="M12" s="3015">
        <f t="shared" ref="M12:M17" si="4">SUM(P12:X12)</f>
        <v>0</v>
      </c>
      <c r="N12" s="3153">
        <f t="shared" ref="N12:N17" si="5">SUM(D12:L12)-M12</f>
        <v>0</v>
      </c>
      <c r="O12" s="133"/>
      <c r="P12" s="3151">
        <f t="shared" ref="P12:X12" si="6">IF(D$3="ira",D12,0)</f>
        <v>0</v>
      </c>
      <c r="Q12" s="3151">
        <f t="shared" si="6"/>
        <v>0</v>
      </c>
      <c r="R12" s="3151">
        <f t="shared" si="6"/>
        <v>0</v>
      </c>
      <c r="S12" s="3151">
        <f t="shared" si="6"/>
        <v>0</v>
      </c>
      <c r="T12" s="3151">
        <f t="shared" si="6"/>
        <v>0</v>
      </c>
      <c r="U12" s="3151">
        <f t="shared" si="6"/>
        <v>0</v>
      </c>
      <c r="V12" s="3151">
        <f t="shared" si="6"/>
        <v>0</v>
      </c>
      <c r="W12" s="3151">
        <f t="shared" si="6"/>
        <v>0</v>
      </c>
      <c r="X12" s="3152">
        <f t="shared" si="6"/>
        <v>0</v>
      </c>
      <c r="Z12" s="3175"/>
    </row>
    <row r="13" spans="1:37">
      <c r="A13" s="1408"/>
      <c r="B13" s="1418" t="s">
        <v>324</v>
      </c>
      <c r="C13" s="1419" t="s">
        <v>326</v>
      </c>
      <c r="D13" s="3007"/>
      <c r="E13" s="3008"/>
      <c r="F13" s="3008"/>
      <c r="G13" s="3009"/>
      <c r="H13" s="3009"/>
      <c r="I13" s="3009"/>
      <c r="J13" s="3009"/>
      <c r="K13" s="3009"/>
      <c r="L13" s="3010"/>
      <c r="M13" s="3017">
        <f t="shared" si="4"/>
        <v>0</v>
      </c>
      <c r="N13" s="3017">
        <f t="shared" si="5"/>
        <v>0</v>
      </c>
      <c r="O13" s="133"/>
      <c r="P13" s="514">
        <f t="shared" ref="P13:X13" si="7">IF(D$3="IRA",D13,0)</f>
        <v>0</v>
      </c>
      <c r="Q13" s="514">
        <f t="shared" si="7"/>
        <v>0</v>
      </c>
      <c r="R13" s="514">
        <f t="shared" si="7"/>
        <v>0</v>
      </c>
      <c r="S13" s="514">
        <f t="shared" si="7"/>
        <v>0</v>
      </c>
      <c r="T13" s="514">
        <f t="shared" si="7"/>
        <v>0</v>
      </c>
      <c r="U13" s="514">
        <f t="shared" si="7"/>
        <v>0</v>
      </c>
      <c r="V13" s="514">
        <f t="shared" si="7"/>
        <v>0</v>
      </c>
      <c r="W13" s="514">
        <f t="shared" si="7"/>
        <v>0</v>
      </c>
      <c r="X13" s="3028">
        <f t="shared" si="7"/>
        <v>0</v>
      </c>
    </row>
    <row r="14" spans="1:37">
      <c r="A14" s="1408"/>
      <c r="B14" s="1418" t="s">
        <v>325</v>
      </c>
      <c r="C14" s="1419" t="s">
        <v>481</v>
      </c>
      <c r="D14" s="3001"/>
      <c r="E14" s="3002"/>
      <c r="F14" s="3002"/>
      <c r="G14" s="3003"/>
      <c r="H14" s="3003"/>
      <c r="I14" s="3003"/>
      <c r="J14" s="3003"/>
      <c r="K14" s="3003"/>
      <c r="L14" s="3004"/>
      <c r="M14" s="3015">
        <f t="shared" si="4"/>
        <v>0</v>
      </c>
      <c r="N14" s="3153">
        <f t="shared" si="5"/>
        <v>0</v>
      </c>
      <c r="O14" s="133"/>
      <c r="P14" s="3151">
        <f t="shared" ref="P14:X20" si="8">IF(D$3="ira",D14,0)</f>
        <v>0</v>
      </c>
      <c r="Q14" s="3151">
        <f t="shared" si="8"/>
        <v>0</v>
      </c>
      <c r="R14" s="3151">
        <f t="shared" si="8"/>
        <v>0</v>
      </c>
      <c r="S14" s="3151">
        <f t="shared" si="8"/>
        <v>0</v>
      </c>
      <c r="T14" s="3151">
        <f t="shared" si="8"/>
        <v>0</v>
      </c>
      <c r="U14" s="3151">
        <f t="shared" si="8"/>
        <v>0</v>
      </c>
      <c r="V14" s="3151">
        <f t="shared" si="8"/>
        <v>0</v>
      </c>
      <c r="W14" s="3151">
        <f t="shared" si="8"/>
        <v>0</v>
      </c>
      <c r="X14" s="3152">
        <f t="shared" si="8"/>
        <v>0</v>
      </c>
      <c r="Z14" s="3175"/>
    </row>
    <row r="15" spans="1:37">
      <c r="A15" s="1408"/>
      <c r="B15" s="1418">
        <v>10</v>
      </c>
      <c r="C15" s="1419" t="s">
        <v>865</v>
      </c>
      <c r="D15" s="3001"/>
      <c r="E15" s="3002"/>
      <c r="F15" s="3002"/>
      <c r="G15" s="3003"/>
      <c r="H15" s="3003"/>
      <c r="I15" s="3003"/>
      <c r="J15" s="3003"/>
      <c r="K15" s="3003"/>
      <c r="L15" s="3004"/>
      <c r="M15" s="3015">
        <f t="shared" si="4"/>
        <v>0</v>
      </c>
      <c r="N15" s="3153">
        <f t="shared" si="5"/>
        <v>0</v>
      </c>
      <c r="O15" s="133"/>
      <c r="P15" s="3151">
        <f t="shared" si="8"/>
        <v>0</v>
      </c>
      <c r="Q15" s="3151">
        <f t="shared" si="8"/>
        <v>0</v>
      </c>
      <c r="R15" s="3151">
        <f t="shared" si="8"/>
        <v>0</v>
      </c>
      <c r="S15" s="3151">
        <f t="shared" si="8"/>
        <v>0</v>
      </c>
      <c r="T15" s="3151">
        <f t="shared" si="8"/>
        <v>0</v>
      </c>
      <c r="U15" s="3151">
        <f t="shared" si="8"/>
        <v>0</v>
      </c>
      <c r="V15" s="3151">
        <f t="shared" si="8"/>
        <v>0</v>
      </c>
      <c r="W15" s="3151">
        <f t="shared" si="8"/>
        <v>0</v>
      </c>
      <c r="X15" s="3152">
        <f t="shared" si="8"/>
        <v>0</v>
      </c>
    </row>
    <row r="16" spans="1:37">
      <c r="A16" s="1408"/>
      <c r="B16" s="1418">
        <v>11</v>
      </c>
      <c r="C16" s="1419" t="s">
        <v>866</v>
      </c>
      <c r="D16" s="3001"/>
      <c r="E16" s="3002"/>
      <c r="F16" s="3002"/>
      <c r="G16" s="3003"/>
      <c r="H16" s="3003"/>
      <c r="I16" s="3003"/>
      <c r="J16" s="3003"/>
      <c r="K16" s="3003"/>
      <c r="L16" s="3004"/>
      <c r="M16" s="3015">
        <f t="shared" si="4"/>
        <v>0</v>
      </c>
      <c r="N16" s="3153">
        <f t="shared" si="5"/>
        <v>0</v>
      </c>
      <c r="O16" s="133"/>
      <c r="P16" s="3151">
        <f t="shared" si="8"/>
        <v>0</v>
      </c>
      <c r="Q16" s="3151">
        <f t="shared" si="8"/>
        <v>0</v>
      </c>
      <c r="R16" s="3151">
        <f t="shared" si="8"/>
        <v>0</v>
      </c>
      <c r="S16" s="3151">
        <f t="shared" si="8"/>
        <v>0</v>
      </c>
      <c r="T16" s="3151">
        <f t="shared" si="8"/>
        <v>0</v>
      </c>
      <c r="U16" s="3151">
        <f t="shared" si="8"/>
        <v>0</v>
      </c>
      <c r="V16" s="3151">
        <f t="shared" si="8"/>
        <v>0</v>
      </c>
      <c r="W16" s="3151">
        <f t="shared" si="8"/>
        <v>0</v>
      </c>
      <c r="X16" s="3152">
        <f t="shared" si="8"/>
        <v>0</v>
      </c>
    </row>
    <row r="17" spans="1:24">
      <c r="A17" s="1408"/>
      <c r="B17" s="481">
        <v>12</v>
      </c>
      <c r="C17" s="3141" t="s">
        <v>482</v>
      </c>
      <c r="D17" s="3001"/>
      <c r="E17" s="3002"/>
      <c r="F17" s="3002"/>
      <c r="G17" s="3003"/>
      <c r="H17" s="3003"/>
      <c r="I17" s="3003"/>
      <c r="J17" s="3003"/>
      <c r="K17" s="3003"/>
      <c r="L17" s="3004"/>
      <c r="M17" s="3015">
        <f t="shared" si="4"/>
        <v>0</v>
      </c>
      <c r="N17" s="3153">
        <f t="shared" si="5"/>
        <v>0</v>
      </c>
      <c r="O17" s="133"/>
      <c r="P17" s="3151">
        <f t="shared" si="8"/>
        <v>0</v>
      </c>
      <c r="Q17" s="3151">
        <f t="shared" si="8"/>
        <v>0</v>
      </c>
      <c r="R17" s="3151">
        <f t="shared" si="8"/>
        <v>0</v>
      </c>
      <c r="S17" s="3151">
        <f t="shared" si="8"/>
        <v>0</v>
      </c>
      <c r="T17" s="3151">
        <f t="shared" si="8"/>
        <v>0</v>
      </c>
      <c r="U17" s="3151">
        <f t="shared" si="8"/>
        <v>0</v>
      </c>
      <c r="V17" s="3151">
        <f t="shared" si="8"/>
        <v>0</v>
      </c>
      <c r="W17" s="3151">
        <f t="shared" si="8"/>
        <v>0</v>
      </c>
      <c r="X17" s="3152">
        <f t="shared" si="8"/>
        <v>0</v>
      </c>
    </row>
    <row r="18" spans="1:24">
      <c r="A18" s="1408"/>
      <c r="B18" s="1418">
        <v>13</v>
      </c>
      <c r="C18" s="1419" t="s">
        <v>366</v>
      </c>
      <c r="D18" s="2986"/>
      <c r="E18" s="2987"/>
      <c r="F18" s="2987"/>
      <c r="G18" s="2988"/>
      <c r="H18" s="2988"/>
      <c r="I18" s="2988"/>
      <c r="J18" s="2988"/>
      <c r="K18" s="2988"/>
      <c r="L18" s="2989"/>
      <c r="M18" s="3016" t="str">
        <f>" - - - -"</f>
        <v xml:space="preserve"> - - - -</v>
      </c>
      <c r="N18" s="3016" t="str">
        <f>" - - - -"</f>
        <v xml:space="preserve"> - - - -</v>
      </c>
      <c r="O18" s="133"/>
      <c r="P18" s="3151">
        <f t="shared" si="8"/>
        <v>0</v>
      </c>
      <c r="Q18" s="3151">
        <f t="shared" si="8"/>
        <v>0</v>
      </c>
      <c r="R18" s="3151">
        <f t="shared" si="8"/>
        <v>0</v>
      </c>
      <c r="S18" s="3151">
        <f t="shared" si="8"/>
        <v>0</v>
      </c>
      <c r="T18" s="3151">
        <f t="shared" si="8"/>
        <v>0</v>
      </c>
      <c r="U18" s="3151">
        <f t="shared" si="8"/>
        <v>0</v>
      </c>
      <c r="V18" s="3151">
        <f t="shared" si="8"/>
        <v>0</v>
      </c>
      <c r="W18" s="3151">
        <f t="shared" si="8"/>
        <v>0</v>
      </c>
      <c r="X18" s="3152">
        <f t="shared" si="8"/>
        <v>0</v>
      </c>
    </row>
    <row r="19" spans="1:24">
      <c r="A19" s="1408"/>
      <c r="B19" s="1418">
        <v>14</v>
      </c>
      <c r="C19" s="1419" t="s">
        <v>41</v>
      </c>
      <c r="D19" s="3001"/>
      <c r="E19" s="3002"/>
      <c r="F19" s="3002"/>
      <c r="G19" s="3003"/>
      <c r="H19" s="3003"/>
      <c r="I19" s="3003"/>
      <c r="J19" s="3003"/>
      <c r="K19" s="3003"/>
      <c r="L19" s="3004"/>
      <c r="M19" s="3015">
        <f>SUM(P19:X19)</f>
        <v>0</v>
      </c>
      <c r="N19" s="3153">
        <f>SUM(D19:L19)-M19</f>
        <v>0</v>
      </c>
      <c r="O19" s="133"/>
      <c r="P19" s="3151">
        <f t="shared" si="8"/>
        <v>0</v>
      </c>
      <c r="Q19" s="3151">
        <f t="shared" si="8"/>
        <v>0</v>
      </c>
      <c r="R19" s="3151">
        <f t="shared" si="8"/>
        <v>0</v>
      </c>
      <c r="S19" s="3151">
        <f t="shared" si="8"/>
        <v>0</v>
      </c>
      <c r="T19" s="3151">
        <f t="shared" si="8"/>
        <v>0</v>
      </c>
      <c r="U19" s="3151">
        <f t="shared" si="8"/>
        <v>0</v>
      </c>
      <c r="V19" s="3151">
        <f t="shared" si="8"/>
        <v>0</v>
      </c>
      <c r="W19" s="3151">
        <f t="shared" si="8"/>
        <v>0</v>
      </c>
      <c r="X19" s="3152">
        <f t="shared" si="8"/>
        <v>0</v>
      </c>
    </row>
    <row r="20" spans="1:24">
      <c r="A20" s="1408"/>
      <c r="B20" s="481">
        <v>15</v>
      </c>
      <c r="C20" s="3141" t="s">
        <v>250</v>
      </c>
      <c r="D20" s="3001"/>
      <c r="E20" s="3002"/>
      <c r="F20" s="3002"/>
      <c r="G20" s="3003"/>
      <c r="H20" s="3003"/>
      <c r="I20" s="3003"/>
      <c r="J20" s="3003"/>
      <c r="K20" s="3003"/>
      <c r="L20" s="3004"/>
      <c r="M20" s="3015">
        <f>SUM(P20:X20)</f>
        <v>0</v>
      </c>
      <c r="N20" s="3153">
        <f>SUM(D20:L20)-M20</f>
        <v>0</v>
      </c>
      <c r="O20" s="133"/>
      <c r="P20" s="3151">
        <f t="shared" si="8"/>
        <v>0</v>
      </c>
      <c r="Q20" s="3151">
        <f t="shared" si="8"/>
        <v>0</v>
      </c>
      <c r="R20" s="3151">
        <f t="shared" si="8"/>
        <v>0</v>
      </c>
      <c r="S20" s="3151">
        <f t="shared" si="8"/>
        <v>0</v>
      </c>
      <c r="T20" s="3151">
        <f t="shared" si="8"/>
        <v>0</v>
      </c>
      <c r="U20" s="3151">
        <f t="shared" si="8"/>
        <v>0</v>
      </c>
      <c r="V20" s="3151">
        <f t="shared" si="8"/>
        <v>0</v>
      </c>
      <c r="W20" s="3151">
        <f t="shared" si="8"/>
        <v>0</v>
      </c>
      <c r="X20" s="3152">
        <f t="shared" si="8"/>
        <v>0</v>
      </c>
    </row>
    <row r="21" spans="1:24">
      <c r="A21" s="1408"/>
      <c r="B21" s="1418">
        <v>16</v>
      </c>
      <c r="C21" s="1419" t="s">
        <v>251</v>
      </c>
      <c r="D21" s="3001"/>
      <c r="E21" s="3002"/>
      <c r="F21" s="3002"/>
      <c r="G21" s="3003"/>
      <c r="H21" s="3003"/>
      <c r="I21" s="3003"/>
      <c r="J21" s="3003"/>
      <c r="K21" s="3003"/>
      <c r="L21" s="3004"/>
      <c r="M21" s="3016" t="str">
        <f>" - - - -"</f>
        <v xml:space="preserve"> - - - -</v>
      </c>
      <c r="N21" s="3016" t="str">
        <f>" - - - -"</f>
        <v xml:space="preserve"> - - - -</v>
      </c>
      <c r="O21" s="133"/>
      <c r="P21" s="3151"/>
      <c r="Q21" s="3151"/>
      <c r="R21" s="3151"/>
      <c r="S21" s="3151"/>
      <c r="T21" s="3151"/>
      <c r="U21" s="3151"/>
      <c r="V21" s="3151"/>
      <c r="W21" s="3151"/>
      <c r="X21" s="3152"/>
    </row>
    <row r="22" spans="1:24" ht="13.5" thickBot="1">
      <c r="A22" s="1408"/>
      <c r="B22" s="1423">
        <v>17</v>
      </c>
      <c r="C22" s="3154" t="s">
        <v>252</v>
      </c>
      <c r="D22" s="3011"/>
      <c r="E22" s="3012"/>
      <c r="F22" s="3012"/>
      <c r="G22" s="3013"/>
      <c r="H22" s="3013"/>
      <c r="I22" s="3013"/>
      <c r="J22" s="3013"/>
      <c r="K22" s="3013"/>
      <c r="L22" s="3014"/>
      <c r="M22" s="3018">
        <f>SUM(P22:X22)</f>
        <v>0</v>
      </c>
      <c r="N22" s="3155">
        <f>SUM(E22:M22)</f>
        <v>0</v>
      </c>
      <c r="O22" s="133"/>
      <c r="P22" s="3151">
        <f>IF(D$3="IRA",D22,0)</f>
        <v>0</v>
      </c>
      <c r="Q22" s="3151">
        <f>IF(E21="IRA",E22,0)</f>
        <v>0</v>
      </c>
      <c r="R22" s="3151">
        <f t="shared" ref="R22:X22" si="9">IF(F$3="IRA",F22,0)</f>
        <v>0</v>
      </c>
      <c r="S22" s="3151">
        <f t="shared" si="9"/>
        <v>0</v>
      </c>
      <c r="T22" s="3151">
        <f t="shared" si="9"/>
        <v>0</v>
      </c>
      <c r="U22" s="3151">
        <f t="shared" si="9"/>
        <v>0</v>
      </c>
      <c r="V22" s="3151">
        <f t="shared" si="9"/>
        <v>0</v>
      </c>
      <c r="W22" s="3151">
        <f t="shared" si="9"/>
        <v>0</v>
      </c>
      <c r="X22" s="3152">
        <f t="shared" si="9"/>
        <v>0</v>
      </c>
    </row>
    <row r="23" spans="1:24" ht="17.25" customHeight="1" thickBot="1">
      <c r="A23" s="1408"/>
      <c r="B23" s="3493" t="s">
        <v>867</v>
      </c>
      <c r="C23" s="3494"/>
      <c r="D23" s="1408"/>
      <c r="E23" s="1408"/>
      <c r="F23" s="1408"/>
      <c r="G23" s="1408"/>
      <c r="H23" s="1408"/>
      <c r="I23" s="1408"/>
      <c r="J23" s="1408"/>
      <c r="K23" s="1408"/>
      <c r="L23" s="1408"/>
      <c r="M23" s="1408"/>
      <c r="N23" s="1408"/>
      <c r="O23" s="1435"/>
      <c r="P23" s="243"/>
      <c r="Q23" s="243"/>
      <c r="R23" s="243"/>
      <c r="S23" s="243"/>
      <c r="T23" s="243"/>
      <c r="U23" s="243"/>
      <c r="V23" s="243"/>
      <c r="W23" s="243"/>
      <c r="X23" s="243"/>
    </row>
    <row r="24" spans="1:24" ht="17.25" hidden="1" customHeight="1">
      <c r="A24" s="1408"/>
      <c r="B24" s="3493"/>
      <c r="C24" s="3494"/>
      <c r="D24" s="3488" t="str">
        <f t="shared" ref="D24:L24" si="10">IF(OR(LEFT(D11,1)="D",LEFT(D11,1)="d"),D5,"")</f>
        <v/>
      </c>
      <c r="E24" s="3488" t="str">
        <f t="shared" si="10"/>
        <v/>
      </c>
      <c r="F24" s="3488" t="str">
        <f t="shared" si="10"/>
        <v/>
      </c>
      <c r="G24" s="3488" t="str">
        <f t="shared" si="10"/>
        <v/>
      </c>
      <c r="H24" s="3488" t="str">
        <f t="shared" si="10"/>
        <v/>
      </c>
      <c r="I24" s="3488" t="str">
        <f t="shared" si="10"/>
        <v/>
      </c>
      <c r="J24" s="3488" t="str">
        <f t="shared" si="10"/>
        <v/>
      </c>
      <c r="K24" s="3488" t="str">
        <f t="shared" si="10"/>
        <v/>
      </c>
      <c r="L24" s="3488" t="str">
        <f t="shared" si="10"/>
        <v/>
      </c>
      <c r="M24" s="1408"/>
      <c r="N24" s="3488">
        <f>SUM(D24:L24)</f>
        <v>0</v>
      </c>
      <c r="O24" s="1435"/>
      <c r="P24" s="243"/>
      <c r="Q24" s="243"/>
      <c r="R24" s="243"/>
      <c r="S24" s="243"/>
      <c r="T24" s="243"/>
      <c r="U24" s="243"/>
      <c r="V24" s="243"/>
      <c r="W24" s="243"/>
      <c r="X24" s="243"/>
    </row>
    <row r="25" spans="1:24" ht="17.25" hidden="1" customHeight="1" thickBot="1">
      <c r="A25" s="1408"/>
      <c r="B25" s="3493"/>
      <c r="C25" s="3494"/>
      <c r="D25" s="3488" t="str">
        <f>IF(OR(LEFT(D11,1)="D",LEFT(D11,1)="d"),SUM(D17,D20),"")</f>
        <v/>
      </c>
      <c r="E25" s="3488" t="str">
        <f t="shared" ref="E25:L25" si="11">IF(OR(LEFT(E11,1)="D",LEFT(E11,1)="d"),SUM(E17,E20),"")</f>
        <v/>
      </c>
      <c r="F25" s="3488" t="str">
        <f t="shared" si="11"/>
        <v/>
      </c>
      <c r="G25" s="3488" t="str">
        <f t="shared" si="11"/>
        <v/>
      </c>
      <c r="H25" s="3488" t="str">
        <f t="shared" si="11"/>
        <v/>
      </c>
      <c r="I25" s="3488" t="str">
        <f t="shared" si="11"/>
        <v/>
      </c>
      <c r="J25" s="3488" t="str">
        <f t="shared" si="11"/>
        <v/>
      </c>
      <c r="K25" s="3488" t="str">
        <f t="shared" si="11"/>
        <v/>
      </c>
      <c r="L25" s="3488" t="str">
        <f t="shared" si="11"/>
        <v/>
      </c>
      <c r="M25" s="1408"/>
      <c r="N25" s="3488">
        <f>SUM(D25:L25)</f>
        <v>0</v>
      </c>
      <c r="O25" s="1435"/>
      <c r="P25" s="243"/>
      <c r="Q25" s="243"/>
      <c r="R25" s="243"/>
      <c r="S25" s="243"/>
      <c r="T25" s="243"/>
      <c r="U25" s="243"/>
      <c r="V25" s="243"/>
      <c r="W25" s="243"/>
      <c r="X25" s="243"/>
    </row>
    <row r="26" spans="1:24" ht="42" customHeight="1" thickTop="1">
      <c r="A26" s="2965"/>
      <c r="B26" s="2979" t="s">
        <v>2498</v>
      </c>
      <c r="C26" s="2966"/>
      <c r="D26" s="2967"/>
      <c r="E26" s="2968"/>
      <c r="F26" s="2967"/>
      <c r="G26" s="2967"/>
      <c r="H26" s="2967"/>
      <c r="I26" s="2969"/>
      <c r="J26" s="2969"/>
      <c r="K26" s="2970"/>
      <c r="L26" s="2970"/>
      <c r="M26" s="2970"/>
      <c r="N26" s="2970"/>
    </row>
    <row r="27" spans="1:24" ht="48" customHeight="1" thickBot="1">
      <c r="A27" s="1408"/>
      <c r="B27" s="491"/>
      <c r="C27" s="1621" t="str">
        <f>IF(Name_1st_Sp="","Enter your spouse's name on the"&amp;CHAR(10)&amp;"sheet labeled '1040'",NameSpouse)</f>
        <v>Enter your spouse's name on the
sheet labeled '1040'</v>
      </c>
      <c r="D27" s="2367" t="s">
        <v>320</v>
      </c>
      <c r="E27" s="2367" t="s">
        <v>321</v>
      </c>
      <c r="F27" s="2367" t="s">
        <v>322</v>
      </c>
      <c r="G27" s="2367" t="s">
        <v>416</v>
      </c>
      <c r="H27" s="2368" t="s">
        <v>2043</v>
      </c>
      <c r="I27" s="2368" t="s">
        <v>2044</v>
      </c>
      <c r="J27" s="2368" t="s">
        <v>2045</v>
      </c>
      <c r="K27" s="2368" t="s">
        <v>2320</v>
      </c>
      <c r="L27" s="2368" t="s">
        <v>2321</v>
      </c>
      <c r="M27" s="490" t="s">
        <v>555</v>
      </c>
      <c r="N27" s="490" t="s">
        <v>467</v>
      </c>
      <c r="O27" s="89"/>
      <c r="P27" s="361"/>
      <c r="Q27" s="361"/>
      <c r="R27" s="361"/>
      <c r="S27" s="361"/>
      <c r="T27" s="361"/>
      <c r="U27" s="361"/>
      <c r="V27" s="361"/>
      <c r="W27" s="361"/>
      <c r="X27" s="361"/>
    </row>
    <row r="28" spans="1:24" ht="13.5" thickBot="1">
      <c r="A28" s="1408"/>
      <c r="B28" s="1410"/>
      <c r="C28" s="1411" t="s">
        <v>1498</v>
      </c>
      <c r="D28" s="2369"/>
      <c r="E28" s="2370"/>
      <c r="F28" s="2370"/>
      <c r="G28" s="2371"/>
      <c r="H28" s="2371"/>
      <c r="I28" s="2371"/>
      <c r="J28" s="2371"/>
      <c r="K28" s="2371"/>
      <c r="L28" s="2371"/>
      <c r="M28" s="1412" t="s">
        <v>466</v>
      </c>
      <c r="N28" s="1409" t="s">
        <v>447</v>
      </c>
      <c r="O28" s="24"/>
      <c r="P28" s="46"/>
      <c r="Q28" s="46"/>
      <c r="R28" s="46"/>
      <c r="S28" s="46"/>
      <c r="T28" s="46"/>
      <c r="U28" s="46"/>
      <c r="V28" s="46"/>
      <c r="W28" s="46"/>
      <c r="X28" s="46"/>
    </row>
    <row r="29" spans="1:24" ht="13.5" customHeight="1">
      <c r="A29" s="1408"/>
      <c r="B29" s="480">
        <v>1</v>
      </c>
      <c r="C29" s="3149" t="s">
        <v>547</v>
      </c>
      <c r="D29" s="2999"/>
      <c r="E29" s="3000"/>
      <c r="F29" s="3000"/>
      <c r="G29" s="3138"/>
      <c r="H29" s="3138"/>
      <c r="I29" s="3138"/>
      <c r="J29" s="3138"/>
      <c r="K29" s="3138"/>
      <c r="L29" s="3139"/>
      <c r="M29" s="3150">
        <f t="shared" ref="M29:M35" si="12">SUM(P29:X29)</f>
        <v>0</v>
      </c>
      <c r="N29" s="3150">
        <f t="shared" ref="N29:N35" si="13">SUM(D29:L29)-M29</f>
        <v>0</v>
      </c>
      <c r="O29" s="41"/>
      <c r="P29" s="3151">
        <f t="shared" ref="P29:X35" si="14">IF(D$28="IRA",D29,0)</f>
        <v>0</v>
      </c>
      <c r="Q29" s="3151">
        <f t="shared" si="14"/>
        <v>0</v>
      </c>
      <c r="R29" s="3151">
        <f t="shared" si="14"/>
        <v>0</v>
      </c>
      <c r="S29" s="3151">
        <f t="shared" si="14"/>
        <v>0</v>
      </c>
      <c r="T29" s="3151">
        <f t="shared" si="14"/>
        <v>0</v>
      </c>
      <c r="U29" s="3151">
        <f t="shared" si="14"/>
        <v>0</v>
      </c>
      <c r="V29" s="3151">
        <f t="shared" si="14"/>
        <v>0</v>
      </c>
      <c r="W29" s="3151">
        <f t="shared" si="14"/>
        <v>0</v>
      </c>
      <c r="X29" s="3152">
        <f t="shared" si="14"/>
        <v>0</v>
      </c>
    </row>
    <row r="30" spans="1:24" ht="13.5" customHeight="1">
      <c r="A30" s="1408"/>
      <c r="B30" s="481" t="s">
        <v>386</v>
      </c>
      <c r="C30" s="3141" t="s">
        <v>319</v>
      </c>
      <c r="D30" s="3001"/>
      <c r="E30" s="3002"/>
      <c r="F30" s="3002"/>
      <c r="G30" s="3003"/>
      <c r="H30" s="3003"/>
      <c r="I30" s="3003"/>
      <c r="J30" s="3003"/>
      <c r="K30" s="3003"/>
      <c r="L30" s="3004"/>
      <c r="M30" s="3015">
        <f t="shared" si="12"/>
        <v>0</v>
      </c>
      <c r="N30" s="3153">
        <f>SUM(D30:L30)-IRA_Taxable_Spouse</f>
        <v>0</v>
      </c>
      <c r="O30" s="41"/>
      <c r="P30" s="3151">
        <f t="shared" si="14"/>
        <v>0</v>
      </c>
      <c r="Q30" s="3151">
        <f t="shared" si="14"/>
        <v>0</v>
      </c>
      <c r="R30" s="3151">
        <f t="shared" si="14"/>
        <v>0</v>
      </c>
      <c r="S30" s="3151">
        <f t="shared" si="14"/>
        <v>0</v>
      </c>
      <c r="T30" s="3151">
        <f t="shared" si="14"/>
        <v>0</v>
      </c>
      <c r="U30" s="3151">
        <f t="shared" si="14"/>
        <v>0</v>
      </c>
      <c r="V30" s="3151">
        <f t="shared" si="14"/>
        <v>0</v>
      </c>
      <c r="W30" s="3151">
        <f t="shared" si="14"/>
        <v>0</v>
      </c>
      <c r="X30" s="3152">
        <f t="shared" si="14"/>
        <v>0</v>
      </c>
    </row>
    <row r="31" spans="1:24" ht="13.5" customHeight="1">
      <c r="A31" s="1408"/>
      <c r="B31" s="1418" t="s">
        <v>387</v>
      </c>
      <c r="C31" s="1419" t="s">
        <v>4613</v>
      </c>
      <c r="D31" s="3001"/>
      <c r="E31" s="3002"/>
      <c r="F31" s="3002"/>
      <c r="G31" s="3003"/>
      <c r="H31" s="3003"/>
      <c r="I31" s="3003"/>
      <c r="J31" s="3003"/>
      <c r="K31" s="3003"/>
      <c r="L31" s="3004"/>
      <c r="M31" s="1422" t="str">
        <f>" - - - -"</f>
        <v xml:space="preserve"> - - - -</v>
      </c>
      <c r="N31" s="1422" t="str">
        <f>" - - - -"</f>
        <v xml:space="preserve"> - - - -</v>
      </c>
      <c r="O31" s="411"/>
      <c r="P31" s="3151">
        <f t="shared" ref="P31:X31" si="15">IF(D$3="ira",D31,0)</f>
        <v>0</v>
      </c>
      <c r="Q31" s="3151">
        <f t="shared" si="15"/>
        <v>0</v>
      </c>
      <c r="R31" s="3151">
        <f t="shared" si="15"/>
        <v>0</v>
      </c>
      <c r="S31" s="3151">
        <f t="shared" si="15"/>
        <v>0</v>
      </c>
      <c r="T31" s="3151">
        <f t="shared" si="15"/>
        <v>0</v>
      </c>
      <c r="U31" s="3151">
        <f t="shared" si="15"/>
        <v>0</v>
      </c>
      <c r="V31" s="3151">
        <f t="shared" si="15"/>
        <v>0</v>
      </c>
      <c r="W31" s="3151">
        <f t="shared" si="15"/>
        <v>0</v>
      </c>
      <c r="X31" s="3152">
        <f t="shared" si="15"/>
        <v>0</v>
      </c>
    </row>
    <row r="32" spans="1:24" ht="13.5" customHeight="1">
      <c r="A32" s="1408"/>
      <c r="B32" s="1418">
        <v>3</v>
      </c>
      <c r="C32" s="1419" t="s">
        <v>863</v>
      </c>
      <c r="D32" s="3001"/>
      <c r="E32" s="3002"/>
      <c r="F32" s="3002"/>
      <c r="G32" s="3003"/>
      <c r="H32" s="3003"/>
      <c r="I32" s="3003"/>
      <c r="J32" s="3003"/>
      <c r="K32" s="3003"/>
      <c r="L32" s="3004"/>
      <c r="M32" s="3015">
        <f t="shared" si="12"/>
        <v>0</v>
      </c>
      <c r="N32" s="3153">
        <f t="shared" si="13"/>
        <v>0</v>
      </c>
      <c r="O32" s="41"/>
      <c r="P32" s="3151">
        <f t="shared" si="14"/>
        <v>0</v>
      </c>
      <c r="Q32" s="3151">
        <f t="shared" si="14"/>
        <v>0</v>
      </c>
      <c r="R32" s="3151">
        <f t="shared" si="14"/>
        <v>0</v>
      </c>
      <c r="S32" s="3151">
        <f t="shared" si="14"/>
        <v>0</v>
      </c>
      <c r="T32" s="3151">
        <f t="shared" si="14"/>
        <v>0</v>
      </c>
      <c r="U32" s="3151">
        <f t="shared" si="14"/>
        <v>0</v>
      </c>
      <c r="V32" s="3151">
        <f t="shared" si="14"/>
        <v>0</v>
      </c>
      <c r="W32" s="3151">
        <f t="shared" si="14"/>
        <v>0</v>
      </c>
      <c r="X32" s="3152">
        <f t="shared" si="14"/>
        <v>0</v>
      </c>
    </row>
    <row r="33" spans="1:37" ht="13.5" customHeight="1">
      <c r="A33" s="1408"/>
      <c r="B33" s="481">
        <v>4</v>
      </c>
      <c r="C33" s="3141" t="s">
        <v>189</v>
      </c>
      <c r="D33" s="3001"/>
      <c r="E33" s="3002"/>
      <c r="F33" s="3002"/>
      <c r="G33" s="3003"/>
      <c r="H33" s="3003"/>
      <c r="I33" s="3003"/>
      <c r="J33" s="3003"/>
      <c r="K33" s="3003"/>
      <c r="L33" s="3004"/>
      <c r="M33" s="3015">
        <f t="shared" si="12"/>
        <v>0</v>
      </c>
      <c r="N33" s="3153">
        <f t="shared" si="13"/>
        <v>0</v>
      </c>
      <c r="O33" s="41"/>
      <c r="P33" s="3151">
        <f t="shared" si="14"/>
        <v>0</v>
      </c>
      <c r="Q33" s="3151">
        <f t="shared" si="14"/>
        <v>0</v>
      </c>
      <c r="R33" s="3151">
        <f t="shared" si="14"/>
        <v>0</v>
      </c>
      <c r="S33" s="3151">
        <f t="shared" si="14"/>
        <v>0</v>
      </c>
      <c r="T33" s="3151">
        <f t="shared" si="14"/>
        <v>0</v>
      </c>
      <c r="U33" s="3151">
        <f t="shared" si="14"/>
        <v>0</v>
      </c>
      <c r="V33" s="3151">
        <f t="shared" si="14"/>
        <v>0</v>
      </c>
      <c r="W33" s="3151">
        <f t="shared" si="14"/>
        <v>0</v>
      </c>
      <c r="X33" s="3152">
        <f t="shared" si="14"/>
        <v>0</v>
      </c>
    </row>
    <row r="34" spans="1:37" ht="26.25" customHeight="1">
      <c r="A34" s="1408"/>
      <c r="B34" s="1420">
        <v>5</v>
      </c>
      <c r="C34" s="1421" t="s">
        <v>864</v>
      </c>
      <c r="D34" s="3001"/>
      <c r="E34" s="3002"/>
      <c r="F34" s="3002"/>
      <c r="G34" s="3003"/>
      <c r="H34" s="3003"/>
      <c r="I34" s="3003"/>
      <c r="J34" s="3003"/>
      <c r="K34" s="3003"/>
      <c r="L34" s="3004"/>
      <c r="M34" s="3015">
        <f t="shared" si="12"/>
        <v>0</v>
      </c>
      <c r="N34" s="3153">
        <f t="shared" si="13"/>
        <v>0</v>
      </c>
      <c r="O34" s="24"/>
      <c r="P34" s="3151">
        <f t="shared" si="14"/>
        <v>0</v>
      </c>
      <c r="Q34" s="3151">
        <f t="shared" si="14"/>
        <v>0</v>
      </c>
      <c r="R34" s="3151">
        <f t="shared" si="14"/>
        <v>0</v>
      </c>
      <c r="S34" s="3151">
        <f t="shared" si="14"/>
        <v>0</v>
      </c>
      <c r="T34" s="3151">
        <f t="shared" si="14"/>
        <v>0</v>
      </c>
      <c r="U34" s="3151">
        <f t="shared" si="14"/>
        <v>0</v>
      </c>
      <c r="V34" s="3151">
        <f t="shared" si="14"/>
        <v>0</v>
      </c>
      <c r="W34" s="3151">
        <f t="shared" si="14"/>
        <v>0</v>
      </c>
      <c r="X34" s="3152">
        <f t="shared" si="14"/>
        <v>0</v>
      </c>
    </row>
    <row r="35" spans="1:37">
      <c r="A35" s="1408"/>
      <c r="B35" s="1418">
        <v>6</v>
      </c>
      <c r="C35" s="1419" t="s">
        <v>110</v>
      </c>
      <c r="D35" s="3001"/>
      <c r="E35" s="3002"/>
      <c r="F35" s="3002"/>
      <c r="G35" s="3003"/>
      <c r="H35" s="3003"/>
      <c r="I35" s="3003"/>
      <c r="J35" s="3003"/>
      <c r="K35" s="3003"/>
      <c r="L35" s="3004"/>
      <c r="M35" s="3015">
        <f t="shared" si="12"/>
        <v>0</v>
      </c>
      <c r="N35" s="3153">
        <f t="shared" si="13"/>
        <v>0</v>
      </c>
      <c r="O35" s="24"/>
      <c r="P35" s="3151">
        <f t="shared" si="14"/>
        <v>0</v>
      </c>
      <c r="Q35" s="3151">
        <f t="shared" si="14"/>
        <v>0</v>
      </c>
      <c r="R35" s="3151">
        <f t="shared" si="14"/>
        <v>0</v>
      </c>
      <c r="S35" s="3151">
        <f t="shared" si="14"/>
        <v>0</v>
      </c>
      <c r="T35" s="3151">
        <f t="shared" si="14"/>
        <v>0</v>
      </c>
      <c r="U35" s="3151">
        <f t="shared" si="14"/>
        <v>0</v>
      </c>
      <c r="V35" s="3151">
        <f t="shared" si="14"/>
        <v>0</v>
      </c>
      <c r="W35" s="3151">
        <f t="shared" si="14"/>
        <v>0</v>
      </c>
      <c r="X35" s="3152">
        <f t="shared" si="14"/>
        <v>0</v>
      </c>
    </row>
    <row r="36" spans="1:37">
      <c r="A36" s="1408"/>
      <c r="B36" s="1418">
        <v>7</v>
      </c>
      <c r="C36" s="1419" t="s">
        <v>2864</v>
      </c>
      <c r="D36" s="3489"/>
      <c r="E36" s="3490"/>
      <c r="F36" s="3490"/>
      <c r="G36" s="3491"/>
      <c r="H36" s="3491"/>
      <c r="I36" s="3491"/>
      <c r="J36" s="3491"/>
      <c r="K36" s="3491"/>
      <c r="L36" s="3492"/>
      <c r="M36" s="3016" t="str">
        <f>" - - - -"</f>
        <v xml:space="preserve"> - - - -</v>
      </c>
      <c r="N36" s="3016" t="str">
        <f>" - - - -"</f>
        <v xml:space="preserve"> - - - -</v>
      </c>
      <c r="O36" s="133"/>
      <c r="P36" s="3151"/>
      <c r="Q36" s="3151"/>
      <c r="R36" s="3151"/>
      <c r="S36" s="3151"/>
      <c r="T36" s="3151"/>
      <c r="U36" s="3151"/>
      <c r="V36" s="3151"/>
      <c r="W36" s="3151"/>
      <c r="X36" s="3152"/>
    </row>
    <row r="37" spans="1:37">
      <c r="A37" s="1408"/>
      <c r="B37" s="1418">
        <v>8</v>
      </c>
      <c r="C37" s="1419" t="s">
        <v>458</v>
      </c>
      <c r="D37" s="3001"/>
      <c r="E37" s="3002"/>
      <c r="F37" s="3002"/>
      <c r="G37" s="3003"/>
      <c r="H37" s="3003"/>
      <c r="I37" s="3003"/>
      <c r="J37" s="3003"/>
      <c r="K37" s="3003"/>
      <c r="L37" s="3004"/>
      <c r="M37" s="3015">
        <f t="shared" ref="M37:M42" si="16">SUM(P37:X37)</f>
        <v>0</v>
      </c>
      <c r="N37" s="3153">
        <f t="shared" ref="N37:N42" si="17">SUM(D37:L37)-M37</f>
        <v>0</v>
      </c>
      <c r="O37" s="24"/>
      <c r="P37" s="3151">
        <f t="shared" ref="P37:R39" si="18">IF(D$28="IRA",D37,0)</f>
        <v>0</v>
      </c>
      <c r="Q37" s="3151">
        <f t="shared" si="18"/>
        <v>0</v>
      </c>
      <c r="R37" s="3151">
        <f t="shared" si="18"/>
        <v>0</v>
      </c>
      <c r="S37" s="3151">
        <f t="shared" ref="S37:X39" si="19">IF(G$28="IRA",G37,0)</f>
        <v>0</v>
      </c>
      <c r="T37" s="3151">
        <f t="shared" si="19"/>
        <v>0</v>
      </c>
      <c r="U37" s="3151">
        <f t="shared" si="19"/>
        <v>0</v>
      </c>
      <c r="V37" s="3151">
        <f t="shared" si="19"/>
        <v>0</v>
      </c>
      <c r="W37" s="3151">
        <f t="shared" si="19"/>
        <v>0</v>
      </c>
      <c r="X37" s="3152">
        <f t="shared" si="19"/>
        <v>0</v>
      </c>
    </row>
    <row r="38" spans="1:37">
      <c r="A38" s="1408"/>
      <c r="B38" s="1418" t="s">
        <v>324</v>
      </c>
      <c r="C38" s="1419" t="s">
        <v>326</v>
      </c>
      <c r="D38" s="3007"/>
      <c r="E38" s="3008"/>
      <c r="F38" s="3008"/>
      <c r="G38" s="3009"/>
      <c r="H38" s="3009"/>
      <c r="I38" s="3009"/>
      <c r="J38" s="3009"/>
      <c r="K38" s="3009"/>
      <c r="L38" s="3010"/>
      <c r="M38" s="3017">
        <f t="shared" si="16"/>
        <v>0</v>
      </c>
      <c r="N38" s="3017">
        <f t="shared" si="17"/>
        <v>0</v>
      </c>
      <c r="O38" s="24"/>
      <c r="P38" s="514">
        <f t="shared" si="18"/>
        <v>0</v>
      </c>
      <c r="Q38" s="514">
        <f t="shared" si="18"/>
        <v>0</v>
      </c>
      <c r="R38" s="514">
        <f t="shared" si="18"/>
        <v>0</v>
      </c>
      <c r="S38" s="514">
        <f t="shared" si="19"/>
        <v>0</v>
      </c>
      <c r="T38" s="514">
        <f t="shared" si="19"/>
        <v>0</v>
      </c>
      <c r="U38" s="514">
        <f t="shared" si="19"/>
        <v>0</v>
      </c>
      <c r="V38" s="514">
        <f t="shared" si="19"/>
        <v>0</v>
      </c>
      <c r="W38" s="514">
        <f t="shared" si="19"/>
        <v>0</v>
      </c>
      <c r="X38" s="3028">
        <f t="shared" si="19"/>
        <v>0</v>
      </c>
    </row>
    <row r="39" spans="1:37">
      <c r="A39" s="1408"/>
      <c r="B39" s="1418" t="s">
        <v>325</v>
      </c>
      <c r="C39" s="1419" t="s">
        <v>481</v>
      </c>
      <c r="D39" s="3001"/>
      <c r="E39" s="3002"/>
      <c r="F39" s="3002"/>
      <c r="G39" s="3003"/>
      <c r="H39" s="3003"/>
      <c r="I39" s="3003"/>
      <c r="J39" s="3003"/>
      <c r="K39" s="3003"/>
      <c r="L39" s="3004"/>
      <c r="M39" s="3015">
        <f t="shared" si="16"/>
        <v>0</v>
      </c>
      <c r="N39" s="3153">
        <f t="shared" si="17"/>
        <v>0</v>
      </c>
      <c r="O39" s="24"/>
      <c r="P39" s="3151">
        <f t="shared" si="18"/>
        <v>0</v>
      </c>
      <c r="Q39" s="3151">
        <f t="shared" si="18"/>
        <v>0</v>
      </c>
      <c r="R39" s="3151">
        <f t="shared" si="18"/>
        <v>0</v>
      </c>
      <c r="S39" s="3151">
        <f t="shared" si="19"/>
        <v>0</v>
      </c>
      <c r="T39" s="3151">
        <f t="shared" si="19"/>
        <v>0</v>
      </c>
      <c r="U39" s="3151">
        <f t="shared" si="19"/>
        <v>0</v>
      </c>
      <c r="V39" s="3151">
        <f t="shared" si="19"/>
        <v>0</v>
      </c>
      <c r="W39" s="3151">
        <f t="shared" si="19"/>
        <v>0</v>
      </c>
      <c r="X39" s="3152">
        <f t="shared" si="19"/>
        <v>0</v>
      </c>
    </row>
    <row r="40" spans="1:37">
      <c r="A40" s="1408"/>
      <c r="B40" s="1418">
        <v>10</v>
      </c>
      <c r="C40" s="1419" t="s">
        <v>865</v>
      </c>
      <c r="D40" s="3001"/>
      <c r="E40" s="3002"/>
      <c r="F40" s="3002"/>
      <c r="G40" s="3003"/>
      <c r="H40" s="3003"/>
      <c r="I40" s="3003"/>
      <c r="J40" s="3003"/>
      <c r="K40" s="3003"/>
      <c r="L40" s="3004"/>
      <c r="M40" s="3015">
        <f t="shared" si="16"/>
        <v>0</v>
      </c>
      <c r="N40" s="3153">
        <f t="shared" si="17"/>
        <v>0</v>
      </c>
      <c r="O40" s="133"/>
      <c r="P40" s="3151">
        <f t="shared" ref="P40:X41" si="20">IF(D$3="ira",D40,0)</f>
        <v>0</v>
      </c>
      <c r="Q40" s="3151">
        <f t="shared" si="20"/>
        <v>0</v>
      </c>
      <c r="R40" s="3151">
        <f t="shared" si="20"/>
        <v>0</v>
      </c>
      <c r="S40" s="3151">
        <f t="shared" si="20"/>
        <v>0</v>
      </c>
      <c r="T40" s="3151">
        <f t="shared" si="20"/>
        <v>0</v>
      </c>
      <c r="U40" s="3151">
        <f t="shared" si="20"/>
        <v>0</v>
      </c>
      <c r="V40" s="3151">
        <f t="shared" si="20"/>
        <v>0</v>
      </c>
      <c r="W40" s="3151">
        <f t="shared" si="20"/>
        <v>0</v>
      </c>
      <c r="X40" s="3152">
        <f t="shared" si="20"/>
        <v>0</v>
      </c>
    </row>
    <row r="41" spans="1:37">
      <c r="A41" s="1408"/>
      <c r="B41" s="1418">
        <v>11</v>
      </c>
      <c r="C41" s="1419" t="s">
        <v>866</v>
      </c>
      <c r="D41" s="3001"/>
      <c r="E41" s="3002"/>
      <c r="F41" s="3002"/>
      <c r="G41" s="3003"/>
      <c r="H41" s="3003"/>
      <c r="I41" s="3003"/>
      <c r="J41" s="3003"/>
      <c r="K41" s="3003"/>
      <c r="L41" s="3004"/>
      <c r="M41" s="3015">
        <f t="shared" si="16"/>
        <v>0</v>
      </c>
      <c r="N41" s="3153">
        <f t="shared" si="17"/>
        <v>0</v>
      </c>
      <c r="O41" s="133"/>
      <c r="P41" s="3151">
        <f t="shared" si="20"/>
        <v>0</v>
      </c>
      <c r="Q41" s="3151">
        <f t="shared" si="20"/>
        <v>0</v>
      </c>
      <c r="R41" s="3151">
        <f t="shared" si="20"/>
        <v>0</v>
      </c>
      <c r="S41" s="3151">
        <f t="shared" si="20"/>
        <v>0</v>
      </c>
      <c r="T41" s="3151">
        <f t="shared" si="20"/>
        <v>0</v>
      </c>
      <c r="U41" s="3151">
        <f t="shared" si="20"/>
        <v>0</v>
      </c>
      <c r="V41" s="3151">
        <f t="shared" si="20"/>
        <v>0</v>
      </c>
      <c r="W41" s="3151">
        <f t="shared" si="20"/>
        <v>0</v>
      </c>
      <c r="X41" s="3152">
        <f t="shared" si="20"/>
        <v>0</v>
      </c>
    </row>
    <row r="42" spans="1:37">
      <c r="A42" s="1408"/>
      <c r="B42" s="481">
        <v>12</v>
      </c>
      <c r="C42" s="3141" t="s">
        <v>482</v>
      </c>
      <c r="D42" s="3001"/>
      <c r="E42" s="3002"/>
      <c r="F42" s="3002"/>
      <c r="G42" s="3003"/>
      <c r="H42" s="3003"/>
      <c r="I42" s="3003"/>
      <c r="J42" s="3003"/>
      <c r="K42" s="3003"/>
      <c r="L42" s="3004"/>
      <c r="M42" s="3015">
        <f t="shared" si="16"/>
        <v>0</v>
      </c>
      <c r="N42" s="3153">
        <f t="shared" si="17"/>
        <v>0</v>
      </c>
      <c r="O42" s="24"/>
      <c r="P42" s="3151">
        <f t="shared" ref="P42:R45" si="21">IF(D$28="IRA",D42,0)</f>
        <v>0</v>
      </c>
      <c r="Q42" s="3151">
        <f t="shared" si="21"/>
        <v>0</v>
      </c>
      <c r="R42" s="3151">
        <f t="shared" si="21"/>
        <v>0</v>
      </c>
      <c r="S42" s="3151">
        <f t="shared" ref="S42:X45" si="22">IF(G$28="IRA",G42,0)</f>
        <v>0</v>
      </c>
      <c r="T42" s="3151">
        <f t="shared" si="22"/>
        <v>0</v>
      </c>
      <c r="U42" s="3151">
        <f t="shared" si="22"/>
        <v>0</v>
      </c>
      <c r="V42" s="3151">
        <f t="shared" si="22"/>
        <v>0</v>
      </c>
      <c r="W42" s="3151">
        <f t="shared" si="22"/>
        <v>0</v>
      </c>
      <c r="X42" s="3152">
        <f t="shared" si="22"/>
        <v>0</v>
      </c>
    </row>
    <row r="43" spans="1:37">
      <c r="A43" s="1408"/>
      <c r="B43" s="1418">
        <v>13</v>
      </c>
      <c r="C43" s="1419" t="s">
        <v>366</v>
      </c>
      <c r="D43" s="2986"/>
      <c r="E43" s="2987"/>
      <c r="F43" s="2987"/>
      <c r="G43" s="2988"/>
      <c r="H43" s="2988"/>
      <c r="I43" s="2988"/>
      <c r="J43" s="2988"/>
      <c r="K43" s="2988"/>
      <c r="L43" s="2989"/>
      <c r="M43" s="3016" t="str">
        <f>" - - - -"</f>
        <v xml:space="preserve"> - - - -</v>
      </c>
      <c r="N43" s="3016" t="str">
        <f>" - - - -"</f>
        <v xml:space="preserve"> - - - -</v>
      </c>
      <c r="O43" s="24"/>
      <c r="P43" s="3151">
        <f t="shared" si="21"/>
        <v>0</v>
      </c>
      <c r="Q43" s="3151">
        <f t="shared" si="21"/>
        <v>0</v>
      </c>
      <c r="R43" s="3151">
        <f t="shared" si="21"/>
        <v>0</v>
      </c>
      <c r="S43" s="3151">
        <f t="shared" si="22"/>
        <v>0</v>
      </c>
      <c r="T43" s="3151">
        <f t="shared" si="22"/>
        <v>0</v>
      </c>
      <c r="U43" s="3151">
        <f t="shared" si="22"/>
        <v>0</v>
      </c>
      <c r="V43" s="3151">
        <f t="shared" si="22"/>
        <v>0</v>
      </c>
      <c r="W43" s="3151">
        <f t="shared" si="22"/>
        <v>0</v>
      </c>
      <c r="X43" s="3152">
        <f t="shared" si="22"/>
        <v>0</v>
      </c>
    </row>
    <row r="44" spans="1:37">
      <c r="A44" s="1408"/>
      <c r="B44" s="1418">
        <v>14</v>
      </c>
      <c r="C44" s="1419" t="s">
        <v>41</v>
      </c>
      <c r="D44" s="3001"/>
      <c r="E44" s="3002"/>
      <c r="F44" s="3002"/>
      <c r="G44" s="3003"/>
      <c r="H44" s="3003"/>
      <c r="I44" s="3003"/>
      <c r="J44" s="3003"/>
      <c r="K44" s="3003"/>
      <c r="L44" s="3004"/>
      <c r="M44" s="3015">
        <f>SUM(P44:X44)</f>
        <v>0</v>
      </c>
      <c r="N44" s="3153">
        <f>SUM(D44:L44)-M44</f>
        <v>0</v>
      </c>
      <c r="O44" s="24"/>
      <c r="P44" s="3151">
        <f t="shared" si="21"/>
        <v>0</v>
      </c>
      <c r="Q44" s="3151">
        <f t="shared" si="21"/>
        <v>0</v>
      </c>
      <c r="R44" s="3151">
        <f t="shared" si="21"/>
        <v>0</v>
      </c>
      <c r="S44" s="3151">
        <f t="shared" si="22"/>
        <v>0</v>
      </c>
      <c r="T44" s="3151">
        <f t="shared" si="22"/>
        <v>0</v>
      </c>
      <c r="U44" s="3151">
        <f t="shared" si="22"/>
        <v>0</v>
      </c>
      <c r="V44" s="3151">
        <f t="shared" si="22"/>
        <v>0</v>
      </c>
      <c r="W44" s="3151">
        <f t="shared" si="22"/>
        <v>0</v>
      </c>
      <c r="X44" s="3152">
        <f t="shared" si="22"/>
        <v>0</v>
      </c>
    </row>
    <row r="45" spans="1:37">
      <c r="A45" s="1408"/>
      <c r="B45" s="481">
        <v>15</v>
      </c>
      <c r="C45" s="3141" t="s">
        <v>250</v>
      </c>
      <c r="D45" s="3001"/>
      <c r="E45" s="3002"/>
      <c r="F45" s="3002"/>
      <c r="G45" s="3003"/>
      <c r="H45" s="3003"/>
      <c r="I45" s="3003"/>
      <c r="J45" s="3003"/>
      <c r="K45" s="3003"/>
      <c r="L45" s="3004"/>
      <c r="M45" s="3015">
        <f>SUM(P45:X45)</f>
        <v>0</v>
      </c>
      <c r="N45" s="3153">
        <f>SUM(D45:L45)-M45</f>
        <v>0</v>
      </c>
      <c r="O45" s="24"/>
      <c r="P45" s="3151">
        <f t="shared" si="21"/>
        <v>0</v>
      </c>
      <c r="Q45" s="3151">
        <f t="shared" si="21"/>
        <v>0</v>
      </c>
      <c r="R45" s="3151">
        <f t="shared" si="21"/>
        <v>0</v>
      </c>
      <c r="S45" s="3151">
        <f t="shared" si="22"/>
        <v>0</v>
      </c>
      <c r="T45" s="3151">
        <f t="shared" si="22"/>
        <v>0</v>
      </c>
      <c r="U45" s="3151">
        <f t="shared" si="22"/>
        <v>0</v>
      </c>
      <c r="V45" s="3151">
        <f t="shared" si="22"/>
        <v>0</v>
      </c>
      <c r="W45" s="3151">
        <f t="shared" si="22"/>
        <v>0</v>
      </c>
      <c r="X45" s="3152">
        <f t="shared" si="22"/>
        <v>0</v>
      </c>
    </row>
    <row r="46" spans="1:37">
      <c r="A46" s="1408"/>
      <c r="B46" s="1418">
        <v>16</v>
      </c>
      <c r="C46" s="1419" t="s">
        <v>251</v>
      </c>
      <c r="D46" s="3001"/>
      <c r="E46" s="3002"/>
      <c r="F46" s="3002"/>
      <c r="G46" s="3003"/>
      <c r="H46" s="3003"/>
      <c r="I46" s="3003"/>
      <c r="J46" s="3003"/>
      <c r="K46" s="3003"/>
      <c r="L46" s="3004"/>
      <c r="M46" s="3016" t="str">
        <f>" - - - -"</f>
        <v xml:space="preserve"> - - - -</v>
      </c>
      <c r="N46" s="3016" t="str">
        <f>" - - - -"</f>
        <v xml:space="preserve"> - - - -</v>
      </c>
      <c r="O46" s="24"/>
      <c r="P46" s="3151"/>
      <c r="Q46" s="3151"/>
      <c r="R46" s="3151"/>
      <c r="S46" s="3151"/>
      <c r="T46" s="3151"/>
      <c r="U46" s="3151"/>
      <c r="V46" s="3151"/>
      <c r="W46" s="3151"/>
      <c r="X46" s="3152"/>
    </row>
    <row r="47" spans="1:37" ht="13.5" thickBot="1">
      <c r="A47" s="1408"/>
      <c r="B47" s="1423">
        <v>17</v>
      </c>
      <c r="C47" s="3154" t="s">
        <v>252</v>
      </c>
      <c r="D47" s="3011"/>
      <c r="E47" s="3012"/>
      <c r="F47" s="3012"/>
      <c r="G47" s="3013"/>
      <c r="H47" s="3013"/>
      <c r="I47" s="3013"/>
      <c r="J47" s="3013"/>
      <c r="K47" s="3013"/>
      <c r="L47" s="3014"/>
      <c r="M47" s="3018">
        <f>SUM(P47:X47)</f>
        <v>0</v>
      </c>
      <c r="N47" s="3155">
        <f>SUM(E47:M47)</f>
        <v>0</v>
      </c>
      <c r="O47" s="24"/>
      <c r="P47" s="3151">
        <f t="shared" ref="P47:X47" si="23">IF(D$28="IRA",D47,0)</f>
        <v>0</v>
      </c>
      <c r="Q47" s="3151">
        <f t="shared" si="23"/>
        <v>0</v>
      </c>
      <c r="R47" s="3151">
        <f t="shared" si="23"/>
        <v>0</v>
      </c>
      <c r="S47" s="3151">
        <f t="shared" si="23"/>
        <v>0</v>
      </c>
      <c r="T47" s="3151">
        <f t="shared" si="23"/>
        <v>0</v>
      </c>
      <c r="U47" s="3151">
        <f t="shared" si="23"/>
        <v>0</v>
      </c>
      <c r="V47" s="3151">
        <f t="shared" si="23"/>
        <v>0</v>
      </c>
      <c r="W47" s="3151">
        <f t="shared" si="23"/>
        <v>0</v>
      </c>
      <c r="X47" s="3152">
        <f t="shared" si="23"/>
        <v>0</v>
      </c>
    </row>
    <row r="48" spans="1:37" s="633" customFormat="1" ht="17.25" customHeight="1" thickBot="1">
      <c r="A48" s="2882"/>
      <c r="B48" s="2960" t="s">
        <v>867</v>
      </c>
      <c r="C48" s="2961"/>
      <c r="D48" s="2962"/>
      <c r="E48" s="2962"/>
      <c r="F48" s="2962"/>
      <c r="G48" s="2962"/>
      <c r="H48" s="2962"/>
      <c r="I48" s="2962"/>
      <c r="J48" s="2962"/>
      <c r="K48" s="2962"/>
      <c r="L48" s="2962"/>
      <c r="M48" s="2962"/>
      <c r="N48" s="2963"/>
      <c r="O48" s="104"/>
      <c r="P48" s="2964"/>
      <c r="Q48" s="2964"/>
      <c r="R48" s="2964"/>
      <c r="S48" s="2964"/>
      <c r="T48" s="2964"/>
      <c r="U48" s="2964"/>
      <c r="V48" s="2964"/>
      <c r="W48" s="2964"/>
      <c r="X48" s="2964"/>
      <c r="Y48" s="3169"/>
      <c r="Z48" s="3169"/>
      <c r="AA48" s="3169"/>
      <c r="AB48" s="3169"/>
      <c r="AC48" s="3169"/>
      <c r="AD48" s="3169"/>
      <c r="AE48" s="3173"/>
      <c r="AF48" s="3173"/>
      <c r="AG48" s="3173"/>
      <c r="AH48" s="3173"/>
      <c r="AI48" s="3173"/>
      <c r="AJ48" s="3173"/>
      <c r="AK48" s="3173"/>
    </row>
    <row r="49" spans="1:24" ht="17.25" hidden="1" customHeight="1">
      <c r="A49" s="1408"/>
      <c r="B49" s="3493"/>
      <c r="C49" s="3494"/>
      <c r="D49" s="3488" t="str">
        <f>IF(OR(LEFT(D36,1)="D",LEFT(D36,1)="d"),D30,"")</f>
        <v/>
      </c>
      <c r="E49" s="3488" t="str">
        <f t="shared" ref="E49:L49" si="24">IF(OR(LEFT(E36,1)="D",LEFT(E36,1)="d"),E30,"")</f>
        <v/>
      </c>
      <c r="F49" s="3488" t="str">
        <f t="shared" si="24"/>
        <v/>
      </c>
      <c r="G49" s="3488" t="str">
        <f t="shared" si="24"/>
        <v/>
      </c>
      <c r="H49" s="3488" t="str">
        <f t="shared" si="24"/>
        <v/>
      </c>
      <c r="I49" s="3488" t="str">
        <f t="shared" si="24"/>
        <v/>
      </c>
      <c r="J49" s="3488" t="str">
        <f t="shared" si="24"/>
        <v/>
      </c>
      <c r="K49" s="3488" t="str">
        <f t="shared" si="24"/>
        <v/>
      </c>
      <c r="L49" s="3488" t="str">
        <f t="shared" si="24"/>
        <v/>
      </c>
      <c r="M49" s="1408"/>
      <c r="N49" s="3488">
        <f>SUM(D49:L49)</f>
        <v>0</v>
      </c>
      <c r="O49" s="1435"/>
      <c r="P49" s="243"/>
      <c r="Q49" s="243"/>
      <c r="R49" s="243"/>
      <c r="S49" s="243"/>
      <c r="T49" s="243"/>
      <c r="U49" s="243"/>
      <c r="V49" s="243"/>
      <c r="W49" s="243"/>
      <c r="X49" s="243"/>
    </row>
    <row r="50" spans="1:24" ht="17.25" hidden="1" customHeight="1" thickBot="1">
      <c r="A50" s="1408"/>
      <c r="B50" s="3493"/>
      <c r="C50" s="3494"/>
      <c r="D50" s="3488" t="str">
        <f>IF(OR(LEFT(D36,1)="D",LEFT(D36,1)="d"),SUM(D42,D45),"")</f>
        <v/>
      </c>
      <c r="E50" s="3488" t="str">
        <f t="shared" ref="E50:L50" si="25">IF(OR(LEFT(E36,1)="D",LEFT(E36,1)="d"),SUM(E42,E45),"")</f>
        <v/>
      </c>
      <c r="F50" s="3488" t="str">
        <f t="shared" si="25"/>
        <v/>
      </c>
      <c r="G50" s="3488" t="str">
        <f t="shared" si="25"/>
        <v/>
      </c>
      <c r="H50" s="3488" t="str">
        <f t="shared" si="25"/>
        <v/>
      </c>
      <c r="I50" s="3488" t="str">
        <f t="shared" si="25"/>
        <v/>
      </c>
      <c r="J50" s="3488" t="str">
        <f t="shared" si="25"/>
        <v/>
      </c>
      <c r="K50" s="3488" t="str">
        <f t="shared" si="25"/>
        <v/>
      </c>
      <c r="L50" s="3488" t="str">
        <f t="shared" si="25"/>
        <v/>
      </c>
      <c r="M50" s="3497"/>
      <c r="N50" s="3488">
        <f>SUM(D50:L50)</f>
        <v>0</v>
      </c>
      <c r="O50" s="1435"/>
      <c r="P50" s="243"/>
      <c r="Q50" s="243"/>
      <c r="R50" s="243"/>
      <c r="S50" s="243"/>
      <c r="T50" s="243"/>
      <c r="U50" s="243"/>
      <c r="V50" s="243"/>
      <c r="W50" s="243"/>
      <c r="X50" s="243"/>
    </row>
    <row r="51" spans="1:24" ht="42" customHeight="1" thickTop="1" thickBot="1">
      <c r="A51" s="2965"/>
      <c r="B51" s="2979" t="s">
        <v>2498</v>
      </c>
      <c r="C51" s="2966"/>
      <c r="D51" s="2967"/>
      <c r="E51" s="2968"/>
      <c r="F51" s="2967"/>
      <c r="G51" s="2967"/>
      <c r="H51" s="2967"/>
      <c r="I51" s="2969"/>
      <c r="J51" s="2969"/>
      <c r="K51" s="2970"/>
      <c r="L51" s="2970"/>
      <c r="M51" s="2970"/>
      <c r="N51" s="2970"/>
    </row>
    <row r="52" spans="1:24" ht="49.5" customHeight="1" thickTop="1" thickBot="1">
      <c r="A52" s="1408"/>
      <c r="B52" s="3495"/>
      <c r="C52" s="3495" t="s">
        <v>253</v>
      </c>
      <c r="D52" s="3496" t="s">
        <v>555</v>
      </c>
      <c r="E52" s="490" t="s">
        <v>556</v>
      </c>
      <c r="F52" s="490"/>
      <c r="G52" s="490"/>
      <c r="H52" s="490"/>
      <c r="I52" s="490"/>
      <c r="J52" s="490"/>
      <c r="K52" s="490"/>
      <c r="L52" s="490"/>
      <c r="M52" s="490"/>
      <c r="N52" s="490"/>
      <c r="O52" s="490"/>
      <c r="P52" s="89"/>
      <c r="Q52" s="361"/>
      <c r="R52" s="361"/>
      <c r="S52" s="361"/>
      <c r="T52" s="361"/>
      <c r="U52" s="361"/>
      <c r="V52" s="361"/>
      <c r="W52" s="361"/>
      <c r="X52" s="361"/>
    </row>
    <row r="53" spans="1:24" ht="13.5" thickBot="1">
      <c r="A53" s="1408"/>
      <c r="B53" s="1410"/>
      <c r="C53" s="1413"/>
      <c r="D53" s="1414" t="s">
        <v>466</v>
      </c>
      <c r="E53" s="1415" t="s">
        <v>447</v>
      </c>
      <c r="F53" s="3026" t="s">
        <v>2433</v>
      </c>
      <c r="G53" s="4946"/>
      <c r="H53" s="133"/>
      <c r="I53" s="490"/>
      <c r="J53" s="4561" t="s">
        <v>4118</v>
      </c>
      <c r="K53" s="428"/>
      <c r="L53" s="133"/>
      <c r="M53" s="24"/>
      <c r="N53" s="489"/>
      <c r="O53" s="24"/>
      <c r="P53" s="24"/>
      <c r="Q53" s="46"/>
      <c r="R53" s="46"/>
      <c r="S53" s="46"/>
      <c r="T53" s="46"/>
      <c r="U53" s="46"/>
      <c r="V53" s="46"/>
      <c r="W53" s="46"/>
      <c r="X53" s="46"/>
    </row>
    <row r="54" spans="1:24" ht="13.5" customHeight="1">
      <c r="A54" s="1408"/>
      <c r="B54" s="480">
        <v>1</v>
      </c>
      <c r="C54" s="3149" t="s">
        <v>547</v>
      </c>
      <c r="D54" s="3156">
        <f>SUM(M4,M29)</f>
        <v>0</v>
      </c>
      <c r="E54" s="3156">
        <f>SUM(N4,N29)</f>
        <v>0</v>
      </c>
      <c r="F54" s="3157" t="s">
        <v>4113</v>
      </c>
      <c r="G54" s="4947"/>
      <c r="H54" s="411"/>
      <c r="I54" s="1674">
        <f>IF(E54=0,0,ROUND(E54,0))</f>
        <v>0</v>
      </c>
      <c r="J54" s="4561" t="s">
        <v>4633</v>
      </c>
      <c r="K54" s="428"/>
      <c r="L54" s="411"/>
      <c r="M54" s="411"/>
      <c r="N54" s="916"/>
      <c r="O54" s="41"/>
      <c r="P54" s="41"/>
      <c r="Q54" s="243"/>
      <c r="R54" s="243"/>
      <c r="S54" s="243"/>
      <c r="T54" s="243"/>
      <c r="U54" s="243"/>
      <c r="V54" s="243"/>
      <c r="W54" s="243"/>
      <c r="X54" s="243"/>
    </row>
    <row r="55" spans="1:24" ht="13.5" customHeight="1">
      <c r="A55" s="1408"/>
      <c r="B55" s="481" t="s">
        <v>386</v>
      </c>
      <c r="C55" s="3141" t="s">
        <v>319</v>
      </c>
      <c r="D55" s="3158">
        <f>SUM(IRA_Taxable_You,IRA_Taxable_Spouse)</f>
        <v>0</v>
      </c>
      <c r="E55" s="3158">
        <f>SUM(PA_Taxable_You,PA_Taxable_Spouse)</f>
        <v>0</v>
      </c>
      <c r="F55" s="3157" t="s">
        <v>4114</v>
      </c>
      <c r="G55" s="4947"/>
      <c r="H55" s="411"/>
      <c r="I55" s="52"/>
      <c r="J55" s="4561" t="s">
        <v>4632</v>
      </c>
      <c r="K55" s="428"/>
      <c r="L55" s="411"/>
      <c r="M55" s="411"/>
      <c r="N55" s="916"/>
      <c r="O55" s="41"/>
      <c r="P55" s="41"/>
      <c r="Q55" s="243"/>
      <c r="R55" s="243"/>
      <c r="S55" s="243"/>
      <c r="T55" s="243"/>
      <c r="U55" s="243"/>
      <c r="V55" s="243"/>
      <c r="W55" s="243"/>
      <c r="X55" s="243"/>
    </row>
    <row r="56" spans="1:24" ht="13.5" customHeight="1">
      <c r="A56" s="1408"/>
      <c r="B56" s="1418" t="s">
        <v>387</v>
      </c>
      <c r="C56" s="1419" t="s">
        <v>4613</v>
      </c>
      <c r="D56" s="1422" t="str">
        <f>" - - - -"</f>
        <v xml:space="preserve"> - - - -</v>
      </c>
      <c r="E56" s="1422" t="str">
        <f>" - - - -"</f>
        <v xml:space="preserve"> - - - -</v>
      </c>
      <c r="F56" s="411"/>
      <c r="G56" s="4948"/>
      <c r="H56" s="411"/>
      <c r="I56" s="411"/>
      <c r="J56" s="411"/>
      <c r="K56" s="411"/>
      <c r="L56" s="411"/>
      <c r="M56" s="411"/>
      <c r="N56" s="411"/>
      <c r="O56" s="411"/>
      <c r="P56" s="3151">
        <f>IF(D$3="ira",D56,0)</f>
        <v>0</v>
      </c>
      <c r="Q56" s="3151">
        <f>IF(E$3="ira",E56,0)</f>
        <v>0</v>
      </c>
      <c r="R56" s="3151">
        <f>IF(F$3="ira",F56,0)</f>
        <v>0</v>
      </c>
      <c r="S56" s="3151">
        <f>IF(G$3="ira",H56,0)</f>
        <v>0</v>
      </c>
      <c r="T56" s="3151">
        <f>IF(H$3="ira",I56,0)</f>
        <v>0</v>
      </c>
      <c r="U56" s="3151">
        <f>IF(I$3="ira",J56,0)</f>
        <v>0</v>
      </c>
      <c r="V56" s="3151">
        <f>IF(J$3="ira",K56,0)</f>
        <v>0</v>
      </c>
      <c r="W56" s="3151">
        <f>IF(K$3="ira",L56,0)</f>
        <v>0</v>
      </c>
      <c r="X56" s="3152">
        <f>IF(L$3="ira",#REF!,0)</f>
        <v>0</v>
      </c>
    </row>
    <row r="57" spans="1:24" ht="13.5" customHeight="1">
      <c r="A57" s="1408"/>
      <c r="B57" s="1418">
        <v>3</v>
      </c>
      <c r="C57" s="1419" t="s">
        <v>863</v>
      </c>
      <c r="D57" s="3159">
        <f t="shared" ref="D57:E60" si="26">SUM(M7,M32)</f>
        <v>0</v>
      </c>
      <c r="E57" s="3159">
        <f t="shared" si="26"/>
        <v>0</v>
      </c>
      <c r="F57" s="3160"/>
      <c r="G57" s="4945"/>
      <c r="H57" s="411"/>
      <c r="I57" s="52"/>
      <c r="J57" s="2917"/>
      <c r="K57" s="3027"/>
      <c r="L57" s="411"/>
      <c r="M57" s="411"/>
      <c r="N57" s="916"/>
      <c r="O57" s="41"/>
    </row>
    <row r="58" spans="1:24" ht="13.5" customHeight="1">
      <c r="A58" s="1408"/>
      <c r="B58" s="481">
        <v>4</v>
      </c>
      <c r="C58" s="3141" t="s">
        <v>189</v>
      </c>
      <c r="D58" s="3158">
        <f t="shared" si="26"/>
        <v>0</v>
      </c>
      <c r="E58" s="3158">
        <f t="shared" si="26"/>
        <v>0</v>
      </c>
      <c r="F58" s="3157" t="s">
        <v>4115</v>
      </c>
      <c r="G58" s="4947"/>
      <c r="H58" s="411"/>
      <c r="I58" s="52"/>
      <c r="J58" s="2917"/>
      <c r="K58" s="411"/>
      <c r="L58" s="411"/>
      <c r="M58" s="411"/>
      <c r="N58" s="916"/>
      <c r="O58" s="41"/>
      <c r="P58" s="41"/>
      <c r="Q58" s="243"/>
      <c r="R58" s="243"/>
      <c r="S58" s="243"/>
      <c r="T58" s="243"/>
      <c r="U58" s="243"/>
      <c r="V58" s="243"/>
      <c r="W58" s="243"/>
      <c r="X58" s="243"/>
    </row>
    <row r="59" spans="1:24" ht="26.25" customHeight="1">
      <c r="A59" s="1408"/>
      <c r="B59" s="1420">
        <v>5</v>
      </c>
      <c r="C59" s="1421" t="s">
        <v>864</v>
      </c>
      <c r="D59" s="3159">
        <f t="shared" si="26"/>
        <v>0</v>
      </c>
      <c r="E59" s="3159">
        <f t="shared" si="26"/>
        <v>0</v>
      </c>
      <c r="F59" s="3160"/>
      <c r="G59" s="4945"/>
      <c r="H59" s="133"/>
      <c r="I59" s="52"/>
      <c r="J59" s="2917"/>
      <c r="K59" s="133"/>
      <c r="L59" s="133"/>
      <c r="M59" s="411"/>
      <c r="N59" s="489"/>
      <c r="O59" s="24"/>
      <c r="P59" s="24"/>
      <c r="Q59" s="46"/>
      <c r="R59" s="46"/>
      <c r="S59" s="46"/>
      <c r="T59" s="46"/>
      <c r="U59" s="46"/>
      <c r="V59" s="46"/>
      <c r="W59" s="46"/>
      <c r="X59" s="46"/>
    </row>
    <row r="60" spans="1:24">
      <c r="A60" s="1408"/>
      <c r="B60" s="1418">
        <v>6</v>
      </c>
      <c r="C60" s="1419" t="s">
        <v>110</v>
      </c>
      <c r="D60" s="3159">
        <f t="shared" si="26"/>
        <v>0</v>
      </c>
      <c r="E60" s="3159">
        <f t="shared" si="26"/>
        <v>0</v>
      </c>
      <c r="F60" s="3161"/>
      <c r="G60" s="428"/>
      <c r="H60" s="133"/>
      <c r="I60" s="52"/>
      <c r="J60" s="4561" t="s">
        <v>2511</v>
      </c>
      <c r="K60" s="133"/>
      <c r="L60" s="133"/>
      <c r="M60" s="411"/>
      <c r="N60" s="3162"/>
      <c r="O60" s="14"/>
      <c r="P60" s="24"/>
      <c r="Q60" s="46"/>
      <c r="R60" s="46"/>
      <c r="S60" s="46"/>
      <c r="T60" s="46"/>
      <c r="U60" s="46"/>
      <c r="V60" s="46"/>
      <c r="W60" s="46"/>
      <c r="X60" s="46"/>
    </row>
    <row r="61" spans="1:24">
      <c r="A61" s="1408"/>
      <c r="B61" s="1418">
        <v>7</v>
      </c>
      <c r="C61" s="1419" t="s">
        <v>4636</v>
      </c>
      <c r="D61" s="1422" t="str">
        <f>" - - - -"</f>
        <v xml:space="preserve"> - - - -</v>
      </c>
      <c r="E61" s="3158">
        <f>ROUND(SUM(N24,N49),0)</f>
        <v>0</v>
      </c>
      <c r="F61" s="3498" t="s">
        <v>4635</v>
      </c>
      <c r="G61" s="4948"/>
      <c r="H61" s="133"/>
      <c r="I61" s="52"/>
      <c r="J61" s="4561" t="s">
        <v>2512</v>
      </c>
      <c r="K61" s="133"/>
      <c r="L61" s="133"/>
      <c r="M61" s="411"/>
      <c r="N61" s="489"/>
      <c r="O61" s="24"/>
      <c r="P61" s="24"/>
      <c r="Q61" s="46"/>
      <c r="R61" s="46"/>
      <c r="S61" s="46"/>
      <c r="T61" s="46"/>
      <c r="U61" s="46"/>
      <c r="V61" s="46"/>
      <c r="W61" s="46"/>
      <c r="X61" s="46"/>
    </row>
    <row r="62" spans="1:24">
      <c r="A62" s="1408"/>
      <c r="B62" s="1418">
        <v>8</v>
      </c>
      <c r="C62" s="1419" t="s">
        <v>458</v>
      </c>
      <c r="D62" s="1422" t="str">
        <f>" - - - -"</f>
        <v xml:space="preserve"> - - - -</v>
      </c>
      <c r="E62" s="1422" t="str">
        <f>" - - - -"</f>
        <v xml:space="preserve"> - - - -</v>
      </c>
      <c r="F62" s="3498"/>
      <c r="G62" s="133"/>
      <c r="H62" s="133"/>
      <c r="I62" s="52"/>
      <c r="J62" s="4561" t="s">
        <v>4117</v>
      </c>
      <c r="K62" s="133"/>
      <c r="L62" s="133"/>
      <c r="M62" s="411"/>
      <c r="N62" s="489"/>
      <c r="O62" s="24"/>
      <c r="P62" s="24"/>
      <c r="Q62" s="46"/>
      <c r="R62" s="46"/>
      <c r="S62" s="46"/>
      <c r="T62" s="46"/>
      <c r="U62" s="46"/>
      <c r="V62" s="46"/>
      <c r="W62" s="46"/>
      <c r="X62" s="46"/>
    </row>
    <row r="63" spans="1:24">
      <c r="A63" s="1408"/>
      <c r="B63" s="1418" t="s">
        <v>324</v>
      </c>
      <c r="C63" s="1419" t="s">
        <v>191</v>
      </c>
      <c r="D63" s="3163">
        <f t="shared" ref="D63:E67" si="27">SUM(M13,M38)</f>
        <v>0</v>
      </c>
      <c r="E63" s="3163">
        <f t="shared" si="27"/>
        <v>0</v>
      </c>
      <c r="F63" s="3148"/>
      <c r="G63" s="133"/>
      <c r="H63" s="133"/>
      <c r="I63" s="52"/>
      <c r="J63" s="4561" t="s">
        <v>4120</v>
      </c>
      <c r="K63" s="133"/>
      <c r="L63" s="133"/>
      <c r="M63" s="411"/>
      <c r="N63" s="489"/>
      <c r="O63" s="24"/>
      <c r="P63" s="24"/>
      <c r="Q63" s="46"/>
      <c r="R63" s="46"/>
      <c r="S63" s="46"/>
      <c r="T63" s="46"/>
      <c r="U63" s="46"/>
      <c r="V63" s="46"/>
      <c r="W63" s="46"/>
      <c r="X63" s="46"/>
    </row>
    <row r="64" spans="1:24">
      <c r="A64" s="1408"/>
      <c r="B64" s="1418" t="s">
        <v>325</v>
      </c>
      <c r="C64" s="1419" t="s">
        <v>481</v>
      </c>
      <c r="D64" s="3159">
        <f t="shared" si="27"/>
        <v>0</v>
      </c>
      <c r="E64" s="3159">
        <f t="shared" si="27"/>
        <v>0</v>
      </c>
      <c r="F64" s="3148"/>
      <c r="G64" s="133"/>
      <c r="H64" s="133"/>
      <c r="I64" s="52"/>
      <c r="J64" s="4561" t="s">
        <v>2513</v>
      </c>
      <c r="K64" s="133"/>
      <c r="L64" s="133"/>
      <c r="M64" s="411"/>
      <c r="N64" s="489"/>
      <c r="O64" s="24"/>
      <c r="P64" s="24"/>
      <c r="Q64" s="46"/>
      <c r="R64" s="46"/>
      <c r="S64" s="46"/>
      <c r="T64" s="46"/>
      <c r="U64" s="46"/>
      <c r="V64" s="46"/>
      <c r="W64" s="46"/>
      <c r="X64" s="46"/>
    </row>
    <row r="65" spans="1:24">
      <c r="A65" s="1408"/>
      <c r="B65" s="1418">
        <v>10</v>
      </c>
      <c r="C65" s="1419" t="s">
        <v>865</v>
      </c>
      <c r="D65" s="3159">
        <f t="shared" si="27"/>
        <v>0</v>
      </c>
      <c r="E65" s="3159">
        <f t="shared" si="27"/>
        <v>0</v>
      </c>
      <c r="F65" s="133"/>
      <c r="G65" s="133"/>
      <c r="H65" s="411"/>
      <c r="I65" s="52"/>
      <c r="J65" s="4561" t="s">
        <v>2514</v>
      </c>
      <c r="K65" s="411"/>
      <c r="L65" s="411"/>
      <c r="M65" s="411"/>
      <c r="N65" s="916"/>
      <c r="O65" s="41"/>
    </row>
    <row r="66" spans="1:24">
      <c r="A66" s="1408"/>
      <c r="B66" s="1418">
        <v>11</v>
      </c>
      <c r="C66" s="1419" t="s">
        <v>866</v>
      </c>
      <c r="D66" s="3159">
        <f t="shared" si="27"/>
        <v>0</v>
      </c>
      <c r="E66" s="3159">
        <f t="shared" si="27"/>
        <v>0</v>
      </c>
      <c r="F66" s="133"/>
      <c r="G66" s="133"/>
      <c r="H66" s="411"/>
      <c r="I66" s="52"/>
      <c r="J66" s="2917"/>
      <c r="K66" s="411"/>
      <c r="L66" s="411"/>
      <c r="M66" s="411"/>
      <c r="N66" s="916"/>
      <c r="O66" s="41"/>
    </row>
    <row r="67" spans="1:24">
      <c r="A67" s="1408"/>
      <c r="B67" s="481">
        <v>12</v>
      </c>
      <c r="C67" s="3141" t="s">
        <v>482</v>
      </c>
      <c r="D67" s="3158">
        <f t="shared" si="27"/>
        <v>0</v>
      </c>
      <c r="E67" s="3158">
        <f t="shared" si="27"/>
        <v>0</v>
      </c>
      <c r="F67" s="3157" t="s">
        <v>4116</v>
      </c>
      <c r="G67" s="4947"/>
      <c r="H67" s="133"/>
      <c r="I67" s="52"/>
      <c r="J67" s="4561" t="s">
        <v>4119</v>
      </c>
      <c r="K67" s="133"/>
      <c r="L67" s="133"/>
      <c r="M67" s="411"/>
      <c r="N67" s="489"/>
      <c r="O67" s="24"/>
      <c r="P67" s="24"/>
      <c r="Q67" s="46"/>
      <c r="R67" s="46"/>
      <c r="S67" s="46"/>
      <c r="T67" s="46"/>
      <c r="U67" s="46"/>
      <c r="V67" s="46"/>
      <c r="W67" s="46"/>
      <c r="X67" s="46"/>
    </row>
    <row r="68" spans="1:24">
      <c r="A68" s="1408"/>
      <c r="B68" s="1418">
        <v>13</v>
      </c>
      <c r="C68" s="1419" t="s">
        <v>366</v>
      </c>
      <c r="D68" s="1422" t="str">
        <f>" - - - -"</f>
        <v xml:space="preserve"> - - - -</v>
      </c>
      <c r="E68" s="1422" t="str">
        <f>" - - - -"</f>
        <v xml:space="preserve"> - - - -</v>
      </c>
      <c r="F68" s="3148"/>
      <c r="G68" s="4948"/>
      <c r="H68" s="133"/>
      <c r="I68" s="52"/>
      <c r="J68" s="4561" t="s">
        <v>2515</v>
      </c>
      <c r="K68" s="133"/>
      <c r="L68" s="133"/>
      <c r="M68" s="411"/>
      <c r="N68" s="489"/>
      <c r="O68" s="24"/>
      <c r="P68" s="24"/>
      <c r="Q68" s="46"/>
      <c r="R68" s="46"/>
      <c r="S68" s="46"/>
      <c r="T68" s="46"/>
      <c r="U68" s="46"/>
      <c r="V68" s="46"/>
      <c r="W68" s="46"/>
      <c r="X68" s="46"/>
    </row>
    <row r="69" spans="1:24">
      <c r="A69" s="1408"/>
      <c r="B69" s="1418">
        <v>14</v>
      </c>
      <c r="C69" s="1419" t="s">
        <v>41</v>
      </c>
      <c r="D69" s="3159">
        <f>SUM(M19,M44)</f>
        <v>0</v>
      </c>
      <c r="E69" s="3159">
        <f>SUM(N19,N44)</f>
        <v>0</v>
      </c>
      <c r="F69" s="3148"/>
      <c r="G69" s="133"/>
      <c r="H69" s="133"/>
      <c r="I69" s="52"/>
      <c r="J69" s="3165"/>
      <c r="K69" s="133"/>
      <c r="L69" s="133"/>
      <c r="M69" s="24"/>
      <c r="N69" s="489"/>
      <c r="O69" s="24"/>
      <c r="P69" s="24"/>
      <c r="Q69" s="46"/>
      <c r="R69" s="46"/>
      <c r="S69" s="46"/>
      <c r="T69" s="46"/>
      <c r="U69" s="46"/>
      <c r="V69" s="46"/>
      <c r="W69" s="46"/>
      <c r="X69" s="46"/>
    </row>
    <row r="70" spans="1:24">
      <c r="A70" s="1408"/>
      <c r="B70" s="481">
        <v>15</v>
      </c>
      <c r="C70" s="3141" t="s">
        <v>250</v>
      </c>
      <c r="D70" s="3158">
        <f>SUM(M20,M45)</f>
        <v>0</v>
      </c>
      <c r="E70" s="3158">
        <f>SUM(N20,N45)</f>
        <v>0</v>
      </c>
      <c r="F70" s="3157" t="s">
        <v>4116</v>
      </c>
      <c r="G70" s="4947"/>
      <c r="H70" s="133"/>
      <c r="I70" s="52"/>
      <c r="J70" s="3165"/>
      <c r="K70" s="133"/>
      <c r="L70" s="133"/>
      <c r="M70" s="24"/>
      <c r="N70" s="489"/>
      <c r="O70" s="24"/>
      <c r="P70" s="24"/>
      <c r="Q70" s="46"/>
      <c r="R70" s="46"/>
      <c r="S70" s="46"/>
      <c r="T70" s="46"/>
      <c r="U70" s="46"/>
      <c r="V70" s="46"/>
      <c r="W70" s="46"/>
      <c r="X70" s="46"/>
    </row>
    <row r="71" spans="1:24">
      <c r="A71" s="1408"/>
      <c r="B71" s="1418">
        <v>16</v>
      </c>
      <c r="C71" s="2798" t="s">
        <v>4637</v>
      </c>
      <c r="D71" s="1422" t="str">
        <f>" - - - -"</f>
        <v xml:space="preserve"> - - - -</v>
      </c>
      <c r="E71" s="3158">
        <f>ROUND(SUM(N25,N50),0)</f>
        <v>0</v>
      </c>
      <c r="F71" s="3498" t="s">
        <v>4634</v>
      </c>
      <c r="G71" s="4948"/>
      <c r="H71" s="133"/>
      <c r="I71" s="52"/>
      <c r="J71" s="3165"/>
      <c r="K71" s="133"/>
      <c r="L71" s="133"/>
      <c r="M71" s="24"/>
      <c r="N71" s="489"/>
      <c r="O71" s="24"/>
      <c r="P71" s="24"/>
      <c r="Q71" s="46"/>
      <c r="R71" s="46"/>
      <c r="S71" s="46"/>
      <c r="T71" s="46"/>
      <c r="U71" s="46"/>
      <c r="V71" s="46"/>
      <c r="W71" s="46"/>
      <c r="X71" s="46"/>
    </row>
    <row r="72" spans="1:24" ht="13.5" thickBot="1">
      <c r="A72" s="1408"/>
      <c r="B72" s="1423">
        <v>17</v>
      </c>
      <c r="C72" s="3154" t="s">
        <v>252</v>
      </c>
      <c r="D72" s="3164">
        <f>SUM(M22,M47)</f>
        <v>0</v>
      </c>
      <c r="E72" s="3164">
        <f>SUM(N22,N47)</f>
        <v>0</v>
      </c>
      <c r="F72" s="3148"/>
      <c r="G72" s="133"/>
      <c r="H72" s="133"/>
      <c r="I72" s="52"/>
      <c r="J72" s="411"/>
      <c r="K72" s="133"/>
      <c r="L72" s="133"/>
      <c r="M72" s="24"/>
      <c r="N72" s="489"/>
      <c r="O72" s="24"/>
      <c r="P72" s="24"/>
      <c r="Q72" s="46"/>
      <c r="R72" s="46"/>
      <c r="S72" s="46"/>
      <c r="T72" s="46"/>
      <c r="U72" s="46"/>
      <c r="V72" s="46"/>
      <c r="W72" s="46"/>
      <c r="X72" s="46"/>
    </row>
    <row r="73" spans="1:24">
      <c r="A73" s="1408"/>
      <c r="B73" s="3494" t="s">
        <v>867</v>
      </c>
      <c r="C73" s="1408"/>
      <c r="D73" s="1408"/>
      <c r="E73" s="1408"/>
      <c r="F73" s="1408"/>
      <c r="G73" s="1408"/>
      <c r="H73" s="1408"/>
      <c r="I73" s="1408"/>
      <c r="J73" s="1408"/>
      <c r="K73" s="1408"/>
      <c r="L73" s="1408"/>
      <c r="M73" s="1408"/>
      <c r="N73" s="1408"/>
      <c r="O73" s="1408"/>
    </row>
    <row r="76" spans="1:24">
      <c r="H76" s="3019"/>
    </row>
    <row r="78" spans="1:24" ht="13.5" thickBot="1"/>
    <row r="79" spans="1:24">
      <c r="C79" s="5243"/>
    </row>
    <row r="80" spans="1:24">
      <c r="C80" s="5239" t="s">
        <v>5009</v>
      </c>
    </row>
    <row r="81" spans="3:3" ht="13.5" thickBot="1">
      <c r="C81" s="5244"/>
    </row>
  </sheetData>
  <sheetProtection password="F07E" sheet="1" objects="1" scenarios="1"/>
  <phoneticPr fontId="41" type="noConversion"/>
  <conditionalFormatting sqref="D2:J5 D7:J22">
    <cfRule type="expression" dxfId="3043" priority="18">
      <formula>IF(NoColor,1,0)</formula>
    </cfRule>
  </conditionalFormatting>
  <conditionalFormatting sqref="D27:J30 D37:J47 D32:J35">
    <cfRule type="expression" dxfId="3042" priority="17">
      <formula>IF(NoColor,1,0)</formula>
    </cfRule>
  </conditionalFormatting>
  <conditionalFormatting sqref="K2:K5 K7:K22">
    <cfRule type="expression" dxfId="3041" priority="16">
      <formula>IF(NoColor,1,0)</formula>
    </cfRule>
  </conditionalFormatting>
  <conditionalFormatting sqref="K27:K30 K37:K47 K32:K35">
    <cfRule type="expression" dxfId="3040" priority="15">
      <formula>IF(NoColor,1,0)</formula>
    </cfRule>
  </conditionalFormatting>
  <conditionalFormatting sqref="L2:L5 L7:L22">
    <cfRule type="expression" dxfId="3039" priority="14">
      <formula>IF(NoColor,1,0)</formula>
    </cfRule>
  </conditionalFormatting>
  <conditionalFormatting sqref="L27:L30 L37:L47 L32:L35">
    <cfRule type="expression" dxfId="3038" priority="13">
      <formula>IF(NoColor,1,0)</formula>
    </cfRule>
  </conditionalFormatting>
  <conditionalFormatting sqref="D36:J36">
    <cfRule type="expression" dxfId="3037" priority="12">
      <formula>IF(NoColor,1,0)</formula>
    </cfRule>
  </conditionalFormatting>
  <conditionalFormatting sqref="K36">
    <cfRule type="expression" dxfId="3036" priority="11">
      <formula>IF(NoColor,1,0)</formula>
    </cfRule>
  </conditionalFormatting>
  <conditionalFormatting sqref="L36">
    <cfRule type="expression" dxfId="3035" priority="10">
      <formula>IF(NoColor,1,0)</formula>
    </cfRule>
  </conditionalFormatting>
  <conditionalFormatting sqref="D6:J6">
    <cfRule type="expression" dxfId="3034" priority="9">
      <formula>IF(NoColor,1,0)</formula>
    </cfRule>
  </conditionalFormatting>
  <conditionalFormatting sqref="K6">
    <cfRule type="expression" dxfId="3033" priority="8">
      <formula>IF(NoColor,1,0)</formula>
    </cfRule>
  </conditionalFormatting>
  <conditionalFormatting sqref="L6">
    <cfRule type="expression" dxfId="3032" priority="7">
      <formula>IF(NoColor,1,0)</formula>
    </cfRule>
  </conditionalFormatting>
  <conditionalFormatting sqref="D31:J31">
    <cfRule type="expression" dxfId="3031" priority="6">
      <formula>IF(NoColor,1,0)</formula>
    </cfRule>
  </conditionalFormatting>
  <conditionalFormatting sqref="K31">
    <cfRule type="expression" dxfId="3030" priority="5">
      <formula>IF(NoColor,1,0)</formula>
    </cfRule>
  </conditionalFormatting>
  <conditionalFormatting sqref="L31">
    <cfRule type="expression" dxfId="3029" priority="4">
      <formula>IF(NoColor,1,0)</formula>
    </cfRule>
  </conditionalFormatting>
  <hyperlinks>
    <hyperlink ref="C80" location="'Table of Contents'!A1" display="Table of Contents"/>
  </hyperlinks>
  <printOptions gridLines="1" gridLinesSet="0"/>
  <pageMargins left="0.75" right="0.75" top="1" bottom="1" header="0.5" footer="0.5"/>
  <pageSetup scale="59" fitToHeight="0" orientation="landscape" horizontalDpi="360" verticalDpi="360" r:id="rId1"/>
  <headerFooter alignWithMargins="0">
    <oddHeader>&amp;A</oddHeader>
    <oddFooter>Page &amp;P</oddFooter>
  </headerFooter>
  <rowBreaks count="1" manualBreakCount="1">
    <brk id="50"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X43"/>
  <sheetViews>
    <sheetView zoomScaleNormal="100" zoomScaleSheetLayoutView="100" workbookViewId="0">
      <pane ySplit="1" topLeftCell="A2" activePane="bottomLeft" state="frozen"/>
      <selection activeCell="O28" sqref="O28"/>
      <selection pane="bottomLeft" activeCell="D3" sqref="D3"/>
    </sheetView>
  </sheetViews>
  <sheetFormatPr defaultColWidth="9.140625" defaultRowHeight="12.75"/>
  <cols>
    <col min="1" max="1" width="2.5703125" style="24" customWidth="1"/>
    <col min="2" max="2" width="4.42578125" style="42" customWidth="1"/>
    <col min="3" max="3" width="37.5703125" style="24" customWidth="1"/>
    <col min="4" max="4" width="15.42578125" style="24" customWidth="1"/>
    <col min="5" max="5" width="33.42578125" style="24" customWidth="1"/>
    <col min="6" max="6" width="3.85546875" style="24" customWidth="1"/>
    <col min="7" max="7" width="12.7109375" style="24" customWidth="1"/>
    <col min="8" max="8" width="3.7109375" style="24" customWidth="1"/>
    <col min="9" max="9" width="12.7109375" style="24" customWidth="1"/>
    <col min="10" max="10" width="2" style="24" customWidth="1"/>
    <col min="11" max="11" width="2.42578125" style="24" customWidth="1"/>
    <col min="12" max="12" width="13.42578125" style="24" customWidth="1"/>
    <col min="13" max="13" width="9.140625" style="24"/>
    <col min="14" max="24" width="9.140625" style="3169"/>
    <col min="25" max="16384" width="9.140625" style="46"/>
  </cols>
  <sheetData>
    <row r="1" spans="2:24" s="1026" customFormat="1" ht="36.75" customHeight="1" thickBot="1">
      <c r="B1" s="4276" t="s">
        <v>304</v>
      </c>
      <c r="N1" s="3171" t="s">
        <v>2552</v>
      </c>
      <c r="O1" s="3172"/>
      <c r="P1" s="3172"/>
      <c r="Q1" s="3172"/>
      <c r="R1" s="3172"/>
      <c r="S1" s="3172"/>
      <c r="T1" s="3172"/>
      <c r="U1" s="3172"/>
      <c r="V1" s="3172"/>
      <c r="W1" s="3172"/>
      <c r="X1" s="3172"/>
    </row>
    <row r="2" spans="2:24" ht="41.25" customHeight="1" thickBot="1">
      <c r="B2" s="1027">
        <v>1</v>
      </c>
      <c r="C2" s="2980" t="str">
        <f>IF(Name_1st_Yours="","Enter your name on sheet labeled '1040'",NameYours)</f>
        <v>Enter your name on sheet labeled '1040'</v>
      </c>
      <c r="D2" s="1047"/>
      <c r="E2" s="4269"/>
    </row>
    <row r="3" spans="2:24" ht="13.5" customHeight="1">
      <c r="B3" s="480">
        <v>3</v>
      </c>
      <c r="C3" s="483" t="str">
        <f>"Benefits Paid in "&amp;TaxYear</f>
        <v>Benefits Paid in 2018</v>
      </c>
      <c r="D3" s="2614"/>
      <c r="E3" s="4269"/>
    </row>
    <row r="4" spans="2:24" ht="13.5" customHeight="1">
      <c r="B4" s="481">
        <v>4</v>
      </c>
      <c r="C4" s="484" t="str">
        <f>"Benefits Repaid in "&amp;TaxYear</f>
        <v>Benefits Repaid in 2018</v>
      </c>
      <c r="D4" s="2373"/>
      <c r="E4" s="4269"/>
    </row>
    <row r="5" spans="2:24" ht="13.5" customHeight="1">
      <c r="B5" s="481">
        <v>5</v>
      </c>
      <c r="C5" s="484" t="str">
        <f>"Net Benefits for "&amp;TaxYear&amp;" (Box 3 minus Box 4)"</f>
        <v>Net Benefits for 2018 (Box 3 minus Box 4)</v>
      </c>
      <c r="D5" s="516">
        <f>SUM(D3,-D4)</f>
        <v>0</v>
      </c>
      <c r="E5" s="4269"/>
    </row>
    <row r="6" spans="2:24" ht="13.5" thickBot="1">
      <c r="B6" s="482">
        <v>6</v>
      </c>
      <c r="C6" s="485" t="s">
        <v>305</v>
      </c>
      <c r="D6" s="2374"/>
      <c r="E6" s="4269"/>
    </row>
    <row r="7" spans="2:24" ht="48" customHeight="1" thickBot="1">
      <c r="B7" s="1028">
        <v>1</v>
      </c>
      <c r="C7" s="2981" t="str">
        <f>IF(Name_1st_Sp="","Enter your spouse's name on the sheet labeled '1040'",NameSpouse)</f>
        <v>Enter your spouse's name on the sheet labeled '1040'</v>
      </c>
      <c r="D7" s="490"/>
      <c r="E7" s="4269"/>
    </row>
    <row r="8" spans="2:24" ht="13.5" customHeight="1">
      <c r="B8" s="480">
        <v>3</v>
      </c>
      <c r="C8" s="483" t="str">
        <f>"Benefits Paid in "&amp;TaxYear</f>
        <v>Benefits Paid in 2018</v>
      </c>
      <c r="D8" s="2372"/>
      <c r="E8" s="4269"/>
    </row>
    <row r="9" spans="2:24" ht="13.5" customHeight="1">
      <c r="B9" s="481">
        <v>4</v>
      </c>
      <c r="C9" s="484" t="str">
        <f>"Benefits Repaid in "&amp;TaxYear</f>
        <v>Benefits Repaid in 2018</v>
      </c>
      <c r="D9" s="2373"/>
      <c r="E9" s="4269"/>
    </row>
    <row r="10" spans="2:24" ht="13.5" customHeight="1">
      <c r="B10" s="481">
        <v>5</v>
      </c>
      <c r="C10" s="484" t="str">
        <f>"Net Benefits for "&amp;TaxYear&amp;" (Box 3 minus Box 4)"</f>
        <v>Net Benefits for 2018 (Box 3 minus Box 4)</v>
      </c>
      <c r="D10" s="516">
        <f>SUM(D8,-D9)</f>
        <v>0</v>
      </c>
      <c r="E10" s="4269"/>
    </row>
    <row r="11" spans="2:24" ht="13.5" thickBot="1">
      <c r="B11" s="482">
        <v>6</v>
      </c>
      <c r="C11" s="485" t="s">
        <v>305</v>
      </c>
      <c r="D11" s="2374"/>
      <c r="E11" s="4269"/>
    </row>
    <row r="12" spans="2:24" ht="13.5" thickBot="1"/>
    <row r="13" spans="2:24" ht="22.5" customHeight="1">
      <c r="B13" s="480"/>
      <c r="C13" s="517" t="s">
        <v>149</v>
      </c>
      <c r="D13" s="1031"/>
      <c r="E13" s="1031"/>
      <c r="F13" s="33"/>
      <c r="G13" s="1032"/>
      <c r="H13" s="33"/>
      <c r="I13" s="1032" t="s">
        <v>202</v>
      </c>
      <c r="J13" s="100"/>
    </row>
    <row r="14" spans="2:24" ht="16.5" thickBot="1">
      <c r="B14" s="481"/>
      <c r="C14" s="31" t="s">
        <v>4436</v>
      </c>
      <c r="D14" s="1033"/>
      <c r="E14" s="1033"/>
      <c r="F14" s="39"/>
      <c r="G14" s="1034"/>
      <c r="H14" s="39"/>
      <c r="I14" s="1034" t="s">
        <v>450</v>
      </c>
      <c r="J14" s="101"/>
    </row>
    <row r="15" spans="2:24" ht="15">
      <c r="B15" s="481"/>
      <c r="C15" s="354" t="s">
        <v>150</v>
      </c>
      <c r="J15" s="101"/>
    </row>
    <row r="16" spans="2:24" ht="8.25" customHeight="1">
      <c r="B16" s="481"/>
      <c r="J16" s="101"/>
    </row>
    <row r="17" spans="1:24" s="1029" customFormat="1" ht="134.44999999999999" customHeight="1">
      <c r="A17" s="104"/>
      <c r="B17" s="1035"/>
      <c r="C17" s="1036"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2018, you probably will
not have to file a federal income tax
return. See IRS Pub. 501,
Exemptions, Standard Deduction,
and Filing Information, or your tax
return instructions to find out if you
have to file a return.</v>
      </c>
      <c r="D17" s="5321"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2018. Fill in lines A through E.
Do not use the worksheet below if any of the following apply to you; instead, go directly to IRS Pub. 915, Social Security and Equivalent Railroad Retirement Benefits.
o  You received Form RRB-1099, Form SSA-1042S, or Form RRB-1042S.</v>
      </c>
      <c r="E17" s="5321"/>
      <c r="F17" s="884"/>
      <c r="G17" s="5322" t="s">
        <v>4437</v>
      </c>
      <c r="H17" s="5322"/>
      <c r="I17" s="5322"/>
      <c r="J17" s="747"/>
      <c r="K17" s="104"/>
      <c r="L17" s="1110" t="s">
        <v>656</v>
      </c>
      <c r="M17" s="104"/>
      <c r="N17" s="3173"/>
      <c r="O17" s="3173"/>
      <c r="P17" s="3173"/>
      <c r="Q17" s="3173"/>
      <c r="R17" s="3173"/>
      <c r="S17" s="3173"/>
      <c r="T17" s="3173"/>
      <c r="U17" s="3173"/>
      <c r="V17" s="3173"/>
      <c r="W17" s="3173"/>
      <c r="X17" s="3173"/>
    </row>
    <row r="18" spans="1:24" s="3080" customFormat="1" ht="20.100000000000001" customHeight="1">
      <c r="A18" s="127"/>
      <c r="B18" s="4270"/>
      <c r="C18" s="4271" t="s">
        <v>3639</v>
      </c>
      <c r="D18" s="4271"/>
      <c r="E18" s="4271"/>
      <c r="F18" s="127"/>
      <c r="G18" s="127"/>
      <c r="H18" s="127"/>
      <c r="I18" s="127"/>
      <c r="J18" s="4272"/>
      <c r="K18" s="127"/>
      <c r="L18" s="397"/>
      <c r="M18" s="127"/>
      <c r="N18" s="3176"/>
      <c r="O18" s="3176"/>
      <c r="P18" s="3176"/>
      <c r="Q18" s="3176"/>
      <c r="R18" s="3176"/>
      <c r="S18" s="3176"/>
      <c r="T18" s="3176"/>
      <c r="U18" s="3176"/>
      <c r="V18" s="3176"/>
      <c r="W18" s="3176"/>
      <c r="X18" s="3176"/>
    </row>
    <row r="19" spans="1:24">
      <c r="B19" s="481" t="s">
        <v>159</v>
      </c>
      <c r="C19" s="1766" t="s">
        <v>2654</v>
      </c>
      <c r="D19" s="1443"/>
      <c r="E19" s="1443"/>
      <c r="J19" s="101"/>
      <c r="L19" s="396"/>
    </row>
    <row r="20" spans="1:24">
      <c r="B20" s="481"/>
      <c r="C20" s="1766" t="str">
        <f>"amount of any lump-sum benefit payments received in "&amp;TaxYear&amp;", for "&amp;TaxYear&amp;" and"</f>
        <v>amount of any lump-sum benefit payments received in 2018, for 2018 and</v>
      </c>
      <c r="D20" s="1443"/>
      <c r="E20" s="1443"/>
      <c r="J20" s="101"/>
      <c r="L20" s="396"/>
    </row>
    <row r="21" spans="1:24">
      <c r="B21" s="481"/>
      <c r="C21" s="1607" t="s">
        <v>2656</v>
      </c>
      <c r="D21" s="1943" t="s">
        <v>2655</v>
      </c>
      <c r="E21" s="1943" t="s">
        <v>2655</v>
      </c>
      <c r="F21" s="52" t="s">
        <v>159</v>
      </c>
      <c r="G21" s="938">
        <f>ROUND(SUM(D5,D10),0)</f>
        <v>0</v>
      </c>
      <c r="J21" s="101"/>
      <c r="L21" s="396"/>
    </row>
    <row r="22" spans="1:24">
      <c r="B22" s="481" t="s">
        <v>327</v>
      </c>
      <c r="C22" s="74" t="s">
        <v>2657</v>
      </c>
      <c r="H22" s="52" t="s">
        <v>327</v>
      </c>
      <c r="I22" s="938">
        <f>IF(L22&lt;&gt;"",L22,ROUND(G21/2,0))</f>
        <v>0</v>
      </c>
      <c r="J22" s="101"/>
      <c r="L22" s="1037"/>
    </row>
    <row r="23" spans="1:24" s="1030" customFormat="1" ht="37.5" customHeight="1">
      <c r="A23" s="1039"/>
      <c r="B23" s="1035" t="s">
        <v>160</v>
      </c>
      <c r="C23" s="5317" t="s">
        <v>5070</v>
      </c>
      <c r="D23" s="5318"/>
      <c r="E23" s="5318"/>
      <c r="F23" s="5318"/>
      <c r="G23" s="5318"/>
      <c r="H23" s="52"/>
      <c r="I23" s="5233"/>
      <c r="J23" s="1038"/>
      <c r="K23" s="1039"/>
      <c r="L23" s="5237"/>
      <c r="M23" s="4277">
        <f>SUM(Wages,TaxableInterest,OrdinaryDividends,IRA_Pension_Taxable,'1040'!U39)</f>
        <v>0</v>
      </c>
      <c r="N23" s="3173"/>
      <c r="O23" s="3173"/>
      <c r="P23" s="3173"/>
      <c r="Q23" s="3173"/>
      <c r="R23" s="3173"/>
      <c r="S23" s="3173"/>
      <c r="T23" s="3173"/>
      <c r="U23" s="3173"/>
      <c r="V23" s="3173"/>
      <c r="W23" s="3173"/>
      <c r="X23" s="3173"/>
    </row>
    <row r="24" spans="1:24" s="1030" customFormat="1">
      <c r="A24" s="1039"/>
      <c r="B24" s="1035"/>
      <c r="C24" s="5317" t="s">
        <v>5071</v>
      </c>
      <c r="D24" s="5318"/>
      <c r="E24" s="5318"/>
      <c r="F24" s="5318"/>
      <c r="G24" s="5318"/>
      <c r="H24" s="52" t="s">
        <v>160</v>
      </c>
      <c r="I24" s="5234">
        <f>IF(L24&lt;&gt;"",ROUND(L24,0),M24)</f>
        <v>0</v>
      </c>
      <c r="J24" s="1038"/>
      <c r="K24" s="1039"/>
      <c r="L24" s="1037"/>
      <c r="M24" s="4277">
        <f>SUM(Wages,TaxableInterest,OrdinaryDividends,IRA_Pension_Taxable,Additional_Income)</f>
        <v>0</v>
      </c>
      <c r="N24" s="3173"/>
      <c r="O24" s="3173"/>
      <c r="P24" s="3173"/>
      <c r="Q24" s="3173"/>
      <c r="R24" s="3173"/>
      <c r="S24" s="3173"/>
      <c r="T24" s="3173"/>
      <c r="U24" s="3173"/>
      <c r="V24" s="3173"/>
      <c r="W24" s="3173"/>
      <c r="X24" s="3173"/>
    </row>
    <row r="25" spans="1:24">
      <c r="B25" s="1035" t="s">
        <v>329</v>
      </c>
      <c r="C25" s="24" t="s">
        <v>328</v>
      </c>
      <c r="G25" s="3309" t="s">
        <v>3879</v>
      </c>
      <c r="H25" s="52" t="s">
        <v>329</v>
      </c>
      <c r="I25" s="5235">
        <f>IF(L25&lt;&gt;"",ROUND(L25,0),TaxExemptInt)</f>
        <v>0</v>
      </c>
      <c r="J25" s="101"/>
      <c r="L25" s="1037"/>
    </row>
    <row r="26" spans="1:24">
      <c r="B26" s="481" t="s">
        <v>419</v>
      </c>
      <c r="C26" s="74" t="s">
        <v>4438</v>
      </c>
      <c r="G26" s="3309" t="s">
        <v>4439</v>
      </c>
      <c r="H26" s="52" t="s">
        <v>419</v>
      </c>
      <c r="I26" s="5236">
        <f>SUM(I22,I24,I25)</f>
        <v>0</v>
      </c>
      <c r="J26" s="101"/>
      <c r="L26" s="396"/>
      <c r="M26" s="1672">
        <v>32000</v>
      </c>
    </row>
    <row r="27" spans="1:24">
      <c r="B27" s="481"/>
      <c r="C27" s="45"/>
      <c r="D27" s="45"/>
      <c r="E27" s="45"/>
      <c r="F27" s="45"/>
      <c r="G27" s="45"/>
      <c r="H27" s="45"/>
      <c r="I27" s="45"/>
      <c r="J27" s="101"/>
      <c r="L27" s="396"/>
      <c r="M27" s="1672">
        <v>25000</v>
      </c>
    </row>
    <row r="28" spans="1:24">
      <c r="B28" s="481"/>
      <c r="C28" s="14" t="s">
        <v>570</v>
      </c>
      <c r="I28" s="55" t="b">
        <f>I26&gt;M28</f>
        <v>0</v>
      </c>
      <c r="J28" s="101"/>
      <c r="L28" s="396"/>
      <c r="M28" s="1672">
        <f>IF(OR(File_Single&lt;&gt;"",File_Head&lt;&gt;""),M27,IF(File_Marr_Joint&lt;&gt;"",M26,IF(AND(File_Marr_Sep&lt;&gt;"",LivedApart),M27,0)))</f>
        <v>0</v>
      </c>
    </row>
    <row r="29" spans="1:24" ht="44.45" customHeight="1">
      <c r="B29" s="481"/>
      <c r="C29" s="4273" t="str">
        <f>"Part of your social security
benefits may be taxable if, for "&amp;TaxYear&amp;", 
item 1, 2, or 3 below applies to you:"</f>
        <v>Part of your social security
benefits may be taxable if, for 2018, 
item 1, 2, or 3 below applies to you:</v>
      </c>
      <c r="D29" s="5323" t="s">
        <v>4897</v>
      </c>
      <c r="E29" s="5324"/>
      <c r="F29" s="1443"/>
      <c r="G29" s="5326" t="s">
        <v>3640</v>
      </c>
      <c r="H29" s="5326"/>
      <c r="I29" s="5326"/>
      <c r="J29" s="101"/>
      <c r="L29" s="396"/>
    </row>
    <row r="30" spans="1:24" ht="51" customHeight="1">
      <c r="B30" s="481"/>
      <c r="C30" s="4273" t="str">
        <f>"1. You were single, a head of
household, or a qualifying widow(er)
and line E above is more than
"&amp;TEXT(M27,"$0,000")&amp;"."</f>
        <v>1. You were single, a head of
household, or a qualifying widow(er)
and line E above is more than
$25,000.</v>
      </c>
      <c r="D30" s="5325" t="s">
        <v>4898</v>
      </c>
      <c r="E30" s="5325"/>
      <c r="F30" s="1443"/>
      <c r="G30" s="5323"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2018 federal income tax return instructions, or visit IRS.gov and enter 'social security income' in the search box. 
Go to www.irs.gov/Forms to view, download, or print all of the forms and publications you may need.</v>
      </c>
      <c r="H30" s="5323"/>
      <c r="I30" s="5323"/>
      <c r="J30" s="101"/>
      <c r="L30" s="396"/>
    </row>
    <row r="31" spans="1:24" s="1029" customFormat="1" ht="109.5" customHeight="1">
      <c r="A31" s="104"/>
      <c r="B31" s="1035"/>
      <c r="C31" s="4273"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2018).</v>
      </c>
      <c r="D31" s="5325" t="str">
        <f>CHAR(10)&amp;"o  If you were married, file separately, and lived apart from your spouse for all of "&amp;TaxYear&amp;", enter “D” to the right of the word “benefits” on Form 1040, line 5a."</f>
        <v xml:space="preserve">
o  If you were married, file separately, and lived apart from your spouse for all of 2018, enter “D” to the right of the word “benefits” on Form 1040, line 5a.</v>
      </c>
      <c r="E31" s="5325"/>
      <c r="F31" s="1443"/>
      <c r="G31" s="5323"/>
      <c r="H31" s="5323"/>
      <c r="I31" s="5323"/>
      <c r="J31" s="747"/>
      <c r="K31" s="104"/>
      <c r="L31" s="396"/>
      <c r="M31" s="104"/>
      <c r="N31" s="3173"/>
      <c r="O31" s="3173"/>
      <c r="P31" s="3173"/>
      <c r="Q31" s="3173"/>
      <c r="R31" s="3173"/>
      <c r="S31" s="3173"/>
      <c r="T31" s="3173"/>
      <c r="U31" s="3173"/>
      <c r="V31" s="3173"/>
      <c r="W31" s="3173"/>
      <c r="X31" s="3173"/>
    </row>
    <row r="32" spans="1:24" s="1029" customFormat="1" ht="74.25" customHeight="1">
      <c r="A32" s="104"/>
      <c r="B32" s="3307"/>
      <c r="C32" s="4274"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2018 federal
income tax return instructions.</v>
      </c>
      <c r="D32" s="5325" t="str">
        <f>"Note. If your figures show that part of your benefits may be taxable and you received benefits in "&amp;TaxYear&amp;" that were for a prior year, see IRS Pub. 915 for rules on a lump-sum election you can make that may reduce the amount of your taxable benefits."</f>
        <v>Note. If your figures show that part of your benefits may be taxable and you received benefits in 2018 that were for a prior year, see IRS Pub. 915 for rules on a lump-sum election you can make that may reduce the amount of your taxable benefits.</v>
      </c>
      <c r="E32" s="5325"/>
      <c r="F32" s="4273"/>
      <c r="G32" s="4243"/>
      <c r="H32" s="4243"/>
      <c r="I32" s="4243"/>
      <c r="J32" s="747"/>
      <c r="K32" s="104"/>
      <c r="L32" s="396"/>
      <c r="M32" s="104"/>
      <c r="N32" s="3173"/>
      <c r="O32" s="3173"/>
      <c r="P32" s="3173"/>
      <c r="Q32" s="3173"/>
      <c r="R32" s="3173"/>
      <c r="S32" s="3173"/>
      <c r="T32" s="3173"/>
      <c r="U32" s="3173"/>
      <c r="V32" s="3173"/>
      <c r="W32" s="3173"/>
      <c r="X32" s="3173"/>
    </row>
    <row r="33" spans="1:24" s="1029" customFormat="1" ht="16.5" customHeight="1" thickBot="1">
      <c r="A33" s="104"/>
      <c r="B33" s="3307"/>
      <c r="C33" s="4771"/>
      <c r="D33" s="4772" t="s">
        <v>4440</v>
      </c>
      <c r="E33" s="4773"/>
      <c r="F33" s="4774"/>
      <c r="G33" s="4775"/>
      <c r="H33" s="4775"/>
      <c r="I33" s="4775"/>
      <c r="J33" s="747"/>
      <c r="K33" s="104"/>
      <c r="L33" s="396"/>
      <c r="M33" s="104"/>
      <c r="N33" s="3173"/>
      <c r="O33" s="3173"/>
      <c r="P33" s="3173"/>
      <c r="Q33" s="3173"/>
      <c r="R33" s="3173"/>
      <c r="S33" s="3173"/>
      <c r="T33" s="3173"/>
      <c r="U33" s="3173"/>
      <c r="V33" s="3173"/>
      <c r="W33" s="3173"/>
      <c r="X33" s="3173"/>
    </row>
    <row r="34" spans="1:24" s="1029" customFormat="1" ht="24" customHeight="1" thickBot="1">
      <c r="A34" s="104"/>
      <c r="B34" s="3308"/>
      <c r="C34" s="4776" t="s">
        <v>4441</v>
      </c>
      <c r="D34" s="5319"/>
      <c r="E34" s="5319"/>
      <c r="F34" s="5320"/>
      <c r="G34" s="5320"/>
      <c r="H34" s="4275"/>
      <c r="I34" s="4777" t="s">
        <v>4442</v>
      </c>
      <c r="J34" s="1046"/>
      <c r="K34" s="104"/>
      <c r="L34" s="396"/>
      <c r="M34" s="104"/>
      <c r="N34" s="3173"/>
      <c r="O34" s="3173"/>
      <c r="P34" s="3173"/>
      <c r="Q34" s="3173"/>
      <c r="R34" s="3173"/>
      <c r="S34" s="3173"/>
      <c r="T34" s="3173"/>
      <c r="U34" s="3173"/>
      <c r="V34" s="3173"/>
      <c r="W34" s="3173"/>
      <c r="X34" s="3173"/>
    </row>
    <row r="37" spans="1:24" ht="13.5" thickBot="1"/>
    <row r="38" spans="1:24">
      <c r="C38" s="5243"/>
    </row>
    <row r="39" spans="1:24">
      <c r="C39" s="5239" t="s">
        <v>5009</v>
      </c>
    </row>
    <row r="40" spans="1:24" ht="13.5" thickBot="1">
      <c r="C40" s="5244"/>
    </row>
    <row r="43" spans="1:24">
      <c r="C43" s="1039"/>
    </row>
  </sheetData>
  <sheetProtection password="F07E" sheet="1" objects="1" scenarios="1"/>
  <mergeCells count="11">
    <mergeCell ref="C24:G24"/>
    <mergeCell ref="D34:G34"/>
    <mergeCell ref="D17:E17"/>
    <mergeCell ref="G17:I17"/>
    <mergeCell ref="D29:E29"/>
    <mergeCell ref="D30:E30"/>
    <mergeCell ref="D31:E31"/>
    <mergeCell ref="D32:E32"/>
    <mergeCell ref="G29:I29"/>
    <mergeCell ref="G30:I31"/>
    <mergeCell ref="C23:G23"/>
  </mergeCells>
  <phoneticPr fontId="0" type="noConversion"/>
  <conditionalFormatting sqref="C28">
    <cfRule type="expression" dxfId="3028" priority="10" stopIfTrue="1">
      <formula>I28</formula>
    </cfRule>
  </conditionalFormatting>
  <conditionalFormatting sqref="D3:D4">
    <cfRule type="expression" dxfId="3027" priority="9">
      <formula>IF(NoColor,1,0)</formula>
    </cfRule>
  </conditionalFormatting>
  <conditionalFormatting sqref="D8:D9">
    <cfRule type="expression" dxfId="3026" priority="7">
      <formula>IF(NoColor,1,0)</formula>
    </cfRule>
  </conditionalFormatting>
  <conditionalFormatting sqref="D6">
    <cfRule type="expression" dxfId="3025" priority="6">
      <formula>IF(NoColor,1,0)</formula>
    </cfRule>
  </conditionalFormatting>
  <conditionalFormatting sqref="D11">
    <cfRule type="expression" dxfId="3024" priority="5">
      <formula>IF(NoColor,1,0)</formula>
    </cfRule>
  </conditionalFormatting>
  <hyperlinks>
    <hyperlink ref="C39" location="'Table of Contents'!A1" display="Table of Contents"/>
  </hyperlinks>
  <printOptions gridLines="1" gridLinesSet="0"/>
  <pageMargins left="0.51" right="0.35" top="0.77" bottom="0.52" header="0.4" footer="0.3"/>
  <pageSetup scale="75" fitToHeight="0" orientation="portrait" horizontalDpi="360" verticalDpi="360"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BT115"/>
  <sheetViews>
    <sheetView zoomScaleNormal="100" zoomScaleSheetLayoutView="100" workbookViewId="0">
      <selection activeCell="D5" sqref="D5"/>
    </sheetView>
  </sheetViews>
  <sheetFormatPr defaultRowHeight="12.75"/>
  <cols>
    <col min="1" max="1" width="3" customWidth="1"/>
    <col min="2" max="2" width="2.5703125" customWidth="1"/>
    <col min="3" max="3" width="13.7109375" customWidth="1"/>
    <col min="4" max="4" width="3.5703125" customWidth="1"/>
    <col min="5" max="5" width="2.85546875" customWidth="1"/>
    <col min="6" max="6" width="2.5703125" customWidth="1"/>
    <col min="7" max="7" width="9" customWidth="1"/>
    <col min="8" max="8" width="4.42578125" customWidth="1"/>
    <col min="9" max="9" width="3.140625" customWidth="1"/>
    <col min="10" max="10" width="4.7109375" customWidth="1"/>
    <col min="11" max="11" width="3.140625" customWidth="1"/>
    <col min="12" max="12" width="2.7109375" customWidth="1"/>
    <col min="13" max="13" width="5.5703125" customWidth="1"/>
    <col min="14" max="14" width="3.85546875" customWidth="1"/>
    <col min="15" max="15" width="3.5703125" customWidth="1"/>
    <col min="16" max="16" width="2.7109375" customWidth="1"/>
    <col min="17" max="17" width="2.85546875" customWidth="1"/>
    <col min="18" max="18" width="5.140625" customWidth="1"/>
    <col min="19" max="19" width="3.5703125" customWidth="1"/>
    <col min="20" max="20" width="4.28515625" customWidth="1"/>
    <col min="21" max="21" width="2.42578125" customWidth="1"/>
    <col min="22" max="22" width="2.85546875" customWidth="1"/>
    <col min="23" max="23" width="3.7109375" customWidth="1"/>
    <col min="24" max="24" width="6.28515625" customWidth="1"/>
    <col min="25" max="25" width="3" customWidth="1"/>
    <col min="26" max="26" width="3.7109375" customWidth="1"/>
    <col min="27" max="27" width="4.5703125" customWidth="1"/>
    <col min="28" max="28" width="3.28515625" customWidth="1"/>
    <col min="29" max="30" width="3" customWidth="1"/>
    <col min="31" max="31" width="3.5703125" customWidth="1"/>
    <col min="32" max="32" width="4.42578125" customWidth="1"/>
    <col min="33" max="33" width="4" customWidth="1"/>
    <col min="34" max="34" width="2.85546875" customWidth="1"/>
    <col min="35" max="35" width="10.140625" customWidth="1"/>
    <col min="36" max="36" width="2.85546875" customWidth="1"/>
    <col min="37" max="37" width="10.85546875" customWidth="1"/>
    <col min="38" max="40" width="15.85546875" customWidth="1"/>
    <col min="41" max="41" width="8.140625" customWidth="1"/>
    <col min="42" max="42" width="10.85546875" customWidth="1"/>
    <col min="43" max="43" width="11" customWidth="1"/>
    <col min="44" max="44" width="9.28515625" customWidth="1"/>
    <col min="45" max="45" width="2.42578125" customWidth="1"/>
    <col min="46" max="48" width="9.28515625" hidden="1" customWidth="1"/>
    <col min="49" max="58" width="11.5703125" hidden="1" customWidth="1"/>
    <col min="59" max="59" width="9.140625" customWidth="1"/>
    <col min="60" max="60" width="13.140625" style="4352" customWidth="1"/>
    <col min="61" max="72" width="9.140625" style="4351"/>
  </cols>
  <sheetData>
    <row r="1" spans="1:72" ht="15" customHeight="1">
      <c r="A1" s="635"/>
      <c r="B1" s="635"/>
      <c r="C1" s="2329">
        <f>RevDateTime</f>
        <v>43926.614583333336</v>
      </c>
      <c r="D1" s="81"/>
      <c r="E1" s="82"/>
      <c r="F1" s="853" t="s">
        <v>349</v>
      </c>
      <c r="G1" s="854"/>
      <c r="H1" s="854"/>
      <c r="I1" s="854"/>
      <c r="J1" s="854"/>
      <c r="K1" s="854"/>
      <c r="L1" s="854"/>
      <c r="M1" s="854"/>
      <c r="N1" s="854"/>
      <c r="O1" s="854"/>
      <c r="P1" s="855"/>
      <c r="Q1" s="855"/>
      <c r="R1" s="855"/>
      <c r="S1" s="855"/>
      <c r="T1" s="856"/>
      <c r="U1" s="856"/>
      <c r="V1" s="856"/>
      <c r="W1" s="856"/>
      <c r="X1" s="856"/>
      <c r="Y1" s="84"/>
      <c r="Z1" s="84"/>
      <c r="AA1" s="84"/>
      <c r="AB1" s="85"/>
      <c r="AC1" s="85"/>
      <c r="AD1" s="85"/>
      <c r="AE1" s="85"/>
      <c r="AF1" s="85"/>
      <c r="AG1" s="86"/>
      <c r="AH1" s="87"/>
      <c r="AI1" s="3846">
        <f>IF(File_Single&lt;&gt;"",1,0)</f>
        <v>0</v>
      </c>
      <c r="AJ1" s="1443"/>
      <c r="AK1" s="1443"/>
      <c r="AL1" s="1443"/>
      <c r="AM1" s="1443"/>
      <c r="AN1" s="1443"/>
      <c r="AO1" s="1443"/>
      <c r="AP1" s="1443"/>
      <c r="AQ1" s="1443"/>
      <c r="AR1" s="1443"/>
      <c r="AS1" s="1443"/>
      <c r="AT1" s="1443"/>
      <c r="AU1" s="1443"/>
      <c r="AV1" s="1443"/>
      <c r="AW1" s="4030" t="s">
        <v>1584</v>
      </c>
      <c r="AX1" s="4915" t="s">
        <v>3276</v>
      </c>
      <c r="AY1" s="2753" t="b">
        <f>(AW1&lt;&gt;"")</f>
        <v>1</v>
      </c>
      <c r="AZ1" s="1443"/>
      <c r="BA1" s="1443"/>
      <c r="BB1" s="1443"/>
      <c r="BC1" s="1443"/>
      <c r="BD1" s="1443"/>
      <c r="BE1" s="1443"/>
      <c r="BF1" s="1408"/>
      <c r="BG1" s="1408"/>
      <c r="BH1" s="4445" t="s">
        <v>2552</v>
      </c>
      <c r="BI1" s="3169"/>
      <c r="BJ1" s="3169"/>
      <c r="BK1" s="3169"/>
      <c r="BL1" s="3169"/>
      <c r="BM1" s="3169"/>
      <c r="BN1" s="3169"/>
      <c r="BO1" s="3169"/>
      <c r="BP1" s="3169"/>
      <c r="BQ1" s="3169"/>
      <c r="BR1" s="3169"/>
      <c r="BS1" s="3169"/>
      <c r="BT1" s="3169"/>
    </row>
    <row r="2" spans="1:72" ht="15.75" customHeight="1" thickBot="1">
      <c r="A2" s="635"/>
      <c r="B2" s="635"/>
      <c r="C2" s="1927">
        <f>RevDateTime</f>
        <v>43926.614583333336</v>
      </c>
      <c r="D2" s="81"/>
      <c r="E2" s="82"/>
      <c r="F2" s="5526" t="s">
        <v>259</v>
      </c>
      <c r="G2" s="5527"/>
      <c r="H2" s="5527"/>
      <c r="I2" s="5527"/>
      <c r="J2" s="5527"/>
      <c r="K2" s="5527"/>
      <c r="L2" s="5527"/>
      <c r="M2" s="5527"/>
      <c r="N2" s="5527"/>
      <c r="O2" s="5527"/>
      <c r="P2" s="855"/>
      <c r="Q2" s="855"/>
      <c r="R2" s="855"/>
      <c r="S2" s="285"/>
      <c r="T2" s="83"/>
      <c r="U2" s="83"/>
      <c r="V2" s="83"/>
      <c r="W2" s="83"/>
      <c r="X2" s="558"/>
      <c r="Y2" s="669"/>
      <c r="Z2" s="669"/>
      <c r="AA2" s="669"/>
      <c r="AB2" s="669"/>
      <c r="AC2" s="669"/>
      <c r="AD2" s="669"/>
      <c r="AE2" s="669"/>
      <c r="AF2" s="669"/>
      <c r="AG2" s="86" t="s">
        <v>4624</v>
      </c>
      <c r="AH2" s="669"/>
      <c r="AI2" s="3846">
        <f>IF(File_Marr_Joint&lt;&gt;"",1,0)</f>
        <v>0</v>
      </c>
      <c r="AJ2" s="4071"/>
      <c r="AK2" s="4742" t="s">
        <v>4366</v>
      </c>
      <c r="AL2" s="4078"/>
      <c r="AM2" s="4078"/>
      <c r="AN2" s="4078"/>
      <c r="AO2" s="2772" t="b">
        <f>(AJ2&lt;&gt;"")</f>
        <v>0</v>
      </c>
      <c r="AP2" s="4078"/>
      <c r="AQ2" s="4078"/>
      <c r="AR2" s="4078"/>
      <c r="AS2" s="4078"/>
      <c r="AT2" s="4078"/>
      <c r="AU2" s="4078"/>
      <c r="AV2" s="4078"/>
      <c r="AW2" s="4077">
        <f>DATEVALUE("1-JAN-"&amp;TaxYear)</f>
        <v>43101</v>
      </c>
      <c r="AX2" s="1607" t="b">
        <f>IF(AZ2&gt;365,TRUE,FALSE)</f>
        <v>0</v>
      </c>
      <c r="AY2" s="4077">
        <f>DATEVALUE("1-JAN-"&amp;TaxYear+1)-1</f>
        <v>43465</v>
      </c>
      <c r="AZ2" s="1607">
        <f>EndOfTaxYear+1-BeginningOfTaxYear</f>
        <v>365</v>
      </c>
      <c r="BA2" s="1443"/>
      <c r="BB2" s="2532" t="s">
        <v>1362</v>
      </c>
      <c r="BC2" s="2532" t="s">
        <v>1363</v>
      </c>
      <c r="BD2" s="2532" t="s">
        <v>3838</v>
      </c>
      <c r="BE2" s="2532" t="s">
        <v>3839</v>
      </c>
      <c r="BF2" s="2532" t="s">
        <v>3840</v>
      </c>
      <c r="BG2" s="1408"/>
      <c r="BH2" s="4446" t="s">
        <v>123</v>
      </c>
      <c r="BI2" s="3169"/>
      <c r="BJ2" s="3169"/>
      <c r="BK2" s="3169"/>
      <c r="BL2" s="3169"/>
      <c r="BM2" s="3169"/>
      <c r="BN2" s="3169"/>
      <c r="BO2" s="3169"/>
      <c r="BP2" s="3169"/>
      <c r="BQ2" s="3169"/>
      <c r="BR2" s="3169"/>
      <c r="BS2" s="3169"/>
      <c r="BT2" s="3169"/>
    </row>
    <row r="3" spans="1:72" ht="16.5" customHeight="1">
      <c r="A3" s="635"/>
      <c r="B3" s="5530" t="s">
        <v>331</v>
      </c>
      <c r="C3" s="5532" t="s">
        <v>3408</v>
      </c>
      <c r="D3" s="5533"/>
      <c r="E3" s="1465" t="str">
        <f>IF(FilingStatusError,"Please check only ONE filing status box.","Department of the Treasury––Internal Revenue Service            (99)")</f>
        <v>Department of the Treasury––Internal Revenue Service            (99)</v>
      </c>
      <c r="F3" s="1465"/>
      <c r="G3" s="1466"/>
      <c r="H3" s="1466"/>
      <c r="I3" s="1466"/>
      <c r="J3" s="1466"/>
      <c r="K3" s="1466"/>
      <c r="L3" s="1466"/>
      <c r="M3" s="1466"/>
      <c r="N3" s="1466"/>
      <c r="O3" s="1467"/>
      <c r="P3" s="1467"/>
      <c r="Q3" s="5549">
        <v>2018</v>
      </c>
      <c r="R3" s="5550"/>
      <c r="S3" s="5550"/>
      <c r="T3" s="5551"/>
      <c r="U3" s="5375"/>
      <c r="V3" s="5376"/>
      <c r="W3" s="5376"/>
      <c r="X3" s="5377"/>
      <c r="Y3" s="5535"/>
      <c r="Z3" s="5536"/>
      <c r="AA3" s="5536"/>
      <c r="AB3" s="5536"/>
      <c r="AC3" s="5536"/>
      <c r="AD3" s="5536"/>
      <c r="AE3" s="5536"/>
      <c r="AF3" s="5536"/>
      <c r="AG3" s="5536"/>
      <c r="AH3" s="695"/>
      <c r="AI3" s="3846">
        <f>IF(File_Marr_Sep&lt;&gt;"",1,0)</f>
        <v>0</v>
      </c>
      <c r="AJ3" s="4071"/>
      <c r="AK3" s="4742" t="s">
        <v>5073</v>
      </c>
      <c r="AL3" s="1616"/>
      <c r="AM3" s="1616"/>
      <c r="AN3" s="4077"/>
      <c r="AO3" s="2772" t="b">
        <f>(AJ3&lt;&gt;"")</f>
        <v>0</v>
      </c>
      <c r="AP3" s="1443"/>
      <c r="AQ3" s="1443"/>
      <c r="AR3" s="1443"/>
      <c r="AS3" s="1443"/>
      <c r="AT3" s="1443"/>
      <c r="AU3" s="1443"/>
      <c r="AV3" s="1443"/>
      <c r="AW3" s="1443"/>
      <c r="AX3" s="1443"/>
      <c r="AY3" s="1443"/>
      <c r="AZ3" s="1443"/>
      <c r="BA3" s="1443"/>
      <c r="BB3" s="2856" t="b">
        <f>IF(ISERROR(FIND("ALASKA",B16)),FALSE,TRUE)</f>
        <v>0</v>
      </c>
      <c r="BC3" s="2857" t="b">
        <f>IF(ISERROR(FIND("HAWAII",B16)),FALSE,TRUE)</f>
        <v>0</v>
      </c>
      <c r="BD3" s="2857" t="b">
        <f>IF(ISERROR(FIND("MAINE",B16)),FALSE,TRUE)</f>
        <v>0</v>
      </c>
      <c r="BE3" s="2857" t="b">
        <f>IF(ISERROR(FIND("MASSACHUSETTS",B16)),FALSE,TRUE)</f>
        <v>0</v>
      </c>
      <c r="BF3" s="2857" t="b">
        <f>IF(ISERROR(FIND("DISTRICT",B16)),FALSE,TRUE)</f>
        <v>0</v>
      </c>
      <c r="BG3" s="1408"/>
      <c r="BH3" s="4447"/>
      <c r="BI3" s="3169"/>
      <c r="BJ3" s="3169"/>
      <c r="BK3" s="3169"/>
      <c r="BL3" s="3169"/>
      <c r="BM3" s="3169"/>
      <c r="BN3" s="3169"/>
      <c r="BO3" s="3169"/>
      <c r="BP3" s="3169"/>
      <c r="BQ3" s="3169"/>
      <c r="BR3" s="3169"/>
      <c r="BS3" s="3169"/>
      <c r="BT3" s="3169"/>
    </row>
    <row r="4" spans="1:72" ht="21" customHeight="1" thickBot="1">
      <c r="A4" s="635"/>
      <c r="B4" s="5531"/>
      <c r="C4" s="5534"/>
      <c r="D4" s="5534"/>
      <c r="E4" s="4204" t="s">
        <v>3492</v>
      </c>
      <c r="F4" s="3815"/>
      <c r="G4" s="3815"/>
      <c r="H4" s="3815"/>
      <c r="I4" s="3815"/>
      <c r="J4" s="3815"/>
      <c r="K4" s="3815"/>
      <c r="L4" s="3815"/>
      <c r="M4" s="3815"/>
      <c r="N4" s="3815"/>
      <c r="O4" s="3815"/>
      <c r="P4" s="3815"/>
      <c r="Q4" s="5552"/>
      <c r="R4" s="5553"/>
      <c r="S4" s="5553"/>
      <c r="T4" s="5554"/>
      <c r="U4" s="5546" t="s">
        <v>169</v>
      </c>
      <c r="V4" s="5547"/>
      <c r="W4" s="5547"/>
      <c r="X4" s="5548"/>
      <c r="Y4" s="5544" t="str">
        <f>IF(FilingStatusError,"Check only ONE filing status block","IRS Use Only—Do not write or staple in this space.")</f>
        <v>IRS Use Only—Do not write or staple in this space.</v>
      </c>
      <c r="Z4" s="5545"/>
      <c r="AA4" s="5545"/>
      <c r="AB4" s="5545"/>
      <c r="AC4" s="5545"/>
      <c r="AD4" s="5545"/>
      <c r="AE4" s="5545"/>
      <c r="AF4" s="5545"/>
      <c r="AG4" s="5545"/>
      <c r="AH4" s="696"/>
      <c r="AI4" s="3846">
        <f>IF(File_Head&lt;&gt;"",1,0)</f>
        <v>0</v>
      </c>
      <c r="AJ4" s="4072" t="s">
        <v>3097</v>
      </c>
      <c r="AK4" s="4073"/>
      <c r="AL4" s="4074"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Filing status not indicated.</v>
      </c>
      <c r="AM4" s="3920"/>
      <c r="AN4" s="1443"/>
      <c r="AO4" s="1443"/>
      <c r="AP4" s="1443"/>
      <c r="AQ4" s="1443"/>
      <c r="AR4" s="1443"/>
      <c r="AS4" s="1443"/>
      <c r="AT4" s="1443"/>
      <c r="AU4" s="1443"/>
      <c r="AV4" s="1443"/>
      <c r="AW4" s="1443"/>
      <c r="AX4" s="1443"/>
      <c r="AY4" s="1443"/>
      <c r="AZ4" s="1443"/>
      <c r="BA4" s="1443"/>
      <c r="BB4" s="2858" t="b">
        <f>IF(ISERROR(FIND(", AK",B16)),FALSE,TRUE)</f>
        <v>0</v>
      </c>
      <c r="BC4" s="2859" t="b">
        <f>IF(ISERROR(FIND(", HI",B16)),FALSE,TRUE)</f>
        <v>0</v>
      </c>
      <c r="BD4" s="2859" t="b">
        <f>IF(ISERROR(FIND(", ME",B16)),FALSE,TRUE)</f>
        <v>0</v>
      </c>
      <c r="BE4" s="2859" t="b">
        <f>IF(ISERROR(FIND(", MA",B16)),FALSE,TRUE)</f>
        <v>0</v>
      </c>
      <c r="BF4" s="2859" t="b">
        <f>IF(ISERROR(FIND(", DC",B16)),FALSE,TRUE)</f>
        <v>0</v>
      </c>
      <c r="BG4" s="1408"/>
      <c r="BH4" s="4447"/>
      <c r="BI4" s="3169"/>
      <c r="BJ4" s="3169"/>
      <c r="BK4" s="3169"/>
      <c r="BL4" s="3169"/>
      <c r="BM4" s="3169"/>
      <c r="BN4" s="3169"/>
      <c r="BO4" s="3169"/>
      <c r="BP4" s="3169"/>
      <c r="BQ4" s="3169"/>
      <c r="BR4" s="3169"/>
      <c r="BS4" s="3169"/>
      <c r="BT4" s="3169"/>
    </row>
    <row r="5" spans="1:72" ht="14.25" customHeight="1" thickTop="1">
      <c r="A5" s="635"/>
      <c r="B5" s="4031"/>
      <c r="C5" s="4031" t="s">
        <v>3277</v>
      </c>
      <c r="D5" s="1444"/>
      <c r="E5" s="4031" t="s">
        <v>77</v>
      </c>
      <c r="F5" s="4031"/>
      <c r="G5" s="4031"/>
      <c r="H5" s="1444"/>
      <c r="I5" s="4031" t="s">
        <v>539</v>
      </c>
      <c r="J5" s="4031"/>
      <c r="K5" s="4031"/>
      <c r="L5" s="4031"/>
      <c r="M5" s="4031"/>
      <c r="N5" s="1444"/>
      <c r="O5" s="4031" t="s">
        <v>309</v>
      </c>
      <c r="P5" s="4031"/>
      <c r="Q5" s="4031"/>
      <c r="R5" s="4031"/>
      <c r="S5" s="4031"/>
      <c r="T5" s="1444"/>
      <c r="U5" s="4032" t="s">
        <v>2332</v>
      </c>
      <c r="V5" s="4032"/>
      <c r="W5" s="4032"/>
      <c r="X5" s="4032"/>
      <c r="Y5" s="4031"/>
      <c r="Z5" s="4052"/>
      <c r="AA5" s="5395" t="str">
        <f>IF(AND(File_Marr_Sep&lt;&gt;"",AL7=""),"Enter spouse's name at right.",IF(AND(File_Marr_Sep&lt;&gt;"",AL7&lt;&gt;""),"  "&amp;AL7,"Qualifying Widow(er)"))</f>
        <v>Qualifying Widow(er)</v>
      </c>
      <c r="AB5" s="5396"/>
      <c r="AC5" s="5396"/>
      <c r="AD5" s="5396"/>
      <c r="AE5" s="5396"/>
      <c r="AF5" s="5396"/>
      <c r="AG5" s="5396"/>
      <c r="AH5" s="696"/>
      <c r="AI5" s="3846">
        <f>IF(File_Qual_Widow&lt;&gt;"",1,0)</f>
        <v>0</v>
      </c>
      <c r="AJ5" s="4066"/>
      <c r="AK5" s="4065" t="str">
        <f>IF(File_Marr_Sep&lt;&gt;"","Yes.      Did you live apart from your spouse for all of "&amp;TEXT(TaxYear,"0")&amp;"?","")</f>
        <v/>
      </c>
      <c r="AL5" s="3959"/>
      <c r="AM5" s="1443"/>
      <c r="AN5" s="1443"/>
      <c r="AO5" s="1616" t="b">
        <f>AND(File_Marr_Sep&lt;&gt;"",OR(AJ5&lt;&gt;"",AJ6&lt;&gt;""),NOT(AND(AJ5&lt;&gt;"",AJ6&lt;&gt;"")))</f>
        <v>0</v>
      </c>
      <c r="AP5" s="1443"/>
      <c r="AQ5" s="1443"/>
      <c r="AR5" s="1443"/>
      <c r="AS5" s="1443"/>
      <c r="AT5" s="1443"/>
      <c r="AU5" s="1443"/>
      <c r="AV5" s="1443"/>
      <c r="AW5" s="1443"/>
      <c r="AX5" s="1443"/>
      <c r="AY5" s="1443"/>
      <c r="AZ5" s="1443"/>
      <c r="BA5" s="1443"/>
      <c r="BB5" s="2860" t="b">
        <f>IF(ISERROR(FIND("Alaska",B16)),FALSE,TRUE)</f>
        <v>0</v>
      </c>
      <c r="BC5" s="2861" t="b">
        <f>IF(ISERROR(FIND("Hawaii",B16)),FALSE,TRUE)</f>
        <v>0</v>
      </c>
      <c r="BD5" s="2861" t="b">
        <f>IF(ISERROR(FIND("Maine",B16)),FALSE,TRUE)</f>
        <v>0</v>
      </c>
      <c r="BE5" s="2861" t="b">
        <f>IF(ISERROR(FIND("Massachusetts",B16)),FALSE,TRUE)</f>
        <v>0</v>
      </c>
      <c r="BF5" s="2861" t="b">
        <f>IF(ISERROR(FIND("D.C.",B16)),FALSE,TRUE)</f>
        <v>0</v>
      </c>
      <c r="BG5" s="1408"/>
      <c r="BH5" s="4447"/>
      <c r="BI5" s="3169"/>
      <c r="BJ5" s="3169"/>
      <c r="BK5" s="3169"/>
      <c r="BL5" s="3169"/>
      <c r="BM5" s="3169"/>
      <c r="BN5" s="3169"/>
      <c r="BO5" s="3169"/>
      <c r="BP5" s="3169"/>
      <c r="BQ5" s="3169"/>
      <c r="BR5" s="3169"/>
      <c r="BS5" s="3169"/>
      <c r="BT5" s="3169"/>
    </row>
    <row r="6" spans="1:72" ht="14.25" customHeight="1" thickBot="1">
      <c r="A6" s="635"/>
      <c r="B6" s="24"/>
      <c r="C6" s="32" t="s">
        <v>532</v>
      </c>
      <c r="D6" s="3814"/>
      <c r="E6" s="24"/>
      <c r="F6" s="32"/>
      <c r="G6" s="501"/>
      <c r="H6" s="501"/>
      <c r="I6" s="501"/>
      <c r="J6" s="32"/>
      <c r="K6" s="501"/>
      <c r="L6" s="37" t="str">
        <f>IF(AND(File_Marr_Sep&lt;&gt;"",OR(NOT(LivedApartAnswered),AL7="")),"Please answer important questions at right regarding your spouse.","   Last name")</f>
        <v xml:space="preserve">   Last name</v>
      </c>
      <c r="M6" s="501"/>
      <c r="N6" s="501"/>
      <c r="O6" s="32"/>
      <c r="P6" s="501"/>
      <c r="Q6" s="501"/>
      <c r="R6" s="501"/>
      <c r="S6" s="32"/>
      <c r="T6" s="32"/>
      <c r="U6" s="32"/>
      <c r="V6" s="501"/>
      <c r="W6" s="501"/>
      <c r="X6" s="501"/>
      <c r="Y6" s="5405" t="s">
        <v>99</v>
      </c>
      <c r="Z6" s="5406"/>
      <c r="AA6" s="5407"/>
      <c r="AB6" s="5407"/>
      <c r="AC6" s="5407"/>
      <c r="AD6" s="5407"/>
      <c r="AE6" s="5407"/>
      <c r="AF6" s="5407"/>
      <c r="AG6" s="5407"/>
      <c r="AH6" s="82"/>
      <c r="AI6" s="3846">
        <f>SUM(AI1:AI5)</f>
        <v>0</v>
      </c>
      <c r="AJ6" s="4066"/>
      <c r="AK6" s="4065" t="str">
        <f>IF(OR(AND(AJ5&lt;&gt;"",AJ6&lt;&gt;""),AND(File_Marr_Sep&lt;&gt;"",AJ5="",AJ6="")),"No.       Please check ONE box.",IF(File_Marr_Sep&lt;&gt;"","No.",""))</f>
        <v/>
      </c>
      <c r="AL6" s="1616"/>
      <c r="AM6" s="1443"/>
      <c r="AN6" s="1443"/>
      <c r="AO6" s="1616" t="b">
        <f>AND(File_Marr_Sep,AJ5&lt;&gt;"",AJ6="")</f>
        <v>0</v>
      </c>
      <c r="AP6" s="2772" t="b">
        <f>AND(DependentYOU="",OR(File_Single&lt;&gt;"",File_Marr_Joint&lt;&gt;"",File_Marr_Sep&lt;&gt;"",File_Head&lt;&gt;"",File_Qual_Widow&lt;&gt;""))</f>
        <v>0</v>
      </c>
      <c r="AQ6" s="1443"/>
      <c r="AR6" s="1443"/>
      <c r="AS6" s="1443"/>
      <c r="AT6" s="1443"/>
      <c r="AU6" s="1443"/>
      <c r="AV6" s="1443"/>
      <c r="AW6" s="1443"/>
      <c r="AX6" s="1443"/>
      <c r="AY6" s="1443"/>
      <c r="AZ6" s="1443"/>
      <c r="BA6" s="1443"/>
      <c r="BB6" s="2862" t="b">
        <f>OR(BB3,BB4,BB5)</f>
        <v>0</v>
      </c>
      <c r="BC6" s="2863" t="b">
        <f>OR(BC3,BC4,BC5)</f>
        <v>0</v>
      </c>
      <c r="BD6" s="2863" t="b">
        <f>OR(BD3,BD4,BD5)</f>
        <v>0</v>
      </c>
      <c r="BE6" s="2863" t="b">
        <f>OR(BE3,BE4,BE5)</f>
        <v>0</v>
      </c>
      <c r="BF6" s="2863" t="b">
        <f>OR(BF3,BF4,BF5)</f>
        <v>0</v>
      </c>
      <c r="BG6" s="1408"/>
      <c r="BH6" s="4447"/>
      <c r="BI6" s="3169"/>
      <c r="BJ6" s="3169"/>
      <c r="BK6" s="3169"/>
      <c r="BL6" s="3169"/>
      <c r="BM6" s="3169"/>
      <c r="BN6" s="3169"/>
      <c r="BO6" s="3169"/>
      <c r="BP6" s="3169"/>
      <c r="BQ6" s="3169"/>
      <c r="BR6" s="3169"/>
      <c r="BS6" s="3169"/>
      <c r="BT6" s="3169"/>
    </row>
    <row r="7" spans="1:72" ht="17.25" customHeight="1">
      <c r="A7" s="635"/>
      <c r="B7" s="5426"/>
      <c r="C7" s="5426"/>
      <c r="D7" s="5427"/>
      <c r="E7" s="5427"/>
      <c r="F7" s="5427"/>
      <c r="G7" s="5427"/>
      <c r="H7" s="5427"/>
      <c r="I7" s="5427"/>
      <c r="J7" s="5428"/>
      <c r="K7" s="5429"/>
      <c r="L7" s="5412"/>
      <c r="M7" s="5413"/>
      <c r="N7" s="5413"/>
      <c r="O7" s="5413"/>
      <c r="P7" s="5413"/>
      <c r="Q7" s="5413"/>
      <c r="R7" s="5413"/>
      <c r="S7" s="5413"/>
      <c r="T7" s="5413"/>
      <c r="U7" s="5413"/>
      <c r="V7" s="5413"/>
      <c r="W7" s="5413"/>
      <c r="X7" s="5414"/>
      <c r="Y7" s="5403"/>
      <c r="Z7" s="5404"/>
      <c r="AA7" s="5404"/>
      <c r="AB7" s="5404"/>
      <c r="AC7" s="5404"/>
      <c r="AD7" s="5404"/>
      <c r="AE7" s="5404"/>
      <c r="AF7" s="5404"/>
      <c r="AG7" s="5404"/>
      <c r="AH7" s="51"/>
      <c r="AI7" s="3074" t="b">
        <f>NumFileStatusBoxes&gt;1</f>
        <v>0</v>
      </c>
      <c r="AJ7" s="4432"/>
      <c r="AK7" s="4433" t="str">
        <f>IF(File_Marr_Sep&lt;&gt;"","Spouse's name: ","")</f>
        <v/>
      </c>
      <c r="AL7" s="5555"/>
      <c r="AM7" s="5555"/>
      <c r="AN7" s="5555"/>
      <c r="AO7" s="1443"/>
      <c r="AP7" s="2772" t="b">
        <f>AND(DependentSPOUSE="",File_Marr_Joint&lt;&gt;"")</f>
        <v>0</v>
      </c>
      <c r="AQ7" s="1443"/>
      <c r="AR7" s="1443"/>
      <c r="AS7" s="1443"/>
      <c r="AT7" s="1443"/>
      <c r="AU7" s="1443"/>
      <c r="AV7" s="1443"/>
      <c r="AW7" s="1616"/>
      <c r="AX7" s="1616"/>
      <c r="AY7" s="1443"/>
      <c r="AZ7" s="1443"/>
      <c r="BA7" s="1443"/>
      <c r="BB7" s="1443"/>
      <c r="BC7" s="1443"/>
      <c r="BD7" s="1443"/>
      <c r="BE7" s="1443" t="b">
        <f>OR(BD6,BE6,BF6)</f>
        <v>0</v>
      </c>
      <c r="BF7" s="1408"/>
      <c r="BG7" s="1408"/>
      <c r="BH7" s="4447"/>
      <c r="BI7" s="3169"/>
      <c r="BJ7" s="3169"/>
      <c r="BK7" s="3169"/>
      <c r="BL7" s="3169"/>
      <c r="BM7" s="3169"/>
      <c r="BN7" s="3169"/>
      <c r="BO7" s="3169"/>
      <c r="BP7" s="3169"/>
      <c r="BQ7" s="3169"/>
      <c r="BR7" s="3169"/>
      <c r="BS7" s="3169"/>
      <c r="BT7" s="3169"/>
    </row>
    <row r="8" spans="1:72" ht="14.25" customHeight="1">
      <c r="A8" s="635"/>
      <c r="B8" s="3758"/>
      <c r="C8" s="4192"/>
      <c r="D8" s="4450" t="s">
        <v>3865</v>
      </c>
      <c r="E8" s="4192"/>
      <c r="F8" s="1444"/>
      <c r="G8" s="4192" t="s">
        <v>3092</v>
      </c>
      <c r="H8" s="3758"/>
      <c r="I8" s="3758"/>
      <c r="J8" s="3758"/>
      <c r="K8" s="3758"/>
      <c r="L8" s="3758"/>
      <c r="M8" s="3758"/>
      <c r="N8" s="2636" t="str">
        <f>IF(BadBirthdate_Yours,"",IF(YourBirthDate&lt;$AX$62,"X",""))</f>
        <v/>
      </c>
      <c r="O8" s="5421" t="str">
        <f>IF(AND(Name_1st_Yours&lt;&gt;"",NOT($AW$11)),"Enter your birthdate (in box at right).","You were born before January 2, "&amp;TaxYear-64)</f>
        <v>You were born before January 2, 1954</v>
      </c>
      <c r="P8" s="5422"/>
      <c r="Q8" s="5422"/>
      <c r="R8" s="5422"/>
      <c r="S8" s="5422"/>
      <c r="T8" s="5422"/>
      <c r="U8" s="5422"/>
      <c r="V8" s="5422"/>
      <c r="W8" s="5422"/>
      <c r="X8" s="5422"/>
      <c r="Y8" s="5423"/>
      <c r="Z8" s="1444"/>
      <c r="AA8" s="3816" t="s">
        <v>3093</v>
      </c>
      <c r="AB8" s="3758"/>
      <c r="AC8" s="3758"/>
      <c r="AD8" s="3758"/>
      <c r="AE8" s="3758"/>
      <c r="AF8" s="3758"/>
      <c r="AG8" s="3758"/>
      <c r="AH8" s="686"/>
      <c r="AI8" s="2772" t="b">
        <f>(NumFileStatusBoxes&gt;1)</f>
        <v>0</v>
      </c>
      <c r="AJ8" s="1616"/>
      <c r="AK8" s="2772" t="b">
        <f>IF(AND(OR(File_Single&lt;&gt;"",File_Head&lt;&gt;""),OR(sp_over_64&lt;&gt;"",sp_blind&lt;&gt;"",DependentSPOUSE&lt;&gt;"",Dual_Status_Alien&lt;&gt;"")),TRUE,FALSE)</f>
        <v>0</v>
      </c>
      <c r="AL8" s="1616" t="str">
        <f>IF(AND(Name_1st_Yours&lt;&gt;"",Name_1st_Sp&lt;&gt;""),Name_1st_Yours&amp;" "&amp;Name_Last_Yours&amp;" &amp; "&amp;Name_1st_Sp&amp;" "&amp;Name_Last_Sp,IF(Name_Last_Yours&lt;&gt;"",Name_1st_Yours&amp;" "&amp;Name_Last_Yours,""))</f>
        <v/>
      </c>
      <c r="AM8" s="1443"/>
      <c r="AN8" s="1443"/>
      <c r="AO8" s="1443"/>
      <c r="AP8" s="1443"/>
      <c r="AQ8" s="1443"/>
      <c r="AR8" s="1443"/>
      <c r="AS8" s="1443"/>
      <c r="AT8" s="1443"/>
      <c r="AU8" s="1443"/>
      <c r="AV8" s="1443"/>
      <c r="AW8" s="1443"/>
      <c r="AX8" s="1616"/>
      <c r="AY8" s="1616"/>
      <c r="AZ8" s="1443"/>
      <c r="BA8" s="1443"/>
      <c r="BB8" s="1443"/>
      <c r="BC8" s="1443"/>
      <c r="BD8" s="1443"/>
      <c r="BE8" s="4429" t="s">
        <v>3842</v>
      </c>
      <c r="BF8" s="1443"/>
      <c r="BG8" s="1408"/>
      <c r="BH8" s="4447"/>
      <c r="BI8" s="3169"/>
      <c r="BJ8" s="3169"/>
      <c r="BK8" s="3169"/>
      <c r="BL8" s="3169"/>
      <c r="BM8" s="3169"/>
      <c r="BN8" s="3169"/>
      <c r="BO8" s="3169"/>
      <c r="BP8" s="3169"/>
      <c r="BQ8" s="3169"/>
      <c r="BR8" s="3169"/>
      <c r="BS8" s="3169"/>
      <c r="BT8" s="3169"/>
    </row>
    <row r="9" spans="1:72" ht="17.25" customHeight="1" thickBot="1">
      <c r="A9" s="635"/>
      <c r="B9" s="1119"/>
      <c r="C9" s="40" t="s">
        <v>3094</v>
      </c>
      <c r="D9" s="1120"/>
      <c r="E9" s="58"/>
      <c r="F9" s="40"/>
      <c r="G9" s="40"/>
      <c r="H9" s="40"/>
      <c r="I9" s="399"/>
      <c r="J9" s="400"/>
      <c r="K9" s="399"/>
      <c r="L9" s="400" t="s">
        <v>195</v>
      </c>
      <c r="M9" s="40"/>
      <c r="N9" s="40"/>
      <c r="O9" s="40"/>
      <c r="P9" s="40"/>
      <c r="Q9" s="40"/>
      <c r="R9" s="40"/>
      <c r="S9" s="40"/>
      <c r="T9" s="40"/>
      <c r="U9" s="40"/>
      <c r="V9" s="40"/>
      <c r="W9" s="40"/>
      <c r="X9" s="399"/>
      <c r="Y9" s="5405" t="str">
        <f>IF(AND(File_Marr_Sep&lt;&gt;"",SS_Spouse=""),"Enter spouse's Soc. Sec. number","Spouse's social security number")</f>
        <v>Spouse's social security number</v>
      </c>
      <c r="Z9" s="5406"/>
      <c r="AA9" s="5407"/>
      <c r="AB9" s="5407"/>
      <c r="AC9" s="5407"/>
      <c r="AD9" s="5407"/>
      <c r="AE9" s="5407"/>
      <c r="AF9" s="5407"/>
      <c r="AG9" s="5407"/>
      <c r="AH9" s="51"/>
      <c r="AI9" s="2774" t="b">
        <f>IF(AND(OR(File_Single&lt;&gt;"",File_Head&lt;&gt;""),OR(sp_over_64&lt;&gt;"",sp_blind&lt;&gt;"")),TRUE,FALSE)</f>
        <v>0</v>
      </c>
      <c r="AJ9" s="1618"/>
      <c r="AK9" s="2774" t="b">
        <f>IF(OR(File_Marr_Joint&lt;&gt;"",File_Marr_Sep&lt;&gt;"",File_Qual_Widow&lt;&gt;""),TRUE,FALSE)</f>
        <v>0</v>
      </c>
      <c r="AL9" s="1616" t="str">
        <f>Name_1st_Yours&amp;" "&amp;Name_Last_Yours</f>
        <v xml:space="preserve"> </v>
      </c>
      <c r="AM9" s="1616" t="str">
        <f>Name_1st_Sp&amp;" "&amp;Name_Last_Sp</f>
        <v xml:space="preserve"> </v>
      </c>
      <c r="AN9" s="1443"/>
      <c r="AO9" s="1443"/>
      <c r="AP9" s="1443"/>
      <c r="AQ9" s="1443"/>
      <c r="AR9" s="1443"/>
      <c r="AS9" s="1443"/>
      <c r="AT9" s="1443"/>
      <c r="AU9" s="1443"/>
      <c r="AV9" s="1443"/>
      <c r="AW9" s="1607"/>
      <c r="AX9" s="1616"/>
      <c r="AY9" s="1443"/>
      <c r="AZ9" s="1443"/>
      <c r="BA9" s="1443"/>
      <c r="BB9" s="1443"/>
      <c r="BC9" s="1443"/>
      <c r="BD9" s="1443"/>
      <c r="BE9" s="1607" t="s">
        <v>3841</v>
      </c>
      <c r="BF9" s="1408"/>
      <c r="BH9" s="4447"/>
      <c r="BI9" s="3169"/>
      <c r="BJ9" s="3169"/>
      <c r="BK9" s="3169"/>
      <c r="BL9" s="3169"/>
      <c r="BM9" s="3169"/>
      <c r="BN9" s="3169"/>
      <c r="BO9" s="3169"/>
      <c r="BP9" s="3169"/>
      <c r="BQ9" s="3169"/>
      <c r="BR9" s="3169"/>
      <c r="BS9" s="3169"/>
      <c r="BT9" s="3169"/>
    </row>
    <row r="10" spans="1:72" ht="17.25" customHeight="1">
      <c r="A10" s="635"/>
      <c r="B10" s="5424"/>
      <c r="C10" s="5424"/>
      <c r="D10" s="5424"/>
      <c r="E10" s="5424"/>
      <c r="F10" s="5424"/>
      <c r="G10" s="5424"/>
      <c r="H10" s="5424"/>
      <c r="I10" s="5424"/>
      <c r="J10" s="5428"/>
      <c r="K10" s="5429"/>
      <c r="L10" s="5412"/>
      <c r="M10" s="5413"/>
      <c r="N10" s="5413"/>
      <c r="O10" s="5413"/>
      <c r="P10" s="5413"/>
      <c r="Q10" s="5413"/>
      <c r="R10" s="5413"/>
      <c r="S10" s="5413"/>
      <c r="T10" s="5413"/>
      <c r="U10" s="5413"/>
      <c r="V10" s="5413"/>
      <c r="W10" s="5413"/>
      <c r="X10" s="5414"/>
      <c r="Y10" s="5403"/>
      <c r="Z10" s="5404"/>
      <c r="AA10" s="5404"/>
      <c r="AB10" s="5404"/>
      <c r="AC10" s="5404"/>
      <c r="AD10" s="5404"/>
      <c r="AE10" s="5404"/>
      <c r="AF10" s="5404"/>
      <c r="AG10" s="5404"/>
      <c r="AH10" s="697"/>
      <c r="AI10" s="3074"/>
      <c r="AJ10" s="2535"/>
      <c r="AK10" s="2565" t="str">
        <f>IF(AND($AK$9,AW11,AW13),"Birthdates",IF($AK$9,"Enter your birthdate and your spouse's birthdate.",IF(AW11,"Birthdate","Enter your birthdate.")))</f>
        <v>Enter your birthdate.</v>
      </c>
      <c r="AL10" s="1605"/>
      <c r="AM10" s="1605"/>
      <c r="AN10" s="1605"/>
      <c r="AO10" s="1606"/>
      <c r="AP10" s="1443"/>
      <c r="AQ10" s="1443"/>
      <c r="AR10" s="1443"/>
      <c r="AS10" s="1443"/>
      <c r="AT10" s="2562">
        <f>IF(you_over_64&lt;&gt;"",1,0)</f>
        <v>0</v>
      </c>
      <c r="AU10" s="1443"/>
      <c r="AV10" s="1443"/>
      <c r="AW10" s="1616"/>
      <c r="AX10" s="1616"/>
      <c r="AY10" s="1443"/>
      <c r="AZ10" s="1443"/>
      <c r="BA10" s="1443"/>
      <c r="BB10" s="1443"/>
      <c r="BC10" s="1443"/>
      <c r="BD10" s="1443"/>
      <c r="BE10" s="1443"/>
      <c r="BF10" s="1443"/>
      <c r="BG10" s="1408"/>
      <c r="BH10" s="4447"/>
      <c r="BI10" s="3169"/>
      <c r="BJ10" s="3169"/>
      <c r="BK10" s="3169"/>
      <c r="BL10" s="3169"/>
      <c r="BM10" s="3169"/>
      <c r="BN10" s="3169"/>
      <c r="BO10" s="3169"/>
      <c r="BP10" s="3169"/>
      <c r="BQ10" s="3169"/>
      <c r="BR10" s="3169"/>
      <c r="BS10" s="3169"/>
      <c r="BT10" s="3169"/>
    </row>
    <row r="11" spans="1:72" ht="14.25" customHeight="1" thickBot="1">
      <c r="A11" s="635"/>
      <c r="B11" s="3758"/>
      <c r="C11" s="3816"/>
      <c r="D11" s="4449" t="s">
        <v>3866</v>
      </c>
      <c r="E11" s="3816"/>
      <c r="F11" s="1444"/>
      <c r="G11" s="3816" t="s">
        <v>3095</v>
      </c>
      <c r="H11" s="3758"/>
      <c r="I11" s="3758"/>
      <c r="J11" s="3758"/>
      <c r="K11" s="3758"/>
      <c r="L11" s="3758"/>
      <c r="M11" s="3758"/>
      <c r="N11" s="3758"/>
      <c r="O11" s="2636" t="str">
        <f>IF(OR(File_Single&lt;&gt;"",File_Head&lt;&gt;"",File_Marr_Sep&lt;&gt;"",BadBirthdate_Spouse,AO16),"",IF(BF66,"X",IF(AND(SpouseDeceased&lt;&gt;"",NOT(BF66)),"",IF(SpouseBirthDate&lt;$AX$62,"X",""))))</f>
        <v/>
      </c>
      <c r="P11" s="5431" t="str">
        <f>IF(AND(File_Marr_Joint&lt;&gt;"",NOT($AW$13)),"Enter spouse birthdate (in box at right).","Your spouse was born before January 2, "&amp;TaxYear-64)</f>
        <v>Your spouse was born before January 2, 1954</v>
      </c>
      <c r="Q11" s="5432"/>
      <c r="R11" s="5432"/>
      <c r="S11" s="5432"/>
      <c r="T11" s="5432"/>
      <c r="U11" s="5432"/>
      <c r="V11" s="5432"/>
      <c r="W11" s="5432"/>
      <c r="X11" s="5432"/>
      <c r="Y11" s="1444"/>
      <c r="Z11" s="5433" t="s">
        <v>3409</v>
      </c>
      <c r="AA11" s="5434"/>
      <c r="AB11" s="5434"/>
      <c r="AC11" s="5434"/>
      <c r="AD11" s="5434"/>
      <c r="AE11" s="5434"/>
      <c r="AF11" s="5434"/>
      <c r="AG11" s="5434"/>
      <c r="AH11" s="3820"/>
      <c r="AI11" s="4034" t="str">
        <f>IF($AH$11&lt;&gt;"","See IRS",IF($Y$11="","Check if",""))</f>
        <v>Check if</v>
      </c>
      <c r="AJ11" s="2536"/>
      <c r="AK11" s="2532"/>
      <c r="AL11" s="2532" t="s">
        <v>2874</v>
      </c>
      <c r="AM11" s="2532" t="s">
        <v>2875</v>
      </c>
      <c r="AN11" s="2532" t="s">
        <v>2876</v>
      </c>
      <c r="AO11" s="2189"/>
      <c r="AP11" s="2532"/>
      <c r="AQ11" s="1443"/>
      <c r="AR11" s="2532"/>
      <c r="AS11" s="2532"/>
      <c r="AT11" s="2562">
        <f>IF(you_blind&lt;&gt;"",1,0)</f>
        <v>0</v>
      </c>
      <c r="AU11" s="2532"/>
      <c r="AV11" s="2532"/>
      <c r="AW11" s="1607" t="b">
        <f>IF(OR(YourBirthMonth="",YourBirthDay="",YourBirthYear=""),FALSE,TRUE)</f>
        <v>0</v>
      </c>
      <c r="AX11" s="1607" t="str">
        <f>IF(OR(YourBirthMonth="",YourBirthDay="",YourBirthYear=""),"Enter your birthdate",IF(AZ54,"Your birthdate appears to be in error.",IF(AW12,"For IRS purposes, you were "&amp;YourAge&amp;" years old on December 31, "&amp;TaxYear&amp;".","You were "&amp;YourAge&amp;" years old on December 31, "&amp;TaxYear&amp;".")))</f>
        <v>Enter your birthdate</v>
      </c>
      <c r="AY11" s="1443"/>
      <c r="AZ11" s="1443"/>
      <c r="BA11" s="1443"/>
      <c r="BB11" s="1443"/>
      <c r="BC11" s="1443"/>
      <c r="BD11" s="1443"/>
      <c r="BE11" s="1443"/>
      <c r="BF11" s="1443"/>
      <c r="BG11" s="1443"/>
      <c r="BH11" s="4447"/>
      <c r="BI11" s="3169"/>
      <c r="BJ11" s="3169"/>
      <c r="BK11" s="3169"/>
      <c r="BL11" s="3169"/>
      <c r="BM11" s="3169"/>
      <c r="BN11" s="3169"/>
      <c r="BO11" s="3169"/>
      <c r="BP11" s="3169"/>
      <c r="BQ11" s="3169"/>
      <c r="BR11" s="3169"/>
      <c r="BS11" s="3169"/>
      <c r="BT11" s="3169"/>
    </row>
    <row r="12" spans="1:72" ht="15" customHeight="1" thickBot="1">
      <c r="A12" s="635"/>
      <c r="B12" s="1444"/>
      <c r="C12" s="3818" t="s">
        <v>3660</v>
      </c>
      <c r="D12" s="3817"/>
      <c r="E12" s="3818"/>
      <c r="F12" s="1444"/>
      <c r="G12" s="4193" t="s">
        <v>3096</v>
      </c>
      <c r="H12" s="4194"/>
      <c r="I12" s="4194"/>
      <c r="J12" s="4194"/>
      <c r="K12" s="4194"/>
      <c r="L12" s="4194"/>
      <c r="M12" s="4194"/>
      <c r="N12" s="4194"/>
      <c r="O12" s="4194"/>
      <c r="P12" s="4194"/>
      <c r="Q12" s="4193"/>
      <c r="R12" s="4194"/>
      <c r="S12" s="4194"/>
      <c r="T12" s="4194"/>
      <c r="U12" s="4194"/>
      <c r="V12" s="4194"/>
      <c r="W12" s="4194"/>
      <c r="X12" s="4194"/>
      <c r="Y12" s="4033"/>
      <c r="Z12" s="5435"/>
      <c r="AA12" s="5435"/>
      <c r="AB12" s="5435"/>
      <c r="AC12" s="5435"/>
      <c r="AD12" s="5435"/>
      <c r="AE12" s="5435"/>
      <c r="AF12" s="5435"/>
      <c r="AG12" s="5435"/>
      <c r="AH12" s="698"/>
      <c r="AI12" s="4034" t="str">
        <f>IF($AH$11&lt;&gt;"","instructions",IF($Y$11="","not covered",""))</f>
        <v>not covered</v>
      </c>
      <c r="AJ12" s="1761"/>
      <c r="AK12" s="2541" t="s">
        <v>2375</v>
      </c>
      <c r="AL12" s="2540"/>
      <c r="AM12" s="2540"/>
      <c r="AN12" s="2540"/>
      <c r="AO12" s="2537"/>
      <c r="AP12" s="2531"/>
      <c r="AQ12" s="1443"/>
      <c r="AR12" s="2531"/>
      <c r="AS12" s="2531"/>
      <c r="AT12" s="2562">
        <f>IF(AND(File_Marr_Joint&lt;&gt;"",sp_over_64&lt;&gt;""),1,0)</f>
        <v>0</v>
      </c>
      <c r="AU12" s="2531"/>
      <c r="AV12" s="2531"/>
      <c r="AW12" s="1607" t="b">
        <f>IF(AND(YourBirthMonth=1,YourBirthDay=1),TRUE,FALSE)</f>
        <v>0</v>
      </c>
      <c r="AX12" s="1616"/>
      <c r="AY12" s="1443"/>
      <c r="AZ12" s="1443"/>
      <c r="BA12" s="1443"/>
      <c r="BB12" s="1443"/>
      <c r="BC12" s="1443"/>
      <c r="BD12" s="1443"/>
      <c r="BE12" s="1443"/>
      <c r="BF12" s="1443"/>
      <c r="BG12" s="1443"/>
      <c r="BH12" s="4447"/>
      <c r="BI12" s="3169"/>
      <c r="BJ12" s="3169"/>
      <c r="BK12" s="3169"/>
      <c r="BL12" s="3169"/>
      <c r="BM12" s="3169"/>
      <c r="BN12" s="3169"/>
      <c r="BO12" s="3169"/>
      <c r="BP12" s="3169"/>
      <c r="BQ12" s="3169"/>
      <c r="BR12" s="3169"/>
      <c r="BS12" s="3169"/>
      <c r="BT12" s="3169"/>
    </row>
    <row r="13" spans="1:72" ht="12" customHeight="1" thickBot="1">
      <c r="A13" s="635"/>
      <c r="B13" s="60"/>
      <c r="C13" s="32" t="s">
        <v>566</v>
      </c>
      <c r="D13" s="1118"/>
      <c r="E13" s="24"/>
      <c r="F13" s="32"/>
      <c r="G13" s="32"/>
      <c r="H13" s="32"/>
      <c r="I13" s="32"/>
      <c r="J13" s="40"/>
      <c r="K13" s="40"/>
      <c r="L13" s="40"/>
      <c r="M13" s="40"/>
      <c r="N13" s="40"/>
      <c r="O13" s="40"/>
      <c r="P13" s="40"/>
      <c r="Q13" s="40"/>
      <c r="R13" s="40"/>
      <c r="S13" s="40"/>
      <c r="T13" s="40"/>
      <c r="U13" s="40"/>
      <c r="V13" s="400" t="s">
        <v>194</v>
      </c>
      <c r="W13" s="40"/>
      <c r="X13" s="399"/>
      <c r="Y13" s="5528" t="s">
        <v>3279</v>
      </c>
      <c r="Z13" s="5529"/>
      <c r="AA13" s="5529"/>
      <c r="AB13" s="5529"/>
      <c r="AC13" s="5529"/>
      <c r="AD13" s="5529"/>
      <c r="AE13" s="5529"/>
      <c r="AF13" s="5529"/>
      <c r="AG13" s="5529"/>
      <c r="AH13" s="686"/>
      <c r="AI13" s="4034" t="str">
        <f>IF($AH$11&lt;&gt;"","for Sch. 4,",IF($Y$11="","for the",""))</f>
        <v>for the</v>
      </c>
      <c r="AJ13" s="2538"/>
      <c r="AK13" s="2532"/>
      <c r="AL13" s="1450" t="str">
        <f>AX11</f>
        <v>Enter your birthdate</v>
      </c>
      <c r="AM13" s="2533"/>
      <c r="AN13" s="2533"/>
      <c r="AO13" s="2539"/>
      <c r="AP13" s="2533"/>
      <c r="AQ13" s="1443"/>
      <c r="AR13" s="2533"/>
      <c r="AS13" s="2533"/>
      <c r="AT13" s="2562">
        <f>IF(sp_blind&lt;&gt;"",1,0)</f>
        <v>0</v>
      </c>
      <c r="AU13" s="2533"/>
      <c r="AV13" s="2533"/>
      <c r="AW13" s="1607" t="b">
        <f>IF(AND(OR(File_Marr_Sep&lt;&gt;"",File_Marr_Joint&lt;&gt;""),SpouseBirthMonth&lt;&gt;"",SpouseBirthDay&lt;&gt;"",SpouseBirthYear&lt;&gt;""),TRUE,FALSE)</f>
        <v>0</v>
      </c>
      <c r="AX13" s="1607" t="str">
        <f>IF(AND(File_Marr_Sep="",File_Marr_Joint=""),"",IF(AND(OR(File_Marr_Sep&lt;&gt;"",File_Marr_Joint&lt;&gt;""),OR(SpouseBirthMonth="",SpouseBirthDay="",SpouseBirthYear="")),"Enter spouse's birthdate.",IF(AZ69,"Your birthdate appears to be in error.",IF(AW14,"For IRS purposes, you were "&amp;SpouseAge&amp;" years old on December 31, "&amp;TaxYear&amp;".","Your spouse was "&amp;SpouseAge&amp;" years old on December 31, "&amp;TaxYear&amp;"."))))</f>
        <v/>
      </c>
      <c r="AY13" s="1443"/>
      <c r="AZ13" s="1443"/>
      <c r="BA13" s="1443"/>
      <c r="BB13" s="1443"/>
      <c r="BC13" s="1443"/>
      <c r="BD13" s="1443"/>
      <c r="BE13" s="1443"/>
      <c r="BF13" s="1443"/>
      <c r="BG13" s="1443"/>
      <c r="BH13" s="4447"/>
      <c r="BI13" s="3169"/>
      <c r="BJ13" s="3169"/>
      <c r="BK13" s="3169"/>
      <c r="BL13" s="3169"/>
      <c r="BM13" s="3169"/>
      <c r="BN13" s="3169"/>
      <c r="BO13" s="3169"/>
      <c r="BP13" s="3169"/>
      <c r="BQ13" s="3169"/>
      <c r="BR13" s="3169"/>
      <c r="BS13" s="3169"/>
      <c r="BT13" s="3169"/>
    </row>
    <row r="14" spans="1:72" ht="17.25" customHeight="1" thickBot="1">
      <c r="A14" s="635"/>
      <c r="B14" s="5424"/>
      <c r="C14" s="5424"/>
      <c r="D14" s="5424"/>
      <c r="E14" s="5424"/>
      <c r="F14" s="5424"/>
      <c r="G14" s="5424"/>
      <c r="H14" s="5424"/>
      <c r="I14" s="5424"/>
      <c r="J14" s="5424"/>
      <c r="K14" s="5424"/>
      <c r="L14" s="5424"/>
      <c r="M14" s="5424"/>
      <c r="N14" s="5424"/>
      <c r="O14" s="5424"/>
      <c r="P14" s="5424"/>
      <c r="Q14" s="5424"/>
      <c r="R14" s="5424"/>
      <c r="S14" s="5424"/>
      <c r="T14" s="5424"/>
      <c r="U14" s="5425"/>
      <c r="V14" s="5418"/>
      <c r="W14" s="5419"/>
      <c r="X14" s="5420"/>
      <c r="Y14" s="5415" t="s">
        <v>3280</v>
      </c>
      <c r="Z14" s="5416"/>
      <c r="AA14" s="5417"/>
      <c r="AB14" s="1444"/>
      <c r="AC14" s="3819" t="s">
        <v>2143</v>
      </c>
      <c r="AD14" s="3759"/>
      <c r="AE14" s="1444"/>
      <c r="AF14" s="3819" t="s">
        <v>2159</v>
      </c>
      <c r="AG14" s="3759"/>
      <c r="AH14" s="686"/>
      <c r="AI14" s="4434" t="str">
        <f>IF($AH$11&lt;&gt;"","Line 61.",IF($Y$11="","entire year.",""))</f>
        <v>entire year.</v>
      </c>
      <c r="AJ14" s="4441"/>
      <c r="AK14" s="2541" t="str">
        <f>IF($AK$9,"Spouse ","")</f>
        <v/>
      </c>
      <c r="AL14" s="2540"/>
      <c r="AM14" s="2540"/>
      <c r="AN14" s="2540"/>
      <c r="AO14" s="2537"/>
      <c r="AP14" s="2531"/>
      <c r="AQ14" s="1443"/>
      <c r="AR14" s="2531"/>
      <c r="AS14" s="2531"/>
      <c r="AT14" s="2562">
        <f>IF(OR(AND(OR(File_Single&lt;&gt;"",File_Head&lt;&gt;""),OR(sp_over_64&lt;&gt;"",sp_blind&lt;&gt;"")),NumFileStatusBoxes=0),0,SUM(AT10:AT13))</f>
        <v>0</v>
      </c>
      <c r="AU14" s="2531"/>
      <c r="AV14" s="2531"/>
      <c r="AW14" s="1607" t="b">
        <f>IF(AND(SpouseBirthMonth=1,SpouseBirthDay=1),TRUE,FALSE)</f>
        <v>0</v>
      </c>
      <c r="AX14" s="1616"/>
      <c r="AY14" s="1443"/>
      <c r="AZ14" s="1443"/>
      <c r="BA14" s="1443"/>
      <c r="BB14" s="1443"/>
      <c r="BC14" s="1443"/>
      <c r="BD14" s="1443"/>
      <c r="BE14" s="1443"/>
      <c r="BF14" s="1443"/>
      <c r="BG14" s="1443"/>
      <c r="BH14" s="4447"/>
      <c r="BI14" s="3169"/>
      <c r="BJ14" s="3169"/>
      <c r="BK14" s="3169"/>
      <c r="BL14" s="3169"/>
      <c r="BM14" s="3169"/>
      <c r="BN14" s="3169"/>
      <c r="BO14" s="3169"/>
      <c r="BP14" s="3169"/>
      <c r="BQ14" s="3169"/>
      <c r="BR14" s="3169"/>
      <c r="BS14" s="3169"/>
      <c r="BT14" s="3169"/>
    </row>
    <row r="15" spans="1:72" ht="19.5" customHeight="1" thickBot="1">
      <c r="A15" s="635"/>
      <c r="B15" s="40"/>
      <c r="C15" s="40" t="s">
        <v>3410</v>
      </c>
      <c r="D15" s="1121"/>
      <c r="E15" s="58"/>
      <c r="F15" s="40"/>
      <c r="G15" s="40"/>
      <c r="H15" s="40"/>
      <c r="I15" s="40"/>
      <c r="J15" s="40"/>
      <c r="K15" s="40"/>
      <c r="L15" s="40"/>
      <c r="M15" s="40"/>
      <c r="N15" s="40"/>
      <c r="O15" s="40"/>
      <c r="P15" s="40"/>
      <c r="Q15" s="40"/>
      <c r="R15" s="40"/>
      <c r="S15" s="40"/>
      <c r="T15" s="40"/>
      <c r="U15" s="40"/>
      <c r="V15" s="40"/>
      <c r="W15" s="40"/>
      <c r="X15" s="399"/>
      <c r="Y15" s="4038" t="s">
        <v>3278</v>
      </c>
      <c r="Z15" s="4035"/>
      <c r="AA15" s="4035"/>
      <c r="AB15" s="4035"/>
      <c r="AC15" s="4035"/>
      <c r="AD15" s="4035"/>
      <c r="AE15" s="4035"/>
      <c r="AF15" s="4035"/>
      <c r="AG15" s="4035"/>
      <c r="AH15" s="686"/>
      <c r="AI15" s="2562"/>
      <c r="AJ15" s="5556" t="str">
        <f>IF(File_Marr_Joint&lt;&gt;"","Check"&amp;CHAR(10)&amp;"if deceased","")</f>
        <v/>
      </c>
      <c r="AK15" s="5557"/>
      <c r="AL15" s="4435" t="str">
        <f>AX13</f>
        <v/>
      </c>
      <c r="AM15" s="2534"/>
      <c r="AN15" s="2534"/>
      <c r="AO15" s="4436"/>
      <c r="AP15" s="2534"/>
      <c r="AQ15" s="1443"/>
      <c r="AR15" s="2534"/>
      <c r="AS15" s="2534"/>
      <c r="AT15" s="2534"/>
      <c r="AU15" s="2534"/>
      <c r="AV15" s="2534"/>
      <c r="AW15" s="1443" t="b">
        <f>AND($AK$17,SpouseDeathYear&lt;&gt;"",SpouseDeathYear=TaxYear)</f>
        <v>0</v>
      </c>
      <c r="AX15" s="1607" t="s">
        <v>3843</v>
      </c>
      <c r="AY15" s="1443"/>
      <c r="AZ15" s="1443"/>
      <c r="BA15" s="1443"/>
      <c r="BB15" s="1443"/>
      <c r="BC15" s="1443"/>
      <c r="BD15" s="1443"/>
      <c r="BE15" s="1443"/>
      <c r="BF15" s="1408"/>
      <c r="BG15" s="1443"/>
      <c r="BH15" s="4447"/>
      <c r="BI15" s="3169"/>
      <c r="BJ15" s="3169"/>
      <c r="BK15" s="3169"/>
      <c r="BL15" s="3169"/>
      <c r="BM15" s="3169"/>
      <c r="BN15" s="3169"/>
      <c r="BO15" s="3169"/>
      <c r="BP15" s="3169"/>
      <c r="BQ15" s="3169"/>
      <c r="BR15" s="3169"/>
      <c r="BS15" s="3169"/>
      <c r="BT15" s="3169"/>
    </row>
    <row r="16" spans="1:72" ht="17.25" customHeight="1" thickBot="1">
      <c r="A16" s="635"/>
      <c r="B16" s="5424"/>
      <c r="C16" s="5424"/>
      <c r="D16" s="5424"/>
      <c r="E16" s="5424"/>
      <c r="F16" s="5424"/>
      <c r="G16" s="5424"/>
      <c r="H16" s="5424"/>
      <c r="I16" s="5424"/>
      <c r="J16" s="5424"/>
      <c r="K16" s="5424"/>
      <c r="L16" s="5424"/>
      <c r="M16" s="5424"/>
      <c r="N16" s="5424"/>
      <c r="O16" s="5424"/>
      <c r="P16" s="5424"/>
      <c r="Q16" s="5424"/>
      <c r="R16" s="5424"/>
      <c r="S16" s="5424"/>
      <c r="T16" s="5424"/>
      <c r="U16" s="5424"/>
      <c r="V16" s="5424"/>
      <c r="W16" s="5424"/>
      <c r="X16" s="5425"/>
      <c r="Y16" s="4037" t="s">
        <v>3314</v>
      </c>
      <c r="Z16" s="4036"/>
      <c r="AA16" s="4036"/>
      <c r="AB16" s="4036"/>
      <c r="AC16" s="4036"/>
      <c r="AD16" s="4063" t="s">
        <v>3313</v>
      </c>
      <c r="AE16" s="4036"/>
      <c r="AF16" s="1444"/>
      <c r="AG16" s="4036"/>
      <c r="AH16" s="686"/>
      <c r="AI16" s="4034"/>
      <c r="AJ16" s="4437"/>
      <c r="AK16" s="2541" t="str">
        <f>IF(AK17,"Date of death","")</f>
        <v/>
      </c>
      <c r="AL16" s="2540"/>
      <c r="AM16" s="2540"/>
      <c r="AN16" s="2540"/>
      <c r="AO16" s="4412" t="b">
        <f>AND(SpouseDeceased&lt;&gt;"",SpouseDeathYear&lt;&gt;"",SpouseDeathYear&lt;&gt;TaxYear)</f>
        <v>0</v>
      </c>
      <c r="AP16" s="1443"/>
      <c r="AQ16" s="1443"/>
      <c r="AR16" s="1443"/>
      <c r="AS16" s="1443"/>
      <c r="AT16" s="1443"/>
      <c r="AU16" s="1443"/>
      <c r="AV16" s="1443"/>
      <c r="AW16" s="1443" t="b">
        <f>AND($AK$17,OR(SpouseDeathMonth&lt;SpouseBirthMonth,AND(SpouseDeathMonth=SpouseBirthMonth,SpouseDeathDay&lt;SpouseBirthDay)))</f>
        <v>0</v>
      </c>
      <c r="AX16" s="1443"/>
      <c r="AY16" s="1443"/>
      <c r="AZ16" s="1443"/>
      <c r="BA16" s="1443"/>
      <c r="BB16" s="1443"/>
      <c r="BC16" s="1443"/>
      <c r="BD16" s="1443"/>
      <c r="BE16" s="1443"/>
      <c r="BF16" s="1408"/>
      <c r="BG16" s="1408"/>
      <c r="BH16" s="4447"/>
      <c r="BI16" s="3169"/>
      <c r="BJ16" s="3169"/>
      <c r="BK16" s="3169"/>
      <c r="BL16" s="3169"/>
      <c r="BM16" s="3169"/>
      <c r="BN16" s="3169"/>
      <c r="BO16" s="3169"/>
      <c r="BP16" s="3169"/>
      <c r="BQ16" s="3169"/>
      <c r="BR16" s="3169"/>
      <c r="BS16" s="3169"/>
      <c r="BT16" s="3169"/>
    </row>
    <row r="17" spans="1:72" ht="12.75" customHeight="1">
      <c r="A17" s="635"/>
      <c r="B17" s="3816"/>
      <c r="C17" s="4109" t="s">
        <v>3411</v>
      </c>
      <c r="D17" s="3816"/>
      <c r="E17" s="3816"/>
      <c r="F17" s="3816"/>
      <c r="G17" s="3816"/>
      <c r="H17" s="3816"/>
      <c r="I17" s="3816"/>
      <c r="J17" s="3816"/>
      <c r="K17" s="3821"/>
      <c r="L17" s="3824" t="s">
        <v>3099</v>
      </c>
      <c r="M17" s="3825"/>
      <c r="N17" s="3825"/>
      <c r="O17" s="3825"/>
      <c r="P17" s="3825"/>
      <c r="Q17" s="3826"/>
      <c r="R17" s="3824" t="s">
        <v>3100</v>
      </c>
      <c r="S17" s="3825"/>
      <c r="T17" s="3825"/>
      <c r="U17" s="3825"/>
      <c r="V17" s="3825"/>
      <c r="W17" s="3826"/>
      <c r="X17" s="3824" t="s">
        <v>3412</v>
      </c>
      <c r="Y17" s="3827"/>
      <c r="Z17" s="3828"/>
      <c r="AA17" s="3828"/>
      <c r="AB17" s="3828"/>
      <c r="AC17" s="3828"/>
      <c r="AD17" s="3828"/>
      <c r="AE17" s="3828"/>
      <c r="AF17" s="3828"/>
      <c r="AG17" s="3828"/>
      <c r="AH17" s="698"/>
      <c r="AI17" s="4023" t="b">
        <f>(AF16&lt;&gt;"")</f>
        <v>0</v>
      </c>
      <c r="AJ17" s="4437"/>
      <c r="AK17" s="4440" t="b">
        <f>AND($AJ$14&lt;&gt;"",$AK$9)</f>
        <v>0</v>
      </c>
      <c r="AL17" s="1450" t="str">
        <f>IF(AND(SpouseDeceased&lt;&gt;"",OR(SpouseDeathMonth="",SpouseDeathDay="",SpouseDeathYear="")),"Enter date of spouse's death.",IF(AO16,"Error: Death of spouse was not during "&amp;TaxYear&amp;".",IF(BadDeathDate,"The date of death appears to be in error.","")))</f>
        <v/>
      </c>
      <c r="AM17" s="1443"/>
      <c r="AN17" s="1443"/>
      <c r="AO17" s="1554"/>
      <c r="AP17" s="1443"/>
      <c r="AQ17" s="1443"/>
      <c r="AR17" s="1443"/>
      <c r="AS17" s="1443"/>
      <c r="AT17" s="1443"/>
      <c r="AU17" s="1443"/>
      <c r="AV17" s="1443"/>
      <c r="AW17" s="1443"/>
      <c r="AX17" s="1443"/>
      <c r="AY17" s="1443"/>
      <c r="AZ17" s="1408"/>
      <c r="BA17" s="1408"/>
      <c r="BB17" s="1408"/>
      <c r="BC17" s="2855"/>
      <c r="BD17" s="2855"/>
      <c r="BE17" s="2855"/>
      <c r="BF17" s="1408"/>
      <c r="BG17" s="1408"/>
      <c r="BH17" s="4447"/>
      <c r="BI17" s="3169"/>
      <c r="BJ17" s="3169"/>
      <c r="BK17" s="3169"/>
      <c r="BL17" s="3169"/>
      <c r="BM17" s="3169"/>
      <c r="BN17" s="3169"/>
      <c r="BO17" s="3169"/>
      <c r="BP17" s="3169"/>
      <c r="BQ17" s="3169"/>
      <c r="BR17" s="3169"/>
      <c r="BS17" s="3169"/>
      <c r="BT17" s="3169"/>
    </row>
    <row r="18" spans="1:72" ht="12.75" customHeight="1" thickBot="1">
      <c r="A18" s="635"/>
      <c r="B18" s="3817"/>
      <c r="C18" s="3817" t="s">
        <v>3098</v>
      </c>
      <c r="D18" s="3817"/>
      <c r="E18" s="3817"/>
      <c r="F18" s="3817"/>
      <c r="G18" s="3817" t="s">
        <v>533</v>
      </c>
      <c r="H18" s="3817"/>
      <c r="I18" s="3817"/>
      <c r="J18" s="3817"/>
      <c r="K18" s="3822"/>
      <c r="L18" s="3817"/>
      <c r="M18" s="3817"/>
      <c r="N18" s="3817"/>
      <c r="O18" s="3817"/>
      <c r="P18" s="3817"/>
      <c r="Q18" s="3823"/>
      <c r="R18" s="3817"/>
      <c r="S18" s="3817"/>
      <c r="T18" s="3817"/>
      <c r="U18" s="3817"/>
      <c r="V18" s="3817"/>
      <c r="W18" s="3823"/>
      <c r="X18" s="5541" t="s">
        <v>3101</v>
      </c>
      <c r="Y18" s="5542"/>
      <c r="Z18" s="5542"/>
      <c r="AA18" s="5542"/>
      <c r="AB18" s="5543" t="s">
        <v>3102</v>
      </c>
      <c r="AC18" s="5542"/>
      <c r="AD18" s="5542"/>
      <c r="AE18" s="5542"/>
      <c r="AF18" s="5542"/>
      <c r="AG18" s="5542"/>
      <c r="AH18" s="698"/>
      <c r="AI18" s="477"/>
      <c r="AJ18" s="4438"/>
      <c r="AK18" s="4439"/>
      <c r="AL18" s="1612"/>
      <c r="AM18" s="1612"/>
      <c r="AN18" s="1612"/>
      <c r="AO18" s="1613"/>
      <c r="AP18" s="1443"/>
      <c r="AQ18" s="2562"/>
      <c r="AR18" s="1443"/>
      <c r="AS18" s="1443"/>
      <c r="AT18" s="1443"/>
      <c r="AU18" s="1443"/>
      <c r="AV18" s="1443"/>
      <c r="AW18" s="1435"/>
      <c r="AX18" s="1435"/>
      <c r="AY18" s="1435"/>
      <c r="AZ18" s="2855"/>
      <c r="BA18" s="2855"/>
      <c r="BB18" s="2855"/>
      <c r="BC18" s="2855"/>
      <c r="BD18" s="2855"/>
      <c r="BE18" s="2855"/>
      <c r="BF18" s="1408"/>
      <c r="BG18" s="1408"/>
      <c r="BH18" s="4447"/>
      <c r="BI18" s="3169"/>
      <c r="BJ18" s="3169"/>
      <c r="BK18" s="3169"/>
      <c r="BL18" s="3169"/>
      <c r="BM18" s="3169"/>
      <c r="BN18" s="3169"/>
      <c r="BO18" s="3169"/>
      <c r="BP18" s="3169"/>
      <c r="BQ18" s="3169"/>
      <c r="BR18" s="3169"/>
      <c r="BS18" s="3169"/>
      <c r="BT18" s="3169"/>
    </row>
    <row r="19" spans="1:72" ht="17.25" customHeight="1">
      <c r="A19" s="635"/>
      <c r="B19" s="5343"/>
      <c r="C19" s="5344"/>
      <c r="D19" s="5344"/>
      <c r="E19" s="5344"/>
      <c r="F19" s="5344"/>
      <c r="G19" s="5344"/>
      <c r="H19" s="5344"/>
      <c r="I19" s="5344"/>
      <c r="J19" s="5344"/>
      <c r="K19" s="5345"/>
      <c r="L19" s="5346"/>
      <c r="M19" s="5347"/>
      <c r="N19" s="5347"/>
      <c r="O19" s="5347"/>
      <c r="P19" s="5347"/>
      <c r="Q19" s="5348"/>
      <c r="R19" s="5349"/>
      <c r="S19" s="5350"/>
      <c r="T19" s="5350"/>
      <c r="U19" s="5350"/>
      <c r="V19" s="5350"/>
      <c r="W19" s="5351"/>
      <c r="X19" s="5246"/>
      <c r="Y19" s="1444"/>
      <c r="Z19" s="5247"/>
      <c r="AA19" s="5248"/>
      <c r="AB19" s="5246"/>
      <c r="AC19" s="5248"/>
      <c r="AD19" s="5248"/>
      <c r="AE19" s="1444"/>
      <c r="AF19" s="5249"/>
      <c r="AG19" s="5249"/>
      <c r="AH19" s="4318">
        <f>IF(AE19&lt;&gt;"",1,0)</f>
        <v>0</v>
      </c>
      <c r="AI19" s="4076">
        <f>IF(Y19&lt;&gt;"",1,0)</f>
        <v>0</v>
      </c>
      <c r="AJ19" s="3074" t="b">
        <f>(AND(B19&lt;&gt;"",L19&lt;&gt;"",R19&lt;&gt;"",Y19="",AE19=""))</f>
        <v>0</v>
      </c>
      <c r="AK19" s="3830" t="str">
        <f>IF(AND(AK20="",OR(AJ19,AJ20,AJ21,AJ22)),"Be sure to not overlook the Child Tax Credit or Credit for Other Dependents.  (See Sheet 'Line 12a'.) ",IF(AND(Pub_972&lt;&gt;"Complete.",OR(Y19&lt;&gt;"",Y20&lt;&gt;"",Y21&lt;&gt;"",Y22&lt;&gt;"")),"Be sure to answer questions  on sheet 'Line 12a' ("&amp;TaxYear&amp;" Child Tax Credit and Credit for Other Dependents).", ""))</f>
        <v/>
      </c>
      <c r="AL19" s="477"/>
      <c r="AM19" s="1443"/>
      <c r="AN19" s="1443"/>
      <c r="AO19" s="1443"/>
      <c r="AP19" s="1443"/>
      <c r="AQ19" s="5112"/>
      <c r="AR19" s="1443"/>
      <c r="AS19" s="1443"/>
      <c r="AT19" s="1443"/>
      <c r="AU19" s="1443"/>
      <c r="AV19" s="1443"/>
      <c r="AW19" s="1443"/>
      <c r="AX19" s="1435"/>
      <c r="AY19" s="1435"/>
      <c r="AZ19" s="1435"/>
      <c r="BA19" s="1408"/>
      <c r="BB19" s="1408"/>
      <c r="BC19" s="2855"/>
      <c r="BD19" s="2855"/>
      <c r="BE19" s="1408"/>
      <c r="BF19" s="1408"/>
      <c r="BG19" s="1408"/>
      <c r="BH19" s="4447"/>
      <c r="BI19" s="3169"/>
      <c r="BJ19" s="3169"/>
      <c r="BK19" s="3169"/>
      <c r="BL19" s="3169"/>
      <c r="BM19" s="3169"/>
      <c r="BN19" s="3169"/>
      <c r="BO19" s="3169"/>
      <c r="BP19" s="3169"/>
      <c r="BQ19" s="3169"/>
      <c r="BR19" s="3169"/>
      <c r="BS19" s="3169"/>
      <c r="BT19" s="3169"/>
    </row>
    <row r="20" spans="1:72" ht="17.25" customHeight="1">
      <c r="A20" s="635"/>
      <c r="B20" s="5343"/>
      <c r="C20" s="5344"/>
      <c r="D20" s="5344"/>
      <c r="E20" s="5344"/>
      <c r="F20" s="5344"/>
      <c r="G20" s="5344"/>
      <c r="H20" s="5344"/>
      <c r="I20" s="5344"/>
      <c r="J20" s="5344"/>
      <c r="K20" s="5345"/>
      <c r="L20" s="5346"/>
      <c r="M20" s="5347"/>
      <c r="N20" s="5347"/>
      <c r="O20" s="5347"/>
      <c r="P20" s="5347"/>
      <c r="Q20" s="5348"/>
      <c r="R20" s="5349"/>
      <c r="S20" s="5350"/>
      <c r="T20" s="5350"/>
      <c r="U20" s="5350"/>
      <c r="V20" s="5350"/>
      <c r="W20" s="5351"/>
      <c r="X20" s="5246"/>
      <c r="Y20" s="1444"/>
      <c r="Z20" s="5247"/>
      <c r="AA20" s="5248"/>
      <c r="AB20" s="5246"/>
      <c r="AC20" s="5248"/>
      <c r="AD20" s="5248"/>
      <c r="AE20" s="1444"/>
      <c r="AF20" s="5249"/>
      <c r="AG20" s="5249"/>
      <c r="AH20" s="4318">
        <f>IF(AE20&lt;&gt;"",1,0)</f>
        <v>0</v>
      </c>
      <c r="AI20" s="4076">
        <f>IF(Y20&lt;&gt;"",1,0)</f>
        <v>0</v>
      </c>
      <c r="AJ20" s="4023" t="b">
        <f>(AND(B20&lt;&gt;"",L20&lt;&gt;"",R20&lt;&gt;"",Y20="",AE20=""))</f>
        <v>0</v>
      </c>
      <c r="AK20" s="4040"/>
      <c r="AL20" s="4039" t="str">
        <f>IF(AL21,"Hide note.","")</f>
        <v/>
      </c>
      <c r="AM20" s="1443"/>
      <c r="AN20" s="1443"/>
      <c r="AO20" s="1443"/>
      <c r="AP20" s="1443"/>
      <c r="AQ20" s="5112"/>
      <c r="AR20" s="1443"/>
      <c r="AS20" s="1443"/>
      <c r="AT20" s="1443"/>
      <c r="AU20" s="1443"/>
      <c r="AV20" s="1443"/>
      <c r="AW20" s="1443"/>
      <c r="AX20" s="1435"/>
      <c r="AY20" s="1435"/>
      <c r="AZ20" s="1435"/>
      <c r="BA20" s="1408"/>
      <c r="BB20" s="1408"/>
      <c r="BC20" s="2855"/>
      <c r="BD20" s="2855"/>
      <c r="BE20" s="1408"/>
      <c r="BF20" s="1408"/>
      <c r="BG20" s="1408"/>
      <c r="BH20" s="4447"/>
      <c r="BI20" s="3169"/>
      <c r="BJ20" s="3169"/>
      <c r="BK20" s="3169"/>
      <c r="BL20" s="3169"/>
      <c r="BM20" s="3169"/>
      <c r="BN20" s="3169"/>
      <c r="BO20" s="3169"/>
      <c r="BP20" s="3169"/>
      <c r="BQ20" s="3169"/>
      <c r="BR20" s="3169"/>
      <c r="BS20" s="3169"/>
      <c r="BT20" s="3169"/>
    </row>
    <row r="21" spans="1:72" ht="17.25" customHeight="1">
      <c r="A21" s="635"/>
      <c r="B21" s="5343"/>
      <c r="C21" s="5344"/>
      <c r="D21" s="5344"/>
      <c r="E21" s="5344"/>
      <c r="F21" s="5344"/>
      <c r="G21" s="5344"/>
      <c r="H21" s="5344"/>
      <c r="I21" s="5344"/>
      <c r="J21" s="5344"/>
      <c r="K21" s="5345"/>
      <c r="L21" s="5346"/>
      <c r="M21" s="5347"/>
      <c r="N21" s="5347"/>
      <c r="O21" s="5347"/>
      <c r="P21" s="5347"/>
      <c r="Q21" s="5348"/>
      <c r="R21" s="5349"/>
      <c r="S21" s="5350"/>
      <c r="T21" s="5350"/>
      <c r="U21" s="5350"/>
      <c r="V21" s="5350"/>
      <c r="W21" s="5351"/>
      <c r="X21" s="5246"/>
      <c r="Y21" s="1444"/>
      <c r="Z21" s="5247"/>
      <c r="AA21" s="5248"/>
      <c r="AB21" s="5246"/>
      <c r="AC21" s="5248"/>
      <c r="AD21" s="5248"/>
      <c r="AE21" s="1444"/>
      <c r="AF21" s="5249"/>
      <c r="AG21" s="5249"/>
      <c r="AH21" s="4318">
        <f>IF(AE21&lt;&gt;"",1,0)</f>
        <v>0</v>
      </c>
      <c r="AI21" s="4076">
        <f>IF(Y21&lt;&gt;"",1,0)</f>
        <v>0</v>
      </c>
      <c r="AJ21" s="4023" t="b">
        <f>(AND(B21&lt;&gt;"",L21&lt;&gt;"",R21&lt;&gt;"",Y21="",AE21=""))</f>
        <v>0</v>
      </c>
      <c r="AK21" s="1674">
        <f>IF(DependentYOU&lt;&gt;"",0,1)</f>
        <v>1</v>
      </c>
      <c r="AL21" s="4041" t="b">
        <f>OR(AJ19,AJ20,AJ21,AJ22)</f>
        <v>0</v>
      </c>
      <c r="AM21" s="1443"/>
      <c r="AN21" s="1443"/>
      <c r="AO21" s="1443"/>
      <c r="AP21" s="1443"/>
      <c r="AQ21" s="1443"/>
      <c r="AR21" s="1443"/>
      <c r="AS21" s="1443"/>
      <c r="AT21" s="1443"/>
      <c r="AU21" s="1443"/>
      <c r="AV21" s="1443"/>
      <c r="AW21" s="1443"/>
      <c r="AX21" s="1443"/>
      <c r="AY21" s="1443"/>
      <c r="AZ21" s="1443"/>
      <c r="BA21" s="1408"/>
      <c r="BB21" s="1408"/>
      <c r="BC21" s="1408"/>
      <c r="BD21" s="2855"/>
      <c r="BE21" s="1408"/>
      <c r="BF21" s="1408"/>
      <c r="BG21" s="1408"/>
      <c r="BH21" s="4447"/>
      <c r="BI21" s="3169"/>
      <c r="BJ21" s="3169"/>
      <c r="BK21" s="3169"/>
      <c r="BL21" s="3169"/>
      <c r="BM21" s="3169"/>
      <c r="BN21" s="3169"/>
      <c r="BO21" s="3169"/>
      <c r="BP21" s="3169"/>
      <c r="BQ21" s="3169"/>
      <c r="BR21" s="3169"/>
      <c r="BS21" s="3169"/>
      <c r="BT21" s="3169"/>
    </row>
    <row r="22" spans="1:72" ht="17.25" customHeight="1" thickBot="1">
      <c r="A22" s="635"/>
      <c r="B22" s="5343"/>
      <c r="C22" s="5344"/>
      <c r="D22" s="5344"/>
      <c r="E22" s="5344"/>
      <c r="F22" s="5344"/>
      <c r="G22" s="5344"/>
      <c r="H22" s="5344"/>
      <c r="I22" s="5344"/>
      <c r="J22" s="5344"/>
      <c r="K22" s="5345"/>
      <c r="L22" s="5346"/>
      <c r="M22" s="5347"/>
      <c r="N22" s="5347"/>
      <c r="O22" s="5347"/>
      <c r="P22" s="5347"/>
      <c r="Q22" s="5348"/>
      <c r="R22" s="5349"/>
      <c r="S22" s="5350"/>
      <c r="T22" s="5350"/>
      <c r="U22" s="5350"/>
      <c r="V22" s="5350"/>
      <c r="W22" s="5351"/>
      <c r="X22" s="5246"/>
      <c r="Y22" s="1444"/>
      <c r="Z22" s="5247"/>
      <c r="AA22" s="5248"/>
      <c r="AB22" s="5246"/>
      <c r="AC22" s="5248"/>
      <c r="AD22" s="5248"/>
      <c r="AE22" s="1444"/>
      <c r="AF22" s="5249"/>
      <c r="AG22" s="5249"/>
      <c r="AH22" s="4318">
        <f>IF(AE22&lt;&gt;"",1,0)</f>
        <v>0</v>
      </c>
      <c r="AI22" s="4076">
        <f>IF(Y22&lt;&gt;"",1,0)</f>
        <v>0</v>
      </c>
      <c r="AJ22" s="4023" t="b">
        <f>(AND(B22&lt;&gt;"",L22&lt;&gt;"",R22&lt;&gt;"",Y22="",AE22=""))</f>
        <v>0</v>
      </c>
      <c r="AK22" s="1674">
        <f>IF(AND(File_Marr_Joint&lt;&gt;"",DependentSPOUSE=""),1,0)</f>
        <v>0</v>
      </c>
      <c r="AL22" s="477"/>
      <c r="AM22" s="1443"/>
      <c r="AN22" s="1443"/>
      <c r="AO22" s="1443"/>
      <c r="AP22" s="1443"/>
      <c r="AQ22" s="1443"/>
      <c r="AR22" s="1443"/>
      <c r="AS22" s="1443"/>
      <c r="AT22" s="1443"/>
      <c r="AU22" s="1443"/>
      <c r="AV22" s="1443"/>
      <c r="AW22" s="1443"/>
      <c r="AX22" s="1443"/>
      <c r="AY22" s="1443"/>
      <c r="AZ22" s="1443"/>
      <c r="BA22" s="1443"/>
      <c r="BB22" s="1443"/>
      <c r="BC22" s="1443"/>
      <c r="BD22" s="1443"/>
      <c r="BE22" s="1408"/>
      <c r="BF22" s="1408"/>
      <c r="BG22" s="1408"/>
      <c r="BH22" s="4447"/>
      <c r="BI22" s="3169"/>
      <c r="BJ22" s="3169"/>
      <c r="BK22" s="3169"/>
      <c r="BL22" s="3169"/>
      <c r="BM22" s="3169"/>
      <c r="BN22" s="3169"/>
      <c r="BO22" s="3169"/>
      <c r="BP22" s="3169"/>
      <c r="BQ22" s="3169"/>
      <c r="BR22" s="3169"/>
      <c r="BS22" s="3169"/>
      <c r="BT22" s="3169"/>
    </row>
    <row r="23" spans="1:72" ht="16.5" customHeight="1" thickBot="1">
      <c r="A23" s="635"/>
      <c r="B23" s="1458"/>
      <c r="C23" s="4112" t="s">
        <v>119</v>
      </c>
      <c r="D23" s="1468" t="s">
        <v>3281</v>
      </c>
      <c r="E23" s="1458"/>
      <c r="F23" s="1458"/>
      <c r="G23" s="1458"/>
      <c r="H23" s="1458"/>
      <c r="I23" s="1458"/>
      <c r="J23" s="1458"/>
      <c r="K23" s="1458"/>
      <c r="L23" s="1458"/>
      <c r="M23" s="1458"/>
      <c r="N23" s="1458"/>
      <c r="O23" s="1458"/>
      <c r="P23" s="1458"/>
      <c r="Q23" s="1458"/>
      <c r="R23" s="1458"/>
      <c r="S23" s="1458"/>
      <c r="T23" s="1458"/>
      <c r="U23" s="1458"/>
      <c r="V23" s="1458"/>
      <c r="W23" s="1458"/>
      <c r="X23" s="1458"/>
      <c r="Y23" s="1458"/>
      <c r="Z23" s="1458"/>
      <c r="AA23" s="1458"/>
      <c r="AB23" s="1458"/>
      <c r="AC23" s="1458"/>
      <c r="AD23" s="1458"/>
      <c r="AE23" s="1458"/>
      <c r="AF23" s="1458"/>
      <c r="AG23" s="1458"/>
      <c r="AH23" s="699"/>
      <c r="AI23" s="4278"/>
      <c r="AJ23" s="7"/>
      <c r="AK23" s="3852">
        <f>SUM(AI19,AI20,AI21,AI22,AI23)</f>
        <v>0</v>
      </c>
      <c r="AL23" s="3853" t="s">
        <v>3709</v>
      </c>
      <c r="AM23" s="1443"/>
      <c r="AN23" s="4407">
        <f>IF(NumFileStatusBoxes=0,0,SUM(AK21,AK22,Qual_Child_Count,DependentCount))</f>
        <v>0</v>
      </c>
      <c r="AO23" s="4408" t="s">
        <v>3181</v>
      </c>
      <c r="AP23" s="1443"/>
      <c r="AQ23" s="1443"/>
      <c r="AR23" s="1443"/>
      <c r="AS23" s="1443"/>
      <c r="AT23" s="1443"/>
      <c r="AU23" s="1443"/>
      <c r="AV23" s="1443"/>
      <c r="AW23" s="1443"/>
      <c r="AX23" s="1443"/>
      <c r="AY23" s="1443"/>
      <c r="AZ23" s="1435"/>
      <c r="BA23" s="1443"/>
      <c r="BB23" s="1443"/>
      <c r="BC23" s="1443"/>
      <c r="BD23" s="1443"/>
      <c r="BE23" s="1443"/>
      <c r="BF23" s="1408"/>
      <c r="BG23" s="1408"/>
      <c r="BH23" s="4447"/>
      <c r="BI23" s="3169"/>
      <c r="BJ23" s="3169"/>
      <c r="BK23" s="3169"/>
      <c r="BL23" s="3169"/>
      <c r="BM23" s="3169"/>
      <c r="BN23" s="3169"/>
      <c r="BO23" s="3169"/>
      <c r="BP23" s="3169"/>
      <c r="BQ23" s="3169"/>
      <c r="BR23" s="3169"/>
      <c r="BS23" s="3169"/>
      <c r="BT23" s="3169"/>
    </row>
    <row r="24" spans="1:72" ht="13.5" customHeight="1" thickBot="1">
      <c r="A24" s="635"/>
      <c r="B24" s="1458"/>
      <c r="C24" s="4111" t="s">
        <v>120</v>
      </c>
      <c r="D24" s="2613" t="s">
        <v>3282</v>
      </c>
      <c r="E24" s="2116"/>
      <c r="F24" s="2116"/>
      <c r="G24" s="2116"/>
      <c r="H24" s="2116"/>
      <c r="I24" s="2116"/>
      <c r="J24" s="2116"/>
      <c r="K24" s="2116"/>
      <c r="L24" s="2116"/>
      <c r="M24" s="2116"/>
      <c r="N24" s="2116"/>
      <c r="O24" s="2116"/>
      <c r="P24" s="2116"/>
      <c r="Q24" s="2116"/>
      <c r="R24" s="2116"/>
      <c r="S24" s="2116"/>
      <c r="T24" s="2116"/>
      <c r="U24" s="2116"/>
      <c r="V24" s="2116"/>
      <c r="W24" s="2116"/>
      <c r="X24" s="2116"/>
      <c r="Y24" s="2116"/>
      <c r="Z24" s="2116"/>
      <c r="AA24" s="2116"/>
      <c r="AB24" s="2116"/>
      <c r="AC24" s="2116"/>
      <c r="AD24" s="2116"/>
      <c r="AE24" s="2116"/>
      <c r="AF24" s="2116"/>
      <c r="AG24" s="2116"/>
      <c r="AH24" s="699"/>
      <c r="AI24" s="4319"/>
      <c r="AJ24" s="7"/>
      <c r="AK24" s="3852">
        <f>SUM(AH19:AH22,AI24)</f>
        <v>0</v>
      </c>
      <c r="AL24" s="3853" t="s">
        <v>3710</v>
      </c>
      <c r="AM24" s="1443"/>
      <c r="AN24" s="5519" t="s">
        <v>3815</v>
      </c>
      <c r="AO24" s="5520"/>
      <c r="AP24" s="5520"/>
      <c r="AQ24" s="5520"/>
      <c r="AR24" s="5521"/>
      <c r="AS24" s="1443"/>
      <c r="AT24" s="1443"/>
      <c r="AU24" s="1443"/>
      <c r="AV24" s="1443"/>
      <c r="AW24" s="1443"/>
      <c r="AX24" s="1443"/>
      <c r="AY24" s="1443"/>
      <c r="AZ24" s="1435"/>
      <c r="BA24" s="1443"/>
      <c r="BB24" s="1443"/>
      <c r="BC24" s="1443"/>
      <c r="BD24" s="1443"/>
      <c r="BE24" s="1443"/>
      <c r="BF24" s="1408"/>
      <c r="BG24" s="1408"/>
      <c r="BH24" s="4447"/>
      <c r="BI24" s="3169"/>
      <c r="BJ24" s="3169"/>
      <c r="BK24" s="3169"/>
      <c r="BL24" s="3169"/>
      <c r="BM24" s="3169"/>
      <c r="BN24" s="3169"/>
      <c r="BO24" s="3169"/>
      <c r="BP24" s="3169"/>
      <c r="BQ24" s="3169"/>
      <c r="BR24" s="3169"/>
      <c r="BS24" s="3169"/>
      <c r="BT24" s="3169"/>
    </row>
    <row r="25" spans="1:72" ht="13.5" customHeight="1" thickBot="1">
      <c r="A25" s="635"/>
      <c r="B25" s="1458"/>
      <c r="C25" s="1468" t="s">
        <v>121</v>
      </c>
      <c r="D25" s="1450" t="s">
        <v>122</v>
      </c>
      <c r="E25" s="1443"/>
      <c r="F25" s="1450"/>
      <c r="G25" s="1450"/>
      <c r="H25" s="1450"/>
      <c r="I25" s="1450"/>
      <c r="J25" s="1450"/>
      <c r="K25" s="1450"/>
      <c r="L25" s="1450"/>
      <c r="M25" s="1450"/>
      <c r="N25" s="1450"/>
      <c r="O25" s="1637" t="s">
        <v>123</v>
      </c>
      <c r="P25" s="1450"/>
      <c r="Q25" s="1450"/>
      <c r="R25" s="1638"/>
      <c r="S25" s="5408" t="s">
        <v>124</v>
      </c>
      <c r="T25" s="5409"/>
      <c r="U25" s="5409"/>
      <c r="V25" s="5409"/>
      <c r="W25" s="5409"/>
      <c r="X25" s="5409"/>
      <c r="Y25" s="5436"/>
      <c r="Z25" s="1639" t="s">
        <v>3105</v>
      </c>
      <c r="AA25" s="1640"/>
      <c r="AB25" s="1450"/>
      <c r="AC25" s="1450"/>
      <c r="AD25" s="1450"/>
      <c r="AE25" s="1450"/>
      <c r="AF25" s="1450"/>
      <c r="AG25" s="1641"/>
      <c r="AH25" s="699"/>
      <c r="AI25" s="3851" t="str">
        <f>IF(AI23="","Enter additional number","Additional number")</f>
        <v>Enter additional number</v>
      </c>
      <c r="AJ25" s="7"/>
      <c r="AK25" s="7"/>
      <c r="AL25" s="1443"/>
      <c r="AM25" s="1443"/>
      <c r="AN25" s="5519"/>
      <c r="AO25" s="5325"/>
      <c r="AP25" s="5325"/>
      <c r="AQ25" s="5325"/>
      <c r="AR25" s="5522"/>
      <c r="AS25" s="1443"/>
      <c r="AT25" s="1443"/>
      <c r="AU25" s="1443"/>
      <c r="AV25" s="1443"/>
      <c r="AW25" s="1443"/>
      <c r="AX25" s="1443"/>
      <c r="AY25" s="1443"/>
      <c r="AZ25" s="1435"/>
      <c r="BA25" s="1443"/>
      <c r="BB25" s="1443"/>
      <c r="BC25" s="1443"/>
      <c r="BD25" s="1443"/>
      <c r="BE25" s="1443"/>
      <c r="BF25" s="1408"/>
      <c r="BG25" s="1408"/>
      <c r="BH25" s="4447"/>
      <c r="BI25" s="3169"/>
      <c r="BJ25" s="3169"/>
      <c r="BK25" s="3169"/>
      <c r="BL25" s="3169"/>
      <c r="BM25" s="3169"/>
      <c r="BN25" s="3169"/>
      <c r="BO25" s="3169"/>
      <c r="BP25" s="3169"/>
      <c r="BQ25" s="3169"/>
      <c r="BR25" s="3169"/>
      <c r="BS25" s="3169"/>
      <c r="BT25" s="3169"/>
    </row>
    <row r="26" spans="1:72" ht="13.5" customHeight="1" thickBot="1">
      <c r="A26" s="635"/>
      <c r="B26" s="1458"/>
      <c r="C26" s="2613" t="s">
        <v>697</v>
      </c>
      <c r="D26" s="5445"/>
      <c r="E26" s="5442"/>
      <c r="F26" s="5442"/>
      <c r="G26" s="5442"/>
      <c r="H26" s="5442"/>
      <c r="I26" s="5442"/>
      <c r="J26" s="5442"/>
      <c r="K26" s="5442"/>
      <c r="L26" s="5442"/>
      <c r="M26" s="5442"/>
      <c r="N26" s="5446"/>
      <c r="O26" s="5437"/>
      <c r="P26" s="5438"/>
      <c r="Q26" s="5439"/>
      <c r="R26" s="5440"/>
      <c r="S26" s="5441"/>
      <c r="T26" s="5442"/>
      <c r="U26" s="5442"/>
      <c r="V26" s="5442"/>
      <c r="W26" s="5442"/>
      <c r="X26" s="5443"/>
      <c r="Y26" s="5444"/>
      <c r="Z26" s="5352" t="s">
        <v>3318</v>
      </c>
      <c r="AA26" s="5353"/>
      <c r="AB26" s="3829"/>
      <c r="AC26" s="3829"/>
      <c r="AD26" s="3849"/>
      <c r="AE26" s="3849"/>
      <c r="AF26" s="3849"/>
      <c r="AG26" s="3849"/>
      <c r="AH26" s="699"/>
      <c r="AI26" s="3851" t="str">
        <f>IF($AI$23="","of qualfying children and","of qualifying children and.")</f>
        <v>of qualfying children and</v>
      </c>
      <c r="AJ26" s="7"/>
      <c r="AK26" s="7"/>
      <c r="AL26" s="1443"/>
      <c r="AM26" s="1443"/>
      <c r="AN26" s="5519"/>
      <c r="AO26" s="5325"/>
      <c r="AP26" s="5325"/>
      <c r="AQ26" s="5325"/>
      <c r="AR26" s="5522"/>
      <c r="AS26" s="1443"/>
      <c r="AT26" s="1443"/>
      <c r="AU26" s="1443"/>
      <c r="AV26" s="1443"/>
      <c r="AW26" s="1443"/>
      <c r="AX26" s="1443"/>
      <c r="AY26" s="1443"/>
      <c r="AZ26" s="1435"/>
      <c r="BA26" s="1443"/>
      <c r="BB26" s="1443"/>
      <c r="BC26" s="1443"/>
      <c r="BD26" s="1443"/>
      <c r="BE26" s="1443"/>
      <c r="BF26" s="1408"/>
      <c r="BG26" s="1408"/>
      <c r="BH26" s="4447"/>
      <c r="BI26" s="3169"/>
      <c r="BJ26" s="3169"/>
      <c r="BK26" s="3169"/>
      <c r="BL26" s="3169"/>
      <c r="BM26" s="3169"/>
      <c r="BN26" s="3169"/>
      <c r="BO26" s="3169"/>
      <c r="BP26" s="3169"/>
      <c r="BQ26" s="3169"/>
      <c r="BR26" s="3169"/>
      <c r="BS26" s="3169"/>
      <c r="BT26" s="3169"/>
    </row>
    <row r="27" spans="1:72" ht="15" customHeight="1" thickBot="1">
      <c r="A27" s="635"/>
      <c r="B27" s="1458"/>
      <c r="C27" s="1468" t="s">
        <v>377</v>
      </c>
      <c r="D27" s="1450" t="s">
        <v>3113</v>
      </c>
      <c r="E27" s="1450"/>
      <c r="F27" s="1450"/>
      <c r="G27" s="1450"/>
      <c r="H27" s="1450"/>
      <c r="I27" s="1450"/>
      <c r="J27" s="1450"/>
      <c r="K27" s="1450"/>
      <c r="L27" s="1450"/>
      <c r="M27" s="1450"/>
      <c r="N27" s="1450"/>
      <c r="O27" s="1451" t="s">
        <v>123</v>
      </c>
      <c r="P27" s="1452"/>
      <c r="Q27" s="1452"/>
      <c r="R27" s="1453"/>
      <c r="S27" s="5408" t="s">
        <v>125</v>
      </c>
      <c r="T27" s="5409"/>
      <c r="U27" s="5409"/>
      <c r="V27" s="5409"/>
      <c r="W27" s="5409"/>
      <c r="X27" s="5409"/>
      <c r="Y27" s="5409"/>
      <c r="Z27" s="1639" t="s">
        <v>3105</v>
      </c>
      <c r="AA27" s="1454"/>
      <c r="AB27" s="1454"/>
      <c r="AC27" s="1454"/>
      <c r="AD27" s="1454"/>
      <c r="AE27" s="1454"/>
      <c r="AF27" s="1454"/>
      <c r="AG27" s="1454"/>
      <c r="AH27" s="699"/>
      <c r="AI27" s="3851" t="str">
        <f>IF($AI$23="","dependents here.","dependents.")</f>
        <v>dependents here.</v>
      </c>
      <c r="AJ27" s="7"/>
      <c r="AK27" s="7"/>
      <c r="AL27" s="1443"/>
      <c r="AM27" s="1443"/>
      <c r="AN27" s="5519"/>
      <c r="AO27" s="5325"/>
      <c r="AP27" s="5325"/>
      <c r="AQ27" s="5325"/>
      <c r="AR27" s="5522"/>
      <c r="AS27" s="1443"/>
      <c r="AT27" s="1443"/>
      <c r="AU27" s="1443"/>
      <c r="AV27" s="1443"/>
      <c r="AW27" s="1443"/>
      <c r="AX27" s="1443"/>
      <c r="AY27" s="1443"/>
      <c r="AZ27" s="1443"/>
      <c r="BA27" s="1443"/>
      <c r="BB27" s="1443"/>
      <c r="BC27" s="1443"/>
      <c r="BD27" s="1443"/>
      <c r="BE27" s="1443"/>
      <c r="BF27" s="1408"/>
      <c r="BG27" s="1408"/>
      <c r="BH27" s="4447"/>
      <c r="BI27" s="3169"/>
      <c r="BJ27" s="3169"/>
      <c r="BK27" s="3169"/>
      <c r="BL27" s="3169"/>
      <c r="BM27" s="3169"/>
      <c r="BN27" s="3169"/>
      <c r="BO27" s="3169"/>
      <c r="BP27" s="3169"/>
      <c r="BQ27" s="3169"/>
      <c r="BR27" s="3169"/>
      <c r="BS27" s="3169"/>
      <c r="BT27" s="3169"/>
    </row>
    <row r="28" spans="1:72" ht="15" customHeight="1" thickBot="1">
      <c r="A28" s="635"/>
      <c r="B28" s="1458"/>
      <c r="C28" s="4113" t="s">
        <v>303</v>
      </c>
      <c r="D28" s="5445"/>
      <c r="E28" s="5442"/>
      <c r="F28" s="5442"/>
      <c r="G28" s="5442"/>
      <c r="H28" s="5442"/>
      <c r="I28" s="5442"/>
      <c r="J28" s="5442"/>
      <c r="K28" s="5442"/>
      <c r="L28" s="5442"/>
      <c r="M28" s="5442"/>
      <c r="N28" s="5446"/>
      <c r="O28" s="5437"/>
      <c r="P28" s="5438"/>
      <c r="Q28" s="5439"/>
      <c r="R28" s="5440"/>
      <c r="S28" s="5441"/>
      <c r="T28" s="5442"/>
      <c r="U28" s="5442"/>
      <c r="V28" s="5442"/>
      <c r="W28" s="5442"/>
      <c r="X28" s="5443"/>
      <c r="Y28" s="5443"/>
      <c r="Z28" s="5352" t="s">
        <v>3318</v>
      </c>
      <c r="AA28" s="5353"/>
      <c r="AB28" s="3829"/>
      <c r="AC28" s="3829"/>
      <c r="AD28" s="3849"/>
      <c r="AE28" s="3849"/>
      <c r="AF28" s="3849"/>
      <c r="AG28" s="3849"/>
      <c r="AH28" s="699"/>
      <c r="AI28" s="7"/>
      <c r="AJ28" s="7"/>
      <c r="AK28" s="7"/>
      <c r="AL28" s="1443"/>
      <c r="AM28" s="1443"/>
      <c r="AN28" s="5519"/>
      <c r="AO28" s="5325"/>
      <c r="AP28" s="5325"/>
      <c r="AQ28" s="5325"/>
      <c r="AR28" s="5522"/>
      <c r="AS28" s="1443"/>
      <c r="AT28" s="1443"/>
      <c r="AU28" s="1443"/>
      <c r="AV28" s="1443"/>
      <c r="AW28" s="1443"/>
      <c r="AX28" s="1443"/>
      <c r="AY28" s="1443"/>
      <c r="AZ28" s="1443"/>
      <c r="BA28" s="1443"/>
      <c r="BB28" s="1443"/>
      <c r="BC28" s="1443"/>
      <c r="BD28" s="1443"/>
      <c r="BE28" s="1443"/>
      <c r="BF28" s="1443"/>
      <c r="BG28" s="1408"/>
      <c r="BH28" s="4447"/>
      <c r="BI28" s="3169"/>
      <c r="BJ28" s="3169"/>
      <c r="BK28" s="3169"/>
      <c r="BL28" s="3169"/>
      <c r="BM28" s="3169"/>
      <c r="BN28" s="3169"/>
      <c r="BO28" s="3169"/>
      <c r="BP28" s="3169"/>
      <c r="BQ28" s="3169"/>
      <c r="BR28" s="3169"/>
      <c r="BS28" s="3169"/>
      <c r="BT28" s="3169"/>
    </row>
    <row r="29" spans="1:72" ht="15" customHeight="1">
      <c r="A29" s="635"/>
      <c r="B29" s="1458"/>
      <c r="C29" s="5368" t="s">
        <v>3413</v>
      </c>
      <c r="D29" s="5364" t="s">
        <v>599</v>
      </c>
      <c r="E29" s="5355"/>
      <c r="F29" s="5355"/>
      <c r="G29" s="5355"/>
      <c r="H29" s="5355"/>
      <c r="I29" s="5355"/>
      <c r="J29" s="5365"/>
      <c r="K29" s="5354" t="s">
        <v>600</v>
      </c>
      <c r="L29" s="5355"/>
      <c r="M29" s="5355"/>
      <c r="N29" s="5355"/>
      <c r="O29" s="5355"/>
      <c r="P29" s="5355"/>
      <c r="Q29" s="5355"/>
      <c r="R29" s="5355"/>
      <c r="S29" s="1124"/>
      <c r="T29" s="1072"/>
      <c r="U29" s="5386" t="s">
        <v>601</v>
      </c>
      <c r="V29" s="5387"/>
      <c r="W29" s="5387"/>
      <c r="X29" s="5388"/>
      <c r="Y29" s="5383" t="s">
        <v>602</v>
      </c>
      <c r="Z29" s="5384"/>
      <c r="AA29" s="5384"/>
      <c r="AB29" s="5384"/>
      <c r="AC29" s="5385"/>
      <c r="AD29" s="3835" t="s">
        <v>3106</v>
      </c>
      <c r="AE29" s="3739"/>
      <c r="AF29" s="3739"/>
      <c r="AG29" s="3831"/>
      <c r="AH29" s="699"/>
      <c r="AI29" s="7"/>
      <c r="AJ29" s="7"/>
      <c r="AK29" s="7"/>
      <c r="AL29" s="4743" t="s">
        <v>2161</v>
      </c>
      <c r="AM29" s="1443"/>
      <c r="AN29" s="5519"/>
      <c r="AO29" s="5325"/>
      <c r="AP29" s="5325"/>
      <c r="AQ29" s="5325"/>
      <c r="AR29" s="5522"/>
      <c r="AS29" s="1443"/>
      <c r="AT29" s="1443"/>
      <c r="AU29" s="1443"/>
      <c r="AV29" s="1443"/>
      <c r="AW29" s="1443"/>
      <c r="AX29" s="1443"/>
      <c r="AY29" s="1443"/>
      <c r="AZ29" s="1443"/>
      <c r="BA29" s="1443"/>
      <c r="BB29" s="1443"/>
      <c r="BC29" s="1443"/>
      <c r="BD29" s="1443"/>
      <c r="BE29" s="1443"/>
      <c r="BF29" s="1443"/>
      <c r="BG29" s="1443"/>
      <c r="BH29" s="4447"/>
      <c r="BI29" s="3169"/>
      <c r="BJ29" s="3169"/>
      <c r="BK29" s="3169"/>
      <c r="BL29" s="3169"/>
      <c r="BM29" s="3169"/>
      <c r="BN29" s="3169"/>
      <c r="BO29" s="3169"/>
      <c r="BP29" s="3169"/>
      <c r="BQ29" s="3169"/>
      <c r="BR29" s="3169"/>
      <c r="BS29" s="3169"/>
      <c r="BT29" s="3169"/>
    </row>
    <row r="30" spans="1:72" ht="13.5" customHeight="1">
      <c r="A30" s="635"/>
      <c r="B30" s="1458"/>
      <c r="C30" s="5369"/>
      <c r="D30" s="5390"/>
      <c r="E30" s="5390"/>
      <c r="F30" s="5390"/>
      <c r="G30" s="5390"/>
      <c r="H30" s="5390"/>
      <c r="I30" s="5410"/>
      <c r="J30" s="5411"/>
      <c r="K30" s="5418"/>
      <c r="L30" s="5448"/>
      <c r="M30" s="5448"/>
      <c r="N30" s="5448"/>
      <c r="O30" s="5448"/>
      <c r="P30" s="5448"/>
      <c r="Q30" s="5448"/>
      <c r="R30" s="5448"/>
      <c r="S30" s="5448"/>
      <c r="T30" s="5449"/>
      <c r="U30" s="5389"/>
      <c r="V30" s="5390"/>
      <c r="W30" s="5390"/>
      <c r="X30" s="5391"/>
      <c r="Y30" s="5389"/>
      <c r="Z30" s="5390"/>
      <c r="AA30" s="5390"/>
      <c r="AB30" s="5390"/>
      <c r="AC30" s="5391"/>
      <c r="AD30" s="1444"/>
      <c r="AE30" s="3834" t="s">
        <v>3103</v>
      </c>
      <c r="AF30" s="3832"/>
      <c r="AG30" s="3832"/>
      <c r="AH30" s="699"/>
      <c r="AI30" s="7"/>
      <c r="AJ30" s="7"/>
      <c r="AK30" s="7"/>
      <c r="AL30" s="397"/>
      <c r="AM30" s="1443"/>
      <c r="AN30" s="5519"/>
      <c r="AO30" s="5325"/>
      <c r="AP30" s="5325"/>
      <c r="AQ30" s="5325"/>
      <c r="AR30" s="5522"/>
      <c r="AS30" s="1443"/>
      <c r="AT30" s="1443"/>
      <c r="AU30" s="1443"/>
      <c r="AV30" s="1443"/>
      <c r="AW30" s="1443"/>
      <c r="AX30" s="1443"/>
      <c r="AY30" s="1443"/>
      <c r="AZ30" s="1443"/>
      <c r="BA30" s="1443"/>
      <c r="BB30" s="1443"/>
      <c r="BC30" s="1443"/>
      <c r="BD30" s="1443"/>
      <c r="BE30" s="1443"/>
      <c r="BF30" s="1443"/>
      <c r="BG30" s="1443"/>
      <c r="BH30" s="4447"/>
      <c r="BI30" s="3169"/>
      <c r="BJ30" s="3169"/>
      <c r="BK30" s="3169"/>
      <c r="BL30" s="3169"/>
      <c r="BM30" s="3169"/>
      <c r="BN30" s="3169"/>
      <c r="BO30" s="3169"/>
      <c r="BP30" s="3169"/>
      <c r="BQ30" s="3169"/>
      <c r="BR30" s="3169"/>
      <c r="BS30" s="3169"/>
      <c r="BT30" s="3169"/>
    </row>
    <row r="31" spans="1:72" ht="14.25" customHeight="1">
      <c r="A31" s="635"/>
      <c r="B31" s="1458"/>
      <c r="C31" s="4114"/>
      <c r="D31" s="5397" t="s">
        <v>603</v>
      </c>
      <c r="E31" s="5398"/>
      <c r="F31" s="5398"/>
      <c r="G31" s="5399"/>
      <c r="H31" s="5400"/>
      <c r="I31" s="5401"/>
      <c r="J31" s="5401"/>
      <c r="K31" s="5401"/>
      <c r="L31" s="5401"/>
      <c r="M31" s="5401"/>
      <c r="N31" s="5401"/>
      <c r="O31" s="5401"/>
      <c r="P31" s="5401"/>
      <c r="Q31" s="5401"/>
      <c r="R31" s="5401"/>
      <c r="S31" s="5401"/>
      <c r="T31" s="5402"/>
      <c r="U31" s="5356" t="s">
        <v>164</v>
      </c>
      <c r="V31" s="5357"/>
      <c r="W31" s="5357"/>
      <c r="X31" s="5392"/>
      <c r="Y31" s="5392"/>
      <c r="Z31" s="5393"/>
      <c r="AA31" s="5393"/>
      <c r="AB31" s="5393"/>
      <c r="AC31" s="5394"/>
      <c r="AD31" s="1444"/>
      <c r="AE31" s="4117" t="s">
        <v>3104</v>
      </c>
      <c r="AF31" s="4116"/>
      <c r="AG31" s="4116"/>
      <c r="AH31" s="699"/>
      <c r="AI31" s="7"/>
      <c r="AJ31" s="7"/>
      <c r="AK31" s="7"/>
      <c r="AL31" s="397"/>
      <c r="AM31" s="1443"/>
      <c r="AN31" s="5523"/>
      <c r="AO31" s="5524"/>
      <c r="AP31" s="5524"/>
      <c r="AQ31" s="5524"/>
      <c r="AR31" s="5525"/>
      <c r="AS31" s="1443"/>
      <c r="AT31" s="1443"/>
      <c r="AU31" s="1443"/>
      <c r="AV31" s="1443"/>
      <c r="AW31" s="1443"/>
      <c r="AX31" s="1443"/>
      <c r="AY31" s="1443"/>
      <c r="AZ31" s="1443"/>
      <c r="BA31" s="1443"/>
      <c r="BB31" s="1443"/>
      <c r="BC31" s="1443"/>
      <c r="BD31" s="1443"/>
      <c r="BE31" s="1443"/>
      <c r="BF31" s="1443"/>
      <c r="BG31" s="1443"/>
      <c r="BH31" s="4447"/>
      <c r="BI31" s="3169"/>
      <c r="BJ31" s="3169"/>
      <c r="BK31" s="3169"/>
      <c r="BL31" s="3169"/>
      <c r="BM31" s="3169"/>
      <c r="BN31" s="3169"/>
      <c r="BO31" s="3169"/>
      <c r="BP31" s="3169"/>
      <c r="BQ31" s="3169"/>
      <c r="BR31" s="3169"/>
      <c r="BS31" s="3169"/>
      <c r="BT31" s="3169"/>
    </row>
    <row r="32" spans="1:72" ht="14.25" customHeight="1" thickBot="1">
      <c r="A32" s="635"/>
      <c r="B32" s="1458"/>
      <c r="C32" s="4115"/>
      <c r="D32" s="5378" t="s">
        <v>3414</v>
      </c>
      <c r="E32" s="5379"/>
      <c r="F32" s="5379"/>
      <c r="G32" s="5380"/>
      <c r="H32" s="5381"/>
      <c r="I32" s="5381"/>
      <c r="J32" s="5381"/>
      <c r="K32" s="5381"/>
      <c r="L32" s="5381"/>
      <c r="M32" s="5381"/>
      <c r="N32" s="5381"/>
      <c r="O32" s="5381"/>
      <c r="P32" s="5381"/>
      <c r="Q32" s="5381"/>
      <c r="R32" s="5381"/>
      <c r="S32" s="5381"/>
      <c r="T32" s="5381"/>
      <c r="U32" s="5381"/>
      <c r="V32" s="5381"/>
      <c r="W32" s="5381"/>
      <c r="X32" s="5381"/>
      <c r="Y32" s="5381"/>
      <c r="Z32" s="5381"/>
      <c r="AA32" s="5381"/>
      <c r="AB32" s="5381"/>
      <c r="AC32" s="5382"/>
      <c r="AD32" s="4119"/>
      <c r="AE32" s="4118"/>
      <c r="AF32" s="3833"/>
      <c r="AG32" s="3833"/>
      <c r="AH32" s="699"/>
      <c r="AI32" s="7"/>
      <c r="AJ32" s="7"/>
      <c r="AK32" s="7"/>
      <c r="AL32" s="397"/>
      <c r="AM32" s="1443"/>
      <c r="AN32" s="1443"/>
      <c r="AO32" s="1443"/>
      <c r="AP32" s="1443"/>
      <c r="AQ32" s="1443"/>
      <c r="AR32" s="1443"/>
      <c r="AS32" s="1443"/>
      <c r="AT32" s="1443"/>
      <c r="AU32" s="1443"/>
      <c r="AV32" s="1435"/>
      <c r="AW32" s="3845" t="s">
        <v>3108</v>
      </c>
      <c r="AX32" s="3844"/>
      <c r="AY32" s="1936"/>
      <c r="AZ32" s="1443"/>
      <c r="BA32" s="1443"/>
      <c r="BB32" s="1443"/>
      <c r="BC32" s="1443"/>
      <c r="BD32" s="1443"/>
      <c r="BE32" s="1443"/>
      <c r="BF32" s="1443"/>
      <c r="BG32" s="1443"/>
      <c r="BH32" s="4447"/>
      <c r="BI32" s="3169"/>
      <c r="BJ32" s="3169"/>
      <c r="BK32" s="3169"/>
      <c r="BL32" s="3169"/>
      <c r="BM32" s="3169"/>
      <c r="BN32" s="3169"/>
      <c r="BO32" s="3169"/>
      <c r="BP32" s="3169"/>
      <c r="BQ32" s="3169"/>
      <c r="BR32" s="3169"/>
      <c r="BS32" s="3169"/>
      <c r="BT32" s="3169"/>
    </row>
    <row r="33" spans="1:72" ht="14.25" customHeight="1">
      <c r="A33" s="635"/>
      <c r="B33" s="4110" t="s">
        <v>579</v>
      </c>
      <c r="C33" s="1478"/>
      <c r="D33" s="1479"/>
      <c r="E33" s="1480"/>
      <c r="F33" s="1481"/>
      <c r="G33" s="1481"/>
      <c r="H33" s="1481"/>
      <c r="I33" s="1481"/>
      <c r="J33" s="1481"/>
      <c r="K33" s="1481"/>
      <c r="L33" s="1481"/>
      <c r="M33" s="1481"/>
      <c r="N33" s="1481"/>
      <c r="O33" s="1481"/>
      <c r="P33" s="1481"/>
      <c r="Q33" s="1481"/>
      <c r="R33" s="1481"/>
      <c r="S33" s="1481"/>
      <c r="T33" s="1481"/>
      <c r="U33" s="1481"/>
      <c r="V33" s="1482"/>
      <c r="W33" s="1482"/>
      <c r="X33" s="1483" t="s">
        <v>469</v>
      </c>
      <c r="Y33" s="1481"/>
      <c r="Z33" s="1481"/>
      <c r="AA33" s="1484"/>
      <c r="AB33" s="1485"/>
      <c r="AC33" s="1485"/>
      <c r="AD33" s="1485"/>
      <c r="AE33" s="1743" t="s">
        <v>1039</v>
      </c>
      <c r="AF33" s="1485"/>
      <c r="AG33" s="1486" t="str">
        <f>"("&amp;TaxYear&amp;")"</f>
        <v>(2018)</v>
      </c>
      <c r="AH33" s="702"/>
      <c r="AI33" s="3836"/>
      <c r="AJ33" s="1443"/>
      <c r="AK33" s="1443"/>
      <c r="AL33" s="397"/>
      <c r="AM33" s="2555"/>
      <c r="AN33" s="2546"/>
      <c r="AO33" s="2546"/>
      <c r="AP33" s="2546"/>
      <c r="AQ33" s="2546"/>
      <c r="AR33" s="2546"/>
      <c r="AS33" s="2546"/>
      <c r="AT33" s="2546"/>
      <c r="AU33" s="2546"/>
      <c r="AV33" s="2546"/>
      <c r="AW33" s="2106"/>
      <c r="AX33" s="1408"/>
      <c r="AY33" s="2107"/>
      <c r="AZ33" s="1443"/>
      <c r="BA33" s="1443"/>
      <c r="BB33" s="1443"/>
      <c r="BC33" s="1443"/>
      <c r="BD33" s="1443"/>
      <c r="BE33" s="1443"/>
      <c r="BF33" s="1443"/>
      <c r="BG33" s="1443"/>
      <c r="BH33" s="4447"/>
      <c r="BI33" s="3169"/>
      <c r="BJ33" s="3169"/>
      <c r="BK33" s="3169"/>
      <c r="BL33" s="3169"/>
      <c r="BM33" s="3169"/>
      <c r="BN33" s="3169"/>
      <c r="BO33" s="3169"/>
      <c r="BP33" s="3169"/>
      <c r="BQ33" s="3169"/>
      <c r="BR33" s="3169"/>
      <c r="BS33" s="3169"/>
      <c r="BT33" s="3169"/>
    </row>
    <row r="34" spans="1:72" ht="15.75" customHeight="1" thickBot="1">
      <c r="A34" s="635"/>
      <c r="B34" s="3775" t="str">
        <f>"Form 1040  ("&amp;TaxYear&amp;")"</f>
        <v>Form 1040  (2018)</v>
      </c>
      <c r="C34" s="3775"/>
      <c r="D34" s="1469"/>
      <c r="E34" s="1495"/>
      <c r="F34" s="1496"/>
      <c r="G34" s="1496"/>
      <c r="H34" s="1496"/>
      <c r="I34" s="1496"/>
      <c r="J34" s="1496"/>
      <c r="K34" s="1496"/>
      <c r="L34" s="1496"/>
      <c r="M34" s="1496"/>
      <c r="N34" s="1496"/>
      <c r="O34" s="3776"/>
      <c r="P34" s="3776"/>
      <c r="Q34" s="3776"/>
      <c r="R34" s="3776"/>
      <c r="S34" s="1496"/>
      <c r="T34" s="1496"/>
      <c r="U34" s="1496"/>
      <c r="V34" s="1496"/>
      <c r="W34" s="1496"/>
      <c r="X34" s="1496"/>
      <c r="Y34" s="1496"/>
      <c r="Z34" s="1496"/>
      <c r="AA34" s="3777"/>
      <c r="AB34" s="3778"/>
      <c r="AC34" s="3778"/>
      <c r="AD34" s="3778"/>
      <c r="AE34" s="3779" t="str">
        <f>IF(AND(Birthday_Needed,OR(AW53,AW68)),"Enter your birthdate and your spouse's birthdates above.",IF(AND(Birthday_Needed,AW53),"Enter your birthdate above.",""))</f>
        <v/>
      </c>
      <c r="AF34" s="3778"/>
      <c r="AG34" s="3780" t="s">
        <v>454</v>
      </c>
      <c r="AH34" s="3957"/>
      <c r="AI34" s="4523" t="str">
        <f>IF(AK34,"Hide note.","")</f>
        <v/>
      </c>
      <c r="AJ34" s="1443"/>
      <c r="AK34" s="1616" t="b">
        <f>OR(AM35,AND(Qualified_Dividends&lt;&gt;0,Qualified_Dividends&lt;&gt;OrdinaryDividends))</f>
        <v>0</v>
      </c>
      <c r="AL34" s="397"/>
      <c r="AM34" s="2555"/>
      <c r="AN34" s="1443"/>
      <c r="AO34" s="1443"/>
      <c r="AP34" s="1443"/>
      <c r="AQ34" s="1443"/>
      <c r="AR34" s="1443"/>
      <c r="AS34" s="1443"/>
      <c r="AT34" s="1443"/>
      <c r="AU34" s="1443"/>
      <c r="AV34" s="1443"/>
      <c r="AW34" s="3419">
        <f>IF(File_Single&lt;&gt;"",LOOKUP(Over_65_or_Blind,AN45:AN49,AO45:AO49),IF(OR(File_Marr_Joint&lt;&gt;"",File_Qual_Widow&lt;&gt;""),LOOKUP(Over_65_or_Blind,AN45:AN49,AP45:AP49),IF(File_Marr_Sep&lt;&gt;"",LOOKUP(Over_65_or_Blind,AN45:AN49,AQ45:AQ49),IF(File_Head&lt;&gt;"",LOOKUP(Over_65_or_Blind,AN45:AN49,AR45:AR49),0))))</f>
        <v>0</v>
      </c>
      <c r="AX34" s="1876" t="b">
        <f>SchA_Filed</f>
        <v>0</v>
      </c>
      <c r="AY34" s="2107" t="b">
        <f>NOT(ItemizedDeduct)</f>
        <v>1</v>
      </c>
      <c r="AZ34" s="1443"/>
      <c r="BA34" s="1443"/>
      <c r="BB34" s="1443"/>
      <c r="BC34" s="1443"/>
      <c r="BD34" s="1443"/>
      <c r="BE34" s="1443"/>
      <c r="BF34" s="1443"/>
      <c r="BG34" s="1408"/>
      <c r="BH34" s="4447"/>
      <c r="BI34" s="3169"/>
      <c r="BJ34" s="3169"/>
      <c r="BK34" s="3169"/>
      <c r="BL34" s="3169"/>
      <c r="BM34" s="3169"/>
      <c r="BN34" s="3169"/>
      <c r="BO34" s="3169"/>
      <c r="BP34" s="3169"/>
      <c r="BQ34" s="3169"/>
      <c r="BR34" s="3169"/>
      <c r="BS34" s="3169"/>
      <c r="BT34" s="3169"/>
    </row>
    <row r="35" spans="1:72" ht="14.25" customHeight="1" thickBot="1">
      <c r="A35" s="635"/>
      <c r="B35" s="5360" t="s">
        <v>3415</v>
      </c>
      <c r="C35" s="5361"/>
      <c r="D35" s="1455">
        <v>1</v>
      </c>
      <c r="E35" s="1456"/>
      <c r="F35" s="1457" t="s">
        <v>604</v>
      </c>
      <c r="G35" s="1458"/>
      <c r="H35" s="1458"/>
      <c r="I35" s="1458"/>
      <c r="J35" s="1458"/>
      <c r="K35" s="1458"/>
      <c r="L35" s="1458"/>
      <c r="M35" s="1458"/>
      <c r="N35" s="1458"/>
      <c r="O35" s="1458"/>
      <c r="P35" s="1458"/>
      <c r="Q35" s="1458"/>
      <c r="R35" s="1458"/>
      <c r="S35" s="3774" t="s">
        <v>594</v>
      </c>
      <c r="T35" s="5537" t="str">
        <f>IF('Earned Inc Calc'!J23&gt;0,"PRI  "&amp;TEXT('Earned Inc Calc'!J23,"$0,000"),IF('Earned Inc Calc'!J33&gt;0,"DFC  "&amp;TEXT('Earned Inc Calc'!J33,"$0,000"),IF(OR('2441'!O100="",'2441'!O100=0),"","DCB")))</f>
        <v/>
      </c>
      <c r="U35" s="5538"/>
      <c r="V35" s="5538"/>
      <c r="W35" s="5538"/>
      <c r="X35" s="5538"/>
      <c r="Y35" s="5539"/>
      <c r="Z35" s="5540"/>
      <c r="AA35" s="1492">
        <f>D35</f>
        <v>1</v>
      </c>
      <c r="AB35" s="5366">
        <f>IF(AL35&lt;&gt;"",AL35,SUM(W2_Wages,Dependent_Care))</f>
        <v>0</v>
      </c>
      <c r="AC35" s="5367"/>
      <c r="AD35" s="5367"/>
      <c r="AE35" s="5367"/>
      <c r="AF35" s="5367"/>
      <c r="AG35" s="3790"/>
      <c r="AH35" s="699"/>
      <c r="AI35" s="5498" t="str">
        <f>IF(AH34&lt;&gt;"","",IF(AM35,"Use Sheets W-2, "&amp;CHAR(10)&amp;"1099-R, and "&amp;CHAR(10)&amp;"SSA-1099 for accurate results.",IF(OrdinaryDividends&lt;Qualified_Dividends,"Error: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Qualfied Dividends, in line 3b, Ordinary Dividend, amount.",IF(AND(IRA_Pension_Taxable&lt;&gt;0,SUM(ROUND(IRA_Gross,0),ROUND(PA_Gross,0))=IRA_Pension_Taxable),"Line 4a is blank per instructions.","")))))</f>
        <v/>
      </c>
      <c r="AJ35" s="5498"/>
      <c r="AK35" s="5498"/>
      <c r="AL35" s="3837"/>
      <c r="AM35" s="3848" t="b">
        <f>OR(AL35&lt;&gt;"",AL36&lt;&gt;"",AL37&lt;&gt;"",AL38&lt;&gt;"",AL39&lt;&gt;"",AM36&lt;&gt;"",AM37&lt;&gt;"",AM38&lt;&gt;"",AM39&lt;&gt;"")</f>
        <v>0</v>
      </c>
      <c r="AN35" s="1408"/>
      <c r="AO35" s="1408"/>
      <c r="AP35" s="1408"/>
      <c r="AQ35" s="1408"/>
      <c r="AR35" s="1408"/>
      <c r="AS35" s="1408"/>
      <c r="AT35" s="1408"/>
      <c r="AU35" s="1408"/>
      <c r="AV35" s="1408"/>
      <c r="AW35" s="3839" t="s">
        <v>313</v>
      </c>
      <c r="AX35" s="3840" t="s">
        <v>530</v>
      </c>
      <c r="AY35" s="2107"/>
      <c r="AZ35" s="1443"/>
      <c r="BA35" s="1443"/>
      <c r="BB35" s="1443"/>
      <c r="BC35" s="1443"/>
      <c r="BD35" s="1443"/>
      <c r="BE35" s="1443"/>
      <c r="BF35" s="1443"/>
      <c r="BG35" s="3613"/>
      <c r="BH35" s="4447"/>
      <c r="BI35" s="3169"/>
      <c r="BJ35" s="3169"/>
      <c r="BK35" s="3169"/>
      <c r="BL35" s="3169"/>
      <c r="BM35" s="3169"/>
      <c r="BN35" s="3169"/>
      <c r="BO35" s="3169"/>
      <c r="BP35" s="3169"/>
      <c r="BQ35" s="3169"/>
      <c r="BR35" s="3169"/>
      <c r="BS35" s="3169"/>
      <c r="BT35" s="3169"/>
    </row>
    <row r="36" spans="1:72" ht="14.25" customHeight="1">
      <c r="A36" s="635"/>
      <c r="B36" s="5362"/>
      <c r="C36" s="5362"/>
      <c r="D36" s="1455">
        <v>2</v>
      </c>
      <c r="E36" s="1475" t="s">
        <v>38</v>
      </c>
      <c r="F36" s="1457" t="s">
        <v>2349</v>
      </c>
      <c r="G36" s="1460"/>
      <c r="H36" s="1460"/>
      <c r="I36" s="1460"/>
      <c r="J36" s="1460"/>
      <c r="K36" s="1460"/>
      <c r="L36" s="3755" t="s">
        <v>634</v>
      </c>
      <c r="M36" s="1472" t="str">
        <f>D36&amp;"a"</f>
        <v>2a</v>
      </c>
      <c r="N36" s="5371">
        <f>IF(AL36&lt;&gt;"",ROUND(AL36,0),SUM(TaxExemptInterest,Exempt_Interest_DIV))</f>
        <v>0</v>
      </c>
      <c r="O36" s="5372"/>
      <c r="P36" s="5372"/>
      <c r="Q36" s="5372"/>
      <c r="R36" s="5372"/>
      <c r="S36" s="1455"/>
      <c r="T36" s="3764" t="s">
        <v>3071</v>
      </c>
      <c r="U36" s="3761"/>
      <c r="V36" s="1456"/>
      <c r="W36" s="1456"/>
      <c r="X36" s="1456"/>
      <c r="Y36" s="1456"/>
      <c r="Z36" s="3755" t="s">
        <v>856</v>
      </c>
      <c r="AA36" s="1472" t="str">
        <f>D36&amp;"b"</f>
        <v>2b</v>
      </c>
      <c r="AB36" s="5373">
        <f>IF(AM36&lt;&gt;"",ROUND(AM36,0),Interest_Inc)</f>
        <v>0</v>
      </c>
      <c r="AC36" s="5374"/>
      <c r="AD36" s="5374"/>
      <c r="AE36" s="5374"/>
      <c r="AF36" s="5374"/>
      <c r="AG36" s="352"/>
      <c r="AH36" s="699"/>
      <c r="AI36" s="5498"/>
      <c r="AJ36" s="5498"/>
      <c r="AK36" s="5498"/>
      <c r="AL36" s="3471"/>
      <c r="AM36" s="3472"/>
      <c r="AN36" s="2546"/>
      <c r="AO36" s="2546"/>
      <c r="AP36" s="2546"/>
      <c r="AQ36" s="2546"/>
      <c r="AR36" s="2546"/>
      <c r="AS36" s="2546"/>
      <c r="AT36" s="2546"/>
      <c r="AU36" s="2546"/>
      <c r="AV36" s="2546"/>
      <c r="AW36" s="3838">
        <f>IF(OR(Dual_Status_Alien&lt;&gt;"",ISERROR(Over_65_or_Blind)),0, IF('Line 8 (SD Depnts)'!L4,Std_Ded_Wrks_For_Dep, IF(Over_65_or_Blind&gt;0,AW34,AW37)))</f>
        <v>0</v>
      </c>
      <c r="AX36" s="1876">
        <f>Tot_Item_Deduct</f>
        <v>0</v>
      </c>
      <c r="AY36" s="2107"/>
      <c r="AZ36" s="1443"/>
      <c r="BA36" s="1443"/>
      <c r="BB36" s="1443"/>
      <c r="BC36" s="1443"/>
      <c r="BD36" s="1443"/>
      <c r="BE36" s="1443"/>
      <c r="BF36" s="1443"/>
      <c r="BG36" s="3613"/>
      <c r="BH36" s="4447"/>
      <c r="BI36" s="3169"/>
      <c r="BJ36" s="3169"/>
      <c r="BK36" s="3169"/>
      <c r="BL36" s="3169"/>
      <c r="BM36" s="3169"/>
      <c r="BN36" s="3169"/>
      <c r="BO36" s="3169"/>
      <c r="BP36" s="3169"/>
      <c r="BQ36" s="3169"/>
      <c r="BR36" s="3169"/>
      <c r="BS36" s="3169"/>
      <c r="BT36" s="3169"/>
    </row>
    <row r="37" spans="1:72" ht="14.25" customHeight="1">
      <c r="A37" s="635"/>
      <c r="B37" s="5362"/>
      <c r="C37" s="5362"/>
      <c r="D37" s="1455">
        <v>3</v>
      </c>
      <c r="E37" s="1459" t="s">
        <v>38</v>
      </c>
      <c r="F37" s="1457" t="s">
        <v>567</v>
      </c>
      <c r="G37" s="1460"/>
      <c r="H37" s="1460"/>
      <c r="I37" s="1460"/>
      <c r="J37" s="1460"/>
      <c r="K37" s="1460"/>
      <c r="L37" s="3755" t="s">
        <v>634</v>
      </c>
      <c r="M37" s="1472" t="str">
        <f>D37&amp;"a"</f>
        <v>3a</v>
      </c>
      <c r="N37" s="5371">
        <f>IF(AL37&lt;&gt;"",ROUND(AL37,0),ROUND('1099-DIV'!H91,0))</f>
        <v>0</v>
      </c>
      <c r="O37" s="5372"/>
      <c r="P37" s="5372"/>
      <c r="Q37" s="5372"/>
      <c r="R37" s="5372"/>
      <c r="S37" s="1455"/>
      <c r="T37" s="3764" t="s">
        <v>3073</v>
      </c>
      <c r="U37" s="3761"/>
      <c r="V37" s="1456"/>
      <c r="W37" s="1456"/>
      <c r="X37" s="1456"/>
      <c r="Y37" s="1456"/>
      <c r="Z37" s="3755" t="s">
        <v>2261</v>
      </c>
      <c r="AA37" s="1472" t="str">
        <f>D37&amp;"b"</f>
        <v>3b</v>
      </c>
      <c r="AB37" s="5366">
        <f>IF(AM37&lt;&gt;"",ROUND(AM37,0),Dividend_Inc)</f>
        <v>0</v>
      </c>
      <c r="AC37" s="5367"/>
      <c r="AD37" s="5367"/>
      <c r="AE37" s="5367"/>
      <c r="AF37" s="5367"/>
      <c r="AG37" s="352"/>
      <c r="AH37" s="699"/>
      <c r="AI37" s="5498"/>
      <c r="AJ37" s="5498"/>
      <c r="AK37" s="5498"/>
      <c r="AL37" s="3762"/>
      <c r="AM37" s="3763"/>
      <c r="AN37" s="1443"/>
      <c r="AO37" s="1443"/>
      <c r="AP37" s="1443"/>
      <c r="AQ37" s="1443"/>
      <c r="AR37" s="1443"/>
      <c r="AS37" s="1443"/>
      <c r="AT37" s="1443"/>
      <c r="AU37" s="1443"/>
      <c r="AV37" s="1443"/>
      <c r="AW37" s="3838">
        <f>IF(File_Single&lt;&gt;"",SD_Single,IF(OR(File_Marr_Joint&lt;&gt;"",File_Qual_Widow&lt;&gt;""),SD_MFJW,IF(File_Head&lt;&gt;"",SD_Head,IF(File_Marr_Sep&lt;&gt;"",SD_Single,0))))</f>
        <v>0</v>
      </c>
      <c r="AX37" s="1876"/>
      <c r="AY37" s="2107"/>
      <c r="AZ37" s="1443"/>
      <c r="BA37" s="1443"/>
      <c r="BB37" s="1443"/>
      <c r="BC37" s="1443"/>
      <c r="BD37" s="1443"/>
      <c r="BE37" s="1443"/>
      <c r="BF37" s="1443"/>
      <c r="BG37" s="3613"/>
      <c r="BH37" s="4447"/>
      <c r="BI37" s="3169"/>
      <c r="BJ37" s="3169"/>
      <c r="BK37" s="3169"/>
      <c r="BL37" s="3169"/>
      <c r="BM37" s="3169"/>
      <c r="BN37" s="3169"/>
      <c r="BO37" s="3169"/>
      <c r="BP37" s="3169"/>
      <c r="BQ37" s="3169"/>
      <c r="BR37" s="3169"/>
      <c r="BS37" s="3169"/>
      <c r="BT37" s="3169"/>
    </row>
    <row r="38" spans="1:72" ht="14.25" customHeight="1">
      <c r="A38" s="635"/>
      <c r="B38" s="5363"/>
      <c r="C38" s="5363"/>
      <c r="D38" s="1455">
        <f>D37+1</f>
        <v>4</v>
      </c>
      <c r="E38" s="1459" t="s">
        <v>38</v>
      </c>
      <c r="F38" s="1457" t="s">
        <v>3072</v>
      </c>
      <c r="G38" s="1460"/>
      <c r="H38" s="1460"/>
      <c r="I38" s="1460"/>
      <c r="J38" s="1460"/>
      <c r="K38" s="1460"/>
      <c r="L38" s="1461" t="s">
        <v>3417</v>
      </c>
      <c r="M38" s="1472" t="str">
        <f>D38&amp;"a"</f>
        <v>4a</v>
      </c>
      <c r="N38" s="5371" t="str">
        <f>IF(AL38&lt;&gt;"",ROUND(AL38,0),IF(SUM(ROUND(IRA_Gross,0),ROUND(PA_Gross,0))=IRA_Pension_Taxable,"",SUM(ROUND(IRA_Gross,0),ROUND(PA_Gross,0))))</f>
        <v/>
      </c>
      <c r="O38" s="5372"/>
      <c r="P38" s="5372"/>
      <c r="Q38" s="5372"/>
      <c r="R38" s="5372"/>
      <c r="S38" s="1455"/>
      <c r="T38" s="3764" t="s">
        <v>3074</v>
      </c>
      <c r="U38" s="3761"/>
      <c r="V38" s="1456"/>
      <c r="W38" s="1456"/>
      <c r="X38" s="1456"/>
      <c r="Y38" s="1456"/>
      <c r="Z38" s="3755" t="str">
        <f>IF(AH38&lt;&gt;"","Rollover",".   .   .   . ")</f>
        <v xml:space="preserve">.   .   .   . </v>
      </c>
      <c r="AA38" s="1472" t="str">
        <f>D38&amp;"b"</f>
        <v>4b</v>
      </c>
      <c r="AB38" s="5366">
        <f>IF(AM38&lt;&gt;"",AM38,SUM(ROUND(IRA_Taxable,0),ROUND(PA_Taxable,0)))</f>
        <v>0</v>
      </c>
      <c r="AC38" s="5367"/>
      <c r="AD38" s="5367"/>
      <c r="AE38" s="5367"/>
      <c r="AF38" s="5367"/>
      <c r="AG38" s="352"/>
      <c r="AH38" s="3957"/>
      <c r="AI38" s="5498"/>
      <c r="AJ38" s="5498"/>
      <c r="AK38" s="5498"/>
      <c r="AL38" s="3762"/>
      <c r="AM38" s="3763"/>
      <c r="AN38" s="2546"/>
      <c r="AO38" s="2546"/>
      <c r="AP38" s="2546"/>
      <c r="AQ38" s="2546"/>
      <c r="AR38" s="2546"/>
      <c r="AS38" s="2546"/>
      <c r="AT38" s="2546"/>
      <c r="AU38" s="2546"/>
      <c r="AV38" s="2546"/>
      <c r="AW38" s="3841"/>
      <c r="AX38" s="3041"/>
      <c r="AY38" s="3842"/>
      <c r="AZ38" s="1443"/>
      <c r="BA38" s="1443"/>
      <c r="BB38" s="1443"/>
      <c r="BC38" s="1443"/>
      <c r="BD38" s="1443"/>
      <c r="BE38" s="1443"/>
      <c r="BF38" s="1443"/>
      <c r="BG38" s="3613"/>
      <c r="BH38" s="4447"/>
      <c r="BI38" s="3169"/>
      <c r="BJ38" s="3169"/>
      <c r="BK38" s="3169"/>
      <c r="BL38" s="3169"/>
      <c r="BM38" s="3169"/>
      <c r="BN38" s="3169"/>
      <c r="BO38" s="3169"/>
      <c r="BP38" s="3169"/>
      <c r="BQ38" s="3169"/>
      <c r="BR38" s="3169"/>
      <c r="BS38" s="3169"/>
      <c r="BT38" s="3169"/>
    </row>
    <row r="39" spans="1:72" ht="14.25" customHeight="1">
      <c r="A39" s="635"/>
      <c r="B39" s="1123" t="s">
        <v>313</v>
      </c>
      <c r="C39" s="3768"/>
      <c r="D39" s="1455">
        <f>D38+1</f>
        <v>5</v>
      </c>
      <c r="E39" s="1459" t="s">
        <v>38</v>
      </c>
      <c r="F39" s="1457" t="s">
        <v>368</v>
      </c>
      <c r="G39" s="1460"/>
      <c r="H39" s="1460"/>
      <c r="I39" s="1460"/>
      <c r="J39" s="1459" t="str">
        <f>IF(LivedApart,"D","")</f>
        <v/>
      </c>
      <c r="K39" s="1460"/>
      <c r="L39" s="3755" t="s">
        <v>634</v>
      </c>
      <c r="M39" s="1472" t="str">
        <f>D39&amp;"a"</f>
        <v>5a</v>
      </c>
      <c r="N39" s="5371">
        <f>IF(AL39&lt;&gt;"",ROUND(AL39,0),ROUND('Line 5 (SS Bene)'!G14,0))</f>
        <v>0</v>
      </c>
      <c r="O39" s="5372"/>
      <c r="P39" s="5372"/>
      <c r="Q39" s="5372"/>
      <c r="R39" s="5372"/>
      <c r="S39" s="1455"/>
      <c r="T39" s="3764" t="s">
        <v>3074</v>
      </c>
      <c r="U39" s="3761"/>
      <c r="V39" s="1456"/>
      <c r="W39" s="1456"/>
      <c r="X39" s="1456"/>
      <c r="Y39" s="1456"/>
      <c r="Z39" s="3755" t="s">
        <v>856</v>
      </c>
      <c r="AA39" s="1472" t="str">
        <f>D39&amp;"b"</f>
        <v>5b</v>
      </c>
      <c r="AB39" s="5366">
        <f>IF(AM39&lt;&gt;"",ROUND(AM39,0),IF(ISERROR(ROUND(Tax_SS_Benefits,0)),"See 'Line 5' sheet.",ROUND(Tax_SS_Benefits,0)))</f>
        <v>0</v>
      </c>
      <c r="AC39" s="5367"/>
      <c r="AD39" s="5367"/>
      <c r="AE39" s="5367"/>
      <c r="AF39" s="5367"/>
      <c r="AG39" s="352"/>
      <c r="AH39" s="699"/>
      <c r="AI39" s="5498"/>
      <c r="AJ39" s="5498"/>
      <c r="AK39" s="5498"/>
      <c r="AL39" s="3762"/>
      <c r="AM39" s="3763"/>
      <c r="AN39" s="2546"/>
      <c r="AO39" s="2546"/>
      <c r="AP39" s="2546"/>
      <c r="AQ39" s="2546"/>
      <c r="AR39" s="2546"/>
      <c r="AS39" s="2546"/>
      <c r="AT39" s="1443"/>
      <c r="AU39" s="1443"/>
      <c r="AV39" s="1443"/>
      <c r="AW39" s="1876"/>
      <c r="AX39" s="1876"/>
      <c r="AY39" s="1876"/>
      <c r="AZ39" s="1443"/>
      <c r="BA39" s="1443"/>
      <c r="BB39" s="1443"/>
      <c r="BC39" s="1443"/>
      <c r="BD39" s="1443"/>
      <c r="BE39" s="1443"/>
      <c r="BF39" s="1443"/>
      <c r="BG39" s="1616"/>
      <c r="BH39" s="4447"/>
      <c r="BI39" s="3169"/>
      <c r="BJ39" s="3169"/>
      <c r="BK39" s="3169"/>
      <c r="BL39" s="3169"/>
      <c r="BM39" s="3169"/>
      <c r="BN39" s="3169"/>
      <c r="BO39" s="3169"/>
      <c r="BP39" s="3169"/>
      <c r="BQ39" s="3169"/>
      <c r="BR39" s="3169"/>
      <c r="BS39" s="3169"/>
      <c r="BT39" s="3169"/>
    </row>
    <row r="40" spans="1:72" ht="14.25" customHeight="1" thickBot="1">
      <c r="A40" s="635"/>
      <c r="B40" s="1123" t="s">
        <v>695</v>
      </c>
      <c r="C40" s="3769"/>
      <c r="D40" s="1487">
        <v>6</v>
      </c>
      <c r="E40" s="1456"/>
      <c r="F40" s="1457" t="s">
        <v>3416</v>
      </c>
      <c r="G40" s="1458"/>
      <c r="H40" s="1458"/>
      <c r="I40" s="1458"/>
      <c r="J40" s="1458"/>
      <c r="K40" s="1458"/>
      <c r="L40" s="1458"/>
      <c r="M40" s="1458"/>
      <c r="N40" s="1458"/>
      <c r="O40" s="1458"/>
      <c r="P40" s="1458"/>
      <c r="Q40" s="1458"/>
      <c r="R40" s="1458"/>
      <c r="S40" s="1458"/>
      <c r="T40" s="1456"/>
      <c r="U40" s="5517">
        <f>IF(AL40&lt;&gt;"",ROUND(AL40,0),Additional_Income)</f>
        <v>0</v>
      </c>
      <c r="V40" s="5518"/>
      <c r="W40" s="5518"/>
      <c r="X40" s="5518"/>
      <c r="Y40" s="1456"/>
      <c r="Z40" s="3755" t="s">
        <v>3284</v>
      </c>
      <c r="AA40" s="1477">
        <f t="shared" ref="AA40:AA45" si="0">D40</f>
        <v>6</v>
      </c>
      <c r="AB40" s="5366">
        <f>IF(AM40&lt;&gt;"",ROUND(AM40,0),ROUND(SUM(AB35:AF39,U40),0))</f>
        <v>0</v>
      </c>
      <c r="AC40" s="5367"/>
      <c r="AD40" s="5367"/>
      <c r="AE40" s="5367"/>
      <c r="AF40" s="5367"/>
      <c r="AG40" s="478"/>
      <c r="AH40" s="3957"/>
      <c r="AI40" s="5514" t="str">
        <f>IF(AND(AH40="",F8960_Applicable)," Check Form 8960.",IF(F8960_Applicable,"Form 8960 checked.",""))</f>
        <v/>
      </c>
      <c r="AJ40" s="5515"/>
      <c r="AK40" s="5516"/>
      <c r="AL40" s="3473"/>
      <c r="AM40" s="3474"/>
      <c r="AN40" s="2546"/>
      <c r="AO40" s="4054"/>
      <c r="AP40" s="2546"/>
      <c r="AQ40" s="2546"/>
      <c r="AR40" s="2546"/>
      <c r="AS40" s="2546"/>
      <c r="AT40" s="1443"/>
      <c r="AU40" s="1443"/>
      <c r="AV40" s="1443"/>
      <c r="AW40" s="1607" t="s">
        <v>3761</v>
      </c>
      <c r="AX40" s="3468" t="s">
        <v>77</v>
      </c>
      <c r="AY40" s="3468" t="s">
        <v>3629</v>
      </c>
      <c r="AZ40" s="3468" t="s">
        <v>531</v>
      </c>
      <c r="BA40" s="3468" t="s">
        <v>2508</v>
      </c>
      <c r="BB40" s="1443"/>
      <c r="BC40" s="1443"/>
      <c r="BD40" s="1443"/>
      <c r="BE40" s="1443"/>
      <c r="BF40" s="1443"/>
      <c r="BG40" s="1616"/>
      <c r="BH40" s="4447"/>
      <c r="BI40" s="3169"/>
      <c r="BJ40" s="3169"/>
      <c r="BK40" s="3169"/>
      <c r="BL40" s="3169"/>
      <c r="BM40" s="3169"/>
      <c r="BN40" s="3169"/>
      <c r="BO40" s="3169"/>
      <c r="BP40" s="3169"/>
      <c r="BQ40" s="3169"/>
      <c r="BR40" s="3169"/>
      <c r="BS40" s="3169"/>
      <c r="BT40" s="3169"/>
    </row>
    <row r="41" spans="1:72" ht="13.5" customHeight="1" thickTop="1" thickBot="1">
      <c r="A41" s="635"/>
      <c r="B41" s="1126" t="s">
        <v>703</v>
      </c>
      <c r="C41" s="3769" t="s">
        <v>3075</v>
      </c>
      <c r="D41" s="1487">
        <f>D40+1</f>
        <v>7</v>
      </c>
      <c r="E41" s="1456"/>
      <c r="F41" s="1457" t="s">
        <v>3285</v>
      </c>
      <c r="G41" s="1458"/>
      <c r="H41" s="1458"/>
      <c r="I41" s="1458"/>
      <c r="J41" s="1458"/>
      <c r="K41" s="1458"/>
      <c r="L41" s="1458"/>
      <c r="M41" s="1458"/>
      <c r="N41" s="1458"/>
      <c r="O41" s="1458"/>
      <c r="P41" s="1458"/>
      <c r="Q41" s="1458"/>
      <c r="R41" s="1458"/>
      <c r="S41" s="1458"/>
      <c r="T41" s="1456"/>
      <c r="U41" s="1456"/>
      <c r="V41" s="1456"/>
      <c r="W41" s="1456"/>
      <c r="X41" s="1456"/>
      <c r="Y41" s="1456"/>
      <c r="Z41" s="3755"/>
      <c r="AA41" s="3786"/>
      <c r="AB41" s="5358"/>
      <c r="AC41" s="5359"/>
      <c r="AD41" s="5359"/>
      <c r="AE41" s="5359"/>
      <c r="AF41" s="5359"/>
      <c r="AG41" s="478"/>
      <c r="AH41" s="701"/>
      <c r="AI41" s="5340" t="str">
        <f>IF(AND(IRAs_Pension_Annuit&lt;&gt;"",IRAs_Pension_Annuit&lt;&gt;0,IRAs_Pension_Annuit&lt;&gt;IRA_Pension_Taxable),"Check line 4b box if rollover.","")</f>
        <v/>
      </c>
      <c r="AJ41" s="5341"/>
      <c r="AK41" s="5341"/>
      <c r="AL41" s="397"/>
      <c r="AM41" s="1443"/>
      <c r="AN41" s="4055" t="b">
        <f>IF(OR($AL$43&lt;&gt;"",$AK$8,NumFileStatusBoxes=0,Dual_Status_Alien&lt;&gt;"",DependentYOU&lt;&gt;"",DependentSPOUSE&lt;&gt;"",ItemizedDeduct),FALSE,TRUE)</f>
        <v>0</v>
      </c>
      <c r="AO41" s="2086">
        <f>Over_65_or_Blind</f>
        <v>0</v>
      </c>
      <c r="AP41" s="3781"/>
      <c r="AQ41" s="3781"/>
      <c r="AR41" s="3782"/>
      <c r="AS41" s="3783"/>
      <c r="AT41" s="1443"/>
      <c r="AU41" s="1443"/>
      <c r="AV41" s="1443"/>
      <c r="AW41" s="4268">
        <f>Taxable_Inc</f>
        <v>0</v>
      </c>
      <c r="AX41" s="4262">
        <f>LOOKUP(AW41,'Tax Table'!$B$2:$B$2063,'Tax Table'!$D$2:$D$2063)</f>
        <v>0</v>
      </c>
      <c r="AY41" s="4262">
        <f>LOOKUP(AW41,'Tax Table'!$B$2:$B$2063,'Tax Table'!$E$2:$E$2063)</f>
        <v>0</v>
      </c>
      <c r="AZ41" s="4262">
        <f>LOOKUP(AW41,'Tax Table'!$B$2:$B$2063,'Tax Table'!$F$2:$F$2063)</f>
        <v>0</v>
      </c>
      <c r="BA41" s="4263">
        <f>LOOKUP(AW41,'Tax Table'!$B$2:$B$2063,'Tax Table'!$G$2:$G$2063)</f>
        <v>0</v>
      </c>
      <c r="BB41" s="1443"/>
      <c r="BC41" s="1443"/>
      <c r="BD41" s="1443"/>
      <c r="BE41" s="1443"/>
      <c r="BF41" s="1443"/>
      <c r="BG41" s="2749"/>
      <c r="BH41" s="4447"/>
      <c r="BI41" s="3169"/>
      <c r="BJ41" s="3169"/>
      <c r="BK41" s="3169"/>
      <c r="BL41" s="3169"/>
      <c r="BM41" s="3169"/>
      <c r="BN41" s="3169"/>
      <c r="BO41" s="3169"/>
      <c r="BP41" s="3169"/>
      <c r="BQ41" s="3169"/>
      <c r="BR41" s="3169"/>
      <c r="BS41" s="3169"/>
      <c r="BT41" s="3169"/>
    </row>
    <row r="42" spans="1:72" ht="15.75" thickBot="1">
      <c r="A42" s="635"/>
      <c r="B42" s="37"/>
      <c r="C42" s="32" t="s">
        <v>3076</v>
      </c>
      <c r="D42" s="1487"/>
      <c r="E42" s="1456"/>
      <c r="F42" s="1457" t="s">
        <v>3286</v>
      </c>
      <c r="G42" s="1458"/>
      <c r="H42" s="1458"/>
      <c r="I42" s="3627"/>
      <c r="J42" s="1458"/>
      <c r="K42" s="1458"/>
      <c r="L42" s="1458"/>
      <c r="M42" s="1458"/>
      <c r="N42" s="1458"/>
      <c r="O42" s="1458"/>
      <c r="P42" s="1458"/>
      <c r="Q42" s="1458"/>
      <c r="R42" s="1458"/>
      <c r="S42" s="1458"/>
      <c r="T42" s="1456"/>
      <c r="U42" s="1455"/>
      <c r="V42" s="1455"/>
      <c r="W42" s="1455"/>
      <c r="X42" s="1455"/>
      <c r="Y42" s="1455"/>
      <c r="Z42" s="3755" t="s">
        <v>104</v>
      </c>
      <c r="AA42" s="4042">
        <f>D41</f>
        <v>7</v>
      </c>
      <c r="AB42" s="5366">
        <f>IF(AL42&lt;&gt;"",ROUND(AL42,0),SUM(Total_Income,-AdjustToIncome))</f>
        <v>0</v>
      </c>
      <c r="AC42" s="5367"/>
      <c r="AD42" s="5367"/>
      <c r="AE42" s="5367"/>
      <c r="AF42" s="5367"/>
      <c r="AG42" s="478"/>
      <c r="AH42" s="701"/>
      <c r="AI42" s="5481" t="s">
        <v>3306</v>
      </c>
      <c r="AJ42" s="5482"/>
      <c r="AK42" s="5483"/>
      <c r="AL42" s="3470"/>
      <c r="AM42" s="2772" t="b">
        <f>OR(O46&lt;&gt;"",S46&lt;&gt;"",W46&lt;&gt;"")</f>
        <v>0</v>
      </c>
      <c r="AN42" s="3857" t="s">
        <v>3110</v>
      </c>
      <c r="AO42" s="4053" t="s">
        <v>2848</v>
      </c>
      <c r="AP42" s="1828"/>
      <c r="AQ42" s="3784"/>
      <c r="AR42" s="2241"/>
      <c r="AS42" s="3785"/>
      <c r="AT42" s="1443"/>
      <c r="AU42" s="1443"/>
      <c r="AV42" s="1443"/>
      <c r="AW42" s="4257"/>
      <c r="AX42" s="4264" t="str">
        <f>IF(AW41&lt;SectA_a3,"---",IF(AW41&lt;=SectA_a4,ROUND((AW41*(SectA_b4/100)-SectA_d4),0),IF(AW41&lt;=SectA_a5,ROUND((AW41*(SectA_b5/100)-SectA_d5),0),IF(AW41&lt;=SectA_a6,ROUND((AW41*(SectA_b6/100)-SectA_d6),0),ROUND((AW41*(SectA_b7/100)-SectA_d7),0)))))</f>
        <v>---</v>
      </c>
      <c r="AY42" s="4264" t="str">
        <f>IF(AW41&lt;SectB_a2,"---",IF(AW41&lt;=SectB_a3,ROUND((AW41*(SectB_b3/100)-SectB_d3),0),IF(AW41&lt;=SectB_a4,ROUND((AW41*(SectB_b4/100)-SectB_d4),0),IF(AW41&lt;=SectB_a5,ROUND((AW41*(SectB_b5/100)-SectB_d5),0),IF(AW41&lt;=SectB_a6,ROUND((AW41*(SectB_b6/100)-SectB_d6),0),ROUND((AW41*(SectB_b7/100)-SectB_d7),0))))))</f>
        <v>---</v>
      </c>
      <c r="AZ42" s="4264" t="str">
        <f>IF(AW41&lt;SectC_a2,"---",IF(AW41&lt;=SectC_a3,ROUND((AW41*(SectC_b3/100)-SectC_d3),0),IF(AW41&lt;=SectC_a4,ROUND((AW41*(SectC_b4/100)-SectC_d4),0),IF(AW41&lt;=SectC_a5,ROUND((AW41*(SectC_b5/100)-SectC_d5),0),ROUND((AW41*(SectC_b6/100)-SectC_d6),0)))))</f>
        <v>---</v>
      </c>
      <c r="BA42" s="4265" t="str">
        <f>IF(AW41&lt;SectD_a2,"---",IF(AW41&lt;=SectD_a3,ROUND((AW41*(SectD_b3/100)-SectD_d3),0),IF(AW41&lt;=SectD_a4,ROUND((AW41*(SectD_b4/100)-SectD_d4),0),IF(AW41&lt;=SectD_a5,ROUND((AW41*(SectD_b5/100)-SectD_d5),0),IF(AW41&lt;=SectD_a6,ROUND((AW41*(SectD_b6/100)-SectD_d6),0),ROUND((AW41*(SectD_b7/100)-SectD_d7),0))))))</f>
        <v>---</v>
      </c>
      <c r="BB42" s="1443"/>
      <c r="BC42" s="1443"/>
      <c r="BD42" s="1443"/>
      <c r="BE42" s="1443"/>
      <c r="BF42" s="1443"/>
      <c r="BG42" s="2749"/>
      <c r="BH42" s="4447"/>
      <c r="BI42" s="3169"/>
      <c r="BJ42" s="3169"/>
      <c r="BK42" s="3169"/>
      <c r="BL42" s="3169"/>
      <c r="BM42" s="3169"/>
      <c r="BN42" s="3169"/>
      <c r="BO42" s="3169"/>
      <c r="BP42" s="3169"/>
      <c r="BQ42" s="3169"/>
      <c r="BR42" s="3169"/>
      <c r="BS42" s="3169"/>
      <c r="BT42" s="3169"/>
    </row>
    <row r="43" spans="1:72" ht="15.75" customHeight="1" thickBot="1">
      <c r="A43" s="635"/>
      <c r="B43" s="3770"/>
      <c r="C43" s="3792">
        <v>12000</v>
      </c>
      <c r="D43" s="3767">
        <v>8</v>
      </c>
      <c r="E43" s="1456"/>
      <c r="F43" s="1457" t="s">
        <v>3283</v>
      </c>
      <c r="G43" s="1458"/>
      <c r="H43" s="1458"/>
      <c r="I43" s="1458"/>
      <c r="J43" s="1458"/>
      <c r="K43" s="1458"/>
      <c r="L43" s="1458"/>
      <c r="M43" s="1458"/>
      <c r="N43" s="1458"/>
      <c r="O43" s="1458"/>
      <c r="P43" s="1458"/>
      <c r="Q43" s="1458"/>
      <c r="R43" s="1458"/>
      <c r="S43" s="1458"/>
      <c r="T43" s="1456"/>
      <c r="U43" s="1456"/>
      <c r="V43" s="1456"/>
      <c r="W43" s="1456"/>
      <c r="X43" s="1456"/>
      <c r="Y43" s="1456"/>
      <c r="Z43" s="3755" t="s">
        <v>679</v>
      </c>
      <c r="AA43" s="1477">
        <f t="shared" si="0"/>
        <v>8</v>
      </c>
      <c r="AB43" s="5373">
        <f>IF(AL43&lt;&gt;"",ROUND(AL43,0), IF(OR(AND(Total_Income=0,Adj_Gross_Inc=0),NumFileStatusBoxes=0,NumFileStatusBoxes&gt;1,Birthday_Needed,$AK$8),0, IF(ItemizedDeduct,Tot_Item_Deduct,Standard )))</f>
        <v>0</v>
      </c>
      <c r="AC43" s="5374"/>
      <c r="AD43" s="5374"/>
      <c r="AE43" s="5374"/>
      <c r="AF43" s="5374"/>
      <c r="AG43" s="478"/>
      <c r="AH43" s="701"/>
      <c r="AI43" s="5481" t="s">
        <v>3107</v>
      </c>
      <c r="AJ43" s="5482"/>
      <c r="AK43" s="5483"/>
      <c r="AL43" s="3469"/>
      <c r="AM43" s="5342" t="s">
        <v>3308</v>
      </c>
      <c r="AN43" s="3857" t="s">
        <v>3112</v>
      </c>
      <c r="AO43" s="3784"/>
      <c r="AP43" s="3784"/>
      <c r="AQ43" s="3784"/>
      <c r="AR43" s="2241"/>
      <c r="AS43" s="3785"/>
      <c r="AT43" s="1443"/>
      <c r="AU43" s="1443"/>
      <c r="AV43" s="1443"/>
      <c r="AW43" s="4258" t="str">
        <f>IF(File_Single&lt;&gt;"",AX41,IF(File_Marr_Joint&lt;&gt;"",AY41,IF(File_Marr_Sep&lt;&gt;"", AZ41,IF(File_Head&lt;&gt;"",BA41,IF(File_Qual_Widow&lt;&gt;"",AY41,"Filing status?")))))</f>
        <v>Filing status?</v>
      </c>
      <c r="AX43" s="2563" t="str">
        <f>"&lt;100k"</f>
        <v>&lt;100k</v>
      </c>
      <c r="AY43" s="2563"/>
      <c r="AZ43" s="2563"/>
      <c r="BA43" s="4261"/>
      <c r="BB43" s="1443"/>
      <c r="BC43" s="1443"/>
      <c r="BD43" s="1443"/>
      <c r="BE43" s="1443"/>
      <c r="BF43" s="1443"/>
      <c r="BG43" s="1408"/>
      <c r="BH43" s="4447"/>
      <c r="BI43" s="3169"/>
      <c r="BJ43" s="3169"/>
      <c r="BK43" s="3169"/>
      <c r="BL43" s="3169"/>
      <c r="BM43" s="3169"/>
      <c r="BN43" s="3169"/>
      <c r="BO43" s="3169"/>
      <c r="BP43" s="3169"/>
      <c r="BQ43" s="3169"/>
      <c r="BR43" s="3169"/>
      <c r="BS43" s="3169"/>
      <c r="BT43" s="3169"/>
    </row>
    <row r="44" spans="1:72" ht="16.5" thickBot="1">
      <c r="A44" s="635"/>
      <c r="B44" s="1126" t="s">
        <v>703</v>
      </c>
      <c r="C44" s="3769" t="s">
        <v>3077</v>
      </c>
      <c r="D44" s="1455">
        <v>9</v>
      </c>
      <c r="E44" s="1462"/>
      <c r="F44" s="1457" t="s">
        <v>3085</v>
      </c>
      <c r="G44" s="1458"/>
      <c r="H44" s="1458"/>
      <c r="I44" s="1458"/>
      <c r="J44" s="1458"/>
      <c r="K44" s="1458"/>
      <c r="L44" s="1458"/>
      <c r="M44" s="1458"/>
      <c r="N44" s="1458"/>
      <c r="O44" s="1458"/>
      <c r="P44" s="1458"/>
      <c r="Q44" s="1458"/>
      <c r="R44" s="1458"/>
      <c r="S44" s="1458"/>
      <c r="T44" s="1458"/>
      <c r="U44" s="1458"/>
      <c r="V44" s="1458"/>
      <c r="W44" s="1458"/>
      <c r="X44" s="1458"/>
      <c r="Y44" s="1458"/>
      <c r="Z44" s="3755" t="s">
        <v>677</v>
      </c>
      <c r="AA44" s="1477">
        <f t="shared" si="0"/>
        <v>9</v>
      </c>
      <c r="AB44" s="5373">
        <f>IF(AL44&lt;&gt;"",ROUND(AL44,0),IF(QBI_SimpleWS,QBID_Simplified,QBI_Deduction))</f>
        <v>0</v>
      </c>
      <c r="AC44" s="5456"/>
      <c r="AD44" s="5456"/>
      <c r="AE44" s="5456"/>
      <c r="AF44" s="5456"/>
      <c r="AG44" s="478"/>
      <c r="AH44" s="701"/>
      <c r="AI44" s="5472" t="str">
        <f>IF(AL43&lt;&gt;"","Manual Override",IF(FilingStatusError,"Filing status error.",IF(Birthday_Needed,"Birthdate(s) needed.",IF($AK$8,"Filing status error or invalid spouse input.",IF(NumFileStatusBoxes=0,"Filing status?", IF(Dual_Status_Alien&lt;&gt;"","Deduction is $0 due to spouse itemizing or dual-status alien.", IF(OR(DependentYOU&lt;&gt;"",DependentSPOUSE&lt;&gt;""),"Line 8 - Standard Deduction for Dependents",IF(ItemizedDeduct,"Schedule A",IF(Over_65_or_Blind&gt;0,"Standard "&amp;CHAR(10)&amp;" Deduction Chart"&amp;CHAR(10)&amp;"→","Standard Deduction")))))))))</f>
        <v>Filing status?</v>
      </c>
      <c r="AJ44" s="5473"/>
      <c r="AK44" s="5474"/>
      <c r="AL44" s="3843"/>
      <c r="AM44" s="5342"/>
      <c r="AN44" s="3858" t="s">
        <v>3111</v>
      </c>
      <c r="AO44" s="1878" t="s">
        <v>77</v>
      </c>
      <c r="AP44" s="1879" t="s">
        <v>617</v>
      </c>
      <c r="AQ44" s="1878" t="s">
        <v>531</v>
      </c>
      <c r="AR44" s="1879" t="s">
        <v>2517</v>
      </c>
      <c r="AS44" s="1880"/>
      <c r="AT44" s="1443"/>
      <c r="AU44" s="1443"/>
      <c r="AV44" s="1443"/>
      <c r="AW44" s="4259" t="str">
        <f>IF(File_Single&lt;&gt;"",AX42,IF(OR(File_Marr_Joint&lt;&gt;"",File_Qual_Widow&lt;&gt;""),AY42,IF(File_Marr_Sep&lt;&gt;"", AZ42,IF(File_Head&lt;&gt;"",BA42,"Filing status?"))))</f>
        <v>Filing status?</v>
      </c>
      <c r="AX44" s="4260" t="str">
        <f>"&gt;=100k"</f>
        <v>&gt;=100k</v>
      </c>
      <c r="AY44" s="4260"/>
      <c r="AZ44" s="4266" t="s">
        <v>3630</v>
      </c>
      <c r="BA44" s="4267" t="str">
        <f>IF(AW41&gt;100000,AW44,AW43)</f>
        <v>Filing status?</v>
      </c>
      <c r="BB44" s="1443"/>
      <c r="BC44" s="1443"/>
      <c r="BD44" s="1443"/>
      <c r="BE44" s="1443"/>
      <c r="BF44" s="1443"/>
      <c r="BG44" s="1408"/>
      <c r="BH44" s="4447"/>
      <c r="BI44" s="3169"/>
      <c r="BJ44" s="3169"/>
      <c r="BK44" s="3169"/>
      <c r="BL44" s="3169"/>
      <c r="BM44" s="3169"/>
      <c r="BN44" s="3169"/>
      <c r="BO44" s="3169"/>
      <c r="BP44" s="3169"/>
      <c r="BQ44" s="3169"/>
      <c r="BR44" s="3169"/>
      <c r="BS44" s="3169"/>
      <c r="BT44" s="3169"/>
    </row>
    <row r="45" spans="1:72" ht="12.75" customHeight="1" thickTop="1" thickBot="1">
      <c r="A45" s="635"/>
      <c r="B45" s="37"/>
      <c r="C45" s="3769" t="s">
        <v>3078</v>
      </c>
      <c r="D45" s="1455">
        <v>10</v>
      </c>
      <c r="E45" s="1456"/>
      <c r="F45" s="1457" t="s">
        <v>3864</v>
      </c>
      <c r="G45" s="1458"/>
      <c r="H45" s="1458"/>
      <c r="I45" s="1458"/>
      <c r="J45" s="1458"/>
      <c r="K45" s="1458"/>
      <c r="L45" s="1458"/>
      <c r="M45" s="1458"/>
      <c r="N45" s="1458"/>
      <c r="O45" s="1458"/>
      <c r="P45" s="1457" t="s">
        <v>3544</v>
      </c>
      <c r="Q45" s="1458"/>
      <c r="R45" s="1458"/>
      <c r="S45" s="1458"/>
      <c r="T45" s="1473"/>
      <c r="U45" s="1473"/>
      <c r="V45" s="1456"/>
      <c r="W45" s="1456"/>
      <c r="X45" s="1456"/>
      <c r="Y45" s="1456"/>
      <c r="Z45" s="3755" t="s">
        <v>747</v>
      </c>
      <c r="AA45" s="1477">
        <f t="shared" si="0"/>
        <v>10</v>
      </c>
      <c r="AB45" s="5373">
        <f>IF(AL45&lt;&gt;"",MAX(0,ROUND(AL45,0)),IF(Birthday_Needed,0,MAX(0,SUM(Adj_Gross_Inc,-AB43,-AB44))))</f>
        <v>0</v>
      </c>
      <c r="AC45" s="5447"/>
      <c r="AD45" s="5447"/>
      <c r="AE45" s="5447"/>
      <c r="AF45" s="5447"/>
      <c r="AG45" s="478"/>
      <c r="AH45" s="699"/>
      <c r="AI45" s="5475"/>
      <c r="AJ45" s="5476"/>
      <c r="AK45" s="5477"/>
      <c r="AL45" s="4056"/>
      <c r="AM45" s="5342"/>
      <c r="AN45" s="4058">
        <v>0</v>
      </c>
      <c r="AO45" s="2848">
        <f>SD_Single</f>
        <v>12000</v>
      </c>
      <c r="AP45" s="2848">
        <f>SD_MFJW</f>
        <v>24000</v>
      </c>
      <c r="AQ45" s="2848">
        <f>SD_Single</f>
        <v>12000</v>
      </c>
      <c r="AR45" s="2848">
        <f>SD_Head</f>
        <v>18000</v>
      </c>
      <c r="AS45" s="3024"/>
      <c r="AT45" s="1443"/>
      <c r="AU45" s="1443"/>
      <c r="AV45" s="1443"/>
      <c r="AW45" s="1443"/>
      <c r="AX45" s="1443"/>
      <c r="AY45" s="1443"/>
      <c r="AZ45" s="1443"/>
      <c r="BA45" s="1443"/>
      <c r="BB45" s="1443"/>
      <c r="BC45" s="1443"/>
      <c r="BD45" s="1443"/>
      <c r="BE45" s="1443"/>
      <c r="BF45" s="1443"/>
      <c r="BG45" s="1408"/>
      <c r="BH45" s="4447"/>
      <c r="BI45" s="3169"/>
      <c r="BJ45" s="3169"/>
      <c r="BK45" s="3169"/>
      <c r="BL45" s="3169"/>
      <c r="BM45" s="3169"/>
      <c r="BN45" s="3169"/>
      <c r="BO45" s="3169"/>
      <c r="BP45" s="3169"/>
      <c r="BQ45" s="3169"/>
      <c r="BR45" s="3169"/>
      <c r="BS45" s="3169"/>
      <c r="BT45" s="3169"/>
    </row>
    <row r="46" spans="1:72" ht="12.75" customHeight="1" thickBot="1">
      <c r="A46" s="635"/>
      <c r="B46" s="37"/>
      <c r="C46" s="3769" t="s">
        <v>3079</v>
      </c>
      <c r="D46" s="1455">
        <v>11</v>
      </c>
      <c r="E46" s="1459" t="s">
        <v>38</v>
      </c>
      <c r="F46" s="3764" t="s">
        <v>3287</v>
      </c>
      <c r="G46" s="1455"/>
      <c r="H46" s="5370" t="str">
        <f>IF(AL46&lt;&gt;"",ROUND(AL46,0),IF(OR(Birthday_Needed,FilingStatusError),"",IF(FEI_Tax_Worksheet,Tax_FEI_TW,IF(SchDTW_Used,SchDTW_Line45,IF(CGTW,CGTW_Tax,BA44)))))</f>
        <v>Filing status?</v>
      </c>
      <c r="I46" s="5450"/>
      <c r="J46" s="5450"/>
      <c r="K46" s="1465" t="s">
        <v>3288</v>
      </c>
      <c r="L46" s="1455"/>
      <c r="M46" s="1455"/>
      <c r="N46" s="1455"/>
      <c r="O46" s="1444"/>
      <c r="P46" s="1465" t="s">
        <v>3289</v>
      </c>
      <c r="Q46" s="1455"/>
      <c r="R46" s="1455"/>
      <c r="S46" s="1444"/>
      <c r="T46" s="1465" t="s">
        <v>3290</v>
      </c>
      <c r="U46" s="4044"/>
      <c r="V46" s="1455"/>
      <c r="W46" s="1444"/>
      <c r="X46" s="5486"/>
      <c r="Y46" s="5487"/>
      <c r="Z46" s="4331" t="s">
        <v>1148</v>
      </c>
      <c r="AA46" s="3786"/>
      <c r="AB46" s="5461" t="str">
        <f>IF(FilingStatusError,"Filing status error.",IF(Birthday_Needed,"Birthdate(s) needed.",""))</f>
        <v/>
      </c>
      <c r="AC46" s="5462"/>
      <c r="AD46" s="5462"/>
      <c r="AE46" s="5462"/>
      <c r="AF46" s="5462"/>
      <c r="AG46" s="353"/>
      <c r="AH46" s="700"/>
      <c r="AI46" s="5475"/>
      <c r="AJ46" s="5476"/>
      <c r="AK46" s="5476"/>
      <c r="AL46" s="4057"/>
      <c r="AM46" s="4059"/>
      <c r="AN46" s="1875">
        <v>1</v>
      </c>
      <c r="AO46" s="2848">
        <f t="shared" ref="AO46:AR47" si="1">SUM(AO$45,$AN46*AO$51)</f>
        <v>13600</v>
      </c>
      <c r="AP46" s="2848">
        <f t="shared" si="1"/>
        <v>25300</v>
      </c>
      <c r="AQ46" s="2848">
        <f t="shared" si="1"/>
        <v>13300</v>
      </c>
      <c r="AR46" s="2848">
        <f t="shared" si="1"/>
        <v>19600</v>
      </c>
      <c r="AS46" s="3025"/>
      <c r="AT46" s="1443"/>
      <c r="AU46" s="1443"/>
      <c r="AV46" s="1443"/>
      <c r="AW46" s="1443"/>
      <c r="AX46" s="1443"/>
      <c r="AY46" s="1443"/>
      <c r="AZ46" s="1443"/>
      <c r="BA46" s="1443"/>
      <c r="BB46" s="1443"/>
      <c r="BC46" s="1443"/>
      <c r="BD46" s="1443"/>
      <c r="BE46" s="1443"/>
      <c r="BF46" s="1443"/>
      <c r="BG46" s="1408"/>
      <c r="BH46" s="4447"/>
      <c r="BI46" s="3169"/>
      <c r="BJ46" s="3169"/>
      <c r="BK46" s="3169"/>
      <c r="BL46" s="3169"/>
      <c r="BM46" s="3169"/>
      <c r="BN46" s="3169"/>
      <c r="BO46" s="3169"/>
      <c r="BP46" s="3169"/>
      <c r="BQ46" s="3169"/>
      <c r="BR46" s="3169"/>
      <c r="BS46" s="3169"/>
      <c r="BT46" s="3169"/>
    </row>
    <row r="47" spans="1:72" ht="14.25" customHeight="1">
      <c r="A47" s="635"/>
      <c r="B47" s="37"/>
      <c r="C47" s="3771">
        <v>24000</v>
      </c>
      <c r="D47" s="1455"/>
      <c r="E47" s="1459" t="s">
        <v>54</v>
      </c>
      <c r="F47" s="3764" t="s">
        <v>3297</v>
      </c>
      <c r="G47" s="1455"/>
      <c r="H47" s="1455"/>
      <c r="I47" s="1455"/>
      <c r="J47" s="1455"/>
      <c r="K47" s="1455"/>
      <c r="L47" s="1455"/>
      <c r="M47" s="1455"/>
      <c r="N47" s="1455"/>
      <c r="O47" s="1455"/>
      <c r="P47" s="1455"/>
      <c r="Q47" s="1455"/>
      <c r="R47" s="1455"/>
      <c r="S47" s="1455"/>
      <c r="T47" s="1455"/>
      <c r="U47" s="1455"/>
      <c r="V47" s="1455"/>
      <c r="W47" s="1455"/>
      <c r="X47" s="1455"/>
      <c r="Y47" s="4120" t="s">
        <v>981</v>
      </c>
      <c r="Z47" s="2636" t="str">
        <f>IF(Schedule2&gt;0,"X","")</f>
        <v/>
      </c>
      <c r="AA47" s="4043">
        <v>11</v>
      </c>
      <c r="AB47" s="5366">
        <f>IF(AL47&lt;&gt;"",ROUND(AL47,0),SUM(Tax1040_Line11a,AM46,Schedule2))</f>
        <v>0</v>
      </c>
      <c r="AC47" s="5430"/>
      <c r="AD47" s="5430"/>
      <c r="AE47" s="5430"/>
      <c r="AF47" s="5430"/>
      <c r="AG47" s="353"/>
      <c r="AH47" s="700"/>
      <c r="AI47" s="5478"/>
      <c r="AJ47" s="5479"/>
      <c r="AK47" s="5480"/>
      <c r="AL47" s="4211"/>
      <c r="AM47" s="1443"/>
      <c r="AN47" s="1875">
        <v>2</v>
      </c>
      <c r="AO47" s="2848">
        <f t="shared" si="1"/>
        <v>15200</v>
      </c>
      <c r="AP47" s="2848">
        <f t="shared" si="1"/>
        <v>26600</v>
      </c>
      <c r="AQ47" s="2848">
        <f t="shared" si="1"/>
        <v>14600</v>
      </c>
      <c r="AR47" s="2848">
        <f t="shared" si="1"/>
        <v>21200</v>
      </c>
      <c r="AS47" s="3025"/>
      <c r="AT47" s="1443"/>
      <c r="AU47" s="1443"/>
      <c r="AV47" s="1443"/>
      <c r="AW47" s="1876"/>
      <c r="AX47" s="1876"/>
      <c r="AY47" s="1876"/>
      <c r="AZ47" s="1443"/>
      <c r="BA47" s="1443"/>
      <c r="BB47" s="1443"/>
      <c r="BC47" s="1443"/>
      <c r="BD47" s="1443"/>
      <c r="BE47" s="1443"/>
      <c r="BF47" s="1443"/>
      <c r="BG47" s="1408"/>
      <c r="BH47" s="4447"/>
      <c r="BI47" s="3169"/>
      <c r="BJ47" s="3169"/>
      <c r="BK47" s="3169"/>
      <c r="BL47" s="3169"/>
      <c r="BM47" s="3169"/>
      <c r="BN47" s="3169"/>
      <c r="BO47" s="3169"/>
      <c r="BP47" s="3169"/>
      <c r="BQ47" s="3169"/>
      <c r="BR47" s="3169"/>
      <c r="BS47" s="3169"/>
      <c r="BT47" s="3169"/>
    </row>
    <row r="48" spans="1:72" ht="14.25" customHeight="1" thickBot="1">
      <c r="A48" s="635"/>
      <c r="B48" s="1126" t="s">
        <v>703</v>
      </c>
      <c r="C48" s="3769" t="s">
        <v>3080</v>
      </c>
      <c r="D48" s="1455">
        <v>12</v>
      </c>
      <c r="E48" s="1459" t="s">
        <v>38</v>
      </c>
      <c r="F48" s="1458"/>
      <c r="G48" s="1458"/>
      <c r="H48" s="1458"/>
      <c r="I48" s="1458"/>
      <c r="J48" s="1458"/>
      <c r="K48" s="1458"/>
      <c r="L48" s="4045" t="s">
        <v>3291</v>
      </c>
      <c r="M48" s="5370">
        <f>IF(AL48&lt;&gt;"",ROUND(AL48,0),Child_Tax_Credit)</f>
        <v>0</v>
      </c>
      <c r="N48" s="5370"/>
      <c r="O48" s="1455" t="s">
        <v>54</v>
      </c>
      <c r="P48" s="1465" t="s">
        <v>3296</v>
      </c>
      <c r="Q48" s="1474"/>
      <c r="R48" s="1474"/>
      <c r="S48" s="1455"/>
      <c r="T48" s="1474"/>
      <c r="U48" s="1474"/>
      <c r="V48" s="1474"/>
      <c r="W48" s="1474"/>
      <c r="X48" s="1474"/>
      <c r="Y48" s="1474"/>
      <c r="Z48" s="2636" t="str">
        <f>IF(Schedule3&gt;0,"X","")</f>
        <v/>
      </c>
      <c r="AA48" s="1471">
        <f>D48</f>
        <v>12</v>
      </c>
      <c r="AB48" s="5457">
        <f>IF(AM48&lt;&gt;"",ROUND(AM48,0),SUM(Child_Tax_Credit,Schedule3))</f>
        <v>0</v>
      </c>
      <c r="AC48" s="5458"/>
      <c r="AD48" s="5458"/>
      <c r="AE48" s="5458"/>
      <c r="AF48" s="5458"/>
      <c r="AG48" s="478"/>
      <c r="AH48" s="699"/>
      <c r="AI48" s="5484"/>
      <c r="AJ48" s="5485"/>
      <c r="AK48" s="3765"/>
      <c r="AL48" s="3470"/>
      <c r="AM48" s="3470"/>
      <c r="AN48" s="2561">
        <v>3</v>
      </c>
      <c r="AO48" s="2848"/>
      <c r="AP48" s="2848">
        <f>SUM(AP$45,$AN48*AP$51)</f>
        <v>27900</v>
      </c>
      <c r="AQ48" s="2848">
        <f>SUM(AQ$45,$AN48*AQ$51)</f>
        <v>15900</v>
      </c>
      <c r="AR48" s="2851"/>
      <c r="AS48" s="2852"/>
      <c r="AT48" s="1443"/>
      <c r="AU48" s="1443"/>
      <c r="AV48" s="1443"/>
      <c r="AW48" s="1607"/>
      <c r="AX48" s="1607"/>
      <c r="AY48" s="1607"/>
      <c r="AZ48" s="1607"/>
      <c r="BA48" s="1607"/>
      <c r="BB48" s="1607"/>
      <c r="BC48" s="1607"/>
      <c r="BD48" s="1607"/>
      <c r="BE48" s="1607"/>
      <c r="BF48" s="1766"/>
      <c r="BG48" s="1408"/>
      <c r="BH48" s="4447"/>
      <c r="BI48" s="3169"/>
      <c r="BJ48" s="3169"/>
      <c r="BK48" s="3169"/>
      <c r="BL48" s="3169"/>
      <c r="BM48" s="3169"/>
      <c r="BN48" s="3169"/>
      <c r="BO48" s="3169"/>
      <c r="BP48" s="3169"/>
      <c r="BQ48" s="3169"/>
      <c r="BR48" s="3169"/>
      <c r="BS48" s="3169"/>
      <c r="BT48" s="3169"/>
    </row>
    <row r="49" spans="1:72" ht="14.25" customHeight="1">
      <c r="A49" s="635"/>
      <c r="B49" s="37"/>
      <c r="C49" s="3769" t="s">
        <v>3081</v>
      </c>
      <c r="D49" s="1455">
        <v>13</v>
      </c>
      <c r="E49" s="1456"/>
      <c r="F49" s="1457" t="s">
        <v>3309</v>
      </c>
      <c r="G49" s="1458"/>
      <c r="H49" s="1458"/>
      <c r="I49" s="1458"/>
      <c r="J49" s="1458"/>
      <c r="K49" s="1458"/>
      <c r="L49" s="1458"/>
      <c r="M49" s="1458"/>
      <c r="N49" s="1458"/>
      <c r="O49" s="1474"/>
      <c r="P49" s="1474"/>
      <c r="Q49" s="1474"/>
      <c r="R49" s="1474"/>
      <c r="S49" s="1455"/>
      <c r="T49" s="1474"/>
      <c r="U49" s="1474"/>
      <c r="V49" s="1474"/>
      <c r="W49" s="1474"/>
      <c r="X49" s="1474"/>
      <c r="Y49" s="1474"/>
      <c r="Z49" s="3755" t="s">
        <v>422</v>
      </c>
      <c r="AA49" s="1471">
        <f>D49</f>
        <v>13</v>
      </c>
      <c r="AB49" s="5463">
        <f>IF(AL49&lt;&gt;"",ROUND(AL49,0),MAX(0,SUM(Tax,-AB48)))</f>
        <v>0</v>
      </c>
      <c r="AC49" s="5464"/>
      <c r="AD49" s="5464"/>
      <c r="AE49" s="5464"/>
      <c r="AF49" s="5464"/>
      <c r="AG49" s="478"/>
      <c r="AH49" s="3453"/>
      <c r="AI49" s="5481" t="s">
        <v>3307</v>
      </c>
      <c r="AJ49" s="5482"/>
      <c r="AK49" s="5483"/>
      <c r="AL49" s="3469"/>
      <c r="AM49" s="2098"/>
      <c r="AN49" s="1875">
        <v>4</v>
      </c>
      <c r="AO49" s="2848"/>
      <c r="AP49" s="2848">
        <f>SUM(AP$45,$AN49*AP$51)</f>
        <v>29200</v>
      </c>
      <c r="AQ49" s="2848">
        <f>SUM(AQ$45,$AN49*AQ$51)</f>
        <v>17200</v>
      </c>
      <c r="AR49" s="2851"/>
      <c r="AS49" s="2852"/>
      <c r="AT49" s="2546"/>
      <c r="AU49" s="2546"/>
      <c r="AV49" s="2546"/>
      <c r="AW49" s="3619"/>
      <c r="AX49" s="3620"/>
      <c r="AY49" s="3620"/>
      <c r="AZ49" s="3621" t="s">
        <v>2144</v>
      </c>
      <c r="BA49" s="3620"/>
      <c r="BB49" s="3620"/>
      <c r="BC49" s="3622"/>
      <c r="BD49" s="3620"/>
      <c r="BE49" s="3622">
        <v>1</v>
      </c>
      <c r="BF49" s="3623" t="s">
        <v>1550</v>
      </c>
      <c r="BG49" s="1408"/>
      <c r="BH49" s="4447"/>
      <c r="BI49" s="3169"/>
      <c r="BJ49" s="3169"/>
      <c r="BK49" s="3169"/>
      <c r="BL49" s="3169"/>
      <c r="BM49" s="3169"/>
      <c r="BN49" s="3169"/>
      <c r="BO49" s="3169"/>
      <c r="BP49" s="3169"/>
      <c r="BQ49" s="3169"/>
      <c r="BR49" s="3169"/>
      <c r="BS49" s="3169"/>
      <c r="BT49" s="3169"/>
    </row>
    <row r="50" spans="1:72" ht="14.25" customHeight="1" thickBot="1">
      <c r="A50" s="635"/>
      <c r="B50" s="37"/>
      <c r="C50" s="3771">
        <v>18000</v>
      </c>
      <c r="D50" s="1455">
        <v>14</v>
      </c>
      <c r="E50" s="1456"/>
      <c r="F50" s="1457" t="s">
        <v>3086</v>
      </c>
      <c r="G50" s="1458"/>
      <c r="H50" s="1458"/>
      <c r="I50" s="1458"/>
      <c r="J50" s="1458"/>
      <c r="K50" s="1458"/>
      <c r="L50" s="1458"/>
      <c r="M50" s="1458"/>
      <c r="N50" s="1458"/>
      <c r="O50" s="1463"/>
      <c r="P50" s="1463"/>
      <c r="Q50" s="1463"/>
      <c r="R50" s="1463"/>
      <c r="S50" s="1475"/>
      <c r="T50" s="1474"/>
      <c r="U50" s="1476"/>
      <c r="V50" s="1474"/>
      <c r="W50" s="1474"/>
      <c r="X50" s="1474"/>
      <c r="Y50" s="1474"/>
      <c r="Z50" s="3755" t="s">
        <v>3420</v>
      </c>
      <c r="AA50" s="1471">
        <f>D50</f>
        <v>14</v>
      </c>
      <c r="AB50" s="5373">
        <f>IF(AL50&lt;&gt;"",ROUND(AL50,0),Schedule4)</f>
        <v>0</v>
      </c>
      <c r="AC50" s="5447"/>
      <c r="AD50" s="5447"/>
      <c r="AE50" s="5447"/>
      <c r="AF50" s="5447"/>
      <c r="AG50" s="478"/>
      <c r="AH50" s="699"/>
      <c r="AI50" s="5481" t="s">
        <v>674</v>
      </c>
      <c r="AJ50" s="5482"/>
      <c r="AK50" s="5483"/>
      <c r="AL50" s="3469"/>
      <c r="AM50" s="2098"/>
      <c r="AN50" s="1881"/>
      <c r="AO50" s="2849"/>
      <c r="AP50" s="2853"/>
      <c r="AQ50" s="2853"/>
      <c r="AR50" s="2853"/>
      <c r="AS50" s="2854"/>
      <c r="AT50" s="1443"/>
      <c r="AU50" s="1443"/>
      <c r="AV50" s="1443"/>
      <c r="AW50" s="2542"/>
      <c r="AX50" s="2543"/>
      <c r="AY50" s="2543"/>
      <c r="AZ50" s="2543"/>
      <c r="BA50" s="2543"/>
      <c r="BB50" s="2543"/>
      <c r="BC50" s="2544"/>
      <c r="BD50" s="2543"/>
      <c r="BE50" s="2544">
        <v>2</v>
      </c>
      <c r="BF50" s="2545" t="s">
        <v>1551</v>
      </c>
      <c r="BG50" s="1408"/>
      <c r="BH50" s="4447"/>
      <c r="BI50" s="3169"/>
      <c r="BJ50" s="3169"/>
      <c r="BK50" s="3169"/>
      <c r="BL50" s="3169"/>
      <c r="BM50" s="3169"/>
      <c r="BN50" s="3169"/>
      <c r="BO50" s="3169"/>
      <c r="BP50" s="3169"/>
      <c r="BQ50" s="3169"/>
      <c r="BR50" s="3169"/>
      <c r="BS50" s="3169"/>
      <c r="BT50" s="3169"/>
    </row>
    <row r="51" spans="1:72" ht="14.25" customHeight="1">
      <c r="A51" s="635"/>
      <c r="B51" s="1126" t="s">
        <v>703</v>
      </c>
      <c r="C51" s="3771" t="s">
        <v>3082</v>
      </c>
      <c r="D51" s="1455">
        <v>15</v>
      </c>
      <c r="E51" s="1459"/>
      <c r="F51" s="1457" t="s">
        <v>3087</v>
      </c>
      <c r="G51" s="1458"/>
      <c r="H51" s="1458"/>
      <c r="I51" s="1458"/>
      <c r="J51" s="1458"/>
      <c r="K51" s="1458"/>
      <c r="L51" s="1458"/>
      <c r="M51" s="1458"/>
      <c r="N51" s="1458"/>
      <c r="O51" s="1458"/>
      <c r="P51" s="1458"/>
      <c r="Q51" s="1458"/>
      <c r="R51" s="1458"/>
      <c r="S51" s="1458"/>
      <c r="T51" s="1458"/>
      <c r="U51" s="1458"/>
      <c r="V51" s="1458"/>
      <c r="W51" s="1458"/>
      <c r="X51" s="1458"/>
      <c r="Y51" s="1458"/>
      <c r="Z51" s="3755" t="s">
        <v>2424</v>
      </c>
      <c r="AA51" s="1471">
        <f>D51</f>
        <v>15</v>
      </c>
      <c r="AB51" s="5459">
        <f>IF(AL51&lt;&gt;"",ROUND(AL51,0),SUM(AB49,AB50))</f>
        <v>0</v>
      </c>
      <c r="AC51" s="5460"/>
      <c r="AD51" s="5460"/>
      <c r="AE51" s="5460"/>
      <c r="AF51" s="5460"/>
      <c r="AG51" s="353"/>
      <c r="AH51" s="700"/>
      <c r="AI51" s="5465" t="str">
        <f>IF(AL46&lt;&gt;"","Manual override",IF(FEI_Tax_Worksheet,"Foreign Earned Income"&amp;CHAR(10)&amp;" Tax Worksheet (Line 11)",IF(SchDTW_Used,"Sch. D Tax Worksheet",IF(CGTW,"QD &amp; CG Tax WS"&amp;CHAR(10)&amp;"(Sheet 'Line 11a')",IF(OR(Taxable_Inc=0,Taxable_Inc=""),"",IF(Taxable_Inc&lt;100000,"Tax Table","Tax Formula"))))))</f>
        <v/>
      </c>
      <c r="AJ51" s="5466"/>
      <c r="AK51" s="5467"/>
      <c r="AL51" s="3469"/>
      <c r="AM51" s="2098"/>
      <c r="AN51" s="2561"/>
      <c r="AO51" s="2914">
        <v>1600</v>
      </c>
      <c r="AP51" s="2914">
        <v>1300</v>
      </c>
      <c r="AQ51" s="2914">
        <v>1300</v>
      </c>
      <c r="AR51" s="2914">
        <v>1600</v>
      </c>
      <c r="AS51" s="2850"/>
      <c r="AT51" s="2546"/>
      <c r="AU51" s="2546"/>
      <c r="AV51" s="2546"/>
      <c r="AW51" s="2542"/>
      <c r="AX51" s="2543"/>
      <c r="AY51" s="2543"/>
      <c r="AZ51" s="2543"/>
      <c r="BA51" s="2543"/>
      <c r="BB51" s="2543"/>
      <c r="BC51" s="2544"/>
      <c r="BD51" s="2543"/>
      <c r="BE51" s="2544">
        <v>3</v>
      </c>
      <c r="BF51" s="2545" t="s">
        <v>1552</v>
      </c>
      <c r="BG51" s="1408"/>
      <c r="BH51" s="4447"/>
      <c r="BI51" s="3169"/>
      <c r="BJ51" s="3169"/>
      <c r="BK51" s="3169"/>
      <c r="BL51" s="3169"/>
      <c r="BM51" s="3169"/>
      <c r="BN51" s="3169"/>
      <c r="BO51" s="3169"/>
      <c r="BP51" s="3169"/>
      <c r="BQ51" s="3169"/>
      <c r="BR51" s="3169"/>
      <c r="BS51" s="3169"/>
      <c r="BT51" s="3169"/>
    </row>
    <row r="52" spans="1:72" ht="14.25" customHeight="1" thickBot="1">
      <c r="A52" s="635"/>
      <c r="B52" s="37"/>
      <c r="C52" s="3771" t="s">
        <v>3083</v>
      </c>
      <c r="D52" s="1455">
        <v>16</v>
      </c>
      <c r="E52" s="1459"/>
      <c r="F52" s="1457" t="s">
        <v>593</v>
      </c>
      <c r="G52" s="1458"/>
      <c r="H52" s="1458"/>
      <c r="I52" s="1458"/>
      <c r="J52" s="1458"/>
      <c r="K52" s="1458"/>
      <c r="L52" s="1458"/>
      <c r="M52" s="1458"/>
      <c r="N52" s="1458"/>
      <c r="O52" s="1458"/>
      <c r="P52" s="1458"/>
      <c r="Q52" s="1458"/>
      <c r="R52" s="1458"/>
      <c r="S52" s="1458"/>
      <c r="T52" s="1458"/>
      <c r="U52" s="1458"/>
      <c r="V52" s="1458"/>
      <c r="W52" s="1458"/>
      <c r="X52" s="1458"/>
      <c r="Y52" s="1458"/>
      <c r="Z52" s="3755" t="s">
        <v>981</v>
      </c>
      <c r="AA52" s="1471">
        <f>D52</f>
        <v>16</v>
      </c>
      <c r="AB52" s="5459">
        <f>IF(AL52&lt;&gt;"",ROUND(AL52,0),ROUND(SUM(W2_Tax_Withheld,IRA_Fed_Tax_WH,PA_Fed_Tax_WH,F1099G_FedTaxWH,'1099-INT'!I69,'1099-DIV'!H97,'SSA-1099'!D6,'SSA-1099'!D11,AI55),0))</f>
        <v>0</v>
      </c>
      <c r="AC52" s="5460"/>
      <c r="AD52" s="5460"/>
      <c r="AE52" s="5460"/>
      <c r="AF52" s="5460"/>
      <c r="AG52" s="353"/>
      <c r="AH52" s="700"/>
      <c r="AI52" s="5468"/>
      <c r="AJ52" s="5469"/>
      <c r="AK52" s="5470"/>
      <c r="AL52" s="3470"/>
      <c r="AM52" s="2098"/>
      <c r="AN52" s="1443"/>
      <c r="AO52" s="2850"/>
      <c r="AP52" s="2850"/>
      <c r="AQ52" s="2850"/>
      <c r="AR52" s="2850"/>
      <c r="AS52" s="2850"/>
      <c r="AT52" s="2546"/>
      <c r="AU52" s="2546"/>
      <c r="AV52" s="2546"/>
      <c r="AW52" s="2542"/>
      <c r="AX52" s="2543" t="e">
        <f>DATEVALUE(AX54)</f>
        <v>#N/A</v>
      </c>
      <c r="AY52" s="2543"/>
      <c r="AZ52" s="2543"/>
      <c r="BA52" s="2543"/>
      <c r="BB52" s="2543"/>
      <c r="BC52" s="2544"/>
      <c r="BD52" s="2543"/>
      <c r="BE52" s="2544">
        <v>4</v>
      </c>
      <c r="BF52" s="2545" t="s">
        <v>1553</v>
      </c>
      <c r="BG52" s="1408"/>
      <c r="BH52" s="4447"/>
      <c r="BI52" s="3169"/>
      <c r="BJ52" s="3169"/>
      <c r="BK52" s="3169"/>
      <c r="BL52" s="3169"/>
      <c r="BM52" s="3169"/>
      <c r="BN52" s="3169"/>
      <c r="BO52" s="3169"/>
      <c r="BP52" s="3169"/>
      <c r="BQ52" s="3169"/>
      <c r="BR52" s="3169"/>
      <c r="BS52" s="3169"/>
      <c r="BT52" s="3169"/>
    </row>
    <row r="53" spans="1:72" ht="14.25" customHeight="1" thickBot="1">
      <c r="A53" s="635"/>
      <c r="B53" s="37"/>
      <c r="C53" s="3769" t="s">
        <v>313</v>
      </c>
      <c r="D53" s="1455">
        <v>17</v>
      </c>
      <c r="E53" s="1459"/>
      <c r="F53" s="1457" t="s">
        <v>3088</v>
      </c>
      <c r="G53" s="1458"/>
      <c r="H53" s="1458"/>
      <c r="I53" s="4044" t="s">
        <v>3298</v>
      </c>
      <c r="J53" s="1457"/>
      <c r="K53" s="1458"/>
      <c r="L53" s="1458"/>
      <c r="M53" s="5452" t="str">
        <f>IF(AL53&lt;&gt;"",ROUND(AL53,0),IF(EICNumQualChild="","",IF(OR(EIC_Line2_No&lt;&gt;"",'Line 17a (EIC)'!H148&lt;&gt;""),"No",EarnedIncomeCredit)))</f>
        <v/>
      </c>
      <c r="N53" s="5452"/>
      <c r="O53" s="4047" t="s">
        <v>3292</v>
      </c>
      <c r="P53" s="1458"/>
      <c r="Q53" s="1458"/>
      <c r="R53" s="5452">
        <f>IF(AM53&lt;&gt;"",ROUND(AM53,0),AdditionalCTC)</f>
        <v>0</v>
      </c>
      <c r="S53" s="5452"/>
      <c r="T53" s="4046"/>
      <c r="U53" s="4044"/>
      <c r="V53" s="1458"/>
      <c r="W53" s="4045" t="s">
        <v>3293</v>
      </c>
      <c r="X53" s="5453"/>
      <c r="Y53" s="5453"/>
      <c r="Z53" s="3755" t="s">
        <v>3311</v>
      </c>
      <c r="AA53" s="3786"/>
      <c r="AB53" s="5358"/>
      <c r="AC53" s="5359"/>
      <c r="AD53" s="5359"/>
      <c r="AE53" s="5359"/>
      <c r="AF53" s="5359"/>
      <c r="AG53" s="353"/>
      <c r="AH53" s="700"/>
      <c r="AI53" s="5454" t="str">
        <f>IF($AI$55&gt;0,"Form 8959, Line 24,","")</f>
        <v/>
      </c>
      <c r="AJ53" s="5455"/>
      <c r="AK53" s="5471"/>
      <c r="AL53" s="3788"/>
      <c r="AM53" s="3789"/>
      <c r="AN53" s="1443"/>
      <c r="AO53" s="2850"/>
      <c r="AP53" s="2850"/>
      <c r="AQ53" s="2850"/>
      <c r="AR53" s="2850"/>
      <c r="AS53" s="2850"/>
      <c r="AT53" s="2552"/>
      <c r="AU53" s="2552"/>
      <c r="AV53" s="2552"/>
      <c r="AW53" s="2542" t="b">
        <f>IF(OR(YourBirthMonth="",YourBirthDay="",YourBirthYear=""),TRUE,FALSE)</f>
        <v>1</v>
      </c>
      <c r="AX53" s="5155" t="e">
        <f>DATEVALUE(AX54)</f>
        <v>#N/A</v>
      </c>
      <c r="AY53" s="2543" t="s">
        <v>2049</v>
      </c>
      <c r="AZ53" s="2543"/>
      <c r="BA53" s="2547"/>
      <c r="BB53" s="2547" t="s">
        <v>2052</v>
      </c>
      <c r="BC53" s="2544" t="e">
        <f>IF(AND(YourBirthMonth=2,YourBirthDay=29),YourBirthDay-1&amp;"-"&amp;LOOKUP(YourBirthMonth,$BE$49:$BE$61,$BF$49:$BF$61)&amp;"-"&amp;(YourBirthYear+70),YourBirthDay&amp;"-"&amp;LOOKUP(YourBirthMonth,$BE$49:$BE$61,$BF$49:$BF$61)&amp;"-"&amp;(YourBirthYear+70))</f>
        <v>#N/A</v>
      </c>
      <c r="BD53" s="2543"/>
      <c r="BE53" s="2544">
        <v>5</v>
      </c>
      <c r="BF53" s="2545" t="s">
        <v>1375</v>
      </c>
      <c r="BG53" s="1408"/>
      <c r="BH53" s="4447"/>
      <c r="BI53" s="3169"/>
      <c r="BJ53" s="3169"/>
      <c r="BK53" s="3169"/>
      <c r="BL53" s="3169"/>
      <c r="BM53" s="3169"/>
      <c r="BN53" s="3169"/>
      <c r="BO53" s="3169"/>
      <c r="BP53" s="3169"/>
      <c r="BQ53" s="3169"/>
      <c r="BR53" s="3169"/>
      <c r="BS53" s="3169"/>
      <c r="BT53" s="3169"/>
    </row>
    <row r="54" spans="1:72" ht="14.25" customHeight="1" thickBot="1">
      <c r="A54" s="635"/>
      <c r="B54" s="37"/>
      <c r="C54" s="3769" t="s">
        <v>3084</v>
      </c>
      <c r="D54" s="1455"/>
      <c r="E54" s="1459"/>
      <c r="F54" s="1457" t="s">
        <v>3295</v>
      </c>
      <c r="G54" s="1458"/>
      <c r="H54" s="1459"/>
      <c r="I54" s="1459"/>
      <c r="J54" s="1459"/>
      <c r="K54" s="1458"/>
      <c r="L54" s="3787"/>
      <c r="M54" s="5451">
        <f>IF(AD54&lt;&gt;"",ROUND(AD54,0),Schedule5)</f>
        <v>0</v>
      </c>
      <c r="N54" s="5451"/>
      <c r="O54" s="1458"/>
      <c r="P54" s="1458"/>
      <c r="Q54" s="1458"/>
      <c r="R54" s="1458"/>
      <c r="S54" s="1458"/>
      <c r="T54" s="1458"/>
      <c r="U54" s="1458"/>
      <c r="V54" s="1458"/>
      <c r="W54" s="1458"/>
      <c r="X54" s="1458"/>
      <c r="Y54" s="1458"/>
      <c r="Z54" s="4049" t="str">
        <f>IF(AND(EICNumQualChild&lt;&gt;"",OR('Line 17a (EIC)'!L275,EIC_Step4_Line5_Yes&lt;&gt;"",EarnedIncomeWSB&lt;=0,'Line 17a (EIC)'!B398&lt;&gt;"")),".   .   .   .   .   .   .   .   .   .   .   .   .   .   .   .   .   .   .   .   . No",".   .   .   .   .   .   .   .   .   .   .   .   .   .   .   .   .   .   .   .   . ")</f>
        <v xml:space="preserve">.   .   .   .   .   .   .   .   .   .   .   .   .   .   .   .   .   .   .   .   . </v>
      </c>
      <c r="AA54" s="4043">
        <v>17</v>
      </c>
      <c r="AB54" s="5366">
        <f>IF(AL54&lt;&gt;"",ROUND(AL54,0),SUM(EIC,R53,X53,M54))</f>
        <v>0</v>
      </c>
      <c r="AC54" s="5430"/>
      <c r="AD54" s="5430"/>
      <c r="AE54" s="5430"/>
      <c r="AF54" s="5430"/>
      <c r="AG54" s="478"/>
      <c r="AH54" s="699"/>
      <c r="AI54" s="5454" t="str">
        <f>IF($AI$55&gt;0,"added "&amp;TEXT(AI55,"$000")&amp;" to Line 16.","")</f>
        <v/>
      </c>
      <c r="AJ54" s="5455"/>
      <c r="AK54" s="5455"/>
      <c r="AL54" s="4048"/>
      <c r="AM54" s="2555"/>
      <c r="AN54" s="1443"/>
      <c r="AO54" s="2850"/>
      <c r="AP54" s="2850"/>
      <c r="AQ54" s="2850"/>
      <c r="AR54" s="2850"/>
      <c r="AS54" s="2850"/>
      <c r="AT54" s="1443"/>
      <c r="AU54" s="1443"/>
      <c r="AV54" s="1443"/>
      <c r="AW54" s="2548" t="e">
        <f>LOOKUP(YourBirthMonth,$BE$49:$BE$61,$BF$49:$BF$61)</f>
        <v>#N/A</v>
      </c>
      <c r="AX54" s="2544" t="e">
        <f>YourBirthDay&amp;"-"&amp;AW54&amp;"-"&amp;YourBirthYear</f>
        <v>#N/A</v>
      </c>
      <c r="AY54" s="5157" t="b">
        <f>IF(OR(YourBirthMonth="",YourBirthDay="",YourBirthYear=""),TRUE,IF(ISERROR(AX53),TRUE,FALSE))</f>
        <v>1</v>
      </c>
      <c r="AZ54" s="2543" t="b">
        <f>IF(AND(YourBirthMonth="",YourBirthDay="",YourBirthYear=""),FALSE,IF(OR(BadBirthdate_Yours,AND(YourAge&gt;120,AND(YourBirthMonth&lt;&gt;"",YourBirthDay&lt;&gt;"",YourBirthYear&lt;&gt;""))),TRUE,FALSE))</f>
        <v>0</v>
      </c>
      <c r="BA54" s="2543"/>
      <c r="BB54" s="2549"/>
      <c r="BC54" s="2544"/>
      <c r="BD54" s="2543">
        <f>YourBirthMonth+6</f>
        <v>6</v>
      </c>
      <c r="BE54" s="2544">
        <v>6</v>
      </c>
      <c r="BF54" s="2545" t="s">
        <v>1554</v>
      </c>
      <c r="BG54" s="1408"/>
      <c r="BH54" s="4447"/>
      <c r="BI54" s="3169"/>
      <c r="BJ54" s="3169"/>
      <c r="BK54" s="3169"/>
      <c r="BL54" s="3169"/>
      <c r="BM54" s="3169"/>
      <c r="BN54" s="3169"/>
      <c r="BO54" s="3169"/>
      <c r="BP54" s="3169"/>
      <c r="BQ54" s="3169"/>
      <c r="BR54" s="3169"/>
      <c r="BS54" s="3169"/>
      <c r="BT54" s="3169"/>
    </row>
    <row r="55" spans="1:72" ht="14.25" customHeight="1" thickBot="1">
      <c r="A55" s="635"/>
      <c r="B55" s="3772"/>
      <c r="C55" s="3773" t="s">
        <v>611</v>
      </c>
      <c r="D55" s="1464">
        <v>18</v>
      </c>
      <c r="E55" s="3793"/>
      <c r="F55" s="3794" t="s">
        <v>3294</v>
      </c>
      <c r="G55" s="3795"/>
      <c r="H55" s="3795"/>
      <c r="I55" s="3795"/>
      <c r="J55" s="3795"/>
      <c r="K55" s="3795"/>
      <c r="L55" s="3795"/>
      <c r="M55" s="3795"/>
      <c r="N55" s="3795"/>
      <c r="O55" s="3795"/>
      <c r="P55" s="3795"/>
      <c r="Q55" s="3795"/>
      <c r="R55" s="3795"/>
      <c r="S55" s="3795"/>
      <c r="T55" s="3795"/>
      <c r="U55" s="3795"/>
      <c r="V55" s="3795"/>
      <c r="W55" s="3795"/>
      <c r="X55" s="3795"/>
      <c r="Y55" s="3795"/>
      <c r="Z55" s="3796" t="s">
        <v>422</v>
      </c>
      <c r="AA55" s="1471">
        <f>D55</f>
        <v>18</v>
      </c>
      <c r="AB55" s="5459">
        <f>IF(AL55&lt;&gt;"",ROUND(AL55,0),SUM(FedTaxWithheld,AB54))</f>
        <v>0</v>
      </c>
      <c r="AC55" s="5460"/>
      <c r="AD55" s="5460"/>
      <c r="AE55" s="5460"/>
      <c r="AF55" s="5460"/>
      <c r="AG55" s="478"/>
      <c r="AH55" s="699"/>
      <c r="AI55" s="5501">
        <f>IF(ISERROR(F8959_WH),0,F8959_WH)</f>
        <v>0</v>
      </c>
      <c r="AJ55" s="5502"/>
      <c r="AK55" s="5503"/>
      <c r="AL55" s="3469"/>
      <c r="AM55" s="2555"/>
      <c r="AN55" s="1443"/>
      <c r="AO55" s="2850"/>
      <c r="AP55" s="1443"/>
      <c r="AQ55" s="1443"/>
      <c r="AR55" s="1443"/>
      <c r="AS55" s="1443"/>
      <c r="AT55" s="2546"/>
      <c r="AU55" s="2546"/>
      <c r="AV55" s="2546"/>
      <c r="AW55" s="2542"/>
      <c r="AX55" s="2543" t="e">
        <f>IF(AZ54,"",DATEVALUE(AX54))</f>
        <v>#N/A</v>
      </c>
      <c r="AY55" s="2543"/>
      <c r="AZ55" s="2543"/>
      <c r="BA55" s="2547" t="str">
        <f>"YOU are 70.5 on "&amp;TEXT(EndOfTaxYear,"dd-mmm-yyyy")&amp;" -&gt;"</f>
        <v>YOU are 70.5 on 31-Dec-2018 -&gt;</v>
      </c>
      <c r="BB55" s="2550" t="b">
        <f>IF(BadBirthdate_Yours,FALSE,IF(DATEVALUE(BC53)&lt;=DATEVALUE(BB58),TRUE,FALSE))</f>
        <v>0</v>
      </c>
      <c r="BC55" s="2544"/>
      <c r="BD55" s="2543">
        <f>IF(BD54&lt;=12,YourBirthYear+70,YourBirthYear+71)</f>
        <v>70</v>
      </c>
      <c r="BE55" s="2544">
        <v>7</v>
      </c>
      <c r="BF55" s="2545" t="s">
        <v>1555</v>
      </c>
      <c r="BG55" s="1408"/>
      <c r="BH55" s="4447"/>
      <c r="BI55" s="3169"/>
      <c r="BJ55" s="3169"/>
      <c r="BK55" s="3169"/>
      <c r="BL55" s="3169"/>
      <c r="BM55" s="3169"/>
      <c r="BN55" s="3169"/>
      <c r="BO55" s="3169"/>
      <c r="BP55" s="3169"/>
      <c r="BQ55" s="3169"/>
      <c r="BR55" s="3169"/>
      <c r="BS55" s="3169"/>
      <c r="BT55" s="3169"/>
    </row>
    <row r="56" spans="1:72" ht="14.25" customHeight="1" thickBot="1">
      <c r="A56" s="635"/>
      <c r="B56" s="32"/>
      <c r="C56" s="32"/>
      <c r="D56" s="1455">
        <v>19</v>
      </c>
      <c r="E56" s="1459"/>
      <c r="F56" s="1457" t="s">
        <v>3089</v>
      </c>
      <c r="G56" s="1458"/>
      <c r="H56" s="1458"/>
      <c r="I56" s="1458"/>
      <c r="J56" s="1458"/>
      <c r="K56" s="1458"/>
      <c r="L56" s="1458"/>
      <c r="M56" s="1458"/>
      <c r="N56" s="1458"/>
      <c r="O56" s="1458"/>
      <c r="P56" s="1458"/>
      <c r="Q56" s="1458"/>
      <c r="R56" s="1458"/>
      <c r="S56" s="1458"/>
      <c r="T56" s="1458"/>
      <c r="U56" s="1458"/>
      <c r="V56" s="1458"/>
      <c r="W56" s="1458"/>
      <c r="X56" s="1458"/>
      <c r="Y56" s="1458"/>
      <c r="Z56" s="3755" t="s">
        <v>634</v>
      </c>
      <c r="AA56" s="1471">
        <f>D56</f>
        <v>19</v>
      </c>
      <c r="AB56" s="5459">
        <f>IF(AL56&lt;&gt;"",ROUND(AL56,0),IF(AB55&gt;Tot_Tax,SUM(AB55,-Tot_Tax),0))</f>
        <v>0</v>
      </c>
      <c r="AC56" s="5460"/>
      <c r="AD56" s="5460"/>
      <c r="AE56" s="5460"/>
      <c r="AF56" s="5460"/>
      <c r="AG56" s="478"/>
      <c r="AH56" s="699"/>
      <c r="AI56" s="5504"/>
      <c r="AJ56" s="5505"/>
      <c r="AK56" s="5505"/>
      <c r="AL56" s="3469"/>
      <c r="AM56" s="2555"/>
      <c r="AN56" s="1443"/>
      <c r="AO56" s="2850"/>
      <c r="AP56" s="2546"/>
      <c r="AQ56" s="2546"/>
      <c r="AR56" s="2546"/>
      <c r="AS56" s="2546"/>
      <c r="AT56" s="2098"/>
      <c r="AU56" s="2098"/>
      <c r="AV56" s="2098"/>
      <c r="AW56" s="2542"/>
      <c r="AX56" s="2543" t="e">
        <f>ROUNDDOWN((EndOfTaxYear-AX55)/365.25,1)</f>
        <v>#N/A</v>
      </c>
      <c r="AY56" s="2543"/>
      <c r="AZ56" s="2543"/>
      <c r="BA56" s="2547" t="str">
        <f>"YOU are 65 on "&amp;TEXT(EndOfTaxYear,"dd-mmm-yyyy")&amp;" -&gt;"</f>
        <v>YOU are 65 on 31-Dec-2018 -&gt;</v>
      </c>
      <c r="BB56" s="2550" t="b">
        <f>IF(BadBirthdate_Yours,FALSE,YourAge&gt;=65)</f>
        <v>0</v>
      </c>
      <c r="BC56" s="2544"/>
      <c r="BD56" s="2543"/>
      <c r="BE56" s="2544">
        <v>8</v>
      </c>
      <c r="BF56" s="2545" t="s">
        <v>1556</v>
      </c>
      <c r="BG56" s="1408"/>
      <c r="BH56" s="4447"/>
      <c r="BI56" s="3169"/>
      <c r="BJ56" s="3169"/>
      <c r="BK56" s="3169"/>
      <c r="BL56" s="3169"/>
      <c r="BM56" s="3169"/>
      <c r="BN56" s="3169"/>
      <c r="BO56" s="3169"/>
      <c r="BP56" s="3169"/>
      <c r="BQ56" s="3169"/>
      <c r="BR56" s="3169"/>
      <c r="BS56" s="3169"/>
      <c r="BT56" s="3169"/>
    </row>
    <row r="57" spans="1:72" ht="14.25" customHeight="1">
      <c r="A57" s="635"/>
      <c r="B57" s="355" t="s">
        <v>87</v>
      </c>
      <c r="C57" s="32"/>
      <c r="D57" s="1455">
        <v>20</v>
      </c>
      <c r="E57" s="1459" t="s">
        <v>38</v>
      </c>
      <c r="F57" s="1457" t="s">
        <v>3805</v>
      </c>
      <c r="G57" s="1458"/>
      <c r="H57" s="1458"/>
      <c r="I57" s="1458"/>
      <c r="J57" s="1458"/>
      <c r="K57" s="1458"/>
      <c r="L57" s="1458"/>
      <c r="M57" s="1458"/>
      <c r="N57" s="1458"/>
      <c r="O57" s="1458"/>
      <c r="P57" s="1458"/>
      <c r="Q57" s="1458"/>
      <c r="R57" s="1458"/>
      <c r="S57" s="1458"/>
      <c r="T57" s="1458"/>
      <c r="U57" s="1458"/>
      <c r="V57" s="1458"/>
      <c r="W57" s="1458"/>
      <c r="X57" s="1458"/>
      <c r="Y57" s="3850"/>
      <c r="Z57" s="4121" t="s">
        <v>1280</v>
      </c>
      <c r="AA57" s="1471" t="str">
        <f>D57&amp;"a"</f>
        <v>20a</v>
      </c>
      <c r="AB57" s="5512">
        <f>Overpaid</f>
        <v>0</v>
      </c>
      <c r="AC57" s="5513"/>
      <c r="AD57" s="5513"/>
      <c r="AE57" s="5513"/>
      <c r="AF57" s="5513"/>
      <c r="AG57" s="478"/>
      <c r="AH57" s="699"/>
      <c r="AI57" s="3766"/>
      <c r="AJ57" s="3962"/>
      <c r="AK57" s="3962"/>
      <c r="AL57" s="397"/>
      <c r="AM57" s="2555"/>
      <c r="AN57" s="1443"/>
      <c r="AO57" s="2850"/>
      <c r="AP57" s="1443"/>
      <c r="AQ57" s="1443"/>
      <c r="AR57" s="1443"/>
      <c r="AS57" s="1443"/>
      <c r="AT57" s="1443"/>
      <c r="AU57" s="1443"/>
      <c r="AV57" s="1443"/>
      <c r="AW57" s="2542"/>
      <c r="AX57" s="2543" t="str">
        <f>IF(YourBirthYear="","?",IF(AND(YourBirthMonth=1,YourBirthDay=1),TaxYear-YourBirthYear+1,TaxYear-YourBirthYear))</f>
        <v>?</v>
      </c>
      <c r="AY57" s="2543"/>
      <c r="AZ57" s="2543"/>
      <c r="BA57" s="2543"/>
      <c r="BB57" s="2551"/>
      <c r="BC57" s="2544"/>
      <c r="BD57" s="2543"/>
      <c r="BE57" s="2544">
        <v>9</v>
      </c>
      <c r="BF57" s="2545" t="s">
        <v>1557</v>
      </c>
      <c r="BG57" s="1408"/>
      <c r="BH57" s="4447"/>
      <c r="BI57" s="3169"/>
      <c r="BJ57" s="3169"/>
      <c r="BK57" s="3169"/>
      <c r="BL57" s="3169"/>
      <c r="BM57" s="3169"/>
      <c r="BN57" s="3169"/>
      <c r="BO57" s="3169"/>
      <c r="BP57" s="3169"/>
      <c r="BQ57" s="3169"/>
      <c r="BR57" s="3169"/>
      <c r="BS57" s="3169"/>
      <c r="BT57" s="3169"/>
    </row>
    <row r="58" spans="1:72" ht="14.25" customHeight="1">
      <c r="A58" s="635"/>
      <c r="B58" s="349" t="s">
        <v>3418</v>
      </c>
      <c r="C58" s="32"/>
      <c r="D58" s="1455"/>
      <c r="E58" s="1459" t="s">
        <v>54</v>
      </c>
      <c r="F58" s="1457" t="s">
        <v>175</v>
      </c>
      <c r="G58" s="1458"/>
      <c r="H58" s="1458"/>
      <c r="I58" s="5493"/>
      <c r="J58" s="5494"/>
      <c r="K58" s="5494"/>
      <c r="L58" s="5494"/>
      <c r="M58" s="5494"/>
      <c r="N58" s="5494"/>
      <c r="O58" s="5494"/>
      <c r="P58" s="5495"/>
      <c r="Q58" s="1458"/>
      <c r="R58" s="1458"/>
      <c r="S58" s="4051" t="s">
        <v>595</v>
      </c>
      <c r="T58" s="1447"/>
      <c r="U58" s="1493" t="s">
        <v>176</v>
      </c>
      <c r="V58" s="1493"/>
      <c r="W58" s="1493"/>
      <c r="X58" s="3813"/>
      <c r="Y58" s="1490" t="s">
        <v>129</v>
      </c>
      <c r="Z58" s="1494"/>
      <c r="AA58" s="3791"/>
      <c r="AB58" s="5488" t="str">
        <f>IF(AND($AH$62="",$AI$63),"Sum of amounts on","")</f>
        <v/>
      </c>
      <c r="AC58" s="5489"/>
      <c r="AD58" s="5489"/>
      <c r="AE58" s="5489"/>
      <c r="AF58" s="5489"/>
      <c r="AG58" s="478"/>
      <c r="AH58" s="699"/>
      <c r="AI58" s="3956" t="b">
        <f>AND(You_Owe&gt;1000,You_Owe&gt;0.1*Tot_Tax)</f>
        <v>0</v>
      </c>
      <c r="AJ58" s="3963"/>
      <c r="AK58" s="3964" t="b">
        <f>AND(AI58,AH62="")</f>
        <v>0</v>
      </c>
      <c r="AL58" s="397"/>
      <c r="AM58" s="2555"/>
      <c r="AN58" s="1443"/>
      <c r="AO58" s="2850"/>
      <c r="AP58" s="1443"/>
      <c r="AQ58" s="1443"/>
      <c r="AR58" s="1443"/>
      <c r="AS58" s="1443"/>
      <c r="AT58" s="2552"/>
      <c r="AU58" s="2552"/>
      <c r="AV58" s="2552"/>
      <c r="AW58" s="5113"/>
      <c r="AX58" s="2543"/>
      <c r="AY58" s="2543"/>
      <c r="AZ58" s="2543"/>
      <c r="BA58" s="2547" t="s">
        <v>2053</v>
      </c>
      <c r="BB58" s="2543" t="str">
        <f>"30-Jun-"&amp;TaxYear</f>
        <v>30-Jun-2018</v>
      </c>
      <c r="BC58" s="2544"/>
      <c r="BD58" s="2543"/>
      <c r="BE58" s="2544">
        <v>10</v>
      </c>
      <c r="BF58" s="2545" t="s">
        <v>1558</v>
      </c>
      <c r="BG58" s="1408"/>
      <c r="BH58" s="4447"/>
      <c r="BI58" s="3169"/>
      <c r="BJ58" s="3169"/>
      <c r="BK58" s="3169"/>
      <c r="BL58" s="3169"/>
      <c r="BM58" s="3169"/>
      <c r="BN58" s="3169"/>
      <c r="BO58" s="3169"/>
      <c r="BP58" s="3169"/>
      <c r="BQ58" s="3169"/>
      <c r="BR58" s="3169"/>
      <c r="BS58" s="3169"/>
      <c r="BT58" s="3169"/>
    </row>
    <row r="59" spans="1:72" ht="14.25" customHeight="1">
      <c r="A59" s="635"/>
      <c r="B59" s="536" t="s">
        <v>2714</v>
      </c>
      <c r="C59" s="32"/>
      <c r="D59" s="1455"/>
      <c r="E59" s="1459" t="s">
        <v>102</v>
      </c>
      <c r="F59" s="1457" t="s">
        <v>177</v>
      </c>
      <c r="G59" s="1458"/>
      <c r="H59" s="1458"/>
      <c r="I59" s="5493"/>
      <c r="J59" s="5494"/>
      <c r="K59" s="5494"/>
      <c r="L59" s="5494"/>
      <c r="M59" s="5494"/>
      <c r="N59" s="5494"/>
      <c r="O59" s="5494"/>
      <c r="P59" s="5494"/>
      <c r="Q59" s="5494"/>
      <c r="R59" s="5495"/>
      <c r="S59" s="1460"/>
      <c r="T59" s="3797"/>
      <c r="U59" s="3760"/>
      <c r="V59" s="3760"/>
      <c r="W59" s="3760"/>
      <c r="X59" s="3760"/>
      <c r="Y59" s="3760"/>
      <c r="Z59" s="3755" t="s">
        <v>857</v>
      </c>
      <c r="AA59" s="3800"/>
      <c r="AB59" s="5338" t="str">
        <f>IF(AND($AH$62="",$AI$63),"Lines 20a &amp; 21","")</f>
        <v/>
      </c>
      <c r="AC59" s="5339"/>
      <c r="AD59" s="5339"/>
      <c r="AE59" s="5339"/>
      <c r="AF59" s="5339"/>
      <c r="AG59" s="478"/>
      <c r="AH59" s="699"/>
      <c r="AI59" s="5499" t="str">
        <f>IF($AK$58,"Check sheet 2210 to","")</f>
        <v/>
      </c>
      <c r="AJ59" s="5500"/>
      <c r="AK59" s="5500"/>
      <c r="AL59" s="397"/>
      <c r="AM59" s="2555"/>
      <c r="AN59" s="1443"/>
      <c r="AO59" s="2850"/>
      <c r="AP59" s="1443"/>
      <c r="AQ59" s="1443"/>
      <c r="AR59" s="1443"/>
      <c r="AS59" s="1443"/>
      <c r="AT59" s="2546"/>
      <c r="AU59" s="2546"/>
      <c r="AV59" s="2546"/>
      <c r="AW59" s="5113"/>
      <c r="AX59" s="2543"/>
      <c r="AY59" s="2543"/>
      <c r="AZ59" s="2543"/>
      <c r="BA59" s="2543"/>
      <c r="BB59" s="2543"/>
      <c r="BC59" s="2544"/>
      <c r="BD59" s="2543"/>
      <c r="BE59" s="2544">
        <v>11</v>
      </c>
      <c r="BF59" s="2545" t="s">
        <v>1559</v>
      </c>
      <c r="BG59" s="1408"/>
      <c r="BH59" s="4447"/>
      <c r="BI59" s="3169"/>
      <c r="BJ59" s="3169"/>
      <c r="BK59" s="3169"/>
      <c r="BL59" s="3169"/>
      <c r="BM59" s="3169"/>
      <c r="BN59" s="3169"/>
      <c r="BO59" s="3169"/>
      <c r="BP59" s="3169"/>
      <c r="BQ59" s="3169"/>
      <c r="BR59" s="3169"/>
      <c r="BS59" s="3169"/>
      <c r="BT59" s="3169"/>
    </row>
    <row r="60" spans="1:72" ht="14.25" customHeight="1">
      <c r="A60" s="635"/>
      <c r="B60" s="32"/>
      <c r="C60" s="32"/>
      <c r="D60" s="1455">
        <v>21</v>
      </c>
      <c r="E60" s="1459"/>
      <c r="F60" s="1457" t="str">
        <f>"Amount  of  line 19  you want"</f>
        <v>Amount  of  line 19  you want</v>
      </c>
      <c r="G60" s="1458"/>
      <c r="H60" s="1458"/>
      <c r="I60" s="1458"/>
      <c r="J60" s="1458"/>
      <c r="K60" s="4123" t="str">
        <f>"applied to your "&amp;TaxYear+1&amp;" estimated tax"</f>
        <v>applied to your 2019 estimated tax</v>
      </c>
      <c r="L60" s="1458"/>
      <c r="M60" s="1458"/>
      <c r="N60" s="1458"/>
      <c r="O60" s="1458"/>
      <c r="P60" s="1458"/>
      <c r="Q60" s="1458"/>
      <c r="R60" s="1458"/>
      <c r="S60" s="4060" t="s">
        <v>3262</v>
      </c>
      <c r="T60" s="3786">
        <f>D60</f>
        <v>21</v>
      </c>
      <c r="U60" s="3798"/>
      <c r="V60" s="5496">
        <f>IF(AL60&lt;&gt;"",ROUND(AL60,0),SUM(Overpaid,-AB57))</f>
        <v>0</v>
      </c>
      <c r="W60" s="5497"/>
      <c r="X60" s="5497"/>
      <c r="Y60" s="5497"/>
      <c r="Z60" s="3799"/>
      <c r="AA60" s="3800"/>
      <c r="AB60" s="5336" t="str">
        <f>IF(AND($AH$62="",$AI$63),"must equal Line 19.","")</f>
        <v/>
      </c>
      <c r="AC60" s="5337"/>
      <c r="AD60" s="5337"/>
      <c r="AE60" s="5337"/>
      <c r="AF60" s="5337"/>
      <c r="AG60" s="478"/>
      <c r="AH60" s="699"/>
      <c r="AI60" s="5499" t="str">
        <f>IF($AK$58,"figure any tax penalty","")</f>
        <v/>
      </c>
      <c r="AJ60" s="5500"/>
      <c r="AK60" s="5500"/>
      <c r="AL60" s="3470"/>
      <c r="AM60" s="2555"/>
      <c r="AN60" s="1443"/>
      <c r="AO60" s="2850"/>
      <c r="AP60" s="1443"/>
      <c r="AQ60" s="1443"/>
      <c r="AR60" s="1443"/>
      <c r="AS60" s="1443"/>
      <c r="AT60" s="2546"/>
      <c r="AU60" s="2546"/>
      <c r="AV60" s="2546"/>
      <c r="AW60" s="5113"/>
      <c r="AX60" s="2543"/>
      <c r="AY60" s="2543"/>
      <c r="AZ60" s="2543"/>
      <c r="BA60" s="2543"/>
      <c r="BB60" s="2543"/>
      <c r="BC60" s="2544"/>
      <c r="BD60" s="2543"/>
      <c r="BE60" s="2553">
        <v>12</v>
      </c>
      <c r="BF60" s="2554" t="s">
        <v>1560</v>
      </c>
      <c r="BG60" s="1408"/>
      <c r="BH60" s="4447"/>
      <c r="BI60" s="3169"/>
      <c r="BJ60" s="3169"/>
      <c r="BK60" s="3169"/>
      <c r="BL60" s="3169"/>
      <c r="BM60" s="3169"/>
      <c r="BN60" s="3169"/>
      <c r="BO60" s="3169"/>
      <c r="BP60" s="3169"/>
      <c r="BQ60" s="3169"/>
      <c r="BR60" s="3169"/>
      <c r="BS60" s="3169"/>
      <c r="BT60" s="3169"/>
    </row>
    <row r="61" spans="1:72" ht="14.25" customHeight="1">
      <c r="A61" s="635"/>
      <c r="B61" s="3807" t="s">
        <v>3091</v>
      </c>
      <c r="C61" s="40"/>
      <c r="D61" s="1488">
        <v>22</v>
      </c>
      <c r="E61" s="3808"/>
      <c r="F61" s="1489" t="s">
        <v>4136</v>
      </c>
      <c r="G61" s="3809"/>
      <c r="H61" s="3809"/>
      <c r="I61" s="3809"/>
      <c r="J61" s="3809"/>
      <c r="K61" s="3809"/>
      <c r="L61" s="3809"/>
      <c r="M61" s="3809"/>
      <c r="N61" s="3809"/>
      <c r="O61" s="3809"/>
      <c r="P61" s="3809"/>
      <c r="Q61" s="3809"/>
      <c r="R61" s="3809"/>
      <c r="S61" s="3810"/>
      <c r="T61" s="3811"/>
      <c r="U61" s="3812"/>
      <c r="V61" s="3812"/>
      <c r="W61" s="3812"/>
      <c r="X61" s="3812"/>
      <c r="Y61" s="3812"/>
      <c r="Z61" s="1491"/>
      <c r="AA61" s="4122" t="s">
        <v>2526</v>
      </c>
      <c r="AB61" s="5459">
        <f>IF(AL61&lt;&gt;"",AL61,IF(ISERROR(Tot_Tax-Tot_Payments+TaxPenalty),0,IF(Tot_Tax-Tot_Payments+TaxPenalty&lt;0,0,Tot_Tax-Tot_Payments+TaxPenalty)))</f>
        <v>0</v>
      </c>
      <c r="AC61" s="5460"/>
      <c r="AD61" s="5460"/>
      <c r="AE61" s="5460"/>
      <c r="AF61" s="5460"/>
      <c r="AG61" s="478"/>
      <c r="AH61" s="699"/>
      <c r="AI61" s="5499" t="str">
        <f>IF($AK$58,"that may apply.","")</f>
        <v/>
      </c>
      <c r="AJ61" s="5500"/>
      <c r="AK61" s="5500"/>
      <c r="AL61" s="3470"/>
      <c r="AM61" s="2555"/>
      <c r="AN61" s="1443"/>
      <c r="AO61" s="2850"/>
      <c r="AP61" s="1443"/>
      <c r="AQ61" s="1443"/>
      <c r="AR61" s="1443"/>
      <c r="AS61" s="1443"/>
      <c r="AT61" s="2546"/>
      <c r="AU61" s="2546"/>
      <c r="AV61" s="2546"/>
      <c r="AW61" s="2542"/>
      <c r="AX61" s="2543"/>
      <c r="AY61" s="2543"/>
      <c r="AZ61" s="2543"/>
      <c r="BA61" s="2543"/>
      <c r="BB61" s="2543"/>
      <c r="BC61" s="2544"/>
      <c r="BD61" s="2543"/>
      <c r="BE61" s="2544">
        <v>13</v>
      </c>
      <c r="BF61" s="2545" t="s">
        <v>2123</v>
      </c>
      <c r="BG61" s="1408"/>
      <c r="BH61" s="4447"/>
      <c r="BI61" s="3169"/>
      <c r="BJ61" s="3169"/>
      <c r="BK61" s="3169"/>
      <c r="BL61" s="3169"/>
      <c r="BM61" s="3169"/>
      <c r="BN61" s="3169"/>
      <c r="BO61" s="3169"/>
      <c r="BP61" s="3169"/>
      <c r="BQ61" s="3169"/>
      <c r="BR61" s="3169"/>
      <c r="BS61" s="3169"/>
      <c r="BT61" s="3169"/>
    </row>
    <row r="62" spans="1:72" ht="14.25" customHeight="1" thickBot="1">
      <c r="A62" s="635"/>
      <c r="B62" s="3806"/>
      <c r="C62" s="31"/>
      <c r="D62" s="1469">
        <v>23</v>
      </c>
      <c r="E62" s="3801"/>
      <c r="F62" s="1470" t="str">
        <f>IF(AND(You_Owe&lt;&gt;"",You_Owe&gt;1000,You_Owe&gt;0.1*Tot_Tax,TaxPenalty=""),"Enter Estimated Tax Penalty (or 0 if none applies)","Estimated tax penalty (see instructions)")</f>
        <v>Estimated tax penalty (see instructions)</v>
      </c>
      <c r="G62" s="1496"/>
      <c r="H62" s="1496"/>
      <c r="I62" s="1496"/>
      <c r="J62" s="1496"/>
      <c r="K62" s="1496"/>
      <c r="L62" s="1496"/>
      <c r="M62" s="1496"/>
      <c r="N62" s="1496"/>
      <c r="O62" s="1496"/>
      <c r="P62" s="1496"/>
      <c r="Q62" s="1496"/>
      <c r="R62" s="1496"/>
      <c r="S62" s="4050" t="s">
        <v>667</v>
      </c>
      <c r="T62" s="3802">
        <f>D62</f>
        <v>23</v>
      </c>
      <c r="U62" s="3803"/>
      <c r="V62" s="5506">
        <f>IF(AL62&lt;&gt;"",ROUND(AL62,0),SUM('2210'!U108,'2210'!U146))</f>
        <v>0</v>
      </c>
      <c r="W62" s="5507"/>
      <c r="X62" s="5507"/>
      <c r="Y62" s="5507"/>
      <c r="Z62" s="3804"/>
      <c r="AA62" s="3755" t="s">
        <v>1280</v>
      </c>
      <c r="AB62" s="5508"/>
      <c r="AC62" s="5509"/>
      <c r="AD62" s="5509"/>
      <c r="AE62" s="5509"/>
      <c r="AF62" s="5509"/>
      <c r="AG62" s="478"/>
      <c r="AH62" s="3957"/>
      <c r="AI62" s="5015" t="str">
        <f>IF(OR(AI58,AI63),"Hide note.","")</f>
        <v/>
      </c>
      <c r="AJ62" s="3765"/>
      <c r="AK62" s="3765"/>
      <c r="AL62" s="3469"/>
      <c r="AM62" s="2555"/>
      <c r="AN62" s="1443"/>
      <c r="AO62" s="2850"/>
      <c r="AP62" s="1443"/>
      <c r="AQ62" s="1443"/>
      <c r="AR62" s="1443"/>
      <c r="AS62" s="1443"/>
      <c r="AT62" s="1443"/>
      <c r="AU62" s="1443"/>
      <c r="AV62" s="1443"/>
      <c r="AW62" s="2542" t="s">
        <v>2145</v>
      </c>
      <c r="AX62" s="2543">
        <f>DATEVALUE("2-Jan-"&amp;TaxYear-64)</f>
        <v>19726</v>
      </c>
      <c r="AY62" s="2543"/>
      <c r="AZ62" s="2543"/>
      <c r="BA62" s="2543"/>
      <c r="BB62" s="2543"/>
      <c r="BC62" s="2544"/>
      <c r="BD62" s="2543"/>
      <c r="BE62" s="2544"/>
      <c r="BF62" s="2545"/>
      <c r="BG62" s="1408"/>
      <c r="BH62" s="4447"/>
      <c r="BI62" s="3169"/>
      <c r="BJ62" s="3169"/>
      <c r="BK62" s="3169"/>
      <c r="BL62" s="3169"/>
      <c r="BM62" s="3169"/>
      <c r="BN62" s="3169"/>
      <c r="BO62" s="3169"/>
      <c r="BP62" s="3169"/>
      <c r="BQ62" s="3169"/>
      <c r="BR62" s="3169"/>
      <c r="BS62" s="3169"/>
      <c r="BT62" s="3169"/>
    </row>
    <row r="63" spans="1:72" ht="14.25" customHeight="1">
      <c r="A63" s="635"/>
      <c r="B63" s="4046" t="s">
        <v>3419</v>
      </c>
      <c r="C63" s="1455"/>
      <c r="D63" s="1455"/>
      <c r="E63" s="1459"/>
      <c r="F63" s="1457"/>
      <c r="G63" s="1458"/>
      <c r="H63" s="1458"/>
      <c r="I63" s="1458"/>
      <c r="J63" s="1458"/>
      <c r="K63" s="1458"/>
      <c r="L63" s="1458"/>
      <c r="M63" s="1458"/>
      <c r="N63" s="1458"/>
      <c r="O63" s="1458"/>
      <c r="P63" s="1458"/>
      <c r="Q63" s="1458"/>
      <c r="R63" s="1458"/>
      <c r="S63" s="1460"/>
      <c r="T63" s="3797"/>
      <c r="U63" s="3760"/>
      <c r="V63" s="3760"/>
      <c r="W63" s="3760"/>
      <c r="X63" s="3760"/>
      <c r="Y63" s="3760"/>
      <c r="Z63" s="5510" t="s">
        <v>3090</v>
      </c>
      <c r="AA63" s="5511"/>
      <c r="AB63" s="5511"/>
      <c r="AC63" s="5511"/>
      <c r="AD63" s="5511"/>
      <c r="AE63" s="3760"/>
      <c r="AF63" s="3805" t="str">
        <f>"("&amp;TaxYear&amp;")"</f>
        <v>(2018)</v>
      </c>
      <c r="AG63" s="478"/>
      <c r="AH63" s="699"/>
      <c r="AI63" s="5009" t="b">
        <f>(SUM(AB57,V60)&lt;&gt;Overpaid)</f>
        <v>0</v>
      </c>
      <c r="AJ63" s="3765"/>
      <c r="AK63" s="3765"/>
      <c r="AL63" s="397"/>
      <c r="AM63" s="2555"/>
      <c r="AN63" s="1443"/>
      <c r="AO63" s="2850"/>
      <c r="AP63" s="1443"/>
      <c r="AQ63" s="1443"/>
      <c r="AR63" s="1443"/>
      <c r="AS63" s="1443"/>
      <c r="AT63" s="1443"/>
      <c r="AU63" s="1443"/>
      <c r="AV63" s="1443"/>
      <c r="AW63" s="2542"/>
      <c r="AX63" s="2543"/>
      <c r="AY63" s="2543"/>
      <c r="AZ63" s="2543"/>
      <c r="BA63" s="2543"/>
      <c r="BB63" s="2543"/>
      <c r="BC63" s="2544"/>
      <c r="BD63" s="2543"/>
      <c r="BE63" s="2544"/>
      <c r="BF63" s="2545"/>
      <c r="BG63" s="1408"/>
      <c r="BH63" s="4447"/>
      <c r="BI63" s="3169"/>
      <c r="BJ63" s="3169"/>
      <c r="BK63" s="3169"/>
      <c r="BL63" s="3169"/>
      <c r="BM63" s="3169"/>
      <c r="BN63" s="3169"/>
      <c r="BO63" s="3169"/>
      <c r="BP63" s="3169"/>
      <c r="BQ63" s="3169"/>
      <c r="BR63" s="3169"/>
      <c r="BS63" s="3169"/>
      <c r="BT63" s="3169"/>
    </row>
    <row r="64" spans="1:72" ht="14.25" customHeight="1">
      <c r="A64" s="699"/>
      <c r="B64" s="699"/>
      <c r="C64" s="699"/>
      <c r="D64" s="699"/>
      <c r="E64" s="699"/>
      <c r="F64" s="699"/>
      <c r="G64" s="699"/>
      <c r="H64" s="699"/>
      <c r="I64" s="699"/>
      <c r="J64" s="699"/>
      <c r="K64" s="699"/>
      <c r="L64" s="699"/>
      <c r="M64" s="699"/>
      <c r="N64" s="699"/>
      <c r="O64" s="699"/>
      <c r="P64" s="699"/>
      <c r="Q64" s="699"/>
      <c r="R64" s="699"/>
      <c r="S64" s="699"/>
      <c r="T64" s="699"/>
      <c r="U64" s="699"/>
      <c r="V64" s="699"/>
      <c r="W64" s="699"/>
      <c r="X64" s="699"/>
      <c r="Y64" s="699"/>
      <c r="Z64" s="699"/>
      <c r="AA64" s="699"/>
      <c r="AB64" s="699"/>
      <c r="AC64" s="699"/>
      <c r="AD64" s="699"/>
      <c r="AE64" s="699"/>
      <c r="AF64" s="699"/>
      <c r="AG64" s="699"/>
      <c r="AH64" s="699"/>
      <c r="AI64" s="3765"/>
      <c r="AJ64" s="3765"/>
      <c r="AK64" s="3765"/>
      <c r="AL64" s="397"/>
      <c r="AM64" s="2555"/>
      <c r="AN64" s="1443"/>
      <c r="AO64" s="1443"/>
      <c r="AP64" s="1443"/>
      <c r="AQ64" s="1443"/>
      <c r="AR64" s="1443"/>
      <c r="AS64" s="1443"/>
      <c r="AT64" s="1443"/>
      <c r="AU64" s="1443"/>
      <c r="AV64" s="1443"/>
      <c r="AW64" s="2542"/>
      <c r="AX64" s="2543"/>
      <c r="AY64" s="2543"/>
      <c r="AZ64" s="2543"/>
      <c r="BA64" s="2543"/>
      <c r="BB64" s="2543"/>
      <c r="BC64" s="2544"/>
      <c r="BD64" s="2543"/>
      <c r="BE64" s="2544"/>
      <c r="BF64" s="2545"/>
      <c r="BG64" s="1408"/>
      <c r="BH64" s="4447"/>
      <c r="BI64" s="3169"/>
      <c r="BJ64" s="3169"/>
      <c r="BK64" s="3169"/>
      <c r="BL64" s="3169"/>
      <c r="BM64" s="3169"/>
      <c r="BN64" s="3169"/>
      <c r="BO64" s="3169"/>
      <c r="BP64" s="3169"/>
      <c r="BQ64" s="3169"/>
      <c r="BR64" s="3169"/>
      <c r="BS64" s="3169"/>
      <c r="BT64" s="3169"/>
    </row>
    <row r="65" spans="2:72" ht="14.25" customHeight="1" thickBot="1">
      <c r="B65" s="290"/>
      <c r="C65" s="290"/>
      <c r="D65" s="290"/>
      <c r="E65" s="290"/>
      <c r="F65" s="290"/>
      <c r="G65" s="290"/>
      <c r="H65" s="290"/>
      <c r="I65" s="290"/>
      <c r="J65" s="290"/>
      <c r="K65" s="290"/>
      <c r="L65" s="290"/>
      <c r="M65" s="290"/>
      <c r="N65" s="290"/>
      <c r="O65" s="290"/>
      <c r="P65" s="290"/>
      <c r="Q65" s="290"/>
      <c r="R65" s="290"/>
      <c r="S65" s="290"/>
      <c r="T65" s="290"/>
      <c r="U65" s="290"/>
      <c r="V65" s="290"/>
      <c r="W65" s="290"/>
      <c r="X65" s="290"/>
      <c r="Y65" s="290"/>
      <c r="Z65" s="290"/>
      <c r="AA65" s="290"/>
      <c r="AB65" s="290"/>
      <c r="AC65" s="290"/>
      <c r="AD65" s="290"/>
      <c r="AE65" s="290"/>
      <c r="AF65" s="290"/>
      <c r="AG65" s="290"/>
      <c r="AH65" s="290"/>
      <c r="AI65" s="3765"/>
      <c r="AJ65" s="3765"/>
      <c r="AK65" s="3765"/>
      <c r="AL65" s="1443"/>
      <c r="AM65" s="1443"/>
      <c r="AN65" s="1443"/>
      <c r="AO65" s="1443"/>
      <c r="AP65" s="1443"/>
      <c r="AQ65" s="1443"/>
      <c r="AR65" s="1443"/>
      <c r="AS65" s="1443"/>
      <c r="AT65" s="1443"/>
      <c r="AU65" s="1443"/>
      <c r="AV65" s="1443"/>
      <c r="AW65" s="2542" t="b">
        <f>IF(NumFileStatusBoxes=0,FALSE,IF(AND(OR(File_Marr_Sep&lt;&gt;"",File_Marr_Joint&lt;&gt;""),OR(AW53,AW68)),TRUE,IF(AW53,TRUE,FALSE)))</f>
        <v>0</v>
      </c>
      <c r="AX65" s="2543"/>
      <c r="AY65" s="2543"/>
      <c r="AZ65" s="2543"/>
      <c r="BA65" s="2543"/>
      <c r="BB65" s="2543"/>
      <c r="BC65" s="2544"/>
      <c r="BD65" s="2543"/>
      <c r="BE65" s="2544"/>
      <c r="BF65" s="2545">
        <f>TaxYear-65</f>
        <v>1953</v>
      </c>
      <c r="BG65" s="1408"/>
      <c r="BH65" s="4447"/>
      <c r="BI65" s="3169"/>
      <c r="BJ65" s="3169"/>
      <c r="BK65" s="3169"/>
      <c r="BL65" s="3169"/>
      <c r="BM65" s="3169"/>
      <c r="BN65" s="3169"/>
      <c r="BO65" s="3169"/>
      <c r="BP65" s="3169"/>
      <c r="BQ65" s="3169"/>
      <c r="BR65" s="3169"/>
      <c r="BS65" s="3169"/>
      <c r="BT65" s="3169"/>
    </row>
    <row r="66" spans="2:72" ht="14.25" customHeight="1" thickTop="1" thickBot="1">
      <c r="D66" s="5490" t="s">
        <v>180</v>
      </c>
      <c r="E66" s="5491"/>
      <c r="F66" s="5491"/>
      <c r="G66" s="5491"/>
      <c r="H66" s="5491"/>
      <c r="I66" s="5491"/>
      <c r="J66" s="5491"/>
      <c r="K66" s="5491"/>
      <c r="L66" s="5491"/>
      <c r="M66" s="5491"/>
      <c r="N66" s="5491"/>
      <c r="O66" s="5491"/>
      <c r="P66" s="5491"/>
      <c r="Q66" s="5491"/>
      <c r="R66" s="5491"/>
      <c r="S66" s="5492"/>
      <c r="AH66" s="6"/>
      <c r="AI66" s="24"/>
      <c r="AJ66" s="24"/>
      <c r="AK66" s="24"/>
      <c r="AL66" s="46"/>
      <c r="AM66" s="46"/>
      <c r="AV66" s="1443"/>
      <c r="AW66" s="2542"/>
      <c r="AX66" s="2543"/>
      <c r="AY66" s="2543"/>
      <c r="AZ66" s="2543"/>
      <c r="BA66" s="2543"/>
      <c r="BB66" s="2543"/>
      <c r="BC66" s="2544"/>
      <c r="BD66" s="2543"/>
      <c r="BE66" s="2544"/>
      <c r="BF66" s="2545" t="b">
        <f>AND(SpouseDeceased&lt;&gt;"",SpouseDeathYear&lt;&gt;"",OR(SpouseBirthYear&lt;$BF$65,AND(SpouseBirthYear=$BF$65,SpouseDeathMonth&gt;SpouseBirthMonth),AND(SpouseDeathMonth=SpouseBirthMonth,SpouseDeathDay&gt;=SpouseBirthDay-1)))</f>
        <v>0</v>
      </c>
      <c r="BG66" s="1408"/>
    </row>
    <row r="67" spans="2:72" ht="14.25" customHeight="1" thickTop="1" thickBot="1">
      <c r="AH67" s="6"/>
      <c r="AI67" s="6"/>
      <c r="AJ67" s="6"/>
      <c r="AK67" s="6"/>
      <c r="AL67" s="46"/>
      <c r="AM67" s="46"/>
      <c r="AV67" s="1443"/>
      <c r="AW67" s="2542"/>
      <c r="AX67" s="2543" t="e">
        <f>DATEVALUE(AX69)</f>
        <v>#N/A</v>
      </c>
      <c r="AY67" s="2543"/>
      <c r="AZ67" s="2543" t="b">
        <f>IF(AND(File_Marr_Joint="",NumFileStatusBoxes=1),TRUE,FALSE)</f>
        <v>0</v>
      </c>
      <c r="BA67" s="2543"/>
      <c r="BB67" s="2543"/>
      <c r="BC67" s="2544"/>
      <c r="BD67" s="2543"/>
      <c r="BE67" s="2544"/>
      <c r="BF67" s="5154" t="e">
        <f>DATEVALUE(BF69)</f>
        <v>#N/A</v>
      </c>
      <c r="BG67" s="1408"/>
    </row>
    <row r="68" spans="2:72" ht="14.25" customHeight="1" thickTop="1" thickBot="1">
      <c r="D68" s="941" t="s">
        <v>56</v>
      </c>
      <c r="E68" s="942"/>
      <c r="F68" s="942"/>
      <c r="G68" s="942"/>
      <c r="H68" s="942"/>
      <c r="I68" s="942"/>
      <c r="J68" s="942"/>
      <c r="K68" s="942"/>
      <c r="L68" s="942"/>
      <c r="M68" s="942"/>
      <c r="N68" s="942"/>
      <c r="O68" s="942"/>
      <c r="P68" s="942"/>
      <c r="Q68" s="942"/>
      <c r="R68" s="942"/>
      <c r="S68" s="943"/>
      <c r="AH68" s="6"/>
      <c r="AI68" s="6"/>
      <c r="AJ68" s="6"/>
      <c r="AK68" s="6"/>
      <c r="AL68" s="46"/>
      <c r="AM68" s="46"/>
      <c r="AV68" s="1443"/>
      <c r="AW68" s="2542" t="b">
        <f>IF(OR(SpouseBirthMonth="",SpouseBirthDay="",SpouseBirthYear=""),TRUE,FALSE)</f>
        <v>1</v>
      </c>
      <c r="AX68" s="5156" t="e">
        <f>DATEVALUE(AX69)</f>
        <v>#N/A</v>
      </c>
      <c r="AY68" s="2543" t="s">
        <v>2048</v>
      </c>
      <c r="AZ68" s="2543"/>
      <c r="BA68" s="2543"/>
      <c r="BB68" s="2547" t="s">
        <v>2052</v>
      </c>
      <c r="BC68" s="2544" t="e">
        <f>IF(AND(SpouseBirthMonth=2,SpouseBirthDay=29),SpouseBirthDay-1&amp;"-"&amp;LOOKUP(SpouseBirthMonth,$BE$49:$BE$61,$BF$49:$BF$61)&amp;"-"&amp;(SpouseBirthYear+70),SpouseBirthDay&amp;"-"&amp;LOOKUP(SpouseBirthMonth,$BE$49:$BE$61,$BF$49:$BF$61)&amp;"-"&amp;(SpouseBirthYear+70))</f>
        <v>#N/A</v>
      </c>
      <c r="BD68" s="2543"/>
      <c r="BE68" s="2544"/>
      <c r="BF68" s="2545" t="b">
        <f>AND(SpouseDeathMonth&lt;&gt;"",SpouseDeathDay&lt;&gt;"",SpouseDeathYear&lt;&gt;"",SpouseDeceased&lt;&gt;"",ISERROR(SpouseDeathDate))</f>
        <v>0</v>
      </c>
      <c r="BG68" s="1408"/>
    </row>
    <row r="69" spans="2:72" ht="14.25" customHeight="1" thickTop="1" thickBot="1">
      <c r="AH69" s="6"/>
      <c r="AI69" s="6"/>
      <c r="AJ69" s="6"/>
      <c r="AK69" s="6"/>
      <c r="AL69" s="46"/>
      <c r="AM69" s="46"/>
      <c r="AV69" s="1443"/>
      <c r="AW69" s="2548" t="e">
        <f>LOOKUP(SpouseBirthMonth,$BE$49:$BE$61,$BF$49:$BF$61)</f>
        <v>#N/A</v>
      </c>
      <c r="AX69" s="2544" t="e">
        <f>SpouseBirthDay&amp;"-"&amp;AW69&amp;"-"&amp;SpouseBirthYear</f>
        <v>#N/A</v>
      </c>
      <c r="AY69" s="5157" t="b">
        <f>IF(OR(SpouseBirthMonth="",SpouseBirthDay="",SpouseBirthYear=""),TRUE,IF(ISERROR(AX68),TRUE,FALSE))</f>
        <v>1</v>
      </c>
      <c r="AZ69" s="2543" t="b">
        <f>IF(OR(AND(SpouseBirthMonth="",SpouseBirthDay="",SpouseBirthYear=""),NOT_MFJ),FALSE,IF(OR(BadBirthdate_Spouse,AND(SpouseAge&gt;120,AND(SpouseBirthMonth&lt;&gt;"",SpouseBirthDay&lt;&gt;"",SpouseBirthYear&lt;&gt;""))),TRUE,FALSE))</f>
        <v>0</v>
      </c>
      <c r="BA69" s="2543"/>
      <c r="BB69" s="2549"/>
      <c r="BC69" s="2544"/>
      <c r="BD69" s="2543">
        <f>SpouseBirthMonth+6</f>
        <v>6</v>
      </c>
      <c r="BE69" s="2544" t="e">
        <f>LOOKUP(SpouseDeathMonth,$BE$49:$BE$61,$BF$49:$BF$61)</f>
        <v>#N/A</v>
      </c>
      <c r="BF69" s="2545" t="e">
        <f>SpouseDeathDay&amp;"-"&amp;BE69&amp;"-"&amp;SpouseDeathYear</f>
        <v>#N/A</v>
      </c>
      <c r="BG69" s="1408"/>
    </row>
    <row r="70" spans="2:72" ht="14.25" customHeight="1" thickBot="1">
      <c r="AH70" s="6"/>
      <c r="AI70" s="6"/>
      <c r="AJ70" s="6"/>
      <c r="AK70" s="6"/>
      <c r="AL70" s="46"/>
      <c r="AM70" s="46"/>
      <c r="AV70" s="1443"/>
      <c r="AW70" s="2542"/>
      <c r="AX70" s="2543" t="e">
        <f>IF(AZ69,"",DATEVALUE(AX69))</f>
        <v>#N/A</v>
      </c>
      <c r="AY70" s="2543"/>
      <c r="AZ70" s="2543"/>
      <c r="BA70" s="2547" t="str">
        <f>"SPOUSE is 70.5 on "&amp;TEXT(EndOfTaxYear,"dd-mmm-yyyy")&amp;" -&gt;"</f>
        <v>SPOUSE is 70.5 on 31-Dec-2018 -&gt;</v>
      </c>
      <c r="BB70" s="2550" t="b">
        <f>IF(BadBirthdate_Spouse,FALSE, IF(DATEVALUE(BC68)&lt;=DATEVALUE(BB58),TRUE,FALSE))</f>
        <v>0</v>
      </c>
      <c r="BC70" s="2544"/>
      <c r="BD70" s="2543">
        <f>IF(BD69&lt;=12,SpouseBirthYear+70,SpouseBirthYear+71)</f>
        <v>70</v>
      </c>
      <c r="BE70" s="2544"/>
      <c r="BF70" s="2545"/>
      <c r="BG70" s="1408"/>
    </row>
    <row r="71" spans="2:72" ht="14.25" customHeight="1" thickBot="1">
      <c r="H71" s="5327" t="s">
        <v>5009</v>
      </c>
      <c r="I71" s="5328"/>
      <c r="J71" s="5328"/>
      <c r="K71" s="5328"/>
      <c r="L71" s="5329"/>
      <c r="AH71" s="6"/>
      <c r="AI71" s="6"/>
      <c r="AJ71" s="6"/>
      <c r="AK71" s="6"/>
      <c r="AM71" s="46"/>
      <c r="AV71" s="1443"/>
      <c r="AW71" s="2542"/>
      <c r="AX71" s="2543" t="e">
        <f>ROUNDDOWN((EndOfTaxYear-AX70)/365.25,1)</f>
        <v>#N/A</v>
      </c>
      <c r="AY71" s="2543"/>
      <c r="AZ71" s="2543"/>
      <c r="BA71" s="2547" t="str">
        <f>"SPOUSE is 65 on "&amp;TEXT(EndOfTaxYear,"dd-mmm-yyyy")&amp;" -&gt;"</f>
        <v>SPOUSE is 65 on 31-Dec-2018 -&gt;</v>
      </c>
      <c r="BB71" s="2550" t="b">
        <f>IF(BadBirthdate_Spouse,FALSE,SpouseAge&gt;=65)</f>
        <v>0</v>
      </c>
      <c r="BC71" s="2551"/>
      <c r="BD71" s="2543"/>
      <c r="BE71" s="2544"/>
      <c r="BF71" s="2545"/>
      <c r="BG71" s="1408"/>
    </row>
    <row r="72" spans="2:72" ht="14.25" customHeight="1" thickBot="1">
      <c r="H72" s="5330"/>
      <c r="I72" s="5331"/>
      <c r="J72" s="5331"/>
      <c r="K72" s="5331"/>
      <c r="L72" s="5332"/>
      <c r="AH72" s="6"/>
      <c r="AI72" s="6"/>
      <c r="AJ72" s="6"/>
      <c r="AK72" s="6"/>
      <c r="AM72" s="46"/>
      <c r="AV72" s="1443"/>
      <c r="AW72" s="2556"/>
      <c r="AX72" s="2557" t="str">
        <f>IF(SpouseBirthYear="","?",IF(AND(SpouseBirthMonth=1,SpouseBirthDay=1),TaxYear-SpouseBirthYear+1,TaxYear-SpouseBirthYear))</f>
        <v>?</v>
      </c>
      <c r="AY72" s="2557"/>
      <c r="AZ72" s="2557"/>
      <c r="BA72" s="2557"/>
      <c r="BB72" s="2557"/>
      <c r="BC72" s="2558"/>
      <c r="BD72" s="2557"/>
      <c r="BE72" s="2559"/>
      <c r="BF72" s="2560"/>
      <c r="BG72" s="1408"/>
    </row>
    <row r="73" spans="2:72" ht="18.75" customHeight="1" thickBot="1">
      <c r="H73" s="5333"/>
      <c r="I73" s="5334"/>
      <c r="J73" s="5334"/>
      <c r="K73" s="5334"/>
      <c r="L73" s="5335"/>
      <c r="AI73" s="6"/>
      <c r="AJ73" s="6"/>
      <c r="AK73" s="6"/>
      <c r="AV73" s="1443"/>
      <c r="AW73" s="1435"/>
      <c r="AX73" s="1435"/>
      <c r="AY73" s="1435"/>
      <c r="AZ73" s="1435"/>
      <c r="BA73" s="1443"/>
      <c r="BB73" s="1443"/>
      <c r="BC73" s="1443"/>
      <c r="BD73" s="1443"/>
      <c r="BE73" s="1443"/>
      <c r="BF73" s="1408"/>
      <c r="BG73" s="1408"/>
    </row>
    <row r="74" spans="2:72" ht="18.75" customHeight="1">
      <c r="AT74" s="46"/>
      <c r="AU74" s="46"/>
      <c r="AV74" s="46"/>
      <c r="AW74" s="273"/>
      <c r="AX74" s="273"/>
      <c r="AY74" s="273"/>
      <c r="AZ74" s="273"/>
      <c r="BA74" s="46"/>
      <c r="BB74" s="46"/>
      <c r="BC74" s="46"/>
      <c r="BD74" s="46"/>
      <c r="BE74" s="46"/>
    </row>
    <row r="75" spans="2:72" ht="18.75" customHeight="1">
      <c r="AT75" s="46"/>
      <c r="AU75" s="46"/>
      <c r="AV75" s="46"/>
      <c r="AW75" s="273"/>
      <c r="AX75" s="273"/>
      <c r="AY75" s="273"/>
      <c r="AZ75" s="273"/>
      <c r="BA75" s="46"/>
      <c r="BB75" s="46"/>
      <c r="BC75" s="46"/>
      <c r="BD75" s="46"/>
      <c r="BE75" s="46"/>
    </row>
    <row r="76" spans="2:72" ht="18.75" customHeight="1">
      <c r="AV76" s="46"/>
      <c r="AW76" s="273"/>
      <c r="AX76" s="273"/>
      <c r="AY76" s="273"/>
      <c r="AZ76" s="273"/>
      <c r="BA76" s="46"/>
      <c r="BB76" s="46"/>
      <c r="BC76" s="46"/>
      <c r="BD76" s="46"/>
      <c r="BE76" s="46"/>
    </row>
    <row r="77" spans="2:72" ht="18.75" customHeight="1">
      <c r="AV77" s="46"/>
      <c r="AW77" s="273"/>
      <c r="AX77" s="273"/>
      <c r="AY77" s="273"/>
      <c r="AZ77" s="273"/>
      <c r="BA77" s="46"/>
      <c r="BB77" s="46"/>
      <c r="BC77" s="46"/>
      <c r="BD77" s="46"/>
      <c r="BE77" s="46"/>
    </row>
    <row r="78" spans="2:72" ht="18.75" customHeight="1">
      <c r="AV78" s="46"/>
      <c r="AW78" s="273"/>
      <c r="AX78" s="273"/>
      <c r="AY78" s="273"/>
      <c r="AZ78" s="273"/>
      <c r="BA78" s="46"/>
      <c r="BB78" s="46"/>
      <c r="BC78" s="46"/>
      <c r="BD78" s="46"/>
      <c r="BE78" s="46"/>
    </row>
    <row r="79" spans="2:72" ht="18.75" customHeight="1">
      <c r="AV79" s="46"/>
      <c r="AW79" s="273"/>
      <c r="AX79" s="273"/>
      <c r="AY79" s="273"/>
      <c r="AZ79" s="273"/>
      <c r="BA79" s="46"/>
      <c r="BB79" s="46"/>
      <c r="BC79" s="46"/>
      <c r="BD79" s="46"/>
      <c r="BE79" s="46"/>
    </row>
    <row r="80" spans="2:72" ht="18.75" customHeight="1">
      <c r="AV80" s="46"/>
      <c r="AW80" s="273"/>
      <c r="AX80" s="273"/>
      <c r="AY80" s="273"/>
      <c r="AZ80" s="273"/>
      <c r="BA80" s="46"/>
      <c r="BB80" s="46"/>
      <c r="BC80" s="46"/>
      <c r="BD80" s="46"/>
      <c r="BE80" s="46"/>
    </row>
    <row r="81" spans="49:57" ht="18.75" customHeight="1">
      <c r="AW81" s="273"/>
      <c r="AX81" s="273"/>
      <c r="AY81" s="273"/>
      <c r="AZ81" s="273"/>
      <c r="BA81" s="46"/>
      <c r="BB81" s="46"/>
      <c r="BC81" s="46"/>
      <c r="BD81" s="46"/>
      <c r="BE81" s="46"/>
    </row>
    <row r="82" spans="49:57" ht="18.75" customHeight="1">
      <c r="AW82" s="273"/>
      <c r="AX82" s="273"/>
      <c r="AY82" s="273"/>
      <c r="AZ82" s="273"/>
      <c r="BA82" s="46"/>
      <c r="BB82" s="46"/>
      <c r="BC82" s="46"/>
      <c r="BD82" s="46"/>
      <c r="BE82" s="46"/>
    </row>
    <row r="83" spans="49:57" ht="14.25" customHeight="1">
      <c r="AW83" s="273"/>
      <c r="AX83" s="273"/>
      <c r="AY83" s="273"/>
      <c r="AZ83" s="273"/>
      <c r="BA83" s="46"/>
      <c r="BB83" s="46"/>
      <c r="BC83" s="46"/>
      <c r="BD83" s="46"/>
      <c r="BE83" s="46"/>
    </row>
    <row r="84" spans="49:57" ht="14.25" customHeight="1">
      <c r="AW84" s="273"/>
      <c r="AX84" s="273"/>
      <c r="AY84" s="273"/>
      <c r="AZ84" s="273"/>
      <c r="BA84" s="46"/>
      <c r="BB84" s="46"/>
      <c r="BC84" s="46"/>
      <c r="BD84" s="46"/>
      <c r="BE84" s="46"/>
    </row>
    <row r="85" spans="49:57" ht="14.25" customHeight="1">
      <c r="AW85" s="273"/>
      <c r="AX85" s="273"/>
      <c r="AY85" s="273"/>
      <c r="AZ85" s="273"/>
      <c r="BA85" s="46"/>
      <c r="BB85" s="46"/>
      <c r="BC85" s="46"/>
      <c r="BD85" s="46"/>
      <c r="BE85" s="46"/>
    </row>
    <row r="86" spans="49:57" ht="14.25" customHeight="1">
      <c r="AW86" s="273"/>
      <c r="AX86" s="273"/>
      <c r="AY86" s="273"/>
      <c r="AZ86" s="273"/>
      <c r="BA86" s="46"/>
      <c r="BB86" s="46"/>
      <c r="BC86" s="46"/>
      <c r="BD86" s="46"/>
      <c r="BE86" s="46"/>
    </row>
    <row r="87" spans="49:57" ht="14.25" customHeight="1">
      <c r="AW87" s="273"/>
      <c r="AX87" s="273"/>
      <c r="AY87" s="273"/>
      <c r="AZ87" s="273"/>
      <c r="BA87" s="46"/>
      <c r="BB87" s="46"/>
      <c r="BC87" s="46"/>
      <c r="BD87" s="46"/>
      <c r="BE87" s="46"/>
    </row>
    <row r="88" spans="49:57" ht="14.25" customHeight="1">
      <c r="AW88" s="273"/>
      <c r="AX88" s="273"/>
      <c r="AY88" s="273"/>
      <c r="AZ88" s="273"/>
      <c r="BA88" s="46"/>
      <c r="BB88" s="46"/>
      <c r="BC88" s="46"/>
      <c r="BD88" s="46"/>
      <c r="BE88" s="46"/>
    </row>
    <row r="89" spans="49:57" ht="14.25" customHeight="1">
      <c r="AW89" s="273"/>
      <c r="AX89" s="273"/>
      <c r="AY89" s="273"/>
      <c r="AZ89" s="273"/>
      <c r="BA89" s="46"/>
      <c r="BB89" s="46"/>
      <c r="BC89" s="46"/>
      <c r="BD89" s="46"/>
      <c r="BE89" s="46"/>
    </row>
    <row r="90" spans="49:57" ht="14.25" customHeight="1">
      <c r="AW90" s="273"/>
      <c r="AX90" s="273"/>
      <c r="AY90" s="273"/>
      <c r="AZ90" s="273"/>
      <c r="BA90" s="46"/>
      <c r="BB90" s="46"/>
      <c r="BC90" s="46"/>
      <c r="BD90" s="46"/>
      <c r="BE90" s="46"/>
    </row>
    <row r="91" spans="49:57">
      <c r="AW91" s="273"/>
      <c r="AX91" s="273"/>
      <c r="AY91" s="273"/>
      <c r="AZ91" s="273"/>
      <c r="BA91" s="46"/>
      <c r="BB91" s="46"/>
      <c r="BC91" s="46"/>
      <c r="BD91" s="46"/>
      <c r="BE91" s="46"/>
    </row>
    <row r="92" spans="49:57">
      <c r="AW92" s="273"/>
      <c r="AX92" s="273"/>
      <c r="AY92" s="273"/>
      <c r="AZ92" s="273"/>
      <c r="BA92" s="46"/>
      <c r="BB92" s="46"/>
      <c r="BC92" s="46"/>
      <c r="BD92" s="46"/>
      <c r="BE92" s="46"/>
    </row>
    <row r="93" spans="49:57">
      <c r="AW93" s="273"/>
      <c r="AX93" s="273"/>
      <c r="AY93" s="273"/>
      <c r="AZ93" s="273"/>
      <c r="BA93" s="46"/>
      <c r="BB93" s="46"/>
      <c r="BC93" s="46"/>
      <c r="BD93" s="46"/>
      <c r="BE93" s="46"/>
    </row>
    <row r="94" spans="49:57">
      <c r="AW94" s="273"/>
      <c r="AX94" s="273"/>
      <c r="AY94" s="273"/>
      <c r="AZ94" s="273"/>
      <c r="BA94" s="46"/>
      <c r="BB94" s="46"/>
      <c r="BC94" s="46"/>
      <c r="BD94" s="46"/>
      <c r="BE94" s="46"/>
    </row>
    <row r="95" spans="49:57">
      <c r="AW95" s="273"/>
      <c r="AX95" s="273"/>
      <c r="AY95" s="273"/>
      <c r="AZ95" s="273"/>
      <c r="BA95" s="46"/>
      <c r="BB95" s="46"/>
      <c r="BC95" s="46"/>
      <c r="BD95" s="46"/>
      <c r="BE95" s="46"/>
    </row>
    <row r="96" spans="49:57">
      <c r="AW96" s="273"/>
      <c r="AX96" s="273"/>
      <c r="AY96" s="273"/>
      <c r="AZ96" s="273"/>
      <c r="BA96" s="46"/>
      <c r="BB96" s="46"/>
      <c r="BC96" s="46"/>
      <c r="BD96" s="46"/>
      <c r="BE96" s="46"/>
    </row>
    <row r="97" spans="49:57">
      <c r="AW97" s="273"/>
      <c r="AX97" s="273"/>
      <c r="AY97" s="273"/>
      <c r="AZ97" s="273"/>
      <c r="BA97" s="46"/>
      <c r="BB97" s="46"/>
      <c r="BC97" s="46"/>
      <c r="BD97" s="46"/>
      <c r="BE97" s="46"/>
    </row>
    <row r="98" spans="49:57">
      <c r="AW98" s="273"/>
      <c r="AX98" s="273"/>
      <c r="AY98" s="273"/>
      <c r="AZ98" s="273"/>
      <c r="BA98" s="46"/>
      <c r="BB98" s="46"/>
      <c r="BC98" s="46"/>
      <c r="BD98" s="46"/>
      <c r="BE98" s="46"/>
    </row>
    <row r="99" spans="49:57">
      <c r="AW99" s="273"/>
      <c r="AX99" s="273"/>
      <c r="AY99" s="273"/>
      <c r="AZ99" s="273"/>
      <c r="BA99" s="46"/>
      <c r="BB99" s="46"/>
      <c r="BC99" s="46"/>
      <c r="BD99" s="46"/>
      <c r="BE99" s="46"/>
    </row>
    <row r="100" spans="49:57">
      <c r="AW100" s="273"/>
      <c r="AX100" s="273"/>
      <c r="AY100" s="273"/>
      <c r="AZ100" s="273"/>
      <c r="BA100" s="46"/>
      <c r="BB100" s="46"/>
      <c r="BC100" s="46"/>
      <c r="BD100" s="46"/>
      <c r="BE100" s="46"/>
    </row>
    <row r="101" spans="49:57">
      <c r="AW101" s="273"/>
      <c r="AX101" s="273"/>
      <c r="AY101" s="273"/>
      <c r="AZ101" s="273"/>
      <c r="BA101" s="46"/>
      <c r="BB101" s="46"/>
      <c r="BC101" s="46"/>
      <c r="BD101" s="46"/>
      <c r="BE101" s="46"/>
    </row>
    <row r="102" spans="49:57">
      <c r="AW102" s="273"/>
      <c r="AX102" s="273"/>
      <c r="AY102" s="273"/>
      <c r="AZ102" s="273"/>
      <c r="BA102" s="46"/>
      <c r="BB102" s="46"/>
      <c r="BC102" s="46"/>
      <c r="BD102" s="46"/>
      <c r="BE102" s="46"/>
    </row>
    <row r="103" spans="49:57">
      <c r="AW103" s="273"/>
      <c r="AX103" s="273"/>
      <c r="AY103" s="273"/>
      <c r="AZ103" s="273"/>
      <c r="BA103" s="46"/>
      <c r="BB103" s="46"/>
      <c r="BC103" s="46"/>
      <c r="BD103" s="46"/>
      <c r="BE103" s="46"/>
    </row>
    <row r="104" spans="49:57">
      <c r="AW104" s="273"/>
      <c r="AX104" s="273"/>
      <c r="AY104" s="273"/>
      <c r="AZ104" s="273"/>
      <c r="BA104" s="46"/>
      <c r="BB104" s="46"/>
      <c r="BC104" s="46"/>
      <c r="BD104" s="46"/>
      <c r="BE104" s="46"/>
    </row>
    <row r="105" spans="49:57">
      <c r="AW105" s="273"/>
      <c r="AX105" s="273"/>
      <c r="AY105" s="273"/>
      <c r="AZ105" s="273"/>
      <c r="BA105" s="46"/>
      <c r="BB105" s="46"/>
      <c r="BC105" s="46"/>
      <c r="BD105" s="46"/>
      <c r="BE105" s="46"/>
    </row>
    <row r="106" spans="49:57">
      <c r="AW106" s="273"/>
      <c r="AX106" s="273"/>
      <c r="AY106" s="273"/>
      <c r="AZ106" s="273"/>
      <c r="BA106" s="46"/>
      <c r="BB106" s="46"/>
      <c r="BC106" s="46"/>
      <c r="BD106" s="46"/>
      <c r="BE106" s="46"/>
    </row>
    <row r="107" spans="49:57">
      <c r="AW107" s="273"/>
      <c r="AX107" s="273"/>
      <c r="AY107" s="273"/>
      <c r="AZ107" s="273"/>
      <c r="BA107" s="46"/>
      <c r="BB107" s="46"/>
      <c r="BC107" s="46"/>
      <c r="BD107" s="46"/>
      <c r="BE107" s="46"/>
    </row>
    <row r="108" spans="49:57">
      <c r="AW108" s="273"/>
      <c r="AX108" s="273"/>
      <c r="AY108" s="273"/>
      <c r="AZ108" s="273"/>
      <c r="BA108" s="46"/>
      <c r="BB108" s="46"/>
      <c r="BC108" s="46"/>
      <c r="BD108" s="46"/>
      <c r="BE108" s="46"/>
    </row>
    <row r="109" spans="49:57">
      <c r="AW109" s="273"/>
      <c r="AX109" s="273"/>
      <c r="AY109" s="273"/>
      <c r="AZ109" s="273"/>
      <c r="BA109" s="46"/>
      <c r="BB109" s="46"/>
      <c r="BC109" s="46"/>
      <c r="BD109" s="46"/>
      <c r="BE109" s="46"/>
    </row>
    <row r="110" spans="49:57">
      <c r="AW110" s="273"/>
      <c r="AX110" s="273"/>
      <c r="AY110" s="273"/>
      <c r="AZ110" s="273"/>
      <c r="BA110" s="46"/>
      <c r="BB110" s="46"/>
      <c r="BC110" s="46"/>
      <c r="BD110" s="46"/>
      <c r="BE110" s="46"/>
    </row>
    <row r="111" spans="49:57">
      <c r="AW111" s="273"/>
      <c r="AX111" s="273"/>
      <c r="AY111" s="273"/>
      <c r="AZ111" s="273"/>
      <c r="BA111" s="46"/>
      <c r="BB111" s="46"/>
      <c r="BC111" s="46"/>
      <c r="BD111" s="46"/>
      <c r="BE111" s="46"/>
    </row>
    <row r="112" spans="49:57">
      <c r="AW112" s="273"/>
      <c r="AX112" s="273"/>
      <c r="AY112" s="273"/>
      <c r="AZ112" s="273"/>
      <c r="BA112" s="46"/>
      <c r="BB112" s="46"/>
      <c r="BC112" s="46"/>
      <c r="BD112" s="46"/>
      <c r="BE112" s="46"/>
    </row>
    <row r="113" spans="49:57">
      <c r="AW113" s="273"/>
      <c r="AX113" s="273"/>
      <c r="AY113" s="273"/>
      <c r="AZ113" s="273"/>
      <c r="BA113" s="46"/>
      <c r="BB113" s="46"/>
      <c r="BC113" s="46"/>
      <c r="BD113" s="46"/>
      <c r="BE113" s="46"/>
    </row>
    <row r="114" spans="49:57">
      <c r="AW114" s="273"/>
      <c r="AX114" s="273"/>
      <c r="AY114" s="273"/>
      <c r="AZ114" s="273"/>
      <c r="BA114" s="46"/>
      <c r="BB114" s="46"/>
      <c r="BC114" s="46"/>
      <c r="BD114" s="46"/>
      <c r="BE114" s="46"/>
    </row>
    <row r="115" spans="49:57">
      <c r="AW115" s="273"/>
      <c r="AX115" s="273"/>
      <c r="AY115" s="273"/>
      <c r="AZ115" s="273"/>
      <c r="BA115" s="46"/>
      <c r="BB115" s="46"/>
      <c r="BC115" s="46"/>
      <c r="BD115" s="46"/>
      <c r="BE115" s="46"/>
    </row>
  </sheetData>
  <sheetProtection password="F07E" sheet="1" objects="1" scenarios="1"/>
  <mergeCells count="135">
    <mergeCell ref="AN24:AR31"/>
    <mergeCell ref="F2:O2"/>
    <mergeCell ref="Y6:AG6"/>
    <mergeCell ref="Y13:AG13"/>
    <mergeCell ref="B14:U14"/>
    <mergeCell ref="B3:B4"/>
    <mergeCell ref="C3:D4"/>
    <mergeCell ref="Y3:AG3"/>
    <mergeCell ref="T35:X35"/>
    <mergeCell ref="Y35:Z35"/>
    <mergeCell ref="X18:AA18"/>
    <mergeCell ref="AB18:AG18"/>
    <mergeCell ref="L19:Q19"/>
    <mergeCell ref="R19:W19"/>
    <mergeCell ref="B19:K19"/>
    <mergeCell ref="B20:K20"/>
    <mergeCell ref="L20:Q20"/>
    <mergeCell ref="R20:W20"/>
    <mergeCell ref="D28:N28"/>
    <mergeCell ref="Y4:AG4"/>
    <mergeCell ref="U4:X4"/>
    <mergeCell ref="Q3:T4"/>
    <mergeCell ref="AL7:AN7"/>
    <mergeCell ref="AJ15:AK15"/>
    <mergeCell ref="AB58:AF58"/>
    <mergeCell ref="AB35:AF35"/>
    <mergeCell ref="AB38:AF38"/>
    <mergeCell ref="D66:S66"/>
    <mergeCell ref="I58:P58"/>
    <mergeCell ref="I59:R59"/>
    <mergeCell ref="V60:Y60"/>
    <mergeCell ref="AI35:AK39"/>
    <mergeCell ref="AB54:AF54"/>
    <mergeCell ref="AI59:AK59"/>
    <mergeCell ref="AI60:AK60"/>
    <mergeCell ref="AI61:AK61"/>
    <mergeCell ref="AI55:AK55"/>
    <mergeCell ref="AI56:AK56"/>
    <mergeCell ref="AB55:AF55"/>
    <mergeCell ref="V62:Y62"/>
    <mergeCell ref="AB62:AF62"/>
    <mergeCell ref="Z63:AD63"/>
    <mergeCell ref="AB61:AF61"/>
    <mergeCell ref="AB56:AF56"/>
    <mergeCell ref="AB57:AF57"/>
    <mergeCell ref="AI40:AK40"/>
    <mergeCell ref="U40:X40"/>
    <mergeCell ref="R53:S53"/>
    <mergeCell ref="M54:N54"/>
    <mergeCell ref="M53:N53"/>
    <mergeCell ref="X53:Y53"/>
    <mergeCell ref="S28:Y28"/>
    <mergeCell ref="AB53:AF53"/>
    <mergeCell ref="AI54:AK54"/>
    <mergeCell ref="AB44:AF44"/>
    <mergeCell ref="AB40:AF40"/>
    <mergeCell ref="AB43:AF43"/>
    <mergeCell ref="AB48:AF48"/>
    <mergeCell ref="AB51:AF51"/>
    <mergeCell ref="AB46:AF46"/>
    <mergeCell ref="AB50:AF50"/>
    <mergeCell ref="AB49:AF49"/>
    <mergeCell ref="AI51:AK52"/>
    <mergeCell ref="AB52:AF52"/>
    <mergeCell ref="AI53:AK53"/>
    <mergeCell ref="AI44:AK47"/>
    <mergeCell ref="AI49:AK49"/>
    <mergeCell ref="AI50:AK50"/>
    <mergeCell ref="AI43:AK43"/>
    <mergeCell ref="AI48:AJ48"/>
    <mergeCell ref="AI42:AK42"/>
    <mergeCell ref="X46:Y46"/>
    <mergeCell ref="AB47:AF47"/>
    <mergeCell ref="N38:R38"/>
    <mergeCell ref="N39:R39"/>
    <mergeCell ref="AB39:AF39"/>
    <mergeCell ref="P11:X11"/>
    <mergeCell ref="Z11:AG12"/>
    <mergeCell ref="S25:Y25"/>
    <mergeCell ref="O26:R26"/>
    <mergeCell ref="S26:Y26"/>
    <mergeCell ref="Z26:AA26"/>
    <mergeCell ref="O28:R28"/>
    <mergeCell ref="D26:N26"/>
    <mergeCell ref="AB45:AF45"/>
    <mergeCell ref="K30:T30"/>
    <mergeCell ref="H46:J46"/>
    <mergeCell ref="U3:X3"/>
    <mergeCell ref="D32:G32"/>
    <mergeCell ref="H32:AC32"/>
    <mergeCell ref="Y29:AC29"/>
    <mergeCell ref="U29:X29"/>
    <mergeCell ref="U30:X30"/>
    <mergeCell ref="Y30:AC30"/>
    <mergeCell ref="X31:AC31"/>
    <mergeCell ref="AA5:AG5"/>
    <mergeCell ref="D31:G31"/>
    <mergeCell ref="H31:T31"/>
    <mergeCell ref="Y7:AG7"/>
    <mergeCell ref="Y9:AG9"/>
    <mergeCell ref="S27:Y27"/>
    <mergeCell ref="D30:J30"/>
    <mergeCell ref="L7:X7"/>
    <mergeCell ref="L10:X10"/>
    <mergeCell ref="Y14:AA14"/>
    <mergeCell ref="Y10:AG10"/>
    <mergeCell ref="V14:X14"/>
    <mergeCell ref="O8:Y8"/>
    <mergeCell ref="B16:X16"/>
    <mergeCell ref="B7:K7"/>
    <mergeCell ref="B10:K10"/>
    <mergeCell ref="H71:L73"/>
    <mergeCell ref="AB60:AF60"/>
    <mergeCell ref="AB59:AF59"/>
    <mergeCell ref="AI41:AK41"/>
    <mergeCell ref="AM43:AM45"/>
    <mergeCell ref="B21:K21"/>
    <mergeCell ref="L21:Q21"/>
    <mergeCell ref="R21:W21"/>
    <mergeCell ref="B22:K22"/>
    <mergeCell ref="L22:Q22"/>
    <mergeCell ref="R22:W22"/>
    <mergeCell ref="Z28:AA28"/>
    <mergeCell ref="K29:R29"/>
    <mergeCell ref="U31:W31"/>
    <mergeCell ref="AB41:AF41"/>
    <mergeCell ref="B35:C38"/>
    <mergeCell ref="D29:J29"/>
    <mergeCell ref="AB37:AF37"/>
    <mergeCell ref="C29:C30"/>
    <mergeCell ref="AB42:AF42"/>
    <mergeCell ref="M48:N48"/>
    <mergeCell ref="N36:R36"/>
    <mergeCell ref="AB36:AF36"/>
    <mergeCell ref="N37:R37"/>
  </mergeCells>
  <phoneticPr fontId="12" type="noConversion"/>
  <conditionalFormatting sqref="E3:Q3 E4:P4 B5">
    <cfRule type="expression" dxfId="3023" priority="757">
      <formula>NoColor</formula>
    </cfRule>
  </conditionalFormatting>
  <conditionalFormatting sqref="D35:AA35 D36:K36 S36:Y36 D40:U40 AA36 M36:N36 AA44:AB44 AL12:AN12 K54:L54 D53:L53 G61:AA61 Q58:R58 G58:H59 G60:S60 G62:R62 AB62:AF62 AA58 S59:Y59 AA60 B7:I7 Y7:AG7 L7 D57:AA57 G63:Z63 AE63:AF63 D58:D63 E41 Y40 G41:Y41 AB40:AF43 AA40:AA41 F46:H46 K46:X46 F47:X47 D49:Y52 D46:D48 F48:M48 O48:Y48 O53:Q53 T53:X53 D54:G54 S54:U54 AA45:AF55 D55:Y56 AA56 B63:C63 D44:Y45">
    <cfRule type="expression" dxfId="3022" priority="753">
      <formula>IF(NoColor,1,0)</formula>
    </cfRule>
  </conditionalFormatting>
  <conditionalFormatting sqref="B16:X16">
    <cfRule type="expression" dxfId="3021" priority="118">
      <formula>NoColor</formula>
    </cfRule>
  </conditionalFormatting>
  <conditionalFormatting sqref="B33:AG34 Y13:Y14 AF14:AG14 AC14:AD14 E60:F63">
    <cfRule type="expression" dxfId="3020" priority="747">
      <formula>NoColor</formula>
    </cfRule>
  </conditionalFormatting>
  <conditionalFormatting sqref="D42:Y43 AA42:AA43">
    <cfRule type="expression" dxfId="3019" priority="614">
      <formula>IF(NoColor,1,0)</formula>
    </cfRule>
  </conditionalFormatting>
  <conditionalFormatting sqref="X44">
    <cfRule type="expression" dxfId="3018" priority="613">
      <formula>IF(NoColor,1,0)</formula>
    </cfRule>
  </conditionalFormatting>
  <conditionalFormatting sqref="AB51:AF53">
    <cfRule type="expression" dxfId="3017" priority="601">
      <formula>IF(ISERROR(ROUND(Tax_SS_Benefits,0)),1,0)</formula>
    </cfRule>
  </conditionalFormatting>
  <conditionalFormatting sqref="AL15">
    <cfRule type="expression" dxfId="3016" priority="542">
      <formula>AND($AL$14&lt;&gt;"",$AM$14&lt;&gt;"",$AN$14&lt;&gt;"",$AZ$69)</formula>
    </cfRule>
  </conditionalFormatting>
  <conditionalFormatting sqref="AL13">
    <cfRule type="expression" dxfId="3015" priority="541">
      <formula>IF($AZ$54,1,0)</formula>
    </cfRule>
  </conditionalFormatting>
  <conditionalFormatting sqref="AK10">
    <cfRule type="expression" dxfId="3014" priority="524">
      <formula>IF(OR(AND(File_Marr_Joint&lt;&gt;"",$AW$11,$AW$13),AND(File_Marr_Joint="",$AW$11)),1,0)</formula>
    </cfRule>
  </conditionalFormatting>
  <conditionalFormatting sqref="AP46">
    <cfRule type="expression" dxfId="3013" priority="501">
      <formula>IF(AND($AN$41,Over_65_or_Blind=$AN46,OR(File_Marr_Joint&lt;&gt;"",File_Qual_Widow&lt;&gt;"")),1,0)</formula>
    </cfRule>
  </conditionalFormatting>
  <conditionalFormatting sqref="AP47:AP49">
    <cfRule type="expression" dxfId="3012" priority="484">
      <formula>IF(AND($AN$41,Over_65_or_Blind=$AN47,OR(File_Marr_Joint&lt;&gt;"",File_Qual_Widow&lt;&gt;"")),1,0)</formula>
    </cfRule>
  </conditionalFormatting>
  <conditionalFormatting sqref="AP45">
    <cfRule type="expression" dxfId="3011" priority="483">
      <formula>IF(AND($AN$41,Over_65_or_Blind=$AN45,OR(File_Marr_Joint&lt;&gt;"",File_Qual_Widow&lt;&gt;"")),1,0)</formula>
    </cfRule>
  </conditionalFormatting>
  <conditionalFormatting sqref="AO46">
    <cfRule type="expression" dxfId="3010" priority="482">
      <formula>IF(AND($AN$41,Over_65_or_Blind=$AN46,File_Single&lt;&gt;""),1,0)</formula>
    </cfRule>
  </conditionalFormatting>
  <conditionalFormatting sqref="AO47">
    <cfRule type="expression" dxfId="3009" priority="481">
      <formula>IF(AND($AN$41,Over_65_or_Blind=$AN47,File_Single&lt;&gt;""),1,0)</formula>
    </cfRule>
  </conditionalFormatting>
  <conditionalFormatting sqref="AO45">
    <cfRule type="expression" dxfId="3008" priority="480">
      <formula>IF(AND($AN$41,Over_65_or_Blind=$AN45,File_Single&lt;&gt;""),1,0)</formula>
    </cfRule>
  </conditionalFormatting>
  <conditionalFormatting sqref="AQ46">
    <cfRule type="expression" dxfId="3007" priority="478">
      <formula>IF(AND($AN$41,Over_65_or_Blind=$AN46,File_Marr_Sep&lt;&gt;""),1,0)</formula>
    </cfRule>
  </conditionalFormatting>
  <conditionalFormatting sqref="AQ45">
    <cfRule type="expression" dxfId="3006" priority="477">
      <formula>IF(AND($AN$41,Over_65_or_Blind=$AN45,File_Marr_Sep&lt;&gt;""),1,0)</formula>
    </cfRule>
  </conditionalFormatting>
  <conditionalFormatting sqref="AQ47:AQ49">
    <cfRule type="expression" dxfId="3005" priority="476">
      <formula>IF(AND($AN$41,Over_65_or_Blind=$AN47,File_Marr_Sep&lt;&gt;""),1,0)</formula>
    </cfRule>
  </conditionalFormatting>
  <conditionalFormatting sqref="AR46">
    <cfRule type="expression" dxfId="3004" priority="475">
      <formula>IF(AND($AN$41,Over_65_or_Blind=$AN46,File_Head&lt;&gt;""),1,0)</formula>
    </cfRule>
  </conditionalFormatting>
  <conditionalFormatting sqref="AR47">
    <cfRule type="expression" dxfId="3003" priority="474">
      <formula>IF(AND($AN$41,Over_65_or_Blind=$AN47,File_Head&lt;&gt;""),1,0)</formula>
    </cfRule>
  </conditionalFormatting>
  <conditionalFormatting sqref="AR45">
    <cfRule type="expression" dxfId="3002" priority="473">
      <formula>IF(AND($AN$41,Over_65_or_Blind=$AN45,File_Head&lt;&gt;""),1,0)</formula>
    </cfRule>
  </conditionalFormatting>
  <conditionalFormatting sqref="D37:K37 S37:Y37 AA37 M37:N37">
    <cfRule type="expression" dxfId="3001" priority="469">
      <formula>IF(NoColor,1,0)</formula>
    </cfRule>
  </conditionalFormatting>
  <conditionalFormatting sqref="AB37:AF37">
    <cfRule type="expression" dxfId="3000" priority="39">
      <formula>AND(NOT(NoColor),$N$37&gt;$AB$37,$AH$34="")</formula>
    </cfRule>
  </conditionalFormatting>
  <conditionalFormatting sqref="D38:N38 S38:Y38 AA38">
    <cfRule type="expression" dxfId="2999" priority="466">
      <formula>IF(NoColor,1,0)</formula>
    </cfRule>
  </conditionalFormatting>
  <conditionalFormatting sqref="D39:K39 S39:Y39 M39:N39 AA39">
    <cfRule type="expression" dxfId="2998" priority="464">
      <formula>IF(NoColor,1,0)</formula>
    </cfRule>
  </conditionalFormatting>
  <conditionalFormatting sqref="Z37">
    <cfRule type="expression" dxfId="2997" priority="457">
      <formula>IF(NoColor,1,0)</formula>
    </cfRule>
  </conditionalFormatting>
  <conditionalFormatting sqref="Z42">
    <cfRule type="expression" dxfId="2996" priority="452">
      <formula>IF(NoColor,1,0)</formula>
    </cfRule>
  </conditionalFormatting>
  <conditionalFormatting sqref="Z40:Z41">
    <cfRule type="expression" dxfId="2995" priority="460">
      <formula>IF(NoColor,1,0)</formula>
    </cfRule>
  </conditionalFormatting>
  <conditionalFormatting sqref="Z39">
    <cfRule type="expression" dxfId="2994" priority="459">
      <formula>IF(NoColor,1,0)</formula>
    </cfRule>
  </conditionalFormatting>
  <conditionalFormatting sqref="Z38">
    <cfRule type="expression" dxfId="2993" priority="458">
      <formula>IF(NoColor,1,0)</formula>
    </cfRule>
  </conditionalFormatting>
  <conditionalFormatting sqref="Z36">
    <cfRule type="expression" dxfId="2992" priority="456">
      <formula>IF(NoColor,1,0)</formula>
    </cfRule>
  </conditionalFormatting>
  <conditionalFormatting sqref="L39">
    <cfRule type="expression" dxfId="2991" priority="455">
      <formula>IF(NoColor,1,0)</formula>
    </cfRule>
  </conditionalFormatting>
  <conditionalFormatting sqref="L37">
    <cfRule type="expression" dxfId="2990" priority="454">
      <formula>IF(NoColor,1,0)</formula>
    </cfRule>
  </conditionalFormatting>
  <conditionalFormatting sqref="L36">
    <cfRule type="expression" dxfId="2989" priority="453">
      <formula>IF(NoColor,1,0)</formula>
    </cfRule>
  </conditionalFormatting>
  <conditionalFormatting sqref="Z43">
    <cfRule type="expression" dxfId="2988" priority="451">
      <formula>IF(NoColor,1,0)</formula>
    </cfRule>
  </conditionalFormatting>
  <conditionalFormatting sqref="Z44">
    <cfRule type="expression" dxfId="2987" priority="450">
      <formula>IF(NoColor,1,0)</formula>
    </cfRule>
  </conditionalFormatting>
  <conditionalFormatting sqref="Z45">
    <cfRule type="expression" dxfId="2986" priority="449">
      <formula>IF(NoColor,1,0)</formula>
    </cfRule>
  </conditionalFormatting>
  <conditionalFormatting sqref="Z46">
    <cfRule type="expression" dxfId="2985" priority="448">
      <formula>IF(NoColor,1,0)</formula>
    </cfRule>
  </conditionalFormatting>
  <conditionalFormatting sqref="Z50">
    <cfRule type="expression" dxfId="2984" priority="445">
      <formula>IF(NoColor,1,0)</formula>
    </cfRule>
  </conditionalFormatting>
  <conditionalFormatting sqref="Z49">
    <cfRule type="expression" dxfId="2983" priority="446">
      <formula>IF(NoColor,1,0)</formula>
    </cfRule>
  </conditionalFormatting>
  <conditionalFormatting sqref="Z51">
    <cfRule type="expression" dxfId="2982" priority="444">
      <formula>IF(NoColor,1,0)</formula>
    </cfRule>
  </conditionalFormatting>
  <conditionalFormatting sqref="Z52">
    <cfRule type="expression" dxfId="2981" priority="443">
      <formula>IF(NoColor,1,0)</formula>
    </cfRule>
  </conditionalFormatting>
  <conditionalFormatting sqref="V54">
    <cfRule type="expression" dxfId="2980" priority="433">
      <formula>IF(NoColor,1,0)</formula>
    </cfRule>
  </conditionalFormatting>
  <conditionalFormatting sqref="Z55">
    <cfRule type="expression" dxfId="2979" priority="427">
      <formula>IF(NoColor,1,0)</formula>
    </cfRule>
  </conditionalFormatting>
  <conditionalFormatting sqref="V60:Y60">
    <cfRule type="expression" dxfId="2978" priority="107">
      <formula>NoColor</formula>
    </cfRule>
  </conditionalFormatting>
  <conditionalFormatting sqref="T60">
    <cfRule type="expression" dxfId="2977" priority="415">
      <formula>IF(NoColor,1,0)</formula>
    </cfRule>
  </conditionalFormatting>
  <conditionalFormatting sqref="V62:Y62">
    <cfRule type="expression" dxfId="2976" priority="106">
      <formula>NoColor</formula>
    </cfRule>
  </conditionalFormatting>
  <conditionalFormatting sqref="T62">
    <cfRule type="expression" dxfId="2975" priority="413">
      <formula>IF(NoColor,1,0)</formula>
    </cfRule>
  </conditionalFormatting>
  <conditionalFormatting sqref="AB62:AF62">
    <cfRule type="expression" dxfId="2974" priority="412">
      <formula>IF(ISERROR(ROUND(Tax_SS_Benefits,0)),1,0)</formula>
    </cfRule>
  </conditionalFormatting>
  <conditionalFormatting sqref="AA59">
    <cfRule type="expression" dxfId="2973" priority="411">
      <formula>IF(NoColor,1,0)</formula>
    </cfRule>
  </conditionalFormatting>
  <conditionalFormatting sqref="B3:D4 Y4:AG4 U3">
    <cfRule type="expression" dxfId="2972" priority="403">
      <formula>NoColor</formula>
    </cfRule>
  </conditionalFormatting>
  <conditionalFormatting sqref="Y17:AG17">
    <cfRule type="expression" dxfId="2971" priority="350">
      <formula>NoColor</formula>
    </cfRule>
  </conditionalFormatting>
  <conditionalFormatting sqref="AB18">
    <cfRule type="expression" dxfId="2970" priority="326">
      <formula>NoColor</formula>
    </cfRule>
  </conditionalFormatting>
  <conditionalFormatting sqref="AE30:AG30">
    <cfRule type="expression" dxfId="2969" priority="296">
      <formula>IF($AJ$3&lt;&gt;"",1,0)</formula>
    </cfRule>
  </conditionalFormatting>
  <conditionalFormatting sqref="D23:AG25 D26:N26 S26:Z26">
    <cfRule type="expression" dxfId="2968" priority="292">
      <formula>IF(NoColor,1,0)</formula>
    </cfRule>
  </conditionalFormatting>
  <conditionalFormatting sqref="O8:Y8">
    <cfRule type="expression" dxfId="2967" priority="284">
      <formula>AND(Name_1st_Yours&lt;&gt;"",NOT($AW$11))</formula>
    </cfRule>
  </conditionalFormatting>
  <conditionalFormatting sqref="AL14:AN14">
    <cfRule type="expression" dxfId="2966" priority="2515">
      <formula>IF(NOT($AK$9),1,0)</formula>
    </cfRule>
    <cfRule type="expression" dxfId="2965" priority="2516">
      <formula>IF(NoColor,1,0)</formula>
    </cfRule>
  </conditionalFormatting>
  <conditionalFormatting sqref="Y3:AG3">
    <cfRule type="expression" dxfId="2964" priority="2517">
      <formula>($AI$8)</formula>
    </cfRule>
  </conditionalFormatting>
  <conditionalFormatting sqref="Z27">
    <cfRule type="expression" dxfId="2963" priority="275">
      <formula>IF(NoColor,1,0)</formula>
    </cfRule>
  </conditionalFormatting>
  <conditionalFormatting sqref="U30 Y30">
    <cfRule type="expression" dxfId="2962" priority="270">
      <formula>NoColor</formula>
    </cfRule>
  </conditionalFormatting>
  <conditionalFormatting sqref="X31:AC31">
    <cfRule type="expression" dxfId="2961" priority="269">
      <formula>NoColor</formula>
    </cfRule>
  </conditionalFormatting>
  <conditionalFormatting sqref="AW36">
    <cfRule type="expression" dxfId="2960" priority="268">
      <formula>NOT(ItemizedDeduct)</formula>
    </cfRule>
  </conditionalFormatting>
  <conditionalFormatting sqref="AX36">
    <cfRule type="expression" dxfId="2959" priority="267">
      <formula>(ItemizedDeduct)</formula>
    </cfRule>
  </conditionalFormatting>
  <conditionalFormatting sqref="AB55:AF55">
    <cfRule type="expression" dxfId="2958" priority="266">
      <formula>IF(ISERROR(ROUND(Tax_SS_Benefits,0)),1,0)</formula>
    </cfRule>
  </conditionalFormatting>
  <conditionalFormatting sqref="AB56:AF56">
    <cfRule type="expression" dxfId="2957" priority="265">
      <formula>IF(NoColor,1,0)</formula>
    </cfRule>
  </conditionalFormatting>
  <conditionalFormatting sqref="AB56:AF56">
    <cfRule type="expression" dxfId="2956" priority="264">
      <formula>IF(ISERROR(ROUND(Tax_SS_Benefits,0)),1,0)</formula>
    </cfRule>
  </conditionalFormatting>
  <conditionalFormatting sqref="AB57:AF57">
    <cfRule type="expression" dxfId="2955" priority="263">
      <formula>IF(NoColor,1,0)</formula>
    </cfRule>
  </conditionalFormatting>
  <conditionalFormatting sqref="AB57:AF57">
    <cfRule type="expression" dxfId="2954" priority="262">
      <formula>IF(ISERROR(ROUND(Tax_SS_Benefits,0)),1,0)</formula>
    </cfRule>
  </conditionalFormatting>
  <conditionalFormatting sqref="AB61:AF61">
    <cfRule type="expression" dxfId="2953" priority="261">
      <formula>IF(NoColor,1,0)</formula>
    </cfRule>
  </conditionalFormatting>
  <conditionalFormatting sqref="AB61:AF61">
    <cfRule type="expression" dxfId="2952" priority="260">
      <formula>IF(ISERROR(ROUND(Tax_SS_Benefits,0)),1,0)</formula>
    </cfRule>
  </conditionalFormatting>
  <conditionalFormatting sqref="F23">
    <cfRule type="expression" dxfId="2951" priority="2519" stopIfTrue="1">
      <formula>IF(AND(#REF!&gt;1000,#REF!&gt;0.1*#REF!,#REF!="",#REF!&lt;&gt;""),1,0)</formula>
    </cfRule>
  </conditionalFormatting>
  <conditionalFormatting sqref="AH62">
    <cfRule type="expression" dxfId="2950" priority="258">
      <formula>OR($AI$58,$AI$63)</formula>
    </cfRule>
  </conditionalFormatting>
  <conditionalFormatting sqref="Y4:AG4">
    <cfRule type="expression" dxfId="2949" priority="241">
      <formula>($AI$8)</formula>
    </cfRule>
  </conditionalFormatting>
  <conditionalFormatting sqref="B12">
    <cfRule type="expression" dxfId="2948" priority="85">
      <formula>AND($AK$8,B12&lt;&gt;"")</formula>
    </cfRule>
  </conditionalFormatting>
  <conditionalFormatting sqref="P11">
    <cfRule type="expression" dxfId="2947" priority="229">
      <formula>AND(File_Marr_Joint&lt;&gt;"",NOT($AW$13))</formula>
    </cfRule>
  </conditionalFormatting>
  <conditionalFormatting sqref="Z11">
    <cfRule type="expression" dxfId="2946" priority="226">
      <formula>NoColor</formula>
    </cfRule>
  </conditionalFormatting>
  <conditionalFormatting sqref="Z11:AG12">
    <cfRule type="expression" dxfId="2945" priority="225">
      <formula>AND($Y$11="",$AH$11="",NOT(NoColor))</formula>
    </cfRule>
  </conditionalFormatting>
  <conditionalFormatting sqref="Y15:AG16">
    <cfRule type="expression" dxfId="2944" priority="119">
      <formula>NoColor</formula>
    </cfRule>
  </conditionalFormatting>
  <conditionalFormatting sqref="AK20">
    <cfRule type="expression" dxfId="2943" priority="200">
      <formula>(AL21)</formula>
    </cfRule>
  </conditionalFormatting>
  <conditionalFormatting sqref="D41">
    <cfRule type="expression" dxfId="2942" priority="197">
      <formula>IF(NoColor,1,0)</formula>
    </cfRule>
  </conditionalFormatting>
  <conditionalFormatting sqref="F41">
    <cfRule type="expression" dxfId="2941" priority="196">
      <formula>IF(NoColor,1,0)</formula>
    </cfRule>
  </conditionalFormatting>
  <conditionalFormatting sqref="E46">
    <cfRule type="expression" dxfId="2940" priority="195">
      <formula>IF(NoColor,1,0)</formula>
    </cfRule>
  </conditionalFormatting>
  <conditionalFormatting sqref="E47">
    <cfRule type="expression" dxfId="2939" priority="194">
      <formula>IF(NoColor,1,0)</formula>
    </cfRule>
  </conditionalFormatting>
  <conditionalFormatting sqref="Z47">
    <cfRule type="expression" dxfId="2938" priority="193">
      <formula>IF(NoColor,1,0)</formula>
    </cfRule>
  </conditionalFormatting>
  <conditionalFormatting sqref="E48">
    <cfRule type="expression" dxfId="2937" priority="191">
      <formula>IF(NoColor,1,0)</formula>
    </cfRule>
  </conditionalFormatting>
  <conditionalFormatting sqref="Y47">
    <cfRule type="expression" dxfId="2936" priority="190">
      <formula>IF(NoColor,1,0)</formula>
    </cfRule>
  </conditionalFormatting>
  <conditionalFormatting sqref="H54">
    <cfRule type="expression" dxfId="2935" priority="188">
      <formula>IF(NoColor,1,0)</formula>
    </cfRule>
  </conditionalFormatting>
  <conditionalFormatting sqref="I54">
    <cfRule type="expression" dxfId="2934" priority="187">
      <formula>IF(NoColor,1,0)</formula>
    </cfRule>
  </conditionalFormatting>
  <conditionalFormatting sqref="J54">
    <cfRule type="expression" dxfId="2933" priority="186">
      <formula>IF(NoColor,1,0)</formula>
    </cfRule>
  </conditionalFormatting>
  <conditionalFormatting sqref="W54">
    <cfRule type="expression" dxfId="2932" priority="184">
      <formula>IF(NoColor,1,0)</formula>
    </cfRule>
  </conditionalFormatting>
  <conditionalFormatting sqref="X54">
    <cfRule type="expression" dxfId="2931" priority="183">
      <formula>IF(NoColor,1,0)</formula>
    </cfRule>
  </conditionalFormatting>
  <conditionalFormatting sqref="Y54">
    <cfRule type="expression" dxfId="2930" priority="182">
      <formula>IF(NoColor,1,0)</formula>
    </cfRule>
  </conditionalFormatting>
  <conditionalFormatting sqref="Z54">
    <cfRule type="expression" dxfId="2929" priority="181">
      <formula>IF(NoColor,1,0)</formula>
    </cfRule>
  </conditionalFormatting>
  <conditionalFormatting sqref="O54">
    <cfRule type="expression" dxfId="2928" priority="179">
      <formula>IF(NoColor,1,0)</formula>
    </cfRule>
  </conditionalFormatting>
  <conditionalFormatting sqref="P54">
    <cfRule type="expression" dxfId="2927" priority="178">
      <formula>IF(NoColor,1,0)</formula>
    </cfRule>
  </conditionalFormatting>
  <conditionalFormatting sqref="Q54">
    <cfRule type="expression" dxfId="2926" priority="177">
      <formula>IF(NoColor,1,0)</formula>
    </cfRule>
  </conditionalFormatting>
  <conditionalFormatting sqref="R54">
    <cfRule type="expression" dxfId="2925" priority="176">
      <formula>IF(NoColor,1,0)</formula>
    </cfRule>
  </conditionalFormatting>
  <conditionalFormatting sqref="S62">
    <cfRule type="expression" dxfId="2924" priority="175">
      <formula>IF(NoColor,1,0)</formula>
    </cfRule>
  </conditionalFormatting>
  <conditionalFormatting sqref="B5:Z5">
    <cfRule type="expression" dxfId="2923" priority="174">
      <formula>NoColor</formula>
    </cfRule>
  </conditionalFormatting>
  <conditionalFormatting sqref="AO42">
    <cfRule type="expression" dxfId="2922" priority="173">
      <formula>$AN$41</formula>
    </cfRule>
  </conditionalFormatting>
  <conditionalFormatting sqref="AI23:AI24">
    <cfRule type="expression" dxfId="2921" priority="171">
      <formula>NOT($AI$17)</formula>
    </cfRule>
  </conditionalFormatting>
  <conditionalFormatting sqref="AI25">
    <cfRule type="expression" dxfId="2920" priority="131">
      <formula>AND($AF$16&lt;&gt;"",$AI$23="")</formula>
    </cfRule>
    <cfRule type="expression" dxfId="2919" priority="170">
      <formula>NOT($AI$17)</formula>
    </cfRule>
  </conditionalFormatting>
  <conditionalFormatting sqref="AN45">
    <cfRule type="expression" dxfId="2918" priority="172">
      <formula>AND($AN$41,Over_65_or_Blind=0)</formula>
    </cfRule>
  </conditionalFormatting>
  <conditionalFormatting sqref="AN46">
    <cfRule type="expression" dxfId="2917" priority="168">
      <formula>AND($AN$41,Over_65_or_Blind=1)</formula>
    </cfRule>
  </conditionalFormatting>
  <conditionalFormatting sqref="AN47">
    <cfRule type="expression" dxfId="2916" priority="167">
      <formula>AND($AN$41,Over_65_or_Blind=2)</formula>
    </cfRule>
  </conditionalFormatting>
  <conditionalFormatting sqref="AN48">
    <cfRule type="expression" dxfId="2915" priority="166">
      <formula>AND($AN$41,Over_65_or_Blind=3)</formula>
    </cfRule>
  </conditionalFormatting>
  <conditionalFormatting sqref="AN49">
    <cfRule type="expression" dxfId="2914" priority="165">
      <formula>AND($AN$41,Over_65_or_Blind=4)</formula>
    </cfRule>
  </conditionalFormatting>
  <conditionalFormatting sqref="AI53">
    <cfRule type="expression" dxfId="2913" priority="163">
      <formula>($AI$55&gt;0)</formula>
    </cfRule>
  </conditionalFormatting>
  <conditionalFormatting sqref="AI54:AK54">
    <cfRule type="expression" dxfId="2912" priority="162">
      <formula>($AI$55&gt;0)</formula>
    </cfRule>
  </conditionalFormatting>
  <conditionalFormatting sqref="AM46">
    <cfRule type="expression" dxfId="2911" priority="159">
      <formula>NOT($AM$42)</formula>
    </cfRule>
  </conditionalFormatting>
  <conditionalFormatting sqref="AM43:AM45">
    <cfRule type="expression" dxfId="2910" priority="160">
      <formula>NOT($AM$42)</formula>
    </cfRule>
  </conditionalFormatting>
  <conditionalFormatting sqref="Z48">
    <cfRule type="expression" dxfId="2909" priority="158">
      <formula>IF(NoColor,1,0)</formula>
    </cfRule>
  </conditionalFormatting>
  <conditionalFormatting sqref="AN41:AS50">
    <cfRule type="expression" dxfId="2908" priority="164" stopIfTrue="1">
      <formula>NOT($AN$41)</formula>
    </cfRule>
  </conditionalFormatting>
  <conditionalFormatting sqref="Z56">
    <cfRule type="expression" dxfId="2907" priority="157">
      <formula>IF(NoColor,1,0)</formula>
    </cfRule>
  </conditionalFormatting>
  <conditionalFormatting sqref="Z59">
    <cfRule type="expression" dxfId="2906" priority="156">
      <formula>IF(NoColor,1,0)</formula>
    </cfRule>
  </conditionalFormatting>
  <conditionalFormatting sqref="Z53">
    <cfRule type="expression" dxfId="2905" priority="153">
      <formula>IF(NoColor,1,0)</formula>
    </cfRule>
  </conditionalFormatting>
  <conditionalFormatting sqref="AA62">
    <cfRule type="expression" dxfId="2904" priority="152">
      <formula>IF(NoColor,1,0)</formula>
    </cfRule>
  </conditionalFormatting>
  <conditionalFormatting sqref="AI44:AK47">
    <cfRule type="expression" dxfId="2903" priority="151">
      <formula>$AK$8</formula>
    </cfRule>
  </conditionalFormatting>
  <conditionalFormatting sqref="AJ4">
    <cfRule type="expression" dxfId="2902" priority="147">
      <formula>(File_Marr_Sep&lt;&gt;"")</formula>
    </cfRule>
  </conditionalFormatting>
  <conditionalFormatting sqref="AJ6">
    <cfRule type="expression" dxfId="2901" priority="146">
      <formula>(File_Marr_Sep&lt;&gt;"")</formula>
    </cfRule>
  </conditionalFormatting>
  <conditionalFormatting sqref="AN6">
    <cfRule type="expression" dxfId="2900" priority="145">
      <formula>(File_Marr_Sep&lt;&gt;"")</formula>
    </cfRule>
  </conditionalFormatting>
  <conditionalFormatting sqref="AJ5">
    <cfRule type="expression" dxfId="2899" priority="144">
      <formula>(File_Marr_Sep&lt;&gt;"")</formula>
    </cfRule>
  </conditionalFormatting>
  <conditionalFormatting sqref="AK4:AM4">
    <cfRule type="expression" dxfId="2898" priority="143">
      <formula>(File_Marr_Sep&lt;&gt;"")</formula>
    </cfRule>
  </conditionalFormatting>
  <conditionalFormatting sqref="AM4">
    <cfRule type="expression" dxfId="2897" priority="142">
      <formula>(File_Marr_Sep&lt;&gt;"")</formula>
    </cfRule>
  </conditionalFormatting>
  <conditionalFormatting sqref="AM5">
    <cfRule type="expression" dxfId="2896" priority="141">
      <formula>(File_Marr_Sep&lt;&gt;"")</formula>
    </cfRule>
  </conditionalFormatting>
  <conditionalFormatting sqref="AK6">
    <cfRule type="expression" dxfId="2895" priority="134">
      <formula>AND(File_Marr_Sep&lt;&gt;"",LivedApartAnswered)</formula>
    </cfRule>
    <cfRule type="expression" dxfId="2894" priority="140">
      <formula>(File_Marr_Sep&lt;&gt;"")</formula>
    </cfRule>
  </conditionalFormatting>
  <conditionalFormatting sqref="AL6">
    <cfRule type="expression" dxfId="2893" priority="139">
      <formula>(File_Marr_Sep&lt;&gt;"")</formula>
    </cfRule>
  </conditionalFormatting>
  <conditionalFormatting sqref="L6">
    <cfRule type="expression" dxfId="2892" priority="138">
      <formula>AND(File_Marr_Sep&lt;&gt;"",OR(NOT(LivedApartAnswered),AL7=""))</formula>
    </cfRule>
  </conditionalFormatting>
  <conditionalFormatting sqref="AM6">
    <cfRule type="expression" dxfId="2891" priority="137">
      <formula>(File_Marr_Sep&lt;&gt;"")</formula>
    </cfRule>
  </conditionalFormatting>
  <conditionalFormatting sqref="AN5">
    <cfRule type="expression" dxfId="2890" priority="136">
      <formula>(File_Marr_Sep&lt;&gt;"")</formula>
    </cfRule>
  </conditionalFormatting>
  <conditionalFormatting sqref="AK5">
    <cfRule type="expression" dxfId="2889" priority="135">
      <formula>AND(File_Marr_Sep&lt;&gt;"",LivedApartAnswered)</formula>
    </cfRule>
  </conditionalFormatting>
  <conditionalFormatting sqref="AI19:AI22">
    <cfRule type="expression" dxfId="2888" priority="133">
      <formula>IF($AJ$3&lt;&gt;"",1,0)</formula>
    </cfRule>
  </conditionalFormatting>
  <conditionalFormatting sqref="AI26">
    <cfRule type="expression" dxfId="2887" priority="129">
      <formula>AND($AF$16&lt;&gt;"",$AI$23="")</formula>
    </cfRule>
    <cfRule type="expression" dxfId="2886" priority="130">
      <formula>NOT($AI$17)</formula>
    </cfRule>
  </conditionalFormatting>
  <conditionalFormatting sqref="Z28">
    <cfRule type="expression" dxfId="2885" priority="127">
      <formula>IF(NoColor,1,0)</formula>
    </cfRule>
  </conditionalFormatting>
  <conditionalFormatting sqref="B23">
    <cfRule type="expression" dxfId="2884" priority="126">
      <formula>IF(NoColor,1,0)</formula>
    </cfRule>
  </conditionalFormatting>
  <conditionalFormatting sqref="B24:B31">
    <cfRule type="expression" dxfId="2883" priority="125">
      <formula>IF(NoColor,1,0)</formula>
    </cfRule>
  </conditionalFormatting>
  <conditionalFormatting sqref="B8:AG8">
    <cfRule type="expression" dxfId="2882" priority="124">
      <formula>NoColor</formula>
    </cfRule>
  </conditionalFormatting>
  <conditionalFormatting sqref="B11:Y12">
    <cfRule type="expression" dxfId="2881" priority="123">
      <formula>NoColor</formula>
    </cfRule>
  </conditionalFormatting>
  <conditionalFormatting sqref="Y3:AG3">
    <cfRule type="expression" dxfId="2880" priority="122">
      <formula>NoColor</formula>
    </cfRule>
  </conditionalFormatting>
  <conditionalFormatting sqref="B10:X10">
    <cfRule type="expression" dxfId="2879" priority="121">
      <formula>NoColor</formula>
    </cfRule>
  </conditionalFormatting>
  <conditionalFormatting sqref="B14:AG14">
    <cfRule type="expression" dxfId="2878" priority="120">
      <formula>NoColor</formula>
    </cfRule>
  </conditionalFormatting>
  <conditionalFormatting sqref="B17:AG22">
    <cfRule type="expression" dxfId="2877" priority="117">
      <formula>NoColor</formula>
    </cfRule>
  </conditionalFormatting>
  <conditionalFormatting sqref="C23:C29 C31">
    <cfRule type="expression" dxfId="2876" priority="116">
      <formula>NoColor</formula>
    </cfRule>
  </conditionalFormatting>
  <conditionalFormatting sqref="O26:AG26">
    <cfRule type="expression" dxfId="2875" priority="115">
      <formula>NoColor</formula>
    </cfRule>
  </conditionalFormatting>
  <conditionalFormatting sqref="O28:AG28">
    <cfRule type="expression" dxfId="2874" priority="114">
      <formula>NoColor</formula>
    </cfRule>
  </conditionalFormatting>
  <conditionalFormatting sqref="D30:K30 Y30 AD30 U30">
    <cfRule type="expression" dxfId="2873" priority="113">
      <formula>NoColor</formula>
    </cfRule>
  </conditionalFormatting>
  <conditionalFormatting sqref="H31:AC31">
    <cfRule type="expression" dxfId="2872" priority="112">
      <formula>NoColor</formula>
    </cfRule>
  </conditionalFormatting>
  <conditionalFormatting sqref="AB35:AF39">
    <cfRule type="expression" dxfId="2871" priority="111">
      <formula>NoColor</formula>
    </cfRule>
  </conditionalFormatting>
  <conditionalFormatting sqref="M53:S53">
    <cfRule type="expression" dxfId="2870" priority="110">
      <formula>NoColor</formula>
    </cfRule>
  </conditionalFormatting>
  <conditionalFormatting sqref="M54:N54">
    <cfRule type="expression" dxfId="2869" priority="109">
      <formula>NoColor</formula>
    </cfRule>
  </conditionalFormatting>
  <conditionalFormatting sqref="E58:Z59">
    <cfRule type="expression" dxfId="2868" priority="108">
      <formula>NoColor</formula>
    </cfRule>
  </conditionalFormatting>
  <conditionalFormatting sqref="AE32">
    <cfRule type="expression" dxfId="2867" priority="104">
      <formula>IF($AJ$3&lt;&gt;"",1,0)</formula>
    </cfRule>
  </conditionalFormatting>
  <conditionalFormatting sqref="B32">
    <cfRule type="expression" dxfId="2866" priority="100">
      <formula>IF(NoColor,1,0)</formula>
    </cfRule>
  </conditionalFormatting>
  <conditionalFormatting sqref="C32">
    <cfRule type="expression" dxfId="2865" priority="99">
      <formula>NoColor</formula>
    </cfRule>
  </conditionalFormatting>
  <conditionalFormatting sqref="H32">
    <cfRule type="expression" dxfId="2864" priority="98">
      <formula>NoColor</formula>
    </cfRule>
  </conditionalFormatting>
  <conditionalFormatting sqref="Y29">
    <cfRule type="expression" dxfId="2863" priority="97">
      <formula>NoColor</formula>
    </cfRule>
  </conditionalFormatting>
  <conditionalFormatting sqref="AD32">
    <cfRule type="expression" dxfId="2862" priority="95">
      <formula>IF($AJ$3&lt;&gt;"",1,0)</formula>
    </cfRule>
  </conditionalFormatting>
  <conditionalFormatting sqref="AD32">
    <cfRule type="expression" dxfId="2861" priority="96">
      <formula>IF($AJ$3&lt;&gt;"",1,0)</formula>
    </cfRule>
  </conditionalFormatting>
  <conditionalFormatting sqref="AD32">
    <cfRule type="expression" dxfId="2860" priority="94">
      <formula>NoColor</formula>
    </cfRule>
  </conditionalFormatting>
  <conditionalFormatting sqref="AE31">
    <cfRule type="expression" dxfId="2859" priority="93">
      <formula>IF($AJ$3&lt;&gt;"",1,0)</formula>
    </cfRule>
  </conditionalFormatting>
  <conditionalFormatting sqref="AD31">
    <cfRule type="expression" dxfId="2858" priority="90">
      <formula>NoColor</formula>
    </cfRule>
  </conditionalFormatting>
  <conditionalFormatting sqref="U4">
    <cfRule type="expression" dxfId="2857" priority="87">
      <formula>NoColor</formula>
    </cfRule>
  </conditionalFormatting>
  <conditionalFormatting sqref="E12">
    <cfRule type="expression" dxfId="2856" priority="82">
      <formula>AND($AK$8,E12&lt;&gt;"")</formula>
    </cfRule>
  </conditionalFormatting>
  <conditionalFormatting sqref="E11">
    <cfRule type="expression" dxfId="2855" priority="77">
      <formula>AND($AK$8,E11&lt;&gt;"")</formula>
    </cfRule>
  </conditionalFormatting>
  <conditionalFormatting sqref="D5">
    <cfRule type="expression" dxfId="2854" priority="76">
      <formula>AND($AK$8,D5&lt;&gt;"")</formula>
    </cfRule>
  </conditionalFormatting>
  <conditionalFormatting sqref="T5">
    <cfRule type="expression" dxfId="2853" priority="75">
      <formula>AND($AK$8,T5&lt;&gt;"")</formula>
    </cfRule>
  </conditionalFormatting>
  <conditionalFormatting sqref="AI27">
    <cfRule type="expression" dxfId="2852" priority="73">
      <formula>AND($AF$16&lt;&gt;"",$AI$23="")</formula>
    </cfRule>
    <cfRule type="expression" dxfId="2851" priority="74">
      <formula>NOT($AI$17)</formula>
    </cfRule>
  </conditionalFormatting>
  <conditionalFormatting sqref="AJ7">
    <cfRule type="expression" dxfId="2850" priority="72">
      <formula>(File_Marr_Sep&lt;&gt;"")</formula>
    </cfRule>
  </conditionalFormatting>
  <conditionalFormatting sqref="AL7:AN7">
    <cfRule type="expression" dxfId="2849" priority="69">
      <formula>(File_Marr_Sep&lt;&gt;"")</formula>
    </cfRule>
  </conditionalFormatting>
  <conditionalFormatting sqref="AK7">
    <cfRule type="expression" dxfId="2848" priority="63">
      <formula>($AL$7&lt;&gt;"")</formula>
    </cfRule>
    <cfRule type="expression" dxfId="2847" priority="64">
      <formula>(File_Marr_Sep&lt;&gt;"")</formula>
    </cfRule>
  </conditionalFormatting>
  <conditionalFormatting sqref="AA5:AG5">
    <cfRule type="expression" dxfId="2846" priority="22">
      <formula>NoColor</formula>
    </cfRule>
    <cfRule type="expression" dxfId="2845" priority="27">
      <formula>AND(File_Marr_Sep&lt;&gt;"",AL7="")</formula>
    </cfRule>
    <cfRule type="expression" dxfId="2844" priority="65">
      <formula>(File_Marr_Sep&lt;&gt;"")</formula>
    </cfRule>
  </conditionalFormatting>
  <conditionalFormatting sqref="AH11">
    <cfRule type="expression" dxfId="2843" priority="62">
      <formula>($Y$11="")</formula>
    </cfRule>
  </conditionalFormatting>
  <conditionalFormatting sqref="AJ14">
    <cfRule type="expression" dxfId="2842" priority="61">
      <formula>(File_Marr_Joint&lt;&gt;"")</formula>
    </cfRule>
  </conditionalFormatting>
  <conditionalFormatting sqref="AL16:AN16">
    <cfRule type="expression" dxfId="2841" priority="59">
      <formula>NOT($AK$17)</formula>
    </cfRule>
    <cfRule type="expression" dxfId="2840" priority="60">
      <formula>IF(NoColor,1,0)</formula>
    </cfRule>
  </conditionalFormatting>
  <conditionalFormatting sqref="P45">
    <cfRule type="expression" dxfId="2839" priority="58">
      <formula>$AL$45&lt;0</formula>
    </cfRule>
  </conditionalFormatting>
  <conditionalFormatting sqref="F11">
    <cfRule type="expression" dxfId="2838" priority="51">
      <formula>AND($AK$8,F11&lt;&gt;"")</formula>
    </cfRule>
  </conditionalFormatting>
  <conditionalFormatting sqref="F12">
    <cfRule type="expression" dxfId="2837" priority="41">
      <formula>AND($AK$8,F12&lt;&gt;"")</formula>
    </cfRule>
  </conditionalFormatting>
  <conditionalFormatting sqref="AI35">
    <cfRule type="expression" dxfId="2836" priority="37">
      <formula>AND($N$37&lt;&gt;0,$AB$37&lt;&gt;0)</formula>
    </cfRule>
  </conditionalFormatting>
  <conditionalFormatting sqref="AH34">
    <cfRule type="expression" dxfId="2835" priority="36">
      <formula>$AK$34</formula>
    </cfRule>
  </conditionalFormatting>
  <conditionalFormatting sqref="AI35:AK39">
    <cfRule type="expression" dxfId="2834" priority="34">
      <formula>SUM(ROUND(IRA_Gross,0),ROUND(PA_Gross,0))=IRA_Pension_Taxable</formula>
    </cfRule>
    <cfRule type="expression" dxfId="2833" priority="35">
      <formula>($N$37&gt;$AB$37)</formula>
    </cfRule>
  </conditionalFormatting>
  <conditionalFormatting sqref="AH40">
    <cfRule type="expression" dxfId="2832" priority="33">
      <formula>F8960_Applicable</formula>
    </cfRule>
  </conditionalFormatting>
  <conditionalFormatting sqref="AB58">
    <cfRule type="expression" dxfId="2831" priority="31">
      <formula>IF(NoColor,1,0)</formula>
    </cfRule>
  </conditionalFormatting>
  <conditionalFormatting sqref="AB59">
    <cfRule type="expression" dxfId="2830" priority="30">
      <formula>IF(NoColor,1,0)</formula>
    </cfRule>
  </conditionalFormatting>
  <conditionalFormatting sqref="AB60">
    <cfRule type="expression" dxfId="2829" priority="29">
      <formula>IF(NoColor,1,0)</formula>
    </cfRule>
  </conditionalFormatting>
  <conditionalFormatting sqref="AI40:AK40">
    <cfRule type="expression" dxfId="2828" priority="28">
      <formula>$AH$40&lt;&gt;""</formula>
    </cfRule>
  </conditionalFormatting>
  <conditionalFormatting sqref="AH38">
    <cfRule type="expression" dxfId="2827" priority="26">
      <formula>AND(IRAs_Pension_Annuit&lt;&gt;"",IRAs_Pension_Annuit&lt;&gt;0,IRAs_Pension_Annuit&lt;&gt;IRA_Pension_Taxable)</formula>
    </cfRule>
  </conditionalFormatting>
  <conditionalFormatting sqref="AI41:AK41">
    <cfRule type="expression" dxfId="2826" priority="24">
      <formula>($AH$38&lt;&gt;"")</formula>
    </cfRule>
  </conditionalFormatting>
  <conditionalFormatting sqref="AL17">
    <cfRule type="expression" dxfId="2825" priority="23">
      <formula>OR($BF$68,$AO$16)</formula>
    </cfRule>
  </conditionalFormatting>
  <conditionalFormatting sqref="Y9:AG9">
    <cfRule type="expression" dxfId="2824" priority="21">
      <formula>AND(File_Marr_Sep&lt;&gt;"",SS_Spouse="")</formula>
    </cfRule>
  </conditionalFormatting>
  <conditionalFormatting sqref="Y7:AG7">
    <cfRule type="expression" dxfId="2823" priority="19">
      <formula>AND(NoColor,NoSSN)</formula>
    </cfRule>
    <cfRule type="expression" dxfId="2822" priority="20">
      <formula>NoSSN</formula>
    </cfRule>
  </conditionalFormatting>
  <conditionalFormatting sqref="Y10:AG10">
    <cfRule type="expression" dxfId="2821" priority="18">
      <formula>IF(NoColor,1,0)</formula>
    </cfRule>
  </conditionalFormatting>
  <conditionalFormatting sqref="Y10:AG10">
    <cfRule type="expression" dxfId="2820" priority="16">
      <formula>AND(NoColor,NoSSN)</formula>
    </cfRule>
    <cfRule type="expression" dxfId="2819" priority="17">
      <formula>NoSSN</formula>
    </cfRule>
  </conditionalFormatting>
  <conditionalFormatting sqref="D28:N28">
    <cfRule type="expression" dxfId="2818" priority="15">
      <formula>NoColor</formula>
    </cfRule>
  </conditionalFormatting>
  <conditionalFormatting sqref="L19:Q19">
    <cfRule type="expression" dxfId="2817" priority="14">
      <formula>NoSSN</formula>
    </cfRule>
    <cfRule type="expression" dxfId="2816" priority="10">
      <formula>AND(NoColor,NoSSN)</formula>
    </cfRule>
  </conditionalFormatting>
  <conditionalFormatting sqref="L20:Q20">
    <cfRule type="expression" dxfId="2815" priority="13">
      <formula>NoSSN</formula>
    </cfRule>
  </conditionalFormatting>
  <conditionalFormatting sqref="L21:Q21">
    <cfRule type="expression" dxfId="2814" priority="12">
      <formula>NoSSN</formula>
    </cfRule>
  </conditionalFormatting>
  <conditionalFormatting sqref="L22:Q22">
    <cfRule type="expression" dxfId="2813" priority="11">
      <formula>NoSSN</formula>
    </cfRule>
  </conditionalFormatting>
  <conditionalFormatting sqref="L20:Q20">
    <cfRule type="expression" dxfId="2812" priority="8">
      <formula>AND(NoColor,NoSSN)</formula>
    </cfRule>
    <cfRule type="expression" dxfId="2811" priority="9">
      <formula>NoSSN</formula>
    </cfRule>
  </conditionalFormatting>
  <conditionalFormatting sqref="L21:Q21">
    <cfRule type="expression" dxfId="2810" priority="7">
      <formula>NoSSN</formula>
    </cfRule>
  </conditionalFormatting>
  <conditionalFormatting sqref="L21:Q21">
    <cfRule type="expression" dxfId="2809" priority="5">
      <formula>AND(NoColor,NoSSN)</formula>
    </cfRule>
    <cfRule type="expression" dxfId="2808" priority="6">
      <formula>NoSSN</formula>
    </cfRule>
  </conditionalFormatting>
  <conditionalFormatting sqref="L22:Q22">
    <cfRule type="expression" dxfId="2807" priority="4">
      <formula>NoSSN</formula>
    </cfRule>
  </conditionalFormatting>
  <conditionalFormatting sqref="L22:Q22">
    <cfRule type="expression" dxfId="2806" priority="3">
      <formula>NoSSN</formula>
    </cfRule>
  </conditionalFormatting>
  <conditionalFormatting sqref="L22:Q22">
    <cfRule type="expression" dxfId="2805" priority="1">
      <formula>AND(NoColor,NoSSN)</formula>
    </cfRule>
    <cfRule type="expression" dxfId="2804" priority="2">
      <formula>NoSSN</formula>
    </cfRule>
  </conditionalFormatting>
  <hyperlinks>
    <hyperlink ref="F2" r:id="rId1"/>
    <hyperlink ref="D66" r:id="rId2"/>
    <hyperlink ref="D68" r:id="rId3"/>
    <hyperlink ref="D68:S68" r:id="rId4" display="Download Form 1040 from IRS"/>
    <hyperlink ref="D70:S70" r:id="rId5" display="Download Form 1040 from IRS"/>
    <hyperlink ref="H71:L73" location="'Table of Contents'!A1" display="Table of Contents"/>
  </hyperlinks>
  <printOptions horizontalCentered="1"/>
  <pageMargins left="0.42" right="0.17" top="0.5" bottom="0.56000000000000005" header="0" footer="0"/>
  <pageSetup scale="78" fitToHeight="0" orientation="portrait" r:id="rId6"/>
  <headerFooter alignWithMargins="0"/>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72"/>
  <sheetViews>
    <sheetView zoomScaleNormal="100" zoomScaleSheetLayoutView="100" workbookViewId="0">
      <selection activeCell="AJ11" sqref="AJ11"/>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3" width="3.42578125" style="46" customWidth="1"/>
    <col min="24" max="24" width="4.140625" style="46" customWidth="1"/>
    <col min="25" max="26" width="3.42578125" style="46" customWidth="1"/>
    <col min="27" max="27" width="1.28515625" style="46" customWidth="1"/>
    <col min="28" max="28" width="5.7109375" style="46" customWidth="1"/>
    <col min="29" max="34" width="3.42578125" style="46"/>
    <col min="35" max="35" width="8.85546875" style="46" customWidth="1"/>
    <col min="36" max="36" width="15" style="46" customWidth="1"/>
    <col min="37" max="37" width="2" style="46" customWidth="1"/>
    <col min="38" max="38" width="27.5703125" style="46" customWidth="1"/>
    <col min="39" max="39" width="3.42578125" style="46"/>
    <col min="40" max="40" width="19.7109375" style="46" customWidth="1"/>
    <col min="41" max="41" width="3.42578125" style="46"/>
    <col min="42" max="42" width="10.7109375" style="4352" customWidth="1"/>
    <col min="43" max="52" width="10.7109375" style="4351" customWidth="1"/>
    <col min="53" max="16384" width="3.42578125" style="46"/>
  </cols>
  <sheetData>
    <row r="1" spans="1:52">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1443"/>
      <c r="AJ1" s="396"/>
      <c r="AK1" s="1443"/>
      <c r="AL1" s="1443"/>
      <c r="AM1" s="1443"/>
      <c r="AN1" s="1443"/>
      <c r="AO1" s="1443"/>
      <c r="AP1" s="3742" t="s">
        <v>2552</v>
      </c>
      <c r="AQ1" s="3742"/>
      <c r="AR1" s="3742"/>
      <c r="AS1" s="3742"/>
      <c r="AT1" s="3742"/>
      <c r="AU1" s="3742"/>
      <c r="AV1" s="3742"/>
      <c r="AW1" s="3742"/>
      <c r="AX1" s="3742"/>
      <c r="AY1" s="3742"/>
      <c r="AZ1" s="3742"/>
    </row>
    <row r="2" spans="1:52" ht="11.25" customHeight="1">
      <c r="A2" s="3350"/>
      <c r="B2" s="5594" t="s">
        <v>3011</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576" t="s">
        <v>169</v>
      </c>
      <c r="AC2" s="5577"/>
      <c r="AD2" s="5577"/>
      <c r="AE2" s="5577"/>
      <c r="AF2" s="5577"/>
      <c r="AG2" s="5577"/>
      <c r="AH2" s="3350"/>
      <c r="AI2" s="1443"/>
      <c r="AJ2" s="396"/>
      <c r="AK2" s="1443"/>
      <c r="AL2" s="1443"/>
      <c r="AM2" s="1443"/>
      <c r="AN2" s="1443"/>
      <c r="AO2" s="1443"/>
      <c r="AP2" s="4761"/>
      <c r="AQ2" s="3742"/>
      <c r="AR2" s="3742"/>
      <c r="AS2" s="3742"/>
      <c r="AT2" s="3742"/>
      <c r="AU2" s="3742"/>
      <c r="AV2" s="3742"/>
      <c r="AW2" s="3742"/>
      <c r="AX2" s="3742"/>
      <c r="AY2" s="3742"/>
      <c r="AZ2" s="3742"/>
    </row>
    <row r="3" spans="1:52" ht="16.5" customHeight="1">
      <c r="A3" s="3350"/>
      <c r="B3" s="5595"/>
      <c r="C3" s="5595"/>
      <c r="D3" s="5595"/>
      <c r="E3" s="5595"/>
      <c r="F3" s="5596"/>
      <c r="G3" s="3728" t="s">
        <v>3005</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I3" s="1443"/>
      <c r="AJ3" s="396"/>
      <c r="AK3" s="1443"/>
      <c r="AL3" s="1443"/>
      <c r="AM3" s="1443"/>
      <c r="AN3" s="1443"/>
      <c r="AO3" s="1443"/>
      <c r="AP3" s="4761" t="s">
        <v>4089</v>
      </c>
      <c r="AQ3" s="3742"/>
      <c r="AR3" s="3742"/>
      <c r="AS3" s="3742"/>
      <c r="AT3" s="3742"/>
      <c r="AU3" s="3742"/>
      <c r="AV3" s="3742"/>
      <c r="AW3" s="3742"/>
      <c r="AX3" s="3742"/>
      <c r="AY3" s="3742"/>
      <c r="AZ3" s="3742"/>
    </row>
    <row r="4" spans="1:52" ht="14.25" customHeight="1">
      <c r="A4" s="3350"/>
      <c r="B4" s="5597"/>
      <c r="C4" s="5598"/>
      <c r="D4" s="5598"/>
      <c r="E4" s="5598"/>
      <c r="F4" s="5599"/>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I4" s="1443"/>
      <c r="AJ4" s="396"/>
      <c r="AK4" s="1443"/>
      <c r="AL4" s="1443"/>
      <c r="AM4" s="1443"/>
      <c r="AN4" s="1443"/>
      <c r="AO4" s="1443"/>
      <c r="AP4" s="3742"/>
      <c r="AQ4" s="3742"/>
      <c r="AR4" s="3742"/>
      <c r="AS4" s="3742"/>
      <c r="AT4" s="3742"/>
      <c r="AU4" s="3742"/>
      <c r="AV4" s="3742"/>
      <c r="AW4" s="3742"/>
      <c r="AX4" s="3742"/>
      <c r="AY4" s="3742"/>
      <c r="AZ4" s="3742"/>
    </row>
    <row r="5" spans="1:52" ht="14.25" customHeight="1">
      <c r="A5" s="3350"/>
      <c r="B5" s="5606" t="s">
        <v>202</v>
      </c>
      <c r="C5" s="5606"/>
      <c r="D5" s="5606"/>
      <c r="E5" s="5606"/>
      <c r="F5" s="5607"/>
      <c r="G5" s="1610"/>
      <c r="H5" s="1443"/>
      <c r="I5" s="1443"/>
      <c r="J5" s="1443"/>
      <c r="K5" s="1443"/>
      <c r="L5" s="1443"/>
      <c r="M5" s="1443"/>
      <c r="N5" s="1443"/>
      <c r="O5" s="1443"/>
      <c r="P5" s="1615" t="s">
        <v>2658</v>
      </c>
      <c r="Q5" s="1443"/>
      <c r="R5" s="1443"/>
      <c r="S5" s="1443"/>
      <c r="T5" s="1443"/>
      <c r="U5" s="1443"/>
      <c r="V5" s="1443"/>
      <c r="W5" s="1443"/>
      <c r="X5" s="1443"/>
      <c r="Y5" s="1443"/>
      <c r="Z5" s="1443"/>
      <c r="AA5" s="1443"/>
      <c r="AB5" s="4329"/>
      <c r="AC5" s="5584" t="s">
        <v>3766</v>
      </c>
      <c r="AD5" s="5584"/>
      <c r="AE5" s="5584"/>
      <c r="AF5" s="5584"/>
      <c r="AG5" s="5584"/>
      <c r="AH5" s="3350"/>
      <c r="AI5" s="1443"/>
      <c r="AJ5" s="396"/>
      <c r="AK5" s="1443"/>
      <c r="AL5" s="1443"/>
      <c r="AM5" s="1443"/>
      <c r="AN5" s="1443"/>
      <c r="AO5" s="1443"/>
      <c r="AP5" s="3742"/>
      <c r="AQ5" s="3742"/>
      <c r="AR5" s="3742"/>
      <c r="AS5" s="3742"/>
      <c r="AT5" s="3742"/>
      <c r="AU5" s="3742"/>
      <c r="AV5" s="3742"/>
      <c r="AW5" s="3742"/>
      <c r="AX5" s="3742"/>
      <c r="AY5" s="3742"/>
      <c r="AZ5" s="3742"/>
    </row>
    <row r="6" spans="1:52" ht="14.25" customHeight="1" thickBot="1">
      <c r="A6" s="3350"/>
      <c r="B6" s="5604" t="s">
        <v>450</v>
      </c>
      <c r="C6" s="5604"/>
      <c r="D6" s="5604"/>
      <c r="E6" s="5604"/>
      <c r="F6" s="5605"/>
      <c r="G6" s="3745" t="s">
        <v>3006</v>
      </c>
      <c r="H6" s="3746"/>
      <c r="I6" s="3745"/>
      <c r="J6" s="3747"/>
      <c r="K6" s="3746"/>
      <c r="L6" s="3746"/>
      <c r="M6" s="3746"/>
      <c r="N6" s="3746"/>
      <c r="O6" s="3746"/>
      <c r="P6" s="3746"/>
      <c r="Q6" s="3746"/>
      <c r="R6" s="3746"/>
      <c r="S6" s="3746"/>
      <c r="T6" s="3746"/>
      <c r="U6" s="3746"/>
      <c r="V6" s="3746"/>
      <c r="W6" s="3746"/>
      <c r="X6" s="3746"/>
      <c r="Y6" s="3746"/>
      <c r="Z6" s="3746"/>
      <c r="AA6" s="3746"/>
      <c r="AB6" s="4330"/>
      <c r="AC6" s="5585"/>
      <c r="AD6" s="5585"/>
      <c r="AE6" s="5585"/>
      <c r="AF6" s="5585"/>
      <c r="AG6" s="5585"/>
      <c r="AH6" s="3350"/>
      <c r="AI6" s="1443"/>
      <c r="AJ6" s="396"/>
      <c r="AK6" s="1443"/>
      <c r="AL6" s="1443"/>
      <c r="AM6" s="1443"/>
      <c r="AN6" s="1443"/>
      <c r="AO6" s="1443"/>
      <c r="AP6" s="3742"/>
      <c r="AQ6" s="3742"/>
      <c r="AR6" s="3742"/>
      <c r="AS6" s="3742"/>
      <c r="AT6" s="3742"/>
      <c r="AU6" s="3742"/>
      <c r="AV6" s="3742"/>
      <c r="AW6" s="3742"/>
      <c r="AX6" s="3742"/>
      <c r="AY6" s="3742"/>
      <c r="AZ6" s="3742"/>
    </row>
    <row r="7" spans="1:52">
      <c r="A7" s="3350"/>
      <c r="B7" s="1607"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3029</v>
      </c>
      <c r="AC7" s="1605"/>
      <c r="AD7" s="1605"/>
      <c r="AE7" s="1605"/>
      <c r="AF7" s="1605"/>
      <c r="AG7" s="1605"/>
      <c r="AH7" s="3350"/>
      <c r="AI7" s="1443"/>
      <c r="AJ7" s="5608" t="s">
        <v>2161</v>
      </c>
      <c r="AK7" s="1443"/>
      <c r="AL7" s="1615" t="s">
        <v>3887</v>
      </c>
      <c r="AM7" s="1443"/>
      <c r="AN7" s="1443"/>
      <c r="AO7" s="1443"/>
      <c r="AP7" s="3742"/>
      <c r="AQ7" s="3742"/>
      <c r="AR7" s="3742"/>
      <c r="AS7" s="3742"/>
      <c r="AT7" s="3742"/>
      <c r="AU7" s="3742"/>
      <c r="AV7" s="3742"/>
      <c r="AW7" s="3742"/>
      <c r="AX7" s="3742"/>
      <c r="AY7" s="3742"/>
      <c r="AZ7" s="3742"/>
    </row>
    <row r="8" spans="1:52"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I8" s="1443"/>
      <c r="AJ8" s="5609"/>
      <c r="AK8" s="1443"/>
      <c r="AL8" s="1443"/>
      <c r="AM8" s="1443"/>
      <c r="AN8" s="1443"/>
      <c r="AO8" s="1443"/>
      <c r="AP8" s="3742"/>
      <c r="AQ8" s="3742"/>
      <c r="AR8" s="3742"/>
      <c r="AS8" s="3742"/>
      <c r="AT8" s="3742"/>
      <c r="AU8" s="3742"/>
      <c r="AV8" s="3742"/>
      <c r="AW8" s="3742"/>
      <c r="AX8" s="3742"/>
      <c r="AY8" s="3742"/>
      <c r="AZ8" s="3742"/>
    </row>
    <row r="9" spans="1:52"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I9" s="1443"/>
      <c r="AJ9" s="5610"/>
      <c r="AK9" s="1443"/>
      <c r="AL9" s="1443"/>
      <c r="AM9" s="1443"/>
      <c r="AN9" s="1443"/>
      <c r="AO9" s="1443"/>
      <c r="AP9" s="3742"/>
      <c r="AQ9" s="3742"/>
      <c r="AR9" s="3742"/>
      <c r="AS9" s="3742"/>
      <c r="AT9" s="3742"/>
      <c r="AU9" s="3742"/>
      <c r="AV9" s="3742"/>
      <c r="AW9" s="3742"/>
      <c r="AX9" s="3742"/>
      <c r="AY9" s="3742"/>
      <c r="AZ9" s="3742"/>
    </row>
    <row r="10" spans="1:52" ht="14.25" customHeight="1">
      <c r="A10" s="3350"/>
      <c r="B10" s="5571" t="s">
        <v>3014</v>
      </c>
      <c r="C10" s="5572"/>
      <c r="D10" s="5572"/>
      <c r="E10" s="5572"/>
      <c r="F10" s="2254" t="s">
        <v>3009</v>
      </c>
      <c r="G10" s="1607" t="s">
        <v>3008</v>
      </c>
      <c r="H10" s="1607"/>
      <c r="I10" s="1443"/>
      <c r="J10" s="1443"/>
      <c r="K10" s="1443"/>
      <c r="L10" s="1443"/>
      <c r="M10" s="1443"/>
      <c r="N10" s="1443"/>
      <c r="O10" s="1443"/>
      <c r="P10" s="1443"/>
      <c r="Q10" s="1443"/>
      <c r="R10" s="1443"/>
      <c r="S10" s="1443"/>
      <c r="T10" s="1443"/>
      <c r="U10" s="1443"/>
      <c r="V10" s="1443"/>
      <c r="W10" s="1443"/>
      <c r="X10" s="1443"/>
      <c r="Y10" s="1443"/>
      <c r="Z10" s="1443"/>
      <c r="AA10" s="1943" t="s">
        <v>3242</v>
      </c>
      <c r="AB10" s="3731" t="s">
        <v>3009</v>
      </c>
      <c r="AC10" s="1945"/>
      <c r="AD10" s="1945"/>
      <c r="AE10" s="1945"/>
      <c r="AF10" s="1945"/>
      <c r="AG10" s="3727"/>
      <c r="AH10" s="3350"/>
      <c r="AI10" s="1443"/>
      <c r="AJ10" s="396"/>
      <c r="AK10" s="1443"/>
      <c r="AL10" s="1443"/>
      <c r="AM10" s="1443"/>
      <c r="AN10" s="1443"/>
      <c r="AO10" s="1443"/>
      <c r="AP10" s="3742"/>
      <c r="AQ10" s="3742"/>
      <c r="AR10" s="3742"/>
      <c r="AS10" s="3742"/>
      <c r="AT10" s="3742"/>
      <c r="AU10" s="3742"/>
      <c r="AV10" s="3742"/>
      <c r="AW10" s="3742"/>
      <c r="AX10" s="3742"/>
      <c r="AY10" s="3742"/>
      <c r="AZ10" s="3742"/>
    </row>
    <row r="11" spans="1:52" ht="14.25" customHeight="1">
      <c r="A11" s="3350"/>
      <c r="B11" s="5571" t="s">
        <v>37</v>
      </c>
      <c r="C11" s="5572"/>
      <c r="D11" s="5572"/>
      <c r="E11" s="5572"/>
      <c r="F11" s="2254">
        <v>10</v>
      </c>
      <c r="G11" s="1607" t="s">
        <v>3010</v>
      </c>
      <c r="H11" s="1443"/>
      <c r="I11" s="1443"/>
      <c r="J11" s="1443"/>
      <c r="K11" s="1443"/>
      <c r="L11" s="1443"/>
      <c r="M11" s="1443"/>
      <c r="N11" s="1443"/>
      <c r="O11" s="1443"/>
      <c r="P11" s="1443"/>
      <c r="Q11" s="1443"/>
      <c r="R11" s="1443"/>
      <c r="S11" s="1443"/>
      <c r="T11" s="1443"/>
      <c r="U11" s="1443"/>
      <c r="V11" s="1443"/>
      <c r="W11" s="1443"/>
      <c r="X11" s="1443"/>
      <c r="Y11" s="1443"/>
      <c r="Z11" s="1443"/>
      <c r="AA11" s="1943" t="s">
        <v>2482</v>
      </c>
      <c r="AB11" s="2710">
        <v>10</v>
      </c>
      <c r="AC11" s="5373">
        <f>IF(AJ11&lt;&gt;"",ROUND(AJ11,0),State_Local_Tax_Refund)</f>
        <v>0</v>
      </c>
      <c r="AD11" s="5568"/>
      <c r="AE11" s="5568"/>
      <c r="AF11" s="5568"/>
      <c r="AG11" s="5568"/>
      <c r="AH11" s="3350"/>
      <c r="AI11" s="1443"/>
      <c r="AJ11" s="3470"/>
      <c r="AK11" s="1443"/>
      <c r="AL11" s="1607" t="s">
        <v>4429</v>
      </c>
      <c r="AM11" s="1443"/>
      <c r="AN11" s="4757" t="s">
        <v>4413</v>
      </c>
      <c r="AO11" s="1443"/>
      <c r="AP11" s="3742"/>
      <c r="AQ11" s="3742"/>
      <c r="AR11" s="3742"/>
      <c r="AS11" s="3742"/>
      <c r="AT11" s="3742"/>
      <c r="AU11" s="3742"/>
      <c r="AV11" s="3742"/>
      <c r="AW11" s="3742"/>
      <c r="AX11" s="3742"/>
      <c r="AY11" s="3742"/>
      <c r="AZ11" s="3742"/>
    </row>
    <row r="12" spans="1:52" ht="14.25" customHeight="1">
      <c r="A12" s="3350"/>
      <c r="B12" s="3287"/>
      <c r="C12" s="3285"/>
      <c r="D12" s="1443"/>
      <c r="E12" s="1443"/>
      <c r="F12" s="2254">
        <v>11</v>
      </c>
      <c r="G12" s="1607" t="str">
        <f>IF(AND(AlimonyRcvd&lt;&gt;"",AH12="",NOT(NoColor)),"Alimony received  (See TIP for tax law changes regarding alimony)","Alimony received")</f>
        <v>Alimony received</v>
      </c>
      <c r="H12" s="1443"/>
      <c r="I12" s="1443"/>
      <c r="J12" s="1443"/>
      <c r="K12" s="1443"/>
      <c r="L12" s="3756"/>
      <c r="M12" s="1443"/>
      <c r="N12" s="1443"/>
      <c r="O12" s="1443"/>
      <c r="P12" s="1443"/>
      <c r="Q12" s="1443"/>
      <c r="R12" s="1443"/>
      <c r="S12" s="1443"/>
      <c r="T12" s="1443"/>
      <c r="U12" s="1443"/>
      <c r="V12" s="1443"/>
      <c r="W12" s="1443"/>
      <c r="X12" s="1443"/>
      <c r="Y12" s="1443"/>
      <c r="Z12" s="1443"/>
      <c r="AA12" s="1943" t="str">
        <f>IF(AND(AlimonyRcvd&lt;&gt;"",AH12="",NOT(NoColor)),".   .   .   .  ",".   .   .   .   .   .   .   .   .   .   .   .   .   .   .   .   .   .   .   .   .   .   .   .   .  ")</f>
        <v xml:space="preserve">.   .   .   .   .   .   .   .   .   .   .   .   .   .   .   .   .   .   .   .   .   .   .   .   .  </v>
      </c>
      <c r="AB12" s="2710">
        <v>11</v>
      </c>
      <c r="AC12" s="5573"/>
      <c r="AD12" s="5574"/>
      <c r="AE12" s="5574"/>
      <c r="AF12" s="5574"/>
      <c r="AG12" s="5575"/>
      <c r="AH12" s="3757"/>
      <c r="AI12" s="4759" t="str">
        <f>IF(AlimonyRcvd&lt;&gt;"","Hide note.","")</f>
        <v/>
      </c>
      <c r="AJ12" s="396"/>
      <c r="AK12" s="1443"/>
      <c r="AL12" s="1443"/>
      <c r="AM12" s="1443"/>
      <c r="AN12" s="5567" t="s">
        <v>4412</v>
      </c>
      <c r="AO12" s="1443"/>
      <c r="AP12" s="3742"/>
      <c r="AQ12" s="3742"/>
      <c r="AR12" s="3742"/>
      <c r="AS12" s="3742"/>
      <c r="AT12" s="3742"/>
      <c r="AU12" s="3742"/>
      <c r="AV12" s="3742"/>
      <c r="AW12" s="3742"/>
      <c r="AX12" s="3742"/>
      <c r="AY12" s="3742"/>
      <c r="AZ12" s="3742"/>
    </row>
    <row r="13" spans="1:52" ht="14.25" customHeight="1">
      <c r="A13" s="3350"/>
      <c r="B13" s="3287"/>
      <c r="C13" s="3285"/>
      <c r="D13" s="1443"/>
      <c r="E13" s="1443"/>
      <c r="F13" s="2254">
        <v>12</v>
      </c>
      <c r="G13" s="1607" t="s">
        <v>4316</v>
      </c>
      <c r="H13" s="1443"/>
      <c r="I13" s="1443"/>
      <c r="J13" s="1443"/>
      <c r="K13" s="1443"/>
      <c r="L13" s="1443"/>
      <c r="M13" s="1443"/>
      <c r="N13" s="1443"/>
      <c r="O13" s="1443"/>
      <c r="P13" s="1443"/>
      <c r="Q13" s="1443"/>
      <c r="R13" s="1443"/>
      <c r="S13" s="1443"/>
      <c r="T13" s="1443"/>
      <c r="U13" s="1443"/>
      <c r="V13" s="1443"/>
      <c r="W13" s="1443"/>
      <c r="X13" s="1443"/>
      <c r="Y13" s="1443"/>
      <c r="Z13" s="1443"/>
      <c r="AA13" s="1943" t="s">
        <v>3200</v>
      </c>
      <c r="AB13" s="2710">
        <v>12</v>
      </c>
      <c r="AC13" s="5373">
        <f>IF(AJ13&lt;&gt;"",ROUND(AJ13,0),Business_Profit)</f>
        <v>0</v>
      </c>
      <c r="AD13" s="5568"/>
      <c r="AE13" s="5568"/>
      <c r="AF13" s="5568"/>
      <c r="AG13" s="5568"/>
      <c r="AH13" s="3350"/>
      <c r="AI13" s="1443"/>
      <c r="AJ13" s="3470"/>
      <c r="AK13" s="1443"/>
      <c r="AL13" s="1607" t="s">
        <v>3884</v>
      </c>
      <c r="AM13" s="1443"/>
      <c r="AN13" s="5567"/>
      <c r="AO13" s="1443"/>
      <c r="AP13" s="3742"/>
      <c r="AQ13" s="3742"/>
      <c r="AR13" s="3742"/>
      <c r="AS13" s="3742"/>
      <c r="AT13" s="3742"/>
      <c r="AU13" s="3742"/>
      <c r="AV13" s="3742"/>
      <c r="AW13" s="3742"/>
      <c r="AX13" s="3742"/>
      <c r="AY13" s="3742"/>
      <c r="AZ13" s="3742"/>
    </row>
    <row r="14" spans="1:52" ht="14.25" customHeight="1">
      <c r="A14" s="3350"/>
      <c r="B14" s="3287"/>
      <c r="C14" s="3285"/>
      <c r="D14" s="1443"/>
      <c r="E14" s="1443"/>
      <c r="F14" s="2254">
        <v>13</v>
      </c>
      <c r="G14" s="3564" t="s">
        <v>4317</v>
      </c>
      <c r="H14" s="1443"/>
      <c r="I14" s="1443"/>
      <c r="J14" s="1443"/>
      <c r="K14" s="1443"/>
      <c r="L14" s="1443"/>
      <c r="M14" s="1443"/>
      <c r="N14" s="1443"/>
      <c r="O14" s="1443"/>
      <c r="P14" s="1443"/>
      <c r="Q14" s="1443"/>
      <c r="R14" s="1443"/>
      <c r="S14" s="1443"/>
      <c r="T14" s="1443"/>
      <c r="U14" s="1443"/>
      <c r="V14" s="1443"/>
      <c r="W14" s="1443"/>
      <c r="X14" s="1443"/>
      <c r="Y14" s="1443"/>
      <c r="Z14" s="1444"/>
      <c r="AA14" s="1443"/>
      <c r="AB14" s="2710">
        <v>13</v>
      </c>
      <c r="AC14" s="5373" t="str">
        <f>IF(AJ14&lt;&gt;"",ROUND(AJ14,0),IF(SchD_NotReqd,'1099-DIV'!H92,IF('Sch. D'!A60,'Sch. D'!N58,IF('Sch. D'!A64,0,'Sch. D'!O90))))</f>
        <v/>
      </c>
      <c r="AD14" s="5568"/>
      <c r="AE14" s="5568"/>
      <c r="AF14" s="5568"/>
      <c r="AG14" s="5568"/>
      <c r="AH14" s="3350"/>
      <c r="AI14" s="1616" t="b">
        <f>Z14&lt;&gt;""</f>
        <v>0</v>
      </c>
      <c r="AJ14" s="3470"/>
      <c r="AK14" s="1443"/>
      <c r="AL14" s="1607" t="s">
        <v>3406</v>
      </c>
      <c r="AM14" s="1443"/>
      <c r="AN14" s="5567"/>
      <c r="AO14" s="1443"/>
      <c r="AP14" s="3742"/>
      <c r="AQ14" s="3742"/>
      <c r="AR14" s="3742"/>
      <c r="AS14" s="3742"/>
      <c r="AT14" s="3742"/>
      <c r="AU14" s="3742"/>
      <c r="AV14" s="3742"/>
      <c r="AW14" s="3742"/>
      <c r="AX14" s="3742"/>
      <c r="AY14" s="3742"/>
      <c r="AZ14" s="3742"/>
    </row>
    <row r="15" spans="1:52" ht="14.25" customHeight="1">
      <c r="A15" s="3350"/>
      <c r="B15" s="3287"/>
      <c r="C15" s="3285"/>
      <c r="D15" s="1443"/>
      <c r="E15" s="1443"/>
      <c r="F15" s="2254">
        <v>14</v>
      </c>
      <c r="G15" s="1607" t="s">
        <v>4319</v>
      </c>
      <c r="H15" s="1443"/>
      <c r="I15" s="1443"/>
      <c r="J15" s="1443"/>
      <c r="K15" s="1443"/>
      <c r="L15" s="1443"/>
      <c r="M15" s="1443"/>
      <c r="N15" s="1443"/>
      <c r="O15" s="1443"/>
      <c r="P15" s="1443"/>
      <c r="Q15" s="1443"/>
      <c r="R15" s="1443"/>
      <c r="S15" s="1443"/>
      <c r="T15" s="1443"/>
      <c r="U15" s="1443"/>
      <c r="V15" s="1443"/>
      <c r="W15" s="1443"/>
      <c r="X15" s="1443"/>
      <c r="Y15" s="1443"/>
      <c r="Z15" s="1443"/>
      <c r="AA15" s="1943" t="s">
        <v>4143</v>
      </c>
      <c r="AB15" s="2710">
        <v>14</v>
      </c>
      <c r="AC15" s="5573"/>
      <c r="AD15" s="5574"/>
      <c r="AE15" s="5574"/>
      <c r="AF15" s="5574"/>
      <c r="AG15" s="5575"/>
      <c r="AH15" s="3350"/>
      <c r="AI15" s="1443"/>
      <c r="AJ15" s="396"/>
      <c r="AK15" s="1443"/>
      <c r="AL15" s="1443"/>
      <c r="AM15" s="1443"/>
      <c r="AN15" s="5567"/>
      <c r="AO15" s="1443"/>
      <c r="AP15" s="3742"/>
      <c r="AQ15" s="3742"/>
      <c r="AR15" s="3742"/>
      <c r="AS15" s="3742"/>
      <c r="AT15" s="3742"/>
      <c r="AU15" s="3742"/>
      <c r="AV15" s="3742"/>
      <c r="AW15" s="3742"/>
      <c r="AX15" s="3742"/>
      <c r="AY15" s="3742"/>
      <c r="AZ15" s="3742"/>
    </row>
    <row r="16" spans="1:52" ht="14.25" customHeight="1">
      <c r="A16" s="3350"/>
      <c r="B16" s="3287"/>
      <c r="C16" s="3285"/>
      <c r="D16" s="1443"/>
      <c r="E16" s="1443"/>
      <c r="F16" s="2254" t="s">
        <v>3012</v>
      </c>
      <c r="G16" s="1607" t="s">
        <v>3008</v>
      </c>
      <c r="H16" s="1443"/>
      <c r="I16" s="1443"/>
      <c r="J16" s="1443"/>
      <c r="K16" s="1443"/>
      <c r="L16" s="1443"/>
      <c r="M16" s="1443"/>
      <c r="N16" s="1443"/>
      <c r="O16" s="1443"/>
      <c r="P16" s="1443"/>
      <c r="Q16" s="1443"/>
      <c r="R16" s="1443"/>
      <c r="S16" s="1443"/>
      <c r="T16" s="1443"/>
      <c r="U16" s="1443"/>
      <c r="V16" s="1443"/>
      <c r="W16" s="1443"/>
      <c r="X16" s="1443"/>
      <c r="Y16" s="1443"/>
      <c r="Z16" s="1443"/>
      <c r="AA16" s="1943" t="s">
        <v>3242</v>
      </c>
      <c r="AB16" s="2710" t="s">
        <v>3028</v>
      </c>
      <c r="AC16" s="3732"/>
      <c r="AD16" s="3732"/>
      <c r="AE16" s="3732"/>
      <c r="AF16" s="3732"/>
      <c r="AG16" s="3733"/>
      <c r="AH16" s="3350"/>
      <c r="AI16" s="1443"/>
      <c r="AJ16" s="396"/>
      <c r="AK16" s="1443"/>
      <c r="AL16" s="1443"/>
      <c r="AM16" s="1443"/>
      <c r="AN16" s="5567"/>
      <c r="AO16" s="1443"/>
      <c r="AP16" s="3742"/>
      <c r="AQ16" s="3742"/>
      <c r="AR16" s="3742"/>
      <c r="AS16" s="3742"/>
      <c r="AT16" s="3742"/>
      <c r="AU16" s="3742"/>
      <c r="AV16" s="3742"/>
      <c r="AW16" s="3742"/>
      <c r="AX16" s="3742"/>
      <c r="AY16" s="3742"/>
      <c r="AZ16" s="3742"/>
    </row>
    <row r="17" spans="1:52" ht="14.25" customHeight="1">
      <c r="A17" s="3350"/>
      <c r="B17" s="3287"/>
      <c r="C17" s="3285"/>
      <c r="D17" s="1443"/>
      <c r="E17" s="1443"/>
      <c r="F17" s="2254" t="s">
        <v>244</v>
      </c>
      <c r="G17" s="1607" t="s">
        <v>3008</v>
      </c>
      <c r="H17" s="1443"/>
      <c r="I17" s="1443"/>
      <c r="J17" s="1443"/>
      <c r="K17" s="1443"/>
      <c r="L17" s="1443"/>
      <c r="M17" s="1443"/>
      <c r="N17" s="1443"/>
      <c r="O17" s="1443"/>
      <c r="P17" s="1443"/>
      <c r="Q17" s="1443"/>
      <c r="R17" s="1443"/>
      <c r="S17" s="1443"/>
      <c r="T17" s="1443"/>
      <c r="U17" s="1443"/>
      <c r="V17" s="1443"/>
      <c r="W17" s="1443"/>
      <c r="X17" s="1443"/>
      <c r="Y17" s="1443"/>
      <c r="Z17" s="1443"/>
      <c r="AA17" s="1943" t="s">
        <v>3242</v>
      </c>
      <c r="AB17" s="2710" t="s">
        <v>245</v>
      </c>
      <c r="AC17" s="3732"/>
      <c r="AD17" s="3732"/>
      <c r="AE17" s="3732"/>
      <c r="AF17" s="3732"/>
      <c r="AG17" s="3733"/>
      <c r="AH17" s="3350"/>
      <c r="AI17" s="1443"/>
      <c r="AJ17" s="396"/>
      <c r="AK17" s="1443"/>
      <c r="AL17" s="1443"/>
      <c r="AM17" s="1443"/>
      <c r="AN17" s="5567"/>
      <c r="AO17" s="1443"/>
      <c r="AP17" s="3742"/>
      <c r="AQ17" s="3742"/>
      <c r="AR17" s="3742"/>
      <c r="AS17" s="3742"/>
      <c r="AT17" s="3742"/>
      <c r="AU17" s="3742"/>
      <c r="AV17" s="3742"/>
      <c r="AW17" s="3742"/>
      <c r="AX17" s="3742"/>
      <c r="AY17" s="3742"/>
      <c r="AZ17" s="3742"/>
    </row>
    <row r="18" spans="1:52" ht="14.25" customHeight="1">
      <c r="A18" s="3350"/>
      <c r="B18" s="3287"/>
      <c r="C18" s="3285"/>
      <c r="D18" s="1443"/>
      <c r="E18" s="1443"/>
      <c r="F18" s="2254">
        <v>17</v>
      </c>
      <c r="G18" s="1592" t="s">
        <v>4973</v>
      </c>
      <c r="H18" s="1443"/>
      <c r="I18" s="1443"/>
      <c r="J18" s="1443"/>
      <c r="K18" s="1443"/>
      <c r="L18" s="1443"/>
      <c r="M18" s="1443"/>
      <c r="N18" s="1443"/>
      <c r="O18" s="1443"/>
      <c r="P18" s="1443"/>
      <c r="Q18" s="1443"/>
      <c r="R18" s="1443"/>
      <c r="S18" s="1443"/>
      <c r="T18" s="1443"/>
      <c r="U18" s="1443"/>
      <c r="V18" s="1443"/>
      <c r="W18" s="1443"/>
      <c r="X18" s="1443"/>
      <c r="Y18" s="1443"/>
      <c r="Z18" s="1443"/>
      <c r="AA18" s="1443"/>
      <c r="AB18" s="2710">
        <v>17</v>
      </c>
      <c r="AC18" s="5373">
        <f>IF(AJ18&lt;&gt;"",ROUND(AJ18,0),SUM(ScheduleE1,ScheduleE2))</f>
        <v>0</v>
      </c>
      <c r="AD18" s="5568"/>
      <c r="AE18" s="5568"/>
      <c r="AF18" s="5568"/>
      <c r="AG18" s="5568"/>
      <c r="AH18" s="3350"/>
      <c r="AI18" s="1443"/>
      <c r="AJ18" s="3470"/>
      <c r="AK18" s="1443"/>
      <c r="AL18" s="1607" t="s">
        <v>3885</v>
      </c>
      <c r="AM18" s="1443"/>
      <c r="AN18" s="5567"/>
      <c r="AO18" s="1443"/>
      <c r="AP18" s="3742"/>
      <c r="AQ18" s="3742"/>
      <c r="AR18" s="3742"/>
      <c r="AS18" s="3742"/>
      <c r="AT18" s="3742"/>
      <c r="AU18" s="3742"/>
      <c r="AV18" s="3742"/>
      <c r="AW18" s="3742"/>
      <c r="AX18" s="3742"/>
      <c r="AY18" s="3742"/>
      <c r="AZ18" s="3742"/>
    </row>
    <row r="19" spans="1:52" ht="14.25" customHeight="1">
      <c r="A19" s="3350"/>
      <c r="B19" s="3287"/>
      <c r="C19" s="3285"/>
      <c r="D19" s="1443"/>
      <c r="E19" s="1443"/>
      <c r="F19" s="2254">
        <v>18</v>
      </c>
      <c r="G19" s="1607" t="s">
        <v>4318</v>
      </c>
      <c r="H19" s="1443"/>
      <c r="I19" s="1443"/>
      <c r="J19" s="1443"/>
      <c r="K19" s="1443"/>
      <c r="L19" s="1443"/>
      <c r="M19" s="1443"/>
      <c r="N19" s="1443"/>
      <c r="O19" s="1443"/>
      <c r="P19" s="1443"/>
      <c r="Q19" s="1443"/>
      <c r="R19" s="1443"/>
      <c r="S19" s="1443"/>
      <c r="T19" s="1443"/>
      <c r="U19" s="1443"/>
      <c r="V19" s="1443"/>
      <c r="W19" s="1443"/>
      <c r="X19" s="1443"/>
      <c r="Y19" s="1443"/>
      <c r="Z19" s="1443"/>
      <c r="AA19" s="1943" t="s">
        <v>4143</v>
      </c>
      <c r="AB19" s="2710">
        <v>18</v>
      </c>
      <c r="AC19" s="5373">
        <f>IF(AJ19&lt;&gt;"",ROUND(AJ19,0),FarmProfitNet)</f>
        <v>0</v>
      </c>
      <c r="AD19" s="5568"/>
      <c r="AE19" s="5568"/>
      <c r="AF19" s="5568"/>
      <c r="AG19" s="5568"/>
      <c r="AH19" s="3350"/>
      <c r="AI19" s="1443"/>
      <c r="AJ19" s="4587"/>
      <c r="AK19" s="1443"/>
      <c r="AL19" s="1607" t="s">
        <v>3886</v>
      </c>
      <c r="AM19" s="1443"/>
      <c r="AN19" s="5567"/>
      <c r="AO19" s="1443"/>
      <c r="AP19" s="3742"/>
      <c r="AQ19" s="3742"/>
      <c r="AR19" s="3742"/>
      <c r="AS19" s="3742"/>
      <c r="AT19" s="3742"/>
      <c r="AU19" s="3742"/>
      <c r="AV19" s="3742"/>
      <c r="AW19" s="3742"/>
      <c r="AX19" s="3742"/>
      <c r="AY19" s="3742"/>
      <c r="AZ19" s="3742"/>
    </row>
    <row r="20" spans="1:52" ht="14.25" customHeight="1">
      <c r="A20" s="3350"/>
      <c r="B20" s="3287"/>
      <c r="C20" s="3285"/>
      <c r="D20" s="1443"/>
      <c r="E20" s="1443"/>
      <c r="F20" s="2254">
        <v>19</v>
      </c>
      <c r="G20" s="1607" t="s">
        <v>4320</v>
      </c>
      <c r="H20" s="1443"/>
      <c r="I20" s="1443"/>
      <c r="J20" s="1443"/>
      <c r="K20" s="1443"/>
      <c r="L20" s="1443"/>
      <c r="M20" s="1443"/>
      <c r="N20" s="1443"/>
      <c r="O20" s="1443"/>
      <c r="P20" s="1443"/>
      <c r="Q20" s="1443"/>
      <c r="R20" s="1443"/>
      <c r="S20" s="1443"/>
      <c r="T20" s="1443"/>
      <c r="U20" s="1443"/>
      <c r="V20" s="1443"/>
      <c r="W20" s="1443"/>
      <c r="X20" s="1443"/>
      <c r="Y20" s="1443"/>
      <c r="Z20" s="1443"/>
      <c r="AA20" s="1943" t="s">
        <v>2541</v>
      </c>
      <c r="AB20" s="2710">
        <v>19</v>
      </c>
      <c r="AC20" s="5373">
        <f>IF(AJ20&lt;&gt;"",ROUND(AJ20,0),UnemployComp)</f>
        <v>0</v>
      </c>
      <c r="AD20" s="5568"/>
      <c r="AE20" s="5568"/>
      <c r="AF20" s="5568"/>
      <c r="AG20" s="5568"/>
      <c r="AH20" s="3350"/>
      <c r="AI20" s="1443"/>
      <c r="AJ20" s="3470"/>
      <c r="AK20" s="1443"/>
      <c r="AL20" s="3853"/>
      <c r="AM20" s="1443"/>
      <c r="AN20" s="5567"/>
      <c r="AO20" s="1443"/>
      <c r="AP20" s="3742"/>
      <c r="AQ20" s="3742"/>
      <c r="AR20" s="3742"/>
      <c r="AS20" s="3742"/>
      <c r="AT20" s="3742"/>
      <c r="AU20" s="3742"/>
      <c r="AV20" s="3742"/>
      <c r="AW20" s="3742"/>
      <c r="AX20" s="3742"/>
      <c r="AY20" s="3742"/>
      <c r="AZ20" s="3742"/>
    </row>
    <row r="21" spans="1:52" ht="14.25" customHeight="1">
      <c r="A21" s="3350"/>
      <c r="B21" s="3287"/>
      <c r="C21" s="3285"/>
      <c r="D21" s="1443"/>
      <c r="E21" s="1443"/>
      <c r="F21" s="2254" t="s">
        <v>246</v>
      </c>
      <c r="G21" s="1607" t="s">
        <v>3008</v>
      </c>
      <c r="H21" s="1443"/>
      <c r="I21" s="1443"/>
      <c r="J21" s="1443"/>
      <c r="K21" s="1443"/>
      <c r="L21" s="1443"/>
      <c r="M21" s="1443"/>
      <c r="N21" s="1443"/>
      <c r="O21" s="1443"/>
      <c r="P21" s="1443"/>
      <c r="Q21" s="1443"/>
      <c r="R21" s="1443"/>
      <c r="S21" s="1443"/>
      <c r="T21" s="1443"/>
      <c r="U21" s="1443"/>
      <c r="V21" s="1443"/>
      <c r="W21" s="1443"/>
      <c r="X21" s="1443"/>
      <c r="Y21" s="1443"/>
      <c r="Z21" s="1443"/>
      <c r="AA21" s="1943" t="s">
        <v>3242</v>
      </c>
      <c r="AB21" s="2710" t="s">
        <v>247</v>
      </c>
      <c r="AC21" s="3732"/>
      <c r="AD21" s="3732"/>
      <c r="AE21" s="3732"/>
      <c r="AF21" s="3732"/>
      <c r="AG21" s="3733"/>
      <c r="AH21" s="3350"/>
      <c r="AI21" s="1443"/>
      <c r="AJ21" s="396"/>
      <c r="AK21" s="1443"/>
      <c r="AL21" s="3853" t="s">
        <v>4884</v>
      </c>
      <c r="AM21" s="1443"/>
      <c r="AN21" s="5567"/>
      <c r="AO21" s="1443"/>
      <c r="AP21" s="3742"/>
      <c r="AQ21" s="3742"/>
      <c r="AR21" s="3742"/>
      <c r="AS21" s="3742"/>
      <c r="AT21" s="3742"/>
      <c r="AU21" s="3742"/>
      <c r="AV21" s="3742"/>
      <c r="AW21" s="3742"/>
      <c r="AX21" s="3742"/>
      <c r="AY21" s="3742"/>
      <c r="AZ21" s="3742"/>
    </row>
    <row r="22" spans="1:52" ht="14.25" customHeight="1">
      <c r="A22" s="3350"/>
      <c r="B22" s="3287"/>
      <c r="C22" s="3285"/>
      <c r="D22" s="1443"/>
      <c r="E22" s="1443"/>
      <c r="F22" s="2254">
        <v>21</v>
      </c>
      <c r="G22" s="1607" t="s">
        <v>3041</v>
      </c>
      <c r="H22" s="1443"/>
      <c r="I22" s="1443"/>
      <c r="J22" s="1443"/>
      <c r="K22" s="1443"/>
      <c r="L22" s="1443"/>
      <c r="M22" s="1443"/>
      <c r="N22" s="1443"/>
      <c r="O22" s="1443"/>
      <c r="P22" s="1443"/>
      <c r="Q22" s="5592" t="str">
        <f>AL23&amp;"    "&amp;AL24&amp;"    "&amp;AL25&amp;"  "&amp;AL26</f>
        <v xml:space="preserve">          </v>
      </c>
      <c r="R22" s="5592"/>
      <c r="S22" s="5592"/>
      <c r="T22" s="5592"/>
      <c r="U22" s="5592"/>
      <c r="V22" s="5592"/>
      <c r="W22" s="5592"/>
      <c r="X22" s="5592"/>
      <c r="Y22" s="5592"/>
      <c r="Z22" s="5592"/>
      <c r="AA22" s="5593"/>
      <c r="AB22" s="2710">
        <v>21</v>
      </c>
      <c r="AC22" s="5373">
        <f>IF(AJ22&lt;&gt;"",ROUND(AJ22,0),SUM(ROUND(AJ44,0),F8889_Line16,F8889_Line20,-F2555_Line45,RTAApayments,F1099G_TaxGrants))</f>
        <v>0</v>
      </c>
      <c r="AD22" s="5568"/>
      <c r="AE22" s="5568"/>
      <c r="AF22" s="5568"/>
      <c r="AG22" s="5568"/>
      <c r="AH22" s="3350"/>
      <c r="AI22" s="1443"/>
      <c r="AJ22" s="3470"/>
      <c r="AK22" s="1443"/>
      <c r="AL22" s="1607" t="s">
        <v>3888</v>
      </c>
      <c r="AM22" s="1443"/>
      <c r="AN22" s="5567"/>
      <c r="AO22" s="1443"/>
      <c r="AP22" s="3742"/>
      <c r="AQ22" s="3742"/>
      <c r="AR22" s="3742"/>
      <c r="AS22" s="3742"/>
      <c r="AT22" s="3742"/>
      <c r="AU22" s="3742"/>
      <c r="AV22" s="3742"/>
      <c r="AW22" s="3742"/>
      <c r="AX22" s="3742"/>
      <c r="AY22" s="3742"/>
      <c r="AZ22" s="3742"/>
    </row>
    <row r="23" spans="1:52" ht="14.25" customHeight="1">
      <c r="A23" s="3350"/>
      <c r="B23" s="3287"/>
      <c r="C23" s="3285"/>
      <c r="D23" s="1443"/>
      <c r="E23" s="1443"/>
      <c r="F23" s="2254">
        <v>22</v>
      </c>
      <c r="G23" s="1607" t="s">
        <v>3013</v>
      </c>
      <c r="H23" s="1443"/>
      <c r="I23" s="1443"/>
      <c r="J23" s="1443"/>
      <c r="K23" s="1443"/>
      <c r="L23" s="1443"/>
      <c r="M23" s="1443"/>
      <c r="N23" s="1443"/>
      <c r="O23" s="1443"/>
      <c r="P23" s="1443"/>
      <c r="Q23" s="1443"/>
      <c r="R23" s="1443"/>
      <c r="S23" s="1443"/>
      <c r="T23" s="1443"/>
      <c r="U23" s="1443"/>
      <c r="V23" s="1443"/>
      <c r="W23" s="1443"/>
      <c r="X23" s="1443"/>
      <c r="Y23" s="1443"/>
      <c r="Z23" s="1443"/>
      <c r="AA23" s="1443"/>
      <c r="AB23" s="3734"/>
      <c r="AC23" s="5614"/>
      <c r="AD23" s="5615"/>
      <c r="AE23" s="5615"/>
      <c r="AF23" s="5615"/>
      <c r="AG23" s="5615"/>
      <c r="AH23" s="3350"/>
      <c r="AI23" s="1443"/>
      <c r="AJ23" s="396"/>
      <c r="AK23" s="1443"/>
      <c r="AL23" s="1616" t="str">
        <f>IF(AND(AJ44&gt;0,AJ43&lt;&gt;"",RTAApayments&gt;0),"RTAA = "&amp;TEXT(RTAApayments,"$0")&amp;"  "&amp;AJ43&amp;" = "&amp;TEXT(ROUND(AJ44,0),"$0"),IF(AND(AJ44&gt;0,AJ43&lt;&gt;""),AJ43&amp;" = "&amp;TEXT(ROUND(AJ44,0),"$0"),IF(RTAApayments&gt;0,"RTAA = "&amp;TEXT(RTAApayments,"$0"),"")))</f>
        <v/>
      </c>
      <c r="AM23" s="1443"/>
      <c r="AN23" s="5567"/>
      <c r="AO23" s="1443"/>
      <c r="AP23" s="3742"/>
      <c r="AQ23" s="3742"/>
      <c r="AR23" s="3742"/>
      <c r="AS23" s="3742"/>
      <c r="AT23" s="3742"/>
      <c r="AU23" s="3742"/>
      <c r="AV23" s="3742"/>
      <c r="AW23" s="3742"/>
      <c r="AX23" s="3742"/>
      <c r="AY23" s="3742"/>
      <c r="AZ23" s="3742"/>
    </row>
    <row r="24" spans="1:52" ht="14.25" customHeight="1">
      <c r="A24" s="3350"/>
      <c r="B24" s="3736"/>
      <c r="C24" s="3387"/>
      <c r="D24" s="1936"/>
      <c r="E24" s="1936"/>
      <c r="F24" s="3721"/>
      <c r="G24" s="2128" t="s">
        <v>4321</v>
      </c>
      <c r="H24" s="1936"/>
      <c r="I24" s="1936"/>
      <c r="J24" s="1936"/>
      <c r="K24" s="1936"/>
      <c r="L24" s="1936"/>
      <c r="M24" s="1936"/>
      <c r="N24" s="1936"/>
      <c r="O24" s="1936"/>
      <c r="P24" s="1936"/>
      <c r="Q24" s="1936"/>
      <c r="R24" s="1936"/>
      <c r="S24" s="1936"/>
      <c r="T24" s="1936"/>
      <c r="U24" s="1936"/>
      <c r="V24" s="1936"/>
      <c r="W24" s="1936"/>
      <c r="X24" s="1936"/>
      <c r="Y24" s="1936"/>
      <c r="Z24" s="1936"/>
      <c r="AA24" s="1943" t="s">
        <v>605</v>
      </c>
      <c r="AB24" s="1940">
        <v>22</v>
      </c>
      <c r="AC24" s="5373">
        <f>IF(AJ24&lt;&gt;"",ROUND(AJ24,0),SUM(AC10:AG22))</f>
        <v>0</v>
      </c>
      <c r="AD24" s="5568"/>
      <c r="AE24" s="5568"/>
      <c r="AF24" s="5568"/>
      <c r="AG24" s="5568"/>
      <c r="AH24" s="3350"/>
      <c r="AI24" s="1443"/>
      <c r="AJ24" s="3470"/>
      <c r="AK24" s="1443"/>
      <c r="AL24" s="1616" t="str">
        <f>IF(OR(F8889_Line16&gt;0,F8889_Line20),"HSA = "&amp;TEXT(SUM(F8889_Line16,F8889_Line20),"$0"),"")</f>
        <v/>
      </c>
      <c r="AM24" s="1443"/>
      <c r="AN24" s="5567"/>
      <c r="AO24" s="1443"/>
      <c r="AP24" s="3742"/>
      <c r="AQ24" s="3742"/>
      <c r="AR24" s="3742"/>
      <c r="AS24" s="3742"/>
      <c r="AT24" s="3742"/>
      <c r="AU24" s="3742"/>
      <c r="AV24" s="3742"/>
      <c r="AW24" s="3742"/>
      <c r="AX24" s="3742"/>
      <c r="AY24" s="3742"/>
      <c r="AZ24" s="3742"/>
    </row>
    <row r="25" spans="1:52" ht="14.25" customHeight="1">
      <c r="A25" s="3350"/>
      <c r="B25" s="5571" t="s">
        <v>3015</v>
      </c>
      <c r="C25" s="5572"/>
      <c r="D25" s="5572"/>
      <c r="E25" s="5572"/>
      <c r="F25" s="2254">
        <v>23</v>
      </c>
      <c r="G25" s="1607" t="s">
        <v>3017</v>
      </c>
      <c r="H25" s="1443"/>
      <c r="I25" s="1443"/>
      <c r="J25" s="1443"/>
      <c r="K25" s="1443"/>
      <c r="L25" s="1443"/>
      <c r="M25" s="1443"/>
      <c r="N25" s="1443"/>
      <c r="O25" s="1443"/>
      <c r="P25" s="1443"/>
      <c r="Q25" s="1443"/>
      <c r="R25" s="1443"/>
      <c r="S25" s="1443"/>
      <c r="T25" s="1443"/>
      <c r="U25" s="1943" t="s">
        <v>1312</v>
      </c>
      <c r="V25" s="2710">
        <v>23</v>
      </c>
      <c r="W25" s="5573"/>
      <c r="X25" s="5574"/>
      <c r="Y25" s="5574"/>
      <c r="Z25" s="5574"/>
      <c r="AA25" s="5575"/>
      <c r="AB25" s="3738"/>
      <c r="AC25" s="1443"/>
      <c r="AD25" s="1443"/>
      <c r="AE25" s="1443"/>
      <c r="AF25" s="1443"/>
      <c r="AG25" s="2100"/>
      <c r="AH25" s="3350"/>
      <c r="AI25" s="1443"/>
      <c r="AJ25" s="396"/>
      <c r="AK25" s="1443"/>
      <c r="AL25" s="1616" t="str">
        <f>IF('2555'!AE184&gt;0,"Form 2555 = ("&amp;TEXT('2555'!AE184,"$0")&amp;")","")</f>
        <v/>
      </c>
      <c r="AM25" s="1443"/>
      <c r="AN25" s="5567"/>
      <c r="AO25" s="1443"/>
      <c r="AP25" s="3742"/>
      <c r="AQ25" s="3742"/>
      <c r="AR25" s="3742"/>
      <c r="AS25" s="3742"/>
      <c r="AT25" s="3742"/>
      <c r="AU25" s="3742"/>
      <c r="AV25" s="3742"/>
      <c r="AW25" s="3742"/>
      <c r="AX25" s="3742"/>
      <c r="AY25" s="3742"/>
      <c r="AZ25" s="3742"/>
    </row>
    <row r="26" spans="1:52" ht="14.25" customHeight="1">
      <c r="A26" s="3350"/>
      <c r="B26" s="5571" t="s">
        <v>3016</v>
      </c>
      <c r="C26" s="5572"/>
      <c r="D26" s="5572"/>
      <c r="E26" s="5572"/>
      <c r="F26" s="2254">
        <v>24</v>
      </c>
      <c r="G26" s="1607" t="s">
        <v>3018</v>
      </c>
      <c r="H26" s="1443"/>
      <c r="I26" s="1443"/>
      <c r="J26" s="1443"/>
      <c r="K26" s="1443"/>
      <c r="L26" s="1443"/>
      <c r="M26" s="1443"/>
      <c r="N26" s="1443"/>
      <c r="O26" s="1443"/>
      <c r="P26" s="1443"/>
      <c r="Q26" s="1443"/>
      <c r="R26" s="1443"/>
      <c r="S26" s="1443"/>
      <c r="T26" s="1443"/>
      <c r="U26" s="1443"/>
      <c r="V26" s="3734"/>
      <c r="W26" s="5589"/>
      <c r="X26" s="5590"/>
      <c r="Y26" s="5590"/>
      <c r="Z26" s="5590"/>
      <c r="AA26" s="5591"/>
      <c r="AB26" s="3738"/>
      <c r="AC26" s="1443"/>
      <c r="AD26" s="1443"/>
      <c r="AE26" s="1443"/>
      <c r="AF26" s="1443"/>
      <c r="AG26" s="2100"/>
      <c r="AH26" s="3350"/>
      <c r="AI26" s="1443"/>
      <c r="AJ26" s="396"/>
      <c r="AK26" s="1443"/>
      <c r="AL26" s="1616" t="str">
        <f>IF(F1099G_TaxGrants&gt;0,"Grants = "&amp;TEXT(F1099G_TaxGrants,"$0"),"")</f>
        <v/>
      </c>
      <c r="AM26" s="1443"/>
      <c r="AN26" s="4758"/>
      <c r="AO26" s="1443"/>
      <c r="AP26" s="3742"/>
      <c r="AQ26" s="3742"/>
      <c r="AR26" s="3742"/>
      <c r="AS26" s="3742"/>
      <c r="AT26" s="3742"/>
      <c r="AU26" s="3742"/>
      <c r="AV26" s="3742"/>
      <c r="AW26" s="3742"/>
      <c r="AX26" s="3742"/>
      <c r="AY26" s="3742"/>
      <c r="AZ26" s="3742"/>
    </row>
    <row r="27" spans="1:52" ht="14.25" customHeight="1">
      <c r="A27" s="3350"/>
      <c r="B27" s="3287"/>
      <c r="C27" s="3285"/>
      <c r="D27" s="1443"/>
      <c r="E27" s="1443"/>
      <c r="F27" s="2254"/>
      <c r="G27" s="1607" t="s">
        <v>3019</v>
      </c>
      <c r="H27" s="1443"/>
      <c r="I27" s="1443"/>
      <c r="J27" s="1443"/>
      <c r="K27" s="1443"/>
      <c r="L27" s="1443"/>
      <c r="M27" s="1443"/>
      <c r="N27" s="1443"/>
      <c r="O27" s="1443"/>
      <c r="P27" s="1443"/>
      <c r="Q27" s="1443"/>
      <c r="R27" s="1443"/>
      <c r="S27" s="1443"/>
      <c r="T27" s="1443"/>
      <c r="U27" s="1943" t="s">
        <v>3540</v>
      </c>
      <c r="V27" s="1940">
        <v>24</v>
      </c>
      <c r="W27" s="5587"/>
      <c r="X27" s="5453"/>
      <c r="Y27" s="5453"/>
      <c r="Z27" s="5453"/>
      <c r="AA27" s="5588"/>
      <c r="AB27" s="3738"/>
      <c r="AC27" s="1443"/>
      <c r="AD27" s="1443"/>
      <c r="AE27" s="1443"/>
      <c r="AF27" s="1443"/>
      <c r="AG27" s="2100"/>
      <c r="AH27" s="3350"/>
      <c r="AI27" s="1443"/>
      <c r="AJ27" s="396"/>
      <c r="AK27" s="1443"/>
      <c r="AL27" s="1443"/>
      <c r="AM27" s="1443"/>
      <c r="AN27" s="1443"/>
      <c r="AO27" s="1443"/>
      <c r="AP27" s="3742"/>
      <c r="AQ27" s="3742"/>
      <c r="AR27" s="3742"/>
      <c r="AS27" s="3742"/>
      <c r="AT27" s="3742"/>
      <c r="AU27" s="3742"/>
      <c r="AV27" s="3742"/>
      <c r="AW27" s="3742"/>
      <c r="AX27" s="3742"/>
      <c r="AY27" s="3742"/>
      <c r="AZ27" s="3742"/>
    </row>
    <row r="28" spans="1:52" ht="14.25" customHeight="1">
      <c r="A28" s="3350"/>
      <c r="B28" s="3287"/>
      <c r="C28" s="3285"/>
      <c r="D28" s="1443"/>
      <c r="E28" s="1443"/>
      <c r="F28" s="2254">
        <v>25</v>
      </c>
      <c r="G28" s="1607" t="s">
        <v>3020</v>
      </c>
      <c r="H28" s="1443"/>
      <c r="I28" s="1443"/>
      <c r="J28" s="1443"/>
      <c r="K28" s="1443"/>
      <c r="L28" s="1443"/>
      <c r="M28" s="1443"/>
      <c r="N28" s="1443"/>
      <c r="O28" s="1443"/>
      <c r="P28" s="1443"/>
      <c r="Q28" s="1443"/>
      <c r="R28" s="1443"/>
      <c r="S28" s="1443"/>
      <c r="T28" s="1443"/>
      <c r="U28" s="1943" t="s">
        <v>3417</v>
      </c>
      <c r="V28" s="2710">
        <v>25</v>
      </c>
      <c r="W28" s="5373">
        <f>IF(AJ28&lt;&gt;"",ROUND(AJ28,0),F8889_Line13)</f>
        <v>0</v>
      </c>
      <c r="X28" s="5568"/>
      <c r="Y28" s="5568"/>
      <c r="Z28" s="5568"/>
      <c r="AA28" s="5568"/>
      <c r="AB28" s="3738"/>
      <c r="AC28" s="1443"/>
      <c r="AD28" s="1443"/>
      <c r="AE28" s="1443"/>
      <c r="AF28" s="1443"/>
      <c r="AG28" s="2100"/>
      <c r="AH28" s="3350"/>
      <c r="AI28" s="1443"/>
      <c r="AJ28" s="3470"/>
      <c r="AK28" s="1443"/>
      <c r="AL28" s="1607" t="s">
        <v>3889</v>
      </c>
      <c r="AM28" s="1443"/>
      <c r="AN28" s="4757" t="s">
        <v>4413</v>
      </c>
      <c r="AO28" s="1443"/>
      <c r="AP28" s="3742"/>
      <c r="AQ28" s="3742"/>
      <c r="AR28" s="3742"/>
      <c r="AS28" s="3742"/>
      <c r="AT28" s="3742"/>
      <c r="AU28" s="3742"/>
      <c r="AV28" s="3742"/>
      <c r="AW28" s="3742"/>
      <c r="AX28" s="3742"/>
      <c r="AY28" s="3742"/>
      <c r="AZ28" s="3742"/>
    </row>
    <row r="29" spans="1:52" ht="14.25" customHeight="1">
      <c r="A29" s="3350"/>
      <c r="B29" s="3287"/>
      <c r="C29" s="3285"/>
      <c r="D29" s="1443"/>
      <c r="E29" s="1443"/>
      <c r="F29" s="2254">
        <v>26</v>
      </c>
      <c r="G29" s="1607" t="s">
        <v>4322</v>
      </c>
      <c r="H29" s="1443"/>
      <c r="I29" s="1443"/>
      <c r="J29" s="1443"/>
      <c r="K29" s="1443"/>
      <c r="L29" s="1443"/>
      <c r="M29" s="1443"/>
      <c r="N29" s="1443"/>
      <c r="O29" s="1443"/>
      <c r="P29" s="1443"/>
      <c r="Q29" s="1443"/>
      <c r="R29" s="1443"/>
      <c r="S29" s="1443"/>
      <c r="T29" s="1443"/>
      <c r="U29" s="1943"/>
      <c r="V29" s="3734"/>
      <c r="W29" s="5589"/>
      <c r="X29" s="5590"/>
      <c r="Y29" s="5590"/>
      <c r="Z29" s="5590"/>
      <c r="AA29" s="5591"/>
      <c r="AB29" s="3738"/>
      <c r="AC29" s="1443"/>
      <c r="AD29" s="1443"/>
      <c r="AE29" s="1443"/>
      <c r="AF29" s="1443"/>
      <c r="AG29" s="2100"/>
      <c r="AH29" s="3350"/>
      <c r="AI29" s="1443"/>
      <c r="AJ29" s="396"/>
      <c r="AK29" s="1443"/>
      <c r="AL29" s="1443"/>
      <c r="AM29" s="1443"/>
      <c r="AN29" s="5567" t="s">
        <v>4414</v>
      </c>
      <c r="AO29" s="1443"/>
      <c r="AP29" s="3742"/>
      <c r="AQ29" s="3742"/>
      <c r="AR29" s="3742"/>
      <c r="AS29" s="3742"/>
      <c r="AT29" s="3742"/>
      <c r="AU29" s="3742"/>
      <c r="AV29" s="3742"/>
      <c r="AW29" s="3742"/>
      <c r="AX29" s="3742"/>
      <c r="AY29" s="3742"/>
      <c r="AZ29" s="3742"/>
    </row>
    <row r="30" spans="1:52" ht="14.25" customHeight="1">
      <c r="A30" s="3350"/>
      <c r="B30" s="3287"/>
      <c r="C30" s="3285"/>
      <c r="D30" s="1443"/>
      <c r="E30" s="1443"/>
      <c r="F30" s="2254"/>
      <c r="G30" s="1607" t="s">
        <v>3021</v>
      </c>
      <c r="H30" s="1443"/>
      <c r="I30" s="1443"/>
      <c r="J30" s="1443"/>
      <c r="K30" s="1443"/>
      <c r="L30" s="1443"/>
      <c r="M30" s="1443"/>
      <c r="N30" s="1443"/>
      <c r="O30" s="1443"/>
      <c r="P30" s="1443"/>
      <c r="Q30" s="1443"/>
      <c r="R30" s="1443"/>
      <c r="S30" s="1443"/>
      <c r="T30" s="1443"/>
      <c r="U30" s="1943" t="s">
        <v>1312</v>
      </c>
      <c r="V30" s="1940">
        <v>26</v>
      </c>
      <c r="W30" s="5587"/>
      <c r="X30" s="5453"/>
      <c r="Y30" s="5453"/>
      <c r="Z30" s="5453"/>
      <c r="AA30" s="5588"/>
      <c r="AB30" s="3738"/>
      <c r="AC30" s="1443"/>
      <c r="AD30" s="1443"/>
      <c r="AE30" s="1443"/>
      <c r="AF30" s="1443"/>
      <c r="AG30" s="2100"/>
      <c r="AH30" s="3350"/>
      <c r="AI30" s="1443"/>
      <c r="AJ30" s="396"/>
      <c r="AK30" s="1443"/>
      <c r="AL30" s="1443"/>
      <c r="AM30" s="1443"/>
      <c r="AN30" s="5567"/>
      <c r="AO30" s="1443"/>
      <c r="AP30" s="3742"/>
      <c r="AQ30" s="3742"/>
      <c r="AR30" s="3742"/>
      <c r="AS30" s="3742"/>
      <c r="AT30" s="3742"/>
      <c r="AU30" s="3742"/>
      <c r="AV30" s="3742"/>
      <c r="AW30" s="3742"/>
      <c r="AX30" s="3742"/>
      <c r="AY30" s="3742"/>
      <c r="AZ30" s="3742"/>
    </row>
    <row r="31" spans="1:52" ht="14.25" customHeight="1">
      <c r="A31" s="3350"/>
      <c r="B31" s="3287"/>
      <c r="C31" s="3285"/>
      <c r="D31" s="1443"/>
      <c r="E31" s="1443"/>
      <c r="F31" s="2254">
        <v>27</v>
      </c>
      <c r="G31" s="1607" t="s">
        <v>3022</v>
      </c>
      <c r="H31" s="1443"/>
      <c r="I31" s="1443"/>
      <c r="J31" s="1443"/>
      <c r="K31" s="1443"/>
      <c r="L31" s="1443"/>
      <c r="M31" s="1443"/>
      <c r="N31" s="1443"/>
      <c r="O31" s="1443"/>
      <c r="P31" s="1443"/>
      <c r="Q31" s="1443"/>
      <c r="R31" s="1443"/>
      <c r="S31" s="1443"/>
      <c r="T31" s="1443"/>
      <c r="U31" s="1443"/>
      <c r="V31" s="2710">
        <v>27</v>
      </c>
      <c r="W31" s="5373">
        <f>IF(AJ31&lt;&gt;"",ROUND(AJ31,0),SUM(SE_Deduction1,SE_Deduction2))</f>
        <v>0</v>
      </c>
      <c r="X31" s="5568"/>
      <c r="Y31" s="5568"/>
      <c r="Z31" s="5568"/>
      <c r="AA31" s="5568"/>
      <c r="AB31" s="3738"/>
      <c r="AC31" s="1443"/>
      <c r="AD31" s="1443"/>
      <c r="AE31" s="1443"/>
      <c r="AF31" s="1443"/>
      <c r="AG31" s="2100"/>
      <c r="AH31" s="3350"/>
      <c r="AI31" s="1443"/>
      <c r="AJ31" s="3470"/>
      <c r="AK31" s="1443"/>
      <c r="AL31" s="1607" t="s">
        <v>3423</v>
      </c>
      <c r="AM31" s="1443"/>
      <c r="AN31" s="5567"/>
      <c r="AO31" s="1443"/>
      <c r="AP31" s="3742"/>
      <c r="AQ31" s="3742"/>
      <c r="AR31" s="3742"/>
      <c r="AS31" s="3742"/>
      <c r="AT31" s="3742"/>
      <c r="AU31" s="3742"/>
      <c r="AV31" s="3742"/>
      <c r="AW31" s="3742"/>
      <c r="AX31" s="3742"/>
      <c r="AY31" s="3742"/>
      <c r="AZ31" s="3742"/>
    </row>
    <row r="32" spans="1:52" ht="14.25" customHeight="1">
      <c r="A32" s="3350"/>
      <c r="B32" s="3287"/>
      <c r="C32" s="3285"/>
      <c r="D32" s="1443"/>
      <c r="E32" s="1443"/>
      <c r="F32" s="2254">
        <v>28</v>
      </c>
      <c r="G32" s="1607" t="s">
        <v>3023</v>
      </c>
      <c r="H32" s="1443"/>
      <c r="I32" s="1443"/>
      <c r="J32" s="1443"/>
      <c r="K32" s="1443"/>
      <c r="L32" s="1443"/>
      <c r="M32" s="1443"/>
      <c r="N32" s="1443"/>
      <c r="O32" s="1443"/>
      <c r="P32" s="1443"/>
      <c r="Q32" s="1443"/>
      <c r="R32" s="1443"/>
      <c r="S32" s="1443"/>
      <c r="T32" s="1443"/>
      <c r="U32" s="1943" t="s">
        <v>4323</v>
      </c>
      <c r="V32" s="2710">
        <v>28</v>
      </c>
      <c r="W32" s="5573"/>
      <c r="X32" s="5574"/>
      <c r="Y32" s="5574"/>
      <c r="Z32" s="5574"/>
      <c r="AA32" s="5575"/>
      <c r="AB32" s="3738"/>
      <c r="AC32" s="1443"/>
      <c r="AD32" s="1443"/>
      <c r="AE32" s="1443"/>
      <c r="AF32" s="1443"/>
      <c r="AG32" s="2100"/>
      <c r="AH32" s="3350"/>
      <c r="AI32" s="1443"/>
      <c r="AJ32" s="396"/>
      <c r="AK32" s="1443"/>
      <c r="AL32" s="1443"/>
      <c r="AM32" s="1443"/>
      <c r="AN32" s="5567"/>
      <c r="AO32" s="1443"/>
      <c r="AP32" s="3742"/>
      <c r="AQ32" s="3742"/>
      <c r="AR32" s="3742"/>
      <c r="AS32" s="3742"/>
      <c r="AT32" s="3742"/>
      <c r="AU32" s="3742"/>
      <c r="AV32" s="3742"/>
      <c r="AW32" s="3742"/>
      <c r="AX32" s="3742"/>
      <c r="AY32" s="3742"/>
      <c r="AZ32" s="3742"/>
    </row>
    <row r="33" spans="1:52" ht="14.25" customHeight="1">
      <c r="A33" s="3350"/>
      <c r="B33" s="3287"/>
      <c r="C33" s="3285"/>
      <c r="D33" s="1443"/>
      <c r="E33" s="1443"/>
      <c r="F33" s="2254">
        <v>29</v>
      </c>
      <c r="G33" s="1607" t="s">
        <v>577</v>
      </c>
      <c r="H33" s="1443"/>
      <c r="I33" s="1443"/>
      <c r="J33" s="1443"/>
      <c r="K33" s="1443"/>
      <c r="L33" s="1443"/>
      <c r="M33" s="1443"/>
      <c r="N33" s="1443"/>
      <c r="O33" s="1443"/>
      <c r="P33" s="1443"/>
      <c r="Q33" s="1443"/>
      <c r="R33" s="1443"/>
      <c r="S33" s="1443"/>
      <c r="T33" s="1443"/>
      <c r="U33" s="1943" t="s">
        <v>2482</v>
      </c>
      <c r="V33" s="2710">
        <v>29</v>
      </c>
      <c r="W33" s="5573"/>
      <c r="X33" s="5574"/>
      <c r="Y33" s="5574"/>
      <c r="Z33" s="5574"/>
      <c r="AA33" s="5575"/>
      <c r="AB33" s="3738"/>
      <c r="AC33" s="1443"/>
      <c r="AD33" s="1443"/>
      <c r="AE33" s="1443"/>
      <c r="AF33" s="1443"/>
      <c r="AG33" s="2100"/>
      <c r="AH33" s="3350"/>
      <c r="AI33" s="1443"/>
      <c r="AJ33" s="396"/>
      <c r="AK33" s="1443"/>
      <c r="AL33" s="1443"/>
      <c r="AM33" s="1443"/>
      <c r="AN33" s="5567"/>
      <c r="AO33" s="1443"/>
      <c r="AP33" s="3742"/>
      <c r="AQ33" s="3742"/>
      <c r="AR33" s="3742"/>
      <c r="AS33" s="3742"/>
      <c r="AT33" s="3742"/>
      <c r="AU33" s="3742"/>
      <c r="AV33" s="3742"/>
      <c r="AW33" s="3742"/>
      <c r="AX33" s="3742"/>
      <c r="AY33" s="3742"/>
      <c r="AZ33" s="3742"/>
    </row>
    <row r="34" spans="1:52" ht="14.25" customHeight="1">
      <c r="A34" s="3350"/>
      <c r="B34" s="3287"/>
      <c r="C34" s="3285"/>
      <c r="D34" s="1443"/>
      <c r="E34" s="1443"/>
      <c r="F34" s="2254">
        <v>30</v>
      </c>
      <c r="G34" s="1607" t="s">
        <v>3024</v>
      </c>
      <c r="H34" s="1443"/>
      <c r="I34" s="1443"/>
      <c r="J34" s="1443"/>
      <c r="K34" s="1443"/>
      <c r="L34" s="1443"/>
      <c r="M34" s="1443"/>
      <c r="N34" s="1443"/>
      <c r="O34" s="1443"/>
      <c r="P34" s="1443"/>
      <c r="Q34" s="1443"/>
      <c r="R34" s="1443"/>
      <c r="S34" s="1443"/>
      <c r="T34" s="1443"/>
      <c r="U34" s="1943" t="s">
        <v>3533</v>
      </c>
      <c r="V34" s="2710">
        <v>30</v>
      </c>
      <c r="W34" s="5373">
        <f>IF(AJ34&lt;&gt;"",ROUND(AJ34,0),Penalty4EW)</f>
        <v>0</v>
      </c>
      <c r="X34" s="5568"/>
      <c r="Y34" s="5568"/>
      <c r="Z34" s="5568"/>
      <c r="AA34" s="5568"/>
      <c r="AB34" s="3738"/>
      <c r="AC34" s="5569" t="str">
        <f>IF(AND(AlimonyPaid&lt;&gt;"",$AH$35="",NOT(NoColor)),"See TIP","")</f>
        <v/>
      </c>
      <c r="AD34" s="5570"/>
      <c r="AE34" s="5570"/>
      <c r="AF34" s="5570"/>
      <c r="AG34" s="5570"/>
      <c r="AH34" s="3350"/>
      <c r="AI34" s="1443"/>
      <c r="AJ34" s="3470"/>
      <c r="AK34" s="1443"/>
      <c r="AL34" s="1607" t="s">
        <v>3890</v>
      </c>
      <c r="AM34" s="1443"/>
      <c r="AN34" s="5567"/>
      <c r="AO34" s="1443"/>
      <c r="AP34" s="3742"/>
      <c r="AQ34" s="3742"/>
      <c r="AR34" s="3742"/>
      <c r="AS34" s="3742"/>
      <c r="AT34" s="3742"/>
      <c r="AU34" s="3742"/>
      <c r="AV34" s="3742"/>
      <c r="AW34" s="3742"/>
      <c r="AX34" s="3742"/>
      <c r="AY34" s="3742"/>
      <c r="AZ34" s="3742"/>
    </row>
    <row r="35" spans="1:52" ht="14.25" customHeight="1">
      <c r="A35" s="3350"/>
      <c r="B35" s="3287"/>
      <c r="C35" s="3285"/>
      <c r="D35" s="1443"/>
      <c r="E35" s="1443"/>
      <c r="F35" s="2254" t="s">
        <v>3025</v>
      </c>
      <c r="G35" s="1607" t="s">
        <v>381</v>
      </c>
      <c r="H35" s="1443"/>
      <c r="I35" s="1443"/>
      <c r="J35" s="1943"/>
      <c r="K35" s="1607" t="s">
        <v>3042</v>
      </c>
      <c r="L35" s="1443"/>
      <c r="M35" s="1443"/>
      <c r="N35" s="1443"/>
      <c r="O35" s="1443"/>
      <c r="P35" s="5586"/>
      <c r="Q35" s="5586"/>
      <c r="R35" s="5586"/>
      <c r="S35" s="5586"/>
      <c r="T35" s="5586"/>
      <c r="U35" s="1443"/>
      <c r="V35" s="2710" t="s">
        <v>3025</v>
      </c>
      <c r="W35" s="5573"/>
      <c r="X35" s="5574"/>
      <c r="Y35" s="5574"/>
      <c r="Z35" s="5574"/>
      <c r="AA35" s="5575"/>
      <c r="AB35" s="3738"/>
      <c r="AC35" s="5569" t="str">
        <f>IF(AND(AlimonyPaid&lt;&gt;"",$AH$35="",NOT(NoColor)),"for tax law changes.","")</f>
        <v/>
      </c>
      <c r="AD35" s="5570"/>
      <c r="AE35" s="5570"/>
      <c r="AF35" s="5570"/>
      <c r="AG35" s="5570"/>
      <c r="AH35" s="3757"/>
      <c r="AI35" s="4760" t="str">
        <f>IF(AlimonyPaid&lt;&gt;""," Hide note.","")</f>
        <v/>
      </c>
      <c r="AJ35" s="396"/>
      <c r="AK35" s="1443"/>
      <c r="AL35" s="1443"/>
      <c r="AM35" s="1443"/>
      <c r="AN35" s="5567"/>
      <c r="AO35" s="1443"/>
      <c r="AP35" s="3742"/>
      <c r="AQ35" s="3742"/>
      <c r="AR35" s="3742"/>
      <c r="AS35" s="3742"/>
      <c r="AT35" s="3742"/>
      <c r="AU35" s="3742"/>
      <c r="AV35" s="3742"/>
      <c r="AW35" s="3742"/>
      <c r="AX35" s="3742"/>
      <c r="AY35" s="3742"/>
      <c r="AZ35" s="3742"/>
    </row>
    <row r="36" spans="1:52" ht="14.25" customHeight="1" thickBot="1">
      <c r="A36" s="3350"/>
      <c r="B36" s="3287"/>
      <c r="C36" s="3285"/>
      <c r="D36" s="1443"/>
      <c r="E36" s="1443"/>
      <c r="F36" s="2254">
        <v>32</v>
      </c>
      <c r="G36" s="1607" t="s">
        <v>578</v>
      </c>
      <c r="H36" s="1443"/>
      <c r="I36" s="1443"/>
      <c r="J36" s="1443"/>
      <c r="K36" s="1443"/>
      <c r="L36" s="1443"/>
      <c r="M36" s="1443"/>
      <c r="N36" s="1443"/>
      <c r="O36" s="1443"/>
      <c r="P36" s="1443"/>
      <c r="Q36" s="1443"/>
      <c r="R36" s="1443"/>
      <c r="S36" s="1443"/>
      <c r="T36" s="1443"/>
      <c r="U36" s="1943" t="s">
        <v>2792</v>
      </c>
      <c r="V36" s="2710">
        <v>32</v>
      </c>
      <c r="W36" s="5373" t="str">
        <f>IF(AJ36&lt;&gt;"",ROUND(AJ36,0),IRA_Deduction)</f>
        <v/>
      </c>
      <c r="X36" s="5568"/>
      <c r="Y36" s="5568"/>
      <c r="Z36" s="5568"/>
      <c r="AA36" s="5568"/>
      <c r="AB36" s="3738"/>
      <c r="AC36" s="5569" t="str">
        <f>IF(AND(AlimonyPaid&lt;&gt;"",$AH$35="",NOT(NoColor)),"regarding alimony.","")</f>
        <v/>
      </c>
      <c r="AD36" s="5570"/>
      <c r="AE36" s="5570"/>
      <c r="AF36" s="5570"/>
      <c r="AG36" s="5570"/>
      <c r="AH36" s="3350"/>
      <c r="AI36" s="1443"/>
      <c r="AJ36" s="3470"/>
      <c r="AK36" s="1443"/>
      <c r="AL36" s="1607" t="s">
        <v>4427</v>
      </c>
      <c r="AM36" s="1443"/>
      <c r="AN36" s="5567"/>
      <c r="AO36" s="1443"/>
      <c r="AP36" s="3742"/>
      <c r="AQ36" s="3742"/>
      <c r="AR36" s="3742"/>
      <c r="AS36" s="3742"/>
      <c r="AT36" s="3742"/>
      <c r="AU36" s="3742"/>
      <c r="AV36" s="3742"/>
      <c r="AW36" s="3742"/>
      <c r="AX36" s="3742"/>
      <c r="AY36" s="3742"/>
      <c r="AZ36" s="3742"/>
    </row>
    <row r="37" spans="1:52" ht="14.25" customHeight="1" thickBot="1">
      <c r="A37" s="3350"/>
      <c r="B37" s="3287"/>
      <c r="C37" s="3285"/>
      <c r="D37" s="1443"/>
      <c r="E37" s="1443"/>
      <c r="F37" s="2254">
        <v>33</v>
      </c>
      <c r="G37" s="1607" t="s">
        <v>3026</v>
      </c>
      <c r="H37" s="1443"/>
      <c r="I37" s="1443"/>
      <c r="J37" s="1443"/>
      <c r="K37" s="1443"/>
      <c r="L37" s="1443"/>
      <c r="M37" s="1443"/>
      <c r="N37" s="1443"/>
      <c r="O37" s="1443"/>
      <c r="P37" s="1443"/>
      <c r="Q37" s="1443"/>
      <c r="R37" s="1443"/>
      <c r="S37" s="1443"/>
      <c r="T37" s="1443"/>
      <c r="U37" s="1943" t="s">
        <v>2426</v>
      </c>
      <c r="V37" s="2710">
        <v>33</v>
      </c>
      <c r="W37" s="5373" t="str">
        <f>IF(AJ37&lt;&gt;"",ROUND(AJ37,0),'Line 33 (Stu Loan)'!L36)</f>
        <v/>
      </c>
      <c r="X37" s="5568"/>
      <c r="Y37" s="5568"/>
      <c r="Z37" s="5568"/>
      <c r="AA37" s="5568"/>
      <c r="AB37" s="3738"/>
      <c r="AC37" s="5569"/>
      <c r="AD37" s="5570"/>
      <c r="AE37" s="5570"/>
      <c r="AF37" s="5570"/>
      <c r="AG37" s="5570"/>
      <c r="AH37" s="4025"/>
      <c r="AI37" s="4759"/>
      <c r="AJ37" s="3470"/>
      <c r="AK37" s="1443"/>
      <c r="AL37" s="1607" t="s">
        <v>4428</v>
      </c>
      <c r="AM37" s="1443"/>
      <c r="AN37" s="5567"/>
      <c r="AO37" s="1443"/>
      <c r="AP37" s="3742"/>
      <c r="AQ37" s="3742"/>
      <c r="AR37" s="3742"/>
      <c r="AS37" s="3742"/>
      <c r="AT37" s="3742"/>
      <c r="AU37" s="3742"/>
      <c r="AV37" s="3742"/>
      <c r="AW37" s="3742"/>
      <c r="AX37" s="3742"/>
      <c r="AY37" s="3742"/>
      <c r="AZ37" s="3742"/>
    </row>
    <row r="38" spans="1:52" ht="14.25" customHeight="1">
      <c r="A38" s="3350"/>
      <c r="B38" s="3287"/>
      <c r="C38" s="3285"/>
      <c r="D38" s="1443"/>
      <c r="E38" s="1443"/>
      <c r="F38" s="2254">
        <v>34</v>
      </c>
      <c r="G38" s="1607" t="s">
        <v>5107</v>
      </c>
      <c r="H38" s="1443"/>
      <c r="I38" s="1443"/>
      <c r="J38" s="1443"/>
      <c r="K38" s="1443"/>
      <c r="L38" s="1443"/>
      <c r="M38" s="1443"/>
      <c r="N38" s="1443"/>
      <c r="O38" s="1443"/>
      <c r="P38" s="1443"/>
      <c r="Q38" s="1443"/>
      <c r="R38" s="1443"/>
      <c r="S38" s="1443"/>
      <c r="T38" s="1443"/>
      <c r="U38" s="1943" t="s">
        <v>3530</v>
      </c>
      <c r="V38" s="2710">
        <v>34</v>
      </c>
      <c r="W38" s="5573"/>
      <c r="X38" s="5574"/>
      <c r="Y38" s="5574"/>
      <c r="Z38" s="5574"/>
      <c r="AA38" s="5575"/>
      <c r="AB38" s="3738"/>
      <c r="AC38" s="5616"/>
      <c r="AD38" s="5617"/>
      <c r="AE38" s="5617"/>
      <c r="AF38" s="5617"/>
      <c r="AG38" s="5617"/>
      <c r="AH38" s="3350"/>
      <c r="AI38" s="1443"/>
      <c r="AJ38" s="396"/>
      <c r="AK38" s="1443"/>
      <c r="AL38" s="1443"/>
      <c r="AM38" s="1443"/>
      <c r="AN38" s="5567"/>
      <c r="AO38" s="1443"/>
      <c r="AP38" s="3742"/>
      <c r="AQ38" s="3742"/>
      <c r="AR38" s="3742"/>
      <c r="AS38" s="3742"/>
      <c r="AT38" s="3742"/>
      <c r="AU38" s="3742"/>
      <c r="AV38" s="3742"/>
      <c r="AW38" s="3742"/>
      <c r="AX38" s="3742"/>
      <c r="AY38" s="3742"/>
      <c r="AZ38" s="3742"/>
    </row>
    <row r="39" spans="1:52" ht="14.25" customHeight="1">
      <c r="A39" s="3350"/>
      <c r="B39" s="3287"/>
      <c r="C39" s="3285"/>
      <c r="D39" s="1443"/>
      <c r="E39" s="1443"/>
      <c r="F39" s="2254">
        <v>35</v>
      </c>
      <c r="G39" s="1607" t="s">
        <v>3008</v>
      </c>
      <c r="H39" s="1443"/>
      <c r="I39" s="1443"/>
      <c r="J39" s="1443"/>
      <c r="K39" s="1443"/>
      <c r="L39" s="1443"/>
      <c r="M39" s="1443"/>
      <c r="N39" s="1443"/>
      <c r="O39" s="1443"/>
      <c r="P39" s="1443"/>
      <c r="Q39" s="1443"/>
      <c r="R39" s="1443"/>
      <c r="S39" s="1443"/>
      <c r="T39" s="1443"/>
      <c r="U39" s="1943" t="s">
        <v>3531</v>
      </c>
      <c r="V39" s="2710">
        <v>35</v>
      </c>
      <c r="W39" s="5611"/>
      <c r="X39" s="5612"/>
      <c r="Y39" s="5612"/>
      <c r="Z39" s="5612"/>
      <c r="AA39" s="5613"/>
      <c r="AB39" s="3738"/>
      <c r="AC39" s="5616"/>
      <c r="AD39" s="5617"/>
      <c r="AE39" s="5617"/>
      <c r="AF39" s="5617"/>
      <c r="AG39" s="5617"/>
      <c r="AH39" s="3350"/>
      <c r="AI39" s="1443"/>
      <c r="AJ39" s="396"/>
      <c r="AK39" s="1443"/>
      <c r="AL39" s="1443"/>
      <c r="AM39" s="1443"/>
      <c r="AN39" s="5567"/>
      <c r="AO39" s="1443"/>
      <c r="AP39" s="3742"/>
      <c r="AQ39" s="3742"/>
      <c r="AR39" s="3742"/>
      <c r="AS39" s="3742"/>
      <c r="AT39" s="3742"/>
      <c r="AU39" s="3742"/>
      <c r="AV39" s="3742"/>
      <c r="AW39" s="3742"/>
      <c r="AX39" s="3742"/>
      <c r="AY39" s="3742"/>
      <c r="AZ39" s="3742"/>
    </row>
    <row r="40" spans="1:52" ht="16.5" customHeight="1" thickBot="1">
      <c r="A40" s="3350"/>
      <c r="B40" s="3287"/>
      <c r="C40" s="3285"/>
      <c r="D40" s="1443"/>
      <c r="E40" s="1443"/>
      <c r="F40" s="2254">
        <v>36</v>
      </c>
      <c r="G40" s="1607" t="s">
        <v>3027</v>
      </c>
      <c r="H40" s="1443"/>
      <c r="I40" s="1443"/>
      <c r="J40" s="1443"/>
      <c r="K40" s="1443"/>
      <c r="L40" s="1443"/>
      <c r="M40" s="5618" t="str">
        <f>AJ68</f>
        <v/>
      </c>
      <c r="N40" s="5618"/>
      <c r="O40" s="5618"/>
      <c r="P40" s="5618"/>
      <c r="Q40" s="5618"/>
      <c r="R40" s="5618"/>
      <c r="S40" s="5618"/>
      <c r="T40" s="5618"/>
      <c r="U40" s="5618"/>
      <c r="V40" s="5618"/>
      <c r="W40" s="5618"/>
      <c r="X40" s="5618"/>
      <c r="Y40" s="5618"/>
      <c r="Z40" s="5618"/>
      <c r="AA40" s="1443"/>
      <c r="AB40" s="2710">
        <v>36</v>
      </c>
      <c r="AC40" s="5373">
        <f>IF(AJ40&lt;&gt;"",ROUND(AJ40,0),SUM(W25,W27,W28,W30:W39,Dotted_Line36))</f>
        <v>0</v>
      </c>
      <c r="AD40" s="5568"/>
      <c r="AE40" s="5568"/>
      <c r="AF40" s="5568"/>
      <c r="AG40" s="5568"/>
      <c r="AH40" s="3350"/>
      <c r="AI40" s="1443"/>
      <c r="AJ40" s="3470"/>
      <c r="AK40" s="1443"/>
      <c r="AL40" s="1443"/>
      <c r="AM40" s="1443"/>
      <c r="AN40" s="5567"/>
      <c r="AO40" s="1443"/>
      <c r="AP40" s="3742"/>
      <c r="AQ40" s="3742"/>
      <c r="AR40" s="3742"/>
      <c r="AS40" s="3742"/>
      <c r="AT40" s="3742"/>
      <c r="AU40" s="3742"/>
      <c r="AV40" s="3742"/>
      <c r="AW40" s="3742"/>
      <c r="AX40" s="3742"/>
      <c r="AY40" s="3742"/>
      <c r="AZ40" s="3742"/>
    </row>
    <row r="41" spans="1:52">
      <c r="A41" s="3350"/>
      <c r="B41" s="1731" t="s">
        <v>564</v>
      </c>
      <c r="C41" s="3722"/>
      <c r="D41" s="1605"/>
      <c r="E41" s="1605"/>
      <c r="F41" s="1605"/>
      <c r="G41" s="1605"/>
      <c r="H41" s="1605"/>
      <c r="I41" s="1605"/>
      <c r="J41" s="1605"/>
      <c r="K41" s="1605"/>
      <c r="L41" s="1605"/>
      <c r="M41" s="1605"/>
      <c r="N41" s="1605"/>
      <c r="O41" s="1605"/>
      <c r="P41" s="1605"/>
      <c r="Q41" s="1605"/>
      <c r="R41" s="1605"/>
      <c r="S41" s="1605"/>
      <c r="T41" s="3739"/>
      <c r="U41" s="3739" t="s">
        <v>3007</v>
      </c>
      <c r="V41" s="1605"/>
      <c r="W41" s="3724"/>
      <c r="X41" s="1605"/>
      <c r="Y41" s="1605"/>
      <c r="Z41" s="1605"/>
      <c r="AA41" s="1605"/>
      <c r="AB41" s="1605"/>
      <c r="AC41" s="1605"/>
      <c r="AD41" s="1605"/>
      <c r="AE41" s="1605"/>
      <c r="AF41" s="1605"/>
      <c r="AG41" s="3723" t="str">
        <f>"Schedule 1 (Form 1040) "&amp;TaxYear</f>
        <v>Schedule 1 (Form 1040) 2018</v>
      </c>
      <c r="AH41" s="3350"/>
      <c r="AI41" s="1443"/>
      <c r="AJ41" s="396"/>
      <c r="AK41" s="1443"/>
      <c r="AL41" s="1443"/>
      <c r="AM41" s="1443"/>
      <c r="AN41" s="5567"/>
      <c r="AO41" s="1443"/>
      <c r="AP41" s="3742"/>
      <c r="AQ41" s="3742"/>
      <c r="AR41" s="3742"/>
      <c r="AS41" s="3742"/>
      <c r="AT41" s="3742"/>
      <c r="AU41" s="3742"/>
      <c r="AV41" s="3742"/>
      <c r="AW41" s="3742"/>
      <c r="AX41" s="3742"/>
      <c r="AY41" s="3742"/>
      <c r="AZ41" s="3742"/>
    </row>
    <row r="42" spans="1:52" ht="13.5" thickBot="1">
      <c r="A42" s="3350"/>
      <c r="B42" s="3350"/>
      <c r="C42" s="3350"/>
      <c r="D42" s="3350"/>
      <c r="E42" s="3350"/>
      <c r="F42" s="3350"/>
      <c r="G42" s="3350"/>
      <c r="H42" s="3350"/>
      <c r="I42" s="3350"/>
      <c r="J42" s="3350"/>
      <c r="K42" s="3350"/>
      <c r="L42" s="3350"/>
      <c r="M42" s="5619" t="s">
        <v>3751</v>
      </c>
      <c r="N42" s="5619"/>
      <c r="O42" s="5619"/>
      <c r="P42" s="5619"/>
      <c r="Q42" s="5619"/>
      <c r="R42" s="5619"/>
      <c r="S42" s="5619"/>
      <c r="T42" s="5619"/>
      <c r="U42" s="5619"/>
      <c r="V42" s="5619"/>
      <c r="W42" s="3350"/>
      <c r="X42" s="3350"/>
      <c r="Y42" s="3350"/>
      <c r="Z42" s="3350"/>
      <c r="AA42" s="3350"/>
      <c r="AB42" s="3350"/>
      <c r="AC42" s="3350"/>
      <c r="AD42" s="3350"/>
      <c r="AE42" s="3350"/>
      <c r="AF42" s="3350"/>
      <c r="AG42" s="3350"/>
      <c r="AH42" s="3350"/>
      <c r="AI42" s="1443"/>
      <c r="AJ42" s="396"/>
      <c r="AK42" s="1443"/>
      <c r="AL42" s="1443"/>
      <c r="AM42" s="1443"/>
      <c r="AN42" s="5567"/>
      <c r="AO42" s="1443"/>
      <c r="AP42" s="3742"/>
      <c r="AQ42" s="3742"/>
      <c r="AR42" s="3742"/>
      <c r="AS42" s="3742"/>
      <c r="AT42" s="3742"/>
      <c r="AU42" s="3742"/>
      <c r="AV42" s="3742"/>
      <c r="AW42" s="3742"/>
      <c r="AX42" s="3742"/>
      <c r="AY42" s="3742"/>
      <c r="AZ42" s="3742"/>
    </row>
    <row r="43" spans="1:52">
      <c r="G43" s="3350"/>
      <c r="H43" s="3350"/>
      <c r="I43" s="3350"/>
      <c r="J43" s="3350"/>
      <c r="K43" s="3350"/>
      <c r="L43" s="3350"/>
      <c r="M43" s="3350"/>
      <c r="N43" s="3350"/>
      <c r="O43" s="3350"/>
      <c r="P43" s="3350"/>
      <c r="Q43" s="3350"/>
      <c r="R43" s="3350"/>
      <c r="S43" s="3350"/>
      <c r="T43" s="3350"/>
      <c r="U43" s="3350"/>
      <c r="V43" s="3350"/>
      <c r="W43" s="3350"/>
      <c r="X43" s="2136"/>
      <c r="Y43" s="2136"/>
      <c r="Z43" s="2136"/>
      <c r="AA43" s="2136"/>
      <c r="AB43" s="2136"/>
      <c r="AC43" s="2136"/>
      <c r="AD43" s="2136"/>
      <c r="AE43" s="2136"/>
      <c r="AF43" s="2136"/>
      <c r="AG43" s="2136"/>
      <c r="AH43" s="2136"/>
      <c r="AI43" s="2136"/>
      <c r="AJ43" s="4588"/>
      <c r="AK43" s="1443"/>
      <c r="AL43" s="3853" t="s">
        <v>4134</v>
      </c>
      <c r="AN43" s="3853"/>
    </row>
    <row r="44" spans="1:52" ht="13.5" thickBot="1">
      <c r="G44" s="3350"/>
      <c r="H44" s="4107" t="s">
        <v>5068</v>
      </c>
      <c r="I44" s="3350"/>
      <c r="J44" s="3350"/>
      <c r="K44" s="3350"/>
      <c r="L44" s="3350"/>
      <c r="M44" s="3350"/>
      <c r="N44" s="3350"/>
      <c r="O44" s="3350"/>
      <c r="P44" s="3350"/>
      <c r="Q44" s="3350"/>
      <c r="R44" s="3350"/>
      <c r="S44" s="3350"/>
      <c r="T44" s="5621" t="s">
        <v>42</v>
      </c>
      <c r="U44" s="5621"/>
      <c r="V44" s="5621"/>
      <c r="W44" s="3350"/>
      <c r="X44" s="2136"/>
      <c r="Y44" s="2136"/>
      <c r="Z44" s="2136"/>
      <c r="AA44" s="2136"/>
      <c r="AB44" s="2136"/>
      <c r="AC44" s="2136"/>
      <c r="AD44" s="2136"/>
      <c r="AE44" s="2136"/>
      <c r="AF44" s="2136"/>
      <c r="AG44" s="2136"/>
      <c r="AH44" s="2136"/>
      <c r="AI44" s="2136"/>
      <c r="AJ44" s="4589"/>
      <c r="AK44" s="1443"/>
      <c r="AL44" s="3853" t="s">
        <v>4135</v>
      </c>
      <c r="AN44" s="3853"/>
    </row>
    <row r="45" spans="1:52">
      <c r="B45" s="5558" t="s">
        <v>5009</v>
      </c>
      <c r="C45" s="5559"/>
      <c r="D45" s="5559"/>
      <c r="E45" s="5560"/>
      <c r="G45" s="3350"/>
      <c r="H45" s="4323" t="s">
        <v>132</v>
      </c>
      <c r="I45" s="4107" t="s">
        <v>3720</v>
      </c>
      <c r="J45" s="4107"/>
      <c r="K45" s="3350"/>
      <c r="L45" s="3350"/>
      <c r="M45" s="3350"/>
      <c r="N45" s="4107"/>
      <c r="O45" s="3350"/>
      <c r="P45" s="3350"/>
      <c r="Q45" s="3350"/>
      <c r="R45" s="3350"/>
      <c r="S45" s="3350"/>
      <c r="T45" s="5620"/>
      <c r="U45" s="5620"/>
      <c r="V45" s="5620"/>
      <c r="W45" s="3350"/>
      <c r="X45" s="2136"/>
      <c r="Y45" s="2136"/>
      <c r="Z45" s="2136"/>
      <c r="AA45" s="2136"/>
      <c r="AB45" s="1618" t="s">
        <v>3741</v>
      </c>
      <c r="AC45" s="1618"/>
      <c r="AD45" s="1618"/>
      <c r="AE45" s="1618"/>
      <c r="AF45" s="1618"/>
      <c r="AG45" s="1618"/>
      <c r="AH45" s="1618"/>
      <c r="AI45" s="4324" t="str">
        <f>IF(T45&lt;&gt;"",ROUND(T45,0),"")</f>
        <v/>
      </c>
      <c r="AJ45" s="4325" t="str">
        <f>IF(T45&lt;&gt;"",AB45&amp;" - "&amp;TEXT(AI45,"$0")&amp;"  ","")</f>
        <v/>
      </c>
      <c r="AK45" s="2136"/>
    </row>
    <row r="46" spans="1:52">
      <c r="B46" s="5561"/>
      <c r="C46" s="5562"/>
      <c r="D46" s="5562"/>
      <c r="E46" s="5563"/>
      <c r="G46" s="3350"/>
      <c r="H46" s="4323" t="s">
        <v>132</v>
      </c>
      <c r="I46" s="4107" t="s">
        <v>5067</v>
      </c>
      <c r="J46" s="4107"/>
      <c r="K46" s="3350"/>
      <c r="L46" s="3350"/>
      <c r="M46" s="3350"/>
      <c r="N46" s="3350"/>
      <c r="O46" s="3350"/>
      <c r="P46" s="3350"/>
      <c r="Q46" s="3350"/>
      <c r="R46" s="3350"/>
      <c r="S46" s="3350"/>
      <c r="T46" s="5620"/>
      <c r="U46" s="5620"/>
      <c r="V46" s="5620"/>
      <c r="W46" s="3350"/>
      <c r="X46" s="2136"/>
      <c r="Y46" s="2136"/>
      <c r="Z46" s="2136"/>
      <c r="AA46" s="2136"/>
      <c r="AB46" s="1618" t="s">
        <v>3749</v>
      </c>
      <c r="AC46" s="1618"/>
      <c r="AD46" s="1618"/>
      <c r="AE46" s="1618"/>
      <c r="AF46" s="1618"/>
      <c r="AG46" s="1618"/>
      <c r="AH46" s="1618"/>
      <c r="AI46" s="4324" t="str">
        <f>IF(T46&lt;&gt;"",ROUND(T46,0),"")</f>
        <v/>
      </c>
      <c r="AJ46" s="4325" t="str">
        <f>IF(T46&lt;&gt;"",AB46&amp;" - "&amp;TEXT(AI46,"$0")&amp;"  ","")</f>
        <v/>
      </c>
      <c r="AK46" s="2136"/>
      <c r="AL46" s="2136"/>
    </row>
    <row r="47" spans="1:52" ht="13.5" thickBot="1">
      <c r="B47" s="5564"/>
      <c r="C47" s="5565"/>
      <c r="D47" s="5565"/>
      <c r="E47" s="5566"/>
      <c r="G47" s="3350"/>
      <c r="H47" s="4323" t="s">
        <v>132</v>
      </c>
      <c r="I47" s="4107" t="s">
        <v>3721</v>
      </c>
      <c r="J47" s="4107"/>
      <c r="K47" s="3350"/>
      <c r="L47" s="3350"/>
      <c r="M47" s="3350"/>
      <c r="N47" s="3350"/>
      <c r="O47" s="3350"/>
      <c r="P47" s="3350"/>
      <c r="Q47" s="3350"/>
      <c r="R47" s="3350"/>
      <c r="S47" s="3350"/>
      <c r="T47" s="5620"/>
      <c r="U47" s="5620"/>
      <c r="V47" s="5620"/>
      <c r="W47" s="3350"/>
      <c r="X47" s="2136"/>
      <c r="Y47" s="2136"/>
      <c r="Z47" s="2136"/>
      <c r="AA47" s="2136"/>
      <c r="AB47" s="1618" t="s">
        <v>3742</v>
      </c>
      <c r="AC47" s="1618"/>
      <c r="AD47" s="1618"/>
      <c r="AE47" s="1618"/>
      <c r="AF47" s="1618"/>
      <c r="AG47" s="1618"/>
      <c r="AH47" s="1618"/>
      <c r="AI47" s="4324" t="str">
        <f>IF(T47&lt;&gt;"",ROUND(T47,0),"")</f>
        <v/>
      </c>
      <c r="AJ47" s="4325" t="str">
        <f>IF(T47&lt;&gt;"",AB47&amp;" - "&amp;TEXT(AI47,"$0")&amp;"  ","")</f>
        <v/>
      </c>
      <c r="AK47" s="2136"/>
      <c r="AL47" s="2136"/>
    </row>
    <row r="48" spans="1:52">
      <c r="G48" s="3350"/>
      <c r="H48" s="4323" t="s">
        <v>132</v>
      </c>
      <c r="I48" s="4107" t="s">
        <v>3722</v>
      </c>
      <c r="J48" s="4107"/>
      <c r="K48" s="3350"/>
      <c r="L48" s="3350"/>
      <c r="M48" s="3350"/>
      <c r="N48" s="3350"/>
      <c r="O48" s="3350"/>
      <c r="P48" s="3350"/>
      <c r="Q48" s="3350"/>
      <c r="R48" s="3350"/>
      <c r="S48" s="3350"/>
      <c r="T48" s="3350"/>
      <c r="U48" s="3350"/>
      <c r="V48" s="3350"/>
      <c r="W48" s="3350"/>
      <c r="X48" s="2136"/>
      <c r="Y48" s="2136"/>
      <c r="Z48" s="2136"/>
      <c r="AA48" s="2136"/>
      <c r="AB48" s="1618"/>
      <c r="AC48" s="1618"/>
      <c r="AD48" s="1618"/>
      <c r="AE48" s="1618"/>
      <c r="AF48" s="1618"/>
      <c r="AG48" s="1618"/>
      <c r="AH48" s="1618"/>
      <c r="AI48" s="4324"/>
      <c r="AJ48" s="4325"/>
      <c r="AK48" s="2136"/>
      <c r="AL48" s="2136"/>
    </row>
    <row r="49" spans="7:38">
      <c r="G49" s="3350"/>
      <c r="H49" s="3350"/>
      <c r="I49" s="4107" t="s">
        <v>3723</v>
      </c>
      <c r="J49" s="4107"/>
      <c r="K49" s="4107"/>
      <c r="L49" s="3350"/>
      <c r="M49" s="3350"/>
      <c r="N49" s="3350"/>
      <c r="O49" s="3350"/>
      <c r="P49" s="3350"/>
      <c r="Q49" s="3350"/>
      <c r="R49" s="3350"/>
      <c r="S49" s="3350"/>
      <c r="T49" s="5620"/>
      <c r="U49" s="5620"/>
      <c r="V49" s="5620"/>
      <c r="W49" s="3350"/>
      <c r="X49" s="2136"/>
      <c r="Y49" s="2136"/>
      <c r="Z49" s="2136"/>
      <c r="AA49" s="2136"/>
      <c r="AB49" s="1618" t="s">
        <v>3753</v>
      </c>
      <c r="AC49" s="1618"/>
      <c r="AD49" s="1618"/>
      <c r="AE49" s="1618"/>
      <c r="AF49" s="1618"/>
      <c r="AG49" s="1618"/>
      <c r="AH49" s="1618"/>
      <c r="AI49" s="4324" t="str">
        <f>IF(T49&lt;&gt;"",ROUND(T49,0),"")</f>
        <v/>
      </c>
      <c r="AJ49" s="4325" t="str">
        <f>IF(T49&lt;&gt;"",AB49&amp;" - "&amp;TEXT(AI49,"$0")&amp;"  ","")</f>
        <v/>
      </c>
      <c r="AK49" s="2136"/>
      <c r="AL49" s="2136"/>
    </row>
    <row r="50" spans="7:38">
      <c r="G50" s="3350"/>
      <c r="H50" s="4323" t="s">
        <v>132</v>
      </c>
      <c r="I50" s="4107" t="s">
        <v>3724</v>
      </c>
      <c r="J50" s="3350"/>
      <c r="K50" s="3350"/>
      <c r="L50" s="3350"/>
      <c r="M50" s="3350"/>
      <c r="N50" s="3350"/>
      <c r="O50" s="3350"/>
      <c r="P50" s="3350"/>
      <c r="Q50" s="3350"/>
      <c r="R50" s="3350"/>
      <c r="S50" s="3350"/>
      <c r="T50" s="3350"/>
      <c r="U50" s="3350"/>
      <c r="V50" s="3350"/>
      <c r="W50" s="3350"/>
      <c r="X50" s="2136"/>
      <c r="Y50" s="2136"/>
      <c r="Z50" s="2136"/>
      <c r="AA50" s="2136"/>
      <c r="AB50" s="1618"/>
      <c r="AC50" s="1618"/>
      <c r="AD50" s="1618"/>
      <c r="AE50" s="1618"/>
      <c r="AF50" s="1618"/>
      <c r="AG50" s="1618"/>
      <c r="AH50" s="1618"/>
      <c r="AI50" s="4324"/>
      <c r="AJ50" s="4325"/>
      <c r="AK50" s="2136"/>
      <c r="AL50" s="2136"/>
    </row>
    <row r="51" spans="7:38">
      <c r="G51" s="3350"/>
      <c r="H51" s="3350"/>
      <c r="I51" s="4107" t="s">
        <v>3725</v>
      </c>
      <c r="J51" s="3350"/>
      <c r="K51" s="3350"/>
      <c r="L51" s="3350"/>
      <c r="M51" s="3350"/>
      <c r="N51" s="3350"/>
      <c r="O51" s="3350"/>
      <c r="P51" s="3350"/>
      <c r="Q51" s="3350"/>
      <c r="R51" s="3350"/>
      <c r="S51" s="3350"/>
      <c r="T51" s="5620"/>
      <c r="U51" s="5620"/>
      <c r="V51" s="5620"/>
      <c r="W51" s="3350"/>
      <c r="X51" s="2136"/>
      <c r="Y51" s="2136"/>
      <c r="Z51" s="2136"/>
      <c r="AA51" s="2136"/>
      <c r="AB51" s="1618" t="s">
        <v>3743</v>
      </c>
      <c r="AC51" s="1618"/>
      <c r="AD51" s="1618"/>
      <c r="AE51" s="1618"/>
      <c r="AF51" s="1618"/>
      <c r="AG51" s="1618"/>
      <c r="AH51" s="1618"/>
      <c r="AI51" s="4324" t="str">
        <f>IF(T51&lt;&gt;"",ROUND(T51,0),"")</f>
        <v/>
      </c>
      <c r="AJ51" s="4325" t="str">
        <f>IF(T51&lt;&gt;"",AB51&amp;" - "&amp;TEXT(AI51,"$0")&amp;"  ","")</f>
        <v/>
      </c>
      <c r="AK51" s="2136"/>
      <c r="AL51" s="2136"/>
    </row>
    <row r="52" spans="7:38">
      <c r="G52" s="3350"/>
      <c r="H52" s="4323" t="s">
        <v>132</v>
      </c>
      <c r="I52" s="4107" t="s">
        <v>3726</v>
      </c>
      <c r="J52" s="3350"/>
      <c r="K52" s="3350"/>
      <c r="L52" s="3350"/>
      <c r="M52" s="3350"/>
      <c r="N52" s="3350"/>
      <c r="O52" s="3350"/>
      <c r="P52" s="3350"/>
      <c r="Q52" s="3350"/>
      <c r="R52" s="3350"/>
      <c r="S52" s="3350"/>
      <c r="T52" s="3350"/>
      <c r="U52" s="3350"/>
      <c r="V52" s="3350"/>
      <c r="W52" s="3350"/>
      <c r="X52" s="2136"/>
      <c r="Y52" s="2136"/>
      <c r="Z52" s="2136"/>
      <c r="AA52" s="2136"/>
      <c r="AB52" s="1618"/>
      <c r="AC52" s="1618"/>
      <c r="AD52" s="1618"/>
      <c r="AE52" s="1618"/>
      <c r="AF52" s="1618"/>
      <c r="AG52" s="1618"/>
      <c r="AH52" s="1618"/>
      <c r="AI52" s="4324"/>
      <c r="AJ52" s="4325"/>
      <c r="AK52" s="2136"/>
      <c r="AL52" s="2136"/>
    </row>
    <row r="53" spans="7:38">
      <c r="G53" s="3350"/>
      <c r="H53" s="3350"/>
      <c r="I53" s="4107" t="s">
        <v>3727</v>
      </c>
      <c r="J53" s="3350"/>
      <c r="K53" s="3350"/>
      <c r="L53" s="3350"/>
      <c r="M53" s="3350"/>
      <c r="N53" s="3350"/>
      <c r="O53" s="3350"/>
      <c r="P53" s="3350"/>
      <c r="Q53" s="3350"/>
      <c r="R53" s="3350"/>
      <c r="S53" s="3350"/>
      <c r="T53" s="3350"/>
      <c r="U53" s="3350"/>
      <c r="V53" s="3350"/>
      <c r="W53" s="3350"/>
      <c r="X53" s="2136"/>
      <c r="Y53" s="2136"/>
      <c r="Z53" s="2136"/>
      <c r="AA53" s="2136"/>
      <c r="AB53" s="1618"/>
      <c r="AC53" s="1618"/>
      <c r="AD53" s="1618"/>
      <c r="AE53" s="1618"/>
      <c r="AF53" s="1618"/>
      <c r="AG53" s="1618"/>
      <c r="AH53" s="1618"/>
      <c r="AI53" s="4324"/>
      <c r="AJ53" s="4325"/>
      <c r="AK53" s="2136"/>
      <c r="AL53" s="2136"/>
    </row>
    <row r="54" spans="7:38">
      <c r="G54" s="3350"/>
      <c r="H54" s="3350"/>
      <c r="I54" s="4107" t="s">
        <v>3728</v>
      </c>
      <c r="J54" s="3350"/>
      <c r="K54" s="3350"/>
      <c r="L54" s="3350"/>
      <c r="M54" s="3350"/>
      <c r="N54" s="3350"/>
      <c r="O54" s="3350"/>
      <c r="P54" s="3350"/>
      <c r="Q54" s="3350"/>
      <c r="R54" s="3350"/>
      <c r="S54" s="3350"/>
      <c r="T54" s="5620"/>
      <c r="U54" s="5620"/>
      <c r="V54" s="5620"/>
      <c r="W54" s="3350"/>
      <c r="X54" s="2136"/>
      <c r="Y54" s="2136"/>
      <c r="Z54" s="2136"/>
      <c r="AA54" s="2136"/>
      <c r="AB54" s="1618" t="s">
        <v>3750</v>
      </c>
      <c r="AC54" s="1618"/>
      <c r="AD54" s="1618"/>
      <c r="AE54" s="1618"/>
      <c r="AF54" s="1618"/>
      <c r="AG54" s="1618"/>
      <c r="AH54" s="1618"/>
      <c r="AI54" s="4324" t="str">
        <f>IF(T54&lt;&gt;"",ROUND(T54,0),"")</f>
        <v/>
      </c>
      <c r="AJ54" s="4325" t="str">
        <f>IF(T54&lt;&gt;"",AB54&amp;" - "&amp;TEXT(AI54,"$0")&amp;"  ","")</f>
        <v/>
      </c>
      <c r="AK54" s="2136"/>
      <c r="AL54" s="2136"/>
    </row>
    <row r="55" spans="7:38">
      <c r="G55" s="3350"/>
      <c r="H55" s="4323" t="s">
        <v>132</v>
      </c>
      <c r="I55" s="4107" t="s">
        <v>3729</v>
      </c>
      <c r="J55" s="3350"/>
      <c r="K55" s="3350"/>
      <c r="L55" s="3350"/>
      <c r="M55" s="3350"/>
      <c r="N55" s="3350"/>
      <c r="O55" s="3350"/>
      <c r="P55" s="3350"/>
      <c r="Q55" s="3350"/>
      <c r="R55" s="3350"/>
      <c r="S55" s="3350"/>
      <c r="T55" s="3350"/>
      <c r="U55" s="3350"/>
      <c r="V55" s="3350"/>
      <c r="W55" s="3350"/>
      <c r="X55" s="2136"/>
      <c r="Y55" s="2136"/>
      <c r="Z55" s="2136"/>
      <c r="AA55" s="2136"/>
      <c r="AB55" s="1618"/>
      <c r="AC55" s="1618"/>
      <c r="AD55" s="1618"/>
      <c r="AE55" s="1618"/>
      <c r="AF55" s="1618"/>
      <c r="AG55" s="1618"/>
      <c r="AH55" s="1618"/>
      <c r="AI55" s="4324"/>
      <c r="AJ55" s="4325"/>
      <c r="AK55" s="2136"/>
      <c r="AL55" s="2136"/>
    </row>
    <row r="56" spans="7:38">
      <c r="G56" s="3350"/>
      <c r="H56" s="3350"/>
      <c r="I56" s="4107" t="s">
        <v>3730</v>
      </c>
      <c r="J56" s="3350"/>
      <c r="K56" s="3350"/>
      <c r="L56" s="3350"/>
      <c r="M56" s="3350"/>
      <c r="N56" s="3350"/>
      <c r="O56" s="3350"/>
      <c r="P56" s="3350"/>
      <c r="Q56" s="3350"/>
      <c r="R56" s="3350"/>
      <c r="S56" s="3350"/>
      <c r="T56" s="5620"/>
      <c r="U56" s="5620"/>
      <c r="V56" s="5620"/>
      <c r="W56" s="3350"/>
      <c r="X56" s="2136"/>
      <c r="Y56" s="2136"/>
      <c r="Z56" s="2136"/>
      <c r="AA56" s="2136"/>
      <c r="AB56" s="1618" t="s">
        <v>3744</v>
      </c>
      <c r="AC56" s="1618"/>
      <c r="AD56" s="1618"/>
      <c r="AE56" s="1618"/>
      <c r="AF56" s="1618"/>
      <c r="AG56" s="1618"/>
      <c r="AH56" s="1618"/>
      <c r="AI56" s="4324" t="str">
        <f>IF(T56&lt;&gt;"",ROUND(T56,0),"")</f>
        <v/>
      </c>
      <c r="AJ56" s="4325" t="str">
        <f>IF(T56&lt;&gt;"",AB56&amp;" - "&amp;TEXT(AI56,"$0")&amp;"  ","")</f>
        <v/>
      </c>
      <c r="AK56" s="2136"/>
      <c r="AL56" s="2136"/>
    </row>
    <row r="57" spans="7:38">
      <c r="G57" s="3350"/>
      <c r="H57" s="4323" t="s">
        <v>132</v>
      </c>
      <c r="I57" s="4107" t="s">
        <v>3731</v>
      </c>
      <c r="J57" s="3350"/>
      <c r="K57" s="3350"/>
      <c r="L57" s="3350"/>
      <c r="M57" s="3350"/>
      <c r="N57" s="3350"/>
      <c r="O57" s="3350"/>
      <c r="P57" s="3350"/>
      <c r="Q57" s="3350"/>
      <c r="R57" s="3350"/>
      <c r="S57" s="3350"/>
      <c r="T57" s="3350"/>
      <c r="U57" s="3350"/>
      <c r="V57" s="3350"/>
      <c r="W57" s="3350"/>
      <c r="X57" s="2136"/>
      <c r="Y57" s="2136"/>
      <c r="Z57" s="2136"/>
      <c r="AA57" s="2136"/>
      <c r="AB57" s="1618"/>
      <c r="AC57" s="1618"/>
      <c r="AD57" s="1618"/>
      <c r="AE57" s="1618"/>
      <c r="AF57" s="1618"/>
      <c r="AG57" s="1618"/>
      <c r="AH57" s="1618"/>
      <c r="AI57" s="4324"/>
      <c r="AJ57" s="4325"/>
      <c r="AK57" s="2136"/>
      <c r="AL57" s="2136"/>
    </row>
    <row r="58" spans="7:38">
      <c r="G58" s="3350"/>
      <c r="H58" s="3350"/>
      <c r="I58" s="4107" t="s">
        <v>3732</v>
      </c>
      <c r="J58" s="3350"/>
      <c r="K58" s="3350"/>
      <c r="L58" s="3350"/>
      <c r="M58" s="3350"/>
      <c r="N58" s="3350"/>
      <c r="O58" s="3350"/>
      <c r="P58" s="3350"/>
      <c r="Q58" s="3350"/>
      <c r="R58" s="3350"/>
      <c r="S58" s="3350"/>
      <c r="T58" s="5620"/>
      <c r="U58" s="5620"/>
      <c r="V58" s="5620"/>
      <c r="W58" s="3350"/>
      <c r="X58" s="2136"/>
      <c r="Y58" s="2136"/>
      <c r="Z58" s="2136"/>
      <c r="AA58" s="2136"/>
      <c r="AB58" s="1618" t="s">
        <v>3745</v>
      </c>
      <c r="AC58" s="1618"/>
      <c r="AD58" s="1618"/>
      <c r="AE58" s="1618"/>
      <c r="AF58" s="1618"/>
      <c r="AG58" s="1618"/>
      <c r="AH58" s="1618"/>
      <c r="AI58" s="4324" t="str">
        <f>IF(T58&lt;&gt;"",ROUND(T58,0),"")</f>
        <v/>
      </c>
      <c r="AJ58" s="4325" t="str">
        <f>IF(T58&lt;&gt;"",AB58&amp;" - "&amp;TEXT(AI58,"$0")&amp;"  ","")</f>
        <v/>
      </c>
      <c r="AK58" s="2136"/>
      <c r="AL58" s="2136"/>
    </row>
    <row r="59" spans="7:38">
      <c r="G59" s="3350"/>
      <c r="H59" s="4323" t="s">
        <v>132</v>
      </c>
      <c r="I59" s="4107" t="s">
        <v>3733</v>
      </c>
      <c r="J59" s="3350"/>
      <c r="K59" s="3350"/>
      <c r="L59" s="3350"/>
      <c r="M59" s="3350"/>
      <c r="N59" s="3350"/>
      <c r="O59" s="3350"/>
      <c r="P59" s="3350"/>
      <c r="Q59" s="3350"/>
      <c r="R59" s="3350"/>
      <c r="S59" s="3350"/>
      <c r="T59" s="3350"/>
      <c r="U59" s="3350"/>
      <c r="V59" s="3350"/>
      <c r="W59" s="3350"/>
      <c r="X59" s="2136"/>
      <c r="Y59" s="2136"/>
      <c r="Z59" s="2136"/>
      <c r="AA59" s="2136"/>
      <c r="AB59" s="1618"/>
      <c r="AC59" s="1618"/>
      <c r="AD59" s="1618"/>
      <c r="AE59" s="1618"/>
      <c r="AF59" s="1618"/>
      <c r="AG59" s="1618"/>
      <c r="AH59" s="1618"/>
      <c r="AI59" s="4324"/>
      <c r="AJ59" s="4325"/>
      <c r="AK59" s="2136"/>
      <c r="AL59" s="2136"/>
    </row>
    <row r="60" spans="7:38">
      <c r="G60" s="3350"/>
      <c r="H60" s="3350"/>
      <c r="I60" s="4107" t="s">
        <v>3734</v>
      </c>
      <c r="J60" s="3350"/>
      <c r="K60" s="3350"/>
      <c r="L60" s="3350"/>
      <c r="M60" s="3350"/>
      <c r="N60" s="3350"/>
      <c r="O60" s="3350"/>
      <c r="P60" s="3350"/>
      <c r="Q60" s="3350"/>
      <c r="R60" s="3350"/>
      <c r="S60" s="3350"/>
      <c r="T60" s="5620"/>
      <c r="U60" s="5620"/>
      <c r="V60" s="5620"/>
      <c r="W60" s="3350"/>
      <c r="X60" s="2136"/>
      <c r="Y60" s="2136"/>
      <c r="Z60" s="2136"/>
      <c r="AA60" s="2136"/>
      <c r="AB60" s="1618" t="s">
        <v>3746</v>
      </c>
      <c r="AC60" s="1618"/>
      <c r="AD60" s="1618"/>
      <c r="AE60" s="1618"/>
      <c r="AF60" s="1618"/>
      <c r="AG60" s="1618"/>
      <c r="AH60" s="1618"/>
      <c r="AI60" s="4324" t="str">
        <f>IF(T60&lt;&gt;"",ROUND(T60,0),"")</f>
        <v/>
      </c>
      <c r="AJ60" s="4325" t="str">
        <f>IF(T60&lt;&gt;"",AB60&amp;" - "&amp;TEXT(AI60,"$0")&amp;"  ","")</f>
        <v/>
      </c>
      <c r="AK60" s="2136"/>
      <c r="AL60" s="2136"/>
    </row>
    <row r="61" spans="7:38">
      <c r="G61" s="3350"/>
      <c r="H61" s="4323" t="s">
        <v>132</v>
      </c>
      <c r="I61" s="4107" t="s">
        <v>3735</v>
      </c>
      <c r="J61" s="3350"/>
      <c r="K61" s="3350"/>
      <c r="L61" s="3350"/>
      <c r="M61" s="3350"/>
      <c r="N61" s="3350"/>
      <c r="O61" s="3350"/>
      <c r="P61" s="3350"/>
      <c r="Q61" s="3350"/>
      <c r="R61" s="3350"/>
      <c r="S61" s="3350"/>
      <c r="T61" s="3350"/>
      <c r="U61" s="3350"/>
      <c r="V61" s="3350"/>
      <c r="W61" s="3350"/>
      <c r="X61" s="2136"/>
      <c r="Y61" s="2136"/>
      <c r="Z61" s="2136"/>
      <c r="AA61" s="2136"/>
      <c r="AB61" s="1618"/>
      <c r="AC61" s="1618"/>
      <c r="AD61" s="1618"/>
      <c r="AE61" s="1618"/>
      <c r="AF61" s="1618"/>
      <c r="AG61" s="1618"/>
      <c r="AH61" s="1618"/>
      <c r="AI61" s="4324"/>
      <c r="AJ61" s="4325"/>
      <c r="AK61" s="2136"/>
      <c r="AL61" s="2136"/>
    </row>
    <row r="62" spans="7:38">
      <c r="G62" s="3350"/>
      <c r="H62" s="3350"/>
      <c r="I62" s="4107" t="s">
        <v>3736</v>
      </c>
      <c r="J62" s="3350"/>
      <c r="K62" s="3350"/>
      <c r="L62" s="3350"/>
      <c r="M62" s="3350"/>
      <c r="N62" s="3350"/>
      <c r="O62" s="3350"/>
      <c r="P62" s="3350"/>
      <c r="Q62" s="3350"/>
      <c r="R62" s="3350"/>
      <c r="S62" s="3350"/>
      <c r="T62" s="3350"/>
      <c r="U62" s="3350"/>
      <c r="V62" s="3350"/>
      <c r="W62" s="3350"/>
      <c r="X62" s="2136"/>
      <c r="Y62" s="2136"/>
      <c r="Z62" s="2136"/>
      <c r="AA62" s="2136"/>
      <c r="AB62" s="1618"/>
      <c r="AC62" s="1618"/>
      <c r="AD62" s="1618"/>
      <c r="AE62" s="1618"/>
      <c r="AF62" s="1618"/>
      <c r="AG62" s="1618"/>
      <c r="AH62" s="1618"/>
      <c r="AI62" s="4324"/>
      <c r="AJ62" s="4325"/>
      <c r="AK62" s="2136"/>
      <c r="AL62" s="2136"/>
    </row>
    <row r="63" spans="7:38">
      <c r="G63" s="3350"/>
      <c r="H63" s="3350"/>
      <c r="I63" s="4107" t="s">
        <v>3737</v>
      </c>
      <c r="J63" s="3350"/>
      <c r="K63" s="3350"/>
      <c r="L63" s="3350"/>
      <c r="M63" s="3350"/>
      <c r="N63" s="3350"/>
      <c r="O63" s="3350"/>
      <c r="P63" s="3350"/>
      <c r="Q63" s="3350"/>
      <c r="R63" s="3350"/>
      <c r="S63" s="3350"/>
      <c r="T63" s="5620"/>
      <c r="U63" s="5620"/>
      <c r="V63" s="5620"/>
      <c r="W63" s="3350"/>
      <c r="X63" s="2136"/>
      <c r="Y63" s="2136"/>
      <c r="Z63" s="2136"/>
      <c r="AA63" s="2136"/>
      <c r="AB63" s="1618" t="s">
        <v>3747</v>
      </c>
      <c r="AC63" s="1618"/>
      <c r="AD63" s="1618"/>
      <c r="AE63" s="1618"/>
      <c r="AF63" s="1618"/>
      <c r="AG63" s="1618"/>
      <c r="AH63" s="1618"/>
      <c r="AI63" s="4324" t="str">
        <f>IF(T63&lt;&gt;"",ROUND(T63,0),"")</f>
        <v/>
      </c>
      <c r="AJ63" s="4325" t="str">
        <f>IF(T63&lt;&gt;"",AB63&amp;" - "&amp;TEXT(AI63,"$0")&amp;"  ","")</f>
        <v/>
      </c>
      <c r="AK63" s="2136"/>
      <c r="AL63" s="2136"/>
    </row>
    <row r="64" spans="7:38">
      <c r="G64" s="3350"/>
      <c r="H64" s="4323" t="s">
        <v>132</v>
      </c>
      <c r="I64" s="4107" t="s">
        <v>3738</v>
      </c>
      <c r="J64" s="3350"/>
      <c r="K64" s="3350"/>
      <c r="L64" s="3350"/>
      <c r="M64" s="3350"/>
      <c r="N64" s="3350"/>
      <c r="O64" s="3350"/>
      <c r="P64" s="3350"/>
      <c r="Q64" s="3350"/>
      <c r="R64" s="3350"/>
      <c r="S64" s="3350"/>
      <c r="T64" s="3350"/>
      <c r="U64" s="3350"/>
      <c r="V64" s="3350"/>
      <c r="W64" s="3350"/>
      <c r="X64" s="2136"/>
      <c r="Y64" s="2136"/>
      <c r="Z64" s="2136"/>
      <c r="AA64" s="2136"/>
      <c r="AB64" s="1618"/>
      <c r="AC64" s="1618"/>
      <c r="AD64" s="1618"/>
      <c r="AE64" s="1618"/>
      <c r="AF64" s="1618"/>
      <c r="AG64" s="1618"/>
      <c r="AH64" s="1618"/>
      <c r="AI64" s="4324"/>
      <c r="AJ64" s="4325"/>
      <c r="AK64" s="2136"/>
      <c r="AL64" s="2136"/>
    </row>
    <row r="65" spans="7:38">
      <c r="G65" s="3350"/>
      <c r="H65" s="3350"/>
      <c r="I65" s="4107" t="s">
        <v>3739</v>
      </c>
      <c r="J65" s="3350"/>
      <c r="K65" s="3350"/>
      <c r="L65" s="3350"/>
      <c r="M65" s="3350"/>
      <c r="N65" s="3350"/>
      <c r="O65" s="3350"/>
      <c r="P65" s="3350"/>
      <c r="Q65" s="3350"/>
      <c r="R65" s="3350"/>
      <c r="S65" s="3350"/>
      <c r="T65" s="3350"/>
      <c r="U65" s="3350"/>
      <c r="V65" s="3350"/>
      <c r="W65" s="3350"/>
      <c r="X65" s="2136"/>
      <c r="Y65" s="2136"/>
      <c r="Z65" s="2136"/>
      <c r="AA65" s="2136"/>
      <c r="AB65" s="1618"/>
      <c r="AC65" s="1618"/>
      <c r="AD65" s="1618"/>
      <c r="AE65" s="1618"/>
      <c r="AF65" s="1618"/>
      <c r="AG65" s="1618"/>
      <c r="AH65" s="1618"/>
      <c r="AI65" s="4324"/>
      <c r="AJ65" s="4325"/>
      <c r="AK65" s="2136"/>
      <c r="AL65" s="2136"/>
    </row>
    <row r="66" spans="7:38">
      <c r="G66" s="3350"/>
      <c r="H66" s="3350"/>
      <c r="I66" s="4107" t="s">
        <v>3740</v>
      </c>
      <c r="J66" s="3350"/>
      <c r="K66" s="3350"/>
      <c r="L66" s="3350"/>
      <c r="M66" s="3350"/>
      <c r="N66" s="3350"/>
      <c r="O66" s="3350"/>
      <c r="P66" s="3350"/>
      <c r="Q66" s="3350"/>
      <c r="R66" s="3350"/>
      <c r="S66" s="3350"/>
      <c r="T66" s="3350"/>
      <c r="U66" s="3350"/>
      <c r="V66" s="3350"/>
      <c r="W66" s="3350"/>
      <c r="X66" s="2136"/>
      <c r="Y66" s="2136"/>
      <c r="Z66" s="2136"/>
      <c r="AA66" s="2136"/>
      <c r="AB66" s="1618"/>
      <c r="AC66" s="1618"/>
      <c r="AD66" s="1618"/>
      <c r="AE66" s="1618"/>
      <c r="AF66" s="1618"/>
      <c r="AG66" s="1618"/>
      <c r="AH66" s="1618"/>
      <c r="AI66" s="4324"/>
      <c r="AJ66" s="4325"/>
      <c r="AK66" s="2136"/>
      <c r="AL66" s="2136"/>
    </row>
    <row r="67" spans="7:38">
      <c r="G67" s="3350"/>
      <c r="H67" s="3350"/>
      <c r="I67" s="3350" t="str">
        <f>"before December 31, "&amp;TaxYear-1&amp;" (DPAD)"</f>
        <v>before December 31, 2017 (DPAD)</v>
      </c>
      <c r="J67" s="3350"/>
      <c r="K67" s="3350"/>
      <c r="L67" s="3350"/>
      <c r="M67" s="3350"/>
      <c r="N67" s="3350"/>
      <c r="O67" s="3350"/>
      <c r="P67" s="3350"/>
      <c r="Q67" s="3350"/>
      <c r="R67" s="3350"/>
      <c r="S67" s="3350"/>
      <c r="T67" s="5620"/>
      <c r="U67" s="5620"/>
      <c r="V67" s="5620"/>
      <c r="W67" s="3350"/>
      <c r="X67" s="2136"/>
      <c r="Y67" s="2136"/>
      <c r="Z67" s="2136"/>
      <c r="AA67" s="2136"/>
      <c r="AB67" s="1618" t="s">
        <v>3748</v>
      </c>
      <c r="AC67" s="1618"/>
      <c r="AD67" s="1618"/>
      <c r="AE67" s="1618"/>
      <c r="AF67" s="1618"/>
      <c r="AG67" s="1618"/>
      <c r="AH67" s="1618"/>
      <c r="AI67" s="4324">
        <f>IF(T67&lt;&gt;"",ROUND(T67,0),0)</f>
        <v>0</v>
      </c>
      <c r="AJ67" s="4325" t="str">
        <f>IF(T67&lt;&gt;"",AB67&amp;" - "&amp;TEXT(AI67,"$0")&amp;"  ","")</f>
        <v/>
      </c>
      <c r="AK67" s="2136"/>
      <c r="AL67" s="2136"/>
    </row>
    <row r="68" spans="7:38">
      <c r="G68" s="3350"/>
      <c r="H68" s="3350"/>
      <c r="I68" s="3350"/>
      <c r="J68" s="3350"/>
      <c r="K68" s="3350"/>
      <c r="L68" s="3350"/>
      <c r="M68" s="3350"/>
      <c r="N68" s="3350"/>
      <c r="O68" s="3350"/>
      <c r="P68" s="3350"/>
      <c r="Q68" s="3350"/>
      <c r="R68" s="3350"/>
      <c r="S68" s="3350"/>
      <c r="T68" s="3350"/>
      <c r="U68" s="3350"/>
      <c r="V68" s="3350"/>
      <c r="W68" s="3350"/>
      <c r="X68" s="2136"/>
      <c r="Y68" s="2136"/>
      <c r="Z68" s="2136"/>
      <c r="AA68" s="2136"/>
      <c r="AB68" s="1618"/>
      <c r="AC68" s="1618"/>
      <c r="AD68" s="1618"/>
      <c r="AE68" s="1618"/>
      <c r="AF68" s="1618"/>
      <c r="AG68" s="1618"/>
      <c r="AH68" s="1618"/>
      <c r="AI68" s="4324"/>
      <c r="AJ68" s="1786" t="str">
        <f>AJ45&amp;AJ46&amp;AJ47&amp;AJ49&amp;AJ51&amp;AJ54&amp;AJ56&amp;AJ58&amp;AJ60&amp;AJ63&amp;AJ67</f>
        <v/>
      </c>
      <c r="AK68" s="2136"/>
      <c r="AL68" s="2136"/>
    </row>
    <row r="69" spans="7:38">
      <c r="G69" s="3350"/>
      <c r="H69" s="3350"/>
      <c r="I69" s="3350"/>
      <c r="J69" s="3350"/>
      <c r="K69" s="3350"/>
      <c r="L69" s="3350"/>
      <c r="M69" s="3350"/>
      <c r="N69" s="3350"/>
      <c r="O69" s="3350"/>
      <c r="P69" s="3350"/>
      <c r="Q69" s="3350"/>
      <c r="R69" s="4326" t="s">
        <v>3752</v>
      </c>
      <c r="S69" s="3350"/>
      <c r="T69" s="5517">
        <f>SUM(AI45,AI46,AI47,AI49,AI51,AI54,AI56,AI58,AI60,AI63,AI67)</f>
        <v>0</v>
      </c>
      <c r="U69" s="5517"/>
      <c r="V69" s="5517"/>
      <c r="W69" s="3350"/>
      <c r="AB69" s="1618"/>
      <c r="AC69" s="1618"/>
      <c r="AD69" s="1618"/>
      <c r="AE69" s="1618"/>
      <c r="AF69" s="1618"/>
      <c r="AG69" s="1618"/>
      <c r="AH69" s="1618"/>
      <c r="AI69" s="1618"/>
      <c r="AJ69" s="1618"/>
      <c r="AK69" s="1618"/>
      <c r="AL69" s="2136"/>
    </row>
    <row r="70" spans="7:38">
      <c r="G70" s="3350"/>
      <c r="H70" s="3350"/>
      <c r="I70" s="3350"/>
      <c r="J70" s="3350"/>
      <c r="K70" s="3350"/>
      <c r="L70" s="3350"/>
      <c r="M70" s="3350"/>
      <c r="N70" s="3350"/>
      <c r="O70" s="3350"/>
      <c r="P70" s="3350"/>
      <c r="Q70" s="3350"/>
      <c r="R70" s="3350"/>
      <c r="S70" s="3350"/>
      <c r="T70" s="3350"/>
      <c r="U70" s="3350"/>
      <c r="V70" s="3350"/>
      <c r="W70" s="3350"/>
      <c r="AB70" s="1618"/>
      <c r="AC70" s="1618"/>
      <c r="AD70" s="1618"/>
      <c r="AE70" s="1618"/>
      <c r="AF70" s="1618"/>
      <c r="AG70" s="1618"/>
      <c r="AH70" s="1618"/>
      <c r="AI70" s="1618"/>
      <c r="AJ70" s="1618"/>
      <c r="AK70" s="1618"/>
      <c r="AL70" s="2136"/>
    </row>
    <row r="71" spans="7:38">
      <c r="AL71" s="1618"/>
    </row>
    <row r="72" spans="7:38">
      <c r="AL72" s="1618"/>
    </row>
  </sheetData>
  <sheetProtection password="F07E" sheet="1" objects="1" scenarios="1"/>
  <mergeCells count="67">
    <mergeCell ref="T69:V69"/>
    <mergeCell ref="M40:Z40"/>
    <mergeCell ref="M42:V42"/>
    <mergeCell ref="T56:V56"/>
    <mergeCell ref="T58:V58"/>
    <mergeCell ref="T60:V60"/>
    <mergeCell ref="T63:V63"/>
    <mergeCell ref="T67:V67"/>
    <mergeCell ref="T45:V45"/>
    <mergeCell ref="T46:V46"/>
    <mergeCell ref="T47:V47"/>
    <mergeCell ref="T51:V51"/>
    <mergeCell ref="T54:V54"/>
    <mergeCell ref="T49:V49"/>
    <mergeCell ref="T44:V44"/>
    <mergeCell ref="AJ7:AJ9"/>
    <mergeCell ref="W36:AA36"/>
    <mergeCell ref="W37:AA37"/>
    <mergeCell ref="W38:AA38"/>
    <mergeCell ref="W39:AA39"/>
    <mergeCell ref="W32:AA32"/>
    <mergeCell ref="W33:AA33"/>
    <mergeCell ref="W34:AA34"/>
    <mergeCell ref="W35:AA35"/>
    <mergeCell ref="AC24:AG24"/>
    <mergeCell ref="AC23:AG23"/>
    <mergeCell ref="AC18:AG18"/>
    <mergeCell ref="AC19:AG19"/>
    <mergeCell ref="AC20:AG20"/>
    <mergeCell ref="AC38:AG38"/>
    <mergeCell ref="AC39:AG39"/>
    <mergeCell ref="B10:E10"/>
    <mergeCell ref="B11:E11"/>
    <mergeCell ref="B2:F3"/>
    <mergeCell ref="B4:F4"/>
    <mergeCell ref="B8:AA9"/>
    <mergeCell ref="B6:F6"/>
    <mergeCell ref="B5:F5"/>
    <mergeCell ref="AB2:AG2"/>
    <mergeCell ref="AB8:AG9"/>
    <mergeCell ref="AB3:AG4"/>
    <mergeCell ref="AC5:AG6"/>
    <mergeCell ref="P35:T35"/>
    <mergeCell ref="W27:AA27"/>
    <mergeCell ref="W28:AA28"/>
    <mergeCell ref="W29:AA29"/>
    <mergeCell ref="AC22:AG22"/>
    <mergeCell ref="AC11:AG11"/>
    <mergeCell ref="Q22:AA22"/>
    <mergeCell ref="W30:AA30"/>
    <mergeCell ref="W31:AA31"/>
    <mergeCell ref="AC34:AG34"/>
    <mergeCell ref="W25:AA25"/>
    <mergeCell ref="W26:AA26"/>
    <mergeCell ref="B45:E47"/>
    <mergeCell ref="AN29:AN42"/>
    <mergeCell ref="AN12:AN25"/>
    <mergeCell ref="AC40:AG40"/>
    <mergeCell ref="AC35:AG35"/>
    <mergeCell ref="AC36:AG36"/>
    <mergeCell ref="AC37:AG37"/>
    <mergeCell ref="B25:E25"/>
    <mergeCell ref="B26:E26"/>
    <mergeCell ref="AC12:AG12"/>
    <mergeCell ref="AC13:AG13"/>
    <mergeCell ref="AC14:AG14"/>
    <mergeCell ref="AC15:AG15"/>
  </mergeCells>
  <conditionalFormatting sqref="B8 AB8">
    <cfRule type="expression" dxfId="2803" priority="124">
      <formula>NoColor</formula>
    </cfRule>
  </conditionalFormatting>
  <conditionalFormatting sqref="AC11:AG11">
    <cfRule type="expression" dxfId="2802" priority="52">
      <formula>IF(NoColor,1,0)</formula>
    </cfRule>
  </conditionalFormatting>
  <conditionalFormatting sqref="W28:AA28">
    <cfRule type="expression" dxfId="2801" priority="48">
      <formula>IF(NoColor,1,0)</formula>
    </cfRule>
  </conditionalFormatting>
  <conditionalFormatting sqref="AC40:AG40">
    <cfRule type="expression" dxfId="2800" priority="44">
      <formula>IF(NoColor,1,0)</formula>
    </cfRule>
  </conditionalFormatting>
  <conditionalFormatting sqref="W35:AA35">
    <cfRule type="expression" dxfId="2799" priority="35">
      <formula>IF(NoColor,1,0)</formula>
    </cfRule>
  </conditionalFormatting>
  <conditionalFormatting sqref="Z14">
    <cfRule type="expression" dxfId="2798" priority="34">
      <formula>IF(NoColor,1,0)</formula>
    </cfRule>
  </conditionalFormatting>
  <conditionalFormatting sqref="P35:T35">
    <cfRule type="expression" dxfId="2797" priority="32">
      <formula>IF(NoColor,1,0)</formula>
    </cfRule>
  </conditionalFormatting>
  <conditionalFormatting sqref="AH12">
    <cfRule type="expression" dxfId="2796" priority="29">
      <formula>(AC12&lt;&gt;"")</formula>
    </cfRule>
  </conditionalFormatting>
  <conditionalFormatting sqref="AH35">
    <cfRule type="expression" dxfId="2795" priority="28">
      <formula>AlimonyPaid&lt;&gt;""</formula>
    </cfRule>
  </conditionalFormatting>
  <conditionalFormatting sqref="B4:F4">
    <cfRule type="expression" dxfId="2794" priority="26">
      <formula>NOT(Draft)</formula>
    </cfRule>
  </conditionalFormatting>
  <conditionalFormatting sqref="G4">
    <cfRule type="expression" dxfId="2793" priority="25">
      <formula>NOT(Draft)</formula>
    </cfRule>
  </conditionalFormatting>
  <conditionalFormatting sqref="M40">
    <cfRule type="expression" dxfId="2792" priority="24">
      <formula>IF(NoColor,1,0)</formula>
    </cfRule>
  </conditionalFormatting>
  <conditionalFormatting sqref="G12">
    <cfRule type="expression" dxfId="2791" priority="22">
      <formula>AND(AlimonyRcvd&lt;&gt;"",AH12="",NOT(NoColor))</formula>
    </cfRule>
  </conditionalFormatting>
  <conditionalFormatting sqref="W32:AA33">
    <cfRule type="expression" dxfId="2790" priority="19">
      <formula>IF(NoColor,1,0)</formula>
    </cfRule>
  </conditionalFormatting>
  <conditionalFormatting sqref="W30:AA30">
    <cfRule type="expression" dxfId="2789" priority="18">
      <formula>IF(NoColor,1,0)</formula>
    </cfRule>
  </conditionalFormatting>
  <conditionalFormatting sqref="W27:AA27">
    <cfRule type="expression" dxfId="2788" priority="17">
      <formula>IF(NoColor,1,0)</formula>
    </cfRule>
  </conditionalFormatting>
  <conditionalFormatting sqref="W25:AA25">
    <cfRule type="expression" dxfId="2787" priority="16">
      <formula>IF(NoColor,1,0)</formula>
    </cfRule>
  </conditionalFormatting>
  <conditionalFormatting sqref="AC15:AG15">
    <cfRule type="expression" dxfId="2786" priority="15">
      <formula>IF(NoColor,1,0)</formula>
    </cfRule>
  </conditionalFormatting>
  <conditionalFormatting sqref="AC12:AG12">
    <cfRule type="expression" dxfId="2785" priority="14">
      <formula>IF(NoColor,1,0)</formula>
    </cfRule>
  </conditionalFormatting>
  <conditionalFormatting sqref="AC13:AG14">
    <cfRule type="expression" dxfId="2784" priority="13">
      <formula>IF(NoColor,1,0)</formula>
    </cfRule>
  </conditionalFormatting>
  <conditionalFormatting sqref="AC18:AG19">
    <cfRule type="expression" dxfId="2783" priority="12">
      <formula>IF(NoColor,1,0)</formula>
    </cfRule>
  </conditionalFormatting>
  <conditionalFormatting sqref="AC22:AG22">
    <cfRule type="expression" dxfId="2782" priority="11">
      <formula>IF(NoColor,1,0)</formula>
    </cfRule>
  </conditionalFormatting>
  <conditionalFormatting sqref="AC24:AG24">
    <cfRule type="expression" dxfId="2781" priority="10">
      <formula>IF(NoColor,1,0)</formula>
    </cfRule>
  </conditionalFormatting>
  <conditionalFormatting sqref="W31:AA31">
    <cfRule type="expression" dxfId="2780" priority="9">
      <formula>IF(NoColor,1,0)</formula>
    </cfRule>
  </conditionalFormatting>
  <conditionalFormatting sqref="W34:AA34">
    <cfRule type="expression" dxfId="2779" priority="8">
      <formula>IF(NoColor,1,0)</formula>
    </cfRule>
  </conditionalFormatting>
  <conditionalFormatting sqref="W36:AA37">
    <cfRule type="expression" dxfId="2778" priority="7">
      <formula>IF(NoColor,1,0)</formula>
    </cfRule>
  </conditionalFormatting>
  <conditionalFormatting sqref="AN11">
    <cfRule type="expression" dxfId="2777" priority="6">
      <formula>$AC$12&lt;&gt;""</formula>
    </cfRule>
  </conditionalFormatting>
  <conditionalFormatting sqref="AN12:AN25">
    <cfRule type="expression" dxfId="2776" priority="5">
      <formula>$AC$12&lt;&gt;""</formula>
    </cfRule>
  </conditionalFormatting>
  <conditionalFormatting sqref="AN28">
    <cfRule type="expression" dxfId="2775" priority="4">
      <formula>$W$35&lt;&gt;""</formula>
    </cfRule>
  </conditionalFormatting>
  <conditionalFormatting sqref="AN29:AN42">
    <cfRule type="expression" dxfId="2774" priority="3">
      <formula>$W$35&lt;&gt;""</formula>
    </cfRule>
  </conditionalFormatting>
  <conditionalFormatting sqref="AC20:AG20">
    <cfRule type="expression" dxfId="2773" priority="2">
      <formula>IF(NoColor,1,0)</formula>
    </cfRule>
  </conditionalFormatting>
  <conditionalFormatting sqref="W38:AA38">
    <cfRule type="expression" dxfId="2772" priority="1">
      <formula>IF(NoColor,1,0)</formula>
    </cfRule>
  </conditionalFormatting>
  <hyperlinks>
    <hyperlink ref="B45:E47" location="'Table of Contents'!A1" display="Table of Contents"/>
  </hyperlinks>
  <pageMargins left="0.45" right="0.45" top="0.5" bottom="0.5" header="0" footer="0"/>
  <pageSetup scale="84"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21"/>
  <sheetViews>
    <sheetView zoomScaleNormal="100" zoomScaleSheetLayoutView="100" workbookViewId="0">
      <selection activeCell="B19" sqref="B19:F21"/>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3.42578125" style="46"/>
    <col min="39" max="39" width="10.7109375" style="3742" customWidth="1"/>
    <col min="40" max="49" width="10.7109375" style="3169" customWidth="1"/>
    <col min="50" max="16384" width="3.42578125" style="46"/>
  </cols>
  <sheetData>
    <row r="1" spans="1:39"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1443"/>
      <c r="AJ1" s="396"/>
      <c r="AM1" s="3741" t="s">
        <v>2552</v>
      </c>
    </row>
    <row r="2" spans="1:39" ht="11.25" customHeight="1">
      <c r="A2" s="3350"/>
      <c r="B2" s="5594" t="s">
        <v>3031</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576" t="s">
        <v>169</v>
      </c>
      <c r="AC2" s="5577"/>
      <c r="AD2" s="5577"/>
      <c r="AE2" s="5577"/>
      <c r="AF2" s="5577"/>
      <c r="AG2" s="5577"/>
      <c r="AH2" s="3350"/>
      <c r="AI2" s="1443"/>
      <c r="AJ2" s="396"/>
    </row>
    <row r="3" spans="1:39" ht="16.5" customHeight="1">
      <c r="A3" s="3350"/>
      <c r="B3" s="5595"/>
      <c r="C3" s="5595"/>
      <c r="D3" s="5595"/>
      <c r="E3" s="5595"/>
      <c r="F3" s="5596"/>
      <c r="G3" s="3728" t="s">
        <v>3030</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I3" s="1443"/>
      <c r="AJ3" s="396"/>
    </row>
    <row r="4" spans="1:39" ht="14.25" customHeight="1">
      <c r="A4" s="3350"/>
      <c r="B4" s="5625"/>
      <c r="C4" s="5626"/>
      <c r="D4" s="5626"/>
      <c r="E4" s="5626"/>
      <c r="F4" s="5627"/>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I4" s="1443"/>
      <c r="AJ4" s="396"/>
    </row>
    <row r="5" spans="1:39" ht="14.25" customHeight="1">
      <c r="A5" s="3350"/>
      <c r="B5" s="5606" t="s">
        <v>202</v>
      </c>
      <c r="C5" s="5606"/>
      <c r="D5" s="5606"/>
      <c r="E5" s="5606"/>
      <c r="F5" s="5607"/>
      <c r="G5" s="1610"/>
      <c r="H5" s="1443"/>
      <c r="I5" s="1443"/>
      <c r="J5" s="1443"/>
      <c r="K5" s="1443"/>
      <c r="L5" s="1443"/>
      <c r="M5" s="1443"/>
      <c r="N5" s="1443"/>
      <c r="O5" s="1443"/>
      <c r="P5" s="1615" t="s">
        <v>2658</v>
      </c>
      <c r="Q5" s="1443"/>
      <c r="R5" s="1443"/>
      <c r="S5" s="1443"/>
      <c r="T5" s="1443"/>
      <c r="U5" s="1443"/>
      <c r="V5" s="1443"/>
      <c r="W5" s="1443"/>
      <c r="X5" s="1443"/>
      <c r="Y5" s="1443"/>
      <c r="Z5" s="1443"/>
      <c r="AA5" s="1443"/>
      <c r="AB5" s="3725"/>
      <c r="AC5" s="5584" t="s">
        <v>3767</v>
      </c>
      <c r="AD5" s="5628"/>
      <c r="AE5" s="5628"/>
      <c r="AF5" s="5628"/>
      <c r="AG5" s="5628"/>
      <c r="AH5" s="3350"/>
      <c r="AI5" s="1443"/>
      <c r="AJ5" s="396"/>
    </row>
    <row r="6" spans="1:39" ht="14.25" customHeight="1" thickBot="1">
      <c r="A6" s="3350"/>
      <c r="B6" s="5604" t="s">
        <v>450</v>
      </c>
      <c r="C6" s="5604"/>
      <c r="D6" s="5604"/>
      <c r="E6" s="5604"/>
      <c r="F6" s="5605"/>
      <c r="G6" s="3745" t="s">
        <v>3006</v>
      </c>
      <c r="H6" s="3746"/>
      <c r="I6" s="3745"/>
      <c r="J6" s="3747"/>
      <c r="K6" s="3746"/>
      <c r="L6" s="3746"/>
      <c r="M6" s="3746"/>
      <c r="N6" s="3746"/>
      <c r="O6" s="3746"/>
      <c r="P6" s="3746"/>
      <c r="Q6" s="3746"/>
      <c r="R6" s="3746"/>
      <c r="S6" s="3746"/>
      <c r="T6" s="3746"/>
      <c r="U6" s="3746"/>
      <c r="V6" s="3746"/>
      <c r="W6" s="3746"/>
      <c r="X6" s="3746"/>
      <c r="Y6" s="3746"/>
      <c r="Z6" s="3746"/>
      <c r="AA6" s="3746"/>
      <c r="AB6" s="3726"/>
      <c r="AC6" s="5629"/>
      <c r="AD6" s="5629"/>
      <c r="AE6" s="5629"/>
      <c r="AF6" s="5629"/>
      <c r="AG6" s="5629"/>
      <c r="AH6" s="3350"/>
      <c r="AI6" s="1443"/>
      <c r="AJ6" s="396"/>
    </row>
    <row r="7" spans="1:39">
      <c r="A7" s="3350"/>
      <c r="B7" s="1607"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3029</v>
      </c>
      <c r="AC7" s="1605"/>
      <c r="AD7" s="1605"/>
      <c r="AE7" s="1605"/>
      <c r="AF7" s="1605"/>
      <c r="AG7" s="1605"/>
      <c r="AH7" s="3350"/>
      <c r="AI7" s="1443"/>
      <c r="AJ7" s="5608" t="s">
        <v>2161</v>
      </c>
    </row>
    <row r="8" spans="1:39"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I8" s="1443"/>
      <c r="AJ8" s="5609"/>
    </row>
    <row r="9" spans="1:39"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I9" s="1443"/>
      <c r="AJ9" s="5610"/>
    </row>
    <row r="10" spans="1:39" ht="14.25" customHeight="1">
      <c r="A10" s="3350"/>
      <c r="B10" s="5571" t="s">
        <v>3030</v>
      </c>
      <c r="C10" s="5572"/>
      <c r="D10" s="5572"/>
      <c r="E10" s="5572"/>
      <c r="F10" s="2254" t="s">
        <v>3301</v>
      </c>
      <c r="G10" s="1607" t="s">
        <v>3008</v>
      </c>
      <c r="H10" s="1607"/>
      <c r="I10" s="1443"/>
      <c r="J10" s="1443"/>
      <c r="K10" s="1443"/>
      <c r="L10" s="1443"/>
      <c r="M10" s="1443"/>
      <c r="N10" s="1443"/>
      <c r="O10" s="1443"/>
      <c r="P10" s="1443"/>
      <c r="Q10" s="1443"/>
      <c r="R10" s="1443"/>
      <c r="S10" s="1443"/>
      <c r="T10" s="1443"/>
      <c r="U10" s="1443"/>
      <c r="V10" s="1443"/>
      <c r="W10" s="1443"/>
      <c r="X10" s="1443"/>
      <c r="Y10" s="1443"/>
      <c r="Z10" s="1443"/>
      <c r="AA10" s="1943" t="s">
        <v>3242</v>
      </c>
      <c r="AB10" s="3731" t="s">
        <v>3301</v>
      </c>
      <c r="AC10" s="1945"/>
      <c r="AD10" s="1945"/>
      <c r="AE10" s="1945"/>
      <c r="AF10" s="1945"/>
      <c r="AG10" s="3727"/>
      <c r="AH10" s="3350"/>
      <c r="AI10" s="1443"/>
      <c r="AJ10" s="396"/>
    </row>
    <row r="11" spans="1:39" ht="14.25" customHeight="1">
      <c r="A11" s="3350"/>
      <c r="B11" s="3287"/>
      <c r="C11" s="3285"/>
      <c r="D11" s="1443"/>
      <c r="E11" s="1443"/>
      <c r="F11" s="2254">
        <v>45</v>
      </c>
      <c r="G11" s="1607" t="s">
        <v>4324</v>
      </c>
      <c r="H11" s="1443"/>
      <c r="I11" s="1443"/>
      <c r="J11" s="1443"/>
      <c r="K11" s="1443"/>
      <c r="L11" s="1443"/>
      <c r="M11" s="1443"/>
      <c r="N11" s="1443"/>
      <c r="O11" s="1443"/>
      <c r="P11" s="1443"/>
      <c r="Q11" s="1443"/>
      <c r="R11" s="1443"/>
      <c r="S11" s="1443"/>
      <c r="T11" s="1443"/>
      <c r="U11" s="1443"/>
      <c r="V11" s="1443"/>
      <c r="W11" s="1443"/>
      <c r="X11" s="1443"/>
      <c r="Y11" s="1443"/>
      <c r="Z11" s="1443"/>
      <c r="AA11" s="1943" t="s">
        <v>1312</v>
      </c>
      <c r="AB11" s="2710">
        <v>45</v>
      </c>
      <c r="AC11" s="5463" t="str">
        <f>IF(AJ11&lt;&gt;"",ROUND(AJ11,0),IF(FilingStatusError,"",AMT))</f>
        <v/>
      </c>
      <c r="AD11" s="5622"/>
      <c r="AE11" s="5622"/>
      <c r="AF11" s="5622"/>
      <c r="AG11" s="5622"/>
      <c r="AH11" s="3350"/>
      <c r="AI11" s="1443"/>
      <c r="AJ11" s="3470"/>
    </row>
    <row r="12" spans="1:39" ht="14.25" customHeight="1">
      <c r="A12" s="3350"/>
      <c r="B12" s="3287"/>
      <c r="C12" s="3285"/>
      <c r="D12" s="1443"/>
      <c r="E12" s="1443"/>
      <c r="F12" s="2254">
        <v>46</v>
      </c>
      <c r="G12" s="1607" t="s">
        <v>4325</v>
      </c>
      <c r="H12" s="1443"/>
      <c r="I12" s="1443"/>
      <c r="J12" s="1443"/>
      <c r="K12" s="1443"/>
      <c r="L12" s="1443"/>
      <c r="M12" s="1443"/>
      <c r="N12" s="1443"/>
      <c r="O12" s="1443"/>
      <c r="P12" s="1443"/>
      <c r="Q12" s="1443"/>
      <c r="R12" s="1443"/>
      <c r="S12" s="1443"/>
      <c r="T12" s="1443"/>
      <c r="U12" s="1443"/>
      <c r="V12" s="1443"/>
      <c r="W12" s="1443"/>
      <c r="X12" s="1443"/>
      <c r="Y12" s="1443"/>
      <c r="Z12" s="1443"/>
      <c r="AA12" s="1943" t="s">
        <v>2426</v>
      </c>
      <c r="AB12" s="2710">
        <v>46</v>
      </c>
      <c r="AC12" s="5463" t="str">
        <f>IF(AJ12&lt;&gt;"",AJ12,PTC_Excess)</f>
        <v/>
      </c>
      <c r="AD12" s="5622"/>
      <c r="AE12" s="5622"/>
      <c r="AF12" s="5622"/>
      <c r="AG12" s="5622"/>
      <c r="AH12" s="3350"/>
      <c r="AI12" s="1443"/>
      <c r="AJ12" s="3470"/>
    </row>
    <row r="13" spans="1:39" ht="14.25" customHeight="1">
      <c r="A13" s="3350"/>
      <c r="B13" s="3287"/>
      <c r="C13" s="3285"/>
      <c r="D13" s="1443"/>
      <c r="E13" s="1443"/>
      <c r="F13" s="2254">
        <v>47</v>
      </c>
      <c r="G13" s="1607" t="s">
        <v>3300</v>
      </c>
      <c r="H13" s="1443"/>
      <c r="I13" s="1443"/>
      <c r="J13" s="1443"/>
      <c r="K13" s="1443"/>
      <c r="L13" s="1443"/>
      <c r="M13" s="1443"/>
      <c r="N13" s="1443"/>
      <c r="O13" s="1443"/>
      <c r="P13" s="1443"/>
      <c r="Q13" s="1443"/>
      <c r="R13" s="1443"/>
      <c r="S13" s="1443"/>
      <c r="T13" s="1443"/>
      <c r="U13" s="1443"/>
      <c r="V13" s="1443"/>
      <c r="W13" s="1443"/>
      <c r="X13" s="1443"/>
      <c r="Y13" s="1443"/>
      <c r="Z13" s="1443"/>
      <c r="AA13" s="1443"/>
      <c r="AB13" s="3791"/>
      <c r="AC13" s="3749"/>
      <c r="AD13" s="3750"/>
      <c r="AE13" s="3750"/>
      <c r="AF13" s="3750"/>
      <c r="AG13" s="3750"/>
      <c r="AH13" s="3350"/>
      <c r="AI13" s="1443"/>
      <c r="AJ13" s="4726"/>
    </row>
    <row r="14" spans="1:39" ht="14.25" customHeight="1" thickBot="1">
      <c r="A14" s="3350"/>
      <c r="B14" s="3287"/>
      <c r="C14" s="3285"/>
      <c r="D14" s="1443"/>
      <c r="E14" s="1443"/>
      <c r="F14" s="2254"/>
      <c r="G14" s="1607" t="s">
        <v>3299</v>
      </c>
      <c r="H14" s="1443"/>
      <c r="I14" s="1443"/>
      <c r="J14" s="1443"/>
      <c r="K14" s="1443"/>
      <c r="L14" s="1443"/>
      <c r="M14" s="1443"/>
      <c r="N14" s="1443"/>
      <c r="O14" s="1443"/>
      <c r="P14" s="1443"/>
      <c r="Q14" s="1443"/>
      <c r="R14" s="1443"/>
      <c r="S14" s="1443"/>
      <c r="T14" s="1443"/>
      <c r="U14" s="1443"/>
      <c r="V14" s="1443"/>
      <c r="W14" s="1443"/>
      <c r="X14" s="1443"/>
      <c r="Y14" s="1443"/>
      <c r="Z14" s="1443"/>
      <c r="AA14" s="1943" t="s">
        <v>3542</v>
      </c>
      <c r="AB14" s="1940">
        <v>47</v>
      </c>
      <c r="AC14" s="5623">
        <f>IF(AJ14&lt;&gt;"",ROUND(AJ14,0),SUM(AC11:AG12))</f>
        <v>0</v>
      </c>
      <c r="AD14" s="5624"/>
      <c r="AE14" s="5624"/>
      <c r="AF14" s="5624"/>
      <c r="AG14" s="5624"/>
      <c r="AH14" s="3350"/>
      <c r="AI14" s="1443"/>
      <c r="AJ14" s="3470"/>
    </row>
    <row r="15" spans="1:39">
      <c r="A15" s="3350"/>
      <c r="B15" s="4029" t="s">
        <v>564</v>
      </c>
      <c r="C15" s="3722"/>
      <c r="D15" s="1605"/>
      <c r="E15" s="1605"/>
      <c r="F15" s="1605"/>
      <c r="G15" s="1605"/>
      <c r="H15" s="1605"/>
      <c r="I15" s="1605"/>
      <c r="J15" s="1605"/>
      <c r="K15" s="1605"/>
      <c r="L15" s="1605"/>
      <c r="M15" s="1605"/>
      <c r="N15" s="1605"/>
      <c r="O15" s="1605"/>
      <c r="P15" s="1605"/>
      <c r="Q15" s="1605"/>
      <c r="R15" s="1605"/>
      <c r="S15" s="1605"/>
      <c r="T15" s="3739"/>
      <c r="U15" s="3739" t="s">
        <v>3032</v>
      </c>
      <c r="V15" s="1605"/>
      <c r="W15" s="3724"/>
      <c r="X15" s="1605"/>
      <c r="Y15" s="1605"/>
      <c r="Z15" s="1605"/>
      <c r="AA15" s="1605"/>
      <c r="AB15" s="1605"/>
      <c r="AC15" s="1605"/>
      <c r="AD15" s="1605"/>
      <c r="AE15" s="1605"/>
      <c r="AF15" s="1605"/>
      <c r="AG15" s="4725" t="str">
        <f>"Schedule 2 (Form 1040) "&amp;TaxYear</f>
        <v>Schedule 2 (Form 1040) 2018</v>
      </c>
      <c r="AH15" s="3350"/>
      <c r="AI15" s="1443"/>
      <c r="AJ15" s="396"/>
    </row>
    <row r="16" spans="1:39">
      <c r="A16" s="3350"/>
      <c r="B16" s="3350"/>
      <c r="C16" s="3350"/>
      <c r="D16" s="3350"/>
      <c r="E16" s="3350"/>
      <c r="F16" s="3350"/>
      <c r="G16" s="3350"/>
      <c r="H16" s="3350"/>
      <c r="I16" s="3350"/>
      <c r="J16" s="3350"/>
      <c r="K16" s="3350"/>
      <c r="L16" s="3350"/>
      <c r="M16" s="3350"/>
      <c r="N16" s="3350"/>
      <c r="O16" s="3350"/>
      <c r="P16" s="3350"/>
      <c r="Q16" s="3350"/>
      <c r="R16" s="3350"/>
      <c r="S16" s="3350"/>
      <c r="T16" s="3350"/>
      <c r="U16" s="3350"/>
      <c r="V16" s="3350"/>
      <c r="W16" s="3350"/>
      <c r="X16" s="3350"/>
      <c r="Y16" s="3350"/>
      <c r="Z16" s="3350"/>
      <c r="AA16" s="3350"/>
      <c r="AB16" s="3350"/>
      <c r="AC16" s="3350"/>
      <c r="AD16" s="3350"/>
      <c r="AE16" s="3350"/>
      <c r="AF16" s="3350"/>
      <c r="AG16" s="3350"/>
      <c r="AH16" s="3350"/>
      <c r="AI16" s="1443"/>
      <c r="AJ16" s="396"/>
    </row>
    <row r="18" spans="2:6" ht="13.5" thickBot="1"/>
    <row r="19" spans="2:6">
      <c r="B19" s="5558" t="s">
        <v>5009</v>
      </c>
      <c r="C19" s="5559"/>
      <c r="D19" s="5559"/>
      <c r="E19" s="5559"/>
      <c r="F19" s="5560"/>
    </row>
    <row r="20" spans="2:6">
      <c r="B20" s="5561"/>
      <c r="C20" s="5562"/>
      <c r="D20" s="5562"/>
      <c r="E20" s="5562"/>
      <c r="F20" s="5563"/>
    </row>
    <row r="21" spans="2:6" ht="13.5" thickBot="1">
      <c r="B21" s="5564"/>
      <c r="C21" s="5565"/>
      <c r="D21" s="5565"/>
      <c r="E21" s="5565"/>
      <c r="F21" s="5566"/>
    </row>
  </sheetData>
  <sheetProtection password="F07E" sheet="1" objects="1" scenarios="1"/>
  <mergeCells count="15">
    <mergeCell ref="B2:F3"/>
    <mergeCell ref="AB2:AG2"/>
    <mergeCell ref="AB3:AG4"/>
    <mergeCell ref="B4:F4"/>
    <mergeCell ref="AC5:AG6"/>
    <mergeCell ref="B6:F6"/>
    <mergeCell ref="B5:F5"/>
    <mergeCell ref="B19:F21"/>
    <mergeCell ref="AC12:AG12"/>
    <mergeCell ref="AC14:AG14"/>
    <mergeCell ref="AC11:AG11"/>
    <mergeCell ref="AJ7:AJ9"/>
    <mergeCell ref="B8:AA9"/>
    <mergeCell ref="AB8:AG9"/>
    <mergeCell ref="B10:E10"/>
  </mergeCells>
  <conditionalFormatting sqref="B8 AB8">
    <cfRule type="expression" dxfId="2771" priority="31">
      <formula>NoColor</formula>
    </cfRule>
  </conditionalFormatting>
  <conditionalFormatting sqref="AC14:AG14">
    <cfRule type="expression" dxfId="2770" priority="6">
      <formula>IF(NoColor,1,0)</formula>
    </cfRule>
  </conditionalFormatting>
  <conditionalFormatting sqref="AC11:AG11">
    <cfRule type="expression" dxfId="2769" priority="5">
      <formula>IF(NoColor,1,0)</formula>
    </cfRule>
  </conditionalFormatting>
  <conditionalFormatting sqref="AC12:AG13">
    <cfRule type="expression" dxfId="2768" priority="4">
      <formula>IF(NoColor,1,0)</formula>
    </cfRule>
  </conditionalFormatting>
  <conditionalFormatting sqref="B4:F4">
    <cfRule type="expression" dxfId="2767" priority="2">
      <formula>NOT(Draft)</formula>
    </cfRule>
  </conditionalFormatting>
  <conditionalFormatting sqref="G4">
    <cfRule type="expression" dxfId="2766" priority="1">
      <formula>NOT(Draft)</formula>
    </cfRule>
  </conditionalFormatting>
  <hyperlinks>
    <hyperlink ref="B19:F21" location="'Table of Contents'!A1" display="Table of Contents"/>
  </hyperlinks>
  <pageMargins left="0.45" right="0.45" top="0.5" bottom="0.5" header="0" footer="0"/>
  <pageSetup scale="84"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24"/>
  <sheetViews>
    <sheetView zoomScaleNormal="100" zoomScaleSheetLayoutView="100" workbookViewId="0">
      <selection activeCell="AL10" sqref="AL10:AM14"/>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21.85546875" style="46" customWidth="1"/>
    <col min="39" max="39" width="6.28515625" style="46" customWidth="1"/>
    <col min="40" max="40" width="3.42578125" style="46"/>
    <col min="41" max="41" width="10.7109375" style="3742" customWidth="1"/>
    <col min="42" max="51" width="10.7109375" style="3169" customWidth="1"/>
    <col min="52" max="53" width="3.42578125" style="46"/>
    <col min="54" max="64" width="3.28515625" style="46" customWidth="1"/>
    <col min="65" max="16384" width="3.42578125" style="46"/>
  </cols>
  <sheetData>
    <row r="1" spans="1:41"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1607"/>
      <c r="AJ1" s="396"/>
      <c r="AO1" s="3741" t="s">
        <v>2552</v>
      </c>
    </row>
    <row r="2" spans="1:41" ht="11.25" customHeight="1">
      <c r="A2" s="3350"/>
      <c r="B2" s="5594" t="s">
        <v>3033</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639" t="s">
        <v>169</v>
      </c>
      <c r="AC2" s="5640"/>
      <c r="AD2" s="5640"/>
      <c r="AE2" s="5640"/>
      <c r="AF2" s="5640"/>
      <c r="AG2" s="5640"/>
      <c r="AH2" s="3350"/>
      <c r="AI2" s="1607"/>
      <c r="AJ2" s="396"/>
    </row>
    <row r="3" spans="1:41" ht="16.5" customHeight="1">
      <c r="A3" s="3350"/>
      <c r="B3" s="5595"/>
      <c r="C3" s="5595"/>
      <c r="D3" s="5595"/>
      <c r="E3" s="5595"/>
      <c r="F3" s="5596"/>
      <c r="G3" s="4727" t="s">
        <v>3034</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I3" s="1607"/>
      <c r="AJ3" s="396"/>
    </row>
    <row r="4" spans="1:41" ht="14.25" customHeight="1">
      <c r="A4" s="3350"/>
      <c r="B4" s="5597"/>
      <c r="C4" s="5598"/>
      <c r="D4" s="5598"/>
      <c r="E4" s="5598"/>
      <c r="F4" s="5599"/>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I4" s="1607"/>
      <c r="AJ4" s="396"/>
    </row>
    <row r="5" spans="1:41" ht="14.25" customHeight="1">
      <c r="A5" s="3350"/>
      <c r="B5" s="5606" t="s">
        <v>202</v>
      </c>
      <c r="C5" s="5606"/>
      <c r="D5" s="5606"/>
      <c r="E5" s="5606"/>
      <c r="F5" s="5607"/>
      <c r="G5" s="1610"/>
      <c r="H5" s="1443"/>
      <c r="I5" s="1443"/>
      <c r="J5" s="1443"/>
      <c r="K5" s="1443"/>
      <c r="L5" s="1443"/>
      <c r="M5" s="1443"/>
      <c r="N5" s="1443"/>
      <c r="O5" s="1615" t="s">
        <v>2658</v>
      </c>
      <c r="P5" s="1615"/>
      <c r="Q5" s="1443"/>
      <c r="R5" s="1443"/>
      <c r="S5" s="1443"/>
      <c r="T5" s="1443"/>
      <c r="U5" s="1443"/>
      <c r="V5" s="1443"/>
      <c r="W5" s="1443"/>
      <c r="X5" s="1443"/>
      <c r="Y5" s="1443"/>
      <c r="Z5" s="1443"/>
      <c r="AA5" s="1443"/>
      <c r="AB5" s="3725"/>
      <c r="AC5" s="5584" t="s">
        <v>3768</v>
      </c>
      <c r="AD5" s="5628"/>
      <c r="AE5" s="5628"/>
      <c r="AF5" s="5628"/>
      <c r="AG5" s="5628"/>
      <c r="AH5" s="3350"/>
      <c r="AI5" s="1607"/>
      <c r="AJ5" s="396"/>
    </row>
    <row r="6" spans="1:41" ht="13.5" thickBot="1">
      <c r="A6" s="3350"/>
      <c r="B6" s="5641" t="s">
        <v>450</v>
      </c>
      <c r="C6" s="5641"/>
      <c r="D6" s="5641"/>
      <c r="E6" s="5641"/>
      <c r="F6" s="5642"/>
      <c r="G6" s="3745" t="s">
        <v>3006</v>
      </c>
      <c r="H6" s="3746"/>
      <c r="I6" s="3745"/>
      <c r="J6" s="3747"/>
      <c r="K6" s="3746"/>
      <c r="L6" s="3746"/>
      <c r="M6" s="3746"/>
      <c r="N6" s="3746"/>
      <c r="O6" s="3746"/>
      <c r="P6" s="3746"/>
      <c r="Q6" s="3746"/>
      <c r="R6" s="3746"/>
      <c r="S6" s="3746"/>
      <c r="T6" s="3746"/>
      <c r="U6" s="3746"/>
      <c r="V6" s="3746"/>
      <c r="W6" s="3746"/>
      <c r="X6" s="3746"/>
      <c r="Y6" s="3746"/>
      <c r="Z6" s="3746"/>
      <c r="AA6" s="3746"/>
      <c r="AB6" s="3726"/>
      <c r="AC6" s="5629"/>
      <c r="AD6" s="5629"/>
      <c r="AE6" s="5629"/>
      <c r="AF6" s="5629"/>
      <c r="AG6" s="5629"/>
      <c r="AH6" s="3350"/>
      <c r="AI6" s="1607"/>
      <c r="AJ6" s="396"/>
      <c r="AL6" s="1618">
        <f>IF(File_Marr_Joint&lt;&gt;"",600,300)</f>
        <v>300</v>
      </c>
    </row>
    <row r="7" spans="1:41">
      <c r="A7" s="3350"/>
      <c r="B7" s="1592"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3029</v>
      </c>
      <c r="AC7" s="1605"/>
      <c r="AD7" s="1605"/>
      <c r="AE7" s="1605"/>
      <c r="AF7" s="1605"/>
      <c r="AG7" s="1605"/>
      <c r="AH7" s="3350"/>
      <c r="AI7" s="1607"/>
      <c r="AJ7" s="5608" t="s">
        <v>2161</v>
      </c>
      <c r="AL7" s="2904" t="b">
        <f>Form1116_Required</f>
        <v>0</v>
      </c>
    </row>
    <row r="8" spans="1:41"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I8" s="1607"/>
      <c r="AJ8" s="5609"/>
    </row>
    <row r="9" spans="1:41"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I9" s="1607"/>
      <c r="AJ9" s="5610"/>
    </row>
    <row r="10" spans="1:41" ht="14.25" customHeight="1">
      <c r="A10" s="3350"/>
      <c r="B10" s="5637" t="s">
        <v>3035</v>
      </c>
      <c r="C10" s="5638"/>
      <c r="D10" s="5638"/>
      <c r="E10" s="5638"/>
      <c r="F10" s="2254">
        <v>48</v>
      </c>
      <c r="G10" s="1607" t="s">
        <v>3039</v>
      </c>
      <c r="H10" s="1607"/>
      <c r="I10" s="1443"/>
      <c r="J10" s="1443"/>
      <c r="K10" s="1443"/>
      <c r="L10" s="1443"/>
      <c r="M10" s="1443"/>
      <c r="N10" s="1443"/>
      <c r="O10" s="1443"/>
      <c r="P10" s="1443"/>
      <c r="Q10" s="1443"/>
      <c r="R10" s="1443"/>
      <c r="S10" s="1443"/>
      <c r="T10" s="1443"/>
      <c r="U10" s="1443"/>
      <c r="V10" s="1443"/>
      <c r="W10" s="1443"/>
      <c r="X10" s="1443"/>
      <c r="Y10" s="1443"/>
      <c r="Z10" s="1443"/>
      <c r="AA10" s="1943" t="s">
        <v>1993</v>
      </c>
      <c r="AB10" s="3731">
        <v>48</v>
      </c>
      <c r="AC10" s="5373">
        <f>IF(AJ10&lt;&gt;"",ROUND(AJ10,0),IF(ForeignTaxPaid&gt;0,SUM(ForeignTaxCredit_1,ForeignTaxCredit_2,ForeignTaxCredit_3),0))</f>
        <v>0</v>
      </c>
      <c r="AD10" s="5634"/>
      <c r="AE10" s="5634"/>
      <c r="AF10" s="5634"/>
      <c r="AG10" s="5634"/>
      <c r="AH10" s="3350"/>
      <c r="AI10" s="1607"/>
      <c r="AJ10" s="3470"/>
      <c r="AL10" s="5630" t="str">
        <f>IF(AND(ForeignTaxPaid&lt;&gt;"",ForeignTaxPaid&gt;0),'1116'!B2,"")</f>
        <v/>
      </c>
      <c r="AM10" s="5630"/>
    </row>
    <row r="11" spans="1:41" ht="14.25" customHeight="1">
      <c r="A11" s="3350"/>
      <c r="B11" s="5637" t="s">
        <v>3036</v>
      </c>
      <c r="C11" s="5638"/>
      <c r="D11" s="5638"/>
      <c r="E11" s="5638"/>
      <c r="F11" s="2254">
        <v>49</v>
      </c>
      <c r="G11" s="1607" t="s">
        <v>3038</v>
      </c>
      <c r="H11" s="1443"/>
      <c r="I11" s="1443"/>
      <c r="J11" s="1443"/>
      <c r="K11" s="1443"/>
      <c r="L11" s="1443"/>
      <c r="M11" s="1443"/>
      <c r="N11" s="1443"/>
      <c r="O11" s="1443"/>
      <c r="P11" s="1443"/>
      <c r="Q11" s="1443"/>
      <c r="R11" s="1443"/>
      <c r="S11" s="1443"/>
      <c r="T11" s="1443"/>
      <c r="U11" s="1443"/>
      <c r="V11" s="1443"/>
      <c r="W11" s="1443"/>
      <c r="X11" s="1443"/>
      <c r="Y11" s="1443"/>
      <c r="Z11" s="1443"/>
      <c r="AA11" s="1943" t="s">
        <v>3533</v>
      </c>
      <c r="AB11" s="2710">
        <v>49</v>
      </c>
      <c r="AC11" s="5373">
        <f>IF(AJ11&lt;&gt;"",ROUND(AJ11,0),'2441'!O61)</f>
        <v>0</v>
      </c>
      <c r="AD11" s="5634"/>
      <c r="AE11" s="5634"/>
      <c r="AF11" s="5634"/>
      <c r="AG11" s="5634"/>
      <c r="AH11" s="3350"/>
      <c r="AI11" s="1607"/>
      <c r="AJ11" s="3470"/>
      <c r="AL11" s="5630"/>
      <c r="AM11" s="5630"/>
    </row>
    <row r="12" spans="1:41" ht="14.25" customHeight="1">
      <c r="A12" s="3350"/>
      <c r="B12" s="3287"/>
      <c r="C12" s="3285"/>
      <c r="D12" s="1443"/>
      <c r="E12" s="1443"/>
      <c r="F12" s="2254">
        <v>50</v>
      </c>
      <c r="G12" s="2753" t="s">
        <v>907</v>
      </c>
      <c r="H12" s="1607"/>
      <c r="I12" s="1443"/>
      <c r="J12" s="1443"/>
      <c r="K12" s="1443"/>
      <c r="L12" s="1443"/>
      <c r="M12" s="1443"/>
      <c r="N12" s="1443"/>
      <c r="O12" s="1443"/>
      <c r="P12" s="1443"/>
      <c r="Q12" s="1443"/>
      <c r="R12" s="1443"/>
      <c r="S12" s="1443"/>
      <c r="T12" s="1443"/>
      <c r="U12" s="1443"/>
      <c r="V12" s="1443"/>
      <c r="W12" s="1443"/>
      <c r="X12" s="1443"/>
      <c r="Y12" s="1443"/>
      <c r="Z12" s="1443"/>
      <c r="AA12" s="1943" t="s">
        <v>4143</v>
      </c>
      <c r="AB12" s="2710">
        <v>50</v>
      </c>
      <c r="AC12" s="5573"/>
      <c r="AD12" s="5574"/>
      <c r="AE12" s="5574"/>
      <c r="AF12" s="5574"/>
      <c r="AG12" s="5575"/>
      <c r="AH12" s="3350"/>
      <c r="AI12" s="1607"/>
      <c r="AJ12" s="3743"/>
      <c r="AL12" s="5630"/>
      <c r="AM12" s="5630"/>
    </row>
    <row r="13" spans="1:41" ht="14.25" customHeight="1">
      <c r="A13" s="3350"/>
      <c r="B13" s="3287"/>
      <c r="C13" s="3285"/>
      <c r="D13" s="1443"/>
      <c r="E13" s="1443"/>
      <c r="F13" s="2254">
        <v>51</v>
      </c>
      <c r="G13" s="1607" t="s">
        <v>3037</v>
      </c>
      <c r="H13" s="1443"/>
      <c r="I13" s="1443"/>
      <c r="J13" s="1443"/>
      <c r="K13" s="1443"/>
      <c r="L13" s="1443"/>
      <c r="M13" s="1443"/>
      <c r="N13" s="1443"/>
      <c r="O13" s="1443"/>
      <c r="P13" s="1443"/>
      <c r="Q13" s="1443"/>
      <c r="R13" s="1443"/>
      <c r="S13" s="1443"/>
      <c r="T13" s="1443"/>
      <c r="U13" s="1443"/>
      <c r="V13" s="1443"/>
      <c r="W13" s="1443"/>
      <c r="X13" s="1443"/>
      <c r="Y13" s="1443"/>
      <c r="Z13" s="1443"/>
      <c r="AA13" s="1943" t="s">
        <v>3239</v>
      </c>
      <c r="AB13" s="2710">
        <v>51</v>
      </c>
      <c r="AC13" s="5573"/>
      <c r="AD13" s="5574"/>
      <c r="AE13" s="5574"/>
      <c r="AF13" s="5574"/>
      <c r="AG13" s="5632"/>
      <c r="AH13" s="3350"/>
      <c r="AI13" s="1607"/>
      <c r="AJ13" s="396"/>
      <c r="AL13" s="5630"/>
      <c r="AM13" s="5630"/>
    </row>
    <row r="14" spans="1:41" ht="14.25" customHeight="1">
      <c r="A14" s="3350"/>
      <c r="B14" s="3287"/>
      <c r="C14" s="3285"/>
      <c r="D14" s="1443"/>
      <c r="E14" s="1443"/>
      <c r="F14" s="2254">
        <v>52</v>
      </c>
      <c r="G14" s="1607" t="s">
        <v>3008</v>
      </c>
      <c r="H14" s="1443"/>
      <c r="I14" s="1443"/>
      <c r="J14" s="1443"/>
      <c r="K14" s="1443"/>
      <c r="L14" s="1443"/>
      <c r="M14" s="1443"/>
      <c r="N14" s="1443"/>
      <c r="O14" s="1443"/>
      <c r="P14" s="1443"/>
      <c r="Q14" s="1443"/>
      <c r="R14" s="1443"/>
      <c r="S14" s="1443"/>
      <c r="T14" s="1443"/>
      <c r="U14" s="1443"/>
      <c r="V14" s="1443"/>
      <c r="W14" s="1443"/>
      <c r="X14" s="1443"/>
      <c r="Y14" s="1443"/>
      <c r="Z14" s="1443"/>
      <c r="AA14" s="1943" t="s">
        <v>3242</v>
      </c>
      <c r="AB14" s="2710">
        <v>52</v>
      </c>
      <c r="AC14" s="5635"/>
      <c r="AD14" s="5636"/>
      <c r="AE14" s="5636"/>
      <c r="AF14" s="5636"/>
      <c r="AG14" s="5636"/>
      <c r="AH14" s="3350"/>
      <c r="AI14" s="1607"/>
      <c r="AJ14" s="396"/>
      <c r="AL14" s="5630"/>
      <c r="AM14" s="5630"/>
      <c r="AO14" s="4026"/>
    </row>
    <row r="15" spans="1:41" ht="14.25" customHeight="1">
      <c r="A15" s="3350"/>
      <c r="B15" s="3287"/>
      <c r="C15" s="3285"/>
      <c r="D15" s="1443"/>
      <c r="E15" s="1443"/>
      <c r="F15" s="2254">
        <v>53</v>
      </c>
      <c r="G15" s="1607" t="s">
        <v>3040</v>
      </c>
      <c r="H15" s="1443"/>
      <c r="I15" s="1443"/>
      <c r="J15" s="1443"/>
      <c r="K15" s="1443"/>
      <c r="L15" s="1443"/>
      <c r="M15" s="1443"/>
      <c r="N15" s="1443"/>
      <c r="O15" s="1443"/>
      <c r="P15" s="1443"/>
      <c r="Q15" s="1443"/>
      <c r="R15" s="1443"/>
      <c r="S15" s="1443"/>
      <c r="T15" s="1443"/>
      <c r="U15" s="1443"/>
      <c r="V15" s="1443"/>
      <c r="W15" s="1443"/>
      <c r="X15" s="1443"/>
      <c r="Y15" s="1443"/>
      <c r="Z15" s="1443"/>
      <c r="AA15" s="1943" t="s">
        <v>1312</v>
      </c>
      <c r="AB15" s="2710">
        <v>53</v>
      </c>
      <c r="AC15" s="5573"/>
      <c r="AD15" s="5574"/>
      <c r="AE15" s="5574"/>
      <c r="AF15" s="5574"/>
      <c r="AG15" s="5632"/>
      <c r="AH15" s="3350"/>
      <c r="AI15" s="1607"/>
      <c r="AJ15" s="396"/>
    </row>
    <row r="16" spans="1:41" ht="14.25" customHeight="1">
      <c r="A16" s="3350"/>
      <c r="B16" s="3287"/>
      <c r="C16" s="3285"/>
      <c r="D16" s="1443"/>
      <c r="E16" s="1443"/>
      <c r="F16" s="2254">
        <v>54</v>
      </c>
      <c r="G16" s="1607" t="s">
        <v>3273</v>
      </c>
      <c r="H16" s="1443"/>
      <c r="I16" s="1443"/>
      <c r="J16" s="1443"/>
      <c r="K16" s="1443"/>
      <c r="L16" s="1443"/>
      <c r="M16" s="1943" t="s">
        <v>38</v>
      </c>
      <c r="N16" s="4027"/>
      <c r="O16" s="1607" t="s">
        <v>3275</v>
      </c>
      <c r="P16" s="1443"/>
      <c r="Q16" s="4027"/>
      <c r="R16" s="1607" t="s">
        <v>3274</v>
      </c>
      <c r="S16" s="1607"/>
      <c r="T16" s="4027" t="str">
        <f>IF(AND(SchR_Line22&lt;&gt;"",SchR_Line22&gt;0),"X","")</f>
        <v/>
      </c>
      <c r="U16" s="1943"/>
      <c r="V16" s="5631" t="str">
        <f>IF(AND(SchR_Line22&lt;&gt;"",SchR_Line22&gt;0),"Sch R","")</f>
        <v/>
      </c>
      <c r="W16" s="5631"/>
      <c r="X16" s="5631"/>
      <c r="Y16" s="5631"/>
      <c r="Z16" s="5631"/>
      <c r="AA16" s="1443"/>
      <c r="AB16" s="2710">
        <v>54</v>
      </c>
      <c r="AC16" s="5573"/>
      <c r="AD16" s="5574"/>
      <c r="AE16" s="5574"/>
      <c r="AF16" s="5574"/>
      <c r="AG16" s="5632"/>
      <c r="AH16" s="3350"/>
      <c r="AI16" s="1607"/>
      <c r="AJ16" s="396"/>
    </row>
    <row r="17" spans="1:36" ht="14.25" customHeight="1" thickBot="1">
      <c r="A17" s="3350"/>
      <c r="B17" s="3287"/>
      <c r="C17" s="3285"/>
      <c r="D17" s="1443"/>
      <c r="E17" s="1443"/>
      <c r="F17" s="2254">
        <v>55</v>
      </c>
      <c r="G17" s="1607" t="s">
        <v>4326</v>
      </c>
      <c r="H17" s="1443"/>
      <c r="I17" s="1443"/>
      <c r="J17" s="1443"/>
      <c r="K17" s="1443"/>
      <c r="L17" s="1443"/>
      <c r="M17" s="1443"/>
      <c r="N17" s="1443"/>
      <c r="O17" s="1443"/>
      <c r="P17" s="1443"/>
      <c r="Q17" s="1443"/>
      <c r="R17" s="1443"/>
      <c r="S17" s="1443"/>
      <c r="T17" s="1443"/>
      <c r="U17" s="1443"/>
      <c r="V17" s="1443"/>
      <c r="W17" s="1443"/>
      <c r="X17" s="1443"/>
      <c r="Y17" s="1443"/>
      <c r="Z17" s="1443"/>
      <c r="AA17" s="1443"/>
      <c r="AB17" s="1947">
        <v>55</v>
      </c>
      <c r="AC17" s="5623">
        <f>IF(AJ17&lt;&gt;"",ROUND(AJ17,0),SUM(AC10:AG16))</f>
        <v>0</v>
      </c>
      <c r="AD17" s="5633"/>
      <c r="AE17" s="5633"/>
      <c r="AF17" s="5633"/>
      <c r="AG17" s="5633"/>
      <c r="AH17" s="3350"/>
      <c r="AI17" s="1607"/>
      <c r="AJ17" s="3470"/>
    </row>
    <row r="18" spans="1:36">
      <c r="A18" s="3350"/>
      <c r="B18" s="4029" t="s">
        <v>564</v>
      </c>
      <c r="C18" s="3722"/>
      <c r="D18" s="1605"/>
      <c r="E18" s="1605"/>
      <c r="F18" s="1605"/>
      <c r="G18" s="1605"/>
      <c r="H18" s="1605"/>
      <c r="I18" s="1605"/>
      <c r="J18" s="1605"/>
      <c r="K18" s="1605"/>
      <c r="L18" s="1605"/>
      <c r="M18" s="1605"/>
      <c r="N18" s="1605"/>
      <c r="O18" s="1605"/>
      <c r="P18" s="1605"/>
      <c r="Q18" s="1605"/>
      <c r="R18" s="1605"/>
      <c r="S18" s="1605"/>
      <c r="T18" s="3739"/>
      <c r="U18" s="3739" t="s">
        <v>3051</v>
      </c>
      <c r="V18" s="1605"/>
      <c r="W18" s="3724"/>
      <c r="X18" s="1605"/>
      <c r="Y18" s="1605"/>
      <c r="Z18" s="1605"/>
      <c r="AA18" s="1605"/>
      <c r="AB18" s="1605"/>
      <c r="AC18" s="1605"/>
      <c r="AD18" s="1605"/>
      <c r="AE18" s="1605"/>
      <c r="AF18" s="1605"/>
      <c r="AG18" s="4725" t="str">
        <f>"Schedule 3 (Form 1040) "&amp;TaxYear</f>
        <v>Schedule 3 (Form 1040) 2018</v>
      </c>
      <c r="AH18" s="3350"/>
      <c r="AI18" s="1607"/>
      <c r="AJ18" s="396"/>
    </row>
    <row r="19" spans="1:36">
      <c r="A19" s="3350"/>
      <c r="B19" s="3350"/>
      <c r="C19" s="3350"/>
      <c r="D19" s="3350"/>
      <c r="E19" s="3350"/>
      <c r="F19" s="3350"/>
      <c r="G19" s="3350"/>
      <c r="H19" s="3350"/>
      <c r="I19" s="3350"/>
      <c r="J19" s="3350"/>
      <c r="K19" s="3350"/>
      <c r="L19" s="3350"/>
      <c r="M19" s="3350"/>
      <c r="N19" s="3350"/>
      <c r="O19" s="3350"/>
      <c r="P19" s="3350"/>
      <c r="Q19" s="3350"/>
      <c r="R19" s="3350"/>
      <c r="S19" s="3350"/>
      <c r="T19" s="3350"/>
      <c r="U19" s="3350"/>
      <c r="V19" s="3350"/>
      <c r="W19" s="3350"/>
      <c r="X19" s="3350"/>
      <c r="Y19" s="3350"/>
      <c r="Z19" s="3350"/>
      <c r="AA19" s="3350"/>
      <c r="AB19" s="3350"/>
      <c r="AC19" s="3350"/>
      <c r="AD19" s="3350"/>
      <c r="AE19" s="3350"/>
      <c r="AF19" s="3350"/>
      <c r="AG19" s="3350"/>
      <c r="AH19" s="3350"/>
      <c r="AI19" s="1607"/>
      <c r="AJ19" s="396"/>
    </row>
    <row r="21" spans="1:36" ht="13.5" thickBot="1"/>
    <row r="22" spans="1:36">
      <c r="B22" s="5558" t="s">
        <v>5009</v>
      </c>
      <c r="C22" s="5559"/>
      <c r="D22" s="5559"/>
      <c r="E22" s="5559"/>
      <c r="F22" s="5560"/>
    </row>
    <row r="23" spans="1:36">
      <c r="B23" s="5561"/>
      <c r="C23" s="5562"/>
      <c r="D23" s="5562"/>
      <c r="E23" s="5562"/>
      <c r="F23" s="5563"/>
    </row>
    <row r="24" spans="1:36" ht="13.5" thickBot="1">
      <c r="B24" s="5564"/>
      <c r="C24" s="5565"/>
      <c r="D24" s="5565"/>
      <c r="E24" s="5565"/>
      <c r="F24" s="5566"/>
    </row>
  </sheetData>
  <mergeCells count="23">
    <mergeCell ref="B2:F3"/>
    <mergeCell ref="AB2:AG2"/>
    <mergeCell ref="AB3:AG4"/>
    <mergeCell ref="B4:F4"/>
    <mergeCell ref="AC5:AG6"/>
    <mergeCell ref="B6:F6"/>
    <mergeCell ref="B5:F5"/>
    <mergeCell ref="AJ7:AJ9"/>
    <mergeCell ref="B8:AA9"/>
    <mergeCell ref="AB8:AG9"/>
    <mergeCell ref="B10:E10"/>
    <mergeCell ref="B11:E11"/>
    <mergeCell ref="AC11:AG11"/>
    <mergeCell ref="B22:F24"/>
    <mergeCell ref="AL10:AM14"/>
    <mergeCell ref="V16:Z16"/>
    <mergeCell ref="AC15:AG15"/>
    <mergeCell ref="AC16:AG16"/>
    <mergeCell ref="AC17:AG17"/>
    <mergeCell ref="AC10:AG10"/>
    <mergeCell ref="AC12:AG12"/>
    <mergeCell ref="AC13:AG13"/>
    <mergeCell ref="AC14:AG14"/>
  </mergeCells>
  <conditionalFormatting sqref="B8 AB8">
    <cfRule type="expression" dxfId="2765" priority="23">
      <formula>NoColor</formula>
    </cfRule>
  </conditionalFormatting>
  <conditionalFormatting sqref="AC11:AG11">
    <cfRule type="expression" dxfId="2764" priority="22">
      <formula>IF(NoColor,1,0)</formula>
    </cfRule>
  </conditionalFormatting>
  <conditionalFormatting sqref="AC12:AG12">
    <cfRule type="expression" dxfId="2763" priority="21">
      <formula>IF(NoColor,1,0)</formula>
    </cfRule>
  </conditionalFormatting>
  <conditionalFormatting sqref="AC13:AG13">
    <cfRule type="expression" dxfId="2762" priority="20">
      <formula>IF(NoColor,1,0)</formula>
    </cfRule>
  </conditionalFormatting>
  <conditionalFormatting sqref="AC14:AG14">
    <cfRule type="expression" dxfId="2761" priority="19">
      <formula>IF(NoColor,1,0)</formula>
    </cfRule>
  </conditionalFormatting>
  <conditionalFormatting sqref="AC17:AG17">
    <cfRule type="expression" dxfId="2760" priority="18">
      <formula>IF(NoColor,1,0)</formula>
    </cfRule>
  </conditionalFormatting>
  <conditionalFormatting sqref="AC10:AG10">
    <cfRule type="expression" dxfId="2759" priority="15">
      <formula>IF(NoColor,1,0)</formula>
    </cfRule>
  </conditionalFormatting>
  <conditionalFormatting sqref="AC15:AG15">
    <cfRule type="expression" dxfId="2758" priority="12">
      <formula>IF(NoColor,1,0)</formula>
    </cfRule>
  </conditionalFormatting>
  <conditionalFormatting sqref="AC16:AG16">
    <cfRule type="expression" dxfId="2757" priority="11">
      <formula>IF(NoColor,1,0)</formula>
    </cfRule>
  </conditionalFormatting>
  <conditionalFormatting sqref="B4:F4">
    <cfRule type="expression" dxfId="2756" priority="8">
      <formula>NOT(Draft)</formula>
    </cfRule>
  </conditionalFormatting>
  <conditionalFormatting sqref="G4">
    <cfRule type="expression" dxfId="2755" priority="7">
      <formula>NOT(Draft)</formula>
    </cfRule>
  </conditionalFormatting>
  <conditionalFormatting sqref="AL10:AM14">
    <cfRule type="expression" dxfId="2754" priority="1">
      <formula>AND(ForeignTaxPaid&lt;&gt;"",ForeignTaxPaid&gt;0)</formula>
    </cfRule>
  </conditionalFormatting>
  <conditionalFormatting sqref="N16">
    <cfRule type="expression" dxfId="2753" priority="5">
      <formula>NoColor</formula>
    </cfRule>
  </conditionalFormatting>
  <conditionalFormatting sqref="Q16">
    <cfRule type="expression" dxfId="2752" priority="4">
      <formula>NoColor</formula>
    </cfRule>
  </conditionalFormatting>
  <conditionalFormatting sqref="T16">
    <cfRule type="expression" dxfId="2751" priority="3">
      <formula>NoColor</formula>
    </cfRule>
  </conditionalFormatting>
  <conditionalFormatting sqref="V16:Z16">
    <cfRule type="expression" dxfId="2750" priority="2">
      <formula>NoColor</formula>
    </cfRule>
  </conditionalFormatting>
  <hyperlinks>
    <hyperlink ref="B22:F24" location="'Table of Contents'!A1" display="Table of Contents"/>
  </hyperlinks>
  <pageMargins left="0.45" right="0.45" top="0.5" bottom="0.5" header="0" footer="0"/>
  <pageSetup scale="84"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0"/>
  <sheetViews>
    <sheetView zoomScaleNormal="100" zoomScaleSheetLayoutView="100" workbookViewId="0">
      <selection activeCell="B28" sqref="B28:F30"/>
    </sheetView>
  </sheetViews>
  <sheetFormatPr defaultColWidth="3.42578125" defaultRowHeight="12.75"/>
  <cols>
    <col min="1" max="1" width="3.42578125" style="46"/>
    <col min="2" max="5" width="3.85546875" style="46" customWidth="1"/>
    <col min="6" max="6" width="5.7109375" style="46" customWidth="1"/>
    <col min="7" max="8" width="3.42578125" style="46" customWidth="1"/>
    <col min="9" max="9" width="4.28515625" style="46" customWidth="1"/>
    <col min="10" max="12" width="3.42578125" style="46" customWidth="1"/>
    <col min="13" max="13" width="4" style="46" customWidth="1"/>
    <col min="14" max="18" width="3.42578125" style="46" customWidth="1"/>
    <col min="19" max="19" width="4.140625" style="46" customWidth="1"/>
    <col min="20" max="22" width="3.42578125" style="46" customWidth="1"/>
    <col min="23" max="23" width="4.85546875" style="46" customWidth="1"/>
    <col min="24" max="26" width="3.42578125" style="46" customWidth="1"/>
    <col min="27" max="27" width="2.7109375" style="46" customWidth="1"/>
    <col min="28" max="28" width="5.7109375" style="46" customWidth="1"/>
    <col min="29" max="34" width="3.42578125" style="46"/>
    <col min="35" max="35" width="2.140625" style="46" customWidth="1"/>
    <col min="36" max="36" width="15" style="46" customWidth="1"/>
    <col min="37" max="37" width="2.5703125" style="46" customWidth="1"/>
    <col min="38" max="38" width="14" style="46" hidden="1" customWidth="1"/>
    <col min="39" max="39" width="13.140625" style="46" hidden="1" customWidth="1"/>
    <col min="40" max="40" width="15.85546875" style="46" hidden="1" customWidth="1"/>
    <col min="41" max="41" width="3.42578125" style="46"/>
    <col min="42" max="42" width="10.7109375" style="3742" customWidth="1"/>
    <col min="43" max="52" width="10.7109375" style="3169" customWidth="1"/>
    <col min="53" max="54" width="3.42578125" style="46"/>
    <col min="55" max="65" width="3.28515625" style="46" customWidth="1"/>
    <col min="66" max="16384" width="3.42578125" style="46"/>
  </cols>
  <sheetData>
    <row r="1" spans="1:42"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J1" s="396"/>
      <c r="AP1" s="3741" t="s">
        <v>2552</v>
      </c>
    </row>
    <row r="2" spans="1:42" ht="11.25" customHeight="1">
      <c r="A2" s="3350"/>
      <c r="B2" s="5594" t="s">
        <v>3043</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576" t="s">
        <v>169</v>
      </c>
      <c r="AC2" s="5577"/>
      <c r="AD2" s="5577"/>
      <c r="AE2" s="5577"/>
      <c r="AF2" s="5577"/>
      <c r="AG2" s="5577"/>
      <c r="AH2" s="3350"/>
      <c r="AJ2" s="396"/>
    </row>
    <row r="3" spans="1:42" ht="20.25">
      <c r="A3" s="3350"/>
      <c r="B3" s="5595"/>
      <c r="C3" s="5595"/>
      <c r="D3" s="5595"/>
      <c r="E3" s="5595"/>
      <c r="F3" s="5596"/>
      <c r="G3" s="3728" t="s">
        <v>3044</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J3" s="396"/>
    </row>
    <row r="4" spans="1:42" ht="14.25" customHeight="1">
      <c r="A4" s="3350"/>
      <c r="B4" s="5597"/>
      <c r="C4" s="5598"/>
      <c r="D4" s="5598"/>
      <c r="E4" s="5598"/>
      <c r="F4" s="5599"/>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J4" s="396"/>
    </row>
    <row r="5" spans="1:42" ht="14.25" customHeight="1">
      <c r="A5" s="3350"/>
      <c r="B5" s="5606" t="s">
        <v>202</v>
      </c>
      <c r="C5" s="5606"/>
      <c r="D5" s="5606"/>
      <c r="E5" s="5606"/>
      <c r="F5" s="5607"/>
      <c r="G5" s="1610"/>
      <c r="H5" s="1443"/>
      <c r="I5" s="1443"/>
      <c r="J5" s="1443"/>
      <c r="K5" s="1443"/>
      <c r="L5" s="1443"/>
      <c r="M5" s="1443"/>
      <c r="N5" s="1443"/>
      <c r="O5" s="1443"/>
      <c r="P5" s="1615" t="s">
        <v>2658</v>
      </c>
      <c r="Q5" s="1443"/>
      <c r="R5" s="1443"/>
      <c r="S5" s="1443"/>
      <c r="T5" s="1443"/>
      <c r="U5" s="1443"/>
      <c r="V5" s="1443"/>
      <c r="W5" s="1443"/>
      <c r="X5" s="1443"/>
      <c r="Y5" s="1443"/>
      <c r="Z5" s="1443"/>
      <c r="AA5" s="1443"/>
      <c r="AB5" s="3725"/>
      <c r="AC5" s="5584" t="s">
        <v>3769</v>
      </c>
      <c r="AD5" s="5628"/>
      <c r="AE5" s="5628"/>
      <c r="AF5" s="5628"/>
      <c r="AG5" s="5628"/>
      <c r="AH5" s="3350"/>
      <c r="AJ5" s="396"/>
    </row>
    <row r="6" spans="1:42" ht="13.5" thickBot="1">
      <c r="A6" s="3350"/>
      <c r="B6" s="5604" t="s">
        <v>450</v>
      </c>
      <c r="C6" s="5604"/>
      <c r="D6" s="5604"/>
      <c r="E6" s="5604"/>
      <c r="F6" s="5605"/>
      <c r="G6" s="3745" t="s">
        <v>3006</v>
      </c>
      <c r="H6" s="3746"/>
      <c r="I6" s="3745"/>
      <c r="J6" s="3747"/>
      <c r="K6" s="3746"/>
      <c r="L6" s="3746"/>
      <c r="M6" s="3746"/>
      <c r="N6" s="3746"/>
      <c r="O6" s="3746"/>
      <c r="P6" s="3746"/>
      <c r="Q6" s="3746"/>
      <c r="R6" s="3746"/>
      <c r="S6" s="3746"/>
      <c r="T6" s="3746"/>
      <c r="U6" s="3746"/>
      <c r="V6" s="3746"/>
      <c r="W6" s="3746"/>
      <c r="X6" s="3746"/>
      <c r="Y6" s="3746"/>
      <c r="Z6" s="3746"/>
      <c r="AA6" s="3746"/>
      <c r="AB6" s="3726"/>
      <c r="AC6" s="5629"/>
      <c r="AD6" s="5629"/>
      <c r="AE6" s="5629"/>
      <c r="AF6" s="5629"/>
      <c r="AG6" s="5629"/>
      <c r="AH6" s="3350"/>
      <c r="AJ6" s="396"/>
    </row>
    <row r="7" spans="1:42">
      <c r="A7" s="3350"/>
      <c r="B7" s="1607"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3029</v>
      </c>
      <c r="AC7" s="1605"/>
      <c r="AD7" s="1605"/>
      <c r="AE7" s="1605"/>
      <c r="AF7" s="1605"/>
      <c r="AG7" s="1605"/>
      <c r="AH7" s="3350"/>
      <c r="AJ7" s="5608" t="s">
        <v>2161</v>
      </c>
    </row>
    <row r="8" spans="1:42"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J8" s="5609"/>
    </row>
    <row r="9" spans="1:42"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J9" s="5610"/>
    </row>
    <row r="10" spans="1:42" ht="14.25" customHeight="1">
      <c r="A10" s="3350"/>
      <c r="B10" s="5645" t="s">
        <v>458</v>
      </c>
      <c r="C10" s="5646"/>
      <c r="D10" s="5646"/>
      <c r="E10" s="5646"/>
      <c r="F10" s="2254">
        <v>57</v>
      </c>
      <c r="G10" s="3269" t="s">
        <v>4328</v>
      </c>
      <c r="H10" s="1607"/>
      <c r="I10" s="1443"/>
      <c r="J10" s="1443"/>
      <c r="K10" s="1443"/>
      <c r="L10" s="1443"/>
      <c r="M10" s="1443"/>
      <c r="N10" s="1443"/>
      <c r="O10" s="1443"/>
      <c r="P10" s="1443"/>
      <c r="Q10" s="1443"/>
      <c r="R10" s="1443"/>
      <c r="S10" s="1443"/>
      <c r="T10" s="1443"/>
      <c r="U10" s="1443"/>
      <c r="V10" s="1443"/>
      <c r="W10" s="1443"/>
      <c r="X10" s="1443"/>
      <c r="Y10" s="1443"/>
      <c r="Z10" s="1443"/>
      <c r="AA10" s="1943" t="s">
        <v>1312</v>
      </c>
      <c r="AB10" s="3731">
        <v>57</v>
      </c>
      <c r="AC10" s="5373">
        <f>IF(AJ10&lt;&gt;"",ROUND(AJ10,0),SUM(SE_Tax1,SE_Tax2))</f>
        <v>0</v>
      </c>
      <c r="AD10" s="5374"/>
      <c r="AE10" s="5374"/>
      <c r="AF10" s="5374"/>
      <c r="AG10" s="5374"/>
      <c r="AH10" s="3350"/>
      <c r="AJ10" s="3470"/>
    </row>
    <row r="11" spans="1:42" ht="14.25" customHeight="1">
      <c r="A11" s="3350"/>
      <c r="B11" s="5645" t="s">
        <v>833</v>
      </c>
      <c r="C11" s="5646"/>
      <c r="D11" s="5646"/>
      <c r="E11" s="5646"/>
      <c r="F11" s="2254">
        <v>58</v>
      </c>
      <c r="G11" s="3269" t="s">
        <v>4327</v>
      </c>
      <c r="H11" s="1443"/>
      <c r="I11" s="1443"/>
      <c r="J11" s="1443"/>
      <c r="K11" s="1443"/>
      <c r="L11" s="1443"/>
      <c r="M11" s="1443"/>
      <c r="N11" s="1443"/>
      <c r="O11" s="1443"/>
      <c r="P11" s="1443"/>
      <c r="Q11" s="1443"/>
      <c r="R11" s="1443"/>
      <c r="S11" s="1443"/>
      <c r="T11" s="2541"/>
      <c r="U11" s="3563" t="s">
        <v>4344</v>
      </c>
      <c r="V11" s="1444"/>
      <c r="W11" s="1443" t="str">
        <f>"4137"</f>
        <v>4137</v>
      </c>
      <c r="X11" s="1943" t="s">
        <v>54</v>
      </c>
      <c r="Y11" s="1444"/>
      <c r="Z11" s="1443" t="str">
        <f>"8919"</f>
        <v>8919</v>
      </c>
      <c r="AA11" s="1443"/>
      <c r="AB11" s="2710">
        <v>58</v>
      </c>
      <c r="AC11" s="5587"/>
      <c r="AD11" s="5453"/>
      <c r="AE11" s="5453"/>
      <c r="AF11" s="5453"/>
      <c r="AG11" s="5647"/>
      <c r="AH11" s="3350"/>
      <c r="AJ11" s="3743"/>
    </row>
    <row r="12" spans="1:42" ht="14.25" customHeight="1">
      <c r="A12" s="3350"/>
      <c r="B12" s="3287"/>
      <c r="C12" s="3285"/>
      <c r="D12" s="1443"/>
      <c r="E12" s="1443"/>
      <c r="F12" s="2254">
        <v>59</v>
      </c>
      <c r="G12" s="3269" t="s">
        <v>3047</v>
      </c>
      <c r="H12" s="1443"/>
      <c r="I12" s="1443"/>
      <c r="J12" s="1443"/>
      <c r="K12" s="1443"/>
      <c r="L12" s="1443"/>
      <c r="M12" s="1443"/>
      <c r="N12" s="1443"/>
      <c r="O12" s="1443"/>
      <c r="P12" s="1443"/>
      <c r="Q12" s="1443"/>
      <c r="R12" s="1443"/>
      <c r="S12" s="1443"/>
      <c r="T12" s="1443"/>
      <c r="U12" s="1443"/>
      <c r="V12" s="1443"/>
      <c r="W12" s="1443"/>
      <c r="X12" s="1443"/>
      <c r="Y12" s="1443"/>
      <c r="Z12" s="1443"/>
      <c r="AA12" s="1443"/>
      <c r="AB12" s="3734"/>
      <c r="AC12" s="3744"/>
      <c r="AD12" s="3749"/>
      <c r="AE12" s="3749"/>
      <c r="AF12" s="3749"/>
      <c r="AG12" s="3750"/>
      <c r="AH12" s="3350"/>
      <c r="AJ12" s="396"/>
    </row>
    <row r="13" spans="1:42" ht="14.25" customHeight="1">
      <c r="A13" s="3350"/>
      <c r="B13" s="3287"/>
      <c r="C13" s="3285"/>
      <c r="D13" s="1443"/>
      <c r="E13" s="1443"/>
      <c r="F13" s="2254"/>
      <c r="G13" s="3269" t="s">
        <v>3048</v>
      </c>
      <c r="H13" s="1443"/>
      <c r="I13" s="1443"/>
      <c r="J13" s="1443"/>
      <c r="K13" s="1443"/>
      <c r="L13" s="1443"/>
      <c r="M13" s="1443"/>
      <c r="N13" s="1443"/>
      <c r="O13" s="1443"/>
      <c r="P13" s="1443"/>
      <c r="Q13" s="1443"/>
      <c r="R13" s="1443"/>
      <c r="S13" s="1443"/>
      <c r="T13" s="1443"/>
      <c r="U13" s="1443"/>
      <c r="V13" s="1443"/>
      <c r="W13" s="1443"/>
      <c r="X13" s="1443"/>
      <c r="Y13" s="1443"/>
      <c r="Z13" s="1443"/>
      <c r="AA13" s="1943" t="s">
        <v>4143</v>
      </c>
      <c r="AB13" s="1940">
        <v>59</v>
      </c>
      <c r="AC13" s="5587"/>
      <c r="AD13" s="5453"/>
      <c r="AE13" s="5453"/>
      <c r="AF13" s="5453"/>
      <c r="AG13" s="5647"/>
      <c r="AH13" s="3350"/>
      <c r="AJ13" s="396"/>
    </row>
    <row r="14" spans="1:42" ht="14.25" customHeight="1">
      <c r="A14" s="3350"/>
      <c r="B14" s="3287"/>
      <c r="C14" s="3285"/>
      <c r="D14" s="1443"/>
      <c r="E14" s="1443"/>
      <c r="F14" s="1943" t="s">
        <v>3269</v>
      </c>
      <c r="G14" s="3269" t="s">
        <v>3049</v>
      </c>
      <c r="H14" s="1443"/>
      <c r="I14" s="1443"/>
      <c r="J14" s="1443"/>
      <c r="K14" s="1443"/>
      <c r="L14" s="1443"/>
      <c r="M14" s="1443"/>
      <c r="N14" s="1443"/>
      <c r="O14" s="1443"/>
      <c r="P14" s="1443"/>
      <c r="Q14" s="1443"/>
      <c r="R14" s="1443"/>
      <c r="S14" s="1443"/>
      <c r="T14" s="1443"/>
      <c r="U14" s="1443"/>
      <c r="V14" s="1443"/>
      <c r="W14" s="1443"/>
      <c r="X14" s="1443"/>
      <c r="Y14" s="1443"/>
      <c r="Z14" s="1443"/>
      <c r="AA14" s="1943" t="s">
        <v>3200</v>
      </c>
      <c r="AB14" s="2710" t="s">
        <v>3045</v>
      </c>
      <c r="AC14" s="5587"/>
      <c r="AD14" s="5453"/>
      <c r="AE14" s="5453"/>
      <c r="AF14" s="5453"/>
      <c r="AG14" s="5647"/>
      <c r="AH14" s="3350"/>
      <c r="AJ14" s="396"/>
    </row>
    <row r="15" spans="1:42" ht="14.25" customHeight="1">
      <c r="A15" s="3350"/>
      <c r="B15" s="3287"/>
      <c r="C15" s="3285"/>
      <c r="D15" s="1443"/>
      <c r="E15" s="1443"/>
      <c r="F15" s="1943" t="s">
        <v>1793</v>
      </c>
      <c r="G15" s="3269" t="s">
        <v>4329</v>
      </c>
      <c r="H15" s="1443"/>
      <c r="I15" s="1443"/>
      <c r="J15" s="1443"/>
      <c r="K15" s="1443"/>
      <c r="L15" s="1443"/>
      <c r="M15" s="1443"/>
      <c r="N15" s="1443"/>
      <c r="O15" s="1443"/>
      <c r="P15" s="1443"/>
      <c r="Q15" s="1443"/>
      <c r="R15" s="1443"/>
      <c r="S15" s="1443"/>
      <c r="T15" s="1443"/>
      <c r="U15" s="1443"/>
      <c r="V15" s="1443"/>
      <c r="W15" s="1443"/>
      <c r="X15" s="1443"/>
      <c r="Y15" s="1443"/>
      <c r="Z15" s="1443"/>
      <c r="AA15" s="1443"/>
      <c r="AB15" s="3734"/>
      <c r="AC15" s="3744"/>
      <c r="AD15" s="3749"/>
      <c r="AE15" s="3749"/>
      <c r="AF15" s="3749"/>
      <c r="AG15" s="3750"/>
      <c r="AH15" s="3350"/>
      <c r="AJ15" s="396"/>
    </row>
    <row r="16" spans="1:42" ht="14.25" customHeight="1">
      <c r="A16" s="3350"/>
      <c r="B16" s="3287"/>
      <c r="C16" s="3285"/>
      <c r="D16" s="1443"/>
      <c r="E16" s="1443"/>
      <c r="F16" s="1943"/>
      <c r="G16" s="3269" t="s">
        <v>4330</v>
      </c>
      <c r="H16" s="1443"/>
      <c r="I16" s="1443"/>
      <c r="J16" s="1443"/>
      <c r="K16" s="1443"/>
      <c r="L16" s="1443"/>
      <c r="M16" s="1443"/>
      <c r="N16" s="1443"/>
      <c r="O16" s="1443"/>
      <c r="P16" s="1443"/>
      <c r="Q16" s="1443"/>
      <c r="R16" s="1443"/>
      <c r="S16" s="1443"/>
      <c r="T16" s="1443"/>
      <c r="U16" s="1443"/>
      <c r="V16" s="1443"/>
      <c r="W16" s="1443"/>
      <c r="X16" s="1443"/>
      <c r="Y16" s="1443"/>
      <c r="Z16" s="1443"/>
      <c r="AA16" s="1943" t="s">
        <v>3242</v>
      </c>
      <c r="AB16" s="1940" t="s">
        <v>3046</v>
      </c>
      <c r="AC16" s="5587"/>
      <c r="AD16" s="5453"/>
      <c r="AE16" s="5453"/>
      <c r="AF16" s="5453"/>
      <c r="AG16" s="5647"/>
      <c r="AH16" s="3350"/>
      <c r="AJ16" s="396"/>
    </row>
    <row r="17" spans="1:41" ht="14.25" customHeight="1">
      <c r="A17" s="3350"/>
      <c r="B17" s="3287"/>
      <c r="C17" s="3285"/>
      <c r="D17" s="1443"/>
      <c r="E17" s="1443"/>
      <c r="F17" s="2254">
        <v>61</v>
      </c>
      <c r="G17" s="3269" t="s">
        <v>1313</v>
      </c>
      <c r="H17" s="1443"/>
      <c r="I17" s="1443"/>
      <c r="J17" s="1443"/>
      <c r="K17" s="1443"/>
      <c r="L17" s="1443"/>
      <c r="M17" s="1443"/>
      <c r="N17" s="1443"/>
      <c r="O17" s="1443"/>
      <c r="P17" s="1443"/>
      <c r="Q17" s="1443"/>
      <c r="R17" s="1443"/>
      <c r="S17" s="1443"/>
      <c r="T17" s="1443"/>
      <c r="U17" s="1443"/>
      <c r="V17" s="1443"/>
      <c r="W17" s="1443"/>
      <c r="X17" s="1443"/>
      <c r="Y17" s="1443"/>
      <c r="Z17" s="1443"/>
      <c r="AA17" s="1943" t="s">
        <v>2426</v>
      </c>
      <c r="AB17" s="2710">
        <v>61</v>
      </c>
      <c r="AC17" s="5587"/>
      <c r="AD17" s="5453"/>
      <c r="AE17" s="5453"/>
      <c r="AF17" s="5453"/>
      <c r="AG17" s="5647"/>
      <c r="AH17" s="3350"/>
      <c r="AJ17" s="396"/>
      <c r="AL17" s="1618">
        <f>IF(ISERROR(F8959_Tax*1),0,F8959_Tax)</f>
        <v>0</v>
      </c>
      <c r="AM17" s="1618">
        <v>8959</v>
      </c>
      <c r="AN17" s="5013" t="str">
        <f>IF(AND(AM17&lt;&gt;"",AL17&lt;&gt;"",AL17&gt;0),TEXT(AL17,"$0,000")&amp;" ("&amp;AM17&amp;")  ","")</f>
        <v/>
      </c>
    </row>
    <row r="18" spans="1:41" ht="14.25" customHeight="1">
      <c r="A18" s="3350"/>
      <c r="B18" s="3287"/>
      <c r="C18" s="3285"/>
      <c r="D18" s="1443"/>
      <c r="E18" s="1443"/>
      <c r="F18" s="2254">
        <v>62</v>
      </c>
      <c r="G18" s="3269" t="s">
        <v>3270</v>
      </c>
      <c r="H18" s="1443"/>
      <c r="I18" s="1443"/>
      <c r="J18" s="1943" t="s">
        <v>38</v>
      </c>
      <c r="K18" s="2636" t="str">
        <f>IF(AND(AL17&lt;&gt;"",AL17&lt;&gt;0),"X","")</f>
        <v/>
      </c>
      <c r="L18" s="1607" t="s">
        <v>4331</v>
      </c>
      <c r="M18" s="1443"/>
      <c r="N18" s="1943"/>
      <c r="O18" s="1943"/>
      <c r="P18" s="1943" t="s">
        <v>54</v>
      </c>
      <c r="Q18" s="2636" t="str">
        <f>IF(AND(AL18&lt;&gt;"",AL18&lt;&gt;0),"X","")</f>
        <v/>
      </c>
      <c r="R18" s="1607" t="s">
        <v>4332</v>
      </c>
      <c r="S18" s="1443"/>
      <c r="T18" s="1443"/>
      <c r="U18" s="1443"/>
      <c r="V18" s="1443"/>
      <c r="W18" s="1443"/>
      <c r="X18" s="1443"/>
      <c r="Y18" s="1443"/>
      <c r="Z18" s="1443"/>
      <c r="AA18" s="1443"/>
      <c r="AB18" s="3734"/>
      <c r="AC18" s="3744"/>
      <c r="AD18" s="3749"/>
      <c r="AE18" s="3749"/>
      <c r="AF18" s="3749"/>
      <c r="AG18" s="3750"/>
      <c r="AH18" s="3350"/>
      <c r="AJ18" s="396"/>
      <c r="AL18" s="1618">
        <f>IF(ISERROR(F8960_Tax*1),0,F8960_Tax)</f>
        <v>0</v>
      </c>
      <c r="AM18" s="1618">
        <v>8960</v>
      </c>
      <c r="AN18" s="5013" t="str">
        <f>IF(AND(AM18&lt;&gt;"",AL18&lt;&gt;"",AL18&gt;0),TEXT(AL18,"$0,000")&amp;" ("&amp;AM18&amp;")  ","")</f>
        <v/>
      </c>
    </row>
    <row r="19" spans="1:41" ht="14.25" customHeight="1">
      <c r="A19" s="3350"/>
      <c r="B19" s="3287"/>
      <c r="C19" s="3285"/>
      <c r="D19" s="1443"/>
      <c r="E19" s="1443"/>
      <c r="F19" s="1943"/>
      <c r="G19" s="2254" t="s">
        <v>55</v>
      </c>
      <c r="H19" s="1444" t="str">
        <f>IF(F8889_Line17b&gt;0,"X","")</f>
        <v/>
      </c>
      <c r="I19" s="3269" t="s">
        <v>4335</v>
      </c>
      <c r="J19" s="1443"/>
      <c r="K19" s="1443"/>
      <c r="L19" s="1443"/>
      <c r="M19" s="1443"/>
      <c r="N19" s="1443"/>
      <c r="O19" s="1443"/>
      <c r="P19" s="5643" t="str">
        <f>IF(AND(F8889_Line17b&gt;0,F8889_Line21&gt;0),"HSA    HDHP",IF(F8889_Line17b,"HSA",IF(F8889_Line21,"HDHP","")))</f>
        <v/>
      </c>
      <c r="Q19" s="5643"/>
      <c r="R19" s="5643"/>
      <c r="S19" s="5643"/>
      <c r="T19" s="5643"/>
      <c r="U19" s="5643"/>
      <c r="V19" s="5643"/>
      <c r="W19" s="5643"/>
      <c r="X19" s="5643"/>
      <c r="Y19" s="5643"/>
      <c r="Z19" s="5643"/>
      <c r="AA19" s="1443"/>
      <c r="AB19" s="1940">
        <v>62</v>
      </c>
      <c r="AC19" s="5648">
        <f>IF(AJ19&lt;&gt;"",ROUND(AJ19,0),IF(AND(K18&lt;&gt;"",Q18&lt;&gt;""),ROUND(SUM(AL17,AL18,F8889_Line17b,F8889_Line21),0),IF(K18&lt;&gt;"",AL17,IF(Q18&lt;&gt;"",SUM(AL18,F8889_Line17b,F8889_Line21),SUM(F8889_Line17b,F8889_Line21,AJ20)))))</f>
        <v>0</v>
      </c>
      <c r="AD19" s="5649"/>
      <c r="AE19" s="5649"/>
      <c r="AF19" s="5649"/>
      <c r="AG19" s="5650"/>
      <c r="AH19" s="3350"/>
      <c r="AJ19" s="3470"/>
      <c r="AK19" s="396"/>
      <c r="AL19" s="396"/>
      <c r="AM19" s="396"/>
      <c r="AN19" s="396"/>
      <c r="AO19" s="396"/>
    </row>
    <row r="20" spans="1:41" ht="14.25" customHeight="1">
      <c r="A20" s="3350"/>
      <c r="B20" s="3287"/>
      <c r="C20" s="3285"/>
      <c r="D20" s="1443"/>
      <c r="E20" s="1443"/>
      <c r="F20" s="2254">
        <v>63</v>
      </c>
      <c r="G20" s="3269" t="s">
        <v>4334</v>
      </c>
      <c r="H20" s="1443"/>
      <c r="I20" s="1443"/>
      <c r="J20" s="1443"/>
      <c r="K20" s="1443"/>
      <c r="L20" s="1443"/>
      <c r="M20" s="1443"/>
      <c r="N20" s="1443"/>
      <c r="O20" s="1443"/>
      <c r="P20" s="1443"/>
      <c r="Q20" s="1443"/>
      <c r="R20" s="1443"/>
      <c r="S20" s="1443"/>
      <c r="T20" s="1443"/>
      <c r="U20" s="1443"/>
      <c r="V20" s="1443"/>
      <c r="W20" s="1443"/>
      <c r="X20" s="1443"/>
      <c r="Y20" s="1443"/>
      <c r="Z20" s="1443"/>
      <c r="AA20" s="1443"/>
      <c r="AB20" s="4917"/>
      <c r="AC20" s="5651"/>
      <c r="AD20" s="5652"/>
      <c r="AE20" s="5652"/>
      <c r="AF20" s="5652"/>
      <c r="AG20" s="5652"/>
      <c r="AH20" s="3350"/>
      <c r="AJ20" s="3470"/>
      <c r="AK20" s="396"/>
      <c r="AL20" s="5011" t="s">
        <v>4723</v>
      </c>
      <c r="AM20" s="5011" t="s">
        <v>557</v>
      </c>
      <c r="AN20" s="5011"/>
      <c r="AO20" s="396"/>
    </row>
    <row r="21" spans="1:41" ht="14.25" customHeight="1">
      <c r="A21" s="3350"/>
      <c r="B21" s="3287"/>
      <c r="C21" s="3285"/>
      <c r="D21" s="1443"/>
      <c r="E21" s="1443"/>
      <c r="F21" s="2254"/>
      <c r="G21" s="3269" t="s">
        <v>4336</v>
      </c>
      <c r="H21" s="1443"/>
      <c r="I21" s="1443"/>
      <c r="J21" s="1443"/>
      <c r="K21" s="1443"/>
      <c r="L21" s="1443"/>
      <c r="M21" s="1443"/>
      <c r="N21" s="1443"/>
      <c r="O21" s="1443"/>
      <c r="P21" s="1443"/>
      <c r="Q21" s="1443"/>
      <c r="R21" s="1443"/>
      <c r="S21" s="1443"/>
      <c r="T21" s="1443"/>
      <c r="U21" s="1943" t="s">
        <v>2541</v>
      </c>
      <c r="V21" s="1940">
        <v>63</v>
      </c>
      <c r="W21" s="5453"/>
      <c r="X21" s="5453"/>
      <c r="Y21" s="5453"/>
      <c r="Z21" s="5453"/>
      <c r="AA21" s="5644"/>
      <c r="AB21" s="4022"/>
      <c r="AC21" s="4920"/>
      <c r="AD21" s="4920"/>
      <c r="AE21" s="4920"/>
      <c r="AF21" s="4920"/>
      <c r="AG21" s="4920"/>
      <c r="AH21" s="3350"/>
      <c r="AJ21" s="5014" t="s">
        <v>4726</v>
      </c>
      <c r="AK21" s="396"/>
      <c r="AL21" s="5013">
        <v>1500</v>
      </c>
      <c r="AM21" s="5011" t="s">
        <v>4724</v>
      </c>
      <c r="AN21" s="5013" t="str">
        <f>IF(AND(AM21&lt;&gt;"",AL21&lt;&gt;"",AL21&gt;0),TEXT(AL21,"$0,000")&amp;" ("&amp;AM21&amp;")  ","")</f>
        <v xml:space="preserve">$1,500 (AH)  </v>
      </c>
      <c r="AO21" s="396"/>
    </row>
    <row r="22" spans="1:41" ht="14.25" customHeight="1">
      <c r="A22" s="3350"/>
      <c r="B22" s="3287"/>
      <c r="C22" s="3285"/>
      <c r="D22" s="1443"/>
      <c r="E22" s="1443"/>
      <c r="F22" s="2254">
        <v>64</v>
      </c>
      <c r="G22" s="3269" t="s">
        <v>4333</v>
      </c>
      <c r="H22" s="1443"/>
      <c r="I22" s="1443"/>
      <c r="J22" s="1443"/>
      <c r="K22" s="1443"/>
      <c r="L22" s="1443"/>
      <c r="M22" s="1443"/>
      <c r="N22" s="1443"/>
      <c r="O22" s="1443"/>
      <c r="P22" s="1443"/>
      <c r="Q22" s="1443"/>
      <c r="R22" s="1443"/>
      <c r="S22" s="1443"/>
      <c r="T22" s="1443"/>
      <c r="U22" s="1443"/>
      <c r="V22" s="1443"/>
      <c r="W22" s="1443"/>
      <c r="X22" s="1443"/>
      <c r="Y22" s="1443"/>
      <c r="Z22" s="1443"/>
      <c r="AA22" s="1443"/>
      <c r="AB22" s="3731"/>
      <c r="AC22" s="3748"/>
      <c r="AD22" s="1615"/>
      <c r="AE22" s="1615"/>
      <c r="AF22" s="1615"/>
      <c r="AG22" s="1615"/>
      <c r="AH22" s="3350"/>
      <c r="AJ22" s="396"/>
      <c r="AK22" s="396"/>
      <c r="AL22" s="5013"/>
      <c r="AM22" s="5012"/>
      <c r="AN22" s="5013"/>
      <c r="AO22" s="396"/>
    </row>
    <row r="23" spans="1:41" ht="14.25" customHeight="1" thickBot="1">
      <c r="A23" s="3350"/>
      <c r="B23" s="3287"/>
      <c r="C23" s="3285"/>
      <c r="D23" s="1443"/>
      <c r="E23" s="1443"/>
      <c r="F23" s="2254"/>
      <c r="G23" s="3269" t="s">
        <v>4337</v>
      </c>
      <c r="H23" s="1443"/>
      <c r="I23" s="1443"/>
      <c r="J23" s="1443"/>
      <c r="K23" s="1443"/>
      <c r="L23" s="1443"/>
      <c r="M23" s="1443"/>
      <c r="N23" s="1443"/>
      <c r="O23" s="1443"/>
      <c r="P23" s="1443"/>
      <c r="Q23" s="1443"/>
      <c r="R23" s="1443"/>
      <c r="S23" s="1443"/>
      <c r="T23" s="1443"/>
      <c r="U23" s="1443"/>
      <c r="V23" s="1443"/>
      <c r="W23" s="1443"/>
      <c r="X23" s="1443"/>
      <c r="Y23" s="1443"/>
      <c r="Z23" s="1443"/>
      <c r="AA23" s="1943" t="s">
        <v>3531</v>
      </c>
      <c r="AB23" s="1947">
        <v>64</v>
      </c>
      <c r="AC23" s="5623">
        <f>IF(AJ23&lt;&gt;"",ROUND(AJ23,0),SUM(AC10,AC11,AC13,HouseholdEmpTaxes,AC16,AC17,AC19))</f>
        <v>0</v>
      </c>
      <c r="AD23" s="5624"/>
      <c r="AE23" s="5624"/>
      <c r="AF23" s="5624"/>
      <c r="AG23" s="5624"/>
      <c r="AH23" s="3350"/>
      <c r="AJ23" s="3470"/>
      <c r="AK23" s="396"/>
      <c r="AL23" s="5013"/>
      <c r="AM23" s="5012"/>
      <c r="AN23" s="5013"/>
      <c r="AO23" s="396"/>
    </row>
    <row r="24" spans="1:41">
      <c r="A24" s="3350"/>
      <c r="B24" s="1731" t="s">
        <v>564</v>
      </c>
      <c r="C24" s="3722"/>
      <c r="D24" s="1605"/>
      <c r="E24" s="1605"/>
      <c r="F24" s="1605"/>
      <c r="G24" s="1605"/>
      <c r="H24" s="1605"/>
      <c r="I24" s="1605"/>
      <c r="J24" s="1605"/>
      <c r="K24" s="1605"/>
      <c r="L24" s="1605"/>
      <c r="M24" s="1605"/>
      <c r="N24" s="1605"/>
      <c r="O24" s="1605"/>
      <c r="P24" s="1605"/>
      <c r="Q24" s="1605"/>
      <c r="R24" s="1605"/>
      <c r="S24" s="1605"/>
      <c r="T24" s="3739"/>
      <c r="U24" s="3739" t="s">
        <v>3050</v>
      </c>
      <c r="V24" s="1605"/>
      <c r="W24" s="3724"/>
      <c r="X24" s="1605"/>
      <c r="Y24" s="1605"/>
      <c r="Z24" s="1605"/>
      <c r="AA24" s="1605"/>
      <c r="AB24" s="1605"/>
      <c r="AC24" s="1605"/>
      <c r="AD24" s="1605"/>
      <c r="AE24" s="1605"/>
      <c r="AF24" s="1605"/>
      <c r="AG24" s="3723" t="str">
        <f>"Schedule 4 (Form 1040) "&amp;TaxYear</f>
        <v>Schedule 4 (Form 1040) 2018</v>
      </c>
      <c r="AH24" s="3350"/>
      <c r="AJ24" s="396"/>
      <c r="AK24" s="396"/>
      <c r="AL24" s="5013"/>
      <c r="AM24" s="5012"/>
      <c r="AN24" s="5013"/>
      <c r="AO24" s="396"/>
    </row>
    <row r="25" spans="1:41">
      <c r="A25" s="3350"/>
      <c r="B25" s="3350"/>
      <c r="C25" s="3350"/>
      <c r="D25" s="3350"/>
      <c r="E25" s="3350"/>
      <c r="F25" s="3350"/>
      <c r="G25" s="3350"/>
      <c r="H25" s="3350"/>
      <c r="I25" s="3350"/>
      <c r="J25" s="3350"/>
      <c r="K25" s="3350"/>
      <c r="L25" s="3350"/>
      <c r="M25" s="3350"/>
      <c r="N25" s="3350"/>
      <c r="O25" s="3350"/>
      <c r="P25" s="3350"/>
      <c r="Q25" s="3350"/>
      <c r="R25" s="3350"/>
      <c r="S25" s="3350"/>
      <c r="T25" s="3350"/>
      <c r="U25" s="3350"/>
      <c r="V25" s="3350"/>
      <c r="W25" s="3350"/>
      <c r="X25" s="3350"/>
      <c r="Y25" s="3350"/>
      <c r="Z25" s="3350"/>
      <c r="AA25" s="3350"/>
      <c r="AB25" s="3350"/>
      <c r="AC25" s="3350"/>
      <c r="AD25" s="3350"/>
      <c r="AE25" s="3350"/>
      <c r="AF25" s="3350"/>
      <c r="AG25" s="3350"/>
      <c r="AH25" s="3350"/>
      <c r="AJ25" s="396"/>
      <c r="AK25" s="396"/>
      <c r="AL25" s="396"/>
      <c r="AM25" s="396"/>
      <c r="AN25" s="396"/>
      <c r="AO25" s="396"/>
    </row>
    <row r="26" spans="1:41">
      <c r="AL26" s="4180">
        <f>SUM(AL21:AL24)</f>
        <v>1500</v>
      </c>
      <c r="AN26" s="4180" t="str">
        <f>AN17&amp;"  "&amp;AN18&amp;"  "&amp;AN21&amp;"  "&amp;AN22&amp;"  "&amp;AN23&amp;"  "&amp;AN24</f>
        <v xml:space="preserve">    $1,500 (AH)        </v>
      </c>
    </row>
    <row r="27" spans="1:41" ht="13.5" thickBot="1"/>
    <row r="28" spans="1:41">
      <c r="B28" s="5558" t="s">
        <v>5009</v>
      </c>
      <c r="C28" s="5559"/>
      <c r="D28" s="5559"/>
      <c r="E28" s="5559"/>
      <c r="F28" s="5560"/>
    </row>
    <row r="29" spans="1:41">
      <c r="B29" s="5561"/>
      <c r="C29" s="5562"/>
      <c r="D29" s="5562"/>
      <c r="E29" s="5562"/>
      <c r="F29" s="5563"/>
    </row>
    <row r="30" spans="1:41" ht="13.5" thickBot="1">
      <c r="B30" s="5564"/>
      <c r="C30" s="5565"/>
      <c r="D30" s="5565"/>
      <c r="E30" s="5565"/>
      <c r="F30" s="5566"/>
    </row>
  </sheetData>
  <sheetProtection password="F07E" sheet="1" objects="1" scenarios="1"/>
  <mergeCells count="24">
    <mergeCell ref="AJ7:AJ9"/>
    <mergeCell ref="AC16:AG16"/>
    <mergeCell ref="AC23:AG23"/>
    <mergeCell ref="AC17:AG17"/>
    <mergeCell ref="AC19:AG19"/>
    <mergeCell ref="AC14:AG14"/>
    <mergeCell ref="AC20:AG20"/>
    <mergeCell ref="AB8:AG9"/>
    <mergeCell ref="AC10:AG10"/>
    <mergeCell ref="AC11:AG11"/>
    <mergeCell ref="AC13:AG13"/>
    <mergeCell ref="B28:F30"/>
    <mergeCell ref="B2:F3"/>
    <mergeCell ref="AB2:AG2"/>
    <mergeCell ref="AB3:AG4"/>
    <mergeCell ref="B4:F4"/>
    <mergeCell ref="AC5:AG6"/>
    <mergeCell ref="B6:F6"/>
    <mergeCell ref="B5:F5"/>
    <mergeCell ref="P19:Z19"/>
    <mergeCell ref="W21:AA21"/>
    <mergeCell ref="B8:AA9"/>
    <mergeCell ref="B10:E10"/>
    <mergeCell ref="B11:E11"/>
  </mergeCells>
  <conditionalFormatting sqref="B8 AB8">
    <cfRule type="expression" dxfId="2749" priority="39">
      <formula>NoColor</formula>
    </cfRule>
  </conditionalFormatting>
  <conditionalFormatting sqref="AC10:AG10">
    <cfRule type="expression" dxfId="2748" priority="33">
      <formula>IF(NoColor,1,0)</formula>
    </cfRule>
  </conditionalFormatting>
  <conditionalFormatting sqref="AC12:AG12">
    <cfRule type="expression" dxfId="2747" priority="35">
      <formula>IF(NoColor,1,0)</formula>
    </cfRule>
  </conditionalFormatting>
  <conditionalFormatting sqref="AC23:AG23">
    <cfRule type="expression" dxfId="2746" priority="34">
      <formula>IF(NoColor,1,0)</formula>
    </cfRule>
  </conditionalFormatting>
  <conditionalFormatting sqref="AC22:AG22">
    <cfRule type="expression" dxfId="2745" priority="32">
      <formula>IF(NoColor,1,0)</formula>
    </cfRule>
  </conditionalFormatting>
  <conditionalFormatting sqref="AC13:AG13">
    <cfRule type="expression" dxfId="2744" priority="31">
      <formula>IF(NoColor,1,0)</formula>
    </cfRule>
  </conditionalFormatting>
  <conditionalFormatting sqref="AC15:AG15">
    <cfRule type="expression" dxfId="2743" priority="26">
      <formula>IF(NoColor,1,0)</formula>
    </cfRule>
  </conditionalFormatting>
  <conditionalFormatting sqref="AC19:AG19">
    <cfRule type="expression" dxfId="2742" priority="21">
      <formula>IF(NoColor,1,0)</formula>
    </cfRule>
  </conditionalFormatting>
  <conditionalFormatting sqref="AC11:AG11">
    <cfRule type="expression" dxfId="2741" priority="18">
      <formula>IF(NoColor,1,0)</formula>
    </cfRule>
  </conditionalFormatting>
  <conditionalFormatting sqref="Y11">
    <cfRule type="expression" dxfId="2740" priority="14">
      <formula>NoColor</formula>
    </cfRule>
  </conditionalFormatting>
  <conditionalFormatting sqref="K18">
    <cfRule type="expression" dxfId="2739" priority="13">
      <formula>NoColor</formula>
    </cfRule>
  </conditionalFormatting>
  <conditionalFormatting sqref="V11">
    <cfRule type="expression" dxfId="2738" priority="15">
      <formula>NoColor</formula>
    </cfRule>
  </conditionalFormatting>
  <conditionalFormatting sqref="H19">
    <cfRule type="expression" dxfId="2737" priority="11">
      <formula>NoColor</formula>
    </cfRule>
  </conditionalFormatting>
  <conditionalFormatting sqref="AC18:AG18">
    <cfRule type="expression" dxfId="2736" priority="10">
      <formula>IF(NoColor,1,0)</formula>
    </cfRule>
  </conditionalFormatting>
  <conditionalFormatting sqref="B4:F4">
    <cfRule type="expression" dxfId="2735" priority="9">
      <formula>NOT(Draft)</formula>
    </cfRule>
  </conditionalFormatting>
  <conditionalFormatting sqref="G4">
    <cfRule type="expression" dxfId="2734" priority="8">
      <formula>NOT(Draft)</formula>
    </cfRule>
  </conditionalFormatting>
  <conditionalFormatting sqref="Q18">
    <cfRule type="expression" dxfId="2733" priority="7">
      <formula>NoColor</formula>
    </cfRule>
  </conditionalFormatting>
  <conditionalFormatting sqref="AC14:AG14">
    <cfRule type="expression" dxfId="2732" priority="5">
      <formula>IF(NoColor,1,0)</formula>
    </cfRule>
  </conditionalFormatting>
  <conditionalFormatting sqref="AC17:AG17">
    <cfRule type="expression" dxfId="2731" priority="4">
      <formula>IF(NoColor,1,0)</formula>
    </cfRule>
  </conditionalFormatting>
  <conditionalFormatting sqref="AC16:AG16">
    <cfRule type="expression" dxfId="2730" priority="3">
      <formula>IF(NoColor,1,0)</formula>
    </cfRule>
  </conditionalFormatting>
  <conditionalFormatting sqref="P19:Z19">
    <cfRule type="expression" dxfId="2729" priority="2">
      <formula>NoColor</formula>
    </cfRule>
  </conditionalFormatting>
  <conditionalFormatting sqref="W21:AA21">
    <cfRule type="expression" dxfId="2728" priority="1">
      <formula>NoColor</formula>
    </cfRule>
  </conditionalFormatting>
  <hyperlinks>
    <hyperlink ref="B28:F30" location="'Table of Contents'!A1" display="Table of Contents"/>
  </hyperlinks>
  <pageMargins left="0.45" right="0.45" top="0.5" bottom="0.5" header="0" footer="0"/>
  <pageSetup scale="83"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27"/>
  <sheetViews>
    <sheetView zoomScaleNormal="100" zoomScaleSheetLayoutView="100" workbookViewId="0">
      <selection activeCell="B25" sqref="B25:F27"/>
    </sheetView>
  </sheetViews>
  <sheetFormatPr defaultColWidth="3.42578125" defaultRowHeight="12.75"/>
  <cols>
    <col min="1" max="1" width="3.42578125" style="46"/>
    <col min="2" max="5" width="3.85546875" style="46" customWidth="1"/>
    <col min="6" max="6" width="5.7109375" style="46" customWidth="1"/>
    <col min="7" max="8" width="3.42578125" style="46" customWidth="1"/>
    <col min="9" max="9" width="4.28515625" style="46" customWidth="1"/>
    <col min="10" max="14" width="3.42578125" style="46" customWidth="1"/>
    <col min="15" max="15" width="2.7109375" style="46" customWidth="1"/>
    <col min="16" max="17" width="3.42578125" style="46" customWidth="1"/>
    <col min="18" max="18" width="4.28515625" style="46" customWidth="1"/>
    <col min="19" max="21" width="3.42578125" style="46" customWidth="1"/>
    <col min="22" max="22" width="5.71093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13.140625" style="46" customWidth="1"/>
    <col min="39" max="39" width="15.85546875" style="46" customWidth="1"/>
    <col min="40" max="40" width="3.42578125" style="46"/>
    <col min="41" max="41" width="10.7109375" style="3742" customWidth="1"/>
    <col min="42" max="51" width="10.7109375" style="3169" customWidth="1"/>
    <col min="52" max="53" width="3.42578125" style="46"/>
    <col min="54" max="64" width="3.28515625" style="46" customWidth="1"/>
    <col min="65" max="16384" width="3.42578125" style="46"/>
  </cols>
  <sheetData>
    <row r="1" spans="1:41"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J1" s="396"/>
      <c r="AO1" s="3741" t="s">
        <v>2552</v>
      </c>
    </row>
    <row r="2" spans="1:41" ht="11.25" customHeight="1">
      <c r="A2" s="3350"/>
      <c r="B2" s="5594" t="s">
        <v>3052</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639" t="s">
        <v>169</v>
      </c>
      <c r="AC2" s="5640"/>
      <c r="AD2" s="5640"/>
      <c r="AE2" s="5640"/>
      <c r="AF2" s="5640"/>
      <c r="AG2" s="5640"/>
      <c r="AH2" s="3350"/>
      <c r="AJ2" s="396"/>
    </row>
    <row r="3" spans="1:41" ht="20.25">
      <c r="A3" s="3350"/>
      <c r="B3" s="5595"/>
      <c r="C3" s="5595"/>
      <c r="D3" s="5595"/>
      <c r="E3" s="5595"/>
      <c r="F3" s="5596"/>
      <c r="G3" s="3728" t="s">
        <v>3053</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J3" s="396"/>
    </row>
    <row r="4" spans="1:41" ht="14.25" customHeight="1">
      <c r="A4" s="3350"/>
      <c r="B4" s="5597"/>
      <c r="C4" s="5598"/>
      <c r="D4" s="5598"/>
      <c r="E4" s="5598"/>
      <c r="F4" s="5599"/>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J4" s="396"/>
    </row>
    <row r="5" spans="1:41" ht="14.25" customHeight="1">
      <c r="A5" s="3350"/>
      <c r="B5" s="5606" t="s">
        <v>202</v>
      </c>
      <c r="C5" s="5606"/>
      <c r="D5" s="5606"/>
      <c r="E5" s="5606"/>
      <c r="F5" s="5607"/>
      <c r="G5" s="1610"/>
      <c r="H5" s="1443"/>
      <c r="I5" s="1443"/>
      <c r="J5" s="1443"/>
      <c r="K5" s="1443"/>
      <c r="L5" s="1443"/>
      <c r="M5" s="1443"/>
      <c r="N5" s="1443"/>
      <c r="O5" s="1443"/>
      <c r="P5" s="1615" t="s">
        <v>2658</v>
      </c>
      <c r="Q5" s="1443"/>
      <c r="R5" s="1443"/>
      <c r="S5" s="1443"/>
      <c r="T5" s="1443"/>
      <c r="U5" s="1443"/>
      <c r="V5" s="1443"/>
      <c r="W5" s="1443"/>
      <c r="X5" s="1443"/>
      <c r="Y5" s="1443"/>
      <c r="Z5" s="1443"/>
      <c r="AA5" s="1443"/>
      <c r="AB5" s="3725"/>
      <c r="AC5" s="5584" t="s">
        <v>3770</v>
      </c>
      <c r="AD5" s="5628"/>
      <c r="AE5" s="5628"/>
      <c r="AF5" s="5628"/>
      <c r="AG5" s="5628"/>
      <c r="AH5" s="3350"/>
      <c r="AJ5" s="396"/>
    </row>
    <row r="6" spans="1:41" ht="13.5" thickBot="1">
      <c r="A6" s="3350"/>
      <c r="B6" s="5604" t="s">
        <v>450</v>
      </c>
      <c r="C6" s="5604"/>
      <c r="D6" s="5604"/>
      <c r="E6" s="5604"/>
      <c r="F6" s="5605"/>
      <c r="G6" s="3745" t="s">
        <v>3006</v>
      </c>
      <c r="H6" s="3746"/>
      <c r="I6" s="3745"/>
      <c r="J6" s="3747"/>
      <c r="K6" s="3746"/>
      <c r="L6" s="3746"/>
      <c r="M6" s="3746"/>
      <c r="N6" s="3746"/>
      <c r="O6" s="3746"/>
      <c r="P6" s="3746"/>
      <c r="Q6" s="3746"/>
      <c r="R6" s="3746"/>
      <c r="S6" s="3746"/>
      <c r="T6" s="3746"/>
      <c r="U6" s="3746"/>
      <c r="V6" s="3746"/>
      <c r="W6" s="3746"/>
      <c r="X6" s="3746"/>
      <c r="Y6" s="3746"/>
      <c r="Z6" s="3746"/>
      <c r="AA6" s="3746"/>
      <c r="AB6" s="3726"/>
      <c r="AC6" s="5629"/>
      <c r="AD6" s="5629"/>
      <c r="AE6" s="5629"/>
      <c r="AF6" s="5629"/>
      <c r="AG6" s="5629"/>
      <c r="AH6" s="3350"/>
      <c r="AJ6" s="396"/>
    </row>
    <row r="7" spans="1:41">
      <c r="A7" s="3350"/>
      <c r="B7" s="1607"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3029</v>
      </c>
      <c r="AC7" s="1605"/>
      <c r="AD7" s="1605"/>
      <c r="AE7" s="1605"/>
      <c r="AF7" s="1605"/>
      <c r="AG7" s="1605"/>
      <c r="AH7" s="3350"/>
      <c r="AJ7" s="5608" t="s">
        <v>2161</v>
      </c>
    </row>
    <row r="8" spans="1:41"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J8" s="5609"/>
    </row>
    <row r="9" spans="1:41"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J9" s="5610"/>
    </row>
    <row r="10" spans="1:41" ht="14.25" customHeight="1">
      <c r="A10" s="3350"/>
      <c r="B10" s="5645" t="s">
        <v>458</v>
      </c>
      <c r="C10" s="5646"/>
      <c r="D10" s="5646"/>
      <c r="E10" s="5646"/>
      <c r="F10" s="2254">
        <v>65</v>
      </c>
      <c r="G10" s="1607" t="s">
        <v>3008</v>
      </c>
      <c r="H10" s="1607"/>
      <c r="I10" s="1443"/>
      <c r="J10" s="1443"/>
      <c r="K10" s="1443"/>
      <c r="L10" s="1443"/>
      <c r="M10" s="1443"/>
      <c r="N10" s="1443"/>
      <c r="O10" s="1443"/>
      <c r="P10" s="1443"/>
      <c r="Q10" s="1443"/>
      <c r="R10" s="1443"/>
      <c r="S10" s="1443"/>
      <c r="T10" s="1443"/>
      <c r="U10" s="1443"/>
      <c r="V10" s="1443"/>
      <c r="W10" s="1443"/>
      <c r="X10" s="1443"/>
      <c r="Y10" s="1443"/>
      <c r="Z10" s="1443"/>
      <c r="AA10" s="1943" t="s">
        <v>3542</v>
      </c>
      <c r="AB10" s="3731">
        <v>65</v>
      </c>
      <c r="AC10" s="5653"/>
      <c r="AD10" s="5654"/>
      <c r="AE10" s="5654"/>
      <c r="AF10" s="5654"/>
      <c r="AG10" s="5654"/>
      <c r="AH10" s="3350"/>
      <c r="AJ10" s="3743"/>
    </row>
    <row r="11" spans="1:41" ht="14.25" customHeight="1">
      <c r="A11" s="3350"/>
      <c r="B11" s="5645" t="s">
        <v>833</v>
      </c>
      <c r="C11" s="5646"/>
      <c r="D11" s="5646"/>
      <c r="E11" s="5646"/>
      <c r="F11" s="2254">
        <v>66</v>
      </c>
      <c r="G11" s="1607" t="str">
        <f>TaxYear&amp;" estimated tax payment and amount applied from "&amp;TaxYear-1&amp;" return"</f>
        <v>2018 estimated tax payment and amount applied from 2017 return</v>
      </c>
      <c r="H11" s="1443"/>
      <c r="I11" s="1443"/>
      <c r="J11" s="1443"/>
      <c r="K11" s="1443"/>
      <c r="L11" s="1443"/>
      <c r="M11" s="1443"/>
      <c r="N11" s="1443"/>
      <c r="O11" s="1443"/>
      <c r="P11" s="1443"/>
      <c r="Q11" s="1443"/>
      <c r="R11" s="1443"/>
      <c r="S11" s="1443"/>
      <c r="T11" s="1443"/>
      <c r="U11" s="1443"/>
      <c r="V11" s="1443"/>
      <c r="W11" s="1443"/>
      <c r="X11" s="1443"/>
      <c r="Y11" s="1443"/>
      <c r="Z11" s="1443"/>
      <c r="AA11" s="1943" t="s">
        <v>3533</v>
      </c>
      <c r="AB11" s="2710">
        <v>66</v>
      </c>
      <c r="AC11" s="5573"/>
      <c r="AD11" s="5574"/>
      <c r="AE11" s="5574"/>
      <c r="AF11" s="5574"/>
      <c r="AG11" s="5632"/>
      <c r="AH11" s="3350"/>
      <c r="AJ11" s="3743"/>
    </row>
    <row r="12" spans="1:41" ht="14.25" customHeight="1">
      <c r="A12" s="3350"/>
      <c r="B12" s="3287"/>
      <c r="C12" s="3285"/>
      <c r="D12" s="1443"/>
      <c r="E12" s="1443"/>
      <c r="F12" s="1943" t="s">
        <v>3055</v>
      </c>
      <c r="G12" s="2753" t="s">
        <v>3008</v>
      </c>
      <c r="H12" s="1607"/>
      <c r="I12" s="1443"/>
      <c r="J12" s="1443"/>
      <c r="K12" s="1443"/>
      <c r="L12" s="1443"/>
      <c r="M12" s="1443"/>
      <c r="N12" s="1443"/>
      <c r="O12" s="1443"/>
      <c r="P12" s="1443"/>
      <c r="Q12" s="1443"/>
      <c r="R12" s="1443"/>
      <c r="S12" s="1443"/>
      <c r="T12" s="1443"/>
      <c r="U12" s="1443"/>
      <c r="V12" s="1443"/>
      <c r="W12" s="1443"/>
      <c r="X12" s="1443"/>
      <c r="Y12" s="1443"/>
      <c r="Z12" s="1443"/>
      <c r="AA12" s="1943" t="s">
        <v>3542</v>
      </c>
      <c r="AB12" s="2710" t="s">
        <v>3055</v>
      </c>
      <c r="AC12" s="5653"/>
      <c r="AD12" s="5654"/>
      <c r="AE12" s="5654"/>
      <c r="AF12" s="5654"/>
      <c r="AG12" s="5654"/>
      <c r="AH12" s="3350"/>
      <c r="AJ12" s="3743"/>
      <c r="AM12" s="1075"/>
    </row>
    <row r="13" spans="1:41" ht="14.25" customHeight="1">
      <c r="A13" s="3350"/>
      <c r="B13" s="3287"/>
      <c r="C13" s="3285"/>
      <c r="D13" s="1443"/>
      <c r="E13" s="1443"/>
      <c r="F13" s="1943" t="s">
        <v>54</v>
      </c>
      <c r="G13" s="1607" t="s">
        <v>3008</v>
      </c>
      <c r="H13" s="1443"/>
      <c r="I13" s="1443"/>
      <c r="J13" s="1443"/>
      <c r="K13" s="1443"/>
      <c r="L13" s="1443"/>
      <c r="M13" s="1443"/>
      <c r="N13" s="1443"/>
      <c r="O13" s="1443"/>
      <c r="P13" s="1443"/>
      <c r="Q13" s="1443"/>
      <c r="R13" s="1443"/>
      <c r="S13" s="1443"/>
      <c r="T13" s="1443"/>
      <c r="U13" s="1443"/>
      <c r="V13" s="1443"/>
      <c r="W13" s="1443"/>
      <c r="X13" s="1443"/>
      <c r="Y13" s="1443"/>
      <c r="Z13" s="1443"/>
      <c r="AA13" s="1943" t="s">
        <v>3542</v>
      </c>
      <c r="AB13" s="2710" t="s">
        <v>3059</v>
      </c>
      <c r="AC13" s="5653"/>
      <c r="AD13" s="5654"/>
      <c r="AE13" s="5654"/>
      <c r="AF13" s="5654"/>
      <c r="AG13" s="5654"/>
      <c r="AH13" s="3350"/>
      <c r="AJ13" s="396"/>
    </row>
    <row r="14" spans="1:41" ht="14.25" customHeight="1">
      <c r="A14" s="3350"/>
      <c r="B14" s="3287"/>
      <c r="C14" s="3285"/>
      <c r="D14" s="1443"/>
      <c r="E14" s="1443"/>
      <c r="F14" s="1943" t="s">
        <v>3056</v>
      </c>
      <c r="G14" s="1607" t="s">
        <v>3008</v>
      </c>
      <c r="H14" s="1443"/>
      <c r="I14" s="1443"/>
      <c r="J14" s="1443"/>
      <c r="K14" s="1443"/>
      <c r="L14" s="1443"/>
      <c r="M14" s="1443"/>
      <c r="N14" s="1443"/>
      <c r="O14" s="1443"/>
      <c r="P14" s="1443"/>
      <c r="Q14" s="1443"/>
      <c r="R14" s="1443"/>
      <c r="S14" s="1443"/>
      <c r="T14" s="1443"/>
      <c r="U14" s="1443"/>
      <c r="V14" s="1443"/>
      <c r="W14" s="1443"/>
      <c r="X14" s="1443"/>
      <c r="Y14" s="1443"/>
      <c r="Z14" s="1443"/>
      <c r="AA14" s="1943" t="s">
        <v>3542</v>
      </c>
      <c r="AB14" s="2710" t="s">
        <v>3060</v>
      </c>
      <c r="AC14" s="5653"/>
      <c r="AD14" s="5654"/>
      <c r="AE14" s="5654"/>
      <c r="AF14" s="5654"/>
      <c r="AG14" s="5654"/>
      <c r="AH14" s="3350"/>
      <c r="AJ14" s="396"/>
    </row>
    <row r="15" spans="1:41" ht="14.25" customHeight="1">
      <c r="A15" s="3350"/>
      <c r="B15" s="3287"/>
      <c r="C15" s="3285"/>
      <c r="D15" s="1443"/>
      <c r="E15" s="1443"/>
      <c r="F15" s="2254">
        <v>70</v>
      </c>
      <c r="G15" s="1607" t="s">
        <v>3057</v>
      </c>
      <c r="H15" s="1443"/>
      <c r="I15" s="1443"/>
      <c r="J15" s="1443"/>
      <c r="K15" s="1443"/>
      <c r="L15" s="1443"/>
      <c r="M15" s="1443"/>
      <c r="N15" s="1443"/>
      <c r="O15" s="1443"/>
      <c r="P15" s="1443"/>
      <c r="Q15" s="1443"/>
      <c r="R15" s="1443"/>
      <c r="S15" s="1443"/>
      <c r="T15" s="1443"/>
      <c r="U15" s="1443"/>
      <c r="V15" s="1443"/>
      <c r="W15" s="1443"/>
      <c r="X15" s="1443"/>
      <c r="Y15" s="1443"/>
      <c r="Z15" s="1443"/>
      <c r="AA15" s="1943" t="s">
        <v>776</v>
      </c>
      <c r="AB15" s="1940">
        <v>70</v>
      </c>
      <c r="AC15" s="5648" t="str">
        <f>IF(AJ15&lt;&gt;"",ROUND(AJ15,0),PTC_Net)</f>
        <v/>
      </c>
      <c r="AD15" s="5649"/>
      <c r="AE15" s="5649"/>
      <c r="AF15" s="5649"/>
      <c r="AG15" s="5657"/>
      <c r="AH15" s="3350"/>
      <c r="AJ15" s="3470"/>
    </row>
    <row r="16" spans="1:41" ht="14.25" customHeight="1">
      <c r="A16" s="3350"/>
      <c r="B16" s="3287"/>
      <c r="C16" s="3285"/>
      <c r="D16" s="1443"/>
      <c r="E16" s="1443"/>
      <c r="F16" s="2254">
        <v>71</v>
      </c>
      <c r="G16" s="1607" t="s">
        <v>3058</v>
      </c>
      <c r="H16" s="1443"/>
      <c r="I16" s="1443"/>
      <c r="J16" s="1443"/>
      <c r="K16" s="1443"/>
      <c r="L16" s="1443"/>
      <c r="M16" s="1443"/>
      <c r="N16" s="1443"/>
      <c r="O16" s="1443"/>
      <c r="P16" s="1443"/>
      <c r="Q16" s="1443"/>
      <c r="R16" s="1443"/>
      <c r="S16" s="1443"/>
      <c r="T16" s="1443"/>
      <c r="U16" s="1443"/>
      <c r="V16" s="1443"/>
      <c r="W16" s="1443"/>
      <c r="X16" s="1443"/>
      <c r="Y16" s="1443"/>
      <c r="Z16" s="1443"/>
      <c r="AA16" s="1943" t="s">
        <v>3239</v>
      </c>
      <c r="AB16" s="2710">
        <v>71</v>
      </c>
      <c r="AC16" s="5573"/>
      <c r="AD16" s="5574"/>
      <c r="AE16" s="5574"/>
      <c r="AF16" s="5574"/>
      <c r="AG16" s="5632"/>
      <c r="AH16" s="3350"/>
      <c r="AJ16" s="396"/>
    </row>
    <row r="17" spans="1:36" ht="14.25" customHeight="1">
      <c r="A17" s="3350"/>
      <c r="B17" s="3287"/>
      <c r="C17" s="3285"/>
      <c r="D17" s="1443"/>
      <c r="E17" s="1443"/>
      <c r="F17" s="2254">
        <v>72</v>
      </c>
      <c r="G17" s="1607" t="s">
        <v>3271</v>
      </c>
      <c r="H17" s="1443"/>
      <c r="I17" s="1443"/>
      <c r="J17" s="1443"/>
      <c r="K17" s="1443"/>
      <c r="L17" s="1443"/>
      <c r="M17" s="1443"/>
      <c r="N17" s="1443"/>
      <c r="O17" s="1443"/>
      <c r="P17" s="1443"/>
      <c r="Q17" s="1443"/>
      <c r="R17" s="1443"/>
      <c r="S17" s="1443"/>
      <c r="T17" s="1443"/>
      <c r="U17" s="1443"/>
      <c r="V17" s="1443"/>
      <c r="W17" s="1443"/>
      <c r="X17" s="1443"/>
      <c r="Y17" s="1443"/>
      <c r="Z17" s="1443"/>
      <c r="AA17" s="1943" t="s">
        <v>1993</v>
      </c>
      <c r="AB17" s="2710">
        <v>72</v>
      </c>
      <c r="AC17" s="5648">
        <f>IF(AJ17&lt;&gt;"",ROUND(AJ17,0),W2_SS_Tax_Excess)</f>
        <v>0</v>
      </c>
      <c r="AD17" s="5649"/>
      <c r="AE17" s="5649"/>
      <c r="AF17" s="5649"/>
      <c r="AG17" s="5657"/>
      <c r="AH17" s="3350"/>
      <c r="AJ17" s="3470"/>
    </row>
    <row r="18" spans="1:36" ht="14.25" customHeight="1">
      <c r="A18" s="3350"/>
      <c r="B18" s="3287"/>
      <c r="C18" s="3285"/>
      <c r="D18" s="1443"/>
      <c r="E18" s="1443"/>
      <c r="F18" s="2254">
        <v>73</v>
      </c>
      <c r="G18" s="1607" t="s">
        <v>4345</v>
      </c>
      <c r="H18" s="1443"/>
      <c r="I18" s="1443"/>
      <c r="J18" s="1443"/>
      <c r="K18" s="1443"/>
      <c r="L18" s="1443"/>
      <c r="M18" s="1443"/>
      <c r="N18" s="1443"/>
      <c r="O18" s="1443"/>
      <c r="P18" s="1443"/>
      <c r="Q18" s="1443"/>
      <c r="R18" s="1443"/>
      <c r="S18" s="1443"/>
      <c r="T18" s="1443"/>
      <c r="U18" s="1443"/>
      <c r="V18" s="1443"/>
      <c r="W18" s="1443"/>
      <c r="X18" s="1443"/>
      <c r="Y18" s="1443"/>
      <c r="Z18" s="1443"/>
      <c r="AA18" s="1943" t="s">
        <v>4143</v>
      </c>
      <c r="AB18" s="1940">
        <v>73</v>
      </c>
      <c r="AC18" s="5573"/>
      <c r="AD18" s="5574"/>
      <c r="AE18" s="5574"/>
      <c r="AF18" s="5574"/>
      <c r="AG18" s="5632"/>
      <c r="AH18" s="3350"/>
      <c r="AJ18" s="396"/>
    </row>
    <row r="19" spans="1:36" ht="14.25" customHeight="1">
      <c r="A19" s="3350"/>
      <c r="B19" s="3287"/>
      <c r="C19" s="3285"/>
      <c r="D19" s="1443"/>
      <c r="E19" s="1443"/>
      <c r="F19" s="2254">
        <v>74</v>
      </c>
      <c r="G19" s="1607" t="s">
        <v>4346</v>
      </c>
      <c r="H19" s="1443"/>
      <c r="I19" s="1443"/>
      <c r="J19" s="1443"/>
      <c r="K19" s="1943" t="s">
        <v>4347</v>
      </c>
      <c r="L19" s="4024"/>
      <c r="M19" s="1607" t="str">
        <f>"2439"</f>
        <v>2439</v>
      </c>
      <c r="N19" s="1443"/>
      <c r="O19" s="1943" t="s">
        <v>54</v>
      </c>
      <c r="P19" s="4024"/>
      <c r="Q19" s="1607" t="s">
        <v>3303</v>
      </c>
      <c r="R19" s="1443"/>
      <c r="S19" s="154"/>
      <c r="T19" s="4024"/>
      <c r="U19" s="1607" t="s">
        <v>3272</v>
      </c>
      <c r="V19" s="1443"/>
      <c r="W19" s="4024"/>
      <c r="X19" s="5655"/>
      <c r="Y19" s="5656"/>
      <c r="Z19" s="5656"/>
      <c r="AA19" s="1443"/>
      <c r="AB19" s="2710">
        <v>74</v>
      </c>
      <c r="AC19" s="5573"/>
      <c r="AD19" s="5574"/>
      <c r="AE19" s="5574"/>
      <c r="AF19" s="5574"/>
      <c r="AG19" s="5632"/>
      <c r="AH19" s="3350"/>
      <c r="AJ19" s="396"/>
    </row>
    <row r="20" spans="1:36" ht="14.25" customHeight="1">
      <c r="A20" s="3350"/>
      <c r="B20" s="3287"/>
      <c r="C20" s="3285"/>
      <c r="D20" s="1443"/>
      <c r="E20" s="1443"/>
      <c r="F20" s="2254">
        <v>75</v>
      </c>
      <c r="G20" s="3269" t="s">
        <v>4348</v>
      </c>
      <c r="H20" s="1443"/>
      <c r="I20" s="1443"/>
      <c r="J20" s="1443"/>
      <c r="K20" s="1443"/>
      <c r="L20" s="1443"/>
      <c r="M20" s="1443"/>
      <c r="N20" s="1443"/>
      <c r="O20" s="1443"/>
      <c r="P20" s="1443"/>
      <c r="Q20" s="1443"/>
      <c r="R20" s="1443"/>
      <c r="S20" s="1443"/>
      <c r="T20" s="1443"/>
      <c r="U20" s="1443"/>
      <c r="V20" s="1443"/>
      <c r="W20" s="1443"/>
      <c r="X20" s="1443"/>
      <c r="Y20" s="1443"/>
      <c r="Z20" s="1443"/>
      <c r="AA20" s="1443"/>
      <c r="AB20" s="3731"/>
      <c r="AC20" s="3748"/>
      <c r="AD20" s="1615"/>
      <c r="AE20" s="1615"/>
      <c r="AF20" s="1615"/>
      <c r="AG20" s="1615"/>
      <c r="AH20" s="3350"/>
      <c r="AJ20" s="396"/>
    </row>
    <row r="21" spans="1:36" ht="14.25" customHeight="1" thickBot="1">
      <c r="A21" s="3350"/>
      <c r="B21" s="3287"/>
      <c r="C21" s="3285"/>
      <c r="D21" s="1443"/>
      <c r="E21" s="1443"/>
      <c r="F21" s="2254"/>
      <c r="G21" s="1607" t="s">
        <v>4349</v>
      </c>
      <c r="H21" s="1443"/>
      <c r="I21" s="1443"/>
      <c r="J21" s="1443"/>
      <c r="K21" s="1443"/>
      <c r="L21" s="1443"/>
      <c r="M21" s="1443"/>
      <c r="N21" s="1443"/>
      <c r="O21" s="1443"/>
      <c r="P21" s="1443"/>
      <c r="Q21" s="1443"/>
      <c r="R21" s="1443"/>
      <c r="S21" s="1443"/>
      <c r="T21" s="1443"/>
      <c r="U21" s="1443"/>
      <c r="V21" s="1443"/>
      <c r="W21" s="1443"/>
      <c r="X21" s="1443"/>
      <c r="Y21" s="1443"/>
      <c r="Z21" s="1443"/>
      <c r="AA21" s="1943" t="s">
        <v>3530</v>
      </c>
      <c r="AB21" s="1947">
        <v>75</v>
      </c>
      <c r="AC21" s="5648">
        <f>IF(AJ21&lt;&gt;"",ROUND(AJ21,0),SUM(AC10:AG19))</f>
        <v>0</v>
      </c>
      <c r="AD21" s="5649"/>
      <c r="AE21" s="5649"/>
      <c r="AF21" s="5649"/>
      <c r="AG21" s="5657"/>
      <c r="AH21" s="3350"/>
      <c r="AJ21" s="3470"/>
    </row>
    <row r="22" spans="1:36">
      <c r="A22" s="3350"/>
      <c r="B22" s="1731" t="s">
        <v>564</v>
      </c>
      <c r="C22" s="3722"/>
      <c r="D22" s="1605"/>
      <c r="E22" s="1605"/>
      <c r="F22" s="1605"/>
      <c r="G22" s="1605"/>
      <c r="H22" s="1605"/>
      <c r="I22" s="1605"/>
      <c r="J22" s="1605"/>
      <c r="K22" s="1605"/>
      <c r="L22" s="1605"/>
      <c r="M22" s="1605"/>
      <c r="N22" s="1605"/>
      <c r="O22" s="1605"/>
      <c r="P22" s="1605"/>
      <c r="Q22" s="1605"/>
      <c r="R22" s="1605"/>
      <c r="S22" s="1605"/>
      <c r="T22" s="3739"/>
      <c r="U22" s="3739" t="s">
        <v>3054</v>
      </c>
      <c r="V22" s="1605"/>
      <c r="W22" s="3724"/>
      <c r="X22" s="1605"/>
      <c r="Y22" s="1605"/>
      <c r="Z22" s="1605"/>
      <c r="AA22" s="1605"/>
      <c r="AB22" s="1605"/>
      <c r="AC22" s="1605"/>
      <c r="AD22" s="1605"/>
      <c r="AE22" s="1605"/>
      <c r="AF22" s="1605"/>
      <c r="AG22" s="3723" t="str">
        <f>"Schedule 5 (Form 1040) "&amp;TaxYear</f>
        <v>Schedule 5 (Form 1040) 2018</v>
      </c>
      <c r="AH22" s="3350"/>
      <c r="AJ22" s="396"/>
    </row>
    <row r="23" spans="1:36">
      <c r="A23" s="3350"/>
      <c r="B23" s="3350"/>
      <c r="C23" s="3350"/>
      <c r="D23" s="3350"/>
      <c r="E23" s="3350"/>
      <c r="F23" s="3350"/>
      <c r="G23" s="3350"/>
      <c r="H23" s="3350"/>
      <c r="I23" s="3350"/>
      <c r="J23" s="3350"/>
      <c r="K23" s="3350"/>
      <c r="L23" s="3350"/>
      <c r="M23" s="3350"/>
      <c r="N23" s="3350"/>
      <c r="O23" s="3350"/>
      <c r="P23" s="3350"/>
      <c r="Q23" s="3350"/>
      <c r="R23" s="3350"/>
      <c r="S23" s="3350"/>
      <c r="T23" s="3350"/>
      <c r="U23" s="3350"/>
      <c r="V23" s="3350"/>
      <c r="W23" s="3350"/>
      <c r="X23" s="3350"/>
      <c r="Y23" s="3350"/>
      <c r="Z23" s="3350"/>
      <c r="AA23" s="3350"/>
      <c r="AB23" s="3350"/>
      <c r="AC23" s="3350"/>
      <c r="AD23" s="3350"/>
      <c r="AE23" s="3350"/>
      <c r="AF23" s="3350"/>
      <c r="AG23" s="3350"/>
      <c r="AH23" s="3350"/>
      <c r="AJ23" s="396"/>
    </row>
    <row r="24" spans="1:36" ht="13.5" thickBot="1"/>
    <row r="25" spans="1:36" ht="12.95" customHeight="1">
      <c r="B25" s="5558" t="s">
        <v>5009</v>
      </c>
      <c r="C25" s="5559"/>
      <c r="D25" s="5559"/>
      <c r="E25" s="5559"/>
      <c r="F25" s="5560"/>
    </row>
    <row r="26" spans="1:36" ht="12.95" customHeight="1">
      <c r="B26" s="5561"/>
      <c r="C26" s="5562"/>
      <c r="D26" s="5562"/>
      <c r="E26" s="5562"/>
      <c r="F26" s="5563"/>
    </row>
    <row r="27" spans="1:36" ht="12.95" customHeight="1" thickBot="1">
      <c r="B27" s="5564"/>
      <c r="C27" s="5565"/>
      <c r="D27" s="5565"/>
      <c r="E27" s="5565"/>
      <c r="F27" s="5566"/>
    </row>
  </sheetData>
  <sheetProtection password="F07E" sheet="1" objects="1" scenarios="1"/>
  <mergeCells count="25">
    <mergeCell ref="AC19:AG19"/>
    <mergeCell ref="AC17:AG17"/>
    <mergeCell ref="AJ7:AJ9"/>
    <mergeCell ref="B8:AA9"/>
    <mergeCell ref="AB8:AG9"/>
    <mergeCell ref="B10:E10"/>
    <mergeCell ref="B11:E11"/>
    <mergeCell ref="AC11:AG11"/>
    <mergeCell ref="AC10:AG10"/>
    <mergeCell ref="B25:F27"/>
    <mergeCell ref="B2:F3"/>
    <mergeCell ref="AB2:AG2"/>
    <mergeCell ref="AB3:AG4"/>
    <mergeCell ref="B4:F4"/>
    <mergeCell ref="AC5:AG6"/>
    <mergeCell ref="B6:F6"/>
    <mergeCell ref="B5:F5"/>
    <mergeCell ref="AC12:AG12"/>
    <mergeCell ref="AC13:AG13"/>
    <mergeCell ref="AC14:AG14"/>
    <mergeCell ref="X19:Z19"/>
    <mergeCell ref="AC21:AG21"/>
    <mergeCell ref="AC15:AG15"/>
    <mergeCell ref="AC16:AG16"/>
    <mergeCell ref="AC18:AG18"/>
  </mergeCells>
  <conditionalFormatting sqref="B8 AB8">
    <cfRule type="expression" dxfId="2727" priority="37">
      <formula>NoColor</formula>
    </cfRule>
  </conditionalFormatting>
  <conditionalFormatting sqref="AC20:AG20">
    <cfRule type="expression" dxfId="2726" priority="32">
      <formula>IF(NoColor,1,0)</formula>
    </cfRule>
  </conditionalFormatting>
  <conditionalFormatting sqref="AC15:AG15">
    <cfRule type="expression" dxfId="2725" priority="31">
      <formula>IF(NoColor,1,0)</formula>
    </cfRule>
  </conditionalFormatting>
  <conditionalFormatting sqref="AC11:AG11">
    <cfRule type="expression" dxfId="2724" priority="19">
      <formula>IF(NoColor,1,0)</formula>
    </cfRule>
  </conditionalFormatting>
  <conditionalFormatting sqref="B4:F4">
    <cfRule type="expression" dxfId="2723" priority="15">
      <formula>NOT(Draft)</formula>
    </cfRule>
  </conditionalFormatting>
  <conditionalFormatting sqref="G4">
    <cfRule type="expression" dxfId="2722" priority="14">
      <formula>NOT(Draft)</formula>
    </cfRule>
  </conditionalFormatting>
  <conditionalFormatting sqref="AC16:AG16">
    <cfRule type="expression" dxfId="2721" priority="13">
      <formula>IF(NoColor,1,0)</formula>
    </cfRule>
  </conditionalFormatting>
  <conditionalFormatting sqref="AC18:AG19">
    <cfRule type="expression" dxfId="2720" priority="12">
      <formula>IF(NoColor,1,0)</formula>
    </cfRule>
  </conditionalFormatting>
  <conditionalFormatting sqref="AC17:AG17">
    <cfRule type="expression" dxfId="2719" priority="11">
      <formula>IF(NoColor,1,0)</formula>
    </cfRule>
  </conditionalFormatting>
  <conditionalFormatting sqref="AC21:AG21">
    <cfRule type="expression" dxfId="2718" priority="10">
      <formula>IF(NoColor,1,0)</formula>
    </cfRule>
  </conditionalFormatting>
  <conditionalFormatting sqref="AC10:AG10">
    <cfRule type="expression" dxfId="2717" priority="9">
      <formula>NoColor</formula>
    </cfRule>
  </conditionalFormatting>
  <conditionalFormatting sqref="AC12:AG12">
    <cfRule type="expression" dxfId="2716" priority="8">
      <formula>NoColor</formula>
    </cfRule>
  </conditionalFormatting>
  <conditionalFormatting sqref="AC13:AG13">
    <cfRule type="expression" dxfId="2715" priority="7">
      <formula>NoColor</formula>
    </cfRule>
  </conditionalFormatting>
  <conditionalFormatting sqref="AC14:AG14">
    <cfRule type="expression" dxfId="2714" priority="6">
      <formula>NoColor</formula>
    </cfRule>
  </conditionalFormatting>
  <conditionalFormatting sqref="L19">
    <cfRule type="expression" dxfId="2713" priority="5">
      <formula>NoColor</formula>
    </cfRule>
  </conditionalFormatting>
  <conditionalFormatting sqref="P19">
    <cfRule type="expression" dxfId="2712" priority="4">
      <formula>NoColor</formula>
    </cfRule>
  </conditionalFormatting>
  <conditionalFormatting sqref="T19">
    <cfRule type="expression" dxfId="2711" priority="3">
      <formula>NoColor</formula>
    </cfRule>
  </conditionalFormatting>
  <conditionalFormatting sqref="W19">
    <cfRule type="expression" dxfId="2710" priority="2">
      <formula>NoColor</formula>
    </cfRule>
  </conditionalFormatting>
  <conditionalFormatting sqref="X19:Z19">
    <cfRule type="expression" dxfId="2709" priority="1">
      <formula>NoColor</formula>
    </cfRule>
  </conditionalFormatting>
  <hyperlinks>
    <hyperlink ref="B25:F27" location="'Table of Contents'!A1" display="Table of Contents"/>
  </hyperlinks>
  <pageMargins left="0.45" right="0.45" top="0.5" bottom="0.5" header="0" footer="0"/>
  <pageSetup scale="83"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21"/>
  <sheetViews>
    <sheetView zoomScaleNormal="100" zoomScaleSheetLayoutView="100" workbookViewId="0"/>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7.855468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13.140625" style="46" customWidth="1"/>
    <col min="39" max="39" width="15.85546875" style="46" customWidth="1"/>
    <col min="40" max="40" width="3.42578125" style="46"/>
    <col min="41" max="41" width="10.7109375" style="3742" customWidth="1"/>
    <col min="42" max="51" width="10.7109375" style="3169" customWidth="1"/>
    <col min="52" max="53" width="3.42578125" style="46"/>
    <col min="54" max="64" width="3.28515625" style="46" customWidth="1"/>
    <col min="65" max="16384" width="3.42578125" style="46"/>
  </cols>
  <sheetData>
    <row r="1" spans="1:41"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1443"/>
      <c r="AJ1" s="396"/>
      <c r="AO1" s="3741" t="s">
        <v>2552</v>
      </c>
    </row>
    <row r="2" spans="1:41" ht="11.25" customHeight="1">
      <c r="A2" s="3350"/>
      <c r="B2" s="5594" t="s">
        <v>3061</v>
      </c>
      <c r="C2" s="5595"/>
      <c r="D2" s="5595"/>
      <c r="E2" s="5595"/>
      <c r="F2" s="5596"/>
      <c r="G2" s="1443"/>
      <c r="H2" s="1443"/>
      <c r="I2" s="1443"/>
      <c r="J2" s="1443"/>
      <c r="K2" s="1443"/>
      <c r="L2" s="1443"/>
      <c r="M2" s="1443"/>
      <c r="N2" s="1443"/>
      <c r="O2" s="1443"/>
      <c r="P2" s="1443"/>
      <c r="Q2" s="1443"/>
      <c r="R2" s="1443"/>
      <c r="S2" s="1443"/>
      <c r="T2" s="1443"/>
      <c r="U2" s="1443"/>
      <c r="V2" s="1443"/>
      <c r="W2" s="1443"/>
      <c r="X2" s="1443"/>
      <c r="Y2" s="1443"/>
      <c r="Z2" s="1443"/>
      <c r="AA2" s="1443"/>
      <c r="AB2" s="5576" t="s">
        <v>169</v>
      </c>
      <c r="AC2" s="5577"/>
      <c r="AD2" s="5577"/>
      <c r="AE2" s="5577"/>
      <c r="AF2" s="5577"/>
      <c r="AG2" s="5577"/>
      <c r="AH2" s="3350"/>
      <c r="AI2" s="1443"/>
      <c r="AJ2" s="396"/>
    </row>
    <row r="3" spans="1:41" ht="16.5" customHeight="1">
      <c r="A3" s="3350"/>
      <c r="B3" s="5595"/>
      <c r="C3" s="5595"/>
      <c r="D3" s="5595"/>
      <c r="E3" s="5595"/>
      <c r="F3" s="5596"/>
      <c r="G3" s="4727" t="s">
        <v>3062</v>
      </c>
      <c r="H3" s="3729"/>
      <c r="I3" s="3729"/>
      <c r="J3" s="3729"/>
      <c r="K3" s="3729"/>
      <c r="L3" s="3729"/>
      <c r="M3" s="3729"/>
      <c r="N3" s="3729"/>
      <c r="O3" s="3729"/>
      <c r="P3" s="3729"/>
      <c r="Q3" s="3729"/>
      <c r="R3" s="3729"/>
      <c r="S3" s="3729"/>
      <c r="T3" s="3729"/>
      <c r="U3" s="3729"/>
      <c r="V3" s="3729"/>
      <c r="W3" s="3729"/>
      <c r="X3" s="3729"/>
      <c r="Y3" s="3729"/>
      <c r="Z3" s="3729"/>
      <c r="AA3" s="3730"/>
      <c r="AB3" s="5581">
        <f>TaxYear</f>
        <v>2018</v>
      </c>
      <c r="AC3" s="5582"/>
      <c r="AD3" s="5582"/>
      <c r="AE3" s="5582"/>
      <c r="AF3" s="5582"/>
      <c r="AG3" s="5582"/>
      <c r="AH3" s="3350"/>
      <c r="AI3" s="1443"/>
      <c r="AJ3" s="396"/>
    </row>
    <row r="4" spans="1:41" ht="14.25" customHeight="1">
      <c r="A4" s="3350"/>
      <c r="B4" s="5597"/>
      <c r="C4" s="5598"/>
      <c r="D4" s="5598"/>
      <c r="E4" s="5598"/>
      <c r="F4" s="5599"/>
      <c r="G4" s="3735"/>
      <c r="H4" s="1443"/>
      <c r="I4" s="1443"/>
      <c r="J4" s="1443"/>
      <c r="K4" s="1443"/>
      <c r="L4" s="1443"/>
      <c r="M4" s="1443"/>
      <c r="N4" s="1443"/>
      <c r="O4" s="1443"/>
      <c r="P4" s="1443"/>
      <c r="Q4" s="1443"/>
      <c r="R4" s="1443"/>
      <c r="S4" s="1443"/>
      <c r="T4" s="1443"/>
      <c r="U4" s="1443"/>
      <c r="V4" s="1443"/>
      <c r="W4" s="1443"/>
      <c r="X4" s="1443"/>
      <c r="Y4" s="1443"/>
      <c r="Z4" s="1443"/>
      <c r="AA4" s="1443"/>
      <c r="AB4" s="5583"/>
      <c r="AC4" s="5579"/>
      <c r="AD4" s="5579"/>
      <c r="AE4" s="5579"/>
      <c r="AF4" s="5579"/>
      <c r="AG4" s="5579"/>
      <c r="AH4" s="3350"/>
      <c r="AI4" s="1443"/>
      <c r="AJ4" s="396"/>
    </row>
    <row r="5" spans="1:41" ht="14.25" customHeight="1">
      <c r="A5" s="3350"/>
      <c r="B5" s="5606" t="s">
        <v>202</v>
      </c>
      <c r="C5" s="5606"/>
      <c r="D5" s="5606"/>
      <c r="E5" s="5606"/>
      <c r="F5" s="5607"/>
      <c r="G5" s="1610"/>
      <c r="H5" s="1443"/>
      <c r="I5" s="1443"/>
      <c r="J5" s="1443"/>
      <c r="K5" s="1443"/>
      <c r="L5" s="1443"/>
      <c r="M5" s="1443"/>
      <c r="N5" s="1443"/>
      <c r="O5" s="1443"/>
      <c r="P5" s="1615" t="s">
        <v>2658</v>
      </c>
      <c r="Q5" s="1443"/>
      <c r="R5" s="1443"/>
      <c r="S5" s="1443"/>
      <c r="T5" s="1443"/>
      <c r="U5" s="1443"/>
      <c r="V5" s="1443"/>
      <c r="W5" s="1443"/>
      <c r="X5" s="1443"/>
      <c r="Y5" s="1443"/>
      <c r="Z5" s="1443"/>
      <c r="AA5" s="1443"/>
      <c r="AB5" s="3725"/>
      <c r="AC5" s="5584" t="s">
        <v>3771</v>
      </c>
      <c r="AD5" s="5628"/>
      <c r="AE5" s="5628"/>
      <c r="AF5" s="5628"/>
      <c r="AG5" s="5628"/>
      <c r="AH5" s="3350"/>
      <c r="AI5" s="1443"/>
      <c r="AJ5" s="396"/>
    </row>
    <row r="6" spans="1:41" ht="13.5" thickBot="1">
      <c r="A6" s="3350"/>
      <c r="B6" s="5604" t="s">
        <v>450</v>
      </c>
      <c r="C6" s="5604"/>
      <c r="D6" s="5604"/>
      <c r="E6" s="5604"/>
      <c r="F6" s="5605"/>
      <c r="G6" s="3745" t="s">
        <v>3006</v>
      </c>
      <c r="H6" s="3746"/>
      <c r="I6" s="3745"/>
      <c r="J6" s="3747"/>
      <c r="K6" s="3746"/>
      <c r="L6" s="3746"/>
      <c r="M6" s="3746"/>
      <c r="N6" s="3746"/>
      <c r="O6" s="3746"/>
      <c r="P6" s="3746"/>
      <c r="Q6" s="3746"/>
      <c r="R6" s="3746"/>
      <c r="S6" s="3746"/>
      <c r="T6" s="3746"/>
      <c r="U6" s="3746"/>
      <c r="V6" s="3746"/>
      <c r="W6" s="3746"/>
      <c r="X6" s="3746"/>
      <c r="Y6" s="3746"/>
      <c r="Z6" s="3746"/>
      <c r="AA6" s="3746"/>
      <c r="AB6" s="3726"/>
      <c r="AC6" s="5629"/>
      <c r="AD6" s="5629"/>
      <c r="AE6" s="5629"/>
      <c r="AF6" s="5629"/>
      <c r="AG6" s="5629"/>
      <c r="AH6" s="3350"/>
      <c r="AI6" s="1443"/>
      <c r="AJ6" s="396"/>
    </row>
    <row r="7" spans="1:41">
      <c r="A7" s="3350"/>
      <c r="B7" s="1607" t="s">
        <v>98</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3740" t="s">
        <v>99</v>
      </c>
      <c r="AC7" s="1605"/>
      <c r="AD7" s="1605"/>
      <c r="AE7" s="1605"/>
      <c r="AF7" s="1605"/>
      <c r="AG7" s="1605"/>
      <c r="AH7" s="3350"/>
      <c r="AI7" s="1443"/>
      <c r="AJ7" s="396"/>
    </row>
    <row r="8" spans="1:41"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2"/>
      <c r="AB8" s="5578">
        <f>IF(NoSSN,"",SS_Yours)</f>
        <v>0</v>
      </c>
      <c r="AC8" s="5579"/>
      <c r="AD8" s="5579"/>
      <c r="AE8" s="5579"/>
      <c r="AF8" s="5579"/>
      <c r="AG8" s="5579"/>
      <c r="AH8" s="3350"/>
      <c r="AI8" s="1443"/>
      <c r="AJ8" s="396"/>
    </row>
    <row r="9" spans="1:41"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603"/>
      <c r="AB9" s="5580"/>
      <c r="AC9" s="5577"/>
      <c r="AD9" s="5577"/>
      <c r="AE9" s="5577"/>
      <c r="AF9" s="5577"/>
      <c r="AG9" s="5577"/>
      <c r="AH9" s="3350"/>
      <c r="AI9" s="1443"/>
      <c r="AJ9" s="396"/>
    </row>
    <row r="10" spans="1:41" ht="14.25" customHeight="1">
      <c r="A10" s="3350"/>
      <c r="B10" s="3753" t="s">
        <v>517</v>
      </c>
      <c r="C10" s="1957"/>
      <c r="D10" s="1957"/>
      <c r="E10" s="1958"/>
      <c r="F10" s="5662" t="s">
        <v>693</v>
      </c>
      <c r="G10" s="5663"/>
      <c r="H10" s="5663"/>
      <c r="I10" s="5663"/>
      <c r="J10" s="5663"/>
      <c r="K10" s="5663"/>
      <c r="L10" s="5663"/>
      <c r="M10" s="5663"/>
      <c r="N10" s="5663"/>
      <c r="O10" s="5663"/>
      <c r="P10" s="5664"/>
      <c r="Q10" s="5662" t="s">
        <v>3065</v>
      </c>
      <c r="R10" s="5663"/>
      <c r="S10" s="5663"/>
      <c r="T10" s="5663"/>
      <c r="U10" s="5663"/>
      <c r="V10" s="5663"/>
      <c r="W10" s="5663"/>
      <c r="X10" s="5663"/>
      <c r="Y10" s="5663"/>
      <c r="Z10" s="5663"/>
      <c r="AA10" s="5664"/>
      <c r="AB10" s="3752" t="s">
        <v>694</v>
      </c>
      <c r="AC10" s="1957"/>
      <c r="AD10" s="1957"/>
      <c r="AE10" s="1957"/>
      <c r="AF10" s="1957"/>
      <c r="AG10" s="1957"/>
      <c r="AH10" s="3350"/>
      <c r="AI10" s="1443"/>
      <c r="AJ10" s="396"/>
    </row>
    <row r="11" spans="1:41" ht="15.75" customHeight="1" thickBot="1">
      <c r="A11" s="3350"/>
      <c r="B11" s="4735" t="s">
        <v>3064</v>
      </c>
      <c r="C11" s="1612"/>
      <c r="D11" s="1612"/>
      <c r="E11" s="4736"/>
      <c r="F11" s="5665"/>
      <c r="G11" s="5666"/>
      <c r="H11" s="5666"/>
      <c r="I11" s="5666"/>
      <c r="J11" s="5666"/>
      <c r="K11" s="5666"/>
      <c r="L11" s="5666"/>
      <c r="M11" s="5666"/>
      <c r="N11" s="5666"/>
      <c r="O11" s="5666"/>
      <c r="P11" s="5667"/>
      <c r="Q11" s="5665"/>
      <c r="R11" s="5666"/>
      <c r="S11" s="5666"/>
      <c r="T11" s="5666"/>
      <c r="U11" s="5666"/>
      <c r="V11" s="5666"/>
      <c r="W11" s="5666"/>
      <c r="X11" s="5666"/>
      <c r="Y11" s="5666"/>
      <c r="Z11" s="5666"/>
      <c r="AA11" s="5667"/>
      <c r="AB11" s="5418"/>
      <c r="AC11" s="5661"/>
      <c r="AD11" s="5661"/>
      <c r="AE11" s="5661"/>
      <c r="AF11" s="5661"/>
      <c r="AG11" s="5661"/>
      <c r="AH11" s="3350"/>
      <c r="AI11" s="1443"/>
      <c r="AJ11" s="396"/>
    </row>
    <row r="12" spans="1:41" ht="14.25" customHeight="1">
      <c r="A12" s="3350"/>
      <c r="B12" s="5668" t="s">
        <v>3066</v>
      </c>
      <c r="C12" s="5669"/>
      <c r="D12" s="5669"/>
      <c r="E12" s="5670"/>
      <c r="F12" s="2292" t="s">
        <v>597</v>
      </c>
      <c r="G12" s="2753"/>
      <c r="H12" s="1607"/>
      <c r="I12" s="1443"/>
      <c r="J12" s="1443"/>
      <c r="K12" s="1443"/>
      <c r="L12" s="1443"/>
      <c r="M12" s="1443"/>
      <c r="N12" s="1443"/>
      <c r="O12" s="1443"/>
      <c r="P12" s="1443"/>
      <c r="Q12" s="1443"/>
      <c r="R12" s="1443"/>
      <c r="S12" s="1443"/>
      <c r="T12" s="1443"/>
      <c r="U12" s="1443"/>
      <c r="V12" s="1443"/>
      <c r="W12" s="1443"/>
      <c r="X12" s="1443"/>
      <c r="Y12" s="3754"/>
      <c r="Z12" s="5673" t="s">
        <v>193</v>
      </c>
      <c r="AA12" s="5674"/>
      <c r="AB12" s="1592" t="s">
        <v>3067</v>
      </c>
      <c r="AC12" s="1443"/>
      <c r="AD12" s="1443"/>
      <c r="AE12" s="1443"/>
      <c r="AF12" s="4737" t="str">
        <f>IF(Y12="","X","")</f>
        <v>X</v>
      </c>
      <c r="AG12" s="3405" t="s">
        <v>308</v>
      </c>
      <c r="AH12" s="3350"/>
      <c r="AI12" s="1443"/>
      <c r="AJ12" s="396"/>
    </row>
    <row r="13" spans="1:41" ht="14.25" customHeight="1" thickBot="1">
      <c r="A13" s="3350"/>
      <c r="B13" s="5669"/>
      <c r="C13" s="5669"/>
      <c r="D13" s="5669"/>
      <c r="E13" s="5670"/>
      <c r="F13" s="5675" t="s">
        <v>598</v>
      </c>
      <c r="G13" s="5676"/>
      <c r="H13" s="5676"/>
      <c r="I13" s="1443"/>
      <c r="J13" s="1443"/>
      <c r="K13" s="1443"/>
      <c r="L13" s="1443"/>
      <c r="M13" s="1443"/>
      <c r="N13" s="1443"/>
      <c r="O13" s="1443"/>
      <c r="P13" s="1443"/>
      <c r="Q13" s="1443"/>
      <c r="R13" s="5679" t="s">
        <v>164</v>
      </c>
      <c r="S13" s="5680"/>
      <c r="T13" s="1443"/>
      <c r="U13" s="1443"/>
      <c r="V13" s="1443"/>
      <c r="W13" s="1443"/>
      <c r="X13" s="1443"/>
      <c r="Y13" s="1443"/>
      <c r="Z13" s="1443"/>
      <c r="AA13" s="1443"/>
      <c r="AB13" s="5658" t="s">
        <v>3068</v>
      </c>
      <c r="AC13" s="5659"/>
      <c r="AD13" s="5659"/>
      <c r="AE13" s="5659"/>
      <c r="AF13" s="5659"/>
      <c r="AG13" s="5659"/>
      <c r="AH13" s="3350"/>
      <c r="AI13" s="1443"/>
      <c r="AJ13" s="396"/>
    </row>
    <row r="14" spans="1:41" ht="15.75" customHeight="1" thickBot="1">
      <c r="A14" s="3350"/>
      <c r="B14" s="5671"/>
      <c r="C14" s="5671"/>
      <c r="D14" s="5671"/>
      <c r="E14" s="5672"/>
      <c r="F14" s="5677"/>
      <c r="G14" s="5678"/>
      <c r="H14" s="5678"/>
      <c r="I14" s="5682"/>
      <c r="J14" s="5682"/>
      <c r="K14" s="5682"/>
      <c r="L14" s="5682"/>
      <c r="M14" s="5682"/>
      <c r="N14" s="5682"/>
      <c r="O14" s="5682"/>
      <c r="P14" s="5682"/>
      <c r="Q14" s="5682"/>
      <c r="R14" s="5681"/>
      <c r="S14" s="5681"/>
      <c r="T14" s="5660"/>
      <c r="U14" s="5660"/>
      <c r="V14" s="5660"/>
      <c r="W14" s="5660"/>
      <c r="X14" s="5660"/>
      <c r="Y14" s="5660"/>
      <c r="Z14" s="5660"/>
      <c r="AA14" s="1936"/>
      <c r="AB14" s="4734" t="s">
        <v>3069</v>
      </c>
      <c r="AC14" s="1794"/>
      <c r="AD14" s="1794"/>
      <c r="AE14" s="1794"/>
      <c r="AF14" s="1794"/>
      <c r="AG14" s="1794"/>
      <c r="AH14" s="3350"/>
      <c r="AI14" s="1443"/>
      <c r="AJ14" s="396"/>
    </row>
    <row r="15" spans="1:41">
      <c r="A15" s="3350"/>
      <c r="B15" s="4029" t="s">
        <v>564</v>
      </c>
      <c r="C15" s="3722"/>
      <c r="D15" s="1605"/>
      <c r="E15" s="1605"/>
      <c r="F15" s="1605"/>
      <c r="G15" s="1605"/>
      <c r="H15" s="1605"/>
      <c r="I15" s="1605"/>
      <c r="J15" s="1605"/>
      <c r="K15" s="1605"/>
      <c r="L15" s="1605"/>
      <c r="M15" s="1605"/>
      <c r="N15" s="1605"/>
      <c r="O15" s="1605"/>
      <c r="P15" s="1605"/>
      <c r="Q15" s="1605"/>
      <c r="R15" s="1605"/>
      <c r="S15" s="1605"/>
      <c r="T15" s="3739"/>
      <c r="U15" s="3739" t="s">
        <v>3063</v>
      </c>
      <c r="V15" s="1605"/>
      <c r="W15" s="3724"/>
      <c r="X15" s="1605"/>
      <c r="Y15" s="1605"/>
      <c r="Z15" s="1605"/>
      <c r="AA15" s="1605"/>
      <c r="AB15" s="1605"/>
      <c r="AC15" s="1605"/>
      <c r="AD15" s="1605"/>
      <c r="AE15" s="1605"/>
      <c r="AF15" s="1605"/>
      <c r="AG15" s="4028" t="str">
        <f>"Schedule 6 (Form 1040) "&amp;TaxYear</f>
        <v>Schedule 6 (Form 1040) 2018</v>
      </c>
      <c r="AH15" s="3350"/>
      <c r="AI15" s="1443"/>
      <c r="AJ15" s="396"/>
    </row>
    <row r="16" spans="1:41">
      <c r="A16" s="3350"/>
      <c r="B16" s="3350"/>
      <c r="C16" s="3350"/>
      <c r="D16" s="3350"/>
      <c r="E16" s="3350"/>
      <c r="F16" s="3350"/>
      <c r="G16" s="3350"/>
      <c r="H16" s="3350"/>
      <c r="I16" s="3350"/>
      <c r="J16" s="3350"/>
      <c r="K16" s="3350"/>
      <c r="L16" s="3350"/>
      <c r="M16" s="3350"/>
      <c r="N16" s="3350"/>
      <c r="O16" s="3350"/>
      <c r="P16" s="3350"/>
      <c r="Q16" s="3350"/>
      <c r="R16" s="3350"/>
      <c r="S16" s="3350"/>
      <c r="T16" s="3350"/>
      <c r="U16" s="3350"/>
      <c r="V16" s="3350"/>
      <c r="W16" s="3350"/>
      <c r="X16" s="3350"/>
      <c r="Y16" s="3350"/>
      <c r="Z16" s="3350"/>
      <c r="AA16" s="3350"/>
      <c r="AB16" s="3350"/>
      <c r="AC16" s="3350"/>
      <c r="AD16" s="3350"/>
      <c r="AE16" s="3350"/>
      <c r="AF16" s="3350"/>
      <c r="AG16" s="3350"/>
      <c r="AH16" s="3350"/>
      <c r="AI16" s="1443"/>
      <c r="AJ16" s="396"/>
    </row>
    <row r="18" spans="2:6" ht="13.5" thickBot="1"/>
    <row r="19" spans="2:6">
      <c r="B19" s="5558" t="s">
        <v>5009</v>
      </c>
      <c r="C19" s="5559"/>
      <c r="D19" s="5559"/>
      <c r="E19" s="5559"/>
      <c r="F19" s="5560"/>
    </row>
    <row r="20" spans="2:6">
      <c r="B20" s="5561"/>
      <c r="C20" s="5562"/>
      <c r="D20" s="5562"/>
      <c r="E20" s="5562"/>
      <c r="F20" s="5563"/>
    </row>
    <row r="21" spans="2:6" ht="13.5" thickBot="1">
      <c r="B21" s="5564"/>
      <c r="C21" s="5565"/>
      <c r="D21" s="5565"/>
      <c r="E21" s="5565"/>
      <c r="F21" s="5566"/>
    </row>
  </sheetData>
  <sheetProtection password="F07E" sheet="1" objects="1" scenarios="1"/>
  <mergeCells count="22">
    <mergeCell ref="Q11:AA11"/>
    <mergeCell ref="B12:E14"/>
    <mergeCell ref="Z12:AA12"/>
    <mergeCell ref="F13:H14"/>
    <mergeCell ref="R13:S14"/>
    <mergeCell ref="I14:Q14"/>
    <mergeCell ref="B19:F21"/>
    <mergeCell ref="B8:AA9"/>
    <mergeCell ref="AB8:AG9"/>
    <mergeCell ref="B2:F3"/>
    <mergeCell ref="AB2:AG2"/>
    <mergeCell ref="AB3:AG4"/>
    <mergeCell ref="B4:F4"/>
    <mergeCell ref="AC5:AG6"/>
    <mergeCell ref="B6:F6"/>
    <mergeCell ref="B5:F5"/>
    <mergeCell ref="AB13:AG13"/>
    <mergeCell ref="T14:Z14"/>
    <mergeCell ref="AB11:AG11"/>
    <mergeCell ref="F10:P10"/>
    <mergeCell ref="F11:P11"/>
    <mergeCell ref="Q10:AA10"/>
  </mergeCells>
  <conditionalFormatting sqref="B8 AB8">
    <cfRule type="expression" dxfId="2708" priority="20">
      <formula>NoColor</formula>
    </cfRule>
  </conditionalFormatting>
  <conditionalFormatting sqref="Y12">
    <cfRule type="expression" dxfId="2707" priority="8">
      <formula>NoColor</formula>
    </cfRule>
  </conditionalFormatting>
  <conditionalFormatting sqref="AF12">
    <cfRule type="expression" dxfId="2706" priority="7">
      <formula>NoColor</formula>
    </cfRule>
  </conditionalFormatting>
  <conditionalFormatting sqref="F11:AG11">
    <cfRule type="expression" dxfId="2705" priority="6">
      <formula>NoColor</formula>
    </cfRule>
  </conditionalFormatting>
  <conditionalFormatting sqref="I14:Q14">
    <cfRule type="expression" dxfId="2704" priority="5">
      <formula>NoColor</formula>
    </cfRule>
  </conditionalFormatting>
  <conditionalFormatting sqref="T14:Z14">
    <cfRule type="expression" dxfId="2703" priority="4">
      <formula>NoColor</formula>
    </cfRule>
  </conditionalFormatting>
  <conditionalFormatting sqref="AC14:AG14">
    <cfRule type="expression" dxfId="2702" priority="3">
      <formula>NoColor</formula>
    </cfRule>
  </conditionalFormatting>
  <conditionalFormatting sqref="B4:F4">
    <cfRule type="expression" dxfId="2701" priority="2">
      <formula>NOT(Draft)</formula>
    </cfRule>
  </conditionalFormatting>
  <conditionalFormatting sqref="G4">
    <cfRule type="expression" dxfId="2700" priority="1">
      <formula>NOT(Draft)</formula>
    </cfRule>
  </conditionalFormatting>
  <hyperlinks>
    <hyperlink ref="B19:F21" location="'Table of Contents'!A1" display="Table of Contents"/>
  </hyperlinks>
  <pageMargins left="0.45" right="0.45" top="0.5" bottom="0.5" header="0" footer="0"/>
  <pageSetup scale="83"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AG102"/>
  <sheetViews>
    <sheetView zoomScaleNormal="100" workbookViewId="0">
      <selection activeCell="D100" sqref="D100:D102"/>
    </sheetView>
  </sheetViews>
  <sheetFormatPr defaultColWidth="9.140625" defaultRowHeight="12.75"/>
  <cols>
    <col min="1" max="1" width="1.85546875" style="46" customWidth="1"/>
    <col min="2" max="2" width="4.42578125" style="46" customWidth="1"/>
    <col min="3" max="3" width="2.7109375" style="46" customWidth="1"/>
    <col min="4" max="4" width="25.28515625" style="46" customWidth="1"/>
    <col min="5" max="5" width="12.7109375" style="46" customWidth="1"/>
    <col min="6" max="6" width="9.42578125" style="46" customWidth="1"/>
    <col min="7" max="7" width="7.7109375" style="46" customWidth="1"/>
    <col min="8" max="8" width="9.5703125" style="46" customWidth="1"/>
    <col min="9" max="9" width="6" style="46" customWidth="1"/>
    <col min="10" max="10" width="13.85546875" style="46" customWidth="1"/>
    <col min="11" max="11" width="3.5703125" style="46" customWidth="1"/>
    <col min="12" max="12" width="12.7109375" style="46" customWidth="1"/>
    <col min="13" max="13" width="4.5703125" style="46" customWidth="1"/>
    <col min="14" max="15" width="1.5703125" style="46" customWidth="1"/>
    <col min="16" max="16" width="1.42578125" style="46" customWidth="1"/>
    <col min="17" max="17" width="2.5703125" style="46" customWidth="1"/>
    <col min="18" max="18" width="10.42578125" style="46" customWidth="1"/>
    <col min="19" max="19" width="2.42578125" style="46" customWidth="1"/>
    <col min="20" max="20" width="12.85546875" style="46" customWidth="1"/>
    <col min="21" max="21" width="2.7109375" style="46" customWidth="1"/>
    <col min="22" max="23" width="10.42578125" style="46" customWidth="1"/>
    <col min="24" max="33" width="9.140625" style="3169"/>
    <col min="34" max="16384" width="9.140625" style="46"/>
  </cols>
  <sheetData>
    <row r="1" spans="1:24" ht="18" customHeight="1">
      <c r="A1" s="24"/>
      <c r="B1" s="24"/>
      <c r="C1" s="24"/>
      <c r="D1" s="4452"/>
      <c r="E1" s="24"/>
      <c r="F1" s="24"/>
      <c r="G1" s="24"/>
      <c r="H1" s="24"/>
      <c r="I1" s="24"/>
      <c r="J1" s="24"/>
      <c r="K1" s="24"/>
      <c r="L1" s="24"/>
      <c r="M1" s="24"/>
      <c r="N1" s="24"/>
      <c r="O1" s="24"/>
      <c r="P1" s="24"/>
      <c r="Q1" s="24"/>
      <c r="R1" s="24"/>
      <c r="S1" s="24"/>
      <c r="T1" s="24"/>
      <c r="U1" s="24"/>
      <c r="V1" s="24"/>
      <c r="W1" s="24"/>
      <c r="X1" s="3168" t="s">
        <v>2552</v>
      </c>
    </row>
    <row r="2" spans="1:24">
      <c r="A2" s="24"/>
      <c r="B2" s="25" t="s">
        <v>2155</v>
      </c>
      <c r="C2" s="24"/>
      <c r="D2" s="24"/>
      <c r="E2" s="24"/>
      <c r="F2" s="24"/>
      <c r="G2" s="24"/>
      <c r="H2" s="24"/>
      <c r="I2" s="24"/>
      <c r="J2" s="24"/>
      <c r="K2" s="24"/>
      <c r="L2" s="24"/>
      <c r="M2" s="24"/>
      <c r="N2" s="24"/>
      <c r="O2" s="24"/>
      <c r="P2" s="24"/>
      <c r="Q2" s="24"/>
      <c r="R2" s="24"/>
      <c r="S2" s="24"/>
      <c r="T2" s="24"/>
      <c r="U2" s="24"/>
      <c r="V2" s="24"/>
      <c r="W2" s="24"/>
    </row>
    <row r="3" spans="1:24">
      <c r="A3" s="24"/>
      <c r="B3" s="2591" t="s">
        <v>2157</v>
      </c>
      <c r="C3" s="74" t="s">
        <v>2156</v>
      </c>
      <c r="D3" s="24"/>
      <c r="E3" s="24"/>
      <c r="F3" s="24"/>
      <c r="G3" s="24"/>
      <c r="H3" s="24"/>
      <c r="I3" s="24"/>
      <c r="J3" s="24"/>
      <c r="K3" s="24"/>
      <c r="L3" s="24"/>
      <c r="M3" s="24"/>
      <c r="N3" s="24"/>
      <c r="O3" s="24"/>
      <c r="P3" s="24"/>
      <c r="Q3" s="24"/>
      <c r="R3" s="24"/>
      <c r="S3" s="24"/>
      <c r="T3" s="24"/>
      <c r="U3" s="24"/>
      <c r="V3" s="24"/>
      <c r="W3" s="24"/>
    </row>
    <row r="4" spans="1:24">
      <c r="A4" s="24"/>
      <c r="B4" s="24"/>
      <c r="C4" s="74" t="s">
        <v>4350</v>
      </c>
      <c r="D4" s="24"/>
      <c r="E4" s="24"/>
      <c r="F4" s="24"/>
      <c r="G4" s="24"/>
      <c r="H4" s="24"/>
      <c r="I4" s="24"/>
      <c r="J4" s="24"/>
      <c r="K4" s="24"/>
      <c r="L4" s="24"/>
      <c r="M4" s="24"/>
      <c r="N4" s="24"/>
      <c r="O4" s="24"/>
      <c r="P4" s="24"/>
      <c r="Q4" s="24"/>
      <c r="R4" s="24"/>
      <c r="S4" s="24"/>
      <c r="T4" s="24"/>
      <c r="U4" s="24"/>
      <c r="V4" s="24"/>
      <c r="W4" s="24"/>
    </row>
    <row r="5" spans="1:24">
      <c r="A5" s="24"/>
      <c r="B5" s="24"/>
      <c r="C5" s="74" t="s">
        <v>2516</v>
      </c>
      <c r="D5" s="24"/>
      <c r="E5" s="24"/>
      <c r="F5" s="24"/>
      <c r="G5" s="24"/>
      <c r="H5" s="24"/>
      <c r="I5" s="24"/>
      <c r="J5" s="24"/>
      <c r="K5" s="24"/>
      <c r="L5" s="24"/>
      <c r="M5" s="24"/>
      <c r="N5" s="24"/>
      <c r="O5" s="24"/>
      <c r="P5" s="24"/>
      <c r="Q5" s="24"/>
      <c r="R5" s="24"/>
      <c r="S5" s="24"/>
      <c r="T5" s="24"/>
      <c r="U5" s="24"/>
      <c r="V5" s="24"/>
      <c r="W5" s="24"/>
    </row>
    <row r="6" spans="1:24" ht="9.75" customHeight="1">
      <c r="A6" s="24"/>
      <c r="B6" s="24"/>
      <c r="C6" s="24"/>
      <c r="D6" s="24"/>
      <c r="E6" s="24"/>
      <c r="F6" s="24"/>
      <c r="G6" s="24"/>
      <c r="H6" s="24"/>
      <c r="I6" s="24"/>
      <c r="J6" s="24"/>
      <c r="K6" s="24"/>
      <c r="L6" s="24"/>
      <c r="M6" s="24"/>
      <c r="N6" s="24"/>
      <c r="O6" s="24"/>
      <c r="P6" s="24"/>
      <c r="Q6" s="24"/>
      <c r="R6" s="24"/>
      <c r="S6" s="24"/>
      <c r="T6" s="24"/>
      <c r="U6" s="24"/>
      <c r="V6" s="24"/>
      <c r="W6" s="24"/>
    </row>
    <row r="7" spans="1:24">
      <c r="A7" s="24"/>
      <c r="B7" s="2591" t="s">
        <v>2157</v>
      </c>
      <c r="C7" s="74" t="s">
        <v>3881</v>
      </c>
      <c r="D7" s="24"/>
      <c r="E7" s="24"/>
      <c r="F7" s="24"/>
      <c r="G7" s="24"/>
      <c r="H7" s="24"/>
      <c r="I7" s="24"/>
      <c r="J7" s="24"/>
      <c r="K7" s="24"/>
      <c r="L7" s="24"/>
      <c r="M7" s="24"/>
      <c r="N7" s="24"/>
      <c r="O7" s="24"/>
      <c r="P7" s="24"/>
      <c r="Q7" s="24"/>
      <c r="R7" s="24"/>
      <c r="S7" s="24"/>
      <c r="T7" s="24"/>
      <c r="U7" s="24"/>
      <c r="V7" s="24"/>
      <c r="W7" s="24"/>
    </row>
    <row r="8" spans="1:24">
      <c r="A8" s="24"/>
      <c r="B8" s="24"/>
      <c r="C8" s="74" t="s">
        <v>2158</v>
      </c>
      <c r="D8" s="24"/>
      <c r="E8" s="24"/>
      <c r="F8" s="24"/>
      <c r="G8" s="24"/>
      <c r="H8" s="24"/>
      <c r="I8" s="24"/>
      <c r="J8" s="24"/>
      <c r="K8" s="24"/>
      <c r="L8" s="24"/>
      <c r="M8" s="24"/>
      <c r="N8" s="24"/>
      <c r="O8" s="24"/>
      <c r="P8" s="24"/>
      <c r="Q8" s="24"/>
      <c r="R8" s="24"/>
      <c r="S8" s="24"/>
      <c r="T8" s="24"/>
      <c r="U8" s="24"/>
      <c r="V8" s="24"/>
      <c r="W8" s="24"/>
    </row>
    <row r="9" spans="1:24">
      <c r="A9" s="24"/>
      <c r="B9" s="24"/>
      <c r="C9" s="74"/>
      <c r="D9" s="24"/>
      <c r="E9" s="24"/>
      <c r="F9" s="24"/>
      <c r="G9" s="24"/>
      <c r="H9" s="24"/>
      <c r="I9" s="24"/>
      <c r="J9" s="24"/>
      <c r="K9" s="24"/>
      <c r="L9" s="24"/>
      <c r="M9" s="24"/>
      <c r="N9" s="24"/>
      <c r="O9" s="24"/>
      <c r="P9" s="24"/>
      <c r="Q9" s="24"/>
      <c r="R9" s="24"/>
      <c r="S9" s="24"/>
      <c r="T9" s="24"/>
      <c r="U9" s="24"/>
      <c r="V9" s="24"/>
      <c r="W9" s="24"/>
    </row>
    <row r="10" spans="1:24">
      <c r="A10" s="24"/>
      <c r="B10" s="2591" t="s">
        <v>2157</v>
      </c>
      <c r="C10" s="74" t="s">
        <v>4810</v>
      </c>
      <c r="D10" s="24"/>
      <c r="E10" s="24"/>
      <c r="F10" s="24"/>
      <c r="G10" s="24"/>
      <c r="H10" s="24"/>
      <c r="I10" s="24"/>
      <c r="J10" s="24"/>
      <c r="K10" s="24"/>
      <c r="L10" s="24"/>
      <c r="M10" s="24"/>
      <c r="N10" s="24"/>
      <c r="O10" s="24"/>
      <c r="P10" s="24"/>
      <c r="Q10" s="24"/>
      <c r="R10" s="24"/>
      <c r="S10" s="24"/>
      <c r="T10" s="24"/>
      <c r="U10" s="24"/>
      <c r="V10" s="24"/>
      <c r="W10" s="24"/>
    </row>
    <row r="11" spans="1:24" ht="15">
      <c r="A11" s="24"/>
      <c r="B11" s="24"/>
      <c r="C11" s="4294" t="s">
        <v>4811</v>
      </c>
      <c r="D11" s="24"/>
      <c r="E11" s="24"/>
      <c r="F11" s="24"/>
      <c r="G11" s="24"/>
      <c r="H11" s="24"/>
      <c r="I11" s="24"/>
      <c r="J11" s="24"/>
      <c r="K11" s="24"/>
      <c r="L11" s="24"/>
      <c r="M11" s="24"/>
      <c r="N11" s="24"/>
      <c r="O11" s="24"/>
      <c r="P11" s="5690" t="str">
        <f>IF($V$16,"Annuity started on or before","")</f>
        <v/>
      </c>
      <c r="Q11" s="5691"/>
      <c r="R11" s="5691"/>
      <c r="S11" s="5691"/>
      <c r="T11" s="5691"/>
      <c r="U11" s="24"/>
      <c r="V11" s="24"/>
      <c r="W11" s="24"/>
    </row>
    <row r="12" spans="1:24" ht="15">
      <c r="A12" s="24"/>
      <c r="B12" s="24"/>
      <c r="C12" s="4294" t="s">
        <v>4826</v>
      </c>
      <c r="D12" s="24"/>
      <c r="E12" s="24"/>
      <c r="F12" s="24"/>
      <c r="G12" s="24"/>
      <c r="H12" s="24"/>
      <c r="I12" s="24"/>
      <c r="J12" s="24"/>
      <c r="K12" s="24"/>
      <c r="L12" s="24"/>
      <c r="M12" s="24"/>
      <c r="N12" s="24"/>
      <c r="O12" s="24"/>
      <c r="P12" s="5690" t="str">
        <f>IF($V$16,TEXT(V15,"mmmm d, yyyy")&amp;".  See Pub. 939.","")</f>
        <v/>
      </c>
      <c r="Q12" s="5691"/>
      <c r="R12" s="5691"/>
      <c r="S12" s="5691"/>
      <c r="T12" s="5691"/>
      <c r="U12" s="24"/>
      <c r="V12" s="24"/>
      <c r="W12" s="24"/>
    </row>
    <row r="13" spans="1:24" ht="15">
      <c r="A13" s="24"/>
      <c r="B13" s="24"/>
      <c r="C13" s="4294" t="s">
        <v>4825</v>
      </c>
      <c r="D13" s="24"/>
      <c r="E13" s="24"/>
      <c r="F13" s="24"/>
      <c r="G13" s="24"/>
      <c r="H13" s="24"/>
      <c r="I13" s="24"/>
      <c r="J13" s="24"/>
      <c r="K13" s="24"/>
      <c r="L13" s="24"/>
      <c r="M13" s="24"/>
      <c r="N13" s="24"/>
      <c r="O13" s="24"/>
      <c r="P13" s="24"/>
      <c r="Q13" s="24"/>
      <c r="R13" s="24"/>
      <c r="S13" s="24"/>
      <c r="T13" s="24"/>
      <c r="U13" s="24"/>
      <c r="V13" s="24"/>
      <c r="W13" s="24"/>
    </row>
    <row r="14" spans="1:24" ht="15.75" thickBot="1">
      <c r="A14" s="24"/>
      <c r="B14" s="24"/>
      <c r="C14" s="4294"/>
      <c r="D14" s="24"/>
      <c r="E14" s="24"/>
      <c r="F14" s="24"/>
      <c r="G14" s="24"/>
      <c r="H14" s="24"/>
      <c r="I14" s="24"/>
      <c r="J14" s="24"/>
      <c r="K14" s="24"/>
      <c r="L14" s="24"/>
      <c r="M14" s="24"/>
      <c r="N14" s="24"/>
      <c r="O14" s="24"/>
      <c r="P14" s="24"/>
      <c r="Q14" s="24"/>
      <c r="R14" s="24"/>
      <c r="S14" s="24"/>
      <c r="T14" s="24"/>
      <c r="U14" s="24"/>
      <c r="V14" s="24"/>
      <c r="W14" s="24"/>
    </row>
    <row r="15" spans="1:24" ht="13.5" thickBot="1">
      <c r="A15" s="24"/>
      <c r="B15" s="41" t="s">
        <v>198</v>
      </c>
      <c r="C15" s="24"/>
      <c r="D15" s="24"/>
      <c r="E15" s="24"/>
      <c r="F15" s="24"/>
      <c r="G15" s="24"/>
      <c r="H15" s="24"/>
      <c r="I15" s="24"/>
      <c r="J15" s="24"/>
      <c r="K15" s="24"/>
      <c r="L15" s="24"/>
      <c r="M15" s="24"/>
      <c r="N15" s="24"/>
      <c r="O15" s="24"/>
      <c r="P15" s="94"/>
      <c r="Q15" s="95"/>
      <c r="R15" s="95"/>
      <c r="S15" s="95"/>
      <c r="T15" s="630"/>
      <c r="U15" s="24"/>
      <c r="V15" s="2592">
        <v>31594</v>
      </c>
      <c r="W15" s="24"/>
    </row>
    <row r="16" spans="1:24" ht="16.5" thickBot="1">
      <c r="A16" s="24"/>
      <c r="B16" s="24" t="s">
        <v>273</v>
      </c>
      <c r="C16" s="24"/>
      <c r="D16" s="24"/>
      <c r="E16" s="24"/>
      <c r="F16" s="24"/>
      <c r="G16" s="24"/>
      <c r="H16" s="24"/>
      <c r="I16" s="24"/>
      <c r="J16" s="24"/>
      <c r="K16" s="24"/>
      <c r="L16" s="24"/>
      <c r="M16" s="3297" t="str">
        <f>IF(R16="","Enter annuity starting date.","")</f>
        <v>Enter annuity starting date.</v>
      </c>
      <c r="N16" s="24"/>
      <c r="O16" s="2584" t="str">
        <f>IF(R16="","®","")</f>
        <v>®</v>
      </c>
      <c r="P16" s="96"/>
      <c r="Q16" s="82"/>
      <c r="R16" s="5686"/>
      <c r="S16" s="5687"/>
      <c r="T16" s="631"/>
      <c r="U16" s="24"/>
      <c r="V16" s="1440" t="b">
        <f>IF(AND(R16&lt;&gt;"",R16&lt;=V15),TRUE,FALSE)</f>
        <v>0</v>
      </c>
      <c r="W16" s="24"/>
    </row>
    <row r="17" spans="1:23">
      <c r="A17" s="24"/>
      <c r="B17" s="24"/>
      <c r="C17" s="24" t="str">
        <f>"-  the first period for which you received a payment"</f>
        <v>-  the first period for which you received a payment</v>
      </c>
      <c r="D17" s="24"/>
      <c r="E17" s="24"/>
      <c r="F17" s="24"/>
      <c r="G17" s="24"/>
      <c r="H17" s="24"/>
      <c r="I17" s="24"/>
      <c r="J17" s="24"/>
      <c r="K17" s="24"/>
      <c r="L17" s="24"/>
      <c r="M17" s="24"/>
      <c r="N17" s="24"/>
      <c r="O17" s="24"/>
      <c r="P17" s="96"/>
      <c r="Q17" s="82"/>
      <c r="R17" s="774" t="s">
        <v>243</v>
      </c>
      <c r="S17" s="97"/>
      <c r="T17" s="631"/>
      <c r="U17" s="24"/>
      <c r="V17" s="24"/>
      <c r="W17" s="24"/>
    </row>
    <row r="18" spans="1:23">
      <c r="A18" s="24"/>
      <c r="B18" s="24"/>
      <c r="C18" s="52" t="s">
        <v>274</v>
      </c>
      <c r="D18" s="24"/>
      <c r="E18" s="24"/>
      <c r="F18" s="24"/>
      <c r="G18" s="24"/>
      <c r="H18" s="24"/>
      <c r="I18" s="24"/>
      <c r="J18" s="24"/>
      <c r="K18" s="24"/>
      <c r="L18" s="24"/>
      <c r="M18" s="24"/>
      <c r="N18" s="24"/>
      <c r="O18" s="24"/>
      <c r="P18" s="96"/>
      <c r="Q18" s="82"/>
      <c r="R18" s="97"/>
      <c r="S18" s="97"/>
      <c r="T18" s="631"/>
      <c r="U18" s="24"/>
      <c r="V18" s="2581">
        <v>35795</v>
      </c>
      <c r="W18" s="24"/>
    </row>
    <row r="19" spans="1:23" ht="13.5" thickBot="1">
      <c r="A19" s="24"/>
      <c r="B19" s="24"/>
      <c r="C19" s="24" t="str">
        <f>"-  the date the plan’s obligations became fixed."</f>
        <v>-  the date the plan’s obligations became fixed.</v>
      </c>
      <c r="D19" s="24"/>
      <c r="E19" s="24"/>
      <c r="F19" s="24"/>
      <c r="G19" s="24"/>
      <c r="H19" s="24"/>
      <c r="I19" s="24"/>
      <c r="J19" s="24"/>
      <c r="K19" s="24"/>
      <c r="L19" s="24"/>
      <c r="M19" s="24"/>
      <c r="N19" s="24"/>
      <c r="O19" s="24"/>
      <c r="P19" s="98"/>
      <c r="Q19" s="88"/>
      <c r="R19" s="99"/>
      <c r="S19" s="99"/>
      <c r="T19" s="632"/>
      <c r="U19" s="24"/>
      <c r="V19" s="1440" t="b">
        <f>IF(R16&gt;V18,TRUE,FALSE)</f>
        <v>0</v>
      </c>
      <c r="W19" s="24"/>
    </row>
    <row r="20" spans="1:23" ht="13.5" thickBot="1">
      <c r="A20" s="24"/>
      <c r="B20" s="24"/>
      <c r="C20" s="24"/>
      <c r="D20" s="24"/>
      <c r="E20" s="24"/>
      <c r="F20" s="24"/>
      <c r="G20" s="24"/>
      <c r="H20" s="24"/>
      <c r="I20" s="24"/>
      <c r="J20" s="24"/>
      <c r="K20" s="24"/>
      <c r="L20" s="24"/>
      <c r="M20" s="24"/>
      <c r="N20" s="24"/>
      <c r="O20" s="24"/>
      <c r="P20" s="5694"/>
      <c r="Q20" s="5695"/>
      <c r="R20" s="5695"/>
      <c r="S20" s="5695"/>
      <c r="T20" s="5695"/>
      <c r="U20" s="24"/>
      <c r="V20" s="24"/>
      <c r="W20" s="24"/>
    </row>
    <row r="21" spans="1:23" ht="13.5" thickBot="1">
      <c r="A21" s="24"/>
      <c r="B21" s="41" t="s">
        <v>60</v>
      </c>
      <c r="C21" s="24"/>
      <c r="D21" s="24"/>
      <c r="E21" s="24"/>
      <c r="F21" s="24"/>
      <c r="G21" s="24"/>
      <c r="H21" s="24"/>
      <c r="I21" s="24"/>
      <c r="J21" s="24"/>
      <c r="K21" s="24"/>
      <c r="L21" s="24"/>
      <c r="M21" s="24"/>
      <c r="N21" s="24"/>
      <c r="O21" s="24"/>
      <c r="P21" s="92"/>
      <c r="Q21" s="33"/>
      <c r="R21" s="33"/>
      <c r="S21" s="33"/>
      <c r="T21" s="100"/>
      <c r="U21" s="59"/>
      <c r="V21" s="2593">
        <v>31778</v>
      </c>
      <c r="W21" s="24"/>
    </row>
    <row r="22" spans="1:23" ht="16.5" thickBot="1">
      <c r="A22" s="24"/>
      <c r="B22" s="24" t="s">
        <v>197</v>
      </c>
      <c r="C22" s="24"/>
      <c r="D22" s="24"/>
      <c r="E22" s="24"/>
      <c r="F22" s="24"/>
      <c r="G22" s="24"/>
      <c r="H22" s="24"/>
      <c r="I22" s="24"/>
      <c r="J22" s="24"/>
      <c r="K22" s="24"/>
      <c r="L22" s="24"/>
      <c r="M22" s="1602" t="str">
        <f>IF(R16&lt;J84,"",IF(AND(Q22="",S22=""),"Check one.",IF(AND(Q22&lt;&gt;"",S22&lt;&gt;""),"Check ONLY one.","")))</f>
        <v/>
      </c>
      <c r="N22" s="24"/>
      <c r="O22" s="2584" t="str">
        <f>IF(R16&lt;J84,"",IF(OR(AND(Q22="",S22=""),AND(Q22&lt;&gt;"",S22&lt;&gt;"")),"®",""))</f>
        <v/>
      </c>
      <c r="P22" s="59"/>
      <c r="Q22" s="577"/>
      <c r="R22" s="286" t="s">
        <v>433</v>
      </c>
      <c r="S22" s="577"/>
      <c r="T22" s="2582" t="s">
        <v>434</v>
      </c>
      <c r="U22" s="59"/>
      <c r="V22" s="2594" t="b">
        <f>IF(AND(R16&lt;&gt;"",R16&lt;V21),TRUE,FALSE)</f>
        <v>0</v>
      </c>
      <c r="W22" s="24"/>
    </row>
    <row r="23" spans="1:23">
      <c r="A23" s="24"/>
      <c r="B23" s="24"/>
      <c r="C23" s="24"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4"/>
      <c r="E23" s="24"/>
      <c r="F23" s="24"/>
      <c r="G23" s="24"/>
      <c r="H23" s="24"/>
      <c r="I23" s="24"/>
      <c r="J23" s="24"/>
      <c r="K23" s="24"/>
      <c r="L23" s="24"/>
      <c r="M23" s="24"/>
      <c r="N23" s="24"/>
      <c r="O23" s="24"/>
      <c r="P23" s="5696" t="s">
        <v>2152</v>
      </c>
      <c r="Q23" s="5527"/>
      <c r="R23" s="5527"/>
      <c r="S23" s="5527"/>
      <c r="T23" s="5701"/>
      <c r="U23" s="29" t="s">
        <v>442</v>
      </c>
      <c r="V23" s="24"/>
      <c r="W23" s="24"/>
    </row>
    <row r="24" spans="1:23">
      <c r="A24" s="24"/>
      <c r="B24" s="24"/>
      <c r="C24" s="24" t="str">
        <f>"2. Your annuity starting date was after "&amp;TEXT(J73,"mmmm d, yyyy")&amp;", "</f>
        <v xml:space="preserve">2. Your annuity starting date was after November 18, 1996, </v>
      </c>
      <c r="D24" s="24"/>
      <c r="E24" s="24"/>
      <c r="F24" s="24"/>
      <c r="G24" s="781" t="s">
        <v>436</v>
      </c>
      <c r="H24" s="24"/>
      <c r="I24" s="24"/>
      <c r="J24" s="24"/>
      <c r="K24" s="24"/>
      <c r="L24" s="24"/>
      <c r="M24" s="24"/>
      <c r="N24" s="24"/>
      <c r="O24" s="24"/>
      <c r="P24" s="5696" t="s">
        <v>2153</v>
      </c>
      <c r="Q24" s="5527"/>
      <c r="R24" s="5527"/>
      <c r="S24" s="5527"/>
      <c r="T24" s="5701"/>
      <c r="U24" s="2583"/>
      <c r="V24" s="24"/>
      <c r="W24" s="24"/>
    </row>
    <row r="25" spans="1:23" ht="13.5" thickBot="1">
      <c r="A25" s="24"/>
      <c r="B25" s="24"/>
      <c r="C25" s="24"/>
      <c r="D25" s="24" t="s">
        <v>162</v>
      </c>
      <c r="E25" s="24"/>
      <c r="F25" s="24"/>
      <c r="G25" s="24"/>
      <c r="H25" s="24"/>
      <c r="I25" s="24"/>
      <c r="J25" s="24"/>
      <c r="K25" s="24"/>
      <c r="L25" s="24"/>
      <c r="M25" s="24"/>
      <c r="N25" s="24"/>
      <c r="O25" s="24"/>
      <c r="P25" s="93"/>
      <c r="Q25" s="39"/>
      <c r="R25" s="39"/>
      <c r="S25" s="39"/>
      <c r="T25" s="102"/>
      <c r="U25" s="59"/>
      <c r="V25" s="24"/>
      <c r="W25" s="24"/>
    </row>
    <row r="26" spans="1:23" ht="13.5" thickBot="1">
      <c r="A26" s="24"/>
      <c r="B26" s="24"/>
      <c r="C26" s="24"/>
      <c r="D26" s="24" t="s">
        <v>445</v>
      </c>
      <c r="E26" s="24"/>
      <c r="F26" s="24"/>
      <c r="G26" s="24"/>
      <c r="H26" s="24"/>
      <c r="I26" s="24"/>
      <c r="J26" s="24"/>
      <c r="K26" s="24"/>
      <c r="L26" s="24"/>
      <c r="M26" s="24"/>
      <c r="N26" s="24"/>
      <c r="O26" s="24"/>
      <c r="P26" s="24"/>
      <c r="Q26" s="24"/>
      <c r="R26" s="24"/>
      <c r="S26" s="24"/>
      <c r="T26" s="24"/>
      <c r="U26" s="24"/>
      <c r="V26" s="24"/>
      <c r="W26" s="24"/>
    </row>
    <row r="27" spans="1:23" ht="13.5" thickBot="1">
      <c r="A27" s="24"/>
      <c r="B27" s="24"/>
      <c r="C27" s="24"/>
      <c r="D27" s="24" t="str">
        <f>"    -  you were under age 75"</f>
        <v xml:space="preserve">    -  you were under age 75</v>
      </c>
      <c r="E27" s="24"/>
      <c r="F27" s="24"/>
      <c r="G27" s="24"/>
      <c r="H27" s="24"/>
      <c r="I27" s="24"/>
      <c r="J27" s="24"/>
      <c r="K27" s="24"/>
      <c r="L27" s="24"/>
      <c r="M27" s="24"/>
      <c r="N27" s="24"/>
      <c r="O27" s="24"/>
      <c r="P27" s="94"/>
      <c r="Q27" s="95"/>
      <c r="R27" s="775"/>
      <c r="S27" s="775"/>
      <c r="T27" s="770"/>
      <c r="U27" s="24"/>
      <c r="V27" s="24"/>
      <c r="W27" s="24"/>
    </row>
    <row r="28" spans="1:23" ht="13.5" thickBot="1">
      <c r="A28" s="24"/>
      <c r="B28" s="24"/>
      <c r="C28" s="24"/>
      <c r="D28" s="24" t="s">
        <v>432</v>
      </c>
      <c r="E28" s="24"/>
      <c r="F28" s="24"/>
      <c r="G28" s="24"/>
      <c r="H28" s="24"/>
      <c r="I28" s="24"/>
      <c r="J28" s="24"/>
      <c r="K28" s="24"/>
      <c r="L28" s="24"/>
      <c r="M28" s="24"/>
      <c r="N28" s="24"/>
      <c r="O28" s="24"/>
      <c r="P28" s="96"/>
      <c r="Q28" s="82"/>
      <c r="R28" s="5688"/>
      <c r="S28" s="5689"/>
      <c r="T28" s="631"/>
      <c r="U28" s="24"/>
      <c r="V28" s="24"/>
      <c r="W28" s="24"/>
    </row>
    <row r="29" spans="1:23">
      <c r="A29" s="24"/>
      <c r="B29" s="24"/>
      <c r="C29" s="24"/>
      <c r="D29" s="24" t="str">
        <f>"    -  the number of years of guaranteed payments was fewer than 5. See Pub. 575 for the definition of guaranteed payments."</f>
        <v xml:space="preserve">    -  the number of years of guaranteed payments was fewer than 5. See Pub. 575 for the definition of guaranteed payments.</v>
      </c>
      <c r="E29" s="24"/>
      <c r="F29" s="24"/>
      <c r="G29" s="24"/>
      <c r="H29" s="24"/>
      <c r="I29" s="24"/>
      <c r="J29" s="24"/>
      <c r="K29" s="24"/>
      <c r="L29" s="24"/>
      <c r="M29" s="24"/>
      <c r="N29" s="24"/>
      <c r="O29" s="24"/>
      <c r="P29" s="774"/>
      <c r="Q29" s="2585"/>
      <c r="R29" s="2587" t="str">
        <f>IF(AND($V$19,$Q$22&lt;&gt;""),"COMBINED ages","Your age")</f>
        <v>Your age</v>
      </c>
      <c r="S29" s="2585"/>
      <c r="T29" s="2586"/>
      <c r="U29" s="24"/>
      <c r="V29" s="24"/>
      <c r="W29" s="24"/>
    </row>
    <row r="30" spans="1:23" ht="8.25" customHeight="1">
      <c r="A30" s="24"/>
      <c r="B30" s="24"/>
      <c r="C30" s="24"/>
      <c r="D30" s="24"/>
      <c r="E30" s="24"/>
      <c r="F30" s="24"/>
      <c r="G30" s="24"/>
      <c r="H30" s="24"/>
      <c r="I30" s="24"/>
      <c r="J30" s="24"/>
      <c r="K30" s="24"/>
      <c r="L30" s="24"/>
      <c r="M30" s="24"/>
      <c r="N30" s="24"/>
      <c r="O30" s="24"/>
      <c r="P30" s="774"/>
      <c r="Q30" s="2585"/>
      <c r="R30" s="697" t="s">
        <v>2150</v>
      </c>
      <c r="S30" s="2585"/>
      <c r="T30" s="2586"/>
      <c r="U30" s="24"/>
      <c r="V30" s="24"/>
      <c r="W30" s="24"/>
    </row>
    <row r="31" spans="1:23" ht="13.5" thickBot="1">
      <c r="A31" s="82"/>
      <c r="B31" s="82"/>
      <c r="C31" s="82"/>
      <c r="D31" s="82"/>
      <c r="E31" s="82"/>
      <c r="F31" s="82"/>
      <c r="G31" s="82"/>
      <c r="H31" s="82"/>
      <c r="I31" s="82"/>
      <c r="J31" s="82"/>
      <c r="K31" s="82"/>
      <c r="L31" s="82"/>
      <c r="M31" s="82"/>
      <c r="N31" s="82"/>
      <c r="O31" s="24"/>
      <c r="P31" s="98"/>
      <c r="Q31" s="88"/>
      <c r="R31" s="99"/>
      <c r="S31" s="99"/>
      <c r="T31" s="632"/>
      <c r="U31" s="24"/>
      <c r="V31" s="24"/>
      <c r="W31" s="24"/>
    </row>
    <row r="32" spans="1:23" ht="36" customHeight="1">
      <c r="A32" s="82"/>
      <c r="B32" s="4061" t="s">
        <v>3873</v>
      </c>
      <c r="C32" s="68"/>
      <c r="D32" s="89"/>
      <c r="E32" s="89"/>
      <c r="F32" s="89"/>
      <c r="G32" s="89"/>
      <c r="H32" s="89"/>
      <c r="I32" s="68"/>
      <c r="J32" s="90"/>
      <c r="K32" s="307" t="s">
        <v>200</v>
      </c>
      <c r="L32" s="307"/>
      <c r="M32" s="307"/>
      <c r="N32" s="752"/>
      <c r="O32" s="307"/>
      <c r="P32" s="5699" t="str">
        <f>IF(AND(V19,Q22&lt;&gt;"",R16&lt;&gt;"",R28="",S22=""),"If your annuity starting date was after 1997 and the payments are for your life and that of your beneficiary, use your combined ages on the annuity starting date.","")</f>
        <v/>
      </c>
      <c r="Q32" s="5700"/>
      <c r="R32" s="5700"/>
      <c r="S32" s="5700"/>
      <c r="T32" s="5700"/>
      <c r="U32" s="24"/>
      <c r="V32" s="24"/>
      <c r="W32" s="24"/>
    </row>
    <row r="33" spans="1:23" ht="5.25" customHeight="1" thickBot="1">
      <c r="A33" s="82"/>
      <c r="B33" s="39"/>
      <c r="C33" s="39"/>
      <c r="D33" s="39"/>
      <c r="E33" s="39"/>
      <c r="F33" s="39"/>
      <c r="G33" s="39"/>
      <c r="H33" s="39"/>
      <c r="I33" s="39"/>
      <c r="J33" s="39"/>
      <c r="K33" s="39"/>
      <c r="L33" s="39"/>
      <c r="M33" s="24"/>
      <c r="N33" s="82"/>
      <c r="O33" s="24"/>
      <c r="P33" s="5680"/>
      <c r="Q33" s="5680"/>
      <c r="R33" s="5680"/>
      <c r="S33" s="5680"/>
      <c r="T33" s="5680"/>
      <c r="U33" s="24"/>
      <c r="V33" s="24"/>
      <c r="W33" s="24"/>
    </row>
    <row r="34" spans="1:23" ht="13.5" customHeight="1">
      <c r="A34" s="82"/>
      <c r="B34" s="92"/>
      <c r="C34" s="24"/>
      <c r="D34" s="24"/>
      <c r="E34" s="24"/>
      <c r="F34" s="24"/>
      <c r="G34" s="24"/>
      <c r="H34" s="24"/>
      <c r="I34" s="24"/>
      <c r="J34" s="24"/>
      <c r="K34" s="24"/>
      <c r="L34" s="275"/>
      <c r="M34" s="505"/>
      <c r="N34" s="603"/>
      <c r="O34" s="275"/>
      <c r="P34" s="5680"/>
      <c r="Q34" s="5680"/>
      <c r="R34" s="5680"/>
      <c r="S34" s="5680"/>
      <c r="T34" s="5680"/>
      <c r="U34" s="24"/>
      <c r="V34" s="24"/>
      <c r="W34" s="24"/>
    </row>
    <row r="35" spans="1:23" ht="13.5" customHeight="1">
      <c r="A35" s="82"/>
      <c r="B35" s="59"/>
      <c r="C35" s="416"/>
      <c r="D35" s="413" t="s">
        <v>242</v>
      </c>
      <c r="E35" s="413"/>
      <c r="F35" s="413"/>
      <c r="G35" s="413"/>
      <c r="H35" s="413"/>
      <c r="I35" s="24"/>
      <c r="J35" s="24"/>
      <c r="K35" s="24"/>
      <c r="L35" s="275"/>
      <c r="M35" s="324"/>
      <c r="N35" s="603"/>
      <c r="O35" s="275"/>
      <c r="P35" s="5680"/>
      <c r="Q35" s="5680"/>
      <c r="R35" s="5680"/>
      <c r="S35" s="5680"/>
      <c r="T35" s="5680"/>
      <c r="U35" s="24"/>
      <c r="V35" s="24"/>
      <c r="W35" s="24"/>
    </row>
    <row r="36" spans="1:23" ht="13.5" customHeight="1">
      <c r="A36" s="82"/>
      <c r="B36" s="59"/>
      <c r="C36" s="759" t="s">
        <v>48</v>
      </c>
      <c r="D36" s="74" t="s">
        <v>640</v>
      </c>
      <c r="E36" s="24"/>
      <c r="F36" s="24"/>
      <c r="G36" s="24"/>
      <c r="H36" s="24"/>
      <c r="I36" s="24"/>
      <c r="J36" s="24"/>
      <c r="K36" s="24"/>
      <c r="L36" s="275"/>
      <c r="M36" s="324"/>
      <c r="N36" s="603"/>
      <c r="O36" s="275"/>
      <c r="P36" s="5680"/>
      <c r="Q36" s="5680"/>
      <c r="R36" s="5680"/>
      <c r="S36" s="5680"/>
      <c r="T36" s="5680"/>
      <c r="U36" s="24"/>
      <c r="V36" s="24"/>
      <c r="W36" s="24"/>
    </row>
    <row r="37" spans="1:23" ht="12" customHeight="1">
      <c r="A37" s="82"/>
      <c r="B37" s="59"/>
      <c r="C37" s="24"/>
      <c r="D37" s="74" t="s">
        <v>639</v>
      </c>
      <c r="E37" s="275"/>
      <c r="F37" s="275"/>
      <c r="G37" s="275"/>
      <c r="H37" s="275"/>
      <c r="I37" s="24"/>
      <c r="J37" s="24"/>
      <c r="K37" s="24"/>
      <c r="L37" s="275"/>
      <c r="M37" s="324"/>
      <c r="N37" s="603"/>
      <c r="O37" s="275"/>
      <c r="P37" s="24"/>
      <c r="Q37" s="24"/>
      <c r="R37" s="24"/>
      <c r="S37" s="24"/>
      <c r="T37" s="24"/>
      <c r="U37" s="24"/>
      <c r="V37" s="24"/>
      <c r="W37" s="24"/>
    </row>
    <row r="38" spans="1:23" ht="16.5" customHeight="1">
      <c r="A38" s="603"/>
      <c r="B38" s="5064" t="s">
        <v>4351</v>
      </c>
      <c r="C38" s="322"/>
      <c r="D38" s="322"/>
      <c r="E38" s="322"/>
      <c r="F38" s="322"/>
      <c r="G38" s="322"/>
      <c r="H38" s="322"/>
      <c r="I38" s="275"/>
      <c r="J38" s="275"/>
      <c r="K38" s="275"/>
      <c r="L38" s="275"/>
      <c r="M38" s="324"/>
      <c r="N38" s="603"/>
      <c r="O38" s="275"/>
      <c r="P38" s="24"/>
      <c r="Q38" s="24"/>
      <c r="R38" s="25"/>
      <c r="S38" s="24"/>
      <c r="T38" s="24"/>
      <c r="U38" s="24"/>
      <c r="V38" s="24"/>
      <c r="W38" s="24"/>
    </row>
    <row r="39" spans="1:23">
      <c r="A39" s="603"/>
      <c r="B39" s="1101" t="s">
        <v>3874</v>
      </c>
      <c r="C39" s="924"/>
      <c r="D39" s="924"/>
      <c r="E39" s="924"/>
      <c r="F39" s="287" t="str">
        <f>"Enter the total pension or annuity payments received in "&amp;TaxYear&amp;" on Form 1040, line 4a."</f>
        <v>Enter the total pension or annuity payments received in 2018 on Form 1040, line 4a.</v>
      </c>
      <c r="G39" s="924"/>
      <c r="H39" s="924"/>
      <c r="I39" s="320"/>
      <c r="J39" s="320"/>
      <c r="K39" s="320"/>
      <c r="L39" s="1102"/>
      <c r="M39" s="1103"/>
      <c r="N39" s="753"/>
      <c r="O39" s="275"/>
      <c r="P39" s="24"/>
      <c r="Q39" s="24"/>
      <c r="R39" s="25"/>
      <c r="S39" s="24"/>
      <c r="T39" s="24"/>
      <c r="U39" s="24"/>
      <c r="V39" s="24"/>
      <c r="W39" s="24"/>
    </row>
    <row r="40" spans="1:23">
      <c r="A40" s="603"/>
      <c r="B40" s="5065" t="s">
        <v>4812</v>
      </c>
      <c r="C40" s="5070"/>
      <c r="D40" s="5066"/>
      <c r="E40" s="5066"/>
      <c r="F40" s="5067"/>
      <c r="G40" s="5066"/>
      <c r="H40" s="5066"/>
      <c r="I40" s="1134"/>
      <c r="J40" s="1134"/>
      <c r="K40" s="1134"/>
      <c r="L40" s="5068"/>
      <c r="M40" s="5069"/>
      <c r="N40" s="753"/>
      <c r="O40" s="275"/>
      <c r="P40" s="24"/>
      <c r="Q40" s="24"/>
      <c r="R40" s="25"/>
      <c r="S40" s="24"/>
      <c r="T40" s="24"/>
      <c r="U40" s="24"/>
      <c r="V40" s="24"/>
      <c r="W40" s="24"/>
    </row>
    <row r="41" spans="1:23" ht="16.5" customHeight="1">
      <c r="A41" s="82"/>
      <c r="B41" s="507" t="str">
        <f>"1."</f>
        <v>1.</v>
      </c>
      <c r="C41" s="60" t="s">
        <v>4816</v>
      </c>
      <c r="D41" s="63"/>
      <c r="E41" s="63"/>
      <c r="F41" s="63"/>
      <c r="G41" s="63"/>
      <c r="H41" s="63"/>
      <c r="I41" s="68"/>
      <c r="J41" s="63"/>
      <c r="K41" s="69"/>
      <c r="L41" s="63"/>
      <c r="M41" s="70"/>
      <c r="N41" s="754"/>
      <c r="O41" s="339"/>
      <c r="P41" s="24"/>
      <c r="Q41" s="24"/>
      <c r="R41" s="25"/>
      <c r="S41" s="24"/>
      <c r="T41" s="24"/>
      <c r="U41" s="24"/>
      <c r="V41" s="24"/>
      <c r="W41" s="24"/>
    </row>
    <row r="42" spans="1:23">
      <c r="A42" s="82"/>
      <c r="B42" s="317"/>
      <c r="C42" s="60" t="s">
        <v>4809</v>
      </c>
      <c r="D42" s="63"/>
      <c r="E42" s="63"/>
      <c r="F42" s="63"/>
      <c r="G42" s="63"/>
      <c r="H42" s="63"/>
      <c r="I42" s="68"/>
      <c r="J42" s="73" t="s">
        <v>362</v>
      </c>
      <c r="K42" s="69">
        <v>1</v>
      </c>
      <c r="L42" s="1709"/>
      <c r="M42" s="506"/>
      <c r="N42" s="755"/>
      <c r="O42" s="63"/>
      <c r="P42" s="24"/>
      <c r="Q42" s="24"/>
      <c r="R42" s="25"/>
      <c r="S42" s="24"/>
      <c r="T42" s="24"/>
      <c r="U42" s="24"/>
      <c r="V42" s="24"/>
      <c r="W42" s="24"/>
    </row>
    <row r="43" spans="1:23">
      <c r="A43" s="82"/>
      <c r="B43" s="317">
        <v>2</v>
      </c>
      <c r="C43" s="60" t="s">
        <v>90</v>
      </c>
      <c r="D43" s="63"/>
      <c r="E43" s="63"/>
      <c r="F43" s="760"/>
      <c r="G43" s="760"/>
      <c r="H43" s="760" t="s">
        <v>448</v>
      </c>
      <c r="I43" s="68">
        <v>2</v>
      </c>
      <c r="J43" s="1709"/>
      <c r="K43" s="68"/>
      <c r="L43" s="339"/>
      <c r="M43" s="506"/>
      <c r="N43" s="754"/>
      <c r="O43" s="63"/>
      <c r="P43" s="24"/>
      <c r="Q43" s="24"/>
      <c r="R43" s="25"/>
      <c r="S43" s="24"/>
      <c r="T43" s="24"/>
      <c r="U43" s="24"/>
      <c r="V43" s="24"/>
      <c r="W43" s="24"/>
    </row>
    <row r="44" spans="1:23" ht="13.5" thickBot="1">
      <c r="A44" s="82"/>
      <c r="B44" s="317"/>
      <c r="C44" s="286" t="s">
        <v>995</v>
      </c>
      <c r="D44" s="63"/>
      <c r="E44" s="63"/>
      <c r="F44" s="760"/>
      <c r="G44" s="760"/>
      <c r="H44" s="760"/>
      <c r="I44" s="68"/>
      <c r="J44" s="900"/>
      <c r="K44" s="68"/>
      <c r="L44" s="1069"/>
      <c r="M44" s="506"/>
      <c r="N44" s="754"/>
      <c r="O44" s="63"/>
      <c r="P44" s="24"/>
      <c r="Q44" s="24"/>
      <c r="R44" s="24"/>
      <c r="S44" s="24"/>
      <c r="T44" s="24"/>
      <c r="U44" s="24"/>
      <c r="V44" s="24"/>
      <c r="W44" s="24"/>
    </row>
    <row r="45" spans="1:23" ht="13.5" thickBot="1">
      <c r="A45" s="82"/>
      <c r="B45" s="317"/>
      <c r="C45" s="60" t="s">
        <v>994</v>
      </c>
      <c r="D45" s="63"/>
      <c r="E45" s="63"/>
      <c r="F45" s="760"/>
      <c r="G45" s="760"/>
      <c r="H45" s="760"/>
      <c r="I45" s="68"/>
      <c r="J45" s="900"/>
      <c r="K45" s="68"/>
      <c r="L45" s="1069"/>
      <c r="M45" s="506"/>
      <c r="N45" s="754"/>
      <c r="O45" s="63"/>
      <c r="P45" s="24"/>
      <c r="Q45" s="1600"/>
      <c r="R45" s="74" t="s">
        <v>2151</v>
      </c>
      <c r="S45" s="24"/>
      <c r="T45" s="24"/>
      <c r="U45" s="24"/>
      <c r="V45" s="24"/>
      <c r="W45" s="24"/>
    </row>
    <row r="46" spans="1:23">
      <c r="A46" s="82"/>
      <c r="B46" s="317"/>
      <c r="C46" s="60" t="s">
        <v>267</v>
      </c>
      <c r="D46" s="63"/>
      <c r="E46" s="63"/>
      <c r="F46" s="760"/>
      <c r="G46" s="760"/>
      <c r="H46" s="760"/>
      <c r="I46" s="68"/>
      <c r="J46" s="900"/>
      <c r="K46" s="68"/>
      <c r="L46" s="773"/>
      <c r="M46" s="506"/>
      <c r="N46" s="754"/>
      <c r="O46" s="63"/>
      <c r="P46" s="24"/>
      <c r="Q46" s="2589"/>
      <c r="R46" s="74"/>
      <c r="S46" s="24"/>
      <c r="T46" s="24"/>
      <c r="U46" s="24"/>
      <c r="V46" s="24"/>
      <c r="W46" s="24"/>
    </row>
    <row r="47" spans="1:23">
      <c r="A47" s="82"/>
      <c r="B47" s="317">
        <v>3</v>
      </c>
      <c r="C47" s="60" t="s">
        <v>641</v>
      </c>
      <c r="D47" s="63"/>
      <c r="E47" s="63"/>
      <c r="F47" s="63"/>
      <c r="G47" s="63"/>
      <c r="H47" s="63"/>
      <c r="I47" s="68"/>
      <c r="J47" s="782"/>
      <c r="K47" s="68"/>
      <c r="L47" s="773"/>
      <c r="M47" s="70"/>
      <c r="N47" s="754"/>
      <c r="O47" s="63"/>
      <c r="P47" s="24"/>
      <c r="Q47" s="2590"/>
      <c r="R47" s="74"/>
      <c r="S47" s="24"/>
      <c r="T47" s="24"/>
      <c r="U47" s="24"/>
      <c r="V47" s="24"/>
      <c r="W47" s="24"/>
    </row>
    <row r="48" spans="1:23" ht="11.25" customHeight="1" thickBot="1">
      <c r="A48" s="82"/>
      <c r="B48" s="850"/>
      <c r="C48" s="923" t="s">
        <v>3877</v>
      </c>
      <c r="D48" s="319"/>
      <c r="E48" s="319"/>
      <c r="F48" s="319"/>
      <c r="G48" s="319"/>
      <c r="H48" s="319"/>
      <c r="I48" s="486"/>
      <c r="J48" s="1104"/>
      <c r="K48" s="486"/>
      <c r="L48" s="773"/>
      <c r="M48" s="1105"/>
      <c r="N48" s="754"/>
      <c r="O48" s="63"/>
      <c r="P48" s="39"/>
      <c r="Q48" s="39"/>
      <c r="R48" s="39"/>
      <c r="S48" s="39"/>
      <c r="T48" s="39"/>
      <c r="U48" s="39"/>
      <c r="V48" s="24"/>
      <c r="W48" s="24"/>
    </row>
    <row r="49" spans="1:23" ht="14.25" customHeight="1">
      <c r="A49" s="82"/>
      <c r="B49" s="59"/>
      <c r="C49" s="60" t="s">
        <v>3876</v>
      </c>
      <c r="D49" s="24"/>
      <c r="E49" s="24"/>
      <c r="F49" s="24"/>
      <c r="G49" s="24"/>
      <c r="H49" s="73" t="s">
        <v>3878</v>
      </c>
      <c r="I49" s="68">
        <v>3</v>
      </c>
      <c r="J49" s="1708" t="str">
        <f>IF(Q45&lt;&gt;"","",IF(R16="","Enter date above",IF(R28="","Enter age above",IF(L84,J93,L83))))</f>
        <v>Enter date above</v>
      </c>
      <c r="K49" s="68"/>
      <c r="L49" s="2588" t="s">
        <v>62</v>
      </c>
      <c r="M49" s="778"/>
      <c r="N49" s="754"/>
      <c r="O49" s="63"/>
      <c r="P49" s="92"/>
      <c r="Q49" s="33"/>
      <c r="R49" s="33"/>
      <c r="S49" s="33"/>
      <c r="T49" s="33"/>
      <c r="U49" s="100"/>
      <c r="V49" s="24"/>
      <c r="W49" s="24"/>
    </row>
    <row r="50" spans="1:23" ht="14.25" customHeight="1" thickBot="1">
      <c r="A50" s="82"/>
      <c r="B50" s="317">
        <v>4</v>
      </c>
      <c r="C50" s="60" t="s">
        <v>342</v>
      </c>
      <c r="D50" s="24"/>
      <c r="E50" s="24"/>
      <c r="F50" s="24"/>
      <c r="G50" s="24"/>
      <c r="H50" s="760" t="s">
        <v>263</v>
      </c>
      <c r="I50" s="68">
        <v>4</v>
      </c>
      <c r="J50" s="1708" t="str">
        <f>IF(L50&lt;&gt;"",L50,IF(OR(J49="",J49=0),"",IF(ISERROR(ROUND((J43/J49),0)),"",ROUND((J43/J49),0))))</f>
        <v/>
      </c>
      <c r="K50" s="68"/>
      <c r="L50" s="1709"/>
      <c r="M50" s="70"/>
      <c r="N50" s="754"/>
      <c r="O50" s="63"/>
      <c r="P50" s="59"/>
      <c r="Q50" s="24"/>
      <c r="R50" s="24"/>
      <c r="S50" s="24"/>
      <c r="T50" s="24"/>
      <c r="U50" s="101"/>
      <c r="V50" s="24"/>
      <c r="W50" s="24"/>
    </row>
    <row r="51" spans="1:23" ht="16.5" thickBot="1">
      <c r="A51" s="82"/>
      <c r="B51" s="317">
        <v>5</v>
      </c>
      <c r="C51" s="60" t="s">
        <v>768</v>
      </c>
      <c r="D51" s="24"/>
      <c r="E51" s="24"/>
      <c r="F51" s="24"/>
      <c r="G51" s="24"/>
      <c r="H51" s="24"/>
      <c r="I51" s="68"/>
      <c r="J51" s="63"/>
      <c r="K51" s="68"/>
      <c r="L51" s="773" t="s">
        <v>382</v>
      </c>
      <c r="M51" s="778" t="s">
        <v>360</v>
      </c>
      <c r="N51" s="754"/>
      <c r="O51" s="63"/>
      <c r="P51" s="59"/>
      <c r="Q51" s="783"/>
      <c r="R51" s="779"/>
      <c r="S51" s="24"/>
      <c r="T51" s="24"/>
      <c r="U51" s="101"/>
      <c r="V51" s="24"/>
      <c r="W51" s="24"/>
    </row>
    <row r="52" spans="1:23" ht="12.75" customHeight="1">
      <c r="A52" s="82"/>
      <c r="B52" s="59"/>
      <c r="C52" s="60" t="s">
        <v>3875</v>
      </c>
      <c r="D52" s="24"/>
      <c r="E52" s="24"/>
      <c r="F52" s="24"/>
      <c r="G52" s="24"/>
      <c r="H52" s="24"/>
      <c r="I52" s="68"/>
      <c r="J52" s="2580">
        <v>31778</v>
      </c>
      <c r="K52" s="780" t="b">
        <f>IF(R16&lt;J52,TRUE,FALSE)</f>
        <v>1</v>
      </c>
      <c r="L52" s="773" t="s">
        <v>383</v>
      </c>
      <c r="M52" s="778"/>
      <c r="N52" s="754"/>
      <c r="O52" s="63"/>
      <c r="P52" s="5696" t="s">
        <v>534</v>
      </c>
      <c r="Q52" s="5697"/>
      <c r="R52" s="5697"/>
      <c r="S52" s="5697"/>
      <c r="T52" s="5697"/>
      <c r="U52" s="5698"/>
      <c r="V52" s="24"/>
      <c r="W52" s="24"/>
    </row>
    <row r="53" spans="1:23" ht="12.75" customHeight="1">
      <c r="A53" s="82"/>
      <c r="B53" s="59"/>
      <c r="C53" s="60" t="s">
        <v>769</v>
      </c>
      <c r="D53" s="24"/>
      <c r="E53" s="24"/>
      <c r="F53" s="24"/>
      <c r="G53" s="24"/>
      <c r="H53" s="73" t="s">
        <v>3879</v>
      </c>
      <c r="I53" s="68">
        <v>5</v>
      </c>
      <c r="J53" s="1708" t="str">
        <f>IF(OR(R51&gt;12,R51="",J50=""),"",J50*R51)</f>
        <v/>
      </c>
      <c r="K53" s="68"/>
      <c r="L53" s="773" t="s">
        <v>2149</v>
      </c>
      <c r="M53" s="70"/>
      <c r="N53" s="754"/>
      <c r="O53" s="63"/>
      <c r="P53" s="5696" t="s">
        <v>535</v>
      </c>
      <c r="Q53" s="5697"/>
      <c r="R53" s="5697"/>
      <c r="S53" s="5697"/>
      <c r="T53" s="5697"/>
      <c r="U53" s="5698"/>
      <c r="V53" s="24"/>
      <c r="W53" s="24"/>
    </row>
    <row r="54" spans="1:23" ht="16.5" thickBot="1">
      <c r="A54" s="82"/>
      <c r="B54" s="317">
        <v>6</v>
      </c>
      <c r="C54" s="60" t="s">
        <v>575</v>
      </c>
      <c r="D54" s="24"/>
      <c r="E54" s="24"/>
      <c r="F54" s="24"/>
      <c r="G54" s="24"/>
      <c r="H54" s="760"/>
      <c r="I54" s="68"/>
      <c r="J54" s="949"/>
      <c r="K54" s="68"/>
      <c r="L54" s="773" t="s">
        <v>384</v>
      </c>
      <c r="M54" s="778"/>
      <c r="N54" s="754"/>
      <c r="O54" s="63"/>
      <c r="P54" s="93"/>
      <c r="Q54" s="39"/>
      <c r="R54" s="39"/>
      <c r="S54" s="39"/>
      <c r="T54" s="39"/>
      <c r="U54" s="102"/>
      <c r="V54" s="24"/>
      <c r="W54" s="24"/>
    </row>
    <row r="55" spans="1:23" ht="13.5" customHeight="1">
      <c r="A55" s="82"/>
      <c r="B55" s="317"/>
      <c r="C55" s="60" t="s">
        <v>425</v>
      </c>
      <c r="D55" s="24"/>
      <c r="E55" s="24"/>
      <c r="F55" s="24"/>
      <c r="G55" s="24"/>
      <c r="H55" s="760"/>
      <c r="I55" s="68">
        <v>6</v>
      </c>
      <c r="J55" s="1709"/>
      <c r="K55" s="68"/>
      <c r="L55" s="773"/>
      <c r="M55" s="778"/>
      <c r="N55" s="754"/>
      <c r="O55" s="63"/>
      <c r="P55" s="24"/>
      <c r="Q55" s="24"/>
      <c r="R55" s="24"/>
      <c r="S55" s="24"/>
      <c r="T55" s="24"/>
      <c r="U55" s="24"/>
      <c r="V55" s="24"/>
      <c r="W55" s="24"/>
    </row>
    <row r="56" spans="1:23">
      <c r="A56" s="82"/>
      <c r="B56" s="317">
        <v>7</v>
      </c>
      <c r="C56" s="288" t="s">
        <v>340</v>
      </c>
      <c r="D56" s="24"/>
      <c r="E56" s="24"/>
      <c r="F56" s="24"/>
      <c r="G56" s="24"/>
      <c r="H56" s="760" t="s">
        <v>157</v>
      </c>
      <c r="I56" s="68">
        <v>7</v>
      </c>
      <c r="J56" s="1708" t="str">
        <f>IF(OR(K52,J53=""),"",J43-J55)</f>
        <v/>
      </c>
      <c r="K56" s="68"/>
      <c r="L56" s="63"/>
      <c r="M56" s="70"/>
      <c r="N56" s="754"/>
      <c r="O56" s="63"/>
      <c r="P56" s="24"/>
      <c r="Q56" s="24"/>
      <c r="R56" s="24"/>
      <c r="S56" s="24"/>
      <c r="T56" s="24"/>
      <c r="U56" s="24"/>
      <c r="V56" s="24"/>
      <c r="W56" s="24"/>
    </row>
    <row r="57" spans="1:23">
      <c r="A57" s="82"/>
      <c r="B57" s="317">
        <v>8</v>
      </c>
      <c r="C57" s="288" t="s">
        <v>642</v>
      </c>
      <c r="D57" s="24"/>
      <c r="E57" s="24"/>
      <c r="F57" s="24"/>
      <c r="G57" s="24"/>
      <c r="H57" s="24"/>
      <c r="I57" s="24"/>
      <c r="J57" s="760" t="s">
        <v>464</v>
      </c>
      <c r="K57" s="68">
        <v>8</v>
      </c>
      <c r="L57" s="1708" t="str">
        <f>IF(K52,J53,MIN(J53,J56))</f>
        <v/>
      </c>
      <c r="M57" s="506"/>
      <c r="N57" s="754"/>
      <c r="O57" s="339"/>
      <c r="P57" s="24"/>
      <c r="Q57" s="24"/>
      <c r="R57" s="24"/>
      <c r="S57" s="24"/>
      <c r="T57" s="24"/>
      <c r="U57" s="24"/>
      <c r="V57" s="24"/>
      <c r="W57" s="24"/>
    </row>
    <row r="58" spans="1:23">
      <c r="A58" s="82"/>
      <c r="B58" s="317">
        <v>9</v>
      </c>
      <c r="C58" s="60" t="s">
        <v>2645</v>
      </c>
      <c r="D58" s="24"/>
      <c r="E58" s="24"/>
      <c r="F58" s="24"/>
      <c r="G58" s="24"/>
      <c r="H58" s="24"/>
      <c r="I58" s="24"/>
      <c r="J58" s="24"/>
      <c r="K58" s="68"/>
      <c r="L58" s="63"/>
      <c r="M58" s="70"/>
      <c r="N58" s="754"/>
      <c r="O58" s="339"/>
      <c r="P58" s="24"/>
      <c r="Q58" s="24"/>
      <c r="R58" s="24"/>
      <c r="S58" s="24"/>
      <c r="T58" s="24"/>
      <c r="U58" s="24"/>
      <c r="V58" s="24"/>
      <c r="W58" s="24"/>
    </row>
    <row r="59" spans="1:23" ht="12.75" customHeight="1">
      <c r="A59" s="82"/>
      <c r="B59" s="317"/>
      <c r="C59" s="3293" t="s">
        <v>4813</v>
      </c>
      <c r="D59" s="76"/>
      <c r="E59" s="76"/>
      <c r="F59" s="76"/>
      <c r="G59" s="76"/>
      <c r="H59" s="76"/>
      <c r="I59" s="68"/>
      <c r="J59" s="63"/>
      <c r="K59" s="68"/>
      <c r="L59" s="63"/>
      <c r="M59" s="70"/>
      <c r="N59" s="754"/>
      <c r="O59" s="339"/>
      <c r="P59" s="24"/>
      <c r="Q59" s="24"/>
      <c r="R59" s="25" t="s">
        <v>100</v>
      </c>
      <c r="S59" s="24"/>
      <c r="T59" s="24"/>
      <c r="U59" s="24"/>
      <c r="V59" s="24"/>
      <c r="W59" s="24"/>
    </row>
    <row r="60" spans="1:23" ht="12.75" customHeight="1">
      <c r="A60" s="82"/>
      <c r="B60" s="317"/>
      <c r="C60" s="60" t="s">
        <v>770</v>
      </c>
      <c r="D60" s="76"/>
      <c r="E60" s="76"/>
      <c r="F60" s="76"/>
      <c r="G60" s="76"/>
      <c r="H60" s="76"/>
      <c r="I60" s="68"/>
      <c r="J60" s="63"/>
      <c r="K60" s="68"/>
      <c r="L60" s="63"/>
      <c r="M60" s="70"/>
      <c r="N60" s="754"/>
      <c r="O60" s="339"/>
      <c r="P60" s="24"/>
      <c r="Q60" s="24"/>
      <c r="R60" s="25" t="s">
        <v>468</v>
      </c>
      <c r="S60" s="24"/>
      <c r="T60" s="24"/>
      <c r="U60" s="24"/>
      <c r="V60" s="24"/>
      <c r="W60" s="24"/>
    </row>
    <row r="61" spans="1:23">
      <c r="A61" s="82"/>
      <c r="B61" s="317"/>
      <c r="C61" s="60" t="s">
        <v>4814</v>
      </c>
      <c r="D61" s="63"/>
      <c r="E61" s="63"/>
      <c r="F61" s="63"/>
      <c r="G61" s="63"/>
      <c r="H61" s="63"/>
      <c r="I61" s="68"/>
      <c r="J61" s="73" t="s">
        <v>4815</v>
      </c>
      <c r="K61" s="68">
        <v>9</v>
      </c>
      <c r="L61" s="1708" t="str">
        <f>IF(R61&lt;&gt;"",R61,IF(OR(L57="",R16=""),"",IF(Pension_total="",0,MAX(0,SUM(L42,-L57)))))</f>
        <v/>
      </c>
      <c r="M61" s="506"/>
      <c r="N61" s="754"/>
      <c r="O61" s="339"/>
      <c r="P61" s="24"/>
      <c r="Q61" s="24"/>
      <c r="R61" s="395"/>
      <c r="S61" s="24"/>
      <c r="T61" s="24"/>
      <c r="U61" s="24"/>
      <c r="V61" s="24"/>
      <c r="W61" s="24"/>
    </row>
    <row r="62" spans="1:23">
      <c r="A62" s="82"/>
      <c r="B62" s="902" t="s">
        <v>337</v>
      </c>
      <c r="C62" s="60" t="s">
        <v>226</v>
      </c>
      <c r="D62" s="63"/>
      <c r="E62" s="63"/>
      <c r="F62" s="63"/>
      <c r="G62" s="63"/>
      <c r="H62" s="63"/>
      <c r="I62" s="68"/>
      <c r="J62" s="760"/>
      <c r="K62" s="68"/>
      <c r="L62" s="339"/>
      <c r="M62" s="506"/>
      <c r="N62" s="754"/>
      <c r="O62" s="339"/>
      <c r="P62" s="24"/>
      <c r="Q62" s="24"/>
      <c r="R62" s="901"/>
      <c r="S62" s="24"/>
      <c r="T62" s="24"/>
      <c r="U62" s="24"/>
      <c r="V62" s="24"/>
      <c r="W62" s="24"/>
    </row>
    <row r="63" spans="1:23" ht="7.5" customHeight="1">
      <c r="A63" s="82"/>
      <c r="B63" s="317"/>
      <c r="C63" s="24"/>
      <c r="D63" s="63"/>
      <c r="E63" s="63"/>
      <c r="F63" s="63"/>
      <c r="G63" s="63"/>
      <c r="H63" s="63"/>
      <c r="I63" s="68"/>
      <c r="J63" s="760"/>
      <c r="K63" s="68"/>
      <c r="L63" s="339"/>
      <c r="M63" s="506"/>
      <c r="N63" s="754"/>
      <c r="O63" s="339"/>
      <c r="P63" s="24"/>
      <c r="Q63" s="24"/>
      <c r="R63" s="901"/>
      <c r="S63" s="24"/>
      <c r="T63" s="24"/>
      <c r="U63" s="24"/>
      <c r="V63" s="24"/>
      <c r="W63" s="24"/>
    </row>
    <row r="64" spans="1:23" ht="13.5" customHeight="1">
      <c r="A64" s="82"/>
      <c r="B64" s="317"/>
      <c r="C64" s="2335" t="str">
        <f>IF(V22,"X","")</f>
        <v/>
      </c>
      <c r="D64" s="903" t="s">
        <v>2166</v>
      </c>
      <c r="E64" s="131" t="s">
        <v>1963</v>
      </c>
      <c r="F64" s="63"/>
      <c r="G64" s="63"/>
      <c r="H64" s="63"/>
      <c r="I64" s="68"/>
      <c r="J64" s="760"/>
      <c r="K64" s="68"/>
      <c r="L64" s="339"/>
      <c r="M64" s="506"/>
      <c r="N64" s="754"/>
      <c r="O64" s="339"/>
      <c r="P64" s="24"/>
      <c r="Q64" s="24"/>
      <c r="R64" s="2595"/>
      <c r="S64" s="24"/>
      <c r="T64" s="24"/>
      <c r="U64" s="24"/>
      <c r="V64" s="24"/>
      <c r="W64" s="24"/>
    </row>
    <row r="65" spans="1:23">
      <c r="A65" s="82"/>
      <c r="B65" s="317"/>
      <c r="C65" s="24"/>
      <c r="D65" s="63"/>
      <c r="E65" s="63"/>
      <c r="F65" s="63"/>
      <c r="G65" s="63"/>
      <c r="H65" s="63"/>
      <c r="I65" s="68"/>
      <c r="J65" s="760"/>
      <c r="K65" s="68"/>
      <c r="L65" s="339"/>
      <c r="M65" s="506"/>
      <c r="N65" s="754"/>
      <c r="O65" s="339"/>
      <c r="P65" s="24"/>
      <c r="Q65" s="24"/>
      <c r="R65" s="25" t="s">
        <v>100</v>
      </c>
      <c r="S65" s="24"/>
      <c r="T65" s="24"/>
      <c r="U65" s="24"/>
      <c r="V65" s="24"/>
      <c r="W65" s="24"/>
    </row>
    <row r="66" spans="1:23" ht="15" customHeight="1">
      <c r="A66" s="82"/>
      <c r="B66" s="317"/>
      <c r="C66" s="2335" t="str">
        <f>IF(V22,"","X")</f>
        <v>X</v>
      </c>
      <c r="D66" s="72" t="s">
        <v>4353</v>
      </c>
      <c r="E66" s="63"/>
      <c r="F66" s="63"/>
      <c r="G66" s="63"/>
      <c r="H66" s="63"/>
      <c r="I66" s="4739" t="s">
        <v>4352</v>
      </c>
      <c r="J66" s="292" t="str">
        <f>TaxYear&amp;"."</f>
        <v>2018.</v>
      </c>
      <c r="K66" s="68"/>
      <c r="L66" s="339"/>
      <c r="M66" s="506"/>
      <c r="N66" s="754"/>
      <c r="O66" s="339"/>
      <c r="P66" s="24"/>
      <c r="Q66" s="24"/>
      <c r="R66" s="25" t="s">
        <v>468</v>
      </c>
      <c r="S66" s="24"/>
      <c r="T66" s="24"/>
      <c r="U66" s="24"/>
      <c r="V66" s="24"/>
      <c r="W66" s="24"/>
    </row>
    <row r="67" spans="1:23">
      <c r="A67" s="82"/>
      <c r="B67" s="317"/>
      <c r="C67" s="24"/>
      <c r="D67" s="63" t="s">
        <v>227</v>
      </c>
      <c r="E67" s="63"/>
      <c r="F67" s="63"/>
      <c r="G67" s="63"/>
      <c r="H67" s="63"/>
      <c r="I67" s="68"/>
      <c r="J67" s="760" t="s">
        <v>286</v>
      </c>
      <c r="K67" s="75" t="str">
        <f>B62</f>
        <v>10.</v>
      </c>
      <c r="L67" s="1708" t="str">
        <f>IF(R67&lt;&gt;"",R67,IF(R16="","",IF(C64="X","",SUM(J55,L57))))</f>
        <v/>
      </c>
      <c r="M67" s="506"/>
      <c r="N67" s="754"/>
      <c r="O67" s="339"/>
      <c r="P67" s="24"/>
      <c r="Q67" s="24"/>
      <c r="R67" s="395"/>
      <c r="S67" s="24"/>
      <c r="T67" s="24"/>
      <c r="U67" s="24"/>
      <c r="V67" s="24"/>
      <c r="W67" s="24"/>
    </row>
    <row r="68" spans="1:23">
      <c r="A68" s="82"/>
      <c r="B68" s="317"/>
      <c r="C68" s="24"/>
      <c r="D68" s="63"/>
      <c r="E68" s="63"/>
      <c r="F68" s="63"/>
      <c r="G68" s="63"/>
      <c r="H68" s="63"/>
      <c r="I68" s="68"/>
      <c r="J68" s="760"/>
      <c r="K68" s="75"/>
      <c r="L68" s="3296"/>
      <c r="M68" s="506"/>
      <c r="N68" s="754"/>
      <c r="O68" s="339"/>
      <c r="P68" s="24"/>
      <c r="Q68" s="24"/>
      <c r="R68" s="901"/>
      <c r="S68" s="24"/>
      <c r="T68" s="24"/>
      <c r="U68" s="24"/>
      <c r="V68" s="24"/>
      <c r="W68" s="24"/>
    </row>
    <row r="69" spans="1:23">
      <c r="A69" s="82"/>
      <c r="B69" s="3294" t="s">
        <v>338</v>
      </c>
      <c r="C69" s="74" t="s">
        <v>2647</v>
      </c>
      <c r="D69" s="63"/>
      <c r="E69" s="63"/>
      <c r="F69" s="63"/>
      <c r="G69" s="63"/>
      <c r="H69" s="63"/>
      <c r="I69" s="68"/>
      <c r="J69" s="760"/>
      <c r="K69" s="75"/>
      <c r="L69" s="3296"/>
      <c r="M69" s="506"/>
      <c r="N69" s="754"/>
      <c r="O69" s="339"/>
      <c r="P69" s="24"/>
      <c r="Q69" s="24"/>
      <c r="R69" s="901"/>
      <c r="S69" s="24"/>
      <c r="T69" s="24"/>
      <c r="U69" s="24"/>
      <c r="V69" s="24"/>
      <c r="W69" s="24"/>
    </row>
    <row r="70" spans="1:23">
      <c r="A70" s="82"/>
      <c r="B70" s="317"/>
      <c r="C70" s="24" t="s">
        <v>2646</v>
      </c>
      <c r="D70" s="63"/>
      <c r="E70" s="63"/>
      <c r="F70" s="63"/>
      <c r="G70" s="63"/>
      <c r="H70" s="63"/>
      <c r="I70" s="68"/>
      <c r="J70" s="73" t="s">
        <v>3880</v>
      </c>
      <c r="K70" s="3295" t="s">
        <v>338</v>
      </c>
      <c r="L70" s="1708" t="str">
        <f>IF(R70&lt;&gt;"",R70,IF(R16="","",IF(C64="X","",SUM(J43,-L67))))</f>
        <v/>
      </c>
      <c r="M70" s="506"/>
      <c r="N70" s="754"/>
      <c r="O70" s="339"/>
      <c r="P70" s="24"/>
      <c r="Q70" s="24"/>
      <c r="R70" s="395"/>
      <c r="S70" s="24"/>
      <c r="T70" s="24"/>
      <c r="U70" s="24"/>
      <c r="V70" s="24"/>
      <c r="W70" s="24"/>
    </row>
    <row r="71" spans="1:23" ht="12.75" customHeight="1" thickBot="1">
      <c r="A71" s="82"/>
      <c r="B71" s="763"/>
      <c r="C71" s="1700"/>
      <c r="D71" s="78"/>
      <c r="E71" s="78"/>
      <c r="F71" s="78"/>
      <c r="G71" s="78"/>
      <c r="H71" s="78"/>
      <c r="I71" s="79"/>
      <c r="J71" s="78"/>
      <c r="K71" s="79"/>
      <c r="L71" s="78"/>
      <c r="M71" s="80"/>
      <c r="N71" s="755"/>
      <c r="O71" s="63"/>
      <c r="P71" s="24"/>
      <c r="Q71" s="24"/>
      <c r="R71" s="24"/>
      <c r="S71" s="24"/>
      <c r="T71" s="24"/>
      <c r="U71" s="24"/>
      <c r="V71" s="24"/>
      <c r="W71" s="24"/>
    </row>
    <row r="72" spans="1:23" ht="17.25" customHeight="1">
      <c r="A72" s="82"/>
      <c r="B72" s="317"/>
      <c r="C72" s="24"/>
      <c r="D72" s="75"/>
      <c r="E72" s="75"/>
      <c r="F72" s="75" t="s">
        <v>509</v>
      </c>
      <c r="G72" s="75"/>
      <c r="H72" s="75"/>
      <c r="I72" s="75"/>
      <c r="J72" s="63"/>
      <c r="K72" s="68"/>
      <c r="L72" s="63"/>
      <c r="M72" s="111"/>
      <c r="N72" s="754"/>
      <c r="O72" s="63"/>
      <c r="P72" s="24"/>
      <c r="Q72" s="24"/>
      <c r="R72" s="24"/>
      <c r="S72" s="24"/>
      <c r="T72" s="24"/>
      <c r="U72" s="24"/>
      <c r="V72" s="24"/>
      <c r="W72" s="24"/>
    </row>
    <row r="73" spans="1:23" ht="12" customHeight="1">
      <c r="A73" s="82"/>
      <c r="B73" s="317"/>
      <c r="C73" s="24"/>
      <c r="D73" s="63"/>
      <c r="E73" s="63"/>
      <c r="F73" s="63"/>
      <c r="G73" s="63"/>
      <c r="H73" s="63"/>
      <c r="I73" s="68"/>
      <c r="J73" s="772">
        <v>35387</v>
      </c>
      <c r="K73" s="68"/>
      <c r="L73" s="776" t="s">
        <v>92</v>
      </c>
      <c r="M73" s="111"/>
      <c r="N73" s="754"/>
      <c r="O73" s="63"/>
      <c r="P73" s="24"/>
      <c r="Q73" s="24"/>
      <c r="R73" s="24"/>
      <c r="S73" s="24"/>
      <c r="T73" s="24"/>
      <c r="U73" s="24"/>
      <c r="V73" s="24"/>
      <c r="W73" s="24"/>
    </row>
    <row r="74" spans="1:23">
      <c r="A74" s="82"/>
      <c r="B74" s="317"/>
      <c r="C74" s="24"/>
      <c r="D74" s="106"/>
      <c r="E74" s="106"/>
      <c r="F74" s="68"/>
      <c r="G74" s="72" t="s">
        <v>510</v>
      </c>
      <c r="H74" s="72"/>
      <c r="I74" s="68"/>
      <c r="J74" s="63"/>
      <c r="K74" s="63"/>
      <c r="L74" s="776" t="s">
        <v>93</v>
      </c>
      <c r="M74" s="111"/>
      <c r="N74" s="755"/>
      <c r="O74" s="63"/>
      <c r="P74" s="24"/>
      <c r="Q74" s="24"/>
      <c r="R74" s="24"/>
      <c r="S74" s="24"/>
      <c r="T74" s="24"/>
      <c r="U74" s="24"/>
      <c r="V74" s="24"/>
      <c r="W74" s="24"/>
    </row>
    <row r="75" spans="1:23">
      <c r="A75" s="82"/>
      <c r="B75" s="317"/>
      <c r="C75" s="24"/>
      <c r="D75" s="308" t="s">
        <v>771</v>
      </c>
      <c r="E75" s="308"/>
      <c r="F75" s="75" t="s">
        <v>505</v>
      </c>
      <c r="G75" s="5692">
        <f>J73+1</f>
        <v>35388</v>
      </c>
      <c r="H75" s="5693"/>
      <c r="I75" s="75" t="s">
        <v>504</v>
      </c>
      <c r="J75" s="5692">
        <f>J73</f>
        <v>35387</v>
      </c>
      <c r="K75" s="5693"/>
      <c r="L75" s="776" t="s">
        <v>477</v>
      </c>
      <c r="M75" s="111"/>
      <c r="N75" s="754"/>
      <c r="O75" s="63"/>
      <c r="P75" s="24"/>
      <c r="Q75" s="24"/>
      <c r="R75" s="24"/>
      <c r="S75" s="24"/>
      <c r="T75" s="24"/>
      <c r="U75" s="24"/>
      <c r="V75" s="24"/>
      <c r="W75" s="24"/>
    </row>
    <row r="76" spans="1:23" ht="12" customHeight="1">
      <c r="A76" s="82"/>
      <c r="B76" s="317"/>
      <c r="C76" s="24"/>
      <c r="D76" s="414" t="s">
        <v>772</v>
      </c>
      <c r="E76" s="766"/>
      <c r="F76" s="761" t="s">
        <v>3</v>
      </c>
      <c r="G76" s="761"/>
      <c r="H76" s="762"/>
      <c r="I76" s="68"/>
      <c r="J76" s="504" t="s">
        <v>154</v>
      </c>
      <c r="K76" s="309"/>
      <c r="L76" s="776" t="s">
        <v>435</v>
      </c>
      <c r="M76" s="111"/>
      <c r="N76" s="754"/>
      <c r="O76" s="63"/>
      <c r="P76" s="24"/>
      <c r="Q76" s="24"/>
      <c r="R76" s="24"/>
      <c r="S76" s="24"/>
      <c r="T76" s="24"/>
      <c r="U76" s="24"/>
      <c r="V76" s="24"/>
      <c r="W76" s="24"/>
    </row>
    <row r="77" spans="1:23" ht="5.25" customHeight="1">
      <c r="A77" s="82"/>
      <c r="B77" s="317"/>
      <c r="C77" s="24"/>
      <c r="D77" s="308"/>
      <c r="E77" s="766"/>
      <c r="F77" s="371"/>
      <c r="G77" s="371"/>
      <c r="H77" s="771"/>
      <c r="I77" s="68"/>
      <c r="J77" s="309"/>
      <c r="K77" s="309"/>
      <c r="L77" s="309"/>
      <c r="M77" s="111"/>
      <c r="N77" s="754"/>
      <c r="O77" s="63"/>
      <c r="P77" s="24"/>
      <c r="Q77" s="24"/>
      <c r="R77" s="24"/>
      <c r="S77" s="24"/>
      <c r="T77" s="24"/>
      <c r="U77" s="24"/>
      <c r="V77" s="24"/>
      <c r="W77" s="24"/>
    </row>
    <row r="78" spans="1:23">
      <c r="A78" s="82"/>
      <c r="B78" s="317"/>
      <c r="C78" s="24"/>
      <c r="D78" s="106" t="str">
        <f>(E79-1)&amp;" or under"</f>
        <v>55 or under</v>
      </c>
      <c r="E78" s="766"/>
      <c r="F78" s="325"/>
      <c r="G78" s="110">
        <v>300</v>
      </c>
      <c r="H78" s="328"/>
      <c r="I78" s="68"/>
      <c r="J78" s="110">
        <v>360</v>
      </c>
      <c r="K78" s="110"/>
      <c r="L78" s="764"/>
      <c r="M78" s="111"/>
      <c r="N78" s="754"/>
      <c r="O78" s="63"/>
      <c r="P78" s="24"/>
      <c r="Q78" s="24"/>
      <c r="R78" s="24"/>
      <c r="S78" s="24"/>
      <c r="T78" s="24"/>
      <c r="U78" s="24"/>
      <c r="V78" s="24"/>
      <c r="W78" s="24"/>
    </row>
    <row r="79" spans="1:23">
      <c r="A79" s="82"/>
      <c r="B79" s="317"/>
      <c r="C79" s="24"/>
      <c r="D79" s="106" t="str">
        <f>E79&amp;"--"&amp;(E79+4)</f>
        <v>56--60</v>
      </c>
      <c r="E79" s="765">
        <v>56</v>
      </c>
      <c r="F79" s="325"/>
      <c r="G79" s="110">
        <v>260</v>
      </c>
      <c r="H79" s="328"/>
      <c r="I79" s="68"/>
      <c r="J79" s="110">
        <v>310</v>
      </c>
      <c r="K79" s="110"/>
      <c r="L79" s="776"/>
      <c r="M79" s="111"/>
      <c r="N79" s="754"/>
      <c r="O79" s="63"/>
      <c r="P79" s="24"/>
      <c r="Q79" s="24"/>
      <c r="R79" s="24"/>
      <c r="S79" s="24"/>
      <c r="T79" s="24"/>
      <c r="U79" s="24"/>
      <c r="V79" s="24"/>
      <c r="W79" s="24"/>
    </row>
    <row r="80" spans="1:23">
      <c r="A80" s="82"/>
      <c r="B80" s="317"/>
      <c r="C80" s="24"/>
      <c r="D80" s="106" t="str">
        <f>E80&amp;"--"&amp;(E80+4)</f>
        <v>61--65</v>
      </c>
      <c r="E80" s="765">
        <v>61</v>
      </c>
      <c r="F80" s="769"/>
      <c r="G80" s="110">
        <v>240</v>
      </c>
      <c r="H80" s="328"/>
      <c r="I80" s="68"/>
      <c r="J80" s="110">
        <v>260</v>
      </c>
      <c r="K80" s="110"/>
      <c r="L80" s="776"/>
      <c r="M80" s="111"/>
      <c r="N80" s="756"/>
      <c r="O80" s="63"/>
      <c r="P80" s="24"/>
      <c r="Q80" s="24"/>
      <c r="R80" s="24"/>
      <c r="S80" s="24"/>
      <c r="T80" s="24"/>
      <c r="U80" s="24"/>
      <c r="V80" s="24"/>
      <c r="W80" s="24"/>
    </row>
    <row r="81" spans="1:23" ht="13.5" customHeight="1">
      <c r="A81" s="82"/>
      <c r="B81" s="317"/>
      <c r="C81" s="24"/>
      <c r="D81" s="106" t="str">
        <f>E81&amp;"--"&amp;(E81+4)</f>
        <v>66--70</v>
      </c>
      <c r="E81" s="765">
        <v>66</v>
      </c>
      <c r="F81" s="325"/>
      <c r="G81" s="110">
        <v>170</v>
      </c>
      <c r="H81" s="328"/>
      <c r="I81" s="68"/>
      <c r="J81" s="110">
        <v>210</v>
      </c>
      <c r="K81" s="110"/>
      <c r="L81" s="776"/>
      <c r="M81" s="111"/>
      <c r="N81" s="757"/>
      <c r="O81" s="63"/>
      <c r="P81" s="24"/>
      <c r="Q81" s="24"/>
      <c r="R81" s="24"/>
      <c r="S81" s="24"/>
      <c r="T81" s="24"/>
      <c r="U81" s="24"/>
      <c r="V81" s="24"/>
      <c r="W81" s="24"/>
    </row>
    <row r="82" spans="1:23">
      <c r="A82" s="82"/>
      <c r="B82" s="317"/>
      <c r="C82" s="24"/>
      <c r="D82" s="106" t="str">
        <f>E82&amp;" or older"</f>
        <v>71 or older</v>
      </c>
      <c r="E82" s="765">
        <v>71</v>
      </c>
      <c r="F82" s="325"/>
      <c r="G82" s="110">
        <v>120</v>
      </c>
      <c r="H82" s="328"/>
      <c r="I82" s="68"/>
      <c r="J82" s="110">
        <v>160</v>
      </c>
      <c r="K82" s="110"/>
      <c r="L82" s="110"/>
      <c r="M82" s="111"/>
      <c r="N82" s="758"/>
      <c r="O82" s="63"/>
      <c r="P82" s="24"/>
      <c r="Q82" s="24"/>
      <c r="R82" s="24"/>
      <c r="S82" s="24"/>
      <c r="T82" s="24"/>
      <c r="U82" s="24"/>
      <c r="V82" s="24"/>
      <c r="W82" s="24"/>
    </row>
    <row r="83" spans="1:23" ht="13.5" thickBot="1">
      <c r="A83" s="82"/>
      <c r="B83" s="763"/>
      <c r="C83" s="39"/>
      <c r="D83" s="78"/>
      <c r="E83" s="78"/>
      <c r="F83" s="768"/>
      <c r="G83" s="767">
        <f>IF(R28&lt;E79,G78,LOOKUP(R28,E79:E82,G79:G82))</f>
        <v>300</v>
      </c>
      <c r="H83" s="767"/>
      <c r="I83" s="326"/>
      <c r="J83" s="767">
        <f>IF(R28&lt;E79,J78,LOOKUP(R28,E79:E82,J79:J82))</f>
        <v>360</v>
      </c>
      <c r="K83" s="79"/>
      <c r="L83" s="767" t="str">
        <f>IF(OR(R16="",R28=""),"",IF(R16&gt;J73,J83,G83))</f>
        <v/>
      </c>
      <c r="M83" s="80"/>
      <c r="N83" s="758"/>
      <c r="O83" s="63"/>
      <c r="P83" s="24"/>
      <c r="Q83" s="24"/>
      <c r="R83" s="24"/>
      <c r="S83" s="24"/>
      <c r="T83" s="24"/>
      <c r="U83" s="24"/>
      <c r="V83" s="24"/>
      <c r="W83" s="24"/>
    </row>
    <row r="84" spans="1:23">
      <c r="A84" s="82"/>
      <c r="B84" s="317"/>
      <c r="C84" s="24"/>
      <c r="D84" s="75"/>
      <c r="E84" s="75"/>
      <c r="F84" s="1710" t="s">
        <v>388</v>
      </c>
      <c r="G84" s="75"/>
      <c r="H84" s="75"/>
      <c r="I84" s="75"/>
      <c r="J84" s="772">
        <v>35796</v>
      </c>
      <c r="K84" s="524"/>
      <c r="L84" s="246" t="b">
        <f>IF(AND(Q22&lt;&gt;"",R16&gt;=J84),TRUE,FALSE)</f>
        <v>0</v>
      </c>
      <c r="M84" s="70"/>
      <c r="N84" s="758"/>
      <c r="O84" s="63"/>
      <c r="P84" s="24"/>
      <c r="Q84" s="24"/>
      <c r="R84" s="24"/>
      <c r="S84" s="24"/>
      <c r="T84" s="24"/>
      <c r="U84" s="24"/>
      <c r="V84" s="24"/>
      <c r="W84" s="24"/>
    </row>
    <row r="85" spans="1:23">
      <c r="A85" s="82"/>
      <c r="B85" s="317"/>
      <c r="C85" s="24"/>
      <c r="D85" s="63"/>
      <c r="E85" s="63"/>
      <c r="F85" s="63"/>
      <c r="G85" s="63"/>
      <c r="H85" s="63"/>
      <c r="I85" s="68"/>
      <c r="J85" s="63"/>
      <c r="K85" s="68"/>
      <c r="L85" s="764"/>
      <c r="M85" s="70"/>
      <c r="N85" s="758"/>
      <c r="O85" s="63"/>
      <c r="P85" s="24"/>
      <c r="Q85" s="24"/>
      <c r="R85" s="24"/>
      <c r="S85" s="24"/>
      <c r="T85" s="24"/>
      <c r="U85" s="24"/>
      <c r="V85" s="24"/>
      <c r="W85" s="24"/>
    </row>
    <row r="86" spans="1:23">
      <c r="A86" s="82"/>
      <c r="B86" s="114"/>
      <c r="C86" s="327" t="s">
        <v>773</v>
      </c>
      <c r="D86" s="308"/>
      <c r="E86" s="308"/>
      <c r="F86" s="308"/>
      <c r="G86" s="308"/>
      <c r="H86" s="308"/>
      <c r="I86" s="68"/>
      <c r="J86" s="72"/>
      <c r="K86" s="68"/>
      <c r="L86" s="764"/>
      <c r="M86" s="70"/>
      <c r="N86" s="758"/>
      <c r="O86" s="63"/>
      <c r="P86" s="24"/>
      <c r="Q86" s="24"/>
      <c r="R86" s="24"/>
      <c r="S86" s="24"/>
      <c r="T86" s="24"/>
      <c r="U86" s="24"/>
      <c r="V86" s="24"/>
      <c r="W86" s="24"/>
    </row>
    <row r="87" spans="1:23">
      <c r="A87" s="82"/>
      <c r="B87" s="115"/>
      <c r="C87" s="415"/>
      <c r="D87" s="488" t="s">
        <v>774</v>
      </c>
      <c r="E87" s="488"/>
      <c r="F87" s="488"/>
      <c r="G87" s="488"/>
      <c r="H87" s="488"/>
      <c r="I87" s="113" t="s">
        <v>18</v>
      </c>
      <c r="J87" s="63"/>
      <c r="K87" s="68"/>
      <c r="L87" s="764"/>
      <c r="M87" s="108"/>
      <c r="N87" s="754"/>
      <c r="O87" s="63"/>
      <c r="P87" s="24"/>
      <c r="Q87" s="24"/>
      <c r="R87" s="24"/>
      <c r="S87" s="24"/>
      <c r="T87" s="24"/>
      <c r="U87" s="24"/>
      <c r="V87" s="24"/>
      <c r="W87" s="24"/>
    </row>
    <row r="88" spans="1:23" ht="13.5" customHeight="1">
      <c r="A88" s="82"/>
      <c r="B88" s="114"/>
      <c r="C88" s="112"/>
      <c r="D88" s="106" t="str">
        <f>(E89-1)&amp;" or under"</f>
        <v>110 or under</v>
      </c>
      <c r="E88" s="106"/>
      <c r="F88" s="106"/>
      <c r="G88" s="106"/>
      <c r="H88" s="106"/>
      <c r="I88" s="328"/>
      <c r="J88" s="110">
        <v>410</v>
      </c>
      <c r="K88" s="68"/>
      <c r="L88" s="764"/>
      <c r="M88" s="750"/>
      <c r="N88" s="754"/>
      <c r="O88" s="63"/>
      <c r="P88" s="24"/>
      <c r="Q88" s="24"/>
      <c r="R88" s="24"/>
      <c r="S88" s="24"/>
      <c r="T88" s="24"/>
      <c r="U88" s="24"/>
      <c r="V88" s="24"/>
      <c r="W88" s="24"/>
    </row>
    <row r="89" spans="1:23">
      <c r="A89" s="82"/>
      <c r="B89" s="114"/>
      <c r="C89" s="112"/>
      <c r="D89" s="106" t="str">
        <f>E89&amp;"--"&amp;E89+9</f>
        <v>111--120</v>
      </c>
      <c r="E89" s="765">
        <v>111</v>
      </c>
      <c r="F89" s="106"/>
      <c r="G89" s="106"/>
      <c r="H89" s="106"/>
      <c r="I89" s="328"/>
      <c r="J89" s="110">
        <v>360</v>
      </c>
      <c r="K89" s="68"/>
      <c r="L89" s="110"/>
      <c r="M89" s="111"/>
      <c r="N89" s="754"/>
      <c r="O89" s="63"/>
      <c r="P89" s="24"/>
      <c r="Q89" s="24"/>
      <c r="R89" s="24"/>
      <c r="S89" s="24"/>
      <c r="T89" s="24"/>
      <c r="U89" s="24"/>
      <c r="V89" s="24"/>
      <c r="W89" s="24"/>
    </row>
    <row r="90" spans="1:23">
      <c r="A90" s="82"/>
      <c r="B90" s="114"/>
      <c r="C90" s="112"/>
      <c r="D90" s="106" t="str">
        <f>E90&amp;"--"&amp;E90+9</f>
        <v>121--130</v>
      </c>
      <c r="E90" s="765">
        <v>121</v>
      </c>
      <c r="F90" s="106"/>
      <c r="G90" s="106"/>
      <c r="H90" s="106"/>
      <c r="I90" s="328"/>
      <c r="J90" s="110">
        <v>310</v>
      </c>
      <c r="K90" s="68"/>
      <c r="L90" s="110"/>
      <c r="M90" s="111"/>
      <c r="N90" s="754"/>
      <c r="O90" s="63"/>
      <c r="P90" s="24"/>
      <c r="Q90" s="24"/>
      <c r="R90" s="24"/>
      <c r="S90" s="24"/>
      <c r="T90" s="24"/>
      <c r="U90" s="24"/>
      <c r="V90" s="24"/>
      <c r="W90" s="24"/>
    </row>
    <row r="91" spans="1:23">
      <c r="A91" s="82"/>
      <c r="B91" s="114"/>
      <c r="C91" s="112"/>
      <c r="D91" s="106" t="str">
        <f>E91&amp;"--"&amp;E91+9</f>
        <v>131--140</v>
      </c>
      <c r="E91" s="765">
        <v>131</v>
      </c>
      <c r="F91" s="106"/>
      <c r="G91" s="106"/>
      <c r="H91" s="106"/>
      <c r="I91" s="328"/>
      <c r="J91" s="110">
        <v>260</v>
      </c>
      <c r="K91" s="68"/>
      <c r="L91" s="110"/>
      <c r="M91" s="111"/>
      <c r="N91" s="756"/>
      <c r="O91" s="63"/>
      <c r="P91" s="24"/>
      <c r="Q91" s="24"/>
      <c r="R91" s="24"/>
      <c r="S91" s="24"/>
      <c r="T91" s="24"/>
      <c r="U91" s="24"/>
      <c r="V91" s="24"/>
      <c r="W91" s="24"/>
    </row>
    <row r="92" spans="1:23">
      <c r="A92" s="82"/>
      <c r="B92" s="114"/>
      <c r="C92" s="112"/>
      <c r="D92" s="106" t="str">
        <f>E92&amp;" or older"</f>
        <v>141 or older</v>
      </c>
      <c r="E92" s="765">
        <v>141</v>
      </c>
      <c r="F92" s="106"/>
      <c r="G92" s="106"/>
      <c r="H92" s="106"/>
      <c r="I92" s="328"/>
      <c r="J92" s="110">
        <v>210</v>
      </c>
      <c r="K92" s="68"/>
      <c r="L92" s="110"/>
      <c r="M92" s="111"/>
      <c r="N92" s="758"/>
      <c r="O92" s="63"/>
      <c r="P92" s="24"/>
      <c r="Q92" s="24"/>
      <c r="R92" s="24"/>
      <c r="S92" s="24"/>
      <c r="T92" s="24"/>
      <c r="U92" s="24"/>
      <c r="V92" s="24"/>
      <c r="W92" s="24"/>
    </row>
    <row r="93" spans="1:23" ht="13.5" thickBot="1">
      <c r="A93" s="82"/>
      <c r="B93" s="763"/>
      <c r="C93" s="39"/>
      <c r="D93" s="78"/>
      <c r="E93" s="78"/>
      <c r="F93" s="78"/>
      <c r="G93" s="78"/>
      <c r="H93" s="78"/>
      <c r="I93" s="79"/>
      <c r="J93" s="767" t="str">
        <f>IF(OR(Q22="",R28=""),"",IF(R28&lt;E89,J88,LOOKUP(R28,E89:E92,J89:J92)))</f>
        <v/>
      </c>
      <c r="K93" s="79"/>
      <c r="L93" s="78"/>
      <c r="M93" s="80"/>
      <c r="N93" s="758"/>
      <c r="O93" s="63"/>
      <c r="P93" s="24"/>
      <c r="Q93" s="24"/>
      <c r="R93" s="24"/>
      <c r="S93" s="24"/>
      <c r="T93" s="24"/>
      <c r="U93" s="24"/>
      <c r="V93" s="24"/>
      <c r="W93" s="24"/>
    </row>
    <row r="94" spans="1:23" ht="9.75" customHeight="1">
      <c r="A94" s="82"/>
      <c r="B94" s="784"/>
      <c r="C94" s="785"/>
      <c r="D94" s="786"/>
      <c r="E94" s="786"/>
      <c r="F94" s="786"/>
      <c r="G94" s="786"/>
      <c r="H94" s="786"/>
      <c r="I94" s="787"/>
      <c r="J94" s="754"/>
      <c r="K94" s="788"/>
      <c r="L94" s="754"/>
      <c r="M94" s="754"/>
      <c r="N94" s="758"/>
      <c r="O94" s="63"/>
      <c r="P94" s="24"/>
      <c r="Q94" s="24"/>
      <c r="R94" s="24"/>
      <c r="S94" s="24"/>
      <c r="T94" s="24"/>
      <c r="U94" s="24"/>
      <c r="V94" s="24"/>
      <c r="W94" s="24"/>
    </row>
    <row r="95" spans="1:23" ht="12.75" customHeight="1">
      <c r="A95" s="132"/>
      <c r="B95" s="132"/>
      <c r="C95" s="132"/>
      <c r="D95" s="89"/>
      <c r="E95" s="89"/>
      <c r="F95" s="89"/>
      <c r="G95" s="89"/>
      <c r="H95" s="89"/>
      <c r="I95" s="68"/>
      <c r="J95" s="63"/>
      <c r="K95" s="68"/>
      <c r="L95" s="63"/>
      <c r="M95" s="63"/>
      <c r="N95" s="63"/>
      <c r="O95" s="63"/>
      <c r="P95" s="24"/>
      <c r="Q95" s="24"/>
      <c r="R95" s="24"/>
      <c r="S95" s="24"/>
      <c r="T95" s="24"/>
      <c r="U95" s="63"/>
      <c r="V95" s="24"/>
      <c r="W95" s="24"/>
    </row>
    <row r="96" spans="1:23" ht="13.5" customHeight="1"/>
    <row r="97" spans="4:4" ht="14.25" customHeight="1"/>
    <row r="99" spans="4:4" ht="13.5" thickBot="1"/>
    <row r="100" spans="4:4">
      <c r="D100" s="5683" t="s">
        <v>5009</v>
      </c>
    </row>
    <row r="101" spans="4:4">
      <c r="D101" s="5684"/>
    </row>
    <row r="102" spans="4:4" ht="13.5" thickBot="1">
      <c r="D102" s="5685"/>
    </row>
  </sheetData>
  <sheetProtection password="F07E" sheet="1" objects="1" scenarios="1"/>
  <mergeCells count="13">
    <mergeCell ref="D100:D102"/>
    <mergeCell ref="R16:S16"/>
    <mergeCell ref="R28:S28"/>
    <mergeCell ref="P12:T12"/>
    <mergeCell ref="P11:T11"/>
    <mergeCell ref="G75:H75"/>
    <mergeCell ref="P20:T20"/>
    <mergeCell ref="P52:U52"/>
    <mergeCell ref="P53:U53"/>
    <mergeCell ref="J75:K75"/>
    <mergeCell ref="P32:T36"/>
    <mergeCell ref="P23:T23"/>
    <mergeCell ref="P24:T24"/>
  </mergeCells>
  <phoneticPr fontId="12" type="noConversion"/>
  <conditionalFormatting sqref="M54 L55:M55">
    <cfRule type="expression" dxfId="2699" priority="46" stopIfTrue="1">
      <formula>IF($R$51&lt;=12,1,0)</formula>
    </cfRule>
  </conditionalFormatting>
  <conditionalFormatting sqref="L79:L81">
    <cfRule type="expression" dxfId="2698" priority="55" stopIfTrue="1">
      <formula>IF($R$16&lt;&gt;"",1,0)</formula>
    </cfRule>
  </conditionalFormatting>
  <conditionalFormatting sqref="D64">
    <cfRule type="expression" dxfId="2697" priority="60" stopIfTrue="1">
      <formula>IF(C64="X",1,0)</formula>
    </cfRule>
  </conditionalFormatting>
  <conditionalFormatting sqref="L44:L45">
    <cfRule type="expression" dxfId="2696" priority="63" stopIfTrue="1">
      <formula>IF($K$45&lt;&gt;"",1,0)</formula>
    </cfRule>
  </conditionalFormatting>
  <conditionalFormatting sqref="U21 P21">
    <cfRule type="expression" dxfId="2695" priority="804" stopIfTrue="1">
      <formula>IF($R$16&lt;$J$74,1,0)</formula>
    </cfRule>
  </conditionalFormatting>
  <conditionalFormatting sqref="P22">
    <cfRule type="expression" dxfId="2694" priority="806" stopIfTrue="1">
      <formula>IF($R$16&lt;$J$74,1,0)</formula>
    </cfRule>
  </conditionalFormatting>
  <conditionalFormatting sqref="P25:U25">
    <cfRule type="expression" dxfId="2693" priority="807" stopIfTrue="1">
      <formula>IF($R$16&lt;$J$74,1,0)</formula>
    </cfRule>
  </conditionalFormatting>
  <conditionalFormatting sqref="U22:U24">
    <cfRule type="expression" dxfId="2692" priority="808" stopIfTrue="1">
      <formula>IF($R$16&lt;$J$74,1,0)</formula>
    </cfRule>
  </conditionalFormatting>
  <conditionalFormatting sqref="Q21:T21">
    <cfRule type="expression" dxfId="2691" priority="810" stopIfTrue="1">
      <formula>IF($R$16&lt;$J$74,1,0)</formula>
    </cfRule>
  </conditionalFormatting>
  <conditionalFormatting sqref="T22 R22 P23:P24">
    <cfRule type="expression" dxfId="2690" priority="811" stopIfTrue="1">
      <formula>IF($R$16&lt;$J$82,1,0)</formula>
    </cfRule>
  </conditionalFormatting>
  <conditionalFormatting sqref="Q22">
    <cfRule type="expression" dxfId="2689" priority="813" stopIfTrue="1">
      <formula>IF($R$16&lt;$J$82,1,0)</formula>
    </cfRule>
  </conditionalFormatting>
  <conditionalFormatting sqref="S22">
    <cfRule type="expression" dxfId="2688" priority="814" stopIfTrue="1">
      <formula>IF($R$16&lt;$J$82,1,0)</formula>
    </cfRule>
  </conditionalFormatting>
  <conditionalFormatting sqref="J53">
    <cfRule type="expression" dxfId="2687" priority="40">
      <formula>IF(NoColor,1,0)</formula>
    </cfRule>
  </conditionalFormatting>
  <conditionalFormatting sqref="J49:J50">
    <cfRule type="expression" dxfId="2686" priority="41">
      <formula>IF(NoColor,1,0)</formula>
    </cfRule>
  </conditionalFormatting>
  <conditionalFormatting sqref="J56">
    <cfRule type="expression" dxfId="2685" priority="39">
      <formula>IF(NoColor,1,0)</formula>
    </cfRule>
  </conditionalFormatting>
  <conditionalFormatting sqref="L57">
    <cfRule type="expression" dxfId="2684" priority="38">
      <formula>IF(NoColor,1,0)</formula>
    </cfRule>
  </conditionalFormatting>
  <conditionalFormatting sqref="L61">
    <cfRule type="expression" dxfId="2683" priority="37">
      <formula>IF(NoColor,1,0)</formula>
    </cfRule>
  </conditionalFormatting>
  <conditionalFormatting sqref="L67:L70">
    <cfRule type="expression" dxfId="2682" priority="36">
      <formula>IF(NoColor,1,0)</formula>
    </cfRule>
  </conditionalFormatting>
  <conditionalFormatting sqref="J43">
    <cfRule type="expression" dxfId="2681" priority="35">
      <formula>IF(NoColor,1,0)</formula>
    </cfRule>
  </conditionalFormatting>
  <conditionalFormatting sqref="L50">
    <cfRule type="expression" dxfId="2680" priority="14">
      <formula>IF($Q$45="",1,0)</formula>
    </cfRule>
    <cfRule type="expression" dxfId="2679" priority="34">
      <formula>IF(NoColor,1,0)</formula>
    </cfRule>
  </conditionalFormatting>
  <conditionalFormatting sqref="J55">
    <cfRule type="expression" dxfId="2678" priority="33">
      <formula>IF(NoColor,1,0)</formula>
    </cfRule>
  </conditionalFormatting>
  <conditionalFormatting sqref="L73:L76">
    <cfRule type="expression" dxfId="2677" priority="1267" stopIfTrue="1">
      <formula>IF(OR($R$16="",$L$74=TRUE,$R$28&lt;&gt;""),1,0)</formula>
    </cfRule>
  </conditionalFormatting>
  <conditionalFormatting sqref="M49">
    <cfRule type="expression" dxfId="2676" priority="21" stopIfTrue="1">
      <formula>IF($R$51&lt;=12,1,0)</formula>
    </cfRule>
  </conditionalFormatting>
  <conditionalFormatting sqref="L49">
    <cfRule type="expression" dxfId="2675" priority="19" stopIfTrue="1">
      <formula>IF(AND($Q$45&lt;&gt;"",$L$50=""),1,0)</formula>
    </cfRule>
    <cfRule type="expression" dxfId="2674" priority="20">
      <formula>IF(AND($Q$45&lt;&gt;"",$L$50&lt;&gt;""),1,0)</formula>
    </cfRule>
  </conditionalFormatting>
  <conditionalFormatting sqref="L48">
    <cfRule type="expression" dxfId="2673" priority="17" stopIfTrue="1">
      <formula>IF($R$51&lt;=12,1,0)</formula>
    </cfRule>
  </conditionalFormatting>
  <conditionalFormatting sqref="L47">
    <cfRule type="expression" dxfId="2672" priority="16" stopIfTrue="1">
      <formula>IF($R$51&lt;=12,1,0)</formula>
    </cfRule>
  </conditionalFormatting>
  <conditionalFormatting sqref="L46">
    <cfRule type="expression" dxfId="2671" priority="15" stopIfTrue="1">
      <formula>IF($R$51&lt;=12,1,0)</formula>
    </cfRule>
  </conditionalFormatting>
  <conditionalFormatting sqref="L51">
    <cfRule type="expression" dxfId="2670" priority="13" stopIfTrue="1">
      <formula>IF($R$51&lt;=12,1,0)</formula>
    </cfRule>
  </conditionalFormatting>
  <conditionalFormatting sqref="L52">
    <cfRule type="expression" dxfId="2669" priority="12" stopIfTrue="1">
      <formula>IF($R$51&lt;=12,1,0)</formula>
    </cfRule>
  </conditionalFormatting>
  <conditionalFormatting sqref="L53">
    <cfRule type="expression" dxfId="2668" priority="11" stopIfTrue="1">
      <formula>IF($R$51&lt;=12,1,0)</formula>
    </cfRule>
  </conditionalFormatting>
  <conditionalFormatting sqref="L54">
    <cfRule type="expression" dxfId="2667" priority="10" stopIfTrue="1">
      <formula>IF($R$51&lt;=12,1,0)</formula>
    </cfRule>
  </conditionalFormatting>
  <conditionalFormatting sqref="M52">
    <cfRule type="expression" dxfId="2666" priority="9" stopIfTrue="1">
      <formula>IF($R$51&lt;=12,1,0)</formula>
    </cfRule>
  </conditionalFormatting>
  <conditionalFormatting sqref="L42">
    <cfRule type="expression" dxfId="2665" priority="6">
      <formula>IF(NoColor,1,0)</formula>
    </cfRule>
  </conditionalFormatting>
  <conditionalFormatting sqref="B38">
    <cfRule type="expression" dxfId="2664" priority="5">
      <formula>IF($L$42="",1,0)</formula>
    </cfRule>
  </conditionalFormatting>
  <conditionalFormatting sqref="J88:J92">
    <cfRule type="expression" dxfId="2663" priority="1528" stopIfTrue="1">
      <formula>IF(AND($L$84=TRUE,J88=$J$93),1,0)</formula>
    </cfRule>
  </conditionalFormatting>
  <conditionalFormatting sqref="G78:G82">
    <cfRule type="expression" dxfId="2662" priority="1529" stopIfTrue="1">
      <formula>IF(AND($L$84=FALSE,G78=$L$83,$R$16&lt;=$J$73),1,0)</formula>
    </cfRule>
  </conditionalFormatting>
  <conditionalFormatting sqref="J78:J82">
    <cfRule type="expression" dxfId="2661" priority="1530" stopIfTrue="1">
      <formula>IF(AND($L$84=FALSE,J78=$L$83,$R$16&gt;$J$73),1,0)</formula>
    </cfRule>
  </conditionalFormatting>
  <conditionalFormatting sqref="J49">
    <cfRule type="expression" dxfId="2660" priority="1531">
      <formula>IF(OR(R28="",AND(L83="",J93="")),1,0)</formula>
    </cfRule>
  </conditionalFormatting>
  <conditionalFormatting sqref="L78">
    <cfRule type="expression" dxfId="2659" priority="1564" stopIfTrue="1">
      <formula>IF(OR($L$84=TRUE,$R$76&lt;&gt;""),1,0)</formula>
    </cfRule>
  </conditionalFormatting>
  <conditionalFormatting sqref="L85:L88 M88">
    <cfRule type="expression" dxfId="2658" priority="1565" stopIfTrue="1">
      <formula>IF(OR($R$88&lt;&gt;"",$L$84=FALSE),1,0)</formula>
    </cfRule>
  </conditionalFormatting>
  <conditionalFormatting sqref="M51">
    <cfRule type="expression" dxfId="2657" priority="4" stopIfTrue="1">
      <formula>IF($R$51&lt;=12,1,0)</formula>
    </cfRule>
  </conditionalFormatting>
  <conditionalFormatting sqref="C64">
    <cfRule type="expression" dxfId="2656" priority="3">
      <formula>NoColor</formula>
    </cfRule>
  </conditionalFormatting>
  <conditionalFormatting sqref="C66">
    <cfRule type="expression" dxfId="2655" priority="2">
      <formula>NoColor</formula>
    </cfRule>
  </conditionalFormatting>
  <conditionalFormatting sqref="B40">
    <cfRule type="expression" dxfId="2654" priority="1">
      <formula>($L$42="")</formula>
    </cfRule>
  </conditionalFormatting>
  <hyperlinks>
    <hyperlink ref="D100:D102" location="'Table of Contents'!A1" display="Table of Contents"/>
  </hyperlinks>
  <pageMargins left="0.75" right="0.46" top="0.37" bottom="0.55000000000000004" header="0.35" footer="0.5"/>
  <pageSetup scale="84" orientation="portrait" horizontalDpi="360" verticalDpi="36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AA59"/>
  <sheetViews>
    <sheetView topLeftCell="A2" zoomScaleNormal="100" workbookViewId="0">
      <selection activeCell="P14" sqref="P14"/>
    </sheetView>
  </sheetViews>
  <sheetFormatPr defaultColWidth="9.140625" defaultRowHeight="12.75"/>
  <cols>
    <col min="1" max="1" width="2.42578125" style="46" customWidth="1"/>
    <col min="2" max="2" width="1.5703125" style="46" customWidth="1"/>
    <col min="3" max="3" width="3.5703125" style="46" customWidth="1"/>
    <col min="4" max="4" width="2.28515625" style="46" customWidth="1"/>
    <col min="5" max="5" width="51.5703125" style="46" customWidth="1"/>
    <col min="6" max="6" width="7.7109375" style="46" customWidth="1"/>
    <col min="7" max="7" width="10" style="46" customWidth="1"/>
    <col min="8" max="8" width="11.140625" style="46" customWidth="1"/>
    <col min="9" max="9" width="4.28515625" style="46" customWidth="1"/>
    <col min="10" max="10" width="16.42578125" style="46" customWidth="1"/>
    <col min="11" max="13" width="2.140625" style="46" customWidth="1"/>
    <col min="14" max="14" width="2" style="46" customWidth="1"/>
    <col min="15" max="15" width="3.140625" style="46" customWidth="1"/>
    <col min="16" max="16" width="11.42578125" style="46" customWidth="1"/>
    <col min="17" max="17" width="8.42578125" style="46" customWidth="1"/>
    <col min="18" max="18" width="9.140625" style="46"/>
    <col min="19" max="19" width="12" style="4352" customWidth="1"/>
    <col min="20" max="21" width="9.140625" style="4351"/>
    <col min="22" max="22" width="10.140625" style="4351" bestFit="1" customWidth="1"/>
    <col min="23" max="26" width="9.140625" style="4351"/>
    <col min="27" max="16384" width="9.140625" style="46"/>
  </cols>
  <sheetData>
    <row r="1" spans="1:27" ht="16.5" customHeight="1">
      <c r="A1" s="82"/>
      <c r="B1" s="82"/>
      <c r="C1" s="82"/>
      <c r="D1" s="82"/>
      <c r="E1" s="82"/>
      <c r="F1" s="82"/>
      <c r="G1" s="82"/>
      <c r="H1" s="82"/>
      <c r="I1" s="82"/>
      <c r="J1" s="82"/>
      <c r="K1" s="82"/>
      <c r="L1" s="82"/>
      <c r="M1" s="24"/>
      <c r="N1" s="63"/>
      <c r="O1" s="24"/>
      <c r="P1" s="24"/>
      <c r="Q1" s="24"/>
      <c r="R1" s="24"/>
      <c r="S1" s="3741" t="s">
        <v>2552</v>
      </c>
      <c r="T1" s="3169"/>
      <c r="U1" s="3169"/>
      <c r="V1" s="3169"/>
      <c r="W1" s="3169"/>
      <c r="X1" s="3169"/>
      <c r="Y1" s="3169"/>
      <c r="Z1" s="3169"/>
      <c r="AA1" s="1563"/>
    </row>
    <row r="2" spans="1:27" ht="37.5" customHeight="1" thickBot="1">
      <c r="A2" s="82"/>
      <c r="B2" s="24"/>
      <c r="C2" s="3847" t="s">
        <v>3109</v>
      </c>
      <c r="D2" s="79"/>
      <c r="E2" s="39"/>
      <c r="F2" s="79"/>
      <c r="G2" s="791"/>
      <c r="H2" s="792" t="s">
        <v>200</v>
      </c>
      <c r="I2" s="792"/>
      <c r="J2" s="793"/>
      <c r="K2" s="794"/>
      <c r="L2" s="797"/>
      <c r="M2" s="794"/>
      <c r="N2" s="63"/>
      <c r="O2" s="24"/>
      <c r="P2" s="24"/>
      <c r="Q2" s="24"/>
      <c r="R2" s="24"/>
      <c r="S2" s="4353" t="s">
        <v>123</v>
      </c>
      <c r="T2" s="3169"/>
      <c r="U2" s="3169"/>
      <c r="V2" s="3169"/>
      <c r="W2" s="3169"/>
      <c r="X2" s="3169"/>
      <c r="Y2" s="3169"/>
      <c r="Z2" s="3169"/>
      <c r="AA2" s="1563"/>
    </row>
    <row r="3" spans="1:27" ht="18.75" customHeight="1">
      <c r="A3" s="802"/>
      <c r="B3" s="803"/>
      <c r="C3" s="296" t="s">
        <v>242</v>
      </c>
      <c r="D3" s="296"/>
      <c r="E3" s="297"/>
      <c r="F3" s="296"/>
      <c r="G3" s="298"/>
      <c r="H3" s="298"/>
      <c r="I3" s="299"/>
      <c r="J3" s="63"/>
      <c r="K3" s="66"/>
      <c r="L3" s="754"/>
      <c r="M3" s="63"/>
      <c r="N3" s="440"/>
      <c r="O3" s="58"/>
      <c r="P3" s="58"/>
      <c r="Q3" s="56"/>
      <c r="R3" s="24"/>
      <c r="S3" s="3742"/>
      <c r="T3" s="3169"/>
      <c r="U3" s="3169"/>
      <c r="V3" s="3169"/>
      <c r="W3" s="3169"/>
      <c r="X3" s="3169"/>
      <c r="Y3" s="3169"/>
      <c r="Z3" s="3169"/>
      <c r="AA3" s="1563"/>
    </row>
    <row r="4" spans="1:27" ht="13.5" customHeight="1">
      <c r="A4" s="82"/>
      <c r="B4" s="59"/>
      <c r="C4" s="293" t="s">
        <v>48</v>
      </c>
      <c r="D4" s="68"/>
      <c r="E4" s="53" t="s">
        <v>3319</v>
      </c>
      <c r="F4" s="294"/>
      <c r="G4" s="295"/>
      <c r="H4" s="295"/>
      <c r="I4" s="292"/>
      <c r="J4" s="63"/>
      <c r="K4" s="70"/>
      <c r="L4" s="754"/>
      <c r="M4" s="63"/>
      <c r="N4" s="398"/>
      <c r="O4" s="4067" t="str">
        <f>IF(File_Marr_Sep="","",IF(LivedApartAnswered,"You have indicated","Be sure to indicate"))</f>
        <v/>
      </c>
      <c r="P4" s="24"/>
      <c r="Q4" s="446"/>
      <c r="R4" s="24"/>
      <c r="S4" s="3742"/>
      <c r="T4" s="3169"/>
      <c r="U4" s="3169"/>
      <c r="V4" s="3169"/>
      <c r="W4" s="3169"/>
      <c r="X4" s="3169"/>
      <c r="Y4" s="3169"/>
      <c r="Z4" s="3169"/>
      <c r="AA4" s="1563"/>
    </row>
    <row r="5" spans="1:27" ht="13.5" customHeight="1">
      <c r="A5" s="82"/>
      <c r="B5" s="59"/>
      <c r="C5" s="293" t="s">
        <v>48</v>
      </c>
      <c r="D5" s="68"/>
      <c r="E5" s="53" t="s">
        <v>3883</v>
      </c>
      <c r="F5" s="294"/>
      <c r="G5" s="295"/>
      <c r="H5" s="295"/>
      <c r="I5" s="292"/>
      <c r="J5" s="63"/>
      <c r="K5" s="70"/>
      <c r="L5" s="754"/>
      <c r="M5" s="63"/>
      <c r="N5" s="2865"/>
      <c r="O5" s="4067" t="str">
        <f>IF(File_Marr_Sep&lt;&gt;"","on Sheet '1040' as to","")</f>
        <v/>
      </c>
      <c r="P5" s="796"/>
      <c r="Q5" s="2275"/>
      <c r="R5" s="24"/>
      <c r="S5" s="3742"/>
      <c r="T5" s="3169"/>
      <c r="U5" s="3169"/>
      <c r="V5" s="3169"/>
      <c r="W5" s="3169"/>
      <c r="X5" s="3169"/>
      <c r="Y5" s="3169"/>
      <c r="Z5" s="3169"/>
      <c r="AA5" s="1563"/>
    </row>
    <row r="6" spans="1:27" ht="13.5" customHeight="1">
      <c r="A6" s="82"/>
      <c r="B6" s="59"/>
      <c r="C6" s="293"/>
      <c r="D6" s="68"/>
      <c r="E6" s="53" t="s">
        <v>3882</v>
      </c>
      <c r="F6" s="294"/>
      <c r="G6" s="295"/>
      <c r="H6" s="295"/>
      <c r="I6" s="292"/>
      <c r="J6" s="63"/>
      <c r="K6" s="70"/>
      <c r="L6" s="754"/>
      <c r="M6" s="63"/>
      <c r="N6" s="2865"/>
      <c r="O6" s="4067" t="str">
        <f>IF(File_Marr_Sep&lt;&gt;"","whether or not you","")</f>
        <v/>
      </c>
      <c r="P6" s="4064"/>
      <c r="Q6" s="2275"/>
      <c r="R6" s="24"/>
      <c r="S6" s="3742"/>
      <c r="T6" s="3169"/>
      <c r="U6" s="3169"/>
      <c r="V6" s="3169"/>
      <c r="W6" s="3169"/>
      <c r="X6" s="3169"/>
      <c r="Y6" s="3169"/>
      <c r="Z6" s="3169"/>
      <c r="AA6" s="1563"/>
    </row>
    <row r="7" spans="1:27" ht="13.5" customHeight="1">
      <c r="A7" s="82"/>
      <c r="B7" s="59"/>
      <c r="C7" s="293" t="s">
        <v>48</v>
      </c>
      <c r="D7" s="68"/>
      <c r="E7" s="54" t="str">
        <f>"If you are married filing separately and you lived apart from your spouse for all of "&amp;TaxYear&amp;", enter 'D' to"</f>
        <v>If you are married filing separately and you lived apart from your spouse for all of 2018, enter 'D' to</v>
      </c>
      <c r="F7" s="294"/>
      <c r="G7" s="295"/>
      <c r="H7" s="295"/>
      <c r="I7" s="292"/>
      <c r="J7" s="777"/>
      <c r="K7" s="70"/>
      <c r="L7" s="754"/>
      <c r="M7" s="365"/>
      <c r="N7" s="2865"/>
      <c r="O7" s="4067" t="str">
        <f>IF(File_Marr_Sep&lt;&gt;"","lived apart from your","")</f>
        <v/>
      </c>
      <c r="P7" s="796"/>
      <c r="Q7" s="2275"/>
      <c r="R7" s="24"/>
      <c r="S7" s="3742"/>
      <c r="T7" s="3169"/>
      <c r="U7" s="3169"/>
      <c r="V7" s="3169"/>
      <c r="W7" s="3169"/>
      <c r="X7" s="3169"/>
      <c r="Y7" s="3169"/>
      <c r="Z7" s="3169"/>
      <c r="AA7" s="1563"/>
    </row>
    <row r="8" spans="1:27" ht="12" customHeight="1">
      <c r="A8" s="82"/>
      <c r="B8" s="59"/>
      <c r="C8" s="293"/>
      <c r="D8" s="68"/>
      <c r="E8" s="53" t="s">
        <v>3646</v>
      </c>
      <c r="F8" s="294"/>
      <c r="G8" s="295"/>
      <c r="H8" s="295"/>
      <c r="I8" s="292"/>
      <c r="J8" s="495"/>
      <c r="K8" s="496"/>
      <c r="L8" s="798"/>
      <c r="M8" s="365"/>
      <c r="N8" s="398"/>
      <c r="O8" s="4067" t="str">
        <f>IF(File_Marr_Sep&lt;&gt;"","spouse for ALL of 2018.","")</f>
        <v/>
      </c>
      <c r="P8" s="420"/>
      <c r="Q8" s="2275"/>
      <c r="R8" s="24"/>
      <c r="S8" s="3742"/>
      <c r="T8" s="3169"/>
      <c r="U8" s="3169"/>
      <c r="V8" s="3169"/>
      <c r="W8" s="3169"/>
      <c r="X8" s="3169"/>
      <c r="Y8" s="3169"/>
      <c r="Z8" s="3169"/>
      <c r="AA8" s="1563"/>
    </row>
    <row r="9" spans="1:27" ht="11.25" customHeight="1">
      <c r="A9" s="82"/>
      <c r="B9" s="59"/>
      <c r="C9" s="293" t="s">
        <v>48</v>
      </c>
      <c r="D9" s="68"/>
      <c r="E9" s="53" t="s">
        <v>4354</v>
      </c>
      <c r="F9" s="294"/>
      <c r="G9" s="295"/>
      <c r="H9" s="295"/>
      <c r="I9" s="292"/>
      <c r="J9" s="63"/>
      <c r="K9" s="70"/>
      <c r="L9" s="754"/>
      <c r="M9" s="63"/>
      <c r="N9" s="398"/>
      <c r="O9" s="4068" t="str">
        <f>IF(File_Marr_Sep&lt;&gt;"","-","")</f>
        <v/>
      </c>
      <c r="P9" s="4075" t="str">
        <f>IF(File_Marr_Sep="","",IF(LivedApartAnswered,"ANSWERED","NOT ANSWERED"))</f>
        <v/>
      </c>
      <c r="Q9" s="446"/>
      <c r="R9" s="24"/>
      <c r="S9" s="3742"/>
      <c r="T9" s="3169"/>
      <c r="U9" s="3169"/>
      <c r="V9" s="3169"/>
      <c r="W9" s="3169"/>
      <c r="X9" s="3169"/>
      <c r="Y9" s="3169"/>
      <c r="Z9" s="3169"/>
      <c r="AA9" s="1563"/>
    </row>
    <row r="10" spans="1:27" ht="12" customHeight="1">
      <c r="A10" s="82"/>
      <c r="B10" s="59"/>
      <c r="C10" s="68"/>
      <c r="D10" s="68"/>
      <c r="E10" s="53" t="s">
        <v>4355</v>
      </c>
      <c r="F10" s="294"/>
      <c r="G10" s="295"/>
      <c r="H10" s="295"/>
      <c r="I10" s="292"/>
      <c r="J10" s="63"/>
      <c r="K10" s="70"/>
      <c r="L10" s="754"/>
      <c r="M10" s="63"/>
      <c r="N10" s="47"/>
      <c r="O10" s="45"/>
      <c r="P10" s="45"/>
      <c r="Q10" s="50"/>
      <c r="R10" s="24"/>
      <c r="S10" s="3742"/>
      <c r="T10" s="3169"/>
      <c r="U10" s="3169"/>
      <c r="V10" s="3169"/>
      <c r="W10" s="3169"/>
      <c r="X10" s="3169"/>
      <c r="Y10" s="3169"/>
      <c r="Z10" s="3169"/>
      <c r="AA10" s="1563"/>
    </row>
    <row r="11" spans="1:27" ht="12.75" customHeight="1">
      <c r="A11" s="82"/>
      <c r="B11" s="804"/>
      <c r="C11" s="117"/>
      <c r="D11" s="118"/>
      <c r="E11" s="4285"/>
      <c r="F11" s="119"/>
      <c r="G11" s="119"/>
      <c r="H11" s="119"/>
      <c r="I11" s="119"/>
      <c r="J11" s="105"/>
      <c r="K11" s="789"/>
      <c r="L11" s="754"/>
      <c r="M11" s="63"/>
      <c r="N11" s="24"/>
      <c r="O11" s="14"/>
      <c r="P11" s="24"/>
      <c r="Q11" s="24"/>
      <c r="R11" s="24"/>
      <c r="S11" s="3742"/>
      <c r="T11" s="3169"/>
      <c r="U11" s="3169"/>
      <c r="V11" s="3169"/>
      <c r="W11" s="3169"/>
      <c r="X11" s="3169"/>
      <c r="Y11" s="3169"/>
      <c r="Z11" s="3169"/>
      <c r="AA11" s="1563"/>
    </row>
    <row r="12" spans="1:27" ht="12" customHeight="1">
      <c r="A12" s="82"/>
      <c r="B12" s="59"/>
      <c r="C12" s="581"/>
      <c r="D12" s="103"/>
      <c r="E12" s="582"/>
      <c r="F12" s="137"/>
      <c r="G12" s="137"/>
      <c r="H12" s="137"/>
      <c r="I12" s="137"/>
      <c r="J12" s="63"/>
      <c r="K12" s="70"/>
      <c r="L12" s="754"/>
      <c r="M12" s="63"/>
      <c r="N12" s="24"/>
      <c r="O12" s="24"/>
      <c r="P12" s="25" t="s">
        <v>100</v>
      </c>
      <c r="Q12" s="24"/>
      <c r="R12" s="24"/>
      <c r="S12" s="3742"/>
      <c r="T12" s="3169"/>
      <c r="U12" s="3169"/>
      <c r="V12" s="3169"/>
      <c r="W12" s="3169"/>
      <c r="X12" s="3169"/>
      <c r="Y12" s="3169"/>
      <c r="Z12" s="3169"/>
      <c r="AA12" s="1563"/>
    </row>
    <row r="13" spans="1:27" ht="12.75" customHeight="1">
      <c r="A13" s="82"/>
      <c r="B13" s="59"/>
      <c r="C13" s="68">
        <v>1</v>
      </c>
      <c r="D13" s="288" t="s">
        <v>643</v>
      </c>
      <c r="E13" s="63"/>
      <c r="F13" s="68"/>
      <c r="G13" s="63"/>
      <c r="H13" s="63"/>
      <c r="I13" s="69"/>
      <c r="J13" s="63"/>
      <c r="K13" s="70"/>
      <c r="L13" s="754"/>
      <c r="M13" s="63"/>
      <c r="N13" s="24"/>
      <c r="O13" s="24"/>
      <c r="P13" s="25" t="s">
        <v>468</v>
      </c>
      <c r="Q13" s="24"/>
      <c r="R13" s="24"/>
      <c r="S13" s="3742"/>
      <c r="T13" s="3169"/>
      <c r="U13" s="3169"/>
      <c r="V13" s="3169"/>
      <c r="W13" s="3169"/>
      <c r="X13" s="3169"/>
      <c r="Y13" s="3169"/>
      <c r="Z13" s="3169"/>
      <c r="AA13" s="1563"/>
    </row>
    <row r="14" spans="1:27">
      <c r="A14" s="82"/>
      <c r="B14" s="59"/>
      <c r="C14" s="132"/>
      <c r="D14" s="636" t="s">
        <v>4356</v>
      </c>
      <c r="E14" s="63"/>
      <c r="F14" s="4738" t="s">
        <v>4357</v>
      </c>
      <c r="G14" s="5702">
        <f>IF(P14&lt;&gt;"",P14,TotalSocSecBenefits)</f>
        <v>0</v>
      </c>
      <c r="H14" s="5703"/>
      <c r="I14" s="69"/>
      <c r="J14" s="63"/>
      <c r="K14" s="70"/>
      <c r="L14" s="754"/>
      <c r="M14" s="63"/>
      <c r="N14" s="24"/>
      <c r="O14" s="24"/>
      <c r="P14" s="1037"/>
      <c r="Q14" s="24"/>
      <c r="R14" s="24"/>
      <c r="S14" s="3742"/>
      <c r="T14" s="3169"/>
      <c r="U14" s="3169"/>
      <c r="V14" s="3169"/>
      <c r="W14" s="3169"/>
      <c r="X14" s="3169"/>
      <c r="Y14" s="3169"/>
      <c r="Z14" s="3169"/>
      <c r="AA14" s="1563"/>
    </row>
    <row r="15" spans="1:27">
      <c r="A15" s="82"/>
      <c r="B15" s="59"/>
      <c r="C15" s="132">
        <v>2</v>
      </c>
      <c r="D15" s="60" t="str">
        <f>"Multiply line 1 by "&amp;TEXT(P15,"0%")&amp;" ("&amp;TEXT(P15,"0.00")&amp;")"</f>
        <v>Multiply line 1 by 50% (0.50)</v>
      </c>
      <c r="E15" s="63"/>
      <c r="F15" s="68"/>
      <c r="G15" s="63"/>
      <c r="H15" s="73" t="s">
        <v>1964</v>
      </c>
      <c r="I15" s="68">
        <f>C15</f>
        <v>2</v>
      </c>
      <c r="J15" s="4292">
        <f>ROUND((P15*G14),0)</f>
        <v>0</v>
      </c>
      <c r="K15" s="70"/>
      <c r="L15" s="754"/>
      <c r="M15" s="367"/>
      <c r="N15" s="24"/>
      <c r="O15" s="24"/>
      <c r="P15" s="2274">
        <v>0.5</v>
      </c>
      <c r="Q15" s="24"/>
      <c r="R15" s="24"/>
      <c r="S15" s="3742"/>
      <c r="T15" s="3169"/>
      <c r="U15" s="3169"/>
      <c r="V15" s="3169"/>
      <c r="W15" s="3169"/>
      <c r="X15" s="3169"/>
      <c r="Y15" s="3169"/>
      <c r="Z15" s="3169"/>
      <c r="AA15" s="1563"/>
    </row>
    <row r="16" spans="1:27">
      <c r="A16" s="82"/>
      <c r="B16" s="59"/>
      <c r="C16" s="132"/>
      <c r="D16" s="60"/>
      <c r="E16" s="24"/>
      <c r="F16" s="24"/>
      <c r="G16" s="24"/>
      <c r="H16" s="24"/>
      <c r="I16" s="68"/>
      <c r="J16" s="367"/>
      <c r="K16" s="120"/>
      <c r="L16" s="799"/>
      <c r="M16" s="366"/>
      <c r="N16" s="24"/>
      <c r="O16" s="24"/>
      <c r="P16" s="25"/>
      <c r="Q16" s="24"/>
      <c r="R16" s="24"/>
      <c r="S16" s="3742"/>
      <c r="T16" s="3169"/>
      <c r="U16" s="3169"/>
      <c r="V16" s="3169"/>
      <c r="W16" s="3169"/>
      <c r="X16" s="3169"/>
      <c r="Y16" s="3169"/>
      <c r="Z16" s="3169"/>
      <c r="AA16" s="1563"/>
    </row>
    <row r="17" spans="1:27">
      <c r="A17" s="82"/>
      <c r="B17" s="59"/>
      <c r="C17" s="132">
        <v>3</v>
      </c>
      <c r="D17" s="60" t="s">
        <v>3647</v>
      </c>
      <c r="E17" s="24"/>
      <c r="F17" s="24"/>
      <c r="G17" s="24"/>
      <c r="H17" s="73" t="s">
        <v>448</v>
      </c>
      <c r="I17" s="68">
        <f>C17</f>
        <v>3</v>
      </c>
      <c r="J17" s="4292">
        <f>IF(P17&lt;&gt;"",ROUND(P17,0),ROUND(SUM(Wages,TaxableInterest,OrdinaryDividends,IRA_Pension_Taxable,Additional_Income),0))</f>
        <v>0</v>
      </c>
      <c r="K17" s="497"/>
      <c r="L17" s="800"/>
      <c r="M17" s="366"/>
      <c r="N17" s="24"/>
      <c r="O17" s="24"/>
      <c r="P17" s="395"/>
      <c r="Q17" s="24"/>
      <c r="R17" s="24"/>
      <c r="S17" s="3742"/>
      <c r="T17" s="3169"/>
      <c r="U17" s="3169"/>
      <c r="V17" s="3169"/>
      <c r="W17" s="3169"/>
      <c r="X17" s="3169"/>
      <c r="Y17" s="3169"/>
      <c r="Z17" s="3169"/>
      <c r="AA17" s="1563"/>
    </row>
    <row r="18" spans="1:27">
      <c r="A18" s="82"/>
      <c r="B18" s="59"/>
      <c r="C18" s="132">
        <v>4</v>
      </c>
      <c r="D18" s="60" t="s">
        <v>4358</v>
      </c>
      <c r="E18" s="24"/>
      <c r="F18" s="68"/>
      <c r="G18" s="24"/>
      <c r="H18" s="760" t="s">
        <v>775</v>
      </c>
      <c r="I18" s="68">
        <f>C18</f>
        <v>4</v>
      </c>
      <c r="J18" s="4292">
        <f>IF(P18&lt;&gt;"",P18,ROUND('1040'!N36,0))</f>
        <v>0</v>
      </c>
      <c r="K18" s="497"/>
      <c r="L18" s="800"/>
      <c r="M18" s="366"/>
      <c r="N18" s="24"/>
      <c r="O18" s="24"/>
      <c r="P18" s="395"/>
      <c r="Q18" s="24"/>
      <c r="R18" s="24"/>
      <c r="S18" s="3742"/>
      <c r="T18" s="3169"/>
      <c r="U18" s="3169"/>
      <c r="V18" s="3169"/>
      <c r="W18" s="3169"/>
      <c r="X18" s="3169"/>
      <c r="Y18" s="3169"/>
      <c r="Z18" s="3169"/>
      <c r="AA18" s="1563"/>
    </row>
    <row r="19" spans="1:27">
      <c r="A19" s="82"/>
      <c r="B19" s="59"/>
      <c r="C19" s="132">
        <v>5</v>
      </c>
      <c r="D19" s="60" t="s">
        <v>644</v>
      </c>
      <c r="E19" s="24"/>
      <c r="F19" s="68"/>
      <c r="G19" s="24"/>
      <c r="H19" s="73" t="s">
        <v>737</v>
      </c>
      <c r="I19" s="68">
        <f>C19</f>
        <v>5</v>
      </c>
      <c r="J19" s="4292">
        <f>SUM(J15,J17,J18)</f>
        <v>0</v>
      </c>
      <c r="K19" s="497"/>
      <c r="L19" s="800"/>
      <c r="M19" s="366"/>
      <c r="N19" s="24"/>
      <c r="O19" s="24"/>
      <c r="P19" s="24"/>
      <c r="Q19" s="24"/>
      <c r="R19" s="24"/>
      <c r="S19" s="3742"/>
      <c r="T19" s="3169"/>
      <c r="U19" s="3169"/>
      <c r="V19" s="3169"/>
      <c r="W19" s="3169"/>
      <c r="X19" s="3169"/>
      <c r="Y19" s="3169"/>
      <c r="Z19" s="3169"/>
      <c r="AA19" s="1563"/>
    </row>
    <row r="20" spans="1:27">
      <c r="A20" s="82"/>
      <c r="B20" s="59"/>
      <c r="C20" s="132">
        <v>6</v>
      </c>
      <c r="D20" s="60" t="s">
        <v>3648</v>
      </c>
      <c r="E20" s="24"/>
      <c r="F20" s="68"/>
      <c r="G20" s="24"/>
      <c r="H20" s="24"/>
      <c r="I20" s="68"/>
      <c r="J20" s="790"/>
      <c r="K20" s="497"/>
      <c r="L20" s="800"/>
      <c r="M20" s="366"/>
      <c r="N20" s="24"/>
      <c r="O20" s="24"/>
      <c r="P20" s="24"/>
      <c r="Q20" s="24"/>
      <c r="R20" s="24"/>
      <c r="S20" s="3742"/>
      <c r="T20" s="3169"/>
      <c r="U20" s="3169"/>
      <c r="V20" s="3169"/>
      <c r="W20" s="3169"/>
      <c r="X20" s="3169"/>
      <c r="Y20" s="3169"/>
      <c r="Z20" s="3169"/>
      <c r="AA20" s="1563"/>
    </row>
    <row r="21" spans="1:27">
      <c r="A21" s="82"/>
      <c r="B21" s="59"/>
      <c r="C21" s="132"/>
      <c r="D21" s="60" t="s">
        <v>4359</v>
      </c>
      <c r="E21" s="24"/>
      <c r="F21" s="68"/>
      <c r="G21" s="24"/>
      <c r="H21" s="24"/>
      <c r="I21" s="68"/>
      <c r="J21" s="366"/>
      <c r="K21" s="497"/>
      <c r="L21" s="800"/>
      <c r="M21" s="366"/>
      <c r="N21" s="24"/>
      <c r="O21" s="24"/>
      <c r="P21" s="24"/>
      <c r="Q21" s="24"/>
      <c r="R21" s="24"/>
      <c r="S21" s="3742"/>
      <c r="T21" s="3169"/>
      <c r="U21" s="3169"/>
      <c r="V21" s="3169"/>
      <c r="W21" s="3169"/>
      <c r="X21" s="3169"/>
      <c r="Y21" s="3169"/>
      <c r="Z21" s="3169"/>
      <c r="AA21" s="1563"/>
    </row>
    <row r="22" spans="1:27">
      <c r="A22" s="82"/>
      <c r="B22" s="59"/>
      <c r="C22" s="132"/>
      <c r="D22" s="60" t="s">
        <v>4361</v>
      </c>
      <c r="E22" s="24"/>
      <c r="F22" s="24"/>
      <c r="G22" s="24"/>
      <c r="H22" s="73" t="s">
        <v>4360</v>
      </c>
      <c r="I22" s="68">
        <f>C20</f>
        <v>6</v>
      </c>
      <c r="J22" s="4292">
        <f>ROUND(SUM(EducatorExpenses,CertainBusinessExp,HSA_Deduct,MovExp_ArmedForces,SE_Deduct,SEP_Plan_Deduct,SEHealthInsDeduct,PenaltyEarlyWithdraw,AlimonyPaid,IRADeduct,Dotted_Line36,-DPAD),0)</f>
        <v>0</v>
      </c>
      <c r="K22" s="121"/>
      <c r="L22" s="753"/>
      <c r="M22" s="368"/>
      <c r="N22" s="24"/>
      <c r="O22" s="24"/>
      <c r="P22" s="74"/>
      <c r="Q22" s="24"/>
      <c r="R22" s="24"/>
      <c r="S22" s="3742"/>
      <c r="T22" s="3169"/>
      <c r="U22" s="3169"/>
      <c r="V22" s="3169"/>
      <c r="W22" s="3169"/>
      <c r="X22" s="3169"/>
      <c r="Y22" s="3169"/>
      <c r="Z22" s="3169"/>
      <c r="AA22" s="1563"/>
    </row>
    <row r="23" spans="1:27">
      <c r="A23" s="82"/>
      <c r="B23" s="59"/>
      <c r="C23" s="132">
        <v>7</v>
      </c>
      <c r="D23" s="60" t="s">
        <v>261</v>
      </c>
      <c r="E23" s="24"/>
      <c r="F23" s="24"/>
      <c r="G23" s="24"/>
      <c r="H23" s="24"/>
      <c r="I23" s="68"/>
      <c r="J23" s="368"/>
      <c r="K23" s="121"/>
      <c r="L23" s="753"/>
      <c r="M23" s="368"/>
      <c r="N23" s="24"/>
      <c r="O23" s="24"/>
      <c r="P23" s="74"/>
      <c r="Q23" s="24"/>
      <c r="R23" s="24"/>
      <c r="S23" s="3742"/>
      <c r="T23" s="3169"/>
      <c r="U23" s="3169"/>
      <c r="V23" s="3169"/>
      <c r="W23" s="3169"/>
      <c r="X23" s="3169"/>
      <c r="Y23" s="3169"/>
      <c r="Z23" s="3169"/>
      <c r="AA23" s="1563"/>
    </row>
    <row r="24" spans="1:27" ht="13.5" thickBot="1">
      <c r="A24" s="82"/>
      <c r="B24" s="59"/>
      <c r="C24" s="132"/>
      <c r="D24" s="24"/>
      <c r="E24" s="24"/>
      <c r="F24" s="24"/>
      <c r="G24" s="24"/>
      <c r="H24" s="24"/>
      <c r="I24" s="68"/>
      <c r="J24" s="368"/>
      <c r="K24" s="121"/>
      <c r="L24" s="753"/>
      <c r="M24" s="368"/>
      <c r="N24" s="24"/>
      <c r="O24" s="24"/>
      <c r="P24" s="74"/>
      <c r="Q24" s="24"/>
      <c r="R24" s="24"/>
      <c r="S24" s="3742"/>
      <c r="T24" s="3169"/>
      <c r="U24" s="3169"/>
      <c r="V24" s="3169"/>
      <c r="W24" s="3169"/>
      <c r="X24" s="3169"/>
      <c r="Y24" s="3169"/>
      <c r="Z24" s="3169"/>
      <c r="AA24" s="1563"/>
    </row>
    <row r="25" spans="1:27" ht="13.5" thickBot="1">
      <c r="A25" s="82"/>
      <c r="B25" s="59"/>
      <c r="C25" s="132"/>
      <c r="D25" s="300" t="str">
        <f>IF(J22&lt;J19,"","X")</f>
        <v>X</v>
      </c>
      <c r="E25" s="131" t="s">
        <v>4363</v>
      </c>
      <c r="F25" s="68"/>
      <c r="G25" s="63"/>
      <c r="H25" s="63"/>
      <c r="I25" s="68"/>
      <c r="J25" s="63"/>
      <c r="K25" s="70"/>
      <c r="L25" s="754"/>
      <c r="M25" s="63"/>
      <c r="N25" s="24"/>
      <c r="O25" s="24"/>
      <c r="P25" s="74"/>
      <c r="Q25" s="24"/>
      <c r="R25" s="24"/>
      <c r="S25" s="3742"/>
      <c r="T25" s="3169"/>
      <c r="U25" s="3169"/>
      <c r="V25" s="3169"/>
      <c r="W25" s="3169"/>
      <c r="X25" s="3169"/>
      <c r="Y25" s="3169"/>
      <c r="Z25" s="3169"/>
      <c r="AA25" s="1563"/>
    </row>
    <row r="26" spans="1:27" ht="15" customHeight="1" thickBot="1">
      <c r="A26" s="82"/>
      <c r="B26" s="59"/>
      <c r="C26" s="132"/>
      <c r="D26" s="132"/>
      <c r="E26" s="131" t="s">
        <v>4362</v>
      </c>
      <c r="F26" s="68"/>
      <c r="G26" s="63"/>
      <c r="H26" s="63"/>
      <c r="I26" s="68"/>
      <c r="J26" s="63"/>
      <c r="K26" s="70"/>
      <c r="L26" s="754"/>
      <c r="M26" s="63"/>
      <c r="N26" s="24"/>
      <c r="O26" s="24"/>
      <c r="P26" s="74"/>
      <c r="Q26" s="24"/>
      <c r="R26" s="24"/>
      <c r="S26" s="3742"/>
      <c r="T26" s="3169"/>
      <c r="U26" s="3169"/>
      <c r="V26" s="3169"/>
      <c r="W26" s="3169"/>
      <c r="X26" s="3169"/>
      <c r="Y26" s="3169"/>
      <c r="Z26" s="3169"/>
      <c r="AA26" s="1563"/>
    </row>
    <row r="27" spans="1:27" ht="15" customHeight="1" thickBot="1">
      <c r="A27" s="82"/>
      <c r="B27" s="59"/>
      <c r="C27" s="132"/>
      <c r="D27" s="276" t="str">
        <f>IF(J22&lt;J19,"X","")</f>
        <v/>
      </c>
      <c r="E27" s="4740" t="s">
        <v>4367</v>
      </c>
      <c r="F27" s="24"/>
      <c r="G27" s="24"/>
      <c r="H27" s="4741" t="s">
        <v>4364</v>
      </c>
      <c r="I27" s="68">
        <f>C23</f>
        <v>7</v>
      </c>
      <c r="J27" s="1711" t="str">
        <f>IF(D25="X","Stop",J19-J22)</f>
        <v>Stop</v>
      </c>
      <c r="K27" s="497"/>
      <c r="L27" s="800"/>
      <c r="M27" s="63"/>
      <c r="N27" s="24"/>
      <c r="O27" s="24"/>
      <c r="P27" s="74"/>
      <c r="Q27" s="24"/>
      <c r="R27" s="24"/>
      <c r="S27" s="3742"/>
      <c r="T27" s="3169"/>
      <c r="U27" s="3169"/>
      <c r="V27" s="3169"/>
      <c r="W27" s="3169"/>
      <c r="X27" s="3169"/>
      <c r="Y27" s="3169"/>
      <c r="Z27" s="3169"/>
      <c r="AA27" s="1563"/>
    </row>
    <row r="28" spans="1:27" ht="14.25" customHeight="1">
      <c r="A28" s="82"/>
      <c r="B28" s="59"/>
      <c r="C28" s="132"/>
      <c r="D28" s="24"/>
      <c r="E28" s="24"/>
      <c r="F28" s="24"/>
      <c r="G28" s="24"/>
      <c r="H28" s="24"/>
      <c r="I28" s="68"/>
      <c r="J28" s="368"/>
      <c r="K28" s="121"/>
      <c r="L28" s="753"/>
      <c r="M28" s="63"/>
      <c r="N28" s="24"/>
      <c r="O28" s="24"/>
      <c r="P28" s="74"/>
      <c r="Q28" s="24"/>
      <c r="R28" s="24"/>
      <c r="S28" s="3742"/>
      <c r="T28" s="3169"/>
      <c r="U28" s="3169"/>
      <c r="V28" s="3169"/>
      <c r="W28" s="3169"/>
      <c r="X28" s="3169"/>
      <c r="Y28" s="3169"/>
      <c r="Z28" s="3169"/>
      <c r="AA28" s="1563"/>
    </row>
    <row r="29" spans="1:27">
      <c r="A29" s="82"/>
      <c r="B29" s="59"/>
      <c r="C29" s="132">
        <v>8</v>
      </c>
      <c r="D29" s="24" t="s">
        <v>262</v>
      </c>
      <c r="E29" s="24"/>
      <c r="F29" s="24"/>
      <c r="G29" s="24"/>
      <c r="H29" s="24"/>
      <c r="I29" s="68"/>
      <c r="J29" s="368"/>
      <c r="K29" s="121"/>
      <c r="L29" s="800"/>
      <c r="M29" s="63"/>
      <c r="N29" s="24"/>
      <c r="O29" s="24"/>
      <c r="P29" s="74"/>
      <c r="Q29" s="24"/>
      <c r="R29" s="24"/>
      <c r="S29" s="3742"/>
      <c r="T29" s="3169"/>
      <c r="U29" s="3169"/>
      <c r="V29" s="3169"/>
      <c r="W29" s="3169"/>
      <c r="X29" s="3169"/>
      <c r="Y29" s="3169"/>
      <c r="Z29" s="3169"/>
      <c r="AA29" s="1563"/>
    </row>
    <row r="30" spans="1:27">
      <c r="A30" s="82"/>
      <c r="B30" s="59"/>
      <c r="C30" s="132"/>
      <c r="D30" s="503" t="s">
        <v>28</v>
      </c>
      <c r="E30" s="63" t="str">
        <f>"Married filing jointly, enter "&amp;TEXT(H30,"$0,000")</f>
        <v>Married filing jointly, enter $32,000</v>
      </c>
      <c r="F30" s="63"/>
      <c r="G30" s="24"/>
      <c r="H30" s="329">
        <v>32000</v>
      </c>
      <c r="I30" s="68"/>
      <c r="J30" s="368"/>
      <c r="K30" s="121"/>
      <c r="L30" s="800"/>
      <c r="M30" s="63"/>
      <c r="N30" s="24"/>
      <c r="O30" s="24"/>
      <c r="P30" s="74"/>
      <c r="Q30" s="24"/>
      <c r="R30" s="24"/>
      <c r="S30" s="3742"/>
      <c r="T30" s="3169"/>
      <c r="U30" s="3169"/>
      <c r="V30" s="3169"/>
      <c r="W30" s="3169"/>
      <c r="X30" s="3169"/>
      <c r="Y30" s="3169"/>
      <c r="Z30" s="3169"/>
      <c r="AA30" s="1563"/>
    </row>
    <row r="31" spans="1:27">
      <c r="A31" s="82"/>
      <c r="B31" s="59"/>
      <c r="C31" s="132"/>
      <c r="D31" s="503" t="s">
        <v>28</v>
      </c>
      <c r="E31" s="63" t="s">
        <v>27</v>
      </c>
      <c r="F31" s="63"/>
      <c r="G31" s="24"/>
      <c r="H31" s="24"/>
      <c r="I31" s="68"/>
      <c r="J31" s="368"/>
      <c r="K31" s="121"/>
      <c r="L31" s="800"/>
      <c r="M31" s="63"/>
      <c r="N31" s="24"/>
      <c r="O31" s="24"/>
      <c r="P31" s="74"/>
      <c r="Q31" s="24"/>
      <c r="R31" s="24"/>
      <c r="S31" s="3742"/>
      <c r="T31" s="3169"/>
      <c r="U31" s="3169"/>
      <c r="V31" s="3169"/>
      <c r="W31" s="3169"/>
      <c r="X31" s="3169"/>
      <c r="Y31" s="3169"/>
      <c r="Z31" s="3169"/>
      <c r="AA31" s="1563"/>
    </row>
    <row r="32" spans="1:27">
      <c r="A32" s="82"/>
      <c r="B32" s="59"/>
      <c r="C32" s="132"/>
      <c r="D32" s="503"/>
      <c r="E32" s="131" t="s">
        <v>4365</v>
      </c>
      <c r="F32" s="63" t="str">
        <f>"of "&amp;TaxYear&amp;","</f>
        <v>of 2018,</v>
      </c>
      <c r="G32" s="24"/>
      <c r="H32" s="329">
        <v>25000</v>
      </c>
      <c r="I32" s="68"/>
      <c r="J32" s="368"/>
      <c r="K32" s="121"/>
      <c r="L32" s="753"/>
      <c r="M32" s="63"/>
      <c r="N32" s="24"/>
      <c r="O32" s="24"/>
      <c r="P32" s="24"/>
      <c r="Q32" s="24"/>
      <c r="R32" s="24"/>
      <c r="S32" s="3742"/>
      <c r="T32" s="3169"/>
      <c r="U32" s="3169"/>
      <c r="V32" s="3169"/>
      <c r="W32" s="3169"/>
      <c r="X32" s="3169"/>
      <c r="Y32" s="3169"/>
      <c r="Z32" s="3169"/>
      <c r="AA32" s="1563"/>
    </row>
    <row r="33" spans="1:27">
      <c r="A33" s="82"/>
      <c r="B33" s="59"/>
      <c r="C33" s="132"/>
      <c r="D33" s="503"/>
      <c r="E33" s="63" t="str">
        <f>"enter "&amp;TEXT(H32,"$0,000")</f>
        <v>enter $25,000</v>
      </c>
      <c r="F33" s="63"/>
      <c r="G33" s="24"/>
      <c r="H33" s="760" t="s">
        <v>630</v>
      </c>
      <c r="I33" s="68">
        <f>C29</f>
        <v>8</v>
      </c>
      <c r="J33" s="1711" t="str">
        <f>IF(LivedApart="?","Answer question.",IF(OR(D25="X",AND(File_Marr_Sep&lt;&gt;"",NOT(LivedApart))),"",IF(File_Marr_Joint&lt;&gt;"",H30,IF(OR(File_Single&lt;&gt;"",File_Head&lt;&gt;"",File_Qual_Widow&lt;&gt;"",NOT(H37)),H32,""))))</f>
        <v/>
      </c>
      <c r="K33" s="121"/>
      <c r="L33" s="753"/>
      <c r="M33" s="63"/>
      <c r="N33" s="24"/>
      <c r="O33" s="24"/>
      <c r="P33" s="24"/>
      <c r="Q33" s="24"/>
      <c r="R33" s="24"/>
      <c r="S33" s="3742"/>
      <c r="T33" s="3169"/>
      <c r="U33" s="3169"/>
      <c r="V33" s="3169"/>
      <c r="W33" s="3169"/>
      <c r="X33" s="3169"/>
      <c r="Y33" s="3169"/>
      <c r="Z33" s="3169"/>
      <c r="AA33" s="1563"/>
    </row>
    <row r="34" spans="1:27">
      <c r="A34" s="82"/>
      <c r="B34" s="59"/>
      <c r="C34" s="132"/>
      <c r="D34" s="503" t="s">
        <v>28</v>
      </c>
      <c r="E34" s="63" t="s">
        <v>323</v>
      </c>
      <c r="F34" s="63"/>
      <c r="G34" s="24"/>
      <c r="H34" s="24"/>
      <c r="I34" s="68"/>
      <c r="J34" s="368"/>
      <c r="K34" s="121"/>
      <c r="L34" s="753"/>
      <c r="M34" s="63"/>
      <c r="N34" s="24"/>
      <c r="O34" s="24"/>
      <c r="P34" s="24"/>
      <c r="Q34" s="24"/>
      <c r="R34" s="24"/>
      <c r="S34" s="3742"/>
      <c r="T34" s="3169"/>
      <c r="U34" s="3169"/>
      <c r="V34" s="3169"/>
      <c r="W34" s="3169"/>
      <c r="X34" s="3169"/>
      <c r="Y34" s="3169"/>
      <c r="Z34" s="3169"/>
      <c r="AA34" s="1563"/>
    </row>
    <row r="35" spans="1:27">
      <c r="A35" s="82"/>
      <c r="B35" s="59"/>
      <c r="C35" s="132"/>
      <c r="D35" s="503"/>
      <c r="E35" s="63" t="str">
        <f>"in "&amp;TaxYear&amp;", skip lines 8 through 15; multiply line 7 by "&amp;TEXT(H35,"0%")&amp;" ("&amp;TEXT(H35,"0.00")&amp;") and"</f>
        <v>in 2018, skip lines 8 through 15; multiply line 7 by 85% (0.85) and</v>
      </c>
      <c r="F35" s="63"/>
      <c r="G35" s="24"/>
      <c r="H35" s="55">
        <v>0.85</v>
      </c>
      <c r="I35" s="68"/>
      <c r="J35" s="368"/>
      <c r="K35" s="121"/>
      <c r="L35" s="753"/>
      <c r="M35" s="63"/>
      <c r="N35" s="24"/>
      <c r="O35" s="24"/>
      <c r="P35" s="24"/>
      <c r="Q35" s="24"/>
      <c r="R35" s="24"/>
      <c r="S35" s="3742"/>
      <c r="T35" s="3169"/>
      <c r="U35" s="3169"/>
      <c r="V35" s="3169"/>
      <c r="W35" s="3169"/>
      <c r="X35" s="3169"/>
      <c r="Y35" s="3169"/>
      <c r="Z35" s="3169"/>
      <c r="AA35" s="1563"/>
    </row>
    <row r="36" spans="1:27" ht="12.75" customHeight="1">
      <c r="A36" s="82"/>
      <c r="B36" s="59"/>
      <c r="C36" s="132"/>
      <c r="D36" s="24"/>
      <c r="E36" s="24" t="s">
        <v>36</v>
      </c>
      <c r="F36" s="24"/>
      <c r="G36" s="24"/>
      <c r="H36" s="885"/>
      <c r="I36" s="24"/>
      <c r="J36" s="24"/>
      <c r="K36" s="497"/>
      <c r="L36" s="800"/>
      <c r="M36" s="63"/>
      <c r="N36" s="24"/>
      <c r="O36" s="24"/>
      <c r="P36" s="24"/>
      <c r="Q36" s="24"/>
      <c r="R36" s="24"/>
      <c r="S36" s="3742"/>
      <c r="T36" s="3169"/>
      <c r="U36" s="3169"/>
      <c r="V36" s="3169"/>
      <c r="W36" s="3169"/>
      <c r="X36" s="3169"/>
      <c r="Y36" s="3169"/>
      <c r="Z36" s="3169"/>
      <c r="AA36" s="1563"/>
    </row>
    <row r="37" spans="1:27" ht="13.5" customHeight="1">
      <c r="A37" s="82"/>
      <c r="B37" s="59"/>
      <c r="C37" s="132">
        <v>9</v>
      </c>
      <c r="D37" s="53" t="s">
        <v>151</v>
      </c>
      <c r="E37" s="24"/>
      <c r="F37" s="24"/>
      <c r="G37" s="24"/>
      <c r="H37" s="55" t="b">
        <f>IF(AND(File_Marr_Sep&lt;&gt;"",NOT(LivedApart)),TRUE,FALSE)</f>
        <v>0</v>
      </c>
      <c r="I37" s="24"/>
      <c r="J37" s="24"/>
      <c r="K37" s="497"/>
      <c r="L37" s="800"/>
      <c r="M37" s="63"/>
      <c r="N37" s="24"/>
      <c r="O37" s="24"/>
      <c r="P37" s="24"/>
      <c r="Q37" s="24"/>
      <c r="R37" s="24"/>
      <c r="S37" s="3742"/>
      <c r="T37" s="3169"/>
      <c r="U37" s="3169"/>
      <c r="V37" s="3169"/>
      <c r="W37" s="3169"/>
      <c r="X37" s="3169"/>
      <c r="Y37" s="3169"/>
      <c r="Z37" s="3169"/>
      <c r="AA37" s="1563"/>
    </row>
    <row r="38" spans="1:27" ht="12.75" customHeight="1" thickBot="1">
      <c r="A38" s="82"/>
      <c r="B38" s="59"/>
      <c r="C38" s="132"/>
      <c r="D38" s="53"/>
      <c r="E38" s="24"/>
      <c r="F38" s="24"/>
      <c r="G38" s="24"/>
      <c r="H38" s="55"/>
      <c r="I38" s="24"/>
      <c r="J38" s="24"/>
      <c r="K38" s="497"/>
      <c r="L38" s="800"/>
      <c r="M38" s="63"/>
      <c r="N38" s="24"/>
      <c r="O38" s="24"/>
      <c r="P38" s="24"/>
      <c r="Q38" s="24"/>
      <c r="R38" s="24"/>
      <c r="S38" s="3742"/>
      <c r="T38" s="3169"/>
      <c r="U38" s="3169"/>
      <c r="V38" s="3169"/>
      <c r="W38" s="3169"/>
      <c r="X38" s="3169"/>
      <c r="Y38" s="3169"/>
      <c r="Z38" s="3169"/>
      <c r="AA38" s="1563"/>
    </row>
    <row r="39" spans="1:27" ht="13.5" thickBot="1">
      <c r="A39" s="82"/>
      <c r="B39" s="59"/>
      <c r="C39" s="132"/>
      <c r="D39" s="122" t="str">
        <f>IF(OR(D25="X",H37),"",IF(J33&lt;J27,"","X"))</f>
        <v/>
      </c>
      <c r="E39" s="25" t="s">
        <v>3649</v>
      </c>
      <c r="F39" s="24"/>
      <c r="G39" s="24"/>
      <c r="H39" s="24"/>
      <c r="I39" s="68"/>
      <c r="J39" s="63"/>
      <c r="K39" s="70"/>
      <c r="L39" s="754"/>
      <c r="M39" s="63"/>
      <c r="N39" s="24"/>
      <c r="O39" s="24"/>
      <c r="P39" s="24"/>
      <c r="Q39" s="24"/>
      <c r="R39" s="24"/>
      <c r="S39" s="3742"/>
      <c r="T39" s="3169"/>
      <c r="U39" s="3169"/>
      <c r="V39" s="3169"/>
      <c r="W39" s="3169"/>
      <c r="X39" s="3169"/>
      <c r="Y39" s="3169"/>
      <c r="Z39" s="3169"/>
      <c r="AA39" s="1563"/>
    </row>
    <row r="40" spans="1:27" ht="15" customHeight="1">
      <c r="A40" s="82"/>
      <c r="B40" s="59"/>
      <c r="C40" s="132"/>
      <c r="D40" s="24"/>
      <c r="E40" s="112" t="s">
        <v>46</v>
      </c>
      <c r="F40" s="68"/>
      <c r="G40" s="63"/>
      <c r="H40" s="795"/>
      <c r="I40" s="68"/>
      <c r="J40" s="63"/>
      <c r="K40" s="70"/>
      <c r="L40" s="754"/>
      <c r="M40" s="63"/>
      <c r="N40" s="24"/>
      <c r="O40" s="24"/>
      <c r="P40" s="24"/>
      <c r="Q40" s="24"/>
      <c r="R40" s="24"/>
      <c r="S40" s="3742"/>
      <c r="T40" s="3169"/>
      <c r="U40" s="3169"/>
      <c r="V40" s="3169"/>
      <c r="W40" s="3169"/>
      <c r="X40" s="3169"/>
      <c r="Y40" s="3169"/>
      <c r="Z40" s="3169"/>
      <c r="AA40" s="1563"/>
    </row>
    <row r="41" spans="1:27" ht="13.5" thickBot="1">
      <c r="A41" s="82"/>
      <c r="B41" s="59"/>
      <c r="C41" s="132"/>
      <c r="D41" s="24"/>
      <c r="E41" s="368" t="str">
        <f>TaxYear&amp; ", be sure you entered “D” to the right of the word “benefits” on Form 1040, line 5a."</f>
        <v>2018, be sure you entered “D” to the right of the word “benefits” on Form 1040, line 5a.</v>
      </c>
      <c r="F41" s="63"/>
      <c r="G41" s="63"/>
      <c r="H41" s="63"/>
      <c r="I41" s="68"/>
      <c r="J41" s="63"/>
      <c r="K41" s="70"/>
      <c r="L41" s="754"/>
      <c r="M41" s="63"/>
      <c r="N41" s="24"/>
      <c r="O41" s="24"/>
      <c r="P41" s="24"/>
      <c r="Q41" s="24"/>
      <c r="R41" s="24"/>
      <c r="S41" s="3742"/>
      <c r="T41" s="3169"/>
      <c r="U41" s="3169"/>
      <c r="V41" s="3169"/>
      <c r="W41" s="3169"/>
      <c r="X41" s="3169"/>
      <c r="Y41" s="3169"/>
      <c r="Z41" s="3169"/>
      <c r="AA41" s="1563"/>
    </row>
    <row r="42" spans="1:27" ht="13.5" thickBot="1">
      <c r="A42" s="82"/>
      <c r="B42" s="59"/>
      <c r="C42" s="132"/>
      <c r="D42" s="122" t="str">
        <f>IF(OR(D25="X",AND(File_Marr_Sep&lt;&gt;"",O5="")),"",IF(J33&lt;J27,"X",""))</f>
        <v/>
      </c>
      <c r="E42" s="72" t="s">
        <v>3655</v>
      </c>
      <c r="F42" s="68"/>
      <c r="G42" s="63"/>
      <c r="H42" s="73" t="s">
        <v>3217</v>
      </c>
      <c r="I42" s="68">
        <f>C37</f>
        <v>9</v>
      </c>
      <c r="J42" s="1711" t="str">
        <f>IF(OR(D25="X",H37,D39="X"),"",J27-J33)</f>
        <v/>
      </c>
      <c r="K42" s="70"/>
      <c r="L42" s="754"/>
      <c r="M42" s="63"/>
      <c r="N42" s="24"/>
      <c r="O42" s="24"/>
      <c r="P42" s="24"/>
      <c r="Q42" s="24"/>
      <c r="R42" s="24"/>
      <c r="S42" s="3742"/>
      <c r="T42" s="3169"/>
      <c r="U42" s="3169"/>
      <c r="V42" s="3169"/>
      <c r="W42" s="3169"/>
      <c r="X42" s="3169"/>
      <c r="Y42" s="3169"/>
      <c r="Z42" s="3169"/>
      <c r="AA42" s="1563"/>
    </row>
    <row r="43" spans="1:27" ht="15" customHeight="1">
      <c r="A43" s="82"/>
      <c r="B43" s="59"/>
      <c r="C43" s="132">
        <v>10</v>
      </c>
      <c r="D43" s="24" t="str">
        <f>"Enter: "&amp;TEXT(P44,"$0,000")&amp;" if married filing jointly; "&amp;TEXT(P45,"$0,000")&amp;" if single, head of household, qualifying"</f>
        <v>Enter: $12,000 if married filing jointly; $9,000 if single, head of household, qualifying</v>
      </c>
      <c r="E43" s="106"/>
      <c r="F43" s="68"/>
      <c r="G43" s="72"/>
      <c r="H43" s="72"/>
      <c r="I43" s="68"/>
      <c r="J43" s="63"/>
      <c r="K43" s="70"/>
      <c r="L43" s="754"/>
      <c r="M43" s="63"/>
      <c r="N43" s="24"/>
      <c r="O43" s="24"/>
      <c r="P43" s="24"/>
      <c r="Q43" s="24"/>
      <c r="R43" s="24"/>
      <c r="S43" s="3742"/>
      <c r="T43" s="3169"/>
      <c r="U43" s="3169"/>
      <c r="V43" s="3169"/>
      <c r="W43" s="3169"/>
      <c r="X43" s="3169"/>
      <c r="Y43" s="3169"/>
      <c r="Z43" s="3169"/>
      <c r="AA43" s="1563"/>
    </row>
    <row r="44" spans="1:27">
      <c r="A44" s="82"/>
      <c r="B44" s="59"/>
      <c r="C44" s="132"/>
      <c r="D44" s="24" t="s">
        <v>478</v>
      </c>
      <c r="E44" s="109"/>
      <c r="F44" s="68"/>
      <c r="G44" s="63"/>
      <c r="H44" s="795">
        <f>TaxYear</f>
        <v>2018</v>
      </c>
      <c r="I44" s="68">
        <f>C43</f>
        <v>10</v>
      </c>
      <c r="J44" s="1711" t="str">
        <f>IF(OR(D25="X",D39="X",H37),"",IF(OR(File_Single&lt;&gt;"",File_Head&lt;&gt;"",File_Qual_Widow&lt;&gt;"",AND(File_Marr_Sep&lt;&gt;"",O5&lt;&gt;"")),P45,IF(AND(File_Marr_Joint&lt;&gt;""),P44,IF(AND(File_Marr_Sep&lt;&gt;"",O5=""),0,0))))</f>
        <v/>
      </c>
      <c r="K44" s="497"/>
      <c r="L44" s="800"/>
      <c r="M44" s="63"/>
      <c r="N44" s="24"/>
      <c r="O44" s="24"/>
      <c r="P44" s="14">
        <v>12000</v>
      </c>
      <c r="Q44" s="24"/>
      <c r="R44" s="24"/>
      <c r="S44" s="3742"/>
      <c r="T44" s="3169"/>
      <c r="U44" s="3169"/>
      <c r="V44" s="3169"/>
      <c r="W44" s="3169"/>
      <c r="X44" s="3169"/>
      <c r="Y44" s="3169"/>
      <c r="Z44" s="3169"/>
      <c r="AA44" s="1563"/>
    </row>
    <row r="45" spans="1:27">
      <c r="A45" s="82"/>
      <c r="B45" s="59"/>
      <c r="C45" s="132">
        <v>11</v>
      </c>
      <c r="D45" s="24" t="s">
        <v>91</v>
      </c>
      <c r="E45" s="106"/>
      <c r="F45" s="68"/>
      <c r="G45" s="110"/>
      <c r="H45" s="73" t="s">
        <v>3654</v>
      </c>
      <c r="I45" s="68">
        <v>11</v>
      </c>
      <c r="J45" s="1711" t="str">
        <f>IF(OR(D25="X",D39="X",H37),"",IF((J42-J44)&lt;0,0,(J42-J44)))</f>
        <v/>
      </c>
      <c r="K45" s="498"/>
      <c r="L45" s="801"/>
      <c r="M45" s="63"/>
      <c r="N45" s="24"/>
      <c r="O45" s="24"/>
      <c r="P45" s="14">
        <v>9000</v>
      </c>
      <c r="Q45" s="24"/>
      <c r="R45" s="24"/>
      <c r="S45" s="3742"/>
      <c r="T45" s="3169"/>
      <c r="U45" s="3169"/>
      <c r="V45" s="3169"/>
      <c r="W45" s="3169"/>
      <c r="X45" s="3169"/>
      <c r="Y45" s="3169"/>
      <c r="Z45" s="3169"/>
      <c r="AA45" s="1563"/>
    </row>
    <row r="46" spans="1:27">
      <c r="A46" s="82"/>
      <c r="B46" s="59"/>
      <c r="C46" s="132">
        <v>12</v>
      </c>
      <c r="D46" s="24" t="s">
        <v>199</v>
      </c>
      <c r="E46" s="106"/>
      <c r="F46" s="68"/>
      <c r="G46" s="110"/>
      <c r="H46" s="73" t="s">
        <v>1485</v>
      </c>
      <c r="I46" s="68">
        <v>12</v>
      </c>
      <c r="J46" s="1711" t="str">
        <f>IF(OR(D25="X",D39="X",H37),"",MIN(J42,J44))</f>
        <v/>
      </c>
      <c r="K46" s="498"/>
      <c r="L46" s="801"/>
      <c r="M46" s="63"/>
      <c r="N46" s="24"/>
      <c r="O46" s="24"/>
      <c r="P46" s="24"/>
      <c r="Q46" s="24"/>
      <c r="R46" s="24"/>
      <c r="S46" s="3742"/>
      <c r="T46" s="3169"/>
      <c r="U46" s="3169"/>
      <c r="V46" s="3169"/>
      <c r="W46" s="3169"/>
      <c r="X46" s="3169"/>
      <c r="Y46" s="3169"/>
      <c r="Z46" s="3169"/>
      <c r="AA46" s="1563"/>
    </row>
    <row r="47" spans="1:27">
      <c r="A47" s="82"/>
      <c r="B47" s="59"/>
      <c r="C47" s="132">
        <v>13</v>
      </c>
      <c r="D47" s="74" t="s">
        <v>3652</v>
      </c>
      <c r="E47" s="106"/>
      <c r="F47" s="68"/>
      <c r="G47" s="110"/>
      <c r="H47" s="73" t="s">
        <v>737</v>
      </c>
      <c r="I47" s="68">
        <v>13</v>
      </c>
      <c r="J47" s="1711" t="str">
        <f>IF(OR(D25="X",D39="X",H37),"",0.5*J46)</f>
        <v/>
      </c>
      <c r="K47" s="498"/>
      <c r="L47" s="801"/>
      <c r="M47" s="63"/>
      <c r="N47" s="24"/>
      <c r="O47" s="24"/>
      <c r="P47" s="24"/>
      <c r="Q47" s="24"/>
      <c r="R47" s="24"/>
      <c r="S47" s="3742"/>
      <c r="T47" s="3169"/>
      <c r="U47" s="3169"/>
      <c r="V47" s="3169"/>
      <c r="W47" s="3169"/>
      <c r="X47" s="3169"/>
      <c r="Y47" s="3169"/>
      <c r="Z47" s="3169"/>
      <c r="AA47" s="1563"/>
    </row>
    <row r="48" spans="1:27">
      <c r="A48" s="82"/>
      <c r="B48" s="59"/>
      <c r="C48" s="132">
        <v>14</v>
      </c>
      <c r="D48" s="74" t="s">
        <v>3653</v>
      </c>
      <c r="E48" s="106"/>
      <c r="F48" s="68"/>
      <c r="G48" s="110"/>
      <c r="H48" s="73" t="s">
        <v>362</v>
      </c>
      <c r="I48" s="68">
        <v>14</v>
      </c>
      <c r="J48" s="1711" t="str">
        <f>IF(OR(D25="X",D39="X",H37),"",MIN(J15,J47))</f>
        <v/>
      </c>
      <c r="K48" s="498"/>
      <c r="L48" s="801"/>
      <c r="M48" s="63"/>
      <c r="N48" s="24"/>
      <c r="O48" s="24"/>
      <c r="P48" s="24"/>
      <c r="Q48" s="24"/>
      <c r="R48" s="24"/>
      <c r="S48" s="3742"/>
      <c r="T48" s="3169"/>
      <c r="U48" s="3169"/>
      <c r="V48" s="3169"/>
      <c r="W48" s="3169"/>
      <c r="X48" s="3169"/>
      <c r="Y48" s="3169"/>
      <c r="Z48" s="3169"/>
      <c r="AA48" s="1563"/>
    </row>
    <row r="49" spans="1:27">
      <c r="A49" s="82"/>
      <c r="B49" s="59"/>
      <c r="C49" s="132">
        <v>15</v>
      </c>
      <c r="D49" s="24" t="str">
        <f>"Multiply line 11 by "&amp;TEXT(H35,"0%")&amp;" ("&amp;TEXT(H35,"0.00")&amp;").  If line 11 is zero, enter -0-"</f>
        <v>Multiply line 11 by 85% (0.85).  If line 11 is zero, enter -0-</v>
      </c>
      <c r="E49" s="106"/>
      <c r="F49" s="68"/>
      <c r="G49" s="110"/>
      <c r="H49" s="73" t="s">
        <v>279</v>
      </c>
      <c r="I49" s="68">
        <v>15</v>
      </c>
      <c r="J49" s="1711" t="str">
        <f>IF(OR(D25="X",D39="X",H37),"",J45*H35)</f>
        <v/>
      </c>
      <c r="K49" s="498"/>
      <c r="L49" s="801"/>
      <c r="M49" s="63"/>
      <c r="N49" s="24"/>
      <c r="O49" s="24"/>
      <c r="P49" s="24"/>
      <c r="Q49" s="24"/>
      <c r="R49" s="24"/>
      <c r="S49" s="3742"/>
      <c r="T49" s="3169"/>
      <c r="U49" s="3169"/>
      <c r="V49" s="3169"/>
      <c r="W49" s="3169"/>
      <c r="X49" s="3169"/>
      <c r="Y49" s="3169"/>
      <c r="Z49" s="3169"/>
      <c r="AA49" s="1563"/>
    </row>
    <row r="50" spans="1:27">
      <c r="A50" s="82"/>
      <c r="B50" s="59"/>
      <c r="C50" s="132">
        <v>16</v>
      </c>
      <c r="D50" s="74" t="s">
        <v>3651</v>
      </c>
      <c r="E50" s="106"/>
      <c r="F50" s="68"/>
      <c r="G50" s="110"/>
      <c r="H50" s="73" t="s">
        <v>629</v>
      </c>
      <c r="I50" s="68">
        <v>16</v>
      </c>
      <c r="J50" s="1711" t="str">
        <f>IF(OR(D25="X",D39="X"),"",IF(H37,ROUND(J27*H35,0),IF(D39="X","",SUM(J48,J49))))</f>
        <v/>
      </c>
      <c r="K50" s="498"/>
      <c r="L50" s="801"/>
      <c r="M50" s="63"/>
      <c r="N50" s="24"/>
      <c r="O50" s="24"/>
      <c r="P50" s="24"/>
      <c r="Q50" s="24"/>
      <c r="R50" s="24"/>
      <c r="S50" s="3742"/>
      <c r="T50" s="3169"/>
      <c r="U50" s="3169"/>
      <c r="V50" s="3169"/>
      <c r="W50" s="3169"/>
      <c r="X50" s="3169"/>
      <c r="Y50" s="3169"/>
      <c r="Z50" s="3169"/>
      <c r="AA50" s="1563"/>
    </row>
    <row r="51" spans="1:27">
      <c r="A51" s="82"/>
      <c r="B51" s="59"/>
      <c r="C51" s="132">
        <v>17</v>
      </c>
      <c r="D51" s="24" t="str">
        <f>"Multiply line 1 by "&amp;TEXT(H35,"0%")&amp;" ("&amp;TEXT(H35,"0.00")&amp;")."</f>
        <v>Multiply line 1 by 85% (0.85).</v>
      </c>
      <c r="E51" s="24"/>
      <c r="F51" s="68"/>
      <c r="G51" s="110"/>
      <c r="H51" s="73" t="s">
        <v>238</v>
      </c>
      <c r="I51" s="68">
        <v>17</v>
      </c>
      <c r="J51" s="1711" t="str">
        <f>IF(OR(D25="X",LivedApart="?",AND(TotalSocSecBenefits=0,P14="")),"",IF(AND(File_Marr_Sep&lt;&gt;"",O5=""),G14*H35,IF(D39="X","",G14*H35)))</f>
        <v/>
      </c>
      <c r="K51" s="498"/>
      <c r="L51" s="801"/>
      <c r="M51" s="63"/>
      <c r="N51" s="24"/>
      <c r="O51" s="24"/>
      <c r="P51" s="24"/>
      <c r="Q51" s="24"/>
      <c r="R51" s="24"/>
      <c r="S51" s="3742"/>
      <c r="T51" s="3169"/>
      <c r="U51" s="3169"/>
      <c r="V51" s="3169"/>
      <c r="W51" s="3169"/>
      <c r="X51" s="3169"/>
      <c r="Y51" s="3169"/>
      <c r="Z51" s="3169"/>
      <c r="AA51" s="1563"/>
    </row>
    <row r="52" spans="1:27">
      <c r="A52" s="82"/>
      <c r="B52" s="59"/>
      <c r="C52" s="132">
        <v>18</v>
      </c>
      <c r="D52" s="25" t="s">
        <v>220</v>
      </c>
      <c r="E52" s="106"/>
      <c r="F52" s="68"/>
      <c r="G52" s="110"/>
      <c r="H52" s="110"/>
      <c r="I52" s="68"/>
      <c r="J52" s="63"/>
      <c r="K52" s="498"/>
      <c r="L52" s="801"/>
      <c r="M52" s="63"/>
      <c r="N52" s="24"/>
      <c r="O52" s="24"/>
      <c r="P52" s="24"/>
      <c r="Q52" s="24"/>
      <c r="R52" s="24"/>
      <c r="S52" s="3742"/>
      <c r="T52" s="3169"/>
      <c r="U52" s="3169"/>
      <c r="V52" s="3169"/>
      <c r="W52" s="3169"/>
      <c r="X52" s="3169"/>
      <c r="Y52" s="3169"/>
      <c r="Z52" s="3169"/>
      <c r="AA52" s="1563"/>
    </row>
    <row r="53" spans="1:27">
      <c r="A53" s="82"/>
      <c r="B53" s="59"/>
      <c r="C53" s="132"/>
      <c r="D53" s="134" t="s">
        <v>3650</v>
      </c>
      <c r="E53" s="112"/>
      <c r="F53" s="68"/>
      <c r="G53" s="110"/>
      <c r="H53" s="73" t="s">
        <v>157</v>
      </c>
      <c r="I53" s="68">
        <f>C52</f>
        <v>18</v>
      </c>
      <c r="J53" s="1711">
        <f>IF(P53&lt;&gt;"",ROUND(P53,0),IF(AND(P14="",TotalSocSecBenefits=0),0,IF(AND(G14&lt;&gt;0,LivedApart="?"),"Answer question.",IF(OR(D25="X",D39="X"),0,IF(H37,MIN(J50,J51),IF(D39="X",0,MIN(J50,J51)))))))</f>
        <v>0</v>
      </c>
      <c r="K53" s="111"/>
      <c r="L53" s="758"/>
      <c r="M53" s="63"/>
      <c r="N53" s="24"/>
      <c r="O53" s="24"/>
      <c r="P53" s="395"/>
      <c r="Q53" s="24"/>
      <c r="R53" s="24"/>
      <c r="S53" s="3742"/>
      <c r="T53" s="3169"/>
      <c r="U53" s="3169"/>
      <c r="V53" s="3169"/>
      <c r="W53" s="3169"/>
      <c r="X53" s="3169"/>
      <c r="Y53" s="3169"/>
      <c r="Z53" s="3169"/>
      <c r="AA53" s="1563"/>
    </row>
    <row r="54" spans="1:27" ht="7.5" customHeight="1">
      <c r="A54" s="82"/>
      <c r="B54" s="59"/>
      <c r="C54" s="132"/>
      <c r="D54" s="123"/>
      <c r="E54" s="124"/>
      <c r="F54" s="68"/>
      <c r="G54" s="110"/>
      <c r="H54" s="110"/>
      <c r="I54" s="68"/>
      <c r="J54" s="110"/>
      <c r="K54" s="111"/>
      <c r="L54" s="758"/>
      <c r="M54" s="63"/>
      <c r="N54" s="24"/>
      <c r="O54" s="24"/>
      <c r="P54" s="24"/>
      <c r="Q54" s="24"/>
      <c r="R54" s="24"/>
      <c r="S54" s="3742"/>
      <c r="T54" s="3169"/>
      <c r="U54" s="3169"/>
      <c r="V54" s="3169"/>
      <c r="W54" s="3169"/>
      <c r="X54" s="3169"/>
      <c r="Y54" s="3169"/>
      <c r="Z54" s="3169"/>
      <c r="AA54" s="1563"/>
    </row>
    <row r="55" spans="1:27" ht="12.75" customHeight="1">
      <c r="A55" s="82"/>
      <c r="B55" s="59"/>
      <c r="C55" s="132"/>
      <c r="D55" s="579"/>
      <c r="E55" s="124" t="str">
        <f>"   If any of your benefits are taxable for "&amp;TaxYear&amp;" and they include a lump-sum benefit payment that was for an earlier"</f>
        <v xml:space="preserve">   If any of your benefits are taxable for 2018 and they include a lump-sum benefit payment that was for an earlier</v>
      </c>
      <c r="F55" s="68"/>
      <c r="G55" s="110"/>
      <c r="H55" s="110"/>
      <c r="I55" s="68"/>
      <c r="J55" s="110"/>
      <c r="K55" s="111"/>
      <c r="L55" s="758"/>
      <c r="M55" s="63"/>
      <c r="N55" s="24"/>
      <c r="O55" s="24"/>
      <c r="P55" s="24"/>
      <c r="Q55" s="24"/>
      <c r="R55" s="24"/>
      <c r="S55" s="3742"/>
      <c r="T55" s="3169"/>
      <c r="U55" s="3169"/>
      <c r="V55" s="3169"/>
      <c r="W55" s="3169"/>
      <c r="X55" s="3169"/>
      <c r="Y55" s="3169"/>
      <c r="Z55" s="3169"/>
      <c r="AA55" s="1563"/>
    </row>
    <row r="56" spans="1:27">
      <c r="A56" s="82"/>
      <c r="B56" s="59"/>
      <c r="C56" s="132"/>
      <c r="D56" s="123"/>
      <c r="E56" s="580" t="s">
        <v>1320</v>
      </c>
      <c r="F56" s="68"/>
      <c r="G56" s="110"/>
      <c r="H56" s="110"/>
      <c r="I56" s="68"/>
      <c r="J56" s="110"/>
      <c r="K56" s="111"/>
      <c r="L56" s="758"/>
      <c r="M56" s="63"/>
      <c r="N56" s="24"/>
      <c r="O56" s="24"/>
      <c r="P56" s="24"/>
      <c r="Q56" s="24"/>
      <c r="R56" s="24"/>
      <c r="S56" s="3742"/>
      <c r="T56" s="3169"/>
      <c r="U56" s="3169"/>
      <c r="V56" s="3169"/>
      <c r="W56" s="3169"/>
      <c r="X56" s="3169"/>
      <c r="Y56" s="3169"/>
      <c r="Z56" s="3169"/>
      <c r="AA56" s="1563"/>
    </row>
    <row r="57" spans="1:27" ht="13.5" thickBot="1">
      <c r="A57" s="82"/>
      <c r="B57" s="93"/>
      <c r="C57" s="39"/>
      <c r="D57" s="39"/>
      <c r="E57" s="39"/>
      <c r="F57" s="39"/>
      <c r="G57" s="39"/>
      <c r="H57" s="39"/>
      <c r="I57" s="39"/>
      <c r="J57" s="39"/>
      <c r="K57" s="102"/>
      <c r="L57" s="82"/>
      <c r="M57" s="63"/>
      <c r="N57" s="24"/>
      <c r="O57" s="24"/>
      <c r="P57" s="24"/>
      <c r="Q57" s="24"/>
      <c r="R57" s="24"/>
      <c r="S57" s="3742"/>
      <c r="T57" s="3169"/>
      <c r="U57" s="3169"/>
      <c r="V57" s="3169"/>
      <c r="W57" s="3169"/>
      <c r="X57" s="3169"/>
      <c r="Y57" s="3169"/>
      <c r="Z57" s="3169"/>
      <c r="AA57" s="1563"/>
    </row>
    <row r="58" spans="1:27">
      <c r="A58" s="82"/>
      <c r="B58" s="82"/>
      <c r="C58" s="82"/>
      <c r="D58" s="82"/>
      <c r="E58" s="82"/>
      <c r="F58" s="82"/>
      <c r="G58" s="82"/>
      <c r="H58" s="82"/>
      <c r="I58" s="82"/>
      <c r="J58" s="82"/>
      <c r="K58" s="82"/>
      <c r="L58" s="82"/>
      <c r="M58" s="63"/>
      <c r="N58" s="24"/>
      <c r="O58" s="24"/>
      <c r="P58" s="24"/>
      <c r="Q58" s="24"/>
      <c r="R58" s="24"/>
      <c r="S58" s="3742"/>
      <c r="T58" s="3169"/>
      <c r="U58" s="3169"/>
      <c r="V58" s="3169"/>
      <c r="W58" s="3169"/>
      <c r="X58" s="3169"/>
      <c r="Y58" s="3169"/>
      <c r="Z58" s="3169"/>
      <c r="AA58" s="1563"/>
    </row>
    <row r="59" spans="1:27" ht="11.25" customHeight="1">
      <c r="A59" s="63"/>
      <c r="B59" s="24"/>
      <c r="C59" s="24"/>
      <c r="D59" s="24"/>
      <c r="E59" s="24"/>
      <c r="F59" s="24"/>
      <c r="G59" s="63"/>
      <c r="H59" s="24"/>
      <c r="I59" s="24"/>
      <c r="J59" s="24"/>
      <c r="K59" s="24"/>
      <c r="L59" s="24"/>
      <c r="M59" s="24"/>
      <c r="N59" s="24"/>
      <c r="O59" s="24"/>
      <c r="P59" s="24"/>
      <c r="Q59" s="24"/>
      <c r="R59" s="24"/>
      <c r="S59" s="24"/>
      <c r="T59" s="24"/>
      <c r="U59" s="24"/>
      <c r="V59" s="24"/>
      <c r="W59" s="24"/>
      <c r="X59" s="24"/>
      <c r="Y59" s="24"/>
      <c r="Z59" s="24"/>
      <c r="AA59" s="24"/>
    </row>
  </sheetData>
  <sheetProtection password="F07E" sheet="1" objects="1" scenarios="1"/>
  <mergeCells count="1">
    <mergeCell ref="G14:H14"/>
  </mergeCells>
  <phoneticPr fontId="12" type="noConversion"/>
  <conditionalFormatting sqref="G14:H14 J44:J51 J53">
    <cfRule type="expression" dxfId="2653" priority="22">
      <formula>IF(NoColor,1,0)</formula>
    </cfRule>
  </conditionalFormatting>
  <conditionalFormatting sqref="J15">
    <cfRule type="expression" dxfId="2652" priority="21">
      <formula>IF(NoColor,1,0)</formula>
    </cfRule>
  </conditionalFormatting>
  <conditionalFormatting sqref="J17:J19">
    <cfRule type="expression" dxfId="2651" priority="20">
      <formula>IF(NoColor,1,0)</formula>
    </cfRule>
  </conditionalFormatting>
  <conditionalFormatting sqref="J22">
    <cfRule type="expression" dxfId="2650" priority="19">
      <formula>IF(NoColor,1,0)</formula>
    </cfRule>
  </conditionalFormatting>
  <conditionalFormatting sqref="J27">
    <cfRule type="expression" dxfId="2649" priority="18">
      <formula>IF(NoColor,1,0)</formula>
    </cfRule>
  </conditionalFormatting>
  <conditionalFormatting sqref="J33">
    <cfRule type="expression" dxfId="2648" priority="14">
      <formula>IF(LivedApart="?",1,0)</formula>
    </cfRule>
    <cfRule type="expression" dxfId="2647" priority="17">
      <formula>IF(NoColor,1,0)</formula>
    </cfRule>
  </conditionalFormatting>
  <conditionalFormatting sqref="J42">
    <cfRule type="expression" dxfId="2646" priority="16">
      <formula>IF(NoColor,1,0)</formula>
    </cfRule>
  </conditionalFormatting>
  <conditionalFormatting sqref="J53">
    <cfRule type="expression" dxfId="2645" priority="13">
      <formula>IF(AND(TotalSocSecBenefit&gt;0,LivedApart="?"),1,0)</formula>
    </cfRule>
  </conditionalFormatting>
  <conditionalFormatting sqref="P5">
    <cfRule type="expression" dxfId="2644" priority="8">
      <formula>IF($N$6=1,1,0)</formula>
    </cfRule>
  </conditionalFormatting>
  <conditionalFormatting sqref="P7">
    <cfRule type="expression" dxfId="2643" priority="7">
      <formula>IF($N$6=1,1,0)</formula>
    </cfRule>
  </conditionalFormatting>
  <conditionalFormatting sqref="O5:O9">
    <cfRule type="expression" dxfId="2642" priority="6">
      <formula>AND(LivedApartAnswered,File_Marr_Sep&lt;&gt;"")</formula>
    </cfRule>
  </conditionalFormatting>
  <conditionalFormatting sqref="P9">
    <cfRule type="expression" dxfId="2641" priority="5">
      <formula>LivedApartAnswered</formula>
    </cfRule>
  </conditionalFormatting>
  <conditionalFormatting sqref="N4:Q10">
    <cfRule type="expression" dxfId="2640" priority="4" stopIfTrue="1">
      <formula>(File_Marr_Sep="")</formula>
    </cfRule>
  </conditionalFormatting>
  <conditionalFormatting sqref="O10">
    <cfRule type="expression" dxfId="2639" priority="3">
      <formula>AND(LivedApartAnswered,File_Marr_Sep&lt;&gt;"")</formula>
    </cfRule>
  </conditionalFormatting>
  <conditionalFormatting sqref="N3:Q3">
    <cfRule type="expression" dxfId="2638" priority="2" stopIfTrue="1">
      <formula>(File_Marr_Sep="")</formula>
    </cfRule>
  </conditionalFormatting>
  <conditionalFormatting sqref="O4">
    <cfRule type="expression" dxfId="2637" priority="1">
      <formula>AND(LivedApartAnswered,File_Marr_Sep&lt;&gt;"")</formula>
    </cfRule>
  </conditionalFormatting>
  <printOptions horizontalCentered="1"/>
  <pageMargins left="0.2" right="0.2" top="0.5" bottom="0.25" header="0" footer="0"/>
  <pageSetup scale="95"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8"/>
  <sheetViews>
    <sheetView zoomScaleNormal="100" workbookViewId="0">
      <selection activeCell="N17" sqref="N17"/>
    </sheetView>
  </sheetViews>
  <sheetFormatPr defaultRowHeight="12.75"/>
  <cols>
    <col min="1" max="1" width="3.140625" customWidth="1"/>
    <col min="2" max="2" width="8.140625" style="46" customWidth="1"/>
    <col min="3" max="3" width="3.42578125" style="46" customWidth="1"/>
    <col min="4" max="4" width="8.28515625" style="46" customWidth="1"/>
    <col min="5" max="5" width="3.28515625" style="46" customWidth="1"/>
    <col min="6" max="6" width="11.28515625" style="46" customWidth="1"/>
    <col min="7" max="7" width="12" style="46" customWidth="1"/>
    <col min="8" max="8" width="15.5703125" style="46" customWidth="1"/>
    <col min="9" max="9" width="8.5703125" style="46" customWidth="1"/>
    <col min="10" max="10" width="8" style="46" customWidth="1"/>
    <col min="11" max="11" width="10.140625" style="46" customWidth="1"/>
    <col min="12" max="12" width="9.85546875" style="46" customWidth="1"/>
    <col min="13" max="13" width="3.42578125" style="46" customWidth="1"/>
    <col min="14" max="14" width="11.140625" style="46" customWidth="1"/>
    <col min="15" max="15" width="2.7109375" style="46" customWidth="1"/>
    <col min="16" max="16" width="3.5703125" customWidth="1"/>
    <col min="17" max="17" width="13.7109375" style="4352" customWidth="1"/>
    <col min="18" max="28" width="10.7109375" style="4351" customWidth="1"/>
  </cols>
  <sheetData>
    <row r="1" spans="1:29" ht="17.25" customHeight="1" thickBot="1">
      <c r="A1" s="4379"/>
      <c r="B1" s="1443"/>
      <c r="C1" s="1443"/>
      <c r="D1" s="1443"/>
      <c r="E1" s="1443"/>
      <c r="F1" s="1443"/>
      <c r="G1" s="1443"/>
      <c r="H1" s="1443"/>
      <c r="I1" s="1443"/>
      <c r="J1" s="1443"/>
      <c r="K1" s="1443"/>
      <c r="L1" s="1443"/>
      <c r="M1" s="1443"/>
      <c r="N1" s="1443"/>
      <c r="O1" s="1443"/>
      <c r="P1" s="1766"/>
      <c r="Q1" s="3741" t="s">
        <v>2552</v>
      </c>
      <c r="R1" s="3169"/>
      <c r="S1" s="3169"/>
      <c r="T1" s="3169"/>
      <c r="U1" s="3169"/>
      <c r="V1" s="3169"/>
      <c r="W1" s="3169"/>
      <c r="X1" s="3169"/>
      <c r="Y1" s="3169"/>
      <c r="Z1" s="3169"/>
    </row>
    <row r="2" spans="1:29" ht="14.25" customHeight="1">
      <c r="A2" s="4379"/>
      <c r="B2" s="997"/>
      <c r="C2" s="1050"/>
      <c r="D2" s="993"/>
      <c r="E2" s="993"/>
      <c r="F2" s="993"/>
      <c r="G2" s="993"/>
      <c r="H2" s="993"/>
      <c r="I2" s="993"/>
      <c r="J2" s="998"/>
      <c r="K2" s="998"/>
      <c r="L2" s="998"/>
      <c r="M2" s="998"/>
      <c r="N2" s="993"/>
      <c r="O2" s="100"/>
      <c r="P2" s="1766"/>
      <c r="Q2" s="4026" t="s">
        <v>123</v>
      </c>
      <c r="R2" s="3169"/>
      <c r="S2" s="3169"/>
      <c r="T2" s="3169"/>
      <c r="U2" s="3169"/>
      <c r="V2" s="3169"/>
      <c r="W2" s="3169"/>
      <c r="X2" s="3169"/>
      <c r="Y2" s="3169"/>
      <c r="Z2" s="3169"/>
    </row>
    <row r="3" spans="1:29" ht="15.75">
      <c r="A3" s="4379"/>
      <c r="B3" s="1074" t="s">
        <v>3302</v>
      </c>
      <c r="C3" s="332"/>
      <c r="D3" s="275"/>
      <c r="E3" s="275"/>
      <c r="F3" s="275"/>
      <c r="G3" s="275"/>
      <c r="H3" s="275"/>
      <c r="I3" s="275"/>
      <c r="J3" s="1140" t="s">
        <v>272</v>
      </c>
      <c r="K3" s="1140"/>
      <c r="L3" s="4289"/>
      <c r="M3" s="4290"/>
      <c r="N3" s="4291" t="s">
        <v>200</v>
      </c>
      <c r="O3" s="101"/>
      <c r="P3" s="4744"/>
      <c r="Q3" s="3742"/>
      <c r="R3" s="3169"/>
      <c r="S3" s="3169"/>
      <c r="T3" s="3169"/>
      <c r="U3" s="3169"/>
      <c r="V3" s="3169"/>
      <c r="W3" s="3169"/>
      <c r="X3" s="3169"/>
      <c r="Y3" s="3169"/>
      <c r="Z3" s="3169"/>
    </row>
    <row r="4" spans="1:29" ht="12.75" customHeight="1">
      <c r="A4" s="4379"/>
      <c r="B4" s="1052"/>
      <c r="C4" s="275"/>
      <c r="D4" s="2606"/>
      <c r="E4" s="275"/>
      <c r="F4" s="275"/>
      <c r="G4" s="275"/>
      <c r="H4" s="419"/>
      <c r="I4" s="24"/>
      <c r="J4" s="52" t="str">
        <f>IF(L4,"Yes","No")</f>
        <v>No</v>
      </c>
      <c r="K4" s="52"/>
      <c r="L4" s="4288" t="b">
        <f>IF(OR(DependentYOU&lt;&gt;"",DependentSPOUSE&lt;&gt;""),TRUE,FALSE)</f>
        <v>0</v>
      </c>
      <c r="M4" s="4288"/>
      <c r="N4" s="14"/>
      <c r="O4" s="101"/>
      <c r="P4" s="1766"/>
      <c r="Q4" s="3742"/>
      <c r="R4" s="3169"/>
      <c r="S4" s="3169"/>
      <c r="T4" s="3169"/>
      <c r="U4" s="3169"/>
      <c r="V4" s="3169"/>
      <c r="W4" s="3169"/>
      <c r="X4" s="3169"/>
      <c r="Y4" s="3169"/>
      <c r="Z4" s="3169"/>
      <c r="AC4" s="1701"/>
    </row>
    <row r="5" spans="1:29" ht="13.5" customHeight="1">
      <c r="A5" s="1876"/>
      <c r="B5" s="1132"/>
      <c r="C5" s="1139" t="s">
        <v>698</v>
      </c>
      <c r="D5" s="1133"/>
      <c r="E5" s="1134"/>
      <c r="F5" s="1134"/>
      <c r="G5" s="1134"/>
      <c r="H5" s="1135"/>
      <c r="I5" s="1091"/>
      <c r="J5" s="1091"/>
      <c r="K5" s="1091"/>
      <c r="L5" s="1136"/>
      <c r="M5" s="3119"/>
      <c r="N5" s="1137"/>
      <c r="O5" s="1138"/>
      <c r="P5" s="1766"/>
      <c r="Q5" s="3742"/>
      <c r="R5" s="3169"/>
      <c r="S5" s="3169"/>
      <c r="T5" s="3169"/>
      <c r="U5" s="3169"/>
      <c r="V5" s="3169"/>
      <c r="W5" s="3169"/>
      <c r="X5" s="3169"/>
      <c r="Y5" s="3169"/>
      <c r="Z5" s="3169"/>
    </row>
    <row r="6" spans="1:29" ht="13.5" customHeight="1">
      <c r="A6" s="1876"/>
      <c r="B6" s="1052"/>
      <c r="C6" s="4286"/>
      <c r="D6" s="74"/>
      <c r="E6" s="275"/>
      <c r="F6" s="275"/>
      <c r="G6" s="275"/>
      <c r="H6" s="419"/>
      <c r="I6" s="24"/>
      <c r="J6" s="24"/>
      <c r="K6" s="24"/>
      <c r="L6" s="52"/>
      <c r="M6" s="52"/>
      <c r="N6" s="14"/>
      <c r="O6" s="101"/>
      <c r="P6" s="1766"/>
      <c r="Q6" s="3742"/>
      <c r="R6" s="3169"/>
      <c r="S6" s="3169"/>
      <c r="T6" s="3169"/>
      <c r="U6" s="3169"/>
      <c r="V6" s="3169"/>
      <c r="W6" s="3169"/>
      <c r="X6" s="3169"/>
      <c r="Y6" s="3169"/>
      <c r="Z6" s="3169"/>
    </row>
    <row r="7" spans="1:29" ht="13.5" customHeight="1">
      <c r="A7" s="3074">
        <f>IF(E7&lt;&gt;"",1,0)</f>
        <v>0</v>
      </c>
      <c r="B7" s="1053" t="s">
        <v>336</v>
      </c>
      <c r="C7" s="4286"/>
      <c r="D7" s="74" t="s">
        <v>3656</v>
      </c>
      <c r="E7" s="2304" t="str">
        <f>IF(you_over_64&lt;&gt;"","X","")</f>
        <v/>
      </c>
      <c r="F7" s="2918" t="s">
        <v>3658</v>
      </c>
      <c r="G7" s="2918"/>
      <c r="H7" s="74" t="str">
        <f>"January 2, "&amp;TaxYear-64</f>
        <v>January 2, 1954</v>
      </c>
      <c r="I7" s="24"/>
      <c r="J7" s="24"/>
      <c r="K7" s="24"/>
      <c r="L7" s="52"/>
      <c r="M7" s="52"/>
      <c r="N7" s="14"/>
      <c r="O7" s="101"/>
      <c r="P7" s="1766"/>
      <c r="Q7" s="3742"/>
      <c r="R7" s="3169"/>
      <c r="S7" s="3169"/>
      <c r="T7" s="3169"/>
      <c r="U7" s="3169"/>
      <c r="V7" s="3169"/>
      <c r="W7" s="3169"/>
      <c r="X7" s="3169"/>
      <c r="Y7" s="3169"/>
      <c r="Z7" s="3169"/>
    </row>
    <row r="8" spans="1:29" ht="13.5" customHeight="1">
      <c r="A8" s="1616"/>
      <c r="B8" s="1052"/>
      <c r="C8" s="4286"/>
      <c r="D8" s="74"/>
      <c r="E8" s="275"/>
      <c r="F8" s="275"/>
      <c r="G8" s="275"/>
      <c r="H8" s="419"/>
      <c r="I8" s="24"/>
      <c r="J8" s="24"/>
      <c r="K8" s="24"/>
      <c r="L8" s="52"/>
      <c r="M8" s="52"/>
      <c r="N8" s="14"/>
      <c r="O8" s="101"/>
      <c r="P8" s="1766"/>
      <c r="Q8" s="3742"/>
      <c r="R8" s="3169"/>
      <c r="S8" s="3169"/>
      <c r="T8" s="3169"/>
      <c r="U8" s="3169"/>
      <c r="V8" s="3169"/>
      <c r="W8" s="3169"/>
      <c r="X8" s="3169"/>
      <c r="Y8" s="3169"/>
      <c r="Z8" s="3169"/>
    </row>
    <row r="9" spans="1:29" ht="13.5" customHeight="1">
      <c r="A9" s="3074">
        <f>IF(E9&lt;&gt;"",1,0)</f>
        <v>0</v>
      </c>
      <c r="B9" s="1052"/>
      <c r="C9" s="4286"/>
      <c r="D9" s="74"/>
      <c r="E9" s="2304" t="str">
        <f>IF(you_blind&lt;&gt;"","X","")</f>
        <v/>
      </c>
      <c r="F9" s="2918" t="s">
        <v>3659</v>
      </c>
      <c r="G9" s="2918"/>
      <c r="H9" s="419"/>
      <c r="I9" s="24"/>
      <c r="J9" s="74" t="s">
        <v>3662</v>
      </c>
      <c r="K9" s="74"/>
      <c r="L9" s="52"/>
      <c r="M9" s="52"/>
      <c r="N9" s="14"/>
      <c r="O9" s="101"/>
      <c r="P9" s="1766"/>
      <c r="Q9" s="3742"/>
      <c r="R9" s="3169"/>
      <c r="S9" s="3169"/>
      <c r="T9" s="3169"/>
      <c r="U9" s="3169"/>
      <c r="V9" s="3169"/>
      <c r="W9" s="3169"/>
      <c r="X9" s="3169"/>
      <c r="Y9" s="3169"/>
      <c r="Z9" s="3169"/>
    </row>
    <row r="10" spans="1:29" ht="13.5" customHeight="1">
      <c r="A10" s="1616"/>
      <c r="B10" s="1052"/>
      <c r="C10" s="4286"/>
      <c r="D10" s="74"/>
      <c r="E10" s="275"/>
      <c r="F10" s="275"/>
      <c r="G10" s="275"/>
      <c r="H10" s="419"/>
      <c r="I10" s="24"/>
      <c r="J10" s="24"/>
      <c r="K10" s="24"/>
      <c r="L10" s="43" t="s">
        <v>3661</v>
      </c>
      <c r="M10" s="1673" t="s">
        <v>336</v>
      </c>
      <c r="N10" s="4287">
        <f>IF(SUM(A7:A13)=0,0,SUM(A7:A13))</f>
        <v>0</v>
      </c>
      <c r="O10" s="101"/>
      <c r="P10" s="1766"/>
      <c r="Q10" s="3742"/>
      <c r="R10" s="3169"/>
      <c r="S10" s="3169"/>
      <c r="T10" s="3169"/>
      <c r="U10" s="3169"/>
      <c r="V10" s="3169"/>
      <c r="W10" s="3169"/>
      <c r="X10" s="3169"/>
      <c r="Y10" s="3169"/>
      <c r="Z10" s="3169"/>
    </row>
    <row r="11" spans="1:29" ht="13.5" customHeight="1">
      <c r="A11" s="3074">
        <f>IF(E11&lt;&gt;"",1,0)</f>
        <v>0</v>
      </c>
      <c r="B11" s="1053"/>
      <c r="C11" s="4286"/>
      <c r="D11" s="74"/>
      <c r="E11" s="2304" t="str">
        <f>IF(sp_over_64&lt;&gt;"","X","")</f>
        <v/>
      </c>
      <c r="F11" s="2918" t="s">
        <v>3657</v>
      </c>
      <c r="G11" s="2918"/>
      <c r="H11" s="74" t="str">
        <f>"January 2, "&amp;TaxYear-64</f>
        <v>January 2, 1954</v>
      </c>
      <c r="I11" s="24"/>
      <c r="J11" s="24"/>
      <c r="K11" s="24"/>
      <c r="L11" s="52"/>
      <c r="M11" s="52"/>
      <c r="N11" s="14"/>
      <c r="O11" s="101"/>
      <c r="P11" s="1766"/>
      <c r="Q11" s="3742"/>
      <c r="R11" s="3169"/>
      <c r="S11" s="3169"/>
      <c r="T11" s="3169"/>
      <c r="U11" s="3169"/>
      <c r="V11" s="3169"/>
      <c r="W11" s="3169"/>
      <c r="X11" s="3169"/>
      <c r="Y11" s="3169"/>
      <c r="Z11" s="3169"/>
    </row>
    <row r="12" spans="1:29" ht="13.5" customHeight="1">
      <c r="A12" s="1616"/>
      <c r="B12" s="1052"/>
      <c r="C12" s="4286"/>
      <c r="D12" s="74"/>
      <c r="E12" s="275"/>
      <c r="F12" s="275"/>
      <c r="G12" s="275"/>
      <c r="H12" s="419"/>
      <c r="I12" s="24"/>
      <c r="J12" s="24"/>
      <c r="K12" s="24"/>
      <c r="L12" s="52"/>
      <c r="M12" s="52"/>
      <c r="N12" s="14"/>
      <c r="O12" s="101"/>
      <c r="P12" s="1766"/>
      <c r="Q12" s="3742"/>
      <c r="R12" s="3169"/>
      <c r="S12" s="3169"/>
      <c r="T12" s="3169"/>
      <c r="U12" s="3169"/>
      <c r="V12" s="3169"/>
      <c r="W12" s="3169"/>
      <c r="X12" s="3169"/>
      <c r="Y12" s="3169"/>
      <c r="Z12" s="3169"/>
    </row>
    <row r="13" spans="1:29" ht="13.5" customHeight="1">
      <c r="A13" s="3074">
        <f>IF(E13&lt;&gt;"",1,0)</f>
        <v>0</v>
      </c>
      <c r="B13" s="1052"/>
      <c r="C13" s="4286"/>
      <c r="D13" s="74"/>
      <c r="E13" s="2304" t="str">
        <f>IF(sp_blind&lt;&gt;"","X","")</f>
        <v/>
      </c>
      <c r="F13" s="2918" t="s">
        <v>3660</v>
      </c>
      <c r="G13" s="2918"/>
      <c r="H13" s="419"/>
      <c r="I13" s="24"/>
      <c r="J13" s="24"/>
      <c r="K13" s="24"/>
      <c r="L13" s="52"/>
      <c r="M13" s="52"/>
      <c r="N13" s="14"/>
      <c r="O13" s="101"/>
      <c r="P13" s="1766"/>
      <c r="Q13" s="3742"/>
      <c r="R13" s="3169"/>
      <c r="S13" s="3169"/>
      <c r="T13" s="3169"/>
      <c r="U13" s="3169"/>
      <c r="V13" s="3169"/>
      <c r="W13" s="3169"/>
      <c r="X13" s="3169"/>
      <c r="Y13" s="3169"/>
      <c r="Z13" s="3169"/>
    </row>
    <row r="14" spans="1:29" ht="13.5" customHeight="1">
      <c r="A14" s="1876"/>
      <c r="B14" s="1054"/>
      <c r="C14" s="275"/>
      <c r="D14" s="41"/>
      <c r="E14" s="275"/>
      <c r="F14" s="994"/>
      <c r="G14" s="994"/>
      <c r="H14" s="996"/>
      <c r="I14" s="1141"/>
      <c r="J14" s="1142"/>
      <c r="K14" s="1142"/>
      <c r="L14" s="1142"/>
      <c r="M14" s="1142"/>
      <c r="N14" s="1143">
        <f>SD_Inc_Married</f>
        <v>1300</v>
      </c>
      <c r="O14" s="101"/>
      <c r="P14" s="1766"/>
      <c r="Q14" s="3742"/>
      <c r="R14" s="3169"/>
      <c r="S14" s="3169"/>
      <c r="T14" s="3169"/>
      <c r="U14" s="3169"/>
      <c r="V14" s="3169"/>
      <c r="W14" s="3169"/>
      <c r="X14" s="3169"/>
      <c r="Y14" s="3169"/>
      <c r="Z14" s="3169"/>
    </row>
    <row r="15" spans="1:29" ht="13.5" customHeight="1">
      <c r="A15" s="1876"/>
      <c r="B15" s="1671" t="s">
        <v>0</v>
      </c>
      <c r="C15" s="1051"/>
      <c r="D15" s="275" t="s">
        <v>20</v>
      </c>
      <c r="E15" s="275"/>
      <c r="F15" s="275"/>
      <c r="G15" s="275" t="str">
        <f>"more than "&amp;TEXT(L15,"$0")&amp;"?"</f>
        <v>more than $700?</v>
      </c>
      <c r="H15" s="996"/>
      <c r="I15" s="1142">
        <v>1050</v>
      </c>
      <c r="J15" s="1142"/>
      <c r="K15" s="1142"/>
      <c r="L15" s="1143">
        <v>700</v>
      </c>
      <c r="M15" s="1143"/>
      <c r="N15" s="1143">
        <f>SD_Inc_Single</f>
        <v>1600</v>
      </c>
      <c r="O15" s="101"/>
      <c r="P15" s="1766"/>
      <c r="Q15" s="3742"/>
      <c r="R15" s="3169"/>
      <c r="S15" s="3169"/>
      <c r="T15" s="3169"/>
      <c r="U15" s="3169"/>
      <c r="V15" s="3169"/>
      <c r="W15" s="3169"/>
      <c r="X15" s="3169"/>
      <c r="Y15" s="3169"/>
      <c r="Z15" s="3169"/>
    </row>
    <row r="16" spans="1:29" ht="13.5" customHeight="1">
      <c r="A16" s="1876"/>
      <c r="B16" s="1053"/>
      <c r="C16" s="2304" t="str">
        <f>IF(NOT(L4),"",IF(Earned_Income&gt;L15,"X",""))</f>
        <v/>
      </c>
      <c r="D16" s="43" t="s">
        <v>474</v>
      </c>
      <c r="E16" s="24" t="str">
        <f>"Add "&amp;TEXT(I16,"$0")&amp;" to your earned income. Enter the total"</f>
        <v>Add $350 to your earned income. Enter the total</v>
      </c>
      <c r="F16" s="24"/>
      <c r="G16" s="24"/>
      <c r="H16" s="24"/>
      <c r="I16" s="1142">
        <v>350</v>
      </c>
      <c r="J16" s="1142"/>
      <c r="K16" s="1142"/>
      <c r="L16" s="1143"/>
      <c r="M16" s="1143"/>
      <c r="N16" s="1143"/>
      <c r="O16" s="101"/>
      <c r="P16" s="1766"/>
      <c r="Q16" s="3742"/>
      <c r="R16" s="3169"/>
      <c r="S16" s="3169"/>
      <c r="T16" s="3169"/>
      <c r="U16" s="3169"/>
      <c r="V16" s="3169"/>
      <c r="W16" s="3169"/>
      <c r="X16" s="3169"/>
      <c r="Y16" s="3169"/>
      <c r="Z16" s="3169"/>
    </row>
    <row r="17" spans="1:26" ht="13.5" customHeight="1">
      <c r="A17" s="1876"/>
      <c r="B17" s="1053"/>
      <c r="C17" s="2304" t="str">
        <f>IF(NOT(L4),"",IF(Earned_Income&gt;L15,"","X"))</f>
        <v/>
      </c>
      <c r="D17" s="43" t="s">
        <v>472</v>
      </c>
      <c r="E17" s="24" t="str">
        <f>"Enter "&amp;TEXT(I15,"$0,000")</f>
        <v>Enter $1,050</v>
      </c>
      <c r="F17" s="24"/>
      <c r="G17" s="24"/>
      <c r="H17" s="24"/>
      <c r="I17" s="572"/>
      <c r="J17" s="42"/>
      <c r="K17" s="42"/>
      <c r="L17" s="42"/>
      <c r="M17" s="1129" t="str">
        <f>" .   .   .   .   .   .   .   .   .   .   .   .   .   .   2."</f>
        <v xml:space="preserve"> .   .   .   .   .   .   .   .   .   .   .   .   .   .   2.</v>
      </c>
      <c r="N17" s="2303" t="str">
        <f>IF(NOT(L4),"",IF(C16="X",SUM(I16,Earned_Income),I15))</f>
        <v/>
      </c>
      <c r="O17" s="101"/>
      <c r="P17" s="1766"/>
      <c r="Q17" s="3742"/>
      <c r="R17" s="3169"/>
      <c r="S17" s="3169"/>
      <c r="T17" s="3169"/>
      <c r="U17" s="3169"/>
      <c r="V17" s="3169"/>
      <c r="W17" s="3169"/>
      <c r="X17" s="3169"/>
      <c r="Y17" s="3169"/>
      <c r="Z17" s="3169"/>
    </row>
    <row r="18" spans="1:26" ht="13.5" customHeight="1">
      <c r="A18" s="1876"/>
      <c r="B18" s="1053"/>
      <c r="C18" s="1051"/>
      <c r="D18" s="275"/>
      <c r="E18" s="275"/>
      <c r="F18" s="275"/>
      <c r="G18" s="275"/>
      <c r="H18" s="996"/>
      <c r="I18" s="329"/>
      <c r="J18" s="329"/>
      <c r="K18" s="329"/>
      <c r="L18" s="14"/>
      <c r="M18" s="24"/>
      <c r="N18" s="14"/>
      <c r="O18" s="101"/>
      <c r="P18" s="1766"/>
      <c r="Q18" s="3742"/>
      <c r="R18" s="3169"/>
      <c r="S18" s="3169"/>
      <c r="T18" s="3169"/>
      <c r="U18" s="3169"/>
      <c r="V18" s="3169"/>
      <c r="W18" s="3169"/>
      <c r="X18" s="3169"/>
      <c r="Y18" s="3169"/>
      <c r="Z18" s="3169"/>
    </row>
    <row r="19" spans="1:26" ht="13.5" customHeight="1">
      <c r="A19" s="1876"/>
      <c r="B19" s="1671" t="s">
        <v>1</v>
      </c>
      <c r="C19" s="1051"/>
      <c r="D19" s="24" t="s">
        <v>214</v>
      </c>
      <c r="E19" s="24"/>
      <c r="F19" s="24"/>
      <c r="G19" s="24"/>
      <c r="H19" s="24"/>
      <c r="I19" s="14"/>
      <c r="J19" s="1125"/>
      <c r="K19" s="1125"/>
      <c r="L19" s="14"/>
      <c r="M19" s="1129"/>
      <c r="N19" s="464"/>
      <c r="O19" s="101"/>
      <c r="P19" s="1766"/>
      <c r="Q19" s="3742"/>
      <c r="R19" s="3169"/>
      <c r="S19" s="3169"/>
      <c r="T19" s="3169"/>
      <c r="U19" s="3169"/>
      <c r="V19" s="3169"/>
      <c r="W19" s="3169"/>
      <c r="X19" s="3169"/>
      <c r="Y19" s="3169"/>
      <c r="Z19" s="3169"/>
    </row>
    <row r="20" spans="1:26" ht="13.5" customHeight="1">
      <c r="A20" s="1876"/>
      <c r="B20" s="1052"/>
      <c r="C20" s="24"/>
      <c r="D20" s="995" t="str">
        <f>"•  Single or married filing separately -- "&amp;TEXT(SD_Single,"$0,000")</f>
        <v>•  Single or married filing separately -- $12,000</v>
      </c>
      <c r="E20" s="24"/>
      <c r="F20" s="24"/>
      <c r="G20" s="24"/>
      <c r="H20" s="1021"/>
      <c r="I20" s="1021"/>
      <c r="J20" s="1021"/>
      <c r="K20" s="1021"/>
      <c r="L20" s="14"/>
      <c r="M20" s="464"/>
      <c r="N20" s="24"/>
      <c r="O20" s="101"/>
      <c r="P20" s="1766"/>
      <c r="Q20" s="3742"/>
      <c r="R20" s="3169"/>
      <c r="S20" s="3169"/>
      <c r="T20" s="3169"/>
      <c r="U20" s="3169"/>
      <c r="V20" s="3169"/>
      <c r="W20" s="3169"/>
      <c r="X20" s="3169"/>
      <c r="Y20" s="3169"/>
      <c r="Z20" s="3169"/>
    </row>
    <row r="21" spans="1:26" ht="13.5" customHeight="1">
      <c r="A21" s="2563"/>
      <c r="B21" s="1052"/>
      <c r="C21" s="24"/>
      <c r="D21" s="24" t="str">
        <f>"•  Married filing jointly or qualifying widow(er) -- "&amp;TEXT(SD_MFJW,"$0,000")</f>
        <v>•  Married filing jointly or qualifying widow(er) -- $24,000</v>
      </c>
      <c r="E21" s="24"/>
      <c r="F21" s="24"/>
      <c r="G21" s="24"/>
      <c r="H21" s="24"/>
      <c r="I21" s="24"/>
      <c r="J21" s="24"/>
      <c r="K21" s="24"/>
      <c r="L21" s="464"/>
      <c r="M21" s="1129" t="str">
        <f>" .   .   .   .   .   .   .   .   .   .   .   .   .   .   3."</f>
        <v xml:space="preserve"> .   .   .   .   .   .   .   .   .   .   .   .   .   .   3.</v>
      </c>
      <c r="N21" s="2303" t="str">
        <f>IF(NOT(L4),"",IF(OR(File_Single&lt;&gt;"",File_Marr_Sep&lt;&gt;""),SD_Single,IF(OR(File_Marr_Joint&lt;&gt;"",File_Qual_Widow&lt;&gt;""),SD_MFJW,IF(File_Head&lt;&gt;"",SD_Head,""))))</f>
        <v/>
      </c>
      <c r="O21" s="101"/>
      <c r="P21" s="1766"/>
      <c r="Q21" s="3742"/>
      <c r="R21" s="3169"/>
      <c r="S21" s="3169"/>
      <c r="T21" s="3169"/>
      <c r="U21" s="3169"/>
      <c r="V21" s="3169"/>
      <c r="W21" s="3169"/>
      <c r="X21" s="3169"/>
      <c r="Y21" s="3169"/>
      <c r="Z21" s="3169"/>
    </row>
    <row r="22" spans="1:26" ht="13.5" customHeight="1">
      <c r="A22" s="2563"/>
      <c r="B22" s="1052"/>
      <c r="C22" s="24"/>
      <c r="D22" s="24" t="str">
        <f>"•  Head of household -- "&amp;TEXT(SD_Head,"$0,000")</f>
        <v>•  Head of household -- $18,000</v>
      </c>
      <c r="E22" s="24"/>
      <c r="F22" s="24"/>
      <c r="G22" s="24"/>
      <c r="H22" s="24"/>
      <c r="I22" s="24"/>
      <c r="J22" s="24"/>
      <c r="K22" s="24"/>
      <c r="L22" s="464"/>
      <c r="M22" s="464"/>
      <c r="N22" s="24"/>
      <c r="O22" s="101"/>
      <c r="P22" s="1766"/>
      <c r="Q22" s="3742"/>
      <c r="R22" s="3169"/>
      <c r="S22" s="3169"/>
      <c r="T22" s="3169"/>
      <c r="U22" s="3169"/>
      <c r="V22" s="3169"/>
      <c r="W22" s="3169"/>
      <c r="X22" s="3169"/>
      <c r="Y22" s="3169"/>
      <c r="Z22" s="3169"/>
    </row>
    <row r="23" spans="1:26" ht="13.5" customHeight="1">
      <c r="A23" s="2563"/>
      <c r="B23" s="1052"/>
      <c r="C23" s="24"/>
      <c r="D23" s="24"/>
      <c r="E23" s="24"/>
      <c r="F23" s="24"/>
      <c r="G23" s="24"/>
      <c r="H23" s="24"/>
      <c r="I23" s="24"/>
      <c r="J23" s="24"/>
      <c r="K23" s="24"/>
      <c r="L23" s="464"/>
      <c r="M23" s="464"/>
      <c r="N23" s="24"/>
      <c r="O23" s="101"/>
      <c r="P23" s="1766"/>
      <c r="Q23" s="3742"/>
      <c r="R23" s="3169"/>
      <c r="S23" s="3169"/>
      <c r="T23" s="3169"/>
      <c r="U23" s="3169"/>
      <c r="V23" s="3169"/>
      <c r="W23" s="3169"/>
      <c r="X23" s="3169"/>
      <c r="Y23" s="3169"/>
      <c r="Z23" s="3169"/>
    </row>
    <row r="24" spans="1:26" ht="13.5" customHeight="1">
      <c r="A24" s="2563"/>
      <c r="B24" s="1671" t="s">
        <v>455</v>
      </c>
      <c r="C24" s="1051"/>
      <c r="D24" s="41" t="s">
        <v>699</v>
      </c>
      <c r="E24" s="24"/>
      <c r="F24" s="24"/>
      <c r="G24" s="24"/>
      <c r="H24" s="24"/>
      <c r="I24" s="24"/>
      <c r="J24" s="24"/>
      <c r="K24" s="24"/>
      <c r="L24" s="464"/>
      <c r="M24" s="464"/>
      <c r="N24" s="999"/>
      <c r="O24" s="101"/>
      <c r="P24" s="1766"/>
      <c r="Q24" s="3742"/>
      <c r="R24" s="3169"/>
      <c r="S24" s="3169"/>
      <c r="T24" s="3169"/>
      <c r="U24" s="3169"/>
      <c r="V24" s="3169"/>
      <c r="W24" s="3169"/>
      <c r="X24" s="3169"/>
      <c r="Y24" s="3169"/>
      <c r="Z24" s="3169"/>
    </row>
    <row r="25" spans="1:26" ht="13.5" customHeight="1">
      <c r="A25" s="2563"/>
      <c r="B25" s="1053"/>
      <c r="C25" s="3038" t="s">
        <v>701</v>
      </c>
      <c r="D25" s="74" t="s">
        <v>4368</v>
      </c>
      <c r="E25" s="24"/>
      <c r="F25" s="24"/>
      <c r="G25" s="24"/>
      <c r="H25" s="53"/>
      <c r="I25" s="1128" t="str">
        <f>TaxYear-64&amp;" and not blind,"</f>
        <v>1954 and not blind,</v>
      </c>
      <c r="J25" s="1128"/>
      <c r="K25" s="1128" t="s">
        <v>3663</v>
      </c>
      <c r="L25" s="1128"/>
      <c r="M25" s="464"/>
      <c r="N25" s="999"/>
      <c r="O25" s="101"/>
      <c r="P25" s="1766"/>
      <c r="Q25" s="3742"/>
      <c r="R25" s="3169"/>
      <c r="S25" s="3169"/>
      <c r="T25" s="3169"/>
      <c r="U25" s="3169"/>
      <c r="V25" s="3169"/>
      <c r="W25" s="3169"/>
      <c r="X25" s="3169"/>
      <c r="Y25" s="3169"/>
      <c r="Z25" s="3169"/>
    </row>
    <row r="26" spans="1:26" ht="13.5" customHeight="1">
      <c r="A26" s="2563"/>
      <c r="B26" s="1053"/>
      <c r="C26" s="1051"/>
      <c r="D26" s="74" t="s">
        <v>3664</v>
      </c>
      <c r="E26" s="24"/>
      <c r="F26" s="24"/>
      <c r="G26" s="24"/>
      <c r="H26" s="24"/>
      <c r="I26" s="24"/>
      <c r="J26" s="24"/>
      <c r="K26" s="24"/>
      <c r="L26" s="3298" t="s">
        <v>2792</v>
      </c>
      <c r="M26" s="3298" t="s">
        <v>4853</v>
      </c>
      <c r="N26" s="2303" t="str">
        <f>IF(NOT(L4),"",MIN(N17,N21))</f>
        <v/>
      </c>
      <c r="O26" s="101"/>
      <c r="P26" s="1766"/>
      <c r="Q26" s="3742"/>
      <c r="R26" s="3169"/>
      <c r="S26" s="3169"/>
      <c r="T26" s="3169"/>
      <c r="U26" s="3169"/>
      <c r="V26" s="3169"/>
      <c r="W26" s="3169"/>
      <c r="X26" s="3169"/>
      <c r="Y26" s="3169"/>
      <c r="Z26" s="3169"/>
    </row>
    <row r="27" spans="1:26" ht="13.5" customHeight="1">
      <c r="A27" s="1876"/>
      <c r="B27" s="1053"/>
      <c r="C27" s="3038" t="s">
        <v>702</v>
      </c>
      <c r="D27" s="74" t="str">
        <f>"If born before January 2, "&amp;TaxYear-64&amp;", or blind, multiply the number on line 1 by "&amp;TEXT(N14,"$0,000")</f>
        <v>If born before January 2, 1954, or blind, multiply the number on line 1 by $1,300</v>
      </c>
      <c r="E27" s="24"/>
      <c r="F27" s="24"/>
      <c r="G27" s="24"/>
      <c r="H27" s="24"/>
      <c r="I27" s="24"/>
      <c r="J27" s="24"/>
      <c r="K27" s="24"/>
      <c r="L27" s="464"/>
      <c r="M27" s="464"/>
      <c r="N27" s="999"/>
      <c r="O27" s="101"/>
      <c r="P27" s="1766"/>
      <c r="Q27" s="3742"/>
      <c r="R27" s="3169"/>
      <c r="S27" s="3169"/>
      <c r="T27" s="3169"/>
      <c r="U27" s="3169"/>
      <c r="V27" s="3169"/>
      <c r="W27" s="3169"/>
      <c r="X27" s="3169"/>
      <c r="Y27" s="3169"/>
      <c r="Z27" s="3169"/>
    </row>
    <row r="28" spans="1:26" ht="13.5" customHeight="1">
      <c r="A28" s="1443"/>
      <c r="B28" s="1053"/>
      <c r="C28" s="1051"/>
      <c r="D28" s="74" t="str">
        <f>"("&amp;TEXT(N15,"$0,000")&amp;" if single or head of household)"</f>
        <v>($1,600 if single or head of household)</v>
      </c>
      <c r="E28" s="24"/>
      <c r="F28" s="24"/>
      <c r="G28" s="24"/>
      <c r="H28" s="24"/>
      <c r="I28" s="24"/>
      <c r="J28" s="24"/>
      <c r="K28" s="24"/>
      <c r="L28" s="464"/>
      <c r="M28" s="3298" t="s">
        <v>4854</v>
      </c>
      <c r="N28" s="2303" t="str">
        <f>IF(OR(NOT(L4),AND(you_over_64="",sp_over_64="",you_blind="",sp_blind="")),"",IF(OR(File_Single&lt;&gt;"",File_Head&lt;&gt;""),N10*N15,N10*N14))</f>
        <v/>
      </c>
      <c r="O28" s="101"/>
      <c r="P28" s="1766"/>
      <c r="Q28" s="3742"/>
      <c r="R28" s="3169"/>
      <c r="S28" s="3169"/>
      <c r="T28" s="3169"/>
      <c r="U28" s="3169"/>
      <c r="V28" s="3169"/>
      <c r="W28" s="3169"/>
      <c r="X28" s="3169"/>
      <c r="Y28" s="3169"/>
      <c r="Z28" s="3169"/>
    </row>
    <row r="29" spans="1:26" ht="13.5" customHeight="1">
      <c r="A29" s="1443"/>
      <c r="B29" s="1053"/>
      <c r="C29" s="3309" t="s">
        <v>700</v>
      </c>
      <c r="D29" s="74" t="s">
        <v>3665</v>
      </c>
      <c r="E29" s="24"/>
      <c r="F29" s="24"/>
      <c r="G29" s="24"/>
      <c r="H29" s="24"/>
      <c r="I29" s="24"/>
      <c r="J29" s="24"/>
      <c r="K29" s="24"/>
      <c r="L29" s="24"/>
      <c r="M29" s="3298" t="s">
        <v>4855</v>
      </c>
      <c r="N29" s="2303" t="str">
        <f>IF(NOT(L4),"",SUM(N26,N28))</f>
        <v/>
      </c>
      <c r="O29" s="101"/>
      <c r="P29" s="1766"/>
      <c r="Q29" s="3742"/>
      <c r="R29" s="3169"/>
      <c r="S29" s="3169"/>
      <c r="T29" s="3169"/>
      <c r="U29" s="3169"/>
      <c r="V29" s="3169"/>
      <c r="W29" s="3169"/>
      <c r="X29" s="3169"/>
      <c r="Y29" s="3169"/>
      <c r="Z29" s="3169"/>
    </row>
    <row r="30" spans="1:26" ht="13.5" customHeight="1">
      <c r="A30" s="1443"/>
      <c r="B30" s="1053"/>
      <c r="C30" s="74"/>
      <c r="D30" s="74"/>
      <c r="E30" s="24"/>
      <c r="F30" s="24"/>
      <c r="G30" s="24"/>
      <c r="H30" s="24"/>
      <c r="I30" s="24"/>
      <c r="J30" s="24"/>
      <c r="K30" s="24"/>
      <c r="L30" s="24"/>
      <c r="M30" s="42"/>
      <c r="N30" s="464"/>
      <c r="O30" s="101"/>
      <c r="P30" s="1766"/>
      <c r="Q30" s="3742"/>
      <c r="R30" s="3169"/>
      <c r="S30" s="3169"/>
      <c r="T30" s="3169"/>
      <c r="U30" s="3169"/>
      <c r="V30" s="3169"/>
      <c r="W30" s="3169"/>
      <c r="X30" s="3169"/>
      <c r="Y30" s="3169"/>
      <c r="Z30" s="3169"/>
    </row>
    <row r="31" spans="1:26" ht="13.5" customHeight="1">
      <c r="A31" s="1443"/>
      <c r="B31" s="1130" t="s">
        <v>1346</v>
      </c>
      <c r="C31" s="1051"/>
      <c r="D31" s="24"/>
      <c r="E31" s="24"/>
      <c r="F31" s="24"/>
      <c r="G31" s="24"/>
      <c r="H31" s="24"/>
      <c r="I31" s="24"/>
      <c r="J31" s="24"/>
      <c r="K31" s="24"/>
      <c r="L31" s="24"/>
      <c r="M31" s="24"/>
      <c r="N31" s="24"/>
      <c r="O31" s="101"/>
      <c r="P31" s="1766"/>
      <c r="Q31" s="3742"/>
      <c r="R31" s="3169"/>
      <c r="S31" s="3169"/>
      <c r="T31" s="3169"/>
      <c r="U31" s="3169"/>
      <c r="V31" s="3169"/>
      <c r="W31" s="3169"/>
      <c r="X31" s="3169"/>
      <c r="Y31" s="3169"/>
      <c r="Z31" s="3169"/>
    </row>
    <row r="32" spans="1:26" ht="13.5" customHeight="1">
      <c r="A32" s="1443"/>
      <c r="B32" s="1131" t="s">
        <v>1347</v>
      </c>
      <c r="C32" s="1051"/>
      <c r="D32" s="24"/>
      <c r="E32" s="24"/>
      <c r="F32" s="24"/>
      <c r="G32" s="24"/>
      <c r="H32" s="24"/>
      <c r="I32" s="24"/>
      <c r="J32" s="24"/>
      <c r="K32" s="24"/>
      <c r="L32" s="24"/>
      <c r="M32" s="24"/>
      <c r="N32" s="24"/>
      <c r="O32" s="101"/>
      <c r="P32" s="1766"/>
      <c r="Q32" s="3742"/>
      <c r="R32" s="3169"/>
      <c r="S32" s="3169"/>
      <c r="T32" s="3169"/>
      <c r="U32" s="3169"/>
      <c r="V32" s="3169"/>
      <c r="W32" s="3169"/>
      <c r="X32" s="3169"/>
      <c r="Y32" s="3169"/>
      <c r="Z32" s="3169"/>
    </row>
    <row r="33" spans="1:26" ht="17.25" customHeight="1" thickBot="1">
      <c r="A33" s="1443"/>
      <c r="B33" s="3299" t="s">
        <v>3666</v>
      </c>
      <c r="C33" s="39"/>
      <c r="D33" s="39"/>
      <c r="E33" s="39"/>
      <c r="F33" s="39"/>
      <c r="G33" s="39"/>
      <c r="H33" s="39"/>
      <c r="I33" s="39"/>
      <c r="J33" s="39"/>
      <c r="K33" s="39"/>
      <c r="L33" s="39"/>
      <c r="M33" s="39"/>
      <c r="N33" s="39"/>
      <c r="O33" s="102"/>
      <c r="P33" s="1766"/>
      <c r="Q33" s="3742"/>
      <c r="R33" s="3169"/>
      <c r="S33" s="3169"/>
      <c r="T33" s="3169"/>
      <c r="U33" s="3169"/>
      <c r="V33" s="3169"/>
      <c r="W33" s="3169"/>
      <c r="X33" s="3169"/>
      <c r="Y33" s="3169"/>
      <c r="Z33" s="3169"/>
    </row>
    <row r="34" spans="1:26" ht="13.5" customHeight="1">
      <c r="A34" s="1443"/>
      <c r="B34" s="1605"/>
      <c r="C34" s="1605"/>
      <c r="D34" s="1605"/>
      <c r="E34" s="1605"/>
      <c r="F34" s="1605"/>
      <c r="G34" s="1605"/>
      <c r="H34" s="1605"/>
      <c r="I34" s="1605"/>
      <c r="J34" s="1605"/>
      <c r="K34" s="1605"/>
      <c r="L34" s="1605"/>
      <c r="M34" s="1605"/>
      <c r="N34" s="1605"/>
      <c r="O34" s="1605"/>
      <c r="P34" s="1766"/>
      <c r="Q34" s="4745"/>
      <c r="R34" s="4746"/>
      <c r="S34" s="4746"/>
      <c r="T34" s="4746"/>
      <c r="U34" s="4746"/>
      <c r="V34" s="4746"/>
      <c r="W34" s="4746"/>
      <c r="X34" s="4746"/>
      <c r="Y34" s="4746"/>
      <c r="Z34" s="4746"/>
    </row>
    <row r="38" spans="1:26">
      <c r="H38" s="1075"/>
    </row>
  </sheetData>
  <sheetProtection password="F07E" sheet="1" objects="1" scenarios="1"/>
  <conditionalFormatting sqref="C16">
    <cfRule type="expression" dxfId="2636" priority="40">
      <formula>IF(NoColor,1,0)</formula>
    </cfRule>
  </conditionalFormatting>
  <conditionalFormatting sqref="C17">
    <cfRule type="expression" dxfId="2635" priority="39">
      <formula>IF(NoColor,1,0)</formula>
    </cfRule>
  </conditionalFormatting>
  <conditionalFormatting sqref="N17">
    <cfRule type="expression" dxfId="2634" priority="38">
      <formula>IF(NoColor,1,0)</formula>
    </cfRule>
  </conditionalFormatting>
  <conditionalFormatting sqref="N21">
    <cfRule type="expression" dxfId="2633" priority="37">
      <formula>IF(NoColor,1,0)</formula>
    </cfRule>
  </conditionalFormatting>
  <conditionalFormatting sqref="N26">
    <cfRule type="expression" dxfId="2632" priority="36">
      <formula>IF(NoColor,1,0)</formula>
    </cfRule>
  </conditionalFormatting>
  <conditionalFormatting sqref="N28">
    <cfRule type="expression" dxfId="2631" priority="35">
      <formula>IF(NoColor,1,0)</formula>
    </cfRule>
  </conditionalFormatting>
  <conditionalFormatting sqref="N29">
    <cfRule type="expression" dxfId="2630" priority="34">
      <formula>IF(NoColor,1,0)</formula>
    </cfRule>
  </conditionalFormatting>
  <conditionalFormatting sqref="E7">
    <cfRule type="expression" dxfId="2629" priority="5">
      <formula>IF(NoColor,1,0)</formula>
    </cfRule>
  </conditionalFormatting>
  <conditionalFormatting sqref="E11">
    <cfRule type="expression" dxfId="2628" priority="4">
      <formula>IF(NoColor,1,0)</formula>
    </cfRule>
  </conditionalFormatting>
  <conditionalFormatting sqref="E9">
    <cfRule type="expression" dxfId="2627" priority="3">
      <formula>IF(NoColor,1,0)</formula>
    </cfRule>
  </conditionalFormatting>
  <conditionalFormatting sqref="E13">
    <cfRule type="expression" dxfId="2626" priority="2">
      <formula>IF(NoColor,1,0)</formula>
    </cfRule>
  </conditionalFormatting>
  <conditionalFormatting sqref="N10">
    <cfRule type="expression" dxfId="2625" priority="1">
      <formula>IF(NoColor,1,0)</formula>
    </cfRule>
  </conditionalFormatting>
  <printOptions horizontalCentered="1"/>
  <pageMargins left="0.42" right="0.17" top="0.39" bottom="0.56000000000000005" header="0" footer="0"/>
  <pageSetup scale="88" fitToHeight="0" orientation="portrait" horizontalDpi="4294967293" vertic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2"/>
  <sheetViews>
    <sheetView topLeftCell="A7" zoomScaleNormal="100" workbookViewId="0">
      <selection activeCell="J17" sqref="J17"/>
    </sheetView>
  </sheetViews>
  <sheetFormatPr defaultRowHeight="12.75"/>
  <cols>
    <col min="1" max="1" width="2.7109375" customWidth="1"/>
    <col min="2" max="2" width="5.5703125" customWidth="1"/>
    <col min="9" max="9" width="4.5703125" customWidth="1"/>
    <col min="10" max="10" width="13" customWidth="1"/>
    <col min="12" max="12" width="3.7109375" customWidth="1"/>
    <col min="13" max="13" width="12" customWidth="1"/>
    <col min="14" max="14" width="6.7109375" customWidth="1"/>
    <col min="15" max="26" width="9.140625" style="3169"/>
  </cols>
  <sheetData>
    <row r="1" spans="1:39" ht="17.25" customHeight="1" thickBot="1">
      <c r="O1" s="3168" t="s">
        <v>2552</v>
      </c>
    </row>
    <row r="2" spans="1:39">
      <c r="B2" s="5704" t="s">
        <v>2132</v>
      </c>
      <c r="C2" s="5705"/>
      <c r="D2" s="5705"/>
      <c r="E2" s="5705"/>
      <c r="F2" s="5705"/>
      <c r="G2" s="5705"/>
      <c r="H2" s="5705"/>
      <c r="I2" s="5705"/>
      <c r="J2" s="5705"/>
      <c r="K2" s="5706"/>
    </row>
    <row r="3" spans="1:39">
      <c r="B3" s="5707"/>
      <c r="C3" s="5708"/>
      <c r="D3" s="5708"/>
      <c r="E3" s="5708"/>
      <c r="F3" s="5708"/>
      <c r="G3" s="5708"/>
      <c r="H3" s="5708"/>
      <c r="I3" s="5708"/>
      <c r="J3" s="5708"/>
      <c r="K3" s="5709"/>
    </row>
    <row r="4" spans="1:39">
      <c r="B4" s="5707"/>
      <c r="C4" s="5708"/>
      <c r="D4" s="5708"/>
      <c r="E4" s="5708"/>
      <c r="F4" s="5708"/>
      <c r="G4" s="5708"/>
      <c r="H4" s="5708"/>
      <c r="I4" s="5708"/>
      <c r="J4" s="5708"/>
      <c r="K4" s="5709"/>
    </row>
    <row r="5" spans="1:39">
      <c r="B5" s="5707"/>
      <c r="C5" s="5708"/>
      <c r="D5" s="5708"/>
      <c r="E5" s="5708"/>
      <c r="F5" s="5708"/>
      <c r="G5" s="5708"/>
      <c r="H5" s="5708"/>
      <c r="I5" s="5708"/>
      <c r="J5" s="5708"/>
      <c r="K5" s="5709"/>
    </row>
    <row r="6" spans="1:39" ht="13.5" thickBot="1">
      <c r="B6" s="5710"/>
      <c r="C6" s="5711"/>
      <c r="D6" s="5711"/>
      <c r="E6" s="5711"/>
      <c r="F6" s="5711"/>
      <c r="G6" s="5711"/>
      <c r="H6" s="5711"/>
      <c r="I6" s="5711"/>
      <c r="J6" s="5711"/>
      <c r="K6" s="5712"/>
    </row>
    <row r="7" spans="1:39" ht="13.5" thickBot="1"/>
    <row r="8" spans="1:39" ht="15.75">
      <c r="B8" s="2516"/>
      <c r="C8" s="1605"/>
      <c r="D8" s="1605"/>
      <c r="E8" s="1605"/>
      <c r="F8" s="1605"/>
      <c r="G8" s="1605"/>
      <c r="H8" s="1605"/>
      <c r="I8" s="1605"/>
      <c r="J8" s="1605"/>
      <c r="K8" s="1606"/>
      <c r="L8" s="46"/>
      <c r="M8" s="396"/>
      <c r="N8" s="46"/>
    </row>
    <row r="9" spans="1:39" ht="15.75">
      <c r="B9" s="2517" t="s">
        <v>2124</v>
      </c>
      <c r="C9" s="1443"/>
      <c r="D9" s="1443"/>
      <c r="E9" s="1443"/>
      <c r="F9" s="1443"/>
      <c r="G9" s="1443"/>
      <c r="H9" s="1443"/>
      <c r="I9" s="1443"/>
      <c r="J9" s="1443"/>
      <c r="K9" s="1554"/>
      <c r="L9" s="46"/>
      <c r="M9" s="396"/>
      <c r="N9" s="46"/>
    </row>
    <row r="10" spans="1:39">
      <c r="B10" s="1761"/>
      <c r="C10" s="1766" t="s">
        <v>2135</v>
      </c>
      <c r="D10" s="1766" t="s">
        <v>2133</v>
      </c>
      <c r="E10" s="1408"/>
      <c r="F10" s="1408"/>
      <c r="G10" s="1408"/>
      <c r="H10" s="1408"/>
      <c r="I10" s="1408"/>
      <c r="J10" s="1408"/>
      <c r="K10" s="1877"/>
      <c r="M10" s="396"/>
      <c r="N10" s="46"/>
    </row>
    <row r="11" spans="1:39">
      <c r="B11" s="1761"/>
      <c r="C11" s="1766"/>
      <c r="D11" s="1766" t="s">
        <v>2134</v>
      </c>
      <c r="E11" s="1408"/>
      <c r="F11" s="1408"/>
      <c r="G11" s="1408"/>
      <c r="H11" s="1408"/>
      <c r="I11" s="1408"/>
      <c r="J11" s="1408"/>
      <c r="K11" s="1877"/>
      <c r="M11" s="2520" t="s">
        <v>100</v>
      </c>
      <c r="N11" s="46"/>
    </row>
    <row r="12" spans="1:39" s="46" customFormat="1" ht="13.5" thickBot="1">
      <c r="A12"/>
      <c r="B12" s="1610"/>
      <c r="C12" s="1607"/>
      <c r="D12" s="1443"/>
      <c r="E12" s="1443"/>
      <c r="F12" s="1443"/>
      <c r="G12" s="1443"/>
      <c r="H12" s="1443"/>
      <c r="I12" s="2523"/>
      <c r="J12" s="1443"/>
      <c r="K12" s="1554"/>
      <c r="M12" s="2520" t="s">
        <v>468</v>
      </c>
      <c r="N12" s="2519"/>
      <c r="O12" s="3169"/>
      <c r="P12" s="3169"/>
      <c r="Q12" s="3169"/>
      <c r="R12" s="3169"/>
      <c r="S12" s="3169"/>
      <c r="T12" s="3169"/>
      <c r="U12" s="3169"/>
      <c r="V12" s="3169"/>
      <c r="W12" s="3169"/>
      <c r="X12" s="3169"/>
      <c r="Y12" s="3169"/>
      <c r="Z12" s="3169"/>
      <c r="AG12" s="2519"/>
      <c r="AH12" s="2519"/>
    </row>
    <row r="13" spans="1:39" s="46" customFormat="1" ht="13.5" thickBot="1">
      <c r="A13"/>
      <c r="B13" s="2524" t="s">
        <v>336</v>
      </c>
      <c r="C13" s="1607" t="s">
        <v>4009</v>
      </c>
      <c r="D13" s="1443"/>
      <c r="E13" s="1443"/>
      <c r="F13" s="1443"/>
      <c r="G13" s="1443"/>
      <c r="H13" s="1443"/>
      <c r="I13" s="2523" t="s">
        <v>336</v>
      </c>
      <c r="J13" s="2518">
        <f>IF(M13&lt;&gt;"",ROUND(M13,0),Wages)</f>
        <v>0</v>
      </c>
      <c r="K13" s="1554"/>
      <c r="M13" s="2521"/>
      <c r="N13" s="2519"/>
      <c r="O13" s="3169"/>
      <c r="P13" s="3169"/>
      <c r="Q13" s="3169"/>
      <c r="R13" s="3169"/>
      <c r="S13" s="3169"/>
      <c r="T13" s="3169"/>
      <c r="U13" s="3169"/>
      <c r="V13" s="3169"/>
      <c r="W13" s="3169"/>
      <c r="X13" s="3169"/>
      <c r="Y13" s="3169"/>
      <c r="Z13" s="3169"/>
      <c r="AG13" s="2519"/>
      <c r="AH13" s="2519">
        <v>65</v>
      </c>
    </row>
    <row r="14" spans="1:39" s="46" customFormat="1">
      <c r="A14"/>
      <c r="B14" s="1610"/>
      <c r="C14" s="1443"/>
      <c r="D14" s="1443"/>
      <c r="E14" s="1443"/>
      <c r="F14" s="1443"/>
      <c r="G14" s="1443"/>
      <c r="H14" s="1443"/>
      <c r="I14" s="1443"/>
      <c r="J14" s="1443"/>
      <c r="K14" s="1554"/>
      <c r="M14" s="396"/>
      <c r="N14" s="2519"/>
      <c r="O14" s="3169"/>
      <c r="P14" s="3169"/>
      <c r="Q14" s="3169"/>
      <c r="R14" s="3169"/>
      <c r="S14" s="3169"/>
      <c r="T14" s="3169"/>
      <c r="U14" s="3169"/>
      <c r="V14" s="3169"/>
      <c r="W14" s="3169"/>
      <c r="X14" s="3169"/>
      <c r="Y14" s="3169"/>
      <c r="Z14" s="3169"/>
      <c r="AG14" s="2519"/>
      <c r="AH14" s="2519"/>
    </row>
    <row r="15" spans="1:39" s="2519" customFormat="1">
      <c r="A15"/>
      <c r="B15" s="2524" t="s">
        <v>0</v>
      </c>
      <c r="C15" s="1607" t="s">
        <v>4010</v>
      </c>
      <c r="D15" s="1443"/>
      <c r="E15" s="1443"/>
      <c r="F15" s="1443"/>
      <c r="G15" s="1443"/>
      <c r="H15" s="1443"/>
      <c r="I15" s="1443"/>
      <c r="J15" s="1443"/>
      <c r="K15" s="1554"/>
      <c r="L15" s="46"/>
      <c r="M15" s="396"/>
      <c r="O15" s="3169"/>
      <c r="P15" s="3169"/>
      <c r="Q15" s="3169"/>
      <c r="R15" s="3169"/>
      <c r="S15" s="3169"/>
      <c r="T15" s="3169"/>
      <c r="U15" s="3169"/>
      <c r="V15" s="3169"/>
      <c r="W15" s="3169"/>
      <c r="X15" s="3169"/>
      <c r="Y15" s="3169"/>
      <c r="Z15" s="3169"/>
      <c r="AA15" s="46"/>
      <c r="AB15" s="46"/>
      <c r="AC15" s="46"/>
      <c r="AD15" s="46"/>
      <c r="AE15" s="46"/>
      <c r="AF15" s="46"/>
      <c r="AI15" s="46"/>
      <c r="AJ15" s="46"/>
      <c r="AK15" s="46"/>
      <c r="AL15" s="46"/>
      <c r="AM15" s="46"/>
    </row>
    <row r="16" spans="1:39" s="46" customFormat="1">
      <c r="A16"/>
      <c r="B16" s="1610"/>
      <c r="C16" s="1607" t="s">
        <v>1712</v>
      </c>
      <c r="D16" s="1443"/>
      <c r="E16" s="1443"/>
      <c r="F16" s="1443"/>
      <c r="G16" s="1443"/>
      <c r="H16" s="1443"/>
      <c r="I16" s="1443"/>
      <c r="J16" s="1443"/>
      <c r="K16" s="1554"/>
      <c r="M16" s="396"/>
      <c r="N16" s="2519"/>
      <c r="O16" s="3169"/>
      <c r="P16" s="3169"/>
      <c r="Q16" s="3169"/>
      <c r="R16" s="3169"/>
      <c r="S16" s="3169"/>
      <c r="T16" s="3169"/>
      <c r="U16" s="3169"/>
      <c r="V16" s="3169"/>
      <c r="W16" s="3169"/>
      <c r="X16" s="3169"/>
      <c r="Y16" s="3169"/>
      <c r="Z16" s="3169"/>
      <c r="AG16" s="2519"/>
      <c r="AH16" s="2519"/>
    </row>
    <row r="17" spans="1:39" s="2519" customFormat="1">
      <c r="A17"/>
      <c r="B17" s="1610"/>
      <c r="C17" s="1607" t="s">
        <v>1713</v>
      </c>
      <c r="D17" s="1443"/>
      <c r="E17" s="1443"/>
      <c r="F17" s="1443"/>
      <c r="G17" s="1443"/>
      <c r="H17" s="1443"/>
      <c r="I17" s="2523" t="s">
        <v>0</v>
      </c>
      <c r="J17" s="2281"/>
      <c r="K17" s="1554"/>
      <c r="L17" s="46"/>
      <c r="M17" s="396"/>
      <c r="O17" s="3169"/>
      <c r="P17" s="3169"/>
      <c r="Q17" s="3169"/>
      <c r="R17" s="3169"/>
      <c r="S17" s="3169"/>
      <c r="T17" s="3169"/>
      <c r="U17" s="3169"/>
      <c r="V17" s="3169"/>
      <c r="W17" s="3169"/>
      <c r="X17" s="3169"/>
      <c r="Y17" s="3169"/>
      <c r="Z17" s="3169"/>
      <c r="AA17" s="46"/>
      <c r="AB17" s="46"/>
      <c r="AC17" s="46"/>
      <c r="AD17" s="46"/>
      <c r="AE17" s="46"/>
      <c r="AF17" s="46"/>
      <c r="AI17" s="46"/>
      <c r="AJ17" s="46"/>
      <c r="AK17" s="46"/>
      <c r="AL17" s="46"/>
      <c r="AM17" s="46"/>
    </row>
    <row r="18" spans="1:39" s="2519" customFormat="1">
      <c r="A18"/>
      <c r="B18" s="1610"/>
      <c r="C18" s="1443"/>
      <c r="D18" s="1443"/>
      <c r="E18" s="1443"/>
      <c r="F18" s="1443"/>
      <c r="G18" s="1443"/>
      <c r="H18" s="1443"/>
      <c r="I18" s="1443"/>
      <c r="J18" s="1443"/>
      <c r="K18" s="1554"/>
      <c r="L18" s="46"/>
      <c r="M18" s="396"/>
      <c r="O18" s="3169"/>
      <c r="P18" s="3169"/>
      <c r="Q18" s="3169"/>
      <c r="R18" s="3169"/>
      <c r="S18" s="3169"/>
      <c r="T18" s="3169"/>
      <c r="U18" s="3169"/>
      <c r="V18" s="3169"/>
      <c r="W18" s="3169"/>
      <c r="X18" s="3169"/>
      <c r="Y18" s="3169"/>
      <c r="Z18" s="3169"/>
      <c r="AA18" s="46"/>
      <c r="AB18" s="46"/>
      <c r="AC18" s="46"/>
      <c r="AD18" s="46"/>
      <c r="AE18" s="46"/>
      <c r="AF18" s="46"/>
      <c r="AI18" s="46"/>
      <c r="AJ18" s="46"/>
      <c r="AK18" s="46"/>
      <c r="AL18" s="46"/>
      <c r="AM18" s="46"/>
    </row>
    <row r="19" spans="1:39" s="46" customFormat="1">
      <c r="A19"/>
      <c r="B19" s="2524" t="s">
        <v>1</v>
      </c>
      <c r="C19" s="1607" t="s">
        <v>4011</v>
      </c>
      <c r="D19" s="1443"/>
      <c r="E19" s="1443"/>
      <c r="F19" s="1443"/>
      <c r="G19" s="1443"/>
      <c r="H19" s="1443"/>
      <c r="I19" s="1443"/>
      <c r="J19" s="1443"/>
      <c r="K19" s="1554"/>
      <c r="M19" s="396"/>
      <c r="N19" s="2519"/>
      <c r="O19" s="3169"/>
      <c r="P19" s="3169"/>
      <c r="Q19" s="3169"/>
      <c r="R19" s="3169"/>
      <c r="S19" s="3169"/>
      <c r="T19" s="3169"/>
      <c r="U19" s="3169"/>
      <c r="V19" s="3169"/>
      <c r="W19" s="3169"/>
      <c r="X19" s="3169"/>
      <c r="Y19" s="3169"/>
      <c r="Z19" s="3169"/>
      <c r="AG19" s="2519"/>
      <c r="AH19" s="2519"/>
    </row>
    <row r="20" spans="1:39" s="2519" customFormat="1">
      <c r="A20"/>
      <c r="B20" s="1610"/>
      <c r="C20" s="1607" t="s">
        <v>1714</v>
      </c>
      <c r="D20" s="1443"/>
      <c r="E20" s="1443"/>
      <c r="F20" s="1443"/>
      <c r="G20" s="1443"/>
      <c r="H20" s="1443"/>
      <c r="I20" s="1443"/>
      <c r="J20" s="1443"/>
      <c r="K20" s="1554"/>
      <c r="L20" s="46"/>
      <c r="M20" s="396"/>
      <c r="O20" s="3169"/>
      <c r="P20" s="3169"/>
      <c r="Q20" s="3169"/>
      <c r="R20" s="3169"/>
      <c r="S20" s="3169"/>
      <c r="T20" s="3169"/>
      <c r="U20" s="3169"/>
      <c r="V20" s="3169"/>
      <c r="W20" s="3169"/>
      <c r="X20" s="3169"/>
      <c r="Y20" s="3169"/>
      <c r="Z20" s="3169"/>
      <c r="AA20" s="46"/>
      <c r="AB20" s="46"/>
      <c r="AC20" s="46"/>
      <c r="AD20" s="46"/>
      <c r="AE20" s="46"/>
      <c r="AF20" s="46"/>
      <c r="AI20" s="46"/>
      <c r="AJ20" s="46"/>
      <c r="AK20" s="46"/>
      <c r="AL20" s="46"/>
      <c r="AM20" s="46"/>
    </row>
    <row r="21" spans="1:39" s="2519" customFormat="1">
      <c r="A21"/>
      <c r="B21" s="1610"/>
      <c r="C21" s="1607" t="s">
        <v>1715</v>
      </c>
      <c r="D21" s="1443"/>
      <c r="E21" s="1443"/>
      <c r="F21" s="1443"/>
      <c r="G21" s="1443"/>
      <c r="H21" s="1443"/>
      <c r="I21" s="1443"/>
      <c r="J21" s="1443"/>
      <c r="K21" s="1554"/>
      <c r="L21" s="46"/>
      <c r="M21" s="396"/>
      <c r="O21" s="3169"/>
      <c r="P21" s="3169"/>
      <c r="Q21" s="3169"/>
      <c r="R21" s="3169"/>
      <c r="S21" s="3169"/>
      <c r="T21" s="3169"/>
      <c r="U21" s="3169"/>
      <c r="V21" s="3169"/>
      <c r="W21" s="3169"/>
      <c r="X21" s="3169"/>
      <c r="Y21" s="3169"/>
      <c r="Z21" s="3169"/>
      <c r="AA21" s="46"/>
      <c r="AB21" s="46"/>
      <c r="AC21" s="46"/>
      <c r="AD21" s="46"/>
      <c r="AE21" s="46"/>
      <c r="AF21" s="46"/>
      <c r="AI21" s="46"/>
      <c r="AJ21" s="46"/>
      <c r="AK21" s="46"/>
      <c r="AL21" s="46"/>
      <c r="AM21" s="46"/>
    </row>
    <row r="22" spans="1:39" s="46" customFormat="1">
      <c r="A22"/>
      <c r="B22" s="1610"/>
      <c r="C22" s="1607" t="s">
        <v>1716</v>
      </c>
      <c r="D22" s="1443"/>
      <c r="E22" s="1443"/>
      <c r="F22" s="1443"/>
      <c r="G22" s="1443"/>
      <c r="H22" s="1443"/>
      <c r="I22" s="1443"/>
      <c r="J22" s="1443"/>
      <c r="K22" s="1554"/>
      <c r="M22" s="396"/>
      <c r="N22" s="2519"/>
      <c r="O22" s="3169"/>
      <c r="P22" s="3169"/>
      <c r="Q22" s="3169"/>
      <c r="R22" s="3169"/>
      <c r="S22" s="3169"/>
      <c r="T22" s="3169"/>
      <c r="U22" s="3169"/>
      <c r="V22" s="3169"/>
      <c r="W22" s="3169"/>
      <c r="X22" s="3169"/>
      <c r="Y22" s="3169"/>
      <c r="Z22" s="3169"/>
      <c r="AG22" s="2519"/>
      <c r="AH22" s="2519"/>
    </row>
    <row r="23" spans="1:39" s="2519" customFormat="1">
      <c r="A23"/>
      <c r="B23" s="1610"/>
      <c r="C23" s="1607" t="s">
        <v>4012</v>
      </c>
      <c r="D23" s="1443"/>
      <c r="E23" s="1443"/>
      <c r="F23" s="1443"/>
      <c r="G23" s="1443"/>
      <c r="H23" s="1443"/>
      <c r="I23" s="2523" t="s">
        <v>1</v>
      </c>
      <c r="J23" s="2281"/>
      <c r="K23" s="1554"/>
      <c r="L23" s="46"/>
      <c r="M23" s="396"/>
      <c r="O23" s="3169"/>
      <c r="P23" s="3169"/>
      <c r="Q23" s="3169"/>
      <c r="R23" s="3169"/>
      <c r="S23" s="3169"/>
      <c r="T23" s="3169"/>
      <c r="U23" s="3169"/>
      <c r="V23" s="3169"/>
      <c r="W23" s="3169"/>
      <c r="X23" s="3169"/>
      <c r="Y23" s="3169"/>
      <c r="Z23" s="3169"/>
      <c r="AA23" s="46"/>
      <c r="AB23" s="46"/>
      <c r="AC23" s="46"/>
      <c r="AD23" s="46"/>
      <c r="AE23" s="46"/>
      <c r="AF23" s="46"/>
      <c r="AG23" s="2522"/>
      <c r="AI23" s="46"/>
      <c r="AJ23" s="46"/>
      <c r="AK23" s="46"/>
      <c r="AL23" s="46"/>
      <c r="AM23" s="46"/>
    </row>
    <row r="24" spans="1:39" s="2519" customFormat="1">
      <c r="A24"/>
      <c r="B24" s="1610"/>
      <c r="C24" s="1443"/>
      <c r="D24" s="1443"/>
      <c r="E24" s="1443"/>
      <c r="F24" s="1443"/>
      <c r="G24" s="1443"/>
      <c r="H24" s="1443"/>
      <c r="I24" s="1443"/>
      <c r="J24" s="1443"/>
      <c r="K24" s="1554"/>
      <c r="L24" s="46"/>
      <c r="M24" s="396"/>
      <c r="O24" s="3169"/>
      <c r="P24" s="3169"/>
      <c r="Q24" s="3169"/>
      <c r="R24" s="3169"/>
      <c r="S24" s="3169"/>
      <c r="T24" s="3169"/>
      <c r="U24" s="3169"/>
      <c r="V24" s="3169"/>
      <c r="W24" s="3169"/>
      <c r="X24" s="3169"/>
      <c r="Y24" s="3169"/>
      <c r="Z24" s="3169"/>
      <c r="AA24" s="46"/>
      <c r="AB24" s="46"/>
      <c r="AC24" s="46"/>
      <c r="AD24" s="46"/>
      <c r="AE24" s="46"/>
      <c r="AF24" s="46"/>
      <c r="AI24" s="46"/>
      <c r="AJ24" s="46"/>
      <c r="AK24" s="46"/>
      <c r="AL24" s="46"/>
      <c r="AM24" s="46"/>
    </row>
    <row r="25" spans="1:39" s="2519" customFormat="1">
      <c r="A25"/>
      <c r="B25" s="2524" t="s">
        <v>455</v>
      </c>
      <c r="C25" s="1607" t="s">
        <v>4010</v>
      </c>
      <c r="D25" s="1443"/>
      <c r="E25" s="1443"/>
      <c r="F25" s="1443"/>
      <c r="G25" s="1443"/>
      <c r="H25" s="1443"/>
      <c r="I25" s="1443"/>
      <c r="J25" s="1443"/>
      <c r="K25" s="1554"/>
      <c r="L25" s="46"/>
      <c r="M25" s="396"/>
      <c r="O25" s="3169"/>
      <c r="P25" s="3169"/>
      <c r="Q25" s="3169"/>
      <c r="R25" s="3169"/>
      <c r="S25" s="3169"/>
      <c r="T25" s="3169"/>
      <c r="U25" s="3169"/>
      <c r="V25" s="3169"/>
      <c r="W25" s="3169"/>
      <c r="X25" s="3169"/>
      <c r="Y25" s="3169"/>
      <c r="Z25" s="3169"/>
      <c r="AA25" s="46"/>
      <c r="AB25" s="46"/>
      <c r="AC25" s="46"/>
      <c r="AD25" s="46"/>
      <c r="AE25" s="46"/>
      <c r="AF25" s="46"/>
      <c r="AI25" s="46"/>
      <c r="AJ25" s="46"/>
      <c r="AK25" s="46"/>
      <c r="AL25" s="46"/>
      <c r="AM25" s="46"/>
    </row>
    <row r="26" spans="1:39" s="2519" customFormat="1">
      <c r="A26"/>
      <c r="B26" s="1610"/>
      <c r="C26" s="1443" t="s">
        <v>1717</v>
      </c>
      <c r="D26" s="1443"/>
      <c r="E26" s="1443"/>
      <c r="F26" s="1443"/>
      <c r="G26" s="1443"/>
      <c r="H26" s="1443"/>
      <c r="I26" s="1443"/>
      <c r="J26" s="1443"/>
      <c r="K26" s="1554"/>
      <c r="L26" s="46"/>
      <c r="M26" s="396"/>
      <c r="O26" s="3169"/>
      <c r="P26" s="3169"/>
      <c r="Q26" s="3169"/>
      <c r="R26" s="3169"/>
      <c r="S26" s="3169"/>
      <c r="T26" s="3169"/>
      <c r="U26" s="3169"/>
      <c r="V26" s="3169"/>
      <c r="W26" s="3169"/>
      <c r="X26" s="3169"/>
      <c r="Y26" s="3169"/>
      <c r="Z26" s="3169"/>
      <c r="AA26" s="46"/>
      <c r="AB26" s="46"/>
      <c r="AC26" s="46"/>
      <c r="AD26" s="46"/>
      <c r="AE26" s="46"/>
      <c r="AF26" s="46"/>
      <c r="AI26" s="46"/>
      <c r="AJ26" s="46"/>
      <c r="AK26" s="46"/>
      <c r="AL26" s="46"/>
      <c r="AM26" s="46"/>
    </row>
    <row r="27" spans="1:39" s="2519" customFormat="1">
      <c r="A27"/>
      <c r="B27" s="1610"/>
      <c r="C27" s="1443" t="s">
        <v>1515</v>
      </c>
      <c r="D27" s="1443"/>
      <c r="E27" s="1443"/>
      <c r="F27" s="1443"/>
      <c r="G27" s="1443"/>
      <c r="H27" s="1443"/>
      <c r="I27" s="1443"/>
      <c r="J27" s="1443"/>
      <c r="K27" s="1554"/>
      <c r="L27" s="46"/>
      <c r="M27" s="396"/>
      <c r="O27" s="3169"/>
      <c r="P27" s="3169"/>
      <c r="Q27" s="3169"/>
      <c r="R27" s="3169"/>
      <c r="S27" s="3169"/>
      <c r="T27" s="3169"/>
      <c r="U27" s="3169"/>
      <c r="V27" s="3169"/>
      <c r="W27" s="3169"/>
      <c r="X27" s="3169"/>
      <c r="Y27" s="3169"/>
      <c r="Z27" s="3169"/>
      <c r="AA27" s="46"/>
      <c r="AB27" s="46"/>
      <c r="AC27" s="46"/>
      <c r="AD27" s="46"/>
      <c r="AE27" s="46"/>
      <c r="AF27" s="46"/>
      <c r="AI27" s="46"/>
      <c r="AJ27" s="46"/>
      <c r="AK27" s="46"/>
      <c r="AL27" s="46"/>
      <c r="AM27" s="46"/>
    </row>
    <row r="28" spans="1:39" s="2519" customFormat="1">
      <c r="A28"/>
      <c r="B28" s="1610"/>
      <c r="C28" s="1443" t="s">
        <v>1718</v>
      </c>
      <c r="D28" s="1443"/>
      <c r="E28" s="1443"/>
      <c r="F28" s="1443"/>
      <c r="G28" s="1443"/>
      <c r="H28" s="1443"/>
      <c r="I28" s="1443"/>
      <c r="J28" s="1443"/>
      <c r="K28" s="1554"/>
      <c r="L28" s="46"/>
      <c r="M28" s="396"/>
      <c r="O28" s="3169"/>
      <c r="P28" s="3169"/>
      <c r="Q28" s="3169"/>
      <c r="R28" s="3169"/>
      <c r="S28" s="3169"/>
      <c r="T28" s="3169"/>
      <c r="U28" s="3169"/>
      <c r="V28" s="3169"/>
      <c r="W28" s="3169"/>
      <c r="X28" s="3169"/>
      <c r="Y28" s="3169"/>
      <c r="Z28" s="3169"/>
      <c r="AA28" s="46"/>
      <c r="AB28" s="46"/>
      <c r="AC28" s="46"/>
      <c r="AD28" s="46"/>
      <c r="AE28" s="46"/>
      <c r="AF28" s="46"/>
      <c r="AI28" s="46"/>
      <c r="AJ28" s="46"/>
      <c r="AK28" s="46"/>
      <c r="AL28" s="46"/>
      <c r="AM28" s="46"/>
    </row>
    <row r="29" spans="1:39" s="2519" customFormat="1">
      <c r="A29"/>
      <c r="B29" s="1610"/>
      <c r="C29" s="1443" t="s">
        <v>1719</v>
      </c>
      <c r="D29" s="1443"/>
      <c r="E29" s="1443"/>
      <c r="F29" s="1443"/>
      <c r="G29" s="1443"/>
      <c r="H29" s="1443"/>
      <c r="I29" s="1443"/>
      <c r="J29" s="1443"/>
      <c r="K29" s="1554"/>
      <c r="L29" s="46"/>
      <c r="M29" s="396"/>
      <c r="O29" s="3169"/>
      <c r="P29" s="3169"/>
      <c r="Q29" s="3169"/>
      <c r="R29" s="3169"/>
      <c r="S29" s="3169"/>
      <c r="T29" s="3169"/>
      <c r="U29" s="3169"/>
      <c r="V29" s="3169"/>
      <c r="W29" s="3169"/>
      <c r="X29" s="3169"/>
      <c r="Y29" s="3169"/>
      <c r="Z29" s="3169"/>
      <c r="AA29" s="46"/>
      <c r="AB29" s="46"/>
      <c r="AC29" s="46"/>
      <c r="AD29" s="46"/>
      <c r="AE29" s="46"/>
      <c r="AF29" s="46"/>
      <c r="AI29" s="46"/>
      <c r="AJ29" s="46"/>
      <c r="AK29" s="46"/>
      <c r="AL29" s="46"/>
      <c r="AM29" s="46"/>
    </row>
    <row r="30" spans="1:39" s="2519" customFormat="1">
      <c r="A30"/>
      <c r="B30" s="1610"/>
      <c r="C30" s="1607" t="s">
        <v>4013</v>
      </c>
      <c r="D30" s="1443"/>
      <c r="E30" s="1443"/>
      <c r="F30" s="1443"/>
      <c r="G30" s="1443"/>
      <c r="H30" s="1443"/>
      <c r="I30" s="1443"/>
      <c r="J30" s="1443"/>
      <c r="K30" s="1554"/>
      <c r="L30" s="46"/>
      <c r="M30" s="396"/>
      <c r="O30" s="3169"/>
      <c r="P30" s="3169"/>
      <c r="Q30" s="3169"/>
      <c r="R30" s="3169"/>
      <c r="S30" s="3169"/>
      <c r="T30" s="3169"/>
      <c r="U30" s="3169"/>
      <c r="V30" s="3169"/>
      <c r="W30" s="3169"/>
      <c r="X30" s="3169"/>
      <c r="Y30" s="3169"/>
      <c r="Z30" s="3169"/>
      <c r="AA30" s="46"/>
      <c r="AB30" s="46"/>
      <c r="AC30" s="46"/>
      <c r="AD30" s="46"/>
      <c r="AE30" s="46"/>
      <c r="AF30" s="46"/>
      <c r="AI30" s="46"/>
      <c r="AJ30" s="46"/>
      <c r="AK30" s="46"/>
      <c r="AL30" s="46"/>
      <c r="AM30" s="46"/>
    </row>
    <row r="31" spans="1:39" s="2519" customFormat="1">
      <c r="A31"/>
      <c r="B31" s="1610"/>
      <c r="C31" s="1443" t="s">
        <v>1720</v>
      </c>
      <c r="D31" s="1443"/>
      <c r="E31" s="1443"/>
      <c r="F31" s="1443"/>
      <c r="G31" s="1443"/>
      <c r="H31" s="1443"/>
      <c r="I31" s="1443"/>
      <c r="J31" s="1443"/>
      <c r="K31" s="1554"/>
      <c r="L31" s="46"/>
      <c r="M31" s="396"/>
      <c r="O31" s="3169"/>
      <c r="P31" s="3169"/>
      <c r="Q31" s="3169"/>
      <c r="R31" s="3169"/>
      <c r="S31" s="3169"/>
      <c r="T31" s="3169"/>
      <c r="U31" s="3169"/>
      <c r="V31" s="3169"/>
      <c r="W31" s="3169"/>
      <c r="X31" s="3169"/>
      <c r="Y31" s="3169"/>
      <c r="Z31" s="3169"/>
      <c r="AA31" s="46"/>
      <c r="AB31" s="46"/>
      <c r="AC31" s="46"/>
      <c r="AD31" s="46"/>
      <c r="AE31" s="46"/>
      <c r="AF31" s="46"/>
      <c r="AI31" s="46"/>
      <c r="AJ31" s="46"/>
      <c r="AK31" s="46"/>
      <c r="AL31" s="46"/>
      <c r="AM31" s="46"/>
    </row>
    <row r="32" spans="1:39" s="46" customFormat="1">
      <c r="A32"/>
      <c r="B32" s="1610"/>
      <c r="C32" s="1443" t="s">
        <v>1721</v>
      </c>
      <c r="D32" s="1443"/>
      <c r="E32" s="1443"/>
      <c r="F32" s="1443"/>
      <c r="G32" s="1443"/>
      <c r="H32" s="1443"/>
      <c r="I32" s="1443"/>
      <c r="J32" s="1443"/>
      <c r="K32" s="1554"/>
      <c r="M32" s="396"/>
      <c r="N32" s="2519"/>
      <c r="O32" s="3169"/>
      <c r="P32" s="3169"/>
      <c r="Q32" s="3169"/>
      <c r="R32" s="3169"/>
      <c r="S32" s="3169"/>
      <c r="T32" s="3169"/>
      <c r="U32" s="3169"/>
      <c r="V32" s="3169"/>
      <c r="W32" s="3169"/>
      <c r="X32" s="3169"/>
      <c r="Y32" s="3169"/>
      <c r="Z32" s="3169"/>
      <c r="AG32" s="2519"/>
      <c r="AH32" s="2519"/>
    </row>
    <row r="33" spans="1:39" s="2519" customFormat="1">
      <c r="A33"/>
      <c r="B33" s="1610"/>
      <c r="C33" s="1607" t="s">
        <v>1722</v>
      </c>
      <c r="D33" s="1443"/>
      <c r="E33" s="1443"/>
      <c r="F33" s="1443"/>
      <c r="G33" s="1443"/>
      <c r="H33" s="1443"/>
      <c r="I33" s="2523" t="s">
        <v>455</v>
      </c>
      <c r="J33" s="2281"/>
      <c r="K33" s="1554"/>
      <c r="L33" s="46"/>
      <c r="M33" s="396"/>
      <c r="O33" s="3169"/>
      <c r="P33" s="3169"/>
      <c r="Q33" s="3169"/>
      <c r="R33" s="3169"/>
      <c r="S33" s="3169"/>
      <c r="T33" s="3169"/>
      <c r="U33" s="3169"/>
      <c r="V33" s="3169"/>
      <c r="W33" s="3169"/>
      <c r="X33" s="3169"/>
      <c r="Y33" s="3169"/>
      <c r="Z33" s="3169"/>
      <c r="AA33" s="46"/>
      <c r="AB33" s="46"/>
      <c r="AC33" s="46"/>
      <c r="AD33" s="46"/>
      <c r="AE33" s="46"/>
      <c r="AF33" s="46"/>
      <c r="AG33" s="2522"/>
      <c r="AI33" s="46"/>
      <c r="AJ33" s="46"/>
      <c r="AK33" s="46"/>
      <c r="AL33" s="46"/>
      <c r="AM33" s="46"/>
    </row>
    <row r="34" spans="1:39" s="46" customFormat="1">
      <c r="A34"/>
      <c r="B34" s="1610"/>
      <c r="C34" s="1443"/>
      <c r="D34" s="1443"/>
      <c r="E34" s="1443"/>
      <c r="F34" s="1443"/>
      <c r="G34" s="1443"/>
      <c r="H34" s="1443"/>
      <c r="I34" s="1443"/>
      <c r="J34" s="1443"/>
      <c r="K34" s="1554"/>
      <c r="M34" s="396"/>
      <c r="N34" s="2519"/>
      <c r="O34" s="3169"/>
      <c r="P34" s="3169"/>
      <c r="Q34" s="3169"/>
      <c r="R34" s="3169"/>
      <c r="S34" s="3169"/>
      <c r="T34" s="3169"/>
      <c r="U34" s="3169"/>
      <c r="V34" s="3169"/>
      <c r="W34" s="3169"/>
      <c r="X34" s="3169"/>
      <c r="Y34" s="3169"/>
      <c r="Z34" s="3169"/>
      <c r="AG34" s="2519"/>
      <c r="AH34" s="2519"/>
    </row>
    <row r="35" spans="1:39" s="46" customFormat="1">
      <c r="A35"/>
      <c r="B35" s="2524" t="s">
        <v>35</v>
      </c>
      <c r="C35" s="1443" t="s">
        <v>1711</v>
      </c>
      <c r="D35" s="1443"/>
      <c r="E35" s="1443"/>
      <c r="F35" s="1443"/>
      <c r="G35" s="1443"/>
      <c r="H35" s="1443"/>
      <c r="I35" s="1443"/>
      <c r="J35" s="1443"/>
      <c r="K35" s="1554"/>
      <c r="M35" s="396"/>
      <c r="N35" s="2519"/>
      <c r="O35" s="3169"/>
      <c r="P35" s="3169"/>
      <c r="Q35" s="3169"/>
      <c r="R35" s="3169"/>
      <c r="S35" s="3169"/>
      <c r="T35" s="3169"/>
      <c r="U35" s="3169"/>
      <c r="V35" s="3169"/>
      <c r="W35" s="3169"/>
      <c r="X35" s="3169"/>
      <c r="Y35" s="3169"/>
      <c r="Z35" s="3169"/>
      <c r="AG35" s="2519"/>
      <c r="AH35" s="2519"/>
    </row>
    <row r="36" spans="1:39" s="46" customFormat="1">
      <c r="A36"/>
      <c r="B36" s="1610"/>
      <c r="C36" s="1443" t="s">
        <v>1723</v>
      </c>
      <c r="D36" s="1443"/>
      <c r="E36" s="1443"/>
      <c r="F36" s="1443"/>
      <c r="G36" s="1443"/>
      <c r="H36" s="1443"/>
      <c r="I36" s="1443"/>
      <c r="J36" s="1443"/>
      <c r="K36" s="1554"/>
      <c r="M36" s="396"/>
      <c r="N36" s="2519"/>
      <c r="O36" s="3169"/>
      <c r="P36" s="3169"/>
      <c r="Q36" s="3169"/>
      <c r="R36" s="3169"/>
      <c r="S36" s="3169"/>
      <c r="T36" s="3169"/>
      <c r="U36" s="3169"/>
      <c r="V36" s="3169"/>
      <c r="W36" s="3169"/>
      <c r="X36" s="3169"/>
      <c r="Y36" s="3169"/>
      <c r="Z36" s="3169"/>
      <c r="AG36" s="2519"/>
      <c r="AH36" s="2519"/>
    </row>
    <row r="37" spans="1:39" s="46" customFormat="1">
      <c r="A37"/>
      <c r="B37" s="1610"/>
      <c r="C37" s="1443" t="s">
        <v>1724</v>
      </c>
      <c r="D37" s="1443"/>
      <c r="E37" s="1443"/>
      <c r="F37" s="1443"/>
      <c r="G37" s="1443"/>
      <c r="H37" s="1443"/>
      <c r="I37" s="1443"/>
      <c r="J37" s="1443"/>
      <c r="K37" s="1554"/>
      <c r="M37" s="396"/>
      <c r="N37" s="2519"/>
      <c r="O37" s="3169"/>
      <c r="P37" s="3169"/>
      <c r="Q37" s="3169"/>
      <c r="R37" s="3169"/>
      <c r="S37" s="3169"/>
      <c r="T37" s="3169"/>
      <c r="U37" s="3169"/>
      <c r="V37" s="3169"/>
      <c r="W37" s="3169"/>
      <c r="X37" s="3169"/>
      <c r="Y37" s="3169"/>
      <c r="Z37" s="3169"/>
      <c r="AG37" s="2519"/>
      <c r="AH37" s="2519"/>
    </row>
    <row r="38" spans="1:39" s="46" customFormat="1">
      <c r="A38"/>
      <c r="B38" s="1610"/>
      <c r="C38" s="1443" t="s">
        <v>1725</v>
      </c>
      <c r="D38" s="1443"/>
      <c r="E38" s="1443"/>
      <c r="F38" s="1443"/>
      <c r="G38" s="1443"/>
      <c r="H38" s="1443"/>
      <c r="I38" s="2523" t="s">
        <v>35</v>
      </c>
      <c r="J38" s="2281"/>
      <c r="K38" s="1554"/>
      <c r="M38" s="396"/>
      <c r="N38" s="2519"/>
      <c r="O38" s="3169"/>
      <c r="P38" s="3169"/>
      <c r="Q38" s="3169"/>
      <c r="R38" s="3169"/>
      <c r="S38" s="3169"/>
      <c r="T38" s="3169"/>
      <c r="U38" s="3169"/>
      <c r="V38" s="3169"/>
      <c r="W38" s="3169"/>
      <c r="X38" s="3169"/>
      <c r="Y38" s="3169"/>
      <c r="Z38" s="3169"/>
      <c r="AG38" s="2519"/>
      <c r="AH38" s="2519"/>
    </row>
    <row r="39" spans="1:39" s="46" customFormat="1">
      <c r="A39"/>
      <c r="B39" s="1610"/>
      <c r="C39" s="1443"/>
      <c r="D39" s="1443"/>
      <c r="E39" s="1443"/>
      <c r="F39" s="1443"/>
      <c r="G39" s="1443"/>
      <c r="H39" s="1443"/>
      <c r="I39" s="1443"/>
      <c r="J39" s="1443"/>
      <c r="K39" s="1554"/>
      <c r="M39" s="396"/>
      <c r="N39" s="2519"/>
      <c r="O39" s="3169"/>
      <c r="P39" s="3169"/>
      <c r="Q39" s="3169"/>
      <c r="R39" s="3169"/>
      <c r="S39" s="3169"/>
      <c r="T39" s="3169"/>
      <c r="U39" s="3169"/>
      <c r="V39" s="3203"/>
      <c r="W39" s="3169"/>
      <c r="X39" s="3203"/>
      <c r="Y39" s="3169"/>
      <c r="Z39" s="3169"/>
      <c r="AG39" s="2519"/>
      <c r="AH39" s="2519"/>
    </row>
    <row r="40" spans="1:39" s="46" customFormat="1">
      <c r="A40"/>
      <c r="B40" s="2524" t="s">
        <v>75</v>
      </c>
      <c r="C40" s="1607" t="s">
        <v>1726</v>
      </c>
      <c r="D40" s="1443"/>
      <c r="E40" s="1443"/>
      <c r="F40" s="1443"/>
      <c r="G40" s="1443"/>
      <c r="H40" s="1443"/>
      <c r="I40" s="2523" t="s">
        <v>75</v>
      </c>
      <c r="J40" s="2518">
        <f>SUM(J17,J23,J33,J38)</f>
        <v>0</v>
      </c>
      <c r="K40" s="1554"/>
      <c r="M40" s="396"/>
      <c r="N40" s="2519"/>
      <c r="O40" s="3169"/>
      <c r="P40" s="3169"/>
      <c r="Q40" s="3169"/>
      <c r="R40" s="3169"/>
      <c r="S40" s="3169"/>
      <c r="T40" s="3169"/>
      <c r="U40" s="3169"/>
      <c r="V40" s="3203"/>
      <c r="W40" s="3169"/>
      <c r="X40" s="3203"/>
      <c r="Y40" s="3169"/>
      <c r="Z40" s="3169"/>
      <c r="AG40" s="2519"/>
      <c r="AH40" s="2519"/>
    </row>
    <row r="41" spans="1:39" s="46" customFormat="1">
      <c r="A41"/>
      <c r="B41" s="1610"/>
      <c r="C41" s="1443"/>
      <c r="D41" s="1443"/>
      <c r="E41" s="1443"/>
      <c r="F41" s="1443"/>
      <c r="G41" s="1443"/>
      <c r="H41" s="1443"/>
      <c r="I41" s="1443"/>
      <c r="J41" s="1443"/>
      <c r="K41" s="1554"/>
      <c r="M41" s="396"/>
      <c r="N41" s="2519"/>
      <c r="O41" s="3169"/>
      <c r="P41" s="3169"/>
      <c r="Q41" s="3169"/>
      <c r="R41" s="3169"/>
      <c r="S41" s="3169"/>
      <c r="T41" s="3169"/>
      <c r="U41" s="3169"/>
      <c r="V41" s="3169"/>
      <c r="W41" s="3169"/>
      <c r="X41" s="3169"/>
      <c r="Y41" s="3169"/>
      <c r="Z41" s="3169"/>
      <c r="AG41" s="2519"/>
      <c r="AH41" s="2519"/>
    </row>
    <row r="42" spans="1:39" s="46" customFormat="1">
      <c r="A42"/>
      <c r="B42" s="2524" t="s">
        <v>76</v>
      </c>
      <c r="C42" s="1607" t="s">
        <v>1736</v>
      </c>
      <c r="D42" s="1443"/>
      <c r="E42" s="1443"/>
      <c r="F42" s="1443"/>
      <c r="G42" s="1443"/>
      <c r="H42" s="1443"/>
      <c r="I42" s="2523" t="s">
        <v>76</v>
      </c>
      <c r="J42" s="2518">
        <f>SUM(J13,-J40)</f>
        <v>0</v>
      </c>
      <c r="K42" s="1554"/>
      <c r="M42" s="396"/>
      <c r="N42" s="2519"/>
      <c r="O42" s="3169"/>
      <c r="P42" s="3169"/>
      <c r="Q42" s="3169"/>
      <c r="R42" s="3169"/>
      <c r="S42" s="3169"/>
      <c r="T42" s="3169"/>
      <c r="U42" s="3169"/>
      <c r="V42" s="3169"/>
      <c r="W42" s="3169"/>
      <c r="X42" s="3169"/>
      <c r="Y42" s="3169"/>
      <c r="Z42" s="3169"/>
      <c r="AG42" s="2519"/>
      <c r="AH42" s="2519"/>
    </row>
    <row r="43" spans="1:39" s="46" customFormat="1">
      <c r="A43"/>
      <c r="B43" s="1610"/>
      <c r="C43" s="1443"/>
      <c r="D43" s="1443"/>
      <c r="E43" s="1443"/>
      <c r="F43" s="1443"/>
      <c r="G43" s="1443"/>
      <c r="H43" s="1443"/>
      <c r="I43" s="1443"/>
      <c r="J43" s="1443"/>
      <c r="K43" s="1554"/>
      <c r="M43" s="396"/>
      <c r="N43" s="2519"/>
      <c r="O43" s="3169"/>
      <c r="P43" s="3169"/>
      <c r="Q43" s="3169"/>
      <c r="R43" s="3169"/>
      <c r="S43" s="3169"/>
      <c r="T43" s="3169"/>
      <c r="U43" s="3169"/>
      <c r="V43" s="3169"/>
      <c r="W43" s="3169"/>
      <c r="X43" s="3169"/>
      <c r="Y43" s="3169"/>
      <c r="Z43" s="3169"/>
      <c r="AG43" s="2519"/>
      <c r="AH43" s="2519"/>
    </row>
    <row r="44" spans="1:39" s="46" customFormat="1">
      <c r="A44"/>
      <c r="B44" s="2524" t="s">
        <v>232</v>
      </c>
      <c r="C44" s="1443" t="s">
        <v>1737</v>
      </c>
      <c r="D44" s="1443"/>
      <c r="E44" s="1443"/>
      <c r="F44" s="1443"/>
      <c r="G44" s="1443"/>
      <c r="H44" s="1443"/>
      <c r="I44" s="1443"/>
      <c r="J44" s="1443"/>
      <c r="K44" s="1554"/>
      <c r="M44" s="396"/>
      <c r="N44" s="2519"/>
      <c r="O44" s="3169"/>
      <c r="P44" s="3169"/>
      <c r="Q44" s="3169"/>
      <c r="R44" s="3169"/>
      <c r="S44" s="3169"/>
      <c r="T44" s="3169"/>
      <c r="U44" s="3169"/>
      <c r="V44" s="3169"/>
      <c r="W44" s="3169"/>
      <c r="X44" s="3169"/>
      <c r="Y44" s="3169"/>
      <c r="Z44" s="3169"/>
      <c r="AG44" s="2519"/>
      <c r="AH44" s="2519"/>
    </row>
    <row r="45" spans="1:39" s="46" customFormat="1">
      <c r="A45"/>
      <c r="B45" s="1610"/>
      <c r="C45" s="1443" t="s">
        <v>1738</v>
      </c>
      <c r="D45" s="1443"/>
      <c r="E45" s="1443"/>
      <c r="F45" s="1443"/>
      <c r="G45" s="1443"/>
      <c r="H45" s="1443"/>
      <c r="I45" s="1443"/>
      <c r="J45" s="1443"/>
      <c r="K45" s="1554"/>
      <c r="M45" s="396"/>
      <c r="N45" s="2519"/>
      <c r="O45" s="3169"/>
      <c r="P45" s="3169"/>
      <c r="Q45" s="3169"/>
      <c r="R45" s="3169"/>
      <c r="S45" s="3169"/>
      <c r="T45" s="3169"/>
      <c r="U45" s="3169"/>
      <c r="V45" s="3169"/>
      <c r="W45" s="3169"/>
      <c r="X45" s="3169"/>
      <c r="Y45" s="3169"/>
      <c r="Z45" s="3169"/>
      <c r="AG45" s="2519"/>
      <c r="AH45" s="2519"/>
    </row>
    <row r="46" spans="1:39" s="46" customFormat="1">
      <c r="A46"/>
      <c r="B46" s="1610"/>
      <c r="C46" s="1607" t="s">
        <v>4801</v>
      </c>
      <c r="D46" s="1443"/>
      <c r="E46" s="1443"/>
      <c r="F46" s="1443"/>
      <c r="G46" s="1443"/>
      <c r="H46" s="1443"/>
      <c r="I46" s="1443"/>
      <c r="J46" s="1443"/>
      <c r="K46" s="1554"/>
      <c r="M46" s="396"/>
      <c r="N46" s="2519"/>
      <c r="O46" s="3169"/>
      <c r="P46" s="3169"/>
      <c r="Q46" s="3169"/>
      <c r="R46" s="3169"/>
      <c r="S46" s="3169"/>
      <c r="T46" s="3169"/>
      <c r="U46" s="3169"/>
      <c r="V46" s="3169"/>
      <c r="W46" s="3169"/>
      <c r="X46" s="3169"/>
      <c r="Y46" s="3169"/>
      <c r="Z46" s="3169"/>
      <c r="AG46" s="2519"/>
      <c r="AH46" s="2519"/>
    </row>
    <row r="47" spans="1:39" s="46" customFormat="1">
      <c r="A47"/>
      <c r="B47" s="1610"/>
      <c r="C47" s="1607" t="s">
        <v>4802</v>
      </c>
      <c r="D47" s="1443"/>
      <c r="E47" s="1443"/>
      <c r="F47" s="1443"/>
      <c r="G47" s="1443"/>
      <c r="H47" s="1443"/>
      <c r="I47" s="1443"/>
      <c r="J47" s="1443"/>
      <c r="K47" s="1554"/>
      <c r="M47" s="396"/>
      <c r="N47" s="2519"/>
      <c r="O47" s="3169"/>
      <c r="P47" s="3169"/>
      <c r="Q47" s="3169"/>
      <c r="R47" s="3169"/>
      <c r="S47" s="3169"/>
      <c r="T47" s="3169"/>
      <c r="U47" s="3169"/>
      <c r="V47" s="3169"/>
      <c r="W47" s="3169"/>
      <c r="X47" s="3169"/>
      <c r="Y47" s="3169"/>
      <c r="Z47" s="3169"/>
      <c r="AG47" s="2519"/>
      <c r="AH47" s="2519"/>
    </row>
    <row r="48" spans="1:39" s="46" customFormat="1">
      <c r="A48"/>
      <c r="B48" s="1610"/>
      <c r="C48" s="1607" t="s">
        <v>4804</v>
      </c>
      <c r="D48" s="1443"/>
      <c r="E48" s="1443"/>
      <c r="F48" s="1443"/>
      <c r="G48" s="1443"/>
      <c r="H48" s="1443"/>
      <c r="I48" s="1443"/>
      <c r="J48" s="1443"/>
      <c r="K48" s="1554"/>
      <c r="M48" s="396"/>
      <c r="N48" s="2519"/>
      <c r="O48" s="3169"/>
      <c r="P48" s="3169"/>
      <c r="Q48" s="3169"/>
      <c r="R48" s="3169"/>
      <c r="S48" s="3169"/>
      <c r="T48" s="3169"/>
      <c r="U48" s="3169"/>
      <c r="V48" s="3169"/>
      <c r="W48" s="3169"/>
      <c r="X48" s="3169"/>
      <c r="Y48" s="3169"/>
      <c r="Z48" s="3169"/>
      <c r="AG48" s="2519"/>
      <c r="AH48" s="2519"/>
    </row>
    <row r="49" spans="1:34" s="46" customFormat="1">
      <c r="A49"/>
      <c r="B49" s="1610"/>
      <c r="C49" s="1607" t="s">
        <v>4803</v>
      </c>
      <c r="D49" s="1443"/>
      <c r="E49" s="1443"/>
      <c r="F49" s="1443"/>
      <c r="G49" s="1443"/>
      <c r="H49" s="1443"/>
      <c r="I49" s="2523" t="s">
        <v>232</v>
      </c>
      <c r="J49" s="2281"/>
      <c r="K49" s="1554"/>
      <c r="M49" s="396"/>
      <c r="N49" s="2519"/>
      <c r="O49" s="3169"/>
      <c r="P49" s="3169"/>
      <c r="Q49" s="3169"/>
      <c r="R49" s="3169"/>
      <c r="S49" s="3169"/>
      <c r="T49" s="3169"/>
      <c r="U49" s="3169"/>
      <c r="V49" s="3169"/>
      <c r="W49" s="3169"/>
      <c r="X49" s="3169"/>
      <c r="Y49" s="3169"/>
      <c r="Z49" s="3169"/>
      <c r="AG49" s="2519"/>
      <c r="AH49" s="2519"/>
    </row>
    <row r="50" spans="1:34" s="46" customFormat="1" ht="15" customHeight="1">
      <c r="A50"/>
      <c r="B50" s="1610"/>
      <c r="C50" s="1607"/>
      <c r="D50" s="1443"/>
      <c r="E50" s="1443"/>
      <c r="F50" s="1443"/>
      <c r="G50" s="1443"/>
      <c r="H50" s="1443"/>
      <c r="I50" s="2523"/>
      <c r="J50" s="1443"/>
      <c r="K50" s="1554"/>
      <c r="M50" s="396"/>
      <c r="N50" s="2519"/>
      <c r="O50" s="3169"/>
      <c r="P50" s="3169"/>
      <c r="Q50" s="3169"/>
      <c r="R50" s="3169"/>
      <c r="S50" s="3169"/>
      <c r="T50" s="3169"/>
      <c r="U50" s="3169"/>
      <c r="V50" s="3169"/>
      <c r="W50" s="3169"/>
      <c r="X50" s="3169"/>
      <c r="Y50" s="3169"/>
      <c r="Z50" s="3169"/>
      <c r="AG50" s="2519"/>
      <c r="AH50" s="2519"/>
    </row>
    <row r="51" spans="1:34" s="46" customFormat="1">
      <c r="A51"/>
      <c r="B51" s="1610"/>
      <c r="C51" s="1607"/>
      <c r="D51" s="5713" t="s">
        <v>2127</v>
      </c>
      <c r="E51" s="5628"/>
      <c r="F51" s="5628"/>
      <c r="G51" s="5628"/>
      <c r="H51" s="5628"/>
      <c r="I51" s="5628"/>
      <c r="J51" s="5628"/>
      <c r="K51" s="1554"/>
      <c r="M51" s="396"/>
      <c r="N51" s="2519"/>
      <c r="O51" s="3169"/>
      <c r="P51" s="3169"/>
      <c r="Q51" s="3169"/>
      <c r="R51" s="3169"/>
      <c r="S51" s="3169"/>
      <c r="T51" s="3169"/>
      <c r="U51" s="3169"/>
      <c r="V51" s="3169"/>
      <c r="W51" s="3169"/>
      <c r="X51" s="3169"/>
      <c r="Y51" s="3169"/>
      <c r="Z51" s="3169"/>
      <c r="AG51" s="2519"/>
      <c r="AH51" s="2519"/>
    </row>
    <row r="52" spans="1:34" s="46" customFormat="1">
      <c r="A52"/>
      <c r="B52" s="1610"/>
      <c r="C52" s="1607"/>
      <c r="D52" s="5628"/>
      <c r="E52" s="5628"/>
      <c r="F52" s="5628"/>
      <c r="G52" s="5628"/>
      <c r="H52" s="5628"/>
      <c r="I52" s="5628"/>
      <c r="J52" s="5628"/>
      <c r="K52" s="1554"/>
      <c r="M52" s="396"/>
      <c r="N52" s="2519"/>
      <c r="O52" s="3169"/>
      <c r="P52" s="3169"/>
      <c r="Q52" s="3169"/>
      <c r="R52" s="3169"/>
      <c r="S52" s="3169"/>
      <c r="T52" s="3169"/>
      <c r="U52" s="3169"/>
      <c r="V52" s="3169"/>
      <c r="W52" s="3169"/>
      <c r="X52" s="3169"/>
      <c r="Y52" s="3169"/>
      <c r="Z52" s="3169"/>
      <c r="AG52" s="2519"/>
      <c r="AH52" s="2519"/>
    </row>
    <row r="53" spans="1:34" s="46" customFormat="1">
      <c r="A53"/>
      <c r="B53" s="1610"/>
      <c r="C53" s="2525"/>
      <c r="D53" s="5628"/>
      <c r="E53" s="5628"/>
      <c r="F53" s="5628"/>
      <c r="G53" s="5628"/>
      <c r="H53" s="5628"/>
      <c r="I53" s="5628"/>
      <c r="J53" s="5628"/>
      <c r="K53" s="1554"/>
      <c r="M53" s="396"/>
      <c r="N53" s="2519"/>
      <c r="O53" s="3169"/>
      <c r="P53" s="3169"/>
      <c r="Q53" s="3169"/>
      <c r="R53" s="3169"/>
      <c r="S53" s="3169"/>
      <c r="T53" s="3169"/>
      <c r="U53" s="3169"/>
      <c r="V53" s="3169"/>
      <c r="W53" s="3169"/>
      <c r="X53" s="3169"/>
      <c r="Y53" s="3169"/>
      <c r="Z53" s="3169"/>
      <c r="AG53" s="2519"/>
      <c r="AH53" s="2519"/>
    </row>
    <row r="54" spans="1:34" s="46" customFormat="1">
      <c r="A54"/>
      <c r="B54" s="1610"/>
      <c r="C54" s="2525"/>
      <c r="D54" s="5628"/>
      <c r="E54" s="5628"/>
      <c r="F54" s="5628"/>
      <c r="G54" s="5628"/>
      <c r="H54" s="5628"/>
      <c r="I54" s="5628"/>
      <c r="J54" s="5628"/>
      <c r="K54" s="1554"/>
      <c r="M54" s="2520" t="s">
        <v>100</v>
      </c>
      <c r="N54" s="2519"/>
      <c r="O54" s="3169"/>
      <c r="P54" s="3169"/>
      <c r="Q54" s="3169"/>
      <c r="R54" s="3169"/>
      <c r="S54" s="3169"/>
      <c r="T54" s="3169"/>
      <c r="U54" s="3169"/>
      <c r="V54" s="3169"/>
      <c r="W54" s="3169"/>
      <c r="X54" s="3169"/>
      <c r="Y54" s="3169"/>
      <c r="Z54" s="3169"/>
      <c r="AG54" s="2519"/>
      <c r="AH54" s="2519"/>
    </row>
    <row r="55" spans="1:34" s="46" customFormat="1" ht="13.5" thickBot="1">
      <c r="A55"/>
      <c r="B55" s="1610"/>
      <c r="C55" s="1607"/>
      <c r="D55" s="1443"/>
      <c r="E55" s="1443"/>
      <c r="F55" s="1443"/>
      <c r="G55" s="1443"/>
      <c r="H55" s="1443"/>
      <c r="I55" s="2523"/>
      <c r="J55" s="1443"/>
      <c r="K55" s="1554"/>
      <c r="M55" s="2520" t="s">
        <v>468</v>
      </c>
      <c r="N55" s="2519"/>
      <c r="O55" s="3169"/>
      <c r="P55" s="3169"/>
      <c r="Q55" s="3169"/>
      <c r="R55" s="3169"/>
      <c r="S55" s="3169"/>
      <c r="T55" s="3169"/>
      <c r="U55" s="3169"/>
      <c r="V55" s="3169"/>
      <c r="W55" s="3169"/>
      <c r="X55" s="3169"/>
      <c r="Y55" s="3169"/>
      <c r="Z55" s="3169"/>
      <c r="AG55" s="2519"/>
      <c r="AH55" s="2519"/>
    </row>
    <row r="56" spans="1:34" s="46" customFormat="1" ht="13.5" thickBot="1">
      <c r="A56"/>
      <c r="B56" s="2524" t="s">
        <v>233</v>
      </c>
      <c r="C56" s="1607" t="s">
        <v>4805</v>
      </c>
      <c r="D56" s="1443"/>
      <c r="E56" s="1443"/>
      <c r="F56" s="1443"/>
      <c r="G56" s="1443"/>
      <c r="H56" s="1443"/>
      <c r="I56" s="2523" t="s">
        <v>233</v>
      </c>
      <c r="J56" s="2518">
        <f>IF(M56&lt;&gt;"",ROUND(M56,0),BusinessIncomeLoss)</f>
        <v>0</v>
      </c>
      <c r="K56" s="1554"/>
      <c r="M56" s="2521"/>
      <c r="N56" s="2519"/>
      <c r="O56" s="3169"/>
      <c r="P56" s="3169"/>
      <c r="Q56" s="3169"/>
      <c r="R56" s="3169"/>
      <c r="S56" s="3169"/>
      <c r="T56" s="3169"/>
      <c r="U56" s="3169"/>
      <c r="V56" s="3169"/>
      <c r="W56" s="3169"/>
      <c r="X56" s="3169"/>
      <c r="Y56" s="3169"/>
      <c r="Z56" s="3169"/>
      <c r="AG56" s="2519"/>
      <c r="AH56" s="2519">
        <v>65</v>
      </c>
    </row>
    <row r="57" spans="1:34" s="46" customFormat="1" ht="13.5" thickBot="1">
      <c r="A57"/>
      <c r="B57" s="1610"/>
      <c r="C57" s="1607"/>
      <c r="D57" s="1443"/>
      <c r="E57" s="1443"/>
      <c r="F57" s="1443"/>
      <c r="G57" s="1443"/>
      <c r="H57" s="1443"/>
      <c r="I57" s="2523"/>
      <c r="J57" s="1443"/>
      <c r="K57" s="1554"/>
      <c r="M57" s="396"/>
      <c r="N57" s="2519"/>
      <c r="O57" s="3169"/>
      <c r="P57" s="3169"/>
      <c r="Q57" s="3169"/>
      <c r="R57" s="3169"/>
      <c r="S57" s="3169"/>
      <c r="T57" s="3169"/>
      <c r="U57" s="3169"/>
      <c r="V57" s="3169"/>
      <c r="W57" s="3169"/>
      <c r="X57" s="3169"/>
      <c r="Y57" s="3169"/>
      <c r="Z57" s="3169"/>
      <c r="AG57" s="2519"/>
      <c r="AH57" s="2519"/>
    </row>
    <row r="58" spans="1:34" s="46" customFormat="1" ht="13.5" thickBot="1">
      <c r="A58"/>
      <c r="B58" s="2524" t="s">
        <v>337</v>
      </c>
      <c r="C58" s="1607" t="s">
        <v>4806</v>
      </c>
      <c r="D58" s="1443"/>
      <c r="E58" s="1443"/>
      <c r="F58" s="1443"/>
      <c r="G58" s="1443"/>
      <c r="H58" s="1443"/>
      <c r="I58" s="2523" t="s">
        <v>337</v>
      </c>
      <c r="J58" s="2518">
        <f>IF(M58&lt;&gt;"",ROUND(M58,0),FarmIncomeLoss)</f>
        <v>0</v>
      </c>
      <c r="K58" s="1554"/>
      <c r="M58" s="2521"/>
      <c r="N58" s="2519"/>
      <c r="O58" s="3169"/>
      <c r="P58" s="3169"/>
      <c r="Q58" s="3169"/>
      <c r="R58" s="3169"/>
      <c r="S58" s="3169"/>
      <c r="T58" s="3169"/>
      <c r="U58" s="3169"/>
      <c r="V58" s="3169"/>
      <c r="W58" s="3169"/>
      <c r="X58" s="3169"/>
      <c r="Y58" s="3169"/>
      <c r="Z58" s="3169"/>
      <c r="AG58" s="2519"/>
      <c r="AH58" s="2519">
        <v>65</v>
      </c>
    </row>
    <row r="59" spans="1:34" s="46" customFormat="1">
      <c r="A59"/>
      <c r="B59" s="1610"/>
      <c r="C59" s="2525"/>
      <c r="D59" s="1443"/>
      <c r="E59" s="1443"/>
      <c r="F59" s="1443"/>
      <c r="G59" s="1443"/>
      <c r="H59" s="1443"/>
      <c r="I59" s="2523"/>
      <c r="J59" s="1443"/>
      <c r="K59" s="1554"/>
      <c r="M59" s="396"/>
      <c r="O59" s="3203"/>
      <c r="P59" s="3169"/>
      <c r="Q59" s="3203"/>
      <c r="R59" s="3169"/>
      <c r="S59" s="3169"/>
      <c r="T59" s="3169"/>
      <c r="U59" s="3169"/>
      <c r="V59" s="3169"/>
      <c r="W59" s="3169"/>
      <c r="X59" s="3169"/>
      <c r="Y59" s="3169"/>
      <c r="Z59" s="3169"/>
      <c r="AG59" s="2519"/>
      <c r="AH59" s="2519"/>
    </row>
    <row r="60" spans="1:34" s="46" customFormat="1">
      <c r="A60"/>
      <c r="B60" s="2524" t="s">
        <v>338</v>
      </c>
      <c r="C60" s="1607" t="s">
        <v>2126</v>
      </c>
      <c r="D60" s="1443"/>
      <c r="E60" s="1443"/>
      <c r="F60" s="1443"/>
      <c r="G60" s="1443"/>
      <c r="H60" s="1443"/>
      <c r="I60" s="2523" t="s">
        <v>338</v>
      </c>
      <c r="J60" s="2518">
        <f>ROUND(SUM(J42,J49,J56,J58),0)</f>
        <v>0</v>
      </c>
      <c r="K60" s="1554"/>
      <c r="M60" s="396"/>
      <c r="N60" s="2519"/>
      <c r="O60" s="3169"/>
      <c r="P60" s="3169"/>
      <c r="Q60" s="3169"/>
      <c r="R60" s="3169"/>
      <c r="S60" s="3169"/>
      <c r="T60" s="3169"/>
      <c r="U60" s="3169"/>
      <c r="V60" s="3169"/>
      <c r="W60" s="3169"/>
      <c r="X60" s="3169"/>
      <c r="Y60" s="3169"/>
      <c r="Z60" s="3169"/>
      <c r="AG60" s="2519"/>
      <c r="AH60" s="2519"/>
    </row>
    <row r="61" spans="1:34" s="46" customFormat="1" ht="13.5" thickBot="1">
      <c r="A61"/>
      <c r="B61" s="1610"/>
      <c r="C61" s="1607"/>
      <c r="D61" s="1443"/>
      <c r="E61" s="1443"/>
      <c r="F61" s="1443"/>
      <c r="G61" s="1443"/>
      <c r="H61" s="1443"/>
      <c r="I61" s="2523"/>
      <c r="J61" s="1443"/>
      <c r="K61" s="1554"/>
      <c r="M61" s="396"/>
      <c r="N61" s="2519"/>
      <c r="O61" s="3169"/>
      <c r="P61" s="3169"/>
      <c r="Q61" s="3169"/>
      <c r="R61" s="3169"/>
      <c r="S61" s="3169"/>
      <c r="T61" s="3169"/>
      <c r="U61" s="3169"/>
      <c r="V61" s="3169"/>
      <c r="W61" s="3169"/>
      <c r="X61" s="3169"/>
      <c r="Y61" s="3169"/>
      <c r="Z61" s="3169"/>
      <c r="AG61" s="2519"/>
      <c r="AH61" s="2519"/>
    </row>
    <row r="62" spans="1:34" s="46" customFormat="1" ht="13.5" thickBot="1">
      <c r="A62"/>
      <c r="B62" s="2524" t="s">
        <v>339</v>
      </c>
      <c r="C62" s="1607" t="s">
        <v>4807</v>
      </c>
      <c r="D62" s="1443"/>
      <c r="E62" s="1443"/>
      <c r="F62" s="1443"/>
      <c r="G62" s="1443"/>
      <c r="H62" s="1443"/>
      <c r="I62" s="2523" t="s">
        <v>339</v>
      </c>
      <c r="J62" s="2518">
        <f>IF(M62&lt;&gt;"",ROUND(M62,0),SE_Deduct)</f>
        <v>0</v>
      </c>
      <c r="K62" s="1554"/>
      <c r="M62" s="2521"/>
      <c r="N62" s="2519"/>
      <c r="O62" s="3169"/>
      <c r="P62" s="3169"/>
      <c r="Q62" s="3169"/>
      <c r="R62" s="3169"/>
      <c r="S62" s="3169"/>
      <c r="T62" s="3169"/>
      <c r="U62" s="3169"/>
      <c r="V62" s="3169"/>
      <c r="W62" s="3169"/>
      <c r="X62" s="3169"/>
      <c r="Y62" s="3169"/>
      <c r="Z62" s="3169"/>
      <c r="AG62" s="2519"/>
      <c r="AH62" s="2519">
        <v>65</v>
      </c>
    </row>
    <row r="63" spans="1:34" s="46" customFormat="1">
      <c r="A63"/>
      <c r="B63" s="1610"/>
      <c r="C63" s="2525"/>
      <c r="D63" s="1443"/>
      <c r="E63" s="1443"/>
      <c r="F63" s="1443"/>
      <c r="G63" s="1443"/>
      <c r="H63" s="1443"/>
      <c r="I63" s="2523"/>
      <c r="J63" s="1443"/>
      <c r="K63" s="1554"/>
      <c r="M63" s="396"/>
      <c r="O63" s="3203"/>
      <c r="P63" s="3169"/>
      <c r="Q63" s="3203"/>
      <c r="R63" s="3169"/>
      <c r="S63" s="3169"/>
      <c r="T63" s="3169"/>
      <c r="U63" s="3169"/>
      <c r="V63" s="3169"/>
      <c r="W63" s="3169"/>
      <c r="X63" s="3169"/>
      <c r="Y63" s="3169"/>
      <c r="Z63" s="3169"/>
      <c r="AG63" s="2519"/>
      <c r="AH63" s="2519"/>
    </row>
    <row r="64" spans="1:34" s="46" customFormat="1" ht="13.5" thickBot="1">
      <c r="A64"/>
      <c r="B64" s="2524" t="s">
        <v>498</v>
      </c>
      <c r="C64" s="1607" t="s">
        <v>2128</v>
      </c>
      <c r="D64" s="1443"/>
      <c r="E64" s="1443"/>
      <c r="F64" s="1443"/>
      <c r="G64" s="1443"/>
      <c r="H64" s="1443"/>
      <c r="I64" s="1443"/>
      <c r="J64" s="1443"/>
      <c r="K64" s="1554"/>
      <c r="M64" s="396"/>
      <c r="N64" s="2519"/>
      <c r="O64" s="3169"/>
      <c r="P64" s="3169"/>
      <c r="Q64" s="3169"/>
      <c r="R64" s="3169"/>
      <c r="S64" s="3169"/>
      <c r="T64" s="3169"/>
      <c r="U64" s="3169"/>
      <c r="V64" s="3169"/>
      <c r="W64" s="3169"/>
      <c r="X64" s="3169"/>
      <c r="Y64" s="3169"/>
      <c r="Z64" s="3169"/>
      <c r="AG64" s="2519"/>
      <c r="AH64" s="2519"/>
    </row>
    <row r="65" spans="1:34" s="46" customFormat="1" ht="13.5" thickBot="1">
      <c r="A65"/>
      <c r="B65" s="1610"/>
      <c r="C65" s="1615" t="s">
        <v>2125</v>
      </c>
      <c r="D65" s="1443"/>
      <c r="E65" s="1443"/>
      <c r="F65" s="1443"/>
      <c r="G65" s="1443"/>
      <c r="H65" s="1443"/>
      <c r="I65" s="2523" t="s">
        <v>498</v>
      </c>
      <c r="J65" s="2518">
        <f>IF(M65&lt;&gt;"",ROUND(M65,0),SUM(J60,-J62))</f>
        <v>0</v>
      </c>
      <c r="K65" s="1554"/>
      <c r="M65" s="2521"/>
      <c r="O65" s="3203"/>
      <c r="P65" s="3169"/>
      <c r="Q65" s="3203"/>
      <c r="R65" s="3169"/>
      <c r="S65" s="3169"/>
      <c r="T65" s="3169"/>
      <c r="U65" s="3169"/>
      <c r="V65" s="3169"/>
      <c r="W65" s="3169"/>
      <c r="X65" s="3169"/>
      <c r="Y65" s="3169"/>
      <c r="Z65" s="3169"/>
      <c r="AG65" s="2519"/>
      <c r="AH65" s="2519"/>
    </row>
    <row r="66" spans="1:34" s="46" customFormat="1">
      <c r="A66"/>
      <c r="B66" s="1610"/>
      <c r="C66" s="1615"/>
      <c r="D66" s="1443"/>
      <c r="E66" s="1443"/>
      <c r="F66" s="1443"/>
      <c r="G66" s="1443"/>
      <c r="H66" s="1443"/>
      <c r="I66" s="2523"/>
      <c r="J66" s="1443"/>
      <c r="K66" s="1554"/>
      <c r="M66" s="396"/>
      <c r="O66" s="3203"/>
      <c r="P66" s="3169"/>
      <c r="Q66" s="3203"/>
      <c r="R66" s="3169"/>
      <c r="S66" s="3169"/>
      <c r="T66" s="3169"/>
      <c r="U66" s="3169"/>
      <c r="V66" s="3169"/>
      <c r="W66" s="3169"/>
      <c r="X66" s="3169"/>
      <c r="Y66" s="3169"/>
      <c r="Z66" s="3169"/>
      <c r="AG66" s="2519"/>
      <c r="AH66" s="2519"/>
    </row>
    <row r="67" spans="1:34" s="46" customFormat="1">
      <c r="A67"/>
      <c r="B67" s="1610"/>
      <c r="C67" s="1615"/>
      <c r="D67" s="1443"/>
      <c r="E67" s="1443"/>
      <c r="F67" s="1443"/>
      <c r="G67" s="1443"/>
      <c r="H67" s="1443"/>
      <c r="I67" s="2523"/>
      <c r="J67" s="1443"/>
      <c r="K67" s="1554"/>
      <c r="M67" s="396"/>
      <c r="O67" s="3203"/>
      <c r="P67" s="3169"/>
      <c r="Q67" s="3203"/>
      <c r="R67" s="3169"/>
      <c r="S67" s="3169"/>
      <c r="T67" s="3169"/>
      <c r="U67" s="3169"/>
      <c r="V67" s="3169"/>
      <c r="W67" s="3169"/>
      <c r="X67" s="3169"/>
      <c r="Y67" s="3169"/>
      <c r="Z67" s="3169"/>
      <c r="AG67" s="2519"/>
      <c r="AH67" s="2519"/>
    </row>
    <row r="68" spans="1:34" s="46" customFormat="1">
      <c r="A68"/>
      <c r="B68" s="1610"/>
      <c r="C68" s="2525" t="s">
        <v>5032</v>
      </c>
      <c r="D68" s="1443"/>
      <c r="E68" s="1443"/>
      <c r="F68" s="1443"/>
      <c r="G68" s="1443"/>
      <c r="H68" s="1443"/>
      <c r="I68" s="2523"/>
      <c r="J68" s="1443"/>
      <c r="K68" s="1554"/>
      <c r="M68" s="396"/>
      <c r="O68" s="3203"/>
      <c r="P68" s="3169"/>
      <c r="Q68" s="3203"/>
      <c r="R68" s="3169"/>
      <c r="S68" s="3169"/>
      <c r="T68" s="3169"/>
      <c r="U68" s="3169"/>
      <c r="V68" s="3169"/>
      <c r="W68" s="3169"/>
      <c r="X68" s="3169"/>
      <c r="Y68" s="3169"/>
      <c r="Z68" s="3169"/>
      <c r="AG68" s="2519"/>
      <c r="AH68" s="2519"/>
    </row>
    <row r="69" spans="1:34" s="46" customFormat="1" ht="6.75" customHeight="1">
      <c r="A69"/>
      <c r="B69" s="1610"/>
      <c r="C69" s="1615"/>
      <c r="D69" s="1443"/>
      <c r="E69" s="1443"/>
      <c r="F69" s="1443"/>
      <c r="G69" s="1443"/>
      <c r="H69" s="1443"/>
      <c r="I69" s="2523"/>
      <c r="J69" s="1443"/>
      <c r="K69" s="1554"/>
      <c r="M69" s="396"/>
      <c r="O69" s="3203"/>
      <c r="P69" s="3169"/>
      <c r="Q69" s="3203"/>
      <c r="R69" s="3169"/>
      <c r="S69" s="3169"/>
      <c r="T69" s="3169"/>
      <c r="U69" s="3169"/>
      <c r="V69" s="3169"/>
      <c r="W69" s="3169"/>
      <c r="X69" s="3169"/>
      <c r="Y69" s="3169"/>
      <c r="Z69" s="3169"/>
      <c r="AG69" s="2519"/>
      <c r="AH69" s="2519"/>
    </row>
    <row r="70" spans="1:34" s="46" customFormat="1">
      <c r="A70"/>
      <c r="B70" s="1610"/>
      <c r="C70" s="2525" t="s">
        <v>2136</v>
      </c>
      <c r="D70" s="1443"/>
      <c r="E70" s="1443"/>
      <c r="F70" s="1443"/>
      <c r="G70" s="1443"/>
      <c r="H70" s="1443"/>
      <c r="I70" s="2523"/>
      <c r="J70" s="1443"/>
      <c r="K70" s="1554"/>
      <c r="M70" s="396"/>
      <c r="O70" s="3203"/>
      <c r="P70" s="3169"/>
      <c r="Q70" s="3203"/>
      <c r="R70" s="3169"/>
      <c r="S70" s="3169"/>
      <c r="T70" s="3169"/>
      <c r="U70" s="3169"/>
      <c r="V70" s="3169"/>
      <c r="W70" s="3169"/>
      <c r="X70" s="3169"/>
      <c r="Y70" s="3169"/>
      <c r="Z70" s="3169"/>
      <c r="AG70" s="2519"/>
      <c r="AH70" s="2519"/>
    </row>
    <row r="71" spans="1:34" s="46" customFormat="1">
      <c r="A71"/>
      <c r="B71" s="1610"/>
      <c r="C71" s="2525" t="s">
        <v>2131</v>
      </c>
      <c r="D71" s="1443"/>
      <c r="E71" s="1443"/>
      <c r="F71" s="1443"/>
      <c r="G71" s="1443"/>
      <c r="H71" s="1443"/>
      <c r="I71" s="2523"/>
      <c r="J71" s="1443"/>
      <c r="K71" s="1554"/>
      <c r="M71" s="396"/>
      <c r="O71" s="3203"/>
      <c r="P71" s="3169"/>
      <c r="Q71" s="3203"/>
      <c r="R71" s="3169"/>
      <c r="S71" s="3169"/>
      <c r="T71" s="3169"/>
      <c r="U71" s="3169"/>
      <c r="V71" s="3169"/>
      <c r="W71" s="3169"/>
      <c r="X71" s="3169"/>
      <c r="Y71" s="3169"/>
      <c r="Z71" s="3169"/>
      <c r="AG71" s="2519"/>
      <c r="AH71" s="2519"/>
    </row>
    <row r="72" spans="1:34" s="46" customFormat="1" ht="13.5" thickBot="1">
      <c r="A72"/>
      <c r="B72" s="1611"/>
      <c r="C72" s="1612"/>
      <c r="D72" s="1612"/>
      <c r="E72" s="1612"/>
      <c r="F72" s="1612"/>
      <c r="G72" s="1612"/>
      <c r="H72" s="1612"/>
      <c r="I72" s="1612"/>
      <c r="J72" s="1612"/>
      <c r="K72" s="1613"/>
      <c r="M72" s="396"/>
      <c r="N72" s="2519"/>
      <c r="O72" s="3169"/>
      <c r="P72" s="3169"/>
      <c r="Q72" s="3169"/>
      <c r="R72" s="3169"/>
      <c r="S72" s="3169"/>
      <c r="T72" s="3169"/>
      <c r="U72" s="3169"/>
      <c r="V72" s="3169"/>
      <c r="W72" s="3169"/>
      <c r="X72" s="3169"/>
      <c r="Y72" s="3169"/>
      <c r="Z72" s="3169"/>
      <c r="AG72" s="2519"/>
      <c r="AH72" s="2519"/>
    </row>
  </sheetData>
  <sheetProtection password="F07E" sheet="1" objects="1" scenarios="1"/>
  <mergeCells count="2">
    <mergeCell ref="B2:K6"/>
    <mergeCell ref="D51:J54"/>
  </mergeCells>
  <conditionalFormatting sqref="J17">
    <cfRule type="expression" dxfId="2624" priority="9">
      <formula>IF(NoColor,1,0)</formula>
    </cfRule>
  </conditionalFormatting>
  <conditionalFormatting sqref="J23">
    <cfRule type="expression" dxfId="2623" priority="4">
      <formula>IF(NoColor,1,0)</formula>
    </cfRule>
  </conditionalFormatting>
  <conditionalFormatting sqref="J33">
    <cfRule type="expression" dxfId="2622" priority="3">
      <formula>IF(NoColor,1,0)</formula>
    </cfRule>
  </conditionalFormatting>
  <conditionalFormatting sqref="J38">
    <cfRule type="expression" dxfId="2621" priority="2">
      <formula>IF(NoColor,1,0)</formula>
    </cfRule>
  </conditionalFormatting>
  <conditionalFormatting sqref="J49">
    <cfRule type="expression" dxfId="2620" priority="1">
      <formula>IF(NoColor,1,0)</formula>
    </cfRule>
  </conditionalFormatting>
  <pageMargins left="0.7" right="0.45" top="0.5" bottom="0.5" header="0.3" footer="0.3"/>
  <pageSetup scale="83" orientation="portrait" horizontalDpi="4294967293" verticalDpi="4294967293"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8"/>
  <sheetViews>
    <sheetView zoomScaleNormal="100" workbookViewId="0">
      <selection activeCell="H4" sqref="H4"/>
    </sheetView>
  </sheetViews>
  <sheetFormatPr defaultRowHeight="12.75"/>
  <cols>
    <col min="1" max="1" width="3.140625" customWidth="1"/>
    <col min="2" max="2" width="7.28515625" style="46" customWidth="1"/>
    <col min="3" max="3" width="9.28515625" style="46" customWidth="1"/>
    <col min="4" max="4" width="33.42578125" style="46" customWidth="1"/>
    <col min="5" max="5" width="35.28515625" style="46" customWidth="1"/>
    <col min="6" max="6" width="3.5703125" style="46" customWidth="1"/>
    <col min="7" max="7" width="16.85546875" style="46" customWidth="1"/>
    <col min="8" max="8" width="3.28515625" style="46" customWidth="1"/>
    <col min="9" max="9" width="14.28515625" style="46" customWidth="1"/>
    <col min="10" max="10" width="6" style="242" customWidth="1"/>
    <col min="11" max="11" width="2.7109375" style="46" customWidth="1"/>
    <col min="12" max="12" width="17.42578125" customWidth="1"/>
    <col min="13" max="14" width="3.5703125" customWidth="1"/>
    <col min="15" max="15" width="14.5703125" style="4400" customWidth="1"/>
    <col min="16" max="26" width="10.7109375" style="4351" customWidth="1"/>
    <col min="27" max="28" width="10.7109375" customWidth="1"/>
  </cols>
  <sheetData>
    <row r="1" spans="1:24" ht="25.5" customHeight="1" thickBot="1">
      <c r="A1" s="3443"/>
      <c r="B1" s="4396"/>
      <c r="C1" s="4396"/>
      <c r="D1" s="3443"/>
      <c r="E1" s="1945"/>
      <c r="F1" s="1945"/>
      <c r="G1" s="1945"/>
      <c r="H1" s="1945"/>
      <c r="I1" s="1945"/>
      <c r="J1" s="4397"/>
      <c r="K1" s="1945"/>
      <c r="L1" s="3443"/>
      <c r="M1" s="3443"/>
      <c r="N1" s="1408"/>
      <c r="O1" s="4401" t="s">
        <v>2552</v>
      </c>
      <c r="P1" s="3169"/>
      <c r="Q1" s="3169"/>
      <c r="R1" s="3169"/>
      <c r="S1" s="3169"/>
      <c r="T1" s="3169"/>
      <c r="U1" s="3169"/>
      <c r="V1" s="3169"/>
      <c r="W1" s="3169"/>
      <c r="X1" s="3169"/>
    </row>
    <row r="2" spans="1:24" ht="18.75" customHeight="1">
      <c r="A2" s="3443"/>
      <c r="B2" s="4921" t="str">
        <f>TaxYear&amp;" Qualified Business Income Deduction—Simplified"</f>
        <v>2018 Qualified Business Income Deduction—Simplified</v>
      </c>
      <c r="C2" s="4354"/>
      <c r="D2" s="4355"/>
      <c r="E2" s="4355"/>
      <c r="F2" s="4355"/>
      <c r="G2" s="4355"/>
      <c r="H2" s="4355"/>
      <c r="I2" s="4356"/>
      <c r="J2" s="4357"/>
      <c r="K2" s="4395"/>
      <c r="L2" s="3443"/>
      <c r="M2" s="3443"/>
      <c r="N2" s="1408"/>
      <c r="O2" s="4398" t="s">
        <v>123</v>
      </c>
      <c r="P2" s="3169"/>
      <c r="Q2" s="3169"/>
      <c r="R2" s="3169"/>
      <c r="S2" s="3169"/>
      <c r="T2" s="3169"/>
      <c r="U2" s="3169"/>
      <c r="V2" s="3169"/>
      <c r="W2" s="3169"/>
      <c r="X2" s="3169"/>
    </row>
    <row r="3" spans="1:24" ht="14.25" customHeight="1">
      <c r="A3" s="3443"/>
      <c r="B3" s="4913" t="s">
        <v>406</v>
      </c>
      <c r="C3" s="3236"/>
      <c r="D3" s="1876"/>
      <c r="E3" s="1876"/>
      <c r="F3" s="1876"/>
      <c r="G3" s="1876"/>
      <c r="H3" s="1736" t="s">
        <v>200</v>
      </c>
      <c r="I3" s="1736"/>
      <c r="J3" s="4358"/>
      <c r="K3" s="4395"/>
      <c r="L3" s="3443"/>
      <c r="M3" s="3443"/>
      <c r="N3" s="1408"/>
      <c r="O3" s="4399"/>
      <c r="P3" s="3169"/>
      <c r="Q3" s="3169"/>
      <c r="R3" s="3169"/>
      <c r="S3" s="3169"/>
      <c r="T3" s="3169"/>
      <c r="U3" s="3169"/>
      <c r="V3" s="3169"/>
      <c r="W3" s="3169"/>
      <c r="X3" s="3169"/>
    </row>
    <row r="4" spans="1:24" ht="14.25" customHeight="1">
      <c r="A4" s="3443"/>
      <c r="B4" s="4359" t="s">
        <v>3669</v>
      </c>
      <c r="C4" s="1615"/>
      <c r="D4" s="1843"/>
      <c r="E4" s="1876"/>
      <c r="F4" s="4360"/>
      <c r="G4" s="4361" t="str">
        <f>IF(OR(NOT($J$5),NOT($J$6),NOT($J$7)),"Check here to use this form anyway. &gt;", "")</f>
        <v>Check here to use this form anyway. &gt;</v>
      </c>
      <c r="H4" s="4392"/>
      <c r="I4" s="2098"/>
      <c r="J4" s="4362" t="b">
        <f>(H4&lt;&gt;"")</f>
        <v>0</v>
      </c>
      <c r="K4" s="4395"/>
      <c r="L4" s="3443"/>
      <c r="M4" s="3443"/>
      <c r="N4" s="1408"/>
      <c r="O4" s="4399"/>
      <c r="P4" s="3169"/>
      <c r="Q4" s="3169"/>
      <c r="R4" s="3169"/>
      <c r="S4" s="3169"/>
      <c r="T4" s="3169"/>
      <c r="U4" s="3169"/>
      <c r="V4" s="3169"/>
      <c r="W4" s="3169"/>
      <c r="X4" s="3169"/>
    </row>
    <row r="5" spans="1:24" s="4351" customFormat="1" ht="14.25" customHeight="1">
      <c r="A5" s="3443"/>
      <c r="B5" s="4363" t="str">
        <f>IF(J5,"Yes","No")</f>
        <v>No</v>
      </c>
      <c r="C5" s="1607" t="s">
        <v>4369</v>
      </c>
      <c r="D5" s="1843"/>
      <c r="E5" s="1876"/>
      <c r="F5" s="4360"/>
      <c r="G5" s="4364"/>
      <c r="H5" s="4365"/>
      <c r="I5" s="2098">
        <v>157500</v>
      </c>
      <c r="J5" s="4362" t="b">
        <f>OR(F11&lt;&gt;"",F12&lt;&gt;"",F13&lt;&gt;"",F14&lt;&gt;"",G22&lt;&gt;"")</f>
        <v>0</v>
      </c>
      <c r="K5" s="4395"/>
      <c r="L5" s="3443"/>
      <c r="M5" s="3443"/>
      <c r="N5" s="1408"/>
      <c r="O5" s="4399"/>
      <c r="P5" s="3169"/>
      <c r="Q5" s="3169"/>
      <c r="R5" s="3169"/>
      <c r="S5" s="3169"/>
      <c r="T5" s="3169"/>
      <c r="U5" s="3169"/>
      <c r="V5" s="3169"/>
      <c r="W5" s="3169"/>
      <c r="X5" s="3169"/>
    </row>
    <row r="6" spans="1:24" s="4351" customFormat="1" ht="14.25" customHeight="1">
      <c r="A6" s="3443"/>
      <c r="B6" s="4366" t="s">
        <v>307</v>
      </c>
      <c r="C6" s="1607" t="s">
        <v>3668</v>
      </c>
      <c r="D6" s="1843"/>
      <c r="E6" s="1876"/>
      <c r="F6" s="4360"/>
      <c r="G6" s="4364"/>
      <c r="H6" s="4365"/>
      <c r="I6" s="2098">
        <v>315000</v>
      </c>
      <c r="J6" s="4367" t="b">
        <f>OR(LEFT(B6,1)="Y",LEFT(B6,1)="y")</f>
        <v>1</v>
      </c>
      <c r="K6" s="4395"/>
      <c r="L6" s="3443"/>
      <c r="M6" s="3443"/>
      <c r="N6" s="1408"/>
      <c r="O6" s="4399"/>
      <c r="P6" s="3169"/>
      <c r="Q6" s="3169"/>
      <c r="R6" s="3169"/>
      <c r="S6" s="3169"/>
      <c r="T6" s="3169"/>
      <c r="U6" s="3169"/>
      <c r="V6" s="3169"/>
      <c r="W6" s="3169"/>
      <c r="X6" s="3169"/>
    </row>
    <row r="7" spans="1:24" s="4351" customFormat="1" ht="14.25" customHeight="1">
      <c r="A7" s="3443"/>
      <c r="B7" s="4368" t="str">
        <f>IF(J7,"Yes","No")</f>
        <v>Yes</v>
      </c>
      <c r="C7" s="2128" t="str">
        <f>"Have taxable income of "&amp;TEXT(I5,"$0,000")&amp;" or less ("&amp;TEXT(I6,"$0,000")&amp;" or less if married filing jointly)."</f>
        <v>Have taxable income of $157,500 or less ($315,000 or less if married filing jointly).</v>
      </c>
      <c r="D7" s="4369"/>
      <c r="E7" s="3041"/>
      <c r="F7" s="4370"/>
      <c r="G7" s="4371"/>
      <c r="H7" s="4372"/>
      <c r="I7" s="4373">
        <f>IF(File_Marr_Joint&lt;&gt;"",I6,I5)</f>
        <v>157500</v>
      </c>
      <c r="J7" s="4374" t="b">
        <f>(SUM(Adj_Gross_Inc,-Deductions)&lt;I7)</f>
        <v>1</v>
      </c>
      <c r="K7" s="4395"/>
      <c r="L7" s="3443"/>
      <c r="M7" s="3443"/>
      <c r="N7" s="1408"/>
      <c r="O7" s="4399"/>
      <c r="P7" s="3169"/>
      <c r="Q7" s="3169"/>
      <c r="R7" s="3169"/>
      <c r="S7" s="3169"/>
      <c r="T7" s="3169"/>
      <c r="U7" s="3169"/>
      <c r="V7" s="3169"/>
      <c r="W7" s="3169"/>
      <c r="X7" s="3169"/>
    </row>
    <row r="8" spans="1:24" s="4351" customFormat="1" ht="14.25" customHeight="1">
      <c r="A8" s="3443"/>
      <c r="B8" s="3077" t="s">
        <v>336</v>
      </c>
      <c r="C8" s="5716" t="s">
        <v>1137</v>
      </c>
      <c r="D8" s="5716"/>
      <c r="E8" s="2254" t="s">
        <v>1139</v>
      </c>
      <c r="F8" s="5716" t="s">
        <v>1142</v>
      </c>
      <c r="G8" s="5716"/>
      <c r="H8" s="4365"/>
      <c r="I8" s="4365"/>
      <c r="J8" s="4367" t="b">
        <f>OR(AND(J5,J6,J7),J4)</f>
        <v>0</v>
      </c>
      <c r="K8" s="4395"/>
      <c r="L8" s="3443"/>
      <c r="M8" s="3443"/>
      <c r="N8" s="1408"/>
      <c r="O8" s="4399"/>
      <c r="P8" s="3169"/>
      <c r="Q8" s="3169"/>
      <c r="R8" s="3169"/>
      <c r="S8" s="3169"/>
      <c r="T8" s="3169"/>
      <c r="U8" s="3169"/>
      <c r="V8" s="3169"/>
      <c r="W8" s="3169"/>
      <c r="X8" s="3169"/>
    </row>
    <row r="9" spans="1:24" s="4351" customFormat="1" ht="14.25" customHeight="1">
      <c r="A9" s="3443"/>
      <c r="B9" s="4375"/>
      <c r="C9" s="5715" t="s">
        <v>3667</v>
      </c>
      <c r="D9" s="5715"/>
      <c r="E9" s="2254" t="s">
        <v>3670</v>
      </c>
      <c r="F9" s="1615" t="s">
        <v>3673</v>
      </c>
      <c r="G9" s="1615"/>
      <c r="H9" s="4365"/>
      <c r="I9" s="4376"/>
      <c r="J9" s="4377"/>
      <c r="K9" s="4395"/>
      <c r="L9" s="3443"/>
      <c r="M9" s="3443"/>
      <c r="N9" s="1408"/>
      <c r="O9" s="4399"/>
      <c r="P9" s="3169"/>
      <c r="Q9" s="3169"/>
      <c r="R9" s="3169"/>
      <c r="S9" s="3169"/>
      <c r="T9" s="3169"/>
      <c r="U9" s="3169"/>
      <c r="V9" s="3169"/>
      <c r="W9" s="3169"/>
      <c r="X9" s="3169"/>
    </row>
    <row r="10" spans="1:24" s="4351" customFormat="1" ht="14.25" customHeight="1">
      <c r="A10" s="3443"/>
      <c r="B10" s="4375"/>
      <c r="C10" s="2254"/>
      <c r="D10" s="2254"/>
      <c r="E10" s="2254" t="s">
        <v>3671</v>
      </c>
      <c r="F10" s="5721" t="s">
        <v>3672</v>
      </c>
      <c r="G10" s="5721"/>
      <c r="H10" s="4365"/>
      <c r="I10" s="4376"/>
      <c r="J10" s="4377"/>
      <c r="K10" s="4395"/>
      <c r="L10" s="5245" t="str">
        <f>IF(I15,"CAUTION","")</f>
        <v/>
      </c>
      <c r="M10" s="3443"/>
      <c r="N10" s="1408"/>
      <c r="O10" s="4399"/>
      <c r="P10" s="3169"/>
      <c r="Q10" s="3169"/>
      <c r="R10" s="3169"/>
      <c r="S10" s="3169"/>
      <c r="T10" s="3169"/>
      <c r="U10" s="3169"/>
      <c r="V10" s="3169"/>
      <c r="W10" s="3169"/>
      <c r="X10" s="3169"/>
    </row>
    <row r="11" spans="1:24" s="4351" customFormat="1" ht="21.75" customHeight="1">
      <c r="A11" s="3443"/>
      <c r="B11" s="3077" t="s">
        <v>4370</v>
      </c>
      <c r="C11" s="5717"/>
      <c r="D11" s="5718"/>
      <c r="E11" s="4293"/>
      <c r="F11" s="5719"/>
      <c r="G11" s="5720"/>
      <c r="H11" s="4378"/>
      <c r="I11" s="5201" t="b">
        <f>AND(F11&lt;&gt;0,F11&lt;&gt;"",OR(F11='Sch. SE'!$V$41,F11='Sch. SE'!$V$43,F11='Sch. SE'!$V$47,F11='Sch. SE'!$V$48,F11='Sch. SE'!$V$72,F11='Sch. SE'!$V$74,F11='Sch. SE'!$V$79,F11='Sch. SE'!$V$80,F11='Sch. SE'!$V$160,F11='Sch. SE'!$V$162,F11='Sch. SE'!$V$166,F11='Sch. SE'!$V$169,F11='Sch. SE'!$V$191,F11='Sch. SE'!$V$193,F11='Sch. SE'!$V$198,F11='Sch. SE'!$V$199))</f>
        <v>0</v>
      </c>
      <c r="J11" s="4380"/>
      <c r="K11" s="4395"/>
      <c r="L11" s="5714" t="str">
        <f>IF(I15,"If your QBI is from self-employment, you must reduce the amount listed here by one-half of your SE tax.","")</f>
        <v/>
      </c>
      <c r="M11" s="3443"/>
      <c r="N11" s="1408"/>
      <c r="O11" s="4399"/>
      <c r="P11" s="3169"/>
      <c r="Q11" s="3169"/>
      <c r="R11" s="3169"/>
      <c r="S11" s="3169"/>
      <c r="T11" s="3169"/>
      <c r="U11" s="3169"/>
      <c r="V11" s="3169"/>
      <c r="W11" s="3169"/>
      <c r="X11" s="3169"/>
    </row>
    <row r="12" spans="1:24" s="4351" customFormat="1" ht="21.75" customHeight="1">
      <c r="A12" s="3443"/>
      <c r="B12" s="3077" t="s">
        <v>4371</v>
      </c>
      <c r="C12" s="5717"/>
      <c r="D12" s="5718"/>
      <c r="E12" s="4293"/>
      <c r="F12" s="5719"/>
      <c r="G12" s="5720"/>
      <c r="H12" s="4378"/>
      <c r="I12" s="5201" t="b">
        <f>AND(F12&lt;&gt;0,F12&lt;&gt;"",OR(F12='Sch. SE'!$V$41,F12='Sch. SE'!$V$43,F12='Sch. SE'!$V$47,F12='Sch. SE'!$V$48,F12='Sch. SE'!$V$72,F12='Sch. SE'!$V$74,F12='Sch. SE'!$V$79,F12='Sch. SE'!$V$80,F12='Sch. SE'!$V$160,F12='Sch. SE'!$V$162,F12='Sch. SE'!$V$166,F12='Sch. SE'!$V$169,F12='Sch. SE'!$V$191,F12='Sch. SE'!$V$193,F12='Sch. SE'!$V$198,F12='Sch. SE'!$V$199))</f>
        <v>0</v>
      </c>
      <c r="J12" s="4380"/>
      <c r="K12" s="4395"/>
      <c r="L12" s="5714"/>
      <c r="M12" s="3443"/>
      <c r="N12" s="1408"/>
      <c r="O12" s="4399"/>
      <c r="P12" s="3169"/>
      <c r="Q12" s="3169"/>
      <c r="R12" s="3169"/>
      <c r="S12" s="3169"/>
      <c r="T12" s="3169"/>
      <c r="U12" s="3169"/>
      <c r="V12" s="3169"/>
      <c r="W12" s="3169"/>
      <c r="X12" s="3169"/>
    </row>
    <row r="13" spans="1:24" s="4351" customFormat="1" ht="21.75" customHeight="1">
      <c r="A13" s="3443"/>
      <c r="B13" s="3077" t="s">
        <v>4372</v>
      </c>
      <c r="C13" s="5717"/>
      <c r="D13" s="5718"/>
      <c r="E13" s="4293"/>
      <c r="F13" s="5719"/>
      <c r="G13" s="5720"/>
      <c r="H13" s="4378"/>
      <c r="I13" s="5201" t="b">
        <f>AND(F13&lt;&gt;0,F13&lt;&gt;"",OR(F13='Sch. SE'!$V$41,F13='Sch. SE'!$V$43,F13='Sch. SE'!$V$47,F13='Sch. SE'!$V$48,F13='Sch. SE'!$V$72,F13='Sch. SE'!$V$74,F13='Sch. SE'!$V$79,F13='Sch. SE'!$V$80,F13='Sch. SE'!$V$160,F13='Sch. SE'!$V$162,F13='Sch. SE'!$V$166,F13='Sch. SE'!$V$169,F13='Sch. SE'!$V$191,F13='Sch. SE'!$V$193,F13='Sch. SE'!$V$198,F13='Sch. SE'!$V$199))</f>
        <v>0</v>
      </c>
      <c r="J13" s="4380"/>
      <c r="K13" s="4395"/>
      <c r="L13" s="5714"/>
      <c r="M13" s="3443"/>
      <c r="N13" s="1408"/>
      <c r="O13" s="4399"/>
      <c r="P13" s="3169"/>
      <c r="Q13" s="3169"/>
      <c r="R13" s="3169"/>
      <c r="S13" s="3169"/>
      <c r="T13" s="3169"/>
      <c r="U13" s="3169"/>
      <c r="V13" s="3169"/>
      <c r="W13" s="3169"/>
      <c r="X13" s="3169"/>
    </row>
    <row r="14" spans="1:24" s="4351" customFormat="1" ht="21.75" customHeight="1">
      <c r="A14" s="3443"/>
      <c r="B14" s="3077" t="s">
        <v>4373</v>
      </c>
      <c r="C14" s="5717"/>
      <c r="D14" s="5718"/>
      <c r="E14" s="4293"/>
      <c r="F14" s="5719"/>
      <c r="G14" s="5720"/>
      <c r="H14" s="4378"/>
      <c r="I14" s="5201" t="b">
        <f>AND(F14&lt;&gt;0,F14&lt;&gt;"",OR(F14='Sch. SE'!$V$41,F14='Sch. SE'!$V$43,F14='Sch. SE'!$V$47,F14='Sch. SE'!$V$48,F14='Sch. SE'!$V$72,F14='Sch. SE'!$V$74,F14='Sch. SE'!$V$79,F14='Sch. SE'!$V$80,F14='Sch. SE'!$V$160,F14='Sch. SE'!$V$162,F14='Sch. SE'!$V$166,F14='Sch. SE'!$V$169,F14='Sch. SE'!$V$191,F14='Sch. SE'!$V$193,F14='Sch. SE'!$V$198,F14='Sch. SE'!$V$199))</f>
        <v>0</v>
      </c>
      <c r="J14" s="4380"/>
      <c r="K14" s="4395"/>
      <c r="L14" s="5714"/>
      <c r="M14" s="3443"/>
      <c r="N14" s="1408"/>
      <c r="O14" s="4399"/>
      <c r="P14" s="3169"/>
      <c r="Q14" s="3169"/>
      <c r="R14" s="3169"/>
      <c r="S14" s="3169"/>
      <c r="T14" s="3169"/>
      <c r="U14" s="3169"/>
      <c r="V14" s="3169"/>
      <c r="W14" s="3169"/>
      <c r="X14" s="3169"/>
    </row>
    <row r="15" spans="1:24" s="4351" customFormat="1" ht="14.25" customHeight="1">
      <c r="A15" s="3443"/>
      <c r="B15" s="4375"/>
      <c r="C15" s="1615"/>
      <c r="D15" s="1615"/>
      <c r="E15" s="1443"/>
      <c r="F15" s="1443"/>
      <c r="G15" s="1443"/>
      <c r="H15" s="4365"/>
      <c r="I15" s="2772" t="b">
        <f>OR(I11,I12,I13,I14)</f>
        <v>0</v>
      </c>
      <c r="J15" s="4377"/>
      <c r="K15" s="4395"/>
      <c r="L15" s="3443"/>
      <c r="M15" s="3443"/>
      <c r="N15" s="1408"/>
      <c r="O15" s="4399"/>
      <c r="P15" s="3169"/>
      <c r="Q15" s="3169"/>
      <c r="R15" s="3169"/>
      <c r="S15" s="3169"/>
      <c r="T15" s="3169"/>
      <c r="U15" s="3169"/>
      <c r="V15" s="3169"/>
      <c r="W15" s="3169"/>
      <c r="X15" s="3169"/>
    </row>
    <row r="16" spans="1:24" s="4351" customFormat="1" ht="14.25" customHeight="1">
      <c r="A16" s="3443"/>
      <c r="B16" s="3077" t="s">
        <v>0</v>
      </c>
      <c r="C16" s="4747" t="s">
        <v>4375</v>
      </c>
      <c r="D16" s="1607"/>
      <c r="E16" s="1876"/>
      <c r="F16" s="1968" t="s">
        <v>4376</v>
      </c>
      <c r="G16" s="4292" t="str">
        <f>IF($J$8,SUM(F11:G14),"")</f>
        <v/>
      </c>
      <c r="H16" s="4381"/>
      <c r="I16" s="4379"/>
      <c r="J16" s="4380"/>
      <c r="K16" s="4395"/>
      <c r="L16" s="3443"/>
      <c r="M16" s="3443"/>
      <c r="N16" s="1408"/>
      <c r="O16" s="4399"/>
      <c r="P16" s="3169"/>
      <c r="Q16" s="3169"/>
      <c r="R16" s="3169"/>
      <c r="S16" s="3169"/>
      <c r="T16" s="3169"/>
      <c r="U16" s="3169"/>
      <c r="V16" s="3169"/>
      <c r="W16" s="3169"/>
      <c r="X16" s="3169"/>
    </row>
    <row r="17" spans="1:24" s="4351" customFormat="1" ht="14.25" customHeight="1">
      <c r="A17" s="3443"/>
      <c r="B17" s="4375"/>
      <c r="C17" s="4382" t="s">
        <v>3674</v>
      </c>
      <c r="D17" s="1615"/>
      <c r="E17" s="1443"/>
      <c r="F17" s="1443"/>
      <c r="G17" s="1443"/>
      <c r="H17" s="4365"/>
      <c r="I17" s="4376"/>
      <c r="J17" s="4377"/>
      <c r="K17" s="4395"/>
      <c r="L17" s="3443"/>
      <c r="M17" s="3443"/>
      <c r="N17" s="1408"/>
      <c r="O17" s="4399"/>
      <c r="P17" s="3169"/>
      <c r="Q17" s="3169"/>
      <c r="R17" s="3169"/>
      <c r="S17" s="3169"/>
      <c r="T17" s="3169"/>
      <c r="U17" s="3169"/>
      <c r="V17" s="3169"/>
      <c r="W17" s="3169"/>
      <c r="X17" s="3169"/>
    </row>
    <row r="18" spans="1:24" s="4351" customFormat="1" ht="14.25" customHeight="1">
      <c r="A18" s="3443"/>
      <c r="B18" s="3077"/>
      <c r="C18" s="4382" t="s">
        <v>3675</v>
      </c>
      <c r="D18" s="1607"/>
      <c r="E18" s="1443"/>
      <c r="F18" s="1443"/>
      <c r="G18" s="1443"/>
      <c r="H18" s="4365"/>
      <c r="I18" s="4376"/>
      <c r="J18" s="4377"/>
      <c r="K18" s="4395"/>
      <c r="L18" s="3443"/>
      <c r="M18" s="3443"/>
      <c r="N18" s="1408"/>
      <c r="O18" s="4399"/>
      <c r="P18" s="3169"/>
      <c r="Q18" s="3169"/>
      <c r="R18" s="3169"/>
      <c r="S18" s="3169"/>
      <c r="T18" s="3169"/>
      <c r="U18" s="3169"/>
      <c r="V18" s="3169"/>
      <c r="W18" s="3169"/>
      <c r="X18" s="3169"/>
    </row>
    <row r="19" spans="1:24" s="4351" customFormat="1" ht="18" customHeight="1">
      <c r="A19" s="3443"/>
      <c r="B19" s="3077" t="s">
        <v>1</v>
      </c>
      <c r="C19" s="1607" t="s">
        <v>3682</v>
      </c>
      <c r="D19" s="1607"/>
      <c r="E19" s="1443"/>
      <c r="F19" s="2541" t="s">
        <v>4378</v>
      </c>
      <c r="G19" s="1943" t="s">
        <v>4377</v>
      </c>
      <c r="H19" s="1968" t="s">
        <v>1</v>
      </c>
      <c r="I19" s="2323"/>
      <c r="J19" s="4383"/>
      <c r="K19" s="4395"/>
      <c r="L19" s="3443"/>
      <c r="M19" s="3443"/>
      <c r="N19" s="1408"/>
      <c r="O19" s="4399"/>
      <c r="P19" s="3169"/>
      <c r="Q19" s="3169"/>
      <c r="R19" s="3169"/>
      <c r="S19" s="3169"/>
      <c r="T19" s="3169"/>
      <c r="U19" s="3169"/>
      <c r="V19" s="3169"/>
      <c r="W19" s="3169"/>
      <c r="X19" s="3169"/>
    </row>
    <row r="20" spans="1:24" s="4351" customFormat="1" ht="18" customHeight="1">
      <c r="A20" s="3443"/>
      <c r="B20" s="3077" t="s">
        <v>455</v>
      </c>
      <c r="C20" s="1607" t="s">
        <v>3676</v>
      </c>
      <c r="D20" s="1607"/>
      <c r="E20" s="1443"/>
      <c r="F20" s="1443"/>
      <c r="G20" s="1943" t="s">
        <v>4377</v>
      </c>
      <c r="H20" s="1968" t="s">
        <v>455</v>
      </c>
      <c r="I20" s="4292" t="str">
        <f>IF(J20,MAX(0,SUM(G16,I19)),"")</f>
        <v/>
      </c>
      <c r="J20" s="4377" t="b">
        <f>AND($J$8,I19&lt;=0)</f>
        <v>0</v>
      </c>
      <c r="K20" s="4395"/>
      <c r="L20" s="3443"/>
      <c r="M20" s="3443"/>
      <c r="N20" s="1408"/>
      <c r="O20" s="4399"/>
      <c r="P20" s="3169"/>
      <c r="Q20" s="3169"/>
      <c r="R20" s="3169"/>
      <c r="S20" s="3169"/>
      <c r="T20" s="3169"/>
      <c r="U20" s="3169"/>
      <c r="V20" s="3169"/>
      <c r="W20" s="3169"/>
      <c r="X20" s="3169"/>
    </row>
    <row r="21" spans="1:24" s="4351" customFormat="1" ht="18" customHeight="1">
      <c r="A21" s="3443"/>
      <c r="B21" s="3077" t="s">
        <v>35</v>
      </c>
      <c r="C21" s="1607" t="str">
        <f>"Qualified business income component. Multiply line 4 by "&amp;TEXT(J21,"0%")&amp;" ("&amp;TEXT(J21,"0.00")&amp;")"</f>
        <v>Qualified business income component. Multiply line 4 by 20% (0.20)</v>
      </c>
      <c r="D21" s="1607"/>
      <c r="E21" s="1443"/>
      <c r="F21" s="1443"/>
      <c r="G21" s="1943" t="s">
        <v>2792</v>
      </c>
      <c r="H21" s="1968" t="s">
        <v>35</v>
      </c>
      <c r="I21" s="4292" t="str">
        <f>IF(J20,I20*$J$21,"")</f>
        <v/>
      </c>
      <c r="J21" s="4748">
        <v>0.2</v>
      </c>
      <c r="K21" s="4395"/>
      <c r="L21" s="3443"/>
      <c r="M21" s="3443"/>
      <c r="N21" s="1408"/>
      <c r="O21" s="4399"/>
      <c r="P21" s="3169"/>
      <c r="Q21" s="3169"/>
      <c r="R21" s="3169"/>
      <c r="S21" s="3169"/>
      <c r="T21" s="3169"/>
      <c r="U21" s="3169"/>
      <c r="V21" s="3169"/>
      <c r="W21" s="3169"/>
      <c r="X21" s="3169"/>
    </row>
    <row r="22" spans="1:24" s="4351" customFormat="1" ht="18" customHeight="1">
      <c r="A22" s="3443"/>
      <c r="B22" s="3077" t="s">
        <v>75</v>
      </c>
      <c r="C22" s="1607" t="s">
        <v>3677</v>
      </c>
      <c r="D22" s="1607"/>
      <c r="E22" s="1943" t="s">
        <v>279</v>
      </c>
      <c r="F22" s="1968" t="s">
        <v>75</v>
      </c>
      <c r="G22" s="2323"/>
      <c r="H22" s="1968"/>
      <c r="I22" s="4376"/>
      <c r="J22" s="4377"/>
      <c r="K22" s="4395"/>
      <c r="L22" s="3443"/>
      <c r="M22" s="3443"/>
      <c r="N22" s="1408"/>
      <c r="O22" s="4399"/>
      <c r="P22" s="3169"/>
      <c r="Q22" s="3169"/>
      <c r="R22" s="3169"/>
      <c r="S22" s="3169"/>
      <c r="T22" s="3169"/>
      <c r="U22" s="3169"/>
      <c r="V22" s="3169"/>
      <c r="W22" s="3169"/>
      <c r="X22" s="3169"/>
    </row>
    <row r="23" spans="1:24" s="4351" customFormat="1" ht="18" customHeight="1">
      <c r="A23" s="3443"/>
      <c r="B23" s="3077" t="s">
        <v>76</v>
      </c>
      <c r="C23" s="1607" t="s">
        <v>3683</v>
      </c>
      <c r="D23" s="1607"/>
      <c r="E23" s="1443"/>
      <c r="F23" s="2541" t="s">
        <v>4378</v>
      </c>
      <c r="G23" s="1943" t="s">
        <v>4377</v>
      </c>
      <c r="H23" s="1968" t="s">
        <v>76</v>
      </c>
      <c r="I23" s="2323"/>
      <c r="J23" s="4384"/>
      <c r="K23" s="4395"/>
      <c r="L23" s="3443"/>
      <c r="M23" s="3443"/>
      <c r="N23" s="1408"/>
      <c r="O23" s="4399"/>
      <c r="P23" s="3169"/>
      <c r="Q23" s="3169"/>
      <c r="R23" s="3169"/>
      <c r="S23" s="3169"/>
      <c r="T23" s="3169"/>
      <c r="U23" s="3169"/>
      <c r="V23" s="3169"/>
      <c r="W23" s="3169"/>
      <c r="X23" s="3169"/>
    </row>
    <row r="24" spans="1:24" s="4351" customFormat="1" ht="18" customHeight="1">
      <c r="A24" s="3443"/>
      <c r="B24" s="3077" t="s">
        <v>232</v>
      </c>
      <c r="C24" s="1607" t="s">
        <v>3678</v>
      </c>
      <c r="D24" s="1607"/>
      <c r="E24" s="1443"/>
      <c r="F24" s="1443"/>
      <c r="G24" s="1943" t="s">
        <v>4377</v>
      </c>
      <c r="H24" s="1968" t="s">
        <v>232</v>
      </c>
      <c r="I24" s="4292" t="str">
        <f>IF(J20,MAX(0,SUM(G22,I23)),"")</f>
        <v/>
      </c>
      <c r="J24" s="4384" t="b">
        <f>AND($J$20,$I$23&lt;=0)</f>
        <v>0</v>
      </c>
      <c r="K24" s="4395"/>
      <c r="L24" s="3443"/>
      <c r="M24" s="3443"/>
      <c r="N24" s="1408"/>
      <c r="O24" s="4399"/>
      <c r="P24" s="3169"/>
      <c r="Q24" s="3169"/>
      <c r="R24" s="3169"/>
      <c r="S24" s="3169"/>
      <c r="T24" s="3169"/>
      <c r="U24" s="3169"/>
      <c r="V24" s="3169"/>
      <c r="W24" s="3169"/>
      <c r="X24" s="3169"/>
    </row>
    <row r="25" spans="1:24" s="4351" customFormat="1" ht="18" customHeight="1">
      <c r="A25" s="3443"/>
      <c r="B25" s="3077" t="s">
        <v>233</v>
      </c>
      <c r="C25" s="1607" t="str">
        <f>"Multiply line 8 by "&amp;TEXT(J21,"0%")&amp;" ("&amp;TEXT(J21,"0.00")&amp;")"</f>
        <v>Multiply line 8 by 20% (0.20)</v>
      </c>
      <c r="D25" s="1607"/>
      <c r="E25" s="1443"/>
      <c r="F25" s="1443"/>
      <c r="G25" s="1943" t="s">
        <v>4315</v>
      </c>
      <c r="H25" s="1968" t="s">
        <v>233</v>
      </c>
      <c r="I25" s="4292" t="str">
        <f>IF(J24,ROUND(I24*$J$21,0),"")</f>
        <v/>
      </c>
      <c r="J25" s="4383"/>
      <c r="K25" s="4395"/>
      <c r="L25" s="3443"/>
      <c r="M25" s="3443"/>
      <c r="N25" s="1408"/>
      <c r="O25" s="4399"/>
      <c r="P25" s="3169"/>
      <c r="Q25" s="3169"/>
      <c r="R25" s="3169"/>
      <c r="S25" s="3169"/>
      <c r="T25" s="3169"/>
      <c r="U25" s="3169"/>
      <c r="V25" s="3169"/>
      <c r="W25" s="3169"/>
      <c r="X25" s="3169"/>
    </row>
    <row r="26" spans="1:24" s="4351" customFormat="1" ht="18" customHeight="1">
      <c r="A26" s="3443"/>
      <c r="B26" s="3077" t="s">
        <v>337</v>
      </c>
      <c r="C26" s="1607" t="s">
        <v>3679</v>
      </c>
      <c r="D26" s="1607"/>
      <c r="E26" s="1443"/>
      <c r="F26" s="1443"/>
      <c r="G26" s="1943" t="s">
        <v>2426</v>
      </c>
      <c r="H26" s="1968" t="s">
        <v>337</v>
      </c>
      <c r="I26" s="4292" t="str">
        <f>IF(J24,SUM(I21,I25),"")</f>
        <v/>
      </c>
      <c r="J26" s="4383"/>
      <c r="K26" s="4395"/>
      <c r="L26" s="4394" t="s">
        <v>101</v>
      </c>
      <c r="M26" s="3443"/>
      <c r="N26" s="1408"/>
      <c r="O26" s="4399"/>
      <c r="P26" s="3169"/>
      <c r="Q26" s="3169"/>
      <c r="R26" s="3169"/>
      <c r="S26" s="3169"/>
      <c r="T26" s="3169"/>
      <c r="U26" s="3169"/>
      <c r="V26" s="3169"/>
      <c r="W26" s="3169"/>
      <c r="X26" s="3169"/>
    </row>
    <row r="27" spans="1:24" s="4351" customFormat="1" ht="18" customHeight="1">
      <c r="A27" s="3443"/>
      <c r="B27" s="3077" t="s">
        <v>338</v>
      </c>
      <c r="C27" s="1607" t="s">
        <v>4121</v>
      </c>
      <c r="D27" s="1607"/>
      <c r="E27" s="3853" t="str">
        <f>IF(NoColor,""," (Form 1040, Line 7 minus Line 8.)")</f>
        <v xml:space="preserve"> (Form 1040, Line 7 minus Line 8.)</v>
      </c>
      <c r="F27" s="1968" t="s">
        <v>338</v>
      </c>
      <c r="G27" s="4292" t="str">
        <f>IF(NOT(QBI_SimpleWS),"",IF(L27&lt;&gt;"",ROUND(L27,0),SUM(Adj_Gross_Inc,-Deductions)))</f>
        <v/>
      </c>
      <c r="H27" s="1968"/>
      <c r="I27" s="4376"/>
      <c r="J27" s="4377"/>
      <c r="K27" s="4395"/>
      <c r="L27" s="3948"/>
      <c r="M27" s="3443"/>
      <c r="N27" s="1408"/>
      <c r="O27" s="4399"/>
      <c r="P27" s="3169"/>
      <c r="Q27" s="3169"/>
      <c r="R27" s="3169"/>
      <c r="S27" s="3169"/>
      <c r="T27" s="3169"/>
      <c r="U27" s="3169"/>
      <c r="V27" s="3169"/>
      <c r="W27" s="3169"/>
      <c r="X27" s="3169"/>
    </row>
    <row r="28" spans="1:24" s="4351" customFormat="1" ht="18" customHeight="1">
      <c r="A28" s="3443"/>
      <c r="B28" s="3077" t="s">
        <v>339</v>
      </c>
      <c r="C28" s="1607" t="s">
        <v>4122</v>
      </c>
      <c r="D28" s="1607"/>
      <c r="E28" s="4565" t="str">
        <f>IF(NoColor,"","See Form 1040 General Instructions.")</f>
        <v>See Form 1040 General Instructions.</v>
      </c>
      <c r="F28" s="1968" t="s">
        <v>339</v>
      </c>
      <c r="G28" s="4292" t="str">
        <f>IF(NOT(QBI_SimpleWS),"",IF(L28&lt;&gt;"",ROUND(L28,0),MAX(0,SUM(Qualified_Dividends,I28))))</f>
        <v/>
      </c>
      <c r="H28" s="1968"/>
      <c r="I28" s="4376">
        <f>IF(SchD_NotReqd,CapitalGains,IF(OR(SchDLine15="",SchDLine15&lt;=0,SchDLine16="",SchDLine16&lt;=0),0,MIN(SchDLine15,SchDLine16)))</f>
        <v>0</v>
      </c>
      <c r="J28" s="4377"/>
      <c r="K28" s="4395"/>
      <c r="L28" s="3948"/>
      <c r="M28" s="3443"/>
      <c r="N28" s="1408"/>
      <c r="O28" s="4399"/>
      <c r="P28" s="3169"/>
      <c r="Q28" s="3169"/>
      <c r="R28" s="3169"/>
      <c r="S28" s="3169"/>
      <c r="T28" s="3169"/>
      <c r="U28" s="3169"/>
      <c r="V28" s="3169"/>
      <c r="W28" s="3169"/>
      <c r="X28" s="3169"/>
    </row>
    <row r="29" spans="1:24" s="4351" customFormat="1" ht="18" customHeight="1">
      <c r="A29" s="3443"/>
      <c r="B29" s="3077" t="s">
        <v>498</v>
      </c>
      <c r="C29" s="1607" t="s">
        <v>3003</v>
      </c>
      <c r="D29" s="1607"/>
      <c r="E29" s="1443"/>
      <c r="F29" s="1968" t="s">
        <v>498</v>
      </c>
      <c r="G29" s="4292" t="str">
        <f>IF(J24,MAX(0,ROUND(SUM(G27,-G28),0)),"")</f>
        <v/>
      </c>
      <c r="H29" s="1968"/>
      <c r="I29" s="4376"/>
      <c r="J29" s="4377"/>
      <c r="K29" s="4395"/>
      <c r="L29" s="3443"/>
      <c r="M29" s="3443"/>
      <c r="N29" s="1408"/>
      <c r="O29" s="4399"/>
      <c r="P29" s="3169"/>
      <c r="Q29" s="3169"/>
      <c r="R29" s="3169"/>
      <c r="S29" s="3169"/>
      <c r="T29" s="3169"/>
      <c r="U29" s="3169"/>
      <c r="V29" s="3169"/>
      <c r="W29" s="3169"/>
      <c r="X29" s="3169"/>
    </row>
    <row r="30" spans="1:24" s="4351" customFormat="1" ht="18" customHeight="1">
      <c r="A30" s="3443"/>
      <c r="B30" s="3077" t="s">
        <v>499</v>
      </c>
      <c r="C30" s="1607" t="s">
        <v>3680</v>
      </c>
      <c r="D30" s="1607"/>
      <c r="E30" s="1443"/>
      <c r="F30" s="1443"/>
      <c r="G30" s="1943" t="s">
        <v>4379</v>
      </c>
      <c r="H30" s="1968" t="s">
        <v>499</v>
      </c>
      <c r="I30" s="4292" t="str">
        <f>IF(J24,ROUND(G29*$J$21,0),"")</f>
        <v/>
      </c>
      <c r="J30" s="4383"/>
      <c r="K30" s="4395"/>
      <c r="L30" s="3443"/>
      <c r="M30" s="3443"/>
      <c r="N30" s="1408"/>
      <c r="O30" s="4399"/>
      <c r="P30" s="3169"/>
      <c r="Q30" s="3169"/>
      <c r="R30" s="3169"/>
      <c r="S30" s="3169"/>
      <c r="T30" s="3169"/>
      <c r="U30" s="3169"/>
      <c r="V30" s="3169"/>
      <c r="W30" s="3169"/>
      <c r="X30" s="3169"/>
    </row>
    <row r="31" spans="1:24" s="4351" customFormat="1" ht="18" customHeight="1">
      <c r="A31" s="3443"/>
      <c r="B31" s="3077" t="s">
        <v>500</v>
      </c>
      <c r="C31" s="1607" t="s">
        <v>4374</v>
      </c>
      <c r="D31" s="1607"/>
      <c r="E31" s="1443"/>
      <c r="F31" s="1443"/>
      <c r="G31" s="1943" t="s">
        <v>2426</v>
      </c>
      <c r="H31" s="1968" t="s">
        <v>500</v>
      </c>
      <c r="I31" s="4393" t="str">
        <f>IF(J24,MIN(I26,I30),"")</f>
        <v/>
      </c>
      <c r="J31" s="4383"/>
      <c r="K31" s="4395"/>
      <c r="L31" s="3443"/>
      <c r="M31" s="3443"/>
      <c r="N31" s="1408"/>
      <c r="O31" s="4399"/>
      <c r="P31" s="3169"/>
      <c r="Q31" s="3169"/>
      <c r="R31" s="3169"/>
      <c r="S31" s="3169"/>
      <c r="T31" s="3169"/>
      <c r="U31" s="3169"/>
      <c r="V31" s="3169"/>
      <c r="W31" s="3169"/>
      <c r="X31" s="3169"/>
    </row>
    <row r="32" spans="1:24" s="4351" customFormat="1" ht="18" customHeight="1">
      <c r="A32" s="3443"/>
      <c r="B32" s="3077" t="s">
        <v>215</v>
      </c>
      <c r="C32" s="1607" t="s">
        <v>3684</v>
      </c>
      <c r="D32" s="1607"/>
      <c r="E32" s="1443"/>
      <c r="F32" s="2541" t="s">
        <v>3685</v>
      </c>
      <c r="G32" s="1943" t="s">
        <v>2426</v>
      </c>
      <c r="H32" s="1968" t="s">
        <v>215</v>
      </c>
      <c r="I32" s="4292" t="str">
        <f>IF(J24,MIN(0,SUM(G16,I19)),"")</f>
        <v/>
      </c>
      <c r="J32" s="4383"/>
      <c r="K32" s="4395"/>
      <c r="L32" s="3443"/>
      <c r="M32" s="3443"/>
      <c r="N32" s="1408"/>
      <c r="O32" s="4399"/>
      <c r="P32" s="3169"/>
      <c r="Q32" s="3169"/>
      <c r="R32" s="3169"/>
      <c r="S32" s="3169"/>
      <c r="T32" s="3169"/>
      <c r="U32" s="3169"/>
      <c r="V32" s="3169"/>
      <c r="W32" s="3169"/>
      <c r="X32" s="3169"/>
    </row>
    <row r="33" spans="1:24" s="4351" customFormat="1" ht="18" customHeight="1">
      <c r="A33" s="3443"/>
      <c r="B33" s="3077" t="s">
        <v>559</v>
      </c>
      <c r="C33" s="1607" t="s">
        <v>3681</v>
      </c>
      <c r="D33" s="1607"/>
      <c r="E33" s="1443"/>
      <c r="F33" s="1443"/>
      <c r="G33" s="1443"/>
      <c r="H33" s="1968"/>
      <c r="I33" s="4376"/>
      <c r="J33" s="4383"/>
      <c r="K33" s="4395"/>
      <c r="L33" s="4394" t="s">
        <v>101</v>
      </c>
      <c r="M33" s="3443"/>
      <c r="N33" s="1408"/>
      <c r="O33" s="4399"/>
      <c r="P33" s="3169"/>
      <c r="Q33" s="3169"/>
      <c r="R33" s="3169"/>
      <c r="S33" s="3169"/>
      <c r="T33" s="3169"/>
      <c r="U33" s="3169"/>
      <c r="V33" s="3169"/>
      <c r="W33" s="3169"/>
      <c r="X33" s="3169"/>
    </row>
    <row r="34" spans="1:24" s="4351" customFormat="1" ht="14.25" customHeight="1">
      <c r="A34" s="3443"/>
      <c r="B34" s="4375"/>
      <c r="C34" s="1607" t="s">
        <v>3615</v>
      </c>
      <c r="D34" s="1615"/>
      <c r="E34" s="1443"/>
      <c r="F34" s="1443"/>
      <c r="G34" s="1943" t="s">
        <v>4380</v>
      </c>
      <c r="H34" s="1968" t="s">
        <v>559</v>
      </c>
      <c r="I34" s="4292" t="str">
        <f>IF(L34&lt;&gt;"",ROUND(L34,0),IF(J24,MIN(0,SUM(G22,I23)),""))</f>
        <v/>
      </c>
      <c r="J34" s="4383"/>
      <c r="K34" s="4395"/>
      <c r="L34" s="3948"/>
      <c r="M34" s="3443"/>
      <c r="N34" s="1408"/>
      <c r="O34" s="4399"/>
      <c r="P34" s="3169"/>
      <c r="Q34" s="3169"/>
      <c r="R34" s="3169"/>
      <c r="S34" s="3169"/>
      <c r="T34" s="3169"/>
      <c r="U34" s="3169"/>
      <c r="V34" s="3169"/>
      <c r="W34" s="3169"/>
      <c r="X34" s="3169"/>
    </row>
    <row r="35" spans="1:24" ht="13.5" customHeight="1" thickBot="1">
      <c r="A35" s="3443"/>
      <c r="B35" s="4385"/>
      <c r="C35" s="4386"/>
      <c r="D35" s="4387"/>
      <c r="E35" s="4387"/>
      <c r="F35" s="4387"/>
      <c r="G35" s="4388"/>
      <c r="H35" s="4389"/>
      <c r="I35" s="4390"/>
      <c r="J35" s="4391"/>
      <c r="K35" s="4395"/>
      <c r="L35" s="3443"/>
      <c r="M35" s="3443"/>
      <c r="N35" s="1408"/>
      <c r="O35" s="4399"/>
      <c r="P35" s="3169"/>
      <c r="Q35" s="3169"/>
      <c r="R35" s="3169"/>
      <c r="S35" s="3169"/>
      <c r="T35" s="3169"/>
      <c r="U35" s="3169"/>
      <c r="V35" s="3169"/>
      <c r="W35" s="3169"/>
      <c r="X35" s="3169"/>
    </row>
    <row r="36" spans="1:24" ht="19.5" customHeight="1">
      <c r="A36" s="3443"/>
      <c r="B36" s="3443"/>
      <c r="C36" s="3443"/>
      <c r="D36" s="3443"/>
      <c r="E36" s="3443"/>
      <c r="F36" s="3443"/>
      <c r="G36" s="3443"/>
      <c r="H36" s="3443"/>
      <c r="I36" s="3443"/>
      <c r="J36" s="3443"/>
      <c r="K36" s="3443"/>
      <c r="L36" s="3443"/>
      <c r="M36" s="3443"/>
      <c r="N36" s="1408"/>
    </row>
    <row r="37" spans="1:24">
      <c r="A37" s="1408"/>
      <c r="B37" s="1443"/>
      <c r="C37" s="1443"/>
      <c r="D37" s="1443"/>
      <c r="E37" s="1443"/>
      <c r="F37" s="1443"/>
      <c r="G37" s="1443"/>
      <c r="H37" s="1443"/>
      <c r="I37" s="1443"/>
      <c r="J37" s="1450"/>
      <c r="K37" s="1443"/>
      <c r="L37" s="1408"/>
      <c r="M37" s="1408"/>
      <c r="N37" s="1408"/>
    </row>
    <row r="38" spans="1:24" ht="13.5" customHeight="1"/>
  </sheetData>
  <sheetProtection password="F07E" sheet="1" objects="1" scenarios="1"/>
  <mergeCells count="13">
    <mergeCell ref="L11:L14"/>
    <mergeCell ref="C9:D9"/>
    <mergeCell ref="C8:D8"/>
    <mergeCell ref="C11:D11"/>
    <mergeCell ref="F8:G8"/>
    <mergeCell ref="F11:G11"/>
    <mergeCell ref="F10:G10"/>
    <mergeCell ref="C12:D12"/>
    <mergeCell ref="F12:G12"/>
    <mergeCell ref="C13:D13"/>
    <mergeCell ref="F13:G13"/>
    <mergeCell ref="C14:D14"/>
    <mergeCell ref="F14:G14"/>
  </mergeCells>
  <conditionalFormatting sqref="I19">
    <cfRule type="expression" dxfId="2619" priority="38">
      <formula>IF(NoColor,1,0)</formula>
    </cfRule>
  </conditionalFormatting>
  <conditionalFormatting sqref="G16">
    <cfRule type="expression" dxfId="2618" priority="31">
      <formula>IF(NoColor,1,0)</formula>
    </cfRule>
  </conditionalFormatting>
  <conditionalFormatting sqref="I20">
    <cfRule type="expression" dxfId="2617" priority="30">
      <formula>IF(NoColor,1,0)</formula>
    </cfRule>
  </conditionalFormatting>
  <conditionalFormatting sqref="I21">
    <cfRule type="expression" dxfId="2616" priority="29">
      <formula>IF(NoColor,1,0)</formula>
    </cfRule>
  </conditionalFormatting>
  <conditionalFormatting sqref="I24">
    <cfRule type="expression" dxfId="2615" priority="25">
      <formula>IF(NoColor,1,0)</formula>
    </cfRule>
  </conditionalFormatting>
  <conditionalFormatting sqref="I25">
    <cfRule type="expression" dxfId="2614" priority="24">
      <formula>IF(NoColor,1,0)</formula>
    </cfRule>
  </conditionalFormatting>
  <conditionalFormatting sqref="I26">
    <cfRule type="expression" dxfId="2613" priority="23">
      <formula>IF(NoColor,1,0)</formula>
    </cfRule>
  </conditionalFormatting>
  <conditionalFormatting sqref="G28">
    <cfRule type="expression" dxfId="2612" priority="21">
      <formula>IF(NoColor,1,0)</formula>
    </cfRule>
  </conditionalFormatting>
  <conditionalFormatting sqref="G27">
    <cfRule type="expression" dxfId="2611" priority="22">
      <formula>IF(NoColor,1,0)</formula>
    </cfRule>
  </conditionalFormatting>
  <conditionalFormatting sqref="G29">
    <cfRule type="expression" dxfId="2610" priority="20">
      <formula>IF(NoColor,1,0)</formula>
    </cfRule>
  </conditionalFormatting>
  <conditionalFormatting sqref="I30">
    <cfRule type="expression" dxfId="2609" priority="19">
      <formula>IF(NoColor,1,0)</formula>
    </cfRule>
  </conditionalFormatting>
  <conditionalFormatting sqref="I31">
    <cfRule type="expression" dxfId="2608" priority="18">
      <formula>IF(NoColor,1,0)</formula>
    </cfRule>
  </conditionalFormatting>
  <conditionalFormatting sqref="I32">
    <cfRule type="expression" dxfId="2607" priority="17">
      <formula>IF(NoColor,1,0)</formula>
    </cfRule>
  </conditionalFormatting>
  <conditionalFormatting sqref="I34">
    <cfRule type="expression" dxfId="2606" priority="14">
      <formula>IF(NoColor,1,0)</formula>
    </cfRule>
  </conditionalFormatting>
  <conditionalFormatting sqref="F19">
    <cfRule type="expression" dxfId="2605" priority="13">
      <formula>($I$19&gt;0)</formula>
    </cfRule>
  </conditionalFormatting>
  <conditionalFormatting sqref="H4">
    <cfRule type="expression" dxfId="2604" priority="2">
      <formula>AND($J$5,$J$6,$J$7)</formula>
    </cfRule>
    <cfRule type="expression" dxfId="2603" priority="3">
      <formula>NoColor</formula>
    </cfRule>
    <cfRule type="expression" dxfId="2602" priority="12">
      <formula>OR(NOT($J$5),NOT($J$6),NOT($J$7))</formula>
    </cfRule>
  </conditionalFormatting>
  <conditionalFormatting sqref="G22">
    <cfRule type="expression" dxfId="2601" priority="11">
      <formula>IF(NoColor,1,0)</formula>
    </cfRule>
  </conditionalFormatting>
  <conditionalFormatting sqref="F23">
    <cfRule type="expression" dxfId="2600" priority="8">
      <formula>$I$23&gt;0</formula>
    </cfRule>
  </conditionalFormatting>
  <conditionalFormatting sqref="I23">
    <cfRule type="expression" dxfId="2599" priority="7">
      <formula>IF(NoColor,1,0)</formula>
    </cfRule>
  </conditionalFormatting>
  <conditionalFormatting sqref="F32">
    <cfRule type="expression" dxfId="2598" priority="6">
      <formula>(AND($I$32&lt;&gt;"",$I$32&gt;0))</formula>
    </cfRule>
  </conditionalFormatting>
  <conditionalFormatting sqref="C11:G14">
    <cfRule type="expression" dxfId="2597" priority="4">
      <formula>NoColor</formula>
    </cfRule>
  </conditionalFormatting>
  <conditionalFormatting sqref="L11:L14">
    <cfRule type="expression" dxfId="2596" priority="1">
      <formula>$I$15</formula>
    </cfRule>
  </conditionalFormatting>
  <printOptions horizontalCentered="1"/>
  <pageMargins left="0.3" right="0.42" top="0.5" bottom="0.56000000000000005" header="0" footer="0"/>
  <pageSetup scale="78"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5"/>
  <sheetViews>
    <sheetView zoomScaleNormal="100" zoomScaleSheetLayoutView="100" workbookViewId="0">
      <selection activeCell="I9" sqref="I9"/>
    </sheetView>
  </sheetViews>
  <sheetFormatPr defaultRowHeight="12.75"/>
  <cols>
    <col min="1" max="1" width="3.7109375" customWidth="1"/>
    <col min="2" max="2" width="5.28515625" customWidth="1"/>
    <col min="3" max="3" width="4.5703125" style="46" customWidth="1"/>
    <col min="4" max="4" width="14.5703125" style="46" customWidth="1"/>
    <col min="5" max="5" width="18" style="46" customWidth="1"/>
    <col min="6" max="6" width="11.5703125" style="46" customWidth="1"/>
    <col min="7" max="8" width="13.7109375" style="46" customWidth="1"/>
    <col min="9" max="9" width="5.7109375" style="46" customWidth="1"/>
    <col min="10" max="10" width="1.85546875" style="46" customWidth="1"/>
    <col min="11" max="11" width="5.7109375" style="46" customWidth="1"/>
    <col min="12" max="12" width="5" style="46" customWidth="1"/>
    <col min="13" max="13" width="3.85546875" style="46" customWidth="1"/>
    <col min="14" max="15" width="10.7109375" style="46" customWidth="1"/>
    <col min="16" max="16" width="2.7109375" style="46" customWidth="1"/>
    <col min="17" max="17" width="3.5703125" customWidth="1"/>
    <col min="18" max="29" width="10.7109375" style="3169" customWidth="1"/>
  </cols>
  <sheetData>
    <row r="1" spans="1:18" ht="33" customHeight="1">
      <c r="A1" s="1443"/>
      <c r="B1" s="1936"/>
      <c r="C1" s="1936"/>
      <c r="D1" s="4749" t="str">
        <f>IF('Line 9 (QBID)'!J7,"You may be able to use the sheet labeled 'Line 9 (QBID)', QBI Deduction -- Simplified Worksheet.","")</f>
        <v>You may be able to use the sheet labeled 'Line 9 (QBID)', QBI Deduction -- Simplified Worksheet.</v>
      </c>
      <c r="E1" s="1443"/>
      <c r="F1" s="1443"/>
      <c r="G1" s="1443"/>
      <c r="H1" s="1443"/>
      <c r="I1" s="1443"/>
      <c r="J1" s="1443"/>
      <c r="K1" s="1443"/>
      <c r="L1" s="1443"/>
      <c r="M1" s="1443"/>
      <c r="N1" s="1443"/>
      <c r="O1" s="1443"/>
      <c r="P1" s="1443"/>
      <c r="Q1" s="1408"/>
      <c r="R1" s="3168" t="s">
        <v>2552</v>
      </c>
    </row>
    <row r="2" spans="1:18" ht="15.75" customHeight="1">
      <c r="A2" s="1443"/>
      <c r="B2" s="4935"/>
      <c r="C2" s="4929"/>
      <c r="D2" s="4930" t="s">
        <v>3837</v>
      </c>
      <c r="E2" s="4931"/>
      <c r="F2" s="4931"/>
      <c r="G2" s="4931"/>
      <c r="H2" s="4931"/>
      <c r="I2" s="4931"/>
      <c r="J2" s="4931"/>
      <c r="K2" s="4931"/>
      <c r="L2" s="4932"/>
      <c r="M2" s="1443"/>
      <c r="N2" s="1443"/>
      <c r="O2" s="1443"/>
      <c r="P2" s="1443"/>
      <c r="Q2" s="1408"/>
      <c r="R2" s="3168"/>
    </row>
    <row r="3" spans="1:18" ht="15.75" customHeight="1">
      <c r="A3" s="1443"/>
      <c r="B3" s="4928" t="s">
        <v>3310</v>
      </c>
      <c r="C3" s="4933"/>
      <c r="D3" s="4933"/>
      <c r="E3" s="3643"/>
      <c r="F3" s="3643"/>
      <c r="G3" s="3643"/>
      <c r="H3" s="3643"/>
      <c r="I3" s="4934"/>
      <c r="J3" s="4934" t="s">
        <v>200</v>
      </c>
      <c r="K3" s="3643"/>
      <c r="L3" s="3666"/>
      <c r="M3" s="1443"/>
      <c r="N3" s="1443"/>
      <c r="O3" s="1443"/>
      <c r="P3" s="1443"/>
      <c r="Q3" s="1408"/>
      <c r="R3" s="3168"/>
    </row>
    <row r="4" spans="1:18" ht="15.75" customHeight="1">
      <c r="A4" s="1443"/>
      <c r="B4" s="3665"/>
      <c r="C4" s="3662" t="s">
        <v>3316</v>
      </c>
      <c r="D4" s="3643"/>
      <c r="E4" s="3643"/>
      <c r="F4" s="3643"/>
      <c r="G4" s="3643"/>
      <c r="H4" s="3643"/>
      <c r="I4" s="3662"/>
      <c r="J4" s="3662"/>
      <c r="K4" s="3662"/>
      <c r="L4" s="3666"/>
      <c r="M4" s="1443"/>
      <c r="N4" s="2254" t="s">
        <v>101</v>
      </c>
      <c r="O4" s="1443"/>
      <c r="P4" s="1443"/>
      <c r="Q4" s="1408"/>
      <c r="R4" s="3168"/>
    </row>
    <row r="5" spans="1:18" ht="15.75" customHeight="1" thickBot="1">
      <c r="A5" s="1443"/>
      <c r="B5" s="3665"/>
      <c r="C5" s="3662"/>
      <c r="D5" s="3662"/>
      <c r="E5" s="3643"/>
      <c r="F5" s="3643"/>
      <c r="G5" s="3643"/>
      <c r="H5" s="3643"/>
      <c r="I5" s="3667" t="s">
        <v>307</v>
      </c>
      <c r="J5" s="3667"/>
      <c r="K5" s="3667" t="s">
        <v>308</v>
      </c>
      <c r="L5" s="3666"/>
      <c r="M5" s="1443"/>
      <c r="N5" s="2254" t="s">
        <v>3182</v>
      </c>
      <c r="O5" s="1443"/>
      <c r="P5" s="1443"/>
      <c r="Q5" s="1408"/>
      <c r="R5" s="3168"/>
    </row>
    <row r="6" spans="1:18" ht="15.75" customHeight="1" thickBot="1">
      <c r="A6" s="1443"/>
      <c r="B6" s="3665"/>
      <c r="C6" s="3668" t="s">
        <v>2910</v>
      </c>
      <c r="D6" s="3668"/>
      <c r="E6" s="3643"/>
      <c r="F6" s="3643"/>
      <c r="G6" s="3643"/>
      <c r="H6" s="3669" t="s">
        <v>2907</v>
      </c>
      <c r="I6" s="3640" t="str">
        <f>IF(OR(N6&lt;&gt;"",Business_Profit&lt;&gt;0),"X","")</f>
        <v/>
      </c>
      <c r="J6" s="3643"/>
      <c r="K6" s="3640" t="str">
        <f>IF(I6="","X","")</f>
        <v>X</v>
      </c>
      <c r="L6" s="3666"/>
      <c r="M6" s="1443"/>
      <c r="N6" s="3958"/>
      <c r="O6" s="1443"/>
      <c r="P6" s="1443"/>
      <c r="Q6" s="1408"/>
      <c r="R6" s="3168"/>
    </row>
    <row r="7" spans="1:18" ht="15.75" customHeight="1" thickBot="1">
      <c r="A7" s="1443"/>
      <c r="B7" s="3665"/>
      <c r="C7" s="3643"/>
      <c r="D7" s="3643"/>
      <c r="E7" s="3643"/>
      <c r="F7" s="3643"/>
      <c r="G7" s="3643"/>
      <c r="H7" s="3669" t="s">
        <v>2908</v>
      </c>
      <c r="I7" s="3641" t="str">
        <f>IF(OR(N7&lt;&gt;"",SchE2_Completed),"X","")</f>
        <v/>
      </c>
      <c r="J7" s="3643"/>
      <c r="K7" s="3641" t="str">
        <f>IF(I7="","X","")</f>
        <v>X</v>
      </c>
      <c r="L7" s="3666"/>
      <c r="M7" s="1443"/>
      <c r="N7" s="3958"/>
      <c r="O7" s="1443"/>
      <c r="P7" s="1443"/>
      <c r="Q7" s="1408"/>
      <c r="R7" s="3168"/>
    </row>
    <row r="8" spans="1:18" ht="15.75" customHeight="1" thickBot="1">
      <c r="A8" s="1443"/>
      <c r="B8" s="3665"/>
      <c r="C8" s="3643"/>
      <c r="D8" s="3643"/>
      <c r="E8" s="3643"/>
      <c r="F8" s="3643"/>
      <c r="G8" s="3643"/>
      <c r="H8" s="3669" t="s">
        <v>2909</v>
      </c>
      <c r="I8" s="3641" t="str">
        <f>IF(OR(N8&lt;&gt;"",FarmProfitNet&lt;&gt;0),"X","")</f>
        <v/>
      </c>
      <c r="J8" s="3643"/>
      <c r="K8" s="3641" t="str">
        <f>IF(I8="","X","")</f>
        <v>X</v>
      </c>
      <c r="L8" s="3666"/>
      <c r="M8" s="1443"/>
      <c r="N8" s="3958"/>
      <c r="O8" s="1443"/>
      <c r="P8" s="1443"/>
      <c r="Q8" s="1408"/>
      <c r="R8" s="3168"/>
    </row>
    <row r="9" spans="1:18" ht="15.75" customHeight="1" thickBot="1">
      <c r="A9" s="1443"/>
      <c r="B9" s="3665"/>
      <c r="C9" s="3643"/>
      <c r="D9" s="3643"/>
      <c r="E9" s="3643"/>
      <c r="F9" s="3643"/>
      <c r="G9" s="3643"/>
      <c r="H9" s="3669" t="s">
        <v>2922</v>
      </c>
      <c r="I9" s="3639"/>
      <c r="J9" s="3643"/>
      <c r="K9" s="3642" t="str">
        <f>IF(I9="","X","")</f>
        <v>X</v>
      </c>
      <c r="L9" s="3666"/>
      <c r="M9" s="1443"/>
      <c r="N9" s="1443"/>
      <c r="O9" s="1443"/>
      <c r="P9" s="1443"/>
      <c r="Q9" s="1408"/>
      <c r="R9" s="3168"/>
    </row>
    <row r="10" spans="1:18" ht="15.75" customHeight="1">
      <c r="A10" s="1443"/>
      <c r="B10" s="3665"/>
      <c r="C10" s="3670"/>
      <c r="D10" s="3670" t="str">
        <f>IF(I10,"Continue to line 2.","STOP.  You must have a qualifying business.")</f>
        <v>STOP.  You must have a qualifying business.</v>
      </c>
      <c r="E10" s="3643"/>
      <c r="F10" s="3643"/>
      <c r="G10" s="3643"/>
      <c r="H10" s="3643"/>
      <c r="I10" s="3671" t="b">
        <f>OR(I6&lt;&gt;"",I7&lt;&gt;"",I8&lt;&gt;"",I9&lt;&gt;"")</f>
        <v>0</v>
      </c>
      <c r="J10" s="3643"/>
      <c r="K10" s="3672"/>
      <c r="L10" s="3666"/>
      <c r="M10" s="1443"/>
      <c r="N10" s="1443"/>
      <c r="O10" s="1443"/>
      <c r="P10" s="1443"/>
      <c r="Q10" s="1408"/>
      <c r="R10" s="3168"/>
    </row>
    <row r="11" spans="1:18" ht="15.75" customHeight="1" thickBot="1">
      <c r="A11" s="1443"/>
      <c r="B11" s="3665"/>
      <c r="C11" s="3662"/>
      <c r="D11" s="3662"/>
      <c r="E11" s="3643"/>
      <c r="F11" s="3643"/>
      <c r="G11" s="3643"/>
      <c r="H11" s="3643"/>
      <c r="I11" s="3667" t="s">
        <v>307</v>
      </c>
      <c r="J11" s="3667"/>
      <c r="K11" s="3667" t="s">
        <v>308</v>
      </c>
      <c r="L11" s="3666"/>
      <c r="M11" s="1443"/>
      <c r="N11" s="1443"/>
      <c r="O11" s="1443"/>
      <c r="P11" s="1443"/>
      <c r="Q11" s="1408"/>
      <c r="R11" s="3168"/>
    </row>
    <row r="12" spans="1:18" ht="15.75" customHeight="1" thickBot="1">
      <c r="A12" s="1443"/>
      <c r="B12" s="3665"/>
      <c r="C12" s="3668" t="s">
        <v>4623</v>
      </c>
      <c r="D12" s="3668"/>
      <c r="E12" s="3643"/>
      <c r="F12" s="3664"/>
      <c r="G12" s="3643"/>
      <c r="H12" s="3669" t="s">
        <v>2911</v>
      </c>
      <c r="I12" s="2296" t="str">
        <f>IF(K12="","X","")</f>
        <v>X</v>
      </c>
      <c r="J12" s="3643"/>
      <c r="K12" s="1445"/>
      <c r="L12" s="3666"/>
      <c r="M12" s="1443"/>
      <c r="N12" s="1443"/>
      <c r="O12" s="1443"/>
      <c r="P12" s="1443"/>
      <c r="Q12" s="1408"/>
      <c r="R12" s="3168"/>
    </row>
    <row r="13" spans="1:18" ht="15.75" customHeight="1">
      <c r="A13" s="1443"/>
      <c r="B13" s="3665"/>
      <c r="C13" s="3670"/>
      <c r="D13" s="3661" t="str">
        <f>IF(NOT(I10),"",IF(I13,"Continue to line 3.","STOP.  You cannot take this deduction."))</f>
        <v/>
      </c>
      <c r="E13" s="3643"/>
      <c r="F13" s="3643"/>
      <c r="G13" s="3643"/>
      <c r="H13" s="3643"/>
      <c r="I13" s="3671" t="b">
        <f>I12&lt;&gt;""</f>
        <v>1</v>
      </c>
      <c r="J13" s="3643"/>
      <c r="K13" s="3671"/>
      <c r="L13" s="3666"/>
      <c r="M13" s="1443"/>
      <c r="N13" s="1443"/>
      <c r="O13" s="1443"/>
      <c r="P13" s="1443"/>
      <c r="Q13" s="1408"/>
      <c r="R13" s="3168"/>
    </row>
    <row r="14" spans="1:18">
      <c r="A14" s="1408"/>
      <c r="B14" s="3674"/>
      <c r="C14" s="3652"/>
      <c r="D14" s="3652"/>
      <c r="E14" s="3652"/>
      <c r="F14" s="3652"/>
      <c r="G14" s="3652"/>
      <c r="H14" s="4927"/>
      <c r="I14" s="4927"/>
      <c r="J14" s="4927"/>
      <c r="K14" s="4927"/>
      <c r="L14" s="3675"/>
      <c r="M14" s="1443"/>
      <c r="N14" s="1443"/>
      <c r="O14" s="1443"/>
      <c r="P14" s="1443"/>
      <c r="Q14" s="1408"/>
    </row>
    <row r="15" spans="1:18">
      <c r="A15" s="1408"/>
      <c r="B15" s="3673"/>
      <c r="C15" s="3668" t="s">
        <v>2941</v>
      </c>
      <c r="D15" s="3668"/>
      <c r="E15" s="3643"/>
      <c r="F15" s="3643"/>
      <c r="G15" s="3643"/>
      <c r="H15" s="4925"/>
      <c r="I15" s="4925"/>
      <c r="J15" s="4925"/>
      <c r="K15" s="4925"/>
      <c r="L15" s="3666"/>
      <c r="M15" s="1443"/>
      <c r="N15" s="1443"/>
      <c r="O15" s="1443"/>
      <c r="P15" s="1443"/>
      <c r="Q15" s="1408"/>
    </row>
    <row r="16" spans="1:18">
      <c r="A16" s="1408"/>
      <c r="B16" s="3673"/>
      <c r="C16" s="3662"/>
      <c r="D16" s="3662" t="s">
        <v>2912</v>
      </c>
      <c r="E16" s="3643"/>
      <c r="F16" s="3643"/>
      <c r="G16" s="3643"/>
      <c r="H16" s="4925"/>
      <c r="I16" s="4925"/>
      <c r="J16" s="4925"/>
      <c r="K16" s="4925"/>
      <c r="L16" s="3666"/>
      <c r="M16" s="1443"/>
      <c r="N16" s="2254" t="s">
        <v>101</v>
      </c>
      <c r="O16" s="1443"/>
      <c r="P16" s="1443"/>
      <c r="Q16" s="1408"/>
    </row>
    <row r="17" spans="1:17">
      <c r="A17" s="1408"/>
      <c r="B17" s="3673"/>
      <c r="C17" s="3643"/>
      <c r="D17" s="3643"/>
      <c r="E17" s="3643"/>
      <c r="F17" s="3643"/>
      <c r="G17" s="3643"/>
      <c r="H17" s="4925"/>
      <c r="I17" s="4925"/>
      <c r="J17" s="4925"/>
      <c r="K17" s="4925"/>
      <c r="L17" s="3666"/>
      <c r="M17" s="1443"/>
      <c r="N17" s="1443"/>
      <c r="O17" s="1443"/>
      <c r="P17" s="1443"/>
      <c r="Q17" s="1408"/>
    </row>
    <row r="18" spans="1:17" ht="13.5" thickBot="1">
      <c r="A18" s="1408"/>
      <c r="B18" s="3673"/>
      <c r="C18" s="3662" t="s">
        <v>2943</v>
      </c>
      <c r="D18" s="3662" t="s">
        <v>4121</v>
      </c>
      <c r="E18" s="3643"/>
      <c r="F18" s="3643"/>
      <c r="G18" s="3643"/>
      <c r="H18" s="4925"/>
      <c r="I18" s="4925"/>
      <c r="J18" s="4925"/>
      <c r="K18" s="4925"/>
      <c r="L18" s="3666"/>
      <c r="M18" s="1443"/>
      <c r="N18" s="1443"/>
      <c r="O18" s="1443"/>
      <c r="P18" s="1443"/>
      <c r="Q18" s="1408"/>
    </row>
    <row r="19" spans="1:17" ht="13.5" thickBot="1">
      <c r="A19" s="1408"/>
      <c r="B19" s="3673"/>
      <c r="C19" s="3662"/>
      <c r="D19" s="3662" t="s">
        <v>4589</v>
      </c>
      <c r="E19" s="3643"/>
      <c r="F19" s="3676"/>
      <c r="G19" s="3645">
        <f>IF(AND(N19&lt;&gt;"",ISERROR(ROUND(N19,0))),"",IF(N19&lt;&gt;"",ROUND(N19,0),Adj_Gross_Inc))</f>
        <v>0</v>
      </c>
      <c r="H19" s="4925"/>
      <c r="I19" s="5746">
        <f>IF(OR(G19="",ISERROR(SUM(G19,1))),0,G19)</f>
        <v>0</v>
      </c>
      <c r="J19" s="5738"/>
      <c r="K19" s="5738"/>
      <c r="L19" s="3666"/>
      <c r="M19" s="1443"/>
      <c r="N19" s="3644"/>
      <c r="O19" s="1443"/>
      <c r="P19" s="1443"/>
      <c r="Q19" s="1408"/>
    </row>
    <row r="20" spans="1:17" ht="13.5" thickBot="1">
      <c r="A20" s="1408"/>
      <c r="B20" s="3673"/>
      <c r="C20" s="3643"/>
      <c r="D20" s="3643"/>
      <c r="E20" s="3643"/>
      <c r="F20" s="3643"/>
      <c r="G20" s="3643"/>
      <c r="H20" s="4925"/>
      <c r="I20" s="4925"/>
      <c r="J20" s="4925"/>
      <c r="K20" s="4925"/>
      <c r="L20" s="3666"/>
      <c r="M20" s="1443"/>
      <c r="N20" s="1443"/>
      <c r="O20" s="1443"/>
      <c r="P20" s="1443"/>
      <c r="Q20" s="1408"/>
    </row>
    <row r="21" spans="1:17" ht="13.5" thickBot="1">
      <c r="A21" s="1408"/>
      <c r="B21" s="3673"/>
      <c r="C21" s="3662" t="s">
        <v>2944</v>
      </c>
      <c r="D21" s="3662" t="s">
        <v>4588</v>
      </c>
      <c r="E21" s="3643"/>
      <c r="F21" s="3676"/>
      <c r="G21" s="3645">
        <f>IF(N21&lt;&gt;"",ROUND(N21,0),IF(ISERROR(Deductions/2),"",Deductions))</f>
        <v>0</v>
      </c>
      <c r="H21" s="4925"/>
      <c r="I21" s="5746">
        <f>IF(G21="",0,G21)</f>
        <v>0</v>
      </c>
      <c r="J21" s="5738"/>
      <c r="K21" s="5738"/>
      <c r="L21" s="3666"/>
      <c r="M21" s="1443"/>
      <c r="N21" s="3644"/>
      <c r="O21" s="1443"/>
      <c r="P21" s="1443"/>
      <c r="Q21" s="1408"/>
    </row>
    <row r="22" spans="1:17">
      <c r="A22" s="1408"/>
      <c r="B22" s="3673"/>
      <c r="C22" s="3643"/>
      <c r="D22" s="3643"/>
      <c r="E22" s="3643"/>
      <c r="F22" s="3643"/>
      <c r="G22" s="3643"/>
      <c r="H22" s="4925"/>
      <c r="I22" s="4925"/>
      <c r="J22" s="4925"/>
      <c r="K22" s="4925"/>
      <c r="L22" s="3666"/>
      <c r="M22" s="1443"/>
      <c r="N22" s="1443"/>
      <c r="O22" s="1443"/>
      <c r="P22" s="1443"/>
      <c r="Q22" s="1408"/>
    </row>
    <row r="23" spans="1:17" ht="13.5" thickBot="1">
      <c r="A23" s="1408"/>
      <c r="B23" s="3673"/>
      <c r="C23" s="3662" t="s">
        <v>2945</v>
      </c>
      <c r="D23" s="3662" t="s">
        <v>4590</v>
      </c>
      <c r="E23" s="3643"/>
      <c r="F23" s="3643"/>
      <c r="G23" s="3643"/>
      <c r="H23" s="4925"/>
      <c r="I23" s="5751" t="b">
        <f>AND(I10,I13)</f>
        <v>0</v>
      </c>
      <c r="J23" s="5752"/>
      <c r="K23" s="5752"/>
      <c r="L23" s="3666"/>
      <c r="M23" s="1443"/>
      <c r="N23" s="1443"/>
      <c r="O23" s="1443"/>
      <c r="P23" s="1443"/>
      <c r="Q23" s="1408"/>
    </row>
    <row r="24" spans="1:17" ht="13.5" thickBot="1">
      <c r="A24" s="1408"/>
      <c r="B24" s="3673"/>
      <c r="C24" s="3662"/>
      <c r="D24" s="3662"/>
      <c r="E24" s="3677" t="s">
        <v>2942</v>
      </c>
      <c r="F24" s="3643"/>
      <c r="G24" s="3643"/>
      <c r="H24" s="3678" t="s">
        <v>2921</v>
      </c>
      <c r="I24" s="5722" t="str">
        <f>IF(N24&lt;&gt;"",ROUND(N24,0),IF(NOT(I23),"",MAX(0,SUM(I19,-I21))))</f>
        <v/>
      </c>
      <c r="J24" s="5727"/>
      <c r="K24" s="5728"/>
      <c r="L24" s="3666"/>
      <c r="M24" s="1443"/>
      <c r="N24" s="3644"/>
      <c r="O24" s="1443"/>
      <c r="P24" s="1443"/>
      <c r="Q24" s="1408"/>
    </row>
    <row r="25" spans="1:17" ht="13.5" thickBot="1">
      <c r="A25" s="1408"/>
      <c r="B25" s="3673"/>
      <c r="C25" s="3662" t="s">
        <v>2946</v>
      </c>
      <c r="D25" s="3679" t="str">
        <f>"Multiply taxable income (3.c) by "&amp;TEXT($H$29,"0%")&amp;" ("&amp;TEXT($H$29,"0.00")&amp;")"</f>
        <v>Multiply taxable income (3.c) by 20% (0.20)</v>
      </c>
      <c r="E25" s="3643"/>
      <c r="F25" s="3643"/>
      <c r="G25" s="3643"/>
      <c r="H25" s="3680"/>
      <c r="I25" s="5722" t="str">
        <f>IF(NOT(I23),"",ROUND(I24*$H$29,0))</f>
        <v/>
      </c>
      <c r="J25" s="5723"/>
      <c r="K25" s="5724"/>
      <c r="L25" s="3666"/>
      <c r="M25" s="1443"/>
      <c r="N25" s="1443"/>
      <c r="O25" s="1443"/>
      <c r="P25" s="1443"/>
      <c r="Q25" s="1408"/>
    </row>
    <row r="26" spans="1:17">
      <c r="A26" s="1408"/>
      <c r="B26" s="3673"/>
      <c r="C26" s="3643"/>
      <c r="D26" s="3643"/>
      <c r="E26" s="3643"/>
      <c r="F26" s="3643"/>
      <c r="G26" s="3643"/>
      <c r="H26" s="3643"/>
      <c r="I26" s="3643"/>
      <c r="J26" s="3643"/>
      <c r="K26" s="3643"/>
      <c r="L26" s="3666"/>
      <c r="M26" s="1443"/>
      <c r="N26" s="1443"/>
      <c r="O26" s="1443"/>
      <c r="P26" s="1443"/>
      <c r="Q26" s="1408"/>
    </row>
    <row r="27" spans="1:17" ht="12" customHeight="1">
      <c r="A27" s="1408"/>
      <c r="B27" s="3674"/>
      <c r="C27" s="3652"/>
      <c r="D27" s="3652"/>
      <c r="E27" s="3652"/>
      <c r="F27" s="3652"/>
      <c r="G27" s="3652"/>
      <c r="H27" s="3653"/>
      <c r="I27" s="3653"/>
      <c r="J27" s="3653"/>
      <c r="K27" s="3653"/>
      <c r="L27" s="3675"/>
      <c r="M27" s="1443"/>
      <c r="N27" s="1443"/>
      <c r="O27" s="1443"/>
      <c r="P27" s="1443"/>
      <c r="Q27" s="1408"/>
    </row>
    <row r="28" spans="1:17">
      <c r="A28" s="1408"/>
      <c r="B28" s="3673"/>
      <c r="C28" s="3668" t="s">
        <v>2950</v>
      </c>
      <c r="D28" s="3668"/>
      <c r="E28" s="3643"/>
      <c r="F28" s="3643"/>
      <c r="G28" s="3662"/>
      <c r="H28" s="3662"/>
      <c r="I28" s="5747"/>
      <c r="J28" s="5747"/>
      <c r="K28" s="5747"/>
      <c r="L28" s="3666"/>
      <c r="M28" s="1443"/>
      <c r="N28" s="2254"/>
      <c r="O28" s="1443"/>
      <c r="P28" s="1443"/>
      <c r="Q28" s="1408"/>
    </row>
    <row r="29" spans="1:17" ht="13.5" thickBot="1">
      <c r="A29" s="1408"/>
      <c r="B29" s="3673"/>
      <c r="C29" s="3659" t="s">
        <v>2917</v>
      </c>
      <c r="D29" s="3662" t="s">
        <v>2913</v>
      </c>
      <c r="E29" s="3643"/>
      <c r="F29" s="3659"/>
      <c r="G29" s="3662"/>
      <c r="H29" s="3663">
        <v>0.2</v>
      </c>
      <c r="I29" s="5753"/>
      <c r="J29" s="5753"/>
      <c r="K29" s="5753"/>
      <c r="L29" s="3666"/>
      <c r="M29" s="1443"/>
      <c r="N29" s="2254"/>
      <c r="O29" s="1443"/>
      <c r="P29" s="1443"/>
      <c r="Q29" s="1408"/>
    </row>
    <row r="30" spans="1:17" ht="13.5" thickBot="1">
      <c r="A30" s="1408"/>
      <c r="B30" s="3673"/>
      <c r="C30" s="3662"/>
      <c r="D30" s="3679" t="s">
        <v>2994</v>
      </c>
      <c r="E30" s="3643"/>
      <c r="F30" s="3679"/>
      <c r="G30" s="3646"/>
      <c r="H30" s="3660" t="str">
        <f>"x "&amp;TEXT($H$29,"00%")&amp;" ("&amp;TEXT($H$29,"0.00")&amp;")"</f>
        <v>x 20% (0.20)</v>
      </c>
      <c r="I30" s="5722">
        <f>ROUND(QBI*$H$29,0)</f>
        <v>0</v>
      </c>
      <c r="J30" s="5727"/>
      <c r="K30" s="5728"/>
      <c r="L30" s="3666"/>
      <c r="M30" s="1443"/>
      <c r="N30" s="2254"/>
      <c r="O30" s="1443"/>
      <c r="P30" s="1443"/>
      <c r="Q30" s="1408"/>
    </row>
    <row r="31" spans="1:17" ht="13.5" thickBot="1">
      <c r="A31" s="1408"/>
      <c r="B31" s="3673"/>
      <c r="C31" s="3662"/>
      <c r="D31" s="3679"/>
      <c r="E31" s="3643"/>
      <c r="F31" s="3643"/>
      <c r="G31" s="3643"/>
      <c r="H31" s="3643"/>
      <c r="I31" s="3643"/>
      <c r="J31" s="3643"/>
      <c r="K31" s="3643"/>
      <c r="L31" s="3666"/>
      <c r="M31" s="1443"/>
      <c r="N31" s="2254"/>
      <c r="O31" s="1443"/>
      <c r="P31" s="1443"/>
      <c r="Q31" s="1408"/>
    </row>
    <row r="32" spans="1:17">
      <c r="A32" s="1408"/>
      <c r="B32" s="3673"/>
      <c r="C32" s="3659" t="s">
        <v>2918</v>
      </c>
      <c r="D32" s="3662" t="s">
        <v>2915</v>
      </c>
      <c r="E32" s="3643"/>
      <c r="F32" s="3659"/>
      <c r="G32" s="3649"/>
      <c r="H32" s="3660" t="str">
        <f>"x "&amp;TEXT($H$29,"00%")&amp;" ("&amp;TEXT($H$29,"0.00")&amp;")"</f>
        <v>x 20% (0.20)</v>
      </c>
      <c r="I32" s="5754">
        <f>ROUND(G32*$H$29,0)</f>
        <v>0</v>
      </c>
      <c r="J32" s="5755"/>
      <c r="K32" s="5756"/>
      <c r="L32" s="3666"/>
      <c r="M32" s="1443"/>
      <c r="N32" s="2254"/>
      <c r="O32" s="1443"/>
      <c r="P32" s="1443"/>
      <c r="Q32" s="1408"/>
    </row>
    <row r="33" spans="1:17">
      <c r="A33" s="1408"/>
      <c r="B33" s="3673"/>
      <c r="C33" s="3659" t="s">
        <v>2919</v>
      </c>
      <c r="D33" s="3662" t="s">
        <v>2914</v>
      </c>
      <c r="E33" s="3643"/>
      <c r="F33" s="3659"/>
      <c r="G33" s="3650"/>
      <c r="H33" s="3660" t="str">
        <f>"x "&amp;TEXT($H$29,"00%")&amp;" ("&amp;TEXT($H$29,"0.00")&amp;")"</f>
        <v>x 20% (0.20)</v>
      </c>
      <c r="I33" s="5757">
        <f>ROUND(G33*$H$29,0)</f>
        <v>0</v>
      </c>
      <c r="J33" s="5758"/>
      <c r="K33" s="5759"/>
      <c r="L33" s="3666"/>
      <c r="M33" s="1443"/>
      <c r="N33" s="2254"/>
      <c r="O33" s="1443"/>
      <c r="P33" s="1443"/>
      <c r="Q33" s="1408"/>
    </row>
    <row r="34" spans="1:17" ht="13.5" thickBot="1">
      <c r="A34" s="1408"/>
      <c r="B34" s="3673"/>
      <c r="C34" s="3659" t="s">
        <v>2920</v>
      </c>
      <c r="D34" s="3662" t="s">
        <v>2916</v>
      </c>
      <c r="E34" s="3643"/>
      <c r="F34" s="3659"/>
      <c r="G34" s="3651"/>
      <c r="H34" s="3660" t="str">
        <f>"x "&amp;TEXT($H$29,"00%")&amp;" ("&amp;TEXT($H$29,"0.00")&amp;")"</f>
        <v>x 20% (0.20)</v>
      </c>
      <c r="I34" s="5762">
        <f>ROUND(G34*$H$29,0)</f>
        <v>0</v>
      </c>
      <c r="J34" s="5763"/>
      <c r="K34" s="5764"/>
      <c r="L34" s="3666"/>
      <c r="M34" s="1443"/>
      <c r="N34" s="2254"/>
      <c r="O34" s="1443"/>
      <c r="P34" s="1443"/>
      <c r="Q34" s="1766"/>
    </row>
    <row r="35" spans="1:17">
      <c r="A35" s="1408"/>
      <c r="B35" s="3673"/>
      <c r="C35" s="3662"/>
      <c r="D35" s="3662"/>
      <c r="E35" s="3643"/>
      <c r="F35" s="3643"/>
      <c r="G35" s="3643"/>
      <c r="H35" s="3659"/>
      <c r="I35" s="4223"/>
      <c r="J35" s="4223"/>
      <c r="K35" s="4223"/>
      <c r="L35" s="3666"/>
      <c r="M35" s="1443"/>
      <c r="N35" s="1443"/>
      <c r="O35" s="1443"/>
      <c r="P35" s="1443"/>
      <c r="Q35" s="1408"/>
    </row>
    <row r="36" spans="1:17" ht="12.75" customHeight="1">
      <c r="A36" s="1408"/>
      <c r="B36" s="3674"/>
      <c r="C36" s="3653"/>
      <c r="D36" s="3653"/>
      <c r="E36" s="3652"/>
      <c r="F36" s="3652"/>
      <c r="G36" s="3652"/>
      <c r="H36" s="4224" t="s">
        <v>3553</v>
      </c>
      <c r="I36" s="5743" t="s">
        <v>3556</v>
      </c>
      <c r="J36" s="5744"/>
      <c r="K36" s="5744"/>
      <c r="L36" s="5745"/>
      <c r="M36" s="1443"/>
      <c r="N36" s="1443"/>
      <c r="O36" s="1443"/>
      <c r="P36" s="1443"/>
      <c r="Q36" s="1408"/>
    </row>
    <row r="37" spans="1:17" ht="12.75" customHeight="1">
      <c r="A37" s="1408"/>
      <c r="B37" s="3673"/>
      <c r="C37" s="3662"/>
      <c r="D37" s="3662"/>
      <c r="E37" s="3643"/>
      <c r="F37" s="3643"/>
      <c r="G37" s="3643"/>
      <c r="H37" s="4225" t="s">
        <v>3554</v>
      </c>
      <c r="I37" s="5773" t="s">
        <v>3557</v>
      </c>
      <c r="J37" s="5774"/>
      <c r="K37" s="5774"/>
      <c r="L37" s="5775"/>
      <c r="M37" s="1443"/>
      <c r="N37" s="1443"/>
      <c r="O37" s="1443"/>
      <c r="P37" s="1443"/>
      <c r="Q37" s="1408"/>
    </row>
    <row r="38" spans="1:17" ht="13.5" customHeight="1" thickBot="1">
      <c r="A38" s="1408"/>
      <c r="B38" s="3673"/>
      <c r="C38" s="3668" t="str">
        <f>"5.  Wage and Capital Investment Component"</f>
        <v>5.  Wage and Capital Investment Component</v>
      </c>
      <c r="D38" s="3668"/>
      <c r="E38" s="3643"/>
      <c r="F38" s="3643"/>
      <c r="G38" s="3643"/>
      <c r="H38" s="4226" t="s">
        <v>3555</v>
      </c>
      <c r="I38" s="5740" t="s">
        <v>3558</v>
      </c>
      <c r="J38" s="5741"/>
      <c r="K38" s="5741"/>
      <c r="L38" s="5742"/>
      <c r="M38" s="1443"/>
      <c r="N38" s="1443"/>
      <c r="O38" s="1443"/>
      <c r="P38" s="1443"/>
      <c r="Q38" s="1408"/>
    </row>
    <row r="39" spans="1:17" ht="13.5" thickBot="1">
      <c r="A39" s="1408"/>
      <c r="B39" s="3673"/>
      <c r="C39" s="3659" t="s">
        <v>2968</v>
      </c>
      <c r="D39" s="5767" t="s">
        <v>2971</v>
      </c>
      <c r="E39" s="5768"/>
      <c r="F39" s="5769"/>
      <c r="G39" s="3646"/>
      <c r="H39" s="4228">
        <f>0.5*G39</f>
        <v>0</v>
      </c>
      <c r="I39" s="5760">
        <f>0.25*G39</f>
        <v>0</v>
      </c>
      <c r="J39" s="5761"/>
      <c r="K39" s="5761"/>
      <c r="L39" s="3666"/>
      <c r="M39" s="1443"/>
      <c r="N39" s="2254"/>
      <c r="O39" s="1443"/>
      <c r="P39" s="1443"/>
      <c r="Q39" s="1408"/>
    </row>
    <row r="40" spans="1:17" ht="13.5" thickBot="1">
      <c r="A40" s="1408"/>
      <c r="B40" s="3673"/>
      <c r="C40" s="3659" t="s">
        <v>2969</v>
      </c>
      <c r="D40" s="5767" t="s">
        <v>2972</v>
      </c>
      <c r="E40" s="5768"/>
      <c r="F40" s="5769"/>
      <c r="G40" s="3646"/>
      <c r="H40" s="3663"/>
      <c r="I40" s="5733">
        <f>0.025*G40</f>
        <v>0</v>
      </c>
      <c r="J40" s="5734"/>
      <c r="K40" s="5734"/>
      <c r="L40" s="3706"/>
      <c r="M40" s="1443"/>
      <c r="N40" s="1443"/>
      <c r="O40" s="1443"/>
      <c r="P40" s="1443"/>
      <c r="Q40" s="1408"/>
    </row>
    <row r="41" spans="1:17" ht="13.5" thickBot="1">
      <c r="A41" s="1408"/>
      <c r="B41" s="3673"/>
      <c r="C41" s="3659" t="s">
        <v>2970</v>
      </c>
      <c r="D41" s="5770" t="s">
        <v>2973</v>
      </c>
      <c r="E41" s="5768"/>
      <c r="F41" s="5769"/>
      <c r="G41" s="3645">
        <f>IF(AND(G39="",G40=""),0,MAX(H39,I41))</f>
        <v>0</v>
      </c>
      <c r="H41" s="3663"/>
      <c r="I41" s="5735">
        <f>SUM(I39:K40)</f>
        <v>0</v>
      </c>
      <c r="J41" s="5736"/>
      <c r="K41" s="5736"/>
      <c r="L41" s="4227"/>
      <c r="M41" s="1443"/>
      <c r="N41" s="1443"/>
      <c r="O41" s="1443"/>
      <c r="P41" s="1443"/>
      <c r="Q41" s="1408"/>
    </row>
    <row r="42" spans="1:17">
      <c r="A42" s="1408"/>
      <c r="B42" s="3673"/>
      <c r="C42" s="3659"/>
      <c r="D42" s="3659"/>
      <c r="E42" s="3659"/>
      <c r="F42" s="3659"/>
      <c r="G42" s="3659"/>
      <c r="H42" s="3659"/>
      <c r="I42" s="3659"/>
      <c r="J42" s="3659"/>
      <c r="K42" s="3659"/>
      <c r="L42" s="3666"/>
      <c r="M42" s="1443"/>
      <c r="N42" s="1443"/>
      <c r="O42" s="1443"/>
      <c r="P42" s="1443"/>
      <c r="Q42" s="1408"/>
    </row>
    <row r="43" spans="1:17">
      <c r="A43" s="1408"/>
      <c r="B43" s="3673"/>
      <c r="C43" s="3643"/>
      <c r="D43" s="3659" t="s">
        <v>3559</v>
      </c>
      <c r="E43" s="3662" t="s">
        <v>3561</v>
      </c>
      <c r="F43" s="3643"/>
      <c r="G43" s="3643"/>
      <c r="H43" s="3643"/>
      <c r="I43" s="3643"/>
      <c r="J43" s="3643"/>
      <c r="K43" s="3643"/>
      <c r="L43" s="3666"/>
      <c r="M43" s="1443"/>
      <c r="N43" s="1443"/>
      <c r="O43" s="1443"/>
      <c r="P43" s="1443"/>
      <c r="Q43" s="1408"/>
    </row>
    <row r="44" spans="1:17">
      <c r="A44" s="1408"/>
      <c r="B44" s="3673"/>
      <c r="C44" s="3643"/>
      <c r="D44" s="3662"/>
      <c r="E44" s="3662" t="s">
        <v>3560</v>
      </c>
      <c r="F44" s="3643"/>
      <c r="G44" s="3643"/>
      <c r="H44" s="3643"/>
      <c r="I44" s="3643"/>
      <c r="J44" s="3643"/>
      <c r="K44" s="3643"/>
      <c r="L44" s="3666"/>
      <c r="M44" s="1443"/>
      <c r="N44" s="1443"/>
      <c r="O44" s="1443"/>
      <c r="P44" s="1443"/>
      <c r="Q44" s="1408"/>
    </row>
    <row r="45" spans="1:17" ht="12" customHeight="1">
      <c r="A45" s="1408"/>
      <c r="B45" s="3673"/>
      <c r="C45" s="3643"/>
      <c r="D45" s="3643"/>
      <c r="E45" s="3643"/>
      <c r="F45" s="3643"/>
      <c r="G45" s="3643"/>
      <c r="H45" s="3662"/>
      <c r="I45" s="3662"/>
      <c r="J45" s="3662"/>
      <c r="K45" s="3662"/>
      <c r="L45" s="3666"/>
      <c r="M45" s="1443"/>
      <c r="N45" s="1443"/>
      <c r="O45" s="1443"/>
      <c r="P45" s="1443"/>
      <c r="Q45" s="1408"/>
    </row>
    <row r="46" spans="1:17">
      <c r="A46" s="1408"/>
      <c r="B46" s="3674"/>
      <c r="C46" s="3652"/>
      <c r="D46" s="3652"/>
      <c r="E46" s="3652"/>
      <c r="F46" s="3652"/>
      <c r="G46" s="3652"/>
      <c r="H46" s="3652"/>
      <c r="I46" s="3652"/>
      <c r="J46" s="3652"/>
      <c r="K46" s="3652"/>
      <c r="L46" s="3675"/>
      <c r="M46" s="1443"/>
      <c r="N46" s="1443"/>
      <c r="O46" s="1443"/>
      <c r="P46" s="1443"/>
      <c r="Q46" s="1408"/>
    </row>
    <row r="47" spans="1:17">
      <c r="A47" s="1408"/>
      <c r="B47" s="3673"/>
      <c r="C47" s="3668" t="s">
        <v>2953</v>
      </c>
      <c r="D47" s="3668"/>
      <c r="E47" s="3643"/>
      <c r="F47" s="3643"/>
      <c r="G47" s="3643"/>
      <c r="H47" s="3662"/>
      <c r="I47" s="5747"/>
      <c r="J47" s="5748"/>
      <c r="K47" s="5748"/>
      <c r="L47" s="3666"/>
      <c r="M47" s="1443"/>
      <c r="N47" s="1443"/>
      <c r="O47" s="1443"/>
      <c r="P47" s="1443"/>
      <c r="Q47" s="1408"/>
    </row>
    <row r="48" spans="1:17" ht="13.5" thickBot="1">
      <c r="A48" s="1408"/>
      <c r="B48" s="3673"/>
      <c r="C48" s="3662"/>
      <c r="D48" s="3662" t="str">
        <f>"Enter "&amp;TEXT(H48,"$0,000")&amp;" if Married Filing Jointly, otherwise enter "&amp;TEXT(I48,"$0,000")&amp;"."</f>
        <v>Enter $415,000 if Married Filing Jointly, otherwise enter $207,500.</v>
      </c>
      <c r="E48" s="3643"/>
      <c r="F48" s="3643"/>
      <c r="G48" s="3643"/>
      <c r="H48" s="4925">
        <v>415000</v>
      </c>
      <c r="I48" s="5746">
        <v>207500</v>
      </c>
      <c r="J48" s="5738"/>
      <c r="K48" s="5738"/>
      <c r="L48" s="3666"/>
      <c r="M48" s="1443"/>
      <c r="N48" s="1443"/>
      <c r="O48" s="1443"/>
      <c r="P48" s="1443"/>
      <c r="Q48" s="1408"/>
    </row>
    <row r="49" spans="1:29" ht="13.5" thickBot="1">
      <c r="A49" s="1408"/>
      <c r="B49" s="3673"/>
      <c r="C49" s="3643"/>
      <c r="D49" s="3643"/>
      <c r="E49" s="3643"/>
      <c r="F49" s="3643"/>
      <c r="G49" s="3645" t="str">
        <f>IF(N49&lt;&gt;"",ROUND(N49,0),IF(NOT(I23),"",IF(File_Marr_Joint&lt;&gt;"",H48,I48)))</f>
        <v/>
      </c>
      <c r="H49" s="4924"/>
      <c r="I49" s="5749" t="b">
        <f>I24&gt;G49</f>
        <v>0</v>
      </c>
      <c r="J49" s="5750"/>
      <c r="K49" s="5750"/>
      <c r="L49" s="3666"/>
      <c r="M49" s="1443"/>
      <c r="N49" s="1443"/>
      <c r="O49" s="1443"/>
      <c r="P49" s="1443"/>
      <c r="Q49" s="1408"/>
    </row>
    <row r="50" spans="1:29">
      <c r="A50" s="1408"/>
      <c r="B50" s="3673"/>
      <c r="C50" s="3643"/>
      <c r="D50" s="3661"/>
      <c r="E50" s="3643"/>
      <c r="F50" s="3643"/>
      <c r="G50" s="3643"/>
      <c r="H50" s="3662"/>
      <c r="I50" s="3662"/>
      <c r="J50" s="3662"/>
      <c r="K50" s="3662"/>
      <c r="L50" s="3666"/>
      <c r="M50" s="1443"/>
      <c r="N50" s="1443"/>
      <c r="O50" s="1443"/>
      <c r="P50" s="1443"/>
      <c r="Q50" s="1408"/>
    </row>
    <row r="51" spans="1:29" ht="12" customHeight="1">
      <c r="A51" s="1408"/>
      <c r="B51" s="3674"/>
      <c r="C51" s="3652"/>
      <c r="D51" s="3652"/>
      <c r="E51" s="3652"/>
      <c r="F51" s="3652"/>
      <c r="G51" s="3652"/>
      <c r="H51" s="3653"/>
      <c r="I51" s="3653"/>
      <c r="J51" s="3653"/>
      <c r="K51" s="3653"/>
      <c r="L51" s="3675"/>
      <c r="M51" s="1443"/>
      <c r="N51" s="1443"/>
      <c r="O51" s="1443"/>
      <c r="P51" s="1443"/>
      <c r="Q51" s="1408"/>
    </row>
    <row r="52" spans="1:29" ht="13.5" thickBot="1">
      <c r="A52" s="1408"/>
      <c r="B52" s="3673"/>
      <c r="C52" s="3668" t="s">
        <v>2955</v>
      </c>
      <c r="D52" s="3668"/>
      <c r="E52" s="3643"/>
      <c r="F52" s="3643"/>
      <c r="G52" s="3662"/>
      <c r="H52" s="3662"/>
      <c r="I52" s="3662"/>
      <c r="J52" s="3662"/>
      <c r="K52" s="3662"/>
      <c r="L52" s="3666"/>
      <c r="M52" s="1443"/>
      <c r="N52" s="1443"/>
      <c r="O52" s="1443"/>
      <c r="P52" s="1443"/>
      <c r="Q52" s="1408"/>
    </row>
    <row r="53" spans="1:29" ht="13.5" thickBot="1">
      <c r="A53" s="1408"/>
      <c r="B53" s="3673"/>
      <c r="C53" s="3647" t="str">
        <f>IF(OR(NOT(I10),NOT(I13)),"",IF($K$53,"X",""))</f>
        <v/>
      </c>
      <c r="D53" s="3662" t="s">
        <v>2923</v>
      </c>
      <c r="E53" s="3662"/>
      <c r="F53" s="5731" t="s">
        <v>974</v>
      </c>
      <c r="G53" s="3659"/>
      <c r="H53" s="5731" t="s">
        <v>2948</v>
      </c>
      <c r="I53" s="3660"/>
      <c r="J53" s="3660"/>
      <c r="K53" s="3671" t="b">
        <f>(I24&gt;G49)</f>
        <v>0</v>
      </c>
      <c r="L53" s="3666"/>
      <c r="M53" s="1443"/>
      <c r="N53" s="1443"/>
      <c r="O53" s="1443"/>
      <c r="P53" s="1443"/>
      <c r="Q53" s="1408"/>
    </row>
    <row r="54" spans="1:29" ht="9" customHeight="1" thickBot="1">
      <c r="A54" s="1408"/>
      <c r="B54" s="3673"/>
      <c r="C54" s="3659"/>
      <c r="D54" s="3659"/>
      <c r="E54" s="3662"/>
      <c r="F54" s="5765"/>
      <c r="G54" s="3643"/>
      <c r="H54" s="5765"/>
      <c r="I54" s="3662"/>
      <c r="J54" s="3662"/>
      <c r="K54" s="3662"/>
      <c r="L54" s="3666"/>
      <c r="M54" s="1443"/>
      <c r="N54" s="1443"/>
      <c r="O54" s="1443"/>
      <c r="P54" s="1443"/>
      <c r="Q54" s="1408"/>
    </row>
    <row r="55" spans="1:29" ht="13.5" thickBot="1">
      <c r="A55" s="1408"/>
      <c r="B55" s="3673"/>
      <c r="C55" s="3647" t="str">
        <f>IF(OR(NOT(I10),NOT(I13)),"",IF($K$53,"","X"))</f>
        <v/>
      </c>
      <c r="D55" s="3662" t="s">
        <v>2976</v>
      </c>
      <c r="E55" s="3662"/>
      <c r="F55" s="3682" t="str">
        <f>I24</f>
        <v/>
      </c>
      <c r="G55" s="3643"/>
      <c r="H55" s="3682" t="str">
        <f>IncomeLimit</f>
        <v/>
      </c>
      <c r="I55" s="3663"/>
      <c r="J55" s="3663"/>
      <c r="K55" s="3663"/>
      <c r="L55" s="3666"/>
      <c r="M55" s="1443"/>
      <c r="N55" s="1443"/>
      <c r="O55" s="1443"/>
      <c r="P55" s="1443"/>
      <c r="Q55" s="1408"/>
    </row>
    <row r="56" spans="1:29">
      <c r="A56" s="1408"/>
      <c r="B56" s="3673"/>
      <c r="C56" s="3643"/>
      <c r="D56" s="3643"/>
      <c r="E56" s="3643"/>
      <c r="F56" s="3643"/>
      <c r="G56" s="3643"/>
      <c r="H56" s="3643"/>
      <c r="I56" s="3643"/>
      <c r="J56" s="3643"/>
      <c r="K56" s="3643"/>
      <c r="L56" s="3666"/>
      <c r="M56" s="1443"/>
      <c r="N56" s="1443"/>
      <c r="O56" s="1443"/>
      <c r="P56" s="1443"/>
      <c r="Q56" s="1408"/>
    </row>
    <row r="57" spans="1:29">
      <c r="A57" s="1408"/>
      <c r="B57" s="3674"/>
      <c r="C57" s="3652"/>
      <c r="D57" s="3652"/>
      <c r="E57" s="3652"/>
      <c r="F57" s="3652"/>
      <c r="G57" s="3652"/>
      <c r="H57" s="3652"/>
      <c r="I57" s="3652"/>
      <c r="J57" s="3652"/>
      <c r="K57" s="3652"/>
      <c r="L57" s="3675"/>
      <c r="M57" s="1443"/>
      <c r="N57" s="1443"/>
      <c r="O57" s="1443"/>
      <c r="P57" s="1443"/>
      <c r="Q57" s="1408"/>
    </row>
    <row r="58" spans="1:29">
      <c r="A58" s="1408"/>
      <c r="B58" s="3673"/>
      <c r="C58" s="3668" t="s">
        <v>2954</v>
      </c>
      <c r="D58" s="3668"/>
      <c r="E58" s="3643"/>
      <c r="F58" s="3643"/>
      <c r="G58" s="3643"/>
      <c r="H58" s="3662"/>
      <c r="I58" s="5747"/>
      <c r="J58" s="5748"/>
      <c r="K58" s="5748"/>
      <c r="L58" s="3666"/>
      <c r="M58" s="1443"/>
      <c r="N58" s="1443"/>
      <c r="O58" s="1443"/>
      <c r="P58" s="1443"/>
      <c r="Q58" s="1408"/>
    </row>
    <row r="59" spans="1:29" ht="13.5" thickBot="1">
      <c r="A59" s="1408"/>
      <c r="B59" s="3673"/>
      <c r="C59" s="3662"/>
      <c r="D59" s="3662" t="str">
        <f>"Enter "&amp;TEXT(H59,"$0,000")&amp;" if Married Filing Jointly, otherwise enter "&amp;TEXT(I59,"$0,000")&amp;"."</f>
        <v>Enter $315,000 if Married Filing Jointly, otherwise enter $157,500.</v>
      </c>
      <c r="E59" s="3643"/>
      <c r="F59" s="3643"/>
      <c r="G59" s="3643"/>
      <c r="H59" s="4925">
        <v>315000</v>
      </c>
      <c r="I59" s="5746">
        <v>157500</v>
      </c>
      <c r="J59" s="5738"/>
      <c r="K59" s="5738"/>
      <c r="L59" s="3683"/>
      <c r="M59" s="1443"/>
      <c r="N59" s="1443"/>
      <c r="O59" s="1443"/>
      <c r="P59" s="1443"/>
      <c r="Q59" s="1408"/>
    </row>
    <row r="60" spans="1:29" ht="13.5" thickBot="1">
      <c r="A60" s="1408"/>
      <c r="B60" s="3673"/>
      <c r="C60" s="3643"/>
      <c r="D60" s="3643"/>
      <c r="E60" s="3643"/>
      <c r="F60" s="3643"/>
      <c r="G60" s="3645" t="str">
        <f>IF(N60&lt;&gt;"",ROUND(N60,0),IF(NOT(I23),"",IF(File_Marr_Joint&lt;&gt;"",H59,I59)))</f>
        <v/>
      </c>
      <c r="H60" s="4926">
        <v>100000</v>
      </c>
      <c r="I60" s="5737">
        <v>50000</v>
      </c>
      <c r="J60" s="5738"/>
      <c r="K60" s="5738"/>
      <c r="L60" s="3666"/>
      <c r="M60" s="1443"/>
      <c r="N60" s="1443"/>
      <c r="O60" s="1443"/>
      <c r="P60" s="1443"/>
      <c r="Q60" s="1408"/>
    </row>
    <row r="61" spans="1:29" ht="12" customHeight="1">
      <c r="A61" s="1408"/>
      <c r="B61" s="3673"/>
      <c r="C61" s="3643"/>
      <c r="D61" s="3643"/>
      <c r="E61" s="3643"/>
      <c r="F61" s="3643"/>
      <c r="G61" s="3643"/>
      <c r="H61" s="3662"/>
      <c r="I61" s="3662"/>
      <c r="J61" s="3662"/>
      <c r="K61" s="3662"/>
      <c r="L61" s="3666"/>
      <c r="M61" s="1443"/>
      <c r="N61" s="1443"/>
      <c r="O61" s="1443"/>
      <c r="P61" s="1443"/>
      <c r="Q61" s="1408"/>
    </row>
    <row r="62" spans="1:29" ht="12" customHeight="1">
      <c r="A62" s="1408"/>
      <c r="B62" s="3674"/>
      <c r="C62" s="3652"/>
      <c r="D62" s="3652"/>
      <c r="E62" s="3652"/>
      <c r="F62" s="3652"/>
      <c r="G62" s="3652"/>
      <c r="H62" s="3653"/>
      <c r="I62" s="3653"/>
      <c r="J62" s="3653"/>
      <c r="K62" s="3653"/>
      <c r="L62" s="3675"/>
      <c r="M62" s="1443"/>
      <c r="N62" s="1443"/>
      <c r="O62" s="1443"/>
      <c r="P62" s="1443"/>
      <c r="Q62" s="1408"/>
    </row>
    <row r="63" spans="1:29" s="661" customFormat="1" ht="18.75" customHeight="1" thickBot="1">
      <c r="A63" s="2109"/>
      <c r="B63" s="3684"/>
      <c r="C63" s="3685" t="s">
        <v>2956</v>
      </c>
      <c r="D63" s="3685"/>
      <c r="E63" s="3686"/>
      <c r="F63" s="3686"/>
      <c r="G63" s="3687"/>
      <c r="H63" s="3687"/>
      <c r="I63" s="3687"/>
      <c r="J63" s="3687"/>
      <c r="K63" s="3687"/>
      <c r="L63" s="3688"/>
      <c r="M63" s="2260"/>
      <c r="N63" s="3561"/>
      <c r="O63" s="2260"/>
      <c r="P63" s="2260"/>
      <c r="Q63" s="2109"/>
      <c r="R63" s="3176"/>
      <c r="S63" s="3176"/>
      <c r="T63" s="3176"/>
      <c r="U63" s="3176"/>
      <c r="V63" s="3176"/>
      <c r="W63" s="3176"/>
      <c r="X63" s="3176"/>
      <c r="Y63" s="3176"/>
      <c r="Z63" s="3176"/>
      <c r="AA63" s="3176"/>
      <c r="AB63" s="3176"/>
      <c r="AC63" s="3176"/>
    </row>
    <row r="64" spans="1:29" ht="13.5" thickBot="1">
      <c r="A64" s="1408"/>
      <c r="B64" s="3673"/>
      <c r="C64" s="3647" t="str">
        <f>IF(OR(C53="X",NOT(I23)),"",IF($K$64,"X",""))</f>
        <v/>
      </c>
      <c r="D64" s="3662" t="s">
        <v>2923</v>
      </c>
      <c r="E64" s="3643"/>
      <c r="F64" s="5731" t="s">
        <v>974</v>
      </c>
      <c r="G64" s="3643"/>
      <c r="H64" s="5766" t="s">
        <v>2949</v>
      </c>
      <c r="I64" s="3643"/>
      <c r="J64" s="3643"/>
      <c r="K64" s="4924" t="b">
        <f>(I24&gt;G60)</f>
        <v>0</v>
      </c>
      <c r="L64" s="3666"/>
      <c r="M64" s="1443"/>
      <c r="N64" s="1443"/>
      <c r="O64" s="1443"/>
      <c r="P64" s="1443"/>
      <c r="Q64" s="1408"/>
    </row>
    <row r="65" spans="1:18" ht="9" customHeight="1" thickBot="1">
      <c r="A65" s="1408"/>
      <c r="B65" s="3673"/>
      <c r="C65" s="3659"/>
      <c r="D65" s="3662"/>
      <c r="E65" s="3643"/>
      <c r="F65" s="5765"/>
      <c r="G65" s="3643"/>
      <c r="H65" s="5765"/>
      <c r="I65" s="3662"/>
      <c r="J65" s="3662"/>
      <c r="K65" s="3662"/>
      <c r="L65" s="3666"/>
      <c r="M65" s="1443"/>
      <c r="N65" s="1443"/>
      <c r="O65" s="1443"/>
      <c r="P65" s="1443"/>
      <c r="Q65" s="1408"/>
    </row>
    <row r="66" spans="1:18" ht="13.5" thickBot="1">
      <c r="A66" s="1408"/>
      <c r="B66" s="3673"/>
      <c r="C66" s="3647" t="str">
        <f>IF(NOT(I23),"",IF($K$64,"","X"))</f>
        <v/>
      </c>
      <c r="D66" s="3662" t="s">
        <v>2940</v>
      </c>
      <c r="E66" s="3643"/>
      <c r="F66" s="3682" t="str">
        <f>I24</f>
        <v/>
      </c>
      <c r="G66" s="3643"/>
      <c r="H66" s="3682" t="str">
        <f>PhaseOutThreshold</f>
        <v/>
      </c>
      <c r="I66" s="5725"/>
      <c r="J66" s="5725"/>
      <c r="K66" s="5725"/>
      <c r="L66" s="3666"/>
      <c r="M66" s="1443"/>
      <c r="N66" s="1443"/>
      <c r="O66" s="1443"/>
      <c r="P66" s="1443"/>
      <c r="Q66" s="1408"/>
    </row>
    <row r="67" spans="1:18">
      <c r="A67" s="1408"/>
      <c r="B67" s="3673"/>
      <c r="C67" s="3668"/>
      <c r="D67" s="3668"/>
      <c r="E67" s="3643"/>
      <c r="F67" s="3643"/>
      <c r="G67" s="3662"/>
      <c r="H67" s="3662"/>
      <c r="I67" s="3662"/>
      <c r="J67" s="3662"/>
      <c r="K67" s="3662"/>
      <c r="L67" s="3666"/>
      <c r="M67" s="1443"/>
      <c r="N67" s="2254"/>
      <c r="O67" s="1443"/>
      <c r="P67" s="1443"/>
      <c r="Q67" s="1408"/>
    </row>
    <row r="68" spans="1:18">
      <c r="A68" s="1408"/>
      <c r="B68" s="3673"/>
      <c r="C68" s="3643"/>
      <c r="D68" s="3643"/>
      <c r="E68" s="3643"/>
      <c r="F68" s="3678" t="s">
        <v>2938</v>
      </c>
      <c r="G68" s="3689" t="str">
        <f>IF(NOT(I23),"",IF(File_Marr_Joint&lt;&gt;"",H68,I68))</f>
        <v/>
      </c>
      <c r="H68" s="4922" t="e">
        <f>MIN(1,MAX(0,1-((I24-H59)/(H60))))</f>
        <v>#VALUE!</v>
      </c>
      <c r="I68" s="5739" t="e">
        <f>MIN(1,MAX(0,1-((I24-I59)/(I60))))</f>
        <v>#VALUE!</v>
      </c>
      <c r="J68" s="5739"/>
      <c r="K68" s="5739"/>
      <c r="L68" s="4923"/>
      <c r="M68" s="1443"/>
      <c r="N68" s="1443"/>
      <c r="O68" s="1443"/>
      <c r="P68" s="1443"/>
      <c r="Q68" s="1408"/>
    </row>
    <row r="69" spans="1:18">
      <c r="A69" s="1408"/>
      <c r="B69" s="3691" t="s">
        <v>2939</v>
      </c>
      <c r="C69" s="3643"/>
      <c r="D69" s="3662"/>
      <c r="E69" s="3643"/>
      <c r="F69" s="3692"/>
      <c r="G69" s="3693"/>
      <c r="H69" s="3690"/>
      <c r="I69" s="3694"/>
      <c r="J69" s="3662"/>
      <c r="K69" s="3662"/>
      <c r="L69" s="3666"/>
      <c r="M69" s="1443"/>
      <c r="N69" s="1443"/>
      <c r="O69" s="1443"/>
      <c r="P69" s="1443"/>
      <c r="Q69" s="1408"/>
    </row>
    <row r="70" spans="1:18">
      <c r="A70" s="1408"/>
      <c r="B70" s="3673"/>
      <c r="C70" s="3643"/>
      <c r="D70" s="3662"/>
      <c r="E70" s="3662" t="s">
        <v>4591</v>
      </c>
      <c r="F70" s="3695" t="str">
        <f>"(8)"</f>
        <v>(8)</v>
      </c>
      <c r="G70" s="3696" t="str">
        <f>"(6)"</f>
        <v>(6)</v>
      </c>
      <c r="H70" s="3690"/>
      <c r="I70" s="3695" t="str">
        <f>"(8)"</f>
        <v>(8)</v>
      </c>
      <c r="J70" s="3662"/>
      <c r="K70" s="3662"/>
      <c r="L70" s="3666"/>
      <c r="M70" s="1443"/>
      <c r="N70" s="1443"/>
      <c r="O70" s="1443"/>
      <c r="P70" s="1443"/>
      <c r="Q70" s="1408"/>
    </row>
    <row r="71" spans="1:18">
      <c r="A71" s="1408"/>
      <c r="B71" s="4936"/>
      <c r="C71" s="4937"/>
      <c r="D71" s="4937"/>
      <c r="E71" s="4937"/>
      <c r="F71" s="4937"/>
      <c r="G71" s="4937"/>
      <c r="H71" s="4937"/>
      <c r="I71" s="4937"/>
      <c r="J71" s="4937"/>
      <c r="K71" s="4937"/>
      <c r="L71" s="4227"/>
      <c r="M71" s="1443"/>
      <c r="N71" s="1443"/>
      <c r="O71" s="1443"/>
      <c r="P71" s="1443"/>
      <c r="Q71" s="1408"/>
    </row>
    <row r="72" spans="1:18" ht="15.75" customHeight="1">
      <c r="A72" s="1443"/>
      <c r="B72" s="3697"/>
      <c r="C72" s="3654"/>
      <c r="D72" s="3655"/>
      <c r="E72" s="3652"/>
      <c r="F72" s="3652"/>
      <c r="G72" s="3652"/>
      <c r="H72" s="3652"/>
      <c r="I72" s="3656"/>
      <c r="J72" s="3652"/>
      <c r="K72" s="3657"/>
      <c r="L72" s="3675"/>
      <c r="M72" s="1443"/>
      <c r="N72" s="1443"/>
      <c r="O72" s="1443"/>
      <c r="P72" s="1443"/>
      <c r="Q72" s="1408"/>
      <c r="R72" s="3168"/>
    </row>
    <row r="73" spans="1:18" ht="15.75" customHeight="1" thickBot="1">
      <c r="A73" s="1443"/>
      <c r="B73" s="3665"/>
      <c r="C73" s="3668" t="s">
        <v>2947</v>
      </c>
      <c r="D73" s="3668"/>
      <c r="E73" s="3643"/>
      <c r="F73" s="3643"/>
      <c r="G73" s="3643"/>
      <c r="H73" s="3643"/>
      <c r="I73" s="4924" t="b">
        <f>(C74&lt;&gt;"")</f>
        <v>0</v>
      </c>
      <c r="J73" s="4925"/>
      <c r="K73" s="4924" t="b">
        <f>AND(K53,I73)</f>
        <v>0</v>
      </c>
      <c r="L73" s="4923"/>
      <c r="M73" s="1443"/>
      <c r="N73" s="1443"/>
      <c r="O73" s="1443"/>
      <c r="P73" s="1443"/>
      <c r="Q73" s="1408"/>
      <c r="R73" s="3168"/>
    </row>
    <row r="74" spans="1:18" ht="13.5" thickBot="1">
      <c r="A74" s="1408"/>
      <c r="B74" s="3673"/>
      <c r="C74" s="3648"/>
      <c r="D74" s="3662" t="str">
        <f>IF(K73,"Yes.    Go to step 50.","Yes.")</f>
        <v>Yes.</v>
      </c>
      <c r="E74" s="3643"/>
      <c r="F74" s="3643"/>
      <c r="G74" s="3643"/>
      <c r="H74" s="3643"/>
      <c r="I74" s="3662"/>
      <c r="J74" s="3662"/>
      <c r="K74" s="3662"/>
      <c r="L74" s="3666"/>
      <c r="M74" s="1443"/>
      <c r="N74" s="1443"/>
      <c r="O74" s="1443"/>
      <c r="P74" s="1443"/>
      <c r="Q74" s="1408"/>
    </row>
    <row r="75" spans="1:18" ht="9" customHeight="1" thickBot="1">
      <c r="A75" s="1408"/>
      <c r="B75" s="3673"/>
      <c r="C75" s="3659"/>
      <c r="D75" s="3662"/>
      <c r="E75" s="3643"/>
      <c r="F75" s="3643"/>
      <c r="G75" s="3643"/>
      <c r="H75" s="3662"/>
      <c r="I75" s="5725"/>
      <c r="J75" s="5725"/>
      <c r="K75" s="5725"/>
      <c r="L75" s="3666"/>
      <c r="M75" s="1443"/>
      <c r="N75" s="1443"/>
      <c r="O75" s="1443"/>
      <c r="P75" s="1443"/>
      <c r="Q75" s="1408"/>
    </row>
    <row r="76" spans="1:18" ht="13.5" thickBot="1">
      <c r="A76" s="1408"/>
      <c r="B76" s="3673"/>
      <c r="C76" s="3647" t="str">
        <f>IF(NOT(K64),"",IF($C$74&lt;&gt;"","","X"))</f>
        <v/>
      </c>
      <c r="D76" s="3662" t="s">
        <v>472</v>
      </c>
      <c r="E76" s="3643"/>
      <c r="F76" s="3643"/>
      <c r="G76" s="3643"/>
      <c r="H76" s="3663"/>
      <c r="I76" s="3663"/>
      <c r="J76" s="3663"/>
      <c r="K76" s="3663"/>
      <c r="L76" s="3666"/>
      <c r="M76" s="1443"/>
      <c r="N76" s="1443"/>
      <c r="O76" s="1443"/>
      <c r="P76" s="1443"/>
      <c r="Q76" s="1408"/>
    </row>
    <row r="77" spans="1:18">
      <c r="A77" s="1408"/>
      <c r="B77" s="3673"/>
      <c r="C77" s="3670"/>
      <c r="D77" s="3670"/>
      <c r="E77" s="3643"/>
      <c r="F77" s="3643"/>
      <c r="G77" s="3643"/>
      <c r="H77" s="3643"/>
      <c r="I77" s="3681"/>
      <c r="J77" s="3643"/>
      <c r="K77" s="3643"/>
      <c r="L77" s="3666"/>
      <c r="M77" s="1443"/>
      <c r="N77" s="1443"/>
      <c r="O77" s="1443"/>
      <c r="P77" s="1443"/>
      <c r="Q77" s="1408"/>
    </row>
    <row r="78" spans="1:18">
      <c r="A78" s="1408"/>
      <c r="B78" s="3674"/>
      <c r="C78" s="3652"/>
      <c r="D78" s="3652"/>
      <c r="E78" s="3652"/>
      <c r="F78" s="3652"/>
      <c r="G78" s="3652"/>
      <c r="H78" s="3652"/>
      <c r="I78" s="3652"/>
      <c r="J78" s="3652"/>
      <c r="K78" s="3652"/>
      <c r="L78" s="3675"/>
      <c r="M78" s="1443"/>
      <c r="N78" s="1443"/>
      <c r="O78" s="1443"/>
      <c r="P78" s="1443"/>
      <c r="Q78" s="1408"/>
    </row>
    <row r="79" spans="1:18">
      <c r="A79" s="1408"/>
      <c r="B79" s="3698" t="str">
        <f>IF(H79,"&gt;&gt;&gt;","")</f>
        <v/>
      </c>
      <c r="C79" s="3668" t="str">
        <f>"12.  Your deduction is:"</f>
        <v>12.  Your deduction is:</v>
      </c>
      <c r="D79" s="3643"/>
      <c r="E79" s="3643"/>
      <c r="F79" s="3659"/>
      <c r="G79" s="3643"/>
      <c r="H79" s="4924" t="b">
        <f>AND(C53="X",C76="X")</f>
        <v>0</v>
      </c>
      <c r="I79" s="3662"/>
      <c r="J79" s="3662"/>
      <c r="K79" s="3662"/>
      <c r="L79" s="3666"/>
      <c r="M79" s="1443"/>
      <c r="N79" s="1443"/>
      <c r="O79" s="1443"/>
      <c r="P79" s="1443"/>
      <c r="Q79" s="1408"/>
    </row>
    <row r="80" spans="1:18" ht="13.5" thickBot="1">
      <c r="A80" s="1408"/>
      <c r="B80" s="3673"/>
      <c r="C80" s="3668"/>
      <c r="D80" s="3699" t="s">
        <v>2929</v>
      </c>
      <c r="E80" s="3643"/>
      <c r="F80" s="3643"/>
      <c r="G80" s="3662"/>
      <c r="H80" s="3662"/>
      <c r="I80" s="3662"/>
      <c r="J80" s="3662"/>
      <c r="K80" s="3662"/>
      <c r="L80" s="3666"/>
      <c r="M80" s="1443"/>
      <c r="N80" s="2254"/>
      <c r="O80" s="1443"/>
      <c r="P80" s="1443"/>
      <c r="Q80" s="1408"/>
    </row>
    <row r="81" spans="1:17" ht="13.5" thickBot="1">
      <c r="A81" s="1408"/>
      <c r="B81" s="3673"/>
      <c r="C81" s="3659" t="s">
        <v>2906</v>
      </c>
      <c r="D81" s="3679" t="s">
        <v>2951</v>
      </c>
      <c r="E81" s="3643"/>
      <c r="F81" s="3659" t="s">
        <v>2931</v>
      </c>
      <c r="G81" s="3645" t="str">
        <f>IF(H79,QBI_PCT,"")</f>
        <v/>
      </c>
      <c r="H81" s="3662"/>
      <c r="I81" s="3662"/>
      <c r="J81" s="3662"/>
      <c r="K81" s="3662"/>
      <c r="L81" s="3666"/>
      <c r="M81" s="1443"/>
      <c r="N81" s="1443"/>
      <c r="O81" s="1443"/>
      <c r="P81" s="1443"/>
      <c r="Q81" s="1408"/>
    </row>
    <row r="82" spans="1:17" ht="13.5" thickBot="1">
      <c r="A82" s="1408"/>
      <c r="B82" s="3673"/>
      <c r="C82" s="3643"/>
      <c r="D82" s="3667" t="s">
        <v>274</v>
      </c>
      <c r="E82" s="3643"/>
      <c r="F82" s="3643"/>
      <c r="G82" s="3643"/>
      <c r="H82" s="3700" t="s">
        <v>2933</v>
      </c>
      <c r="I82" s="3662"/>
      <c r="J82" s="3662"/>
      <c r="K82" s="3662"/>
      <c r="L82" s="3666"/>
      <c r="M82" s="1443"/>
      <c r="N82" s="1443"/>
      <c r="O82" s="1443"/>
      <c r="P82" s="1443"/>
      <c r="Q82" s="1408"/>
    </row>
    <row r="83" spans="1:17" ht="13.5" thickBot="1">
      <c r="A83" s="1408"/>
      <c r="B83" s="3673"/>
      <c r="C83" s="3659" t="s">
        <v>2906</v>
      </c>
      <c r="D83" s="3679" t="s">
        <v>2974</v>
      </c>
      <c r="E83" s="3643"/>
      <c r="F83" s="3659" t="s">
        <v>2932</v>
      </c>
      <c r="G83" s="3645" t="str">
        <f>IF(H79,WageCapitalComponent,"")</f>
        <v/>
      </c>
      <c r="H83" s="3645" t="str">
        <f>IF(H79,MIN(G81,G83),"")</f>
        <v/>
      </c>
      <c r="I83" s="3662" t="s">
        <v>2934</v>
      </c>
      <c r="J83" s="3662"/>
      <c r="K83" s="3662"/>
      <c r="L83" s="3666"/>
      <c r="M83" s="1443"/>
      <c r="N83" s="1443"/>
      <c r="O83" s="1443"/>
      <c r="P83" s="1443"/>
      <c r="Q83" s="1408"/>
    </row>
    <row r="84" spans="1:17">
      <c r="A84" s="1408"/>
      <c r="B84" s="3673"/>
      <c r="C84" s="3643"/>
      <c r="D84" s="3699" t="s">
        <v>2925</v>
      </c>
      <c r="E84" s="3643"/>
      <c r="F84" s="3643"/>
      <c r="G84" s="3643"/>
      <c r="H84" s="3662"/>
      <c r="I84" s="5732"/>
      <c r="J84" s="5732"/>
      <c r="K84" s="5732"/>
      <c r="L84" s="3666"/>
      <c r="M84" s="1443"/>
      <c r="N84" s="1443"/>
      <c r="O84" s="1443"/>
      <c r="P84" s="1443"/>
      <c r="Q84" s="1408"/>
    </row>
    <row r="85" spans="1:17" ht="13.5" thickBot="1">
      <c r="A85" s="1408"/>
      <c r="B85" s="3673"/>
      <c r="C85" s="3659" t="s">
        <v>2906</v>
      </c>
      <c r="D85" s="3679" t="s">
        <v>2926</v>
      </c>
      <c r="E85" s="3662"/>
      <c r="F85" s="3643"/>
      <c r="G85" s="3643"/>
      <c r="H85" s="3701"/>
      <c r="I85" s="5726" t="s">
        <v>2930</v>
      </c>
      <c r="J85" s="5726"/>
      <c r="K85" s="5726"/>
      <c r="L85" s="3666"/>
      <c r="M85" s="1443"/>
      <c r="N85" s="1443"/>
      <c r="O85" s="1443"/>
      <c r="P85" s="1443"/>
      <c r="Q85" s="1408"/>
    </row>
    <row r="86" spans="1:17" ht="13.5" thickBot="1">
      <c r="A86" s="1408"/>
      <c r="B86" s="3673"/>
      <c r="C86" s="3643"/>
      <c r="D86" s="3677" t="s">
        <v>2952</v>
      </c>
      <c r="E86" s="3662"/>
      <c r="F86" s="3643"/>
      <c r="G86" s="3659" t="s">
        <v>2935</v>
      </c>
      <c r="H86" s="3645" t="str">
        <f>IF(H79,SUM(I32:K34),"")</f>
        <v/>
      </c>
      <c r="I86" s="5729" t="s">
        <v>2936</v>
      </c>
      <c r="J86" s="5729"/>
      <c r="K86" s="5729"/>
      <c r="L86" s="3702"/>
      <c r="M86" s="1443"/>
      <c r="N86" s="1443"/>
      <c r="O86" s="1443"/>
      <c r="P86" s="1443"/>
      <c r="Q86" s="1408"/>
    </row>
    <row r="87" spans="1:17" ht="13.5" thickBot="1">
      <c r="A87" s="1408"/>
      <c r="B87" s="3673"/>
      <c r="C87" s="3643"/>
      <c r="D87" s="3677"/>
      <c r="E87" s="3662"/>
      <c r="F87" s="3643"/>
      <c r="G87" s="3659"/>
      <c r="H87" s="3678" t="s">
        <v>2957</v>
      </c>
      <c r="I87" s="5722" t="str">
        <f>IF(H79,SUM(H83,H86),"")</f>
        <v/>
      </c>
      <c r="J87" s="5727"/>
      <c r="K87" s="5728"/>
      <c r="L87" s="3702" t="s">
        <v>2937</v>
      </c>
      <c r="M87" s="1443"/>
      <c r="N87" s="1443"/>
      <c r="O87" s="1443"/>
      <c r="P87" s="1443"/>
      <c r="Q87" s="1408"/>
    </row>
    <row r="88" spans="1:17">
      <c r="A88" s="1408"/>
      <c r="B88" s="3673"/>
      <c r="C88" s="3643"/>
      <c r="D88" s="3643"/>
      <c r="E88" s="3643"/>
      <c r="F88" s="3643"/>
      <c r="G88" s="3643"/>
      <c r="H88" s="3662"/>
      <c r="I88" s="3662"/>
      <c r="J88" s="3662"/>
      <c r="K88" s="3662"/>
      <c r="L88" s="3666"/>
      <c r="M88" s="1443"/>
      <c r="N88" s="1443"/>
      <c r="O88" s="1443"/>
      <c r="P88" s="1443"/>
      <c r="Q88" s="1408"/>
    </row>
    <row r="89" spans="1:17">
      <c r="A89" s="1408"/>
      <c r="B89" s="3674"/>
      <c r="C89" s="3652"/>
      <c r="D89" s="3652"/>
      <c r="E89" s="3652"/>
      <c r="F89" s="3652"/>
      <c r="G89" s="3652"/>
      <c r="H89" s="3653"/>
      <c r="I89" s="3653"/>
      <c r="J89" s="3653"/>
      <c r="K89" s="3653"/>
      <c r="L89" s="3675"/>
      <c r="M89" s="1443"/>
      <c r="N89" s="1443"/>
      <c r="O89" s="1443"/>
      <c r="P89" s="1443"/>
      <c r="Q89" s="1408"/>
    </row>
    <row r="90" spans="1:17">
      <c r="A90" s="1408"/>
      <c r="B90" s="3698" t="str">
        <f>IF(H90,"&gt;&gt;&gt;","")</f>
        <v/>
      </c>
      <c r="C90" s="3668" t="str">
        <f>"20.  Your deduction, subject to phase out, is:"</f>
        <v>20.  Your deduction, subject to phase out, is:</v>
      </c>
      <c r="D90" s="3668"/>
      <c r="E90" s="3643"/>
      <c r="F90" s="3643"/>
      <c r="G90" s="3662"/>
      <c r="H90" s="4924" t="b">
        <f>AND(C64="X",C76="X")</f>
        <v>0</v>
      </c>
      <c r="I90" s="3662"/>
      <c r="J90" s="3662"/>
      <c r="K90" s="3662"/>
      <c r="L90" s="3666"/>
      <c r="M90" s="1443"/>
      <c r="N90" s="2254"/>
      <c r="O90" s="1443"/>
      <c r="P90" s="1443"/>
      <c r="Q90" s="1408"/>
    </row>
    <row r="91" spans="1:17">
      <c r="A91" s="1408"/>
      <c r="B91" s="3673"/>
      <c r="C91" s="3643"/>
      <c r="D91" s="3662"/>
      <c r="E91" s="3662"/>
      <c r="F91" s="3695"/>
      <c r="G91" s="3696"/>
      <c r="H91" s="3690"/>
      <c r="I91" s="3695"/>
      <c r="J91" s="3662"/>
      <c r="K91" s="3662"/>
      <c r="L91" s="3666"/>
      <c r="M91" s="1443"/>
      <c r="N91" s="1443"/>
      <c r="O91" s="1443"/>
      <c r="P91" s="1443"/>
      <c r="Q91" s="1408"/>
    </row>
    <row r="92" spans="1:17" ht="13.5" thickBot="1">
      <c r="A92" s="1408"/>
      <c r="B92" s="3673"/>
      <c r="C92" s="3668"/>
      <c r="D92" s="3699" t="s">
        <v>2929</v>
      </c>
      <c r="E92" s="3643"/>
      <c r="F92" s="3643"/>
      <c r="G92" s="3660" t="s">
        <v>2958</v>
      </c>
      <c r="H92" s="3662"/>
      <c r="I92" s="3662"/>
      <c r="J92" s="3662"/>
      <c r="K92" s="3662"/>
      <c r="L92" s="3666"/>
      <c r="M92" s="1443"/>
      <c r="N92" s="2254"/>
      <c r="O92" s="1443"/>
      <c r="P92" s="1443"/>
      <c r="Q92" s="1408"/>
    </row>
    <row r="93" spans="1:17" ht="13.5" thickBot="1">
      <c r="A93" s="1408"/>
      <c r="B93" s="3673"/>
      <c r="C93" s="3659" t="s">
        <v>2906</v>
      </c>
      <c r="D93" s="3679" t="s">
        <v>2951</v>
      </c>
      <c r="E93" s="3643"/>
      <c r="F93" s="3659"/>
      <c r="G93" s="3645" t="str">
        <f>IF(H90,QBI_PCT,"")</f>
        <v/>
      </c>
      <c r="H93" s="3662"/>
      <c r="I93" s="3662"/>
      <c r="J93" s="3662"/>
      <c r="K93" s="3662"/>
      <c r="L93" s="3666"/>
      <c r="M93" s="1443"/>
      <c r="N93" s="1443"/>
      <c r="O93" s="1443"/>
      <c r="P93" s="1443"/>
      <c r="Q93" s="1408"/>
    </row>
    <row r="94" spans="1:17" ht="13.5" thickBot="1">
      <c r="A94" s="1408"/>
      <c r="B94" s="3673"/>
      <c r="C94" s="3643"/>
      <c r="D94" s="3667" t="s">
        <v>274</v>
      </c>
      <c r="E94" s="3643"/>
      <c r="F94" s="3643"/>
      <c r="G94" s="3660" t="s">
        <v>2959</v>
      </c>
      <c r="H94" s="3700"/>
      <c r="I94" s="3662"/>
      <c r="J94" s="3662"/>
      <c r="K94" s="3662"/>
      <c r="L94" s="3666"/>
      <c r="M94" s="1443"/>
      <c r="N94" s="1443"/>
      <c r="O94" s="1443"/>
      <c r="P94" s="1443"/>
      <c r="Q94" s="1408"/>
    </row>
    <row r="95" spans="1:17" ht="13.5" thickBot="1">
      <c r="A95" s="1408"/>
      <c r="B95" s="3673"/>
      <c r="C95" s="3659" t="s">
        <v>2906</v>
      </c>
      <c r="D95" s="3662" t="s">
        <v>2975</v>
      </c>
      <c r="E95" s="3643"/>
      <c r="F95" s="3659"/>
      <c r="G95" s="3645" t="str">
        <f>IF(H90,WageCapitalComponent,"")</f>
        <v/>
      </c>
      <c r="H95" s="3660" t="s">
        <v>2961</v>
      </c>
      <c r="I95" s="5731" t="s">
        <v>2964</v>
      </c>
      <c r="J95" s="5527"/>
      <c r="K95" s="5527"/>
      <c r="L95" s="3666"/>
      <c r="M95" s="1443"/>
      <c r="N95" s="2254"/>
      <c r="O95" s="1443"/>
      <c r="P95" s="1443"/>
      <c r="Q95" s="1408"/>
    </row>
    <row r="96" spans="1:17" ht="13.5" thickBot="1">
      <c r="A96" s="1408"/>
      <c r="B96" s="3673"/>
      <c r="C96" s="3668"/>
      <c r="D96" s="3660" t="s">
        <v>2927</v>
      </c>
      <c r="E96" s="3643"/>
      <c r="F96" s="3643"/>
      <c r="G96" s="3660" t="s">
        <v>2960</v>
      </c>
      <c r="H96" s="3707" t="s">
        <v>2992</v>
      </c>
      <c r="I96" s="5729" t="s">
        <v>2965</v>
      </c>
      <c r="J96" s="5730"/>
      <c r="K96" s="5730"/>
      <c r="L96" s="3666"/>
      <c r="M96" s="1443"/>
      <c r="N96" s="2254"/>
      <c r="O96" s="1443"/>
      <c r="P96" s="1443"/>
      <c r="Q96" s="1408"/>
    </row>
    <row r="97" spans="1:17" ht="13.5" thickBot="1">
      <c r="A97" s="1408"/>
      <c r="B97" s="3673"/>
      <c r="C97" s="3659" t="s">
        <v>2906</v>
      </c>
      <c r="D97" s="3662" t="str">
        <f>TEXT(PhaseOut_PCT,"0.0%")&amp;" Phaseout x 20% x (QBI less WCC)"</f>
        <v xml:space="preserve"> Phaseout x 20% x (QBI less WCC)</v>
      </c>
      <c r="E97" s="3643"/>
      <c r="F97" s="3659"/>
      <c r="G97" s="3645" t="str">
        <f>IF(H90,PhaseOut_PCT*H29*SUM(QBI,-WageCapitalComponent),"")</f>
        <v/>
      </c>
      <c r="H97" s="3645" t="str">
        <f>IF(H90,SUM(G95,G97),"")</f>
        <v/>
      </c>
      <c r="I97" s="5722" t="str">
        <f>IF(H90,MIN(G93,H97),"")</f>
        <v/>
      </c>
      <c r="J97" s="5727"/>
      <c r="K97" s="5728"/>
      <c r="L97" s="3702" t="s">
        <v>2962</v>
      </c>
      <c r="M97" s="1443"/>
      <c r="N97" s="2254"/>
      <c r="O97" s="1443"/>
      <c r="P97" s="1443"/>
      <c r="Q97" s="1408"/>
    </row>
    <row r="98" spans="1:17">
      <c r="A98" s="1408"/>
      <c r="B98" s="3673"/>
      <c r="C98" s="3643"/>
      <c r="D98" s="3699" t="s">
        <v>2925</v>
      </c>
      <c r="E98" s="3643"/>
      <c r="F98" s="3643"/>
      <c r="G98" s="3643"/>
      <c r="H98" s="3662"/>
      <c r="I98" s="5731"/>
      <c r="J98" s="5731"/>
      <c r="K98" s="5731"/>
      <c r="L98" s="3666"/>
      <c r="M98" s="1443"/>
      <c r="N98" s="1443"/>
      <c r="O98" s="1443"/>
      <c r="P98" s="1443"/>
      <c r="Q98" s="1408"/>
    </row>
    <row r="99" spans="1:17" ht="13.5" thickBot="1">
      <c r="A99" s="1408"/>
      <c r="B99" s="3673"/>
      <c r="C99" s="3659" t="s">
        <v>2906</v>
      </c>
      <c r="D99" s="3679" t="s">
        <v>2926</v>
      </c>
      <c r="E99" s="3662"/>
      <c r="F99" s="3643"/>
      <c r="G99" s="3643"/>
      <c r="H99" s="3701" t="s">
        <v>2963</v>
      </c>
      <c r="I99" s="5726" t="s">
        <v>2930</v>
      </c>
      <c r="J99" s="5726"/>
      <c r="K99" s="5726"/>
      <c r="L99" s="3666"/>
      <c r="M99" s="1443"/>
      <c r="N99" s="1443"/>
      <c r="O99" s="1443"/>
      <c r="P99" s="1443"/>
      <c r="Q99" s="1408"/>
    </row>
    <row r="100" spans="1:17" ht="13.5" thickBot="1">
      <c r="A100" s="1408"/>
      <c r="B100" s="3673"/>
      <c r="C100" s="3643"/>
      <c r="D100" s="3677" t="s">
        <v>2952</v>
      </c>
      <c r="E100" s="3662"/>
      <c r="F100" s="3643"/>
      <c r="G100" s="3659"/>
      <c r="H100" s="3645" t="str">
        <f>IF(H90,SUM(I32:K34),"")</f>
        <v/>
      </c>
      <c r="I100" s="5731" t="s">
        <v>2967</v>
      </c>
      <c r="J100" s="5731"/>
      <c r="K100" s="5731"/>
      <c r="L100" s="3702"/>
      <c r="M100" s="1443"/>
      <c r="N100" s="1443"/>
      <c r="O100" s="1443"/>
      <c r="P100" s="1443"/>
      <c r="Q100" s="1408"/>
    </row>
    <row r="101" spans="1:17" ht="13.5" thickBot="1">
      <c r="A101" s="1408"/>
      <c r="B101" s="3673"/>
      <c r="C101" s="3668"/>
      <c r="D101" s="3668"/>
      <c r="E101" s="3643"/>
      <c r="F101" s="3678"/>
      <c r="G101" s="3659"/>
      <c r="H101" s="3678" t="s">
        <v>2957</v>
      </c>
      <c r="I101" s="5722" t="str">
        <f>IF(H90,SUM(I97,H100),"")</f>
        <v/>
      </c>
      <c r="J101" s="5727"/>
      <c r="K101" s="5728"/>
      <c r="L101" s="3702" t="s">
        <v>2966</v>
      </c>
      <c r="M101" s="1443"/>
      <c r="N101" s="2254"/>
      <c r="O101" s="1443"/>
      <c r="P101" s="1443"/>
      <c r="Q101" s="1408"/>
    </row>
    <row r="102" spans="1:17">
      <c r="A102" s="1408"/>
      <c r="B102" s="3673"/>
      <c r="C102" s="3668"/>
      <c r="D102" s="3668"/>
      <c r="E102" s="3643"/>
      <c r="F102" s="3643"/>
      <c r="G102" s="3662"/>
      <c r="H102" s="3662"/>
      <c r="I102" s="3662"/>
      <c r="J102" s="3662"/>
      <c r="K102" s="3662"/>
      <c r="L102" s="3666"/>
      <c r="M102" s="1443"/>
      <c r="N102" s="2254"/>
      <c r="O102" s="1443"/>
      <c r="P102" s="1443"/>
      <c r="Q102" s="1408"/>
    </row>
    <row r="103" spans="1:17">
      <c r="A103" s="1408"/>
      <c r="B103" s="3674"/>
      <c r="C103" s="3658"/>
      <c r="D103" s="3658"/>
      <c r="E103" s="3652"/>
      <c r="F103" s="3652"/>
      <c r="G103" s="3653"/>
      <c r="H103" s="3653"/>
      <c r="I103" s="3653"/>
      <c r="J103" s="3653"/>
      <c r="K103" s="3653"/>
      <c r="L103" s="3675"/>
      <c r="M103" s="1443"/>
      <c r="N103" s="2254"/>
      <c r="O103" s="1443"/>
      <c r="P103" s="1443"/>
      <c r="Q103" s="1408"/>
    </row>
    <row r="104" spans="1:17">
      <c r="A104" s="1408"/>
      <c r="B104" s="3698" t="str">
        <f>IF(H104,"&gt;&gt;&gt;","")</f>
        <v/>
      </c>
      <c r="C104" s="3668" t="s">
        <v>2928</v>
      </c>
      <c r="D104" s="3668"/>
      <c r="E104" s="3643"/>
      <c r="F104" s="3643"/>
      <c r="G104" s="3662"/>
      <c r="H104" s="4924" t="b">
        <f>(C66="X")</f>
        <v>0</v>
      </c>
      <c r="I104" s="3662"/>
      <c r="J104" s="3662"/>
      <c r="K104" s="3662"/>
      <c r="L104" s="3666"/>
      <c r="M104" s="1443"/>
      <c r="N104" s="2254"/>
      <c r="O104" s="1443"/>
      <c r="P104" s="1443"/>
      <c r="Q104" s="1408"/>
    </row>
    <row r="105" spans="1:17" ht="13.5" thickBot="1">
      <c r="A105" s="1408"/>
      <c r="B105" s="3673"/>
      <c r="C105" s="3668"/>
      <c r="D105" s="3667" t="s">
        <v>2929</v>
      </c>
      <c r="E105" s="3643"/>
      <c r="F105" s="3643"/>
      <c r="G105" s="3660" t="s">
        <v>2986</v>
      </c>
      <c r="H105" s="3662"/>
      <c r="I105" s="3662"/>
      <c r="J105" s="3662"/>
      <c r="K105" s="3662"/>
      <c r="L105" s="3666"/>
      <c r="M105" s="1443"/>
      <c r="N105" s="2254"/>
      <c r="O105" s="1443"/>
      <c r="P105" s="1443"/>
      <c r="Q105" s="1408"/>
    </row>
    <row r="106" spans="1:17" ht="13.5" thickBot="1">
      <c r="A106" s="1408"/>
      <c r="B106" s="3673"/>
      <c r="C106" s="3659" t="s">
        <v>2906</v>
      </c>
      <c r="D106" s="3679" t="s">
        <v>2951</v>
      </c>
      <c r="E106" s="3643"/>
      <c r="F106" s="3643"/>
      <c r="G106" s="3645" t="str">
        <f>IF(H104,I30,"")</f>
        <v/>
      </c>
      <c r="H106" s="3662"/>
      <c r="I106" s="5726" t="s">
        <v>3644</v>
      </c>
      <c r="J106" s="5726"/>
      <c r="K106" s="5726"/>
      <c r="L106" s="3666"/>
      <c r="M106" s="1443"/>
      <c r="N106" s="1443"/>
      <c r="O106" s="1443"/>
      <c r="P106" s="1443"/>
      <c r="Q106" s="1408"/>
    </row>
    <row r="107" spans="1:17">
      <c r="A107" s="1408"/>
      <c r="B107" s="3673"/>
      <c r="C107" s="3643"/>
      <c r="D107" s="3679" t="s">
        <v>2927</v>
      </c>
      <c r="E107" s="3643"/>
      <c r="F107" s="3643"/>
      <c r="G107" s="5771" t="s">
        <v>2987</v>
      </c>
      <c r="H107" s="3660" t="s">
        <v>2988</v>
      </c>
      <c r="I107" s="5732" t="s">
        <v>2990</v>
      </c>
      <c r="J107" s="5732"/>
      <c r="K107" s="5732"/>
      <c r="L107" s="3666"/>
      <c r="M107" s="1443"/>
      <c r="N107" s="1443"/>
      <c r="O107" s="1443"/>
      <c r="P107" s="1443"/>
      <c r="Q107" s="1408"/>
    </row>
    <row r="108" spans="1:17" ht="13.5" thickBot="1">
      <c r="A108" s="1408"/>
      <c r="B108" s="3673"/>
      <c r="C108" s="3659" t="s">
        <v>2906</v>
      </c>
      <c r="D108" s="3679" t="s">
        <v>2926</v>
      </c>
      <c r="E108" s="3662"/>
      <c r="F108" s="3643"/>
      <c r="G108" s="5772"/>
      <c r="H108" s="3707" t="s">
        <v>2989</v>
      </c>
      <c r="I108" s="5732" t="s">
        <v>3643</v>
      </c>
      <c r="J108" s="5732"/>
      <c r="K108" s="5732"/>
      <c r="L108" s="3666"/>
      <c r="M108" s="1443"/>
      <c r="N108" s="1443"/>
      <c r="O108" s="1443"/>
      <c r="P108" s="1443"/>
      <c r="Q108" s="1408"/>
    </row>
    <row r="109" spans="1:17" ht="13.5" thickBot="1">
      <c r="A109" s="1408"/>
      <c r="B109" s="3673"/>
      <c r="C109" s="3643"/>
      <c r="D109" s="3677" t="s">
        <v>2952</v>
      </c>
      <c r="E109" s="3662"/>
      <c r="F109" s="3643"/>
      <c r="G109" s="3645" t="str">
        <f>IF(H104,SUM(I32:K34),"")</f>
        <v/>
      </c>
      <c r="H109" s="3645" t="str">
        <f>IF(H104,SUM(G106,G109),"")</f>
        <v/>
      </c>
      <c r="I109" s="5726"/>
      <c r="J109" s="5726"/>
      <c r="K109" s="5726"/>
      <c r="L109" s="3666"/>
      <c r="M109" s="1443"/>
      <c r="N109" s="1443"/>
      <c r="O109" s="1443"/>
      <c r="P109" s="1443"/>
      <c r="Q109" s="1408"/>
    </row>
    <row r="110" spans="1:17" ht="13.5" thickBot="1">
      <c r="A110" s="1408"/>
      <c r="B110" s="3673"/>
      <c r="C110" s="3643"/>
      <c r="D110" s="3667" t="s">
        <v>2924</v>
      </c>
      <c r="E110" s="3643"/>
      <c r="F110" s="3643"/>
      <c r="G110" s="3643"/>
      <c r="H110" s="3660" t="s">
        <v>2991</v>
      </c>
      <c r="I110" s="4283"/>
      <c r="J110" s="4283"/>
      <c r="K110" s="4283"/>
      <c r="L110" s="3666"/>
      <c r="M110" s="1443"/>
      <c r="N110" s="1443"/>
      <c r="O110" s="1443"/>
      <c r="P110" s="1443"/>
      <c r="Q110" s="1408"/>
    </row>
    <row r="111" spans="1:17" ht="13.5" thickBot="1">
      <c r="A111" s="1408"/>
      <c r="B111" s="3673"/>
      <c r="C111" s="3659" t="s">
        <v>2906</v>
      </c>
      <c r="D111" s="3679" t="s">
        <v>4592</v>
      </c>
      <c r="E111" s="3662"/>
      <c r="F111" s="3643"/>
      <c r="G111" s="3643"/>
      <c r="H111" s="3645" t="str">
        <f>IF(H104,I25,"")</f>
        <v/>
      </c>
      <c r="I111" s="5776" t="s">
        <v>2995</v>
      </c>
      <c r="J111" s="5776"/>
      <c r="K111" s="5776"/>
      <c r="L111" s="3666"/>
      <c r="M111" s="1443"/>
      <c r="N111" s="1443"/>
      <c r="O111" s="1443"/>
      <c r="P111" s="1443"/>
      <c r="Q111" s="1408"/>
    </row>
    <row r="112" spans="1:17" ht="13.5" thickBot="1">
      <c r="A112" s="1408"/>
      <c r="B112" s="3673"/>
      <c r="C112" s="3659"/>
      <c r="D112" s="3679"/>
      <c r="E112" s="3662"/>
      <c r="F112" s="3643"/>
      <c r="G112" s="3643"/>
      <c r="H112" s="3678" t="s">
        <v>2957</v>
      </c>
      <c r="I112" s="5722" t="str">
        <f>IF(H104,MIN(H109,H111),"")</f>
        <v/>
      </c>
      <c r="J112" s="5727"/>
      <c r="K112" s="5728"/>
      <c r="L112" s="3702"/>
      <c r="M112" s="1443"/>
      <c r="N112" s="1443"/>
      <c r="O112" s="1443"/>
      <c r="P112" s="1443"/>
      <c r="Q112" s="1408"/>
    </row>
    <row r="113" spans="1:17">
      <c r="A113" s="1408"/>
      <c r="B113" s="3673"/>
      <c r="C113" s="3643"/>
      <c r="D113" s="3643"/>
      <c r="E113" s="3643"/>
      <c r="F113" s="3643"/>
      <c r="G113" s="3643"/>
      <c r="H113" s="3662"/>
      <c r="I113" s="3662"/>
      <c r="J113" s="3662"/>
      <c r="K113" s="3662"/>
      <c r="L113" s="3666"/>
      <c r="M113" s="1443"/>
      <c r="N113" s="1443"/>
      <c r="O113" s="1443"/>
      <c r="P113" s="1443"/>
      <c r="Q113" s="1408"/>
    </row>
    <row r="114" spans="1:17">
      <c r="A114" s="1408"/>
      <c r="B114" s="3674"/>
      <c r="C114" s="3652"/>
      <c r="D114" s="3652"/>
      <c r="E114" s="3652"/>
      <c r="F114" s="3652"/>
      <c r="G114" s="3652"/>
      <c r="H114" s="3653"/>
      <c r="I114" s="3653"/>
      <c r="J114" s="3653"/>
      <c r="K114" s="3653"/>
      <c r="L114" s="3675"/>
      <c r="M114" s="1443"/>
      <c r="N114" s="1443"/>
      <c r="O114" s="1443"/>
      <c r="P114" s="1443"/>
      <c r="Q114" s="1408"/>
    </row>
    <row r="115" spans="1:17">
      <c r="A115" s="1408"/>
      <c r="B115" s="3698" t="str">
        <f>IF(H115,"&gt;&gt;&gt;","")</f>
        <v/>
      </c>
      <c r="C115" s="3668" t="str">
        <f>"40.  Your reduced deduction is:"</f>
        <v>40.  Your reduced deduction is:</v>
      </c>
      <c r="D115" s="3668"/>
      <c r="E115" s="3643"/>
      <c r="F115" s="3643"/>
      <c r="G115" s="3662"/>
      <c r="H115" s="4924" t="b">
        <f>AND(C64="X",C74="X")</f>
        <v>0</v>
      </c>
      <c r="I115" s="3662"/>
      <c r="J115" s="3662"/>
      <c r="K115" s="3662"/>
      <c r="L115" s="3666"/>
      <c r="M115" s="1443"/>
      <c r="N115" s="2254"/>
      <c r="O115" s="1443"/>
      <c r="P115" s="1443"/>
      <c r="Q115" s="1408"/>
    </row>
    <row r="116" spans="1:17">
      <c r="A116" s="1408"/>
      <c r="B116" s="3673"/>
      <c r="C116" s="3643"/>
      <c r="D116" s="3662"/>
      <c r="E116" s="3662"/>
      <c r="F116" s="3695"/>
      <c r="G116" s="3696"/>
      <c r="H116" s="3690"/>
      <c r="I116" s="3695"/>
      <c r="J116" s="3662"/>
      <c r="K116" s="3662"/>
      <c r="L116" s="3666"/>
      <c r="M116" s="1443"/>
      <c r="N116" s="1443"/>
      <c r="O116" s="1443"/>
      <c r="P116" s="1443"/>
      <c r="Q116" s="1408"/>
    </row>
    <row r="117" spans="1:17" ht="13.5" thickBot="1">
      <c r="A117" s="1408"/>
      <c r="B117" s="3673"/>
      <c r="C117" s="3668"/>
      <c r="D117" s="3699" t="s">
        <v>2929</v>
      </c>
      <c r="E117" s="3643"/>
      <c r="F117" s="3643"/>
      <c r="G117" s="3660" t="s">
        <v>2977</v>
      </c>
      <c r="H117" s="3662"/>
      <c r="I117" s="3662"/>
      <c r="J117" s="3662"/>
      <c r="K117" s="3662"/>
      <c r="L117" s="3666"/>
      <c r="M117" s="1443"/>
      <c r="N117" s="2254"/>
      <c r="O117" s="1443"/>
      <c r="P117" s="1443"/>
      <c r="Q117" s="1408"/>
    </row>
    <row r="118" spans="1:17" ht="13.5" thickBot="1">
      <c r="A118" s="1408"/>
      <c r="B118" s="3673"/>
      <c r="C118" s="3659" t="s">
        <v>2906</v>
      </c>
      <c r="D118" s="3679" t="str">
        <f>TEXT(PhaseOut_PCT,"0.0%")&amp;" Phaseout  x  20% of QBI  (4.a)"</f>
        <v xml:space="preserve"> Phaseout  x  20% of QBI  (4.a)</v>
      </c>
      <c r="E118" s="3643"/>
      <c r="F118" s="3659"/>
      <c r="G118" s="3645" t="str">
        <f>IF(H115,QBI_PCT*PhaseOut_PCT,"")</f>
        <v/>
      </c>
      <c r="H118" s="3662"/>
      <c r="I118" s="3662"/>
      <c r="J118" s="3662"/>
      <c r="K118" s="3662"/>
      <c r="L118" s="3666"/>
      <c r="M118" s="1443"/>
      <c r="N118" s="1443"/>
      <c r="O118" s="1443"/>
      <c r="P118" s="1443"/>
      <c r="Q118" s="1408"/>
    </row>
    <row r="119" spans="1:17" ht="13.5" thickBot="1">
      <c r="A119" s="1408"/>
      <c r="B119" s="3673"/>
      <c r="C119" s="3643"/>
      <c r="D119" s="3667" t="s">
        <v>274</v>
      </c>
      <c r="E119" s="3643"/>
      <c r="F119" s="3643"/>
      <c r="G119" s="3660" t="s">
        <v>2978</v>
      </c>
      <c r="H119" s="3700"/>
      <c r="I119" s="3662"/>
      <c r="J119" s="3662"/>
      <c r="K119" s="3662"/>
      <c r="L119" s="3666"/>
      <c r="M119" s="1443"/>
      <c r="N119" s="1443"/>
      <c r="O119" s="1443"/>
      <c r="P119" s="1443"/>
      <c r="Q119" s="1408"/>
    </row>
    <row r="120" spans="1:17" ht="13.5" thickBot="1">
      <c r="A120" s="1408"/>
      <c r="B120" s="3673"/>
      <c r="C120" s="3659" t="s">
        <v>2906</v>
      </c>
      <c r="D120" s="3662" t="str">
        <f>"WCC (5.c)  x  "&amp;TEXT(PhaseOut_PCT,"0.0%")&amp;" Phaseout"</f>
        <v>WCC (5.c)  x   Phaseout</v>
      </c>
      <c r="E120" s="3643"/>
      <c r="F120" s="3659"/>
      <c r="G120" s="3645" t="str">
        <f>IF(H115,WageCapitalComponent*PhaseOut_PCT,"")</f>
        <v/>
      </c>
      <c r="H120" s="3660" t="s">
        <v>2980</v>
      </c>
      <c r="I120" s="5732" t="s">
        <v>2964</v>
      </c>
      <c r="J120" s="5732"/>
      <c r="K120" s="5732"/>
      <c r="L120" s="3666"/>
      <c r="M120" s="1443"/>
      <c r="N120" s="2254"/>
      <c r="O120" s="1443"/>
      <c r="P120" s="1443"/>
      <c r="Q120" s="1408"/>
    </row>
    <row r="121" spans="1:17" ht="13.5" thickBot="1">
      <c r="A121" s="1408"/>
      <c r="B121" s="3673"/>
      <c r="C121" s="3668"/>
      <c r="D121" s="3660" t="s">
        <v>2927</v>
      </c>
      <c r="E121" s="3643"/>
      <c r="F121" s="3643"/>
      <c r="G121" s="3660" t="s">
        <v>2979</v>
      </c>
      <c r="H121" s="3707" t="s">
        <v>2993</v>
      </c>
      <c r="I121" s="5729" t="s">
        <v>2981</v>
      </c>
      <c r="J121" s="5730"/>
      <c r="K121" s="5730"/>
      <c r="L121" s="3666"/>
      <c r="M121" s="1443"/>
      <c r="N121" s="2254"/>
      <c r="O121" s="1443"/>
      <c r="P121" s="1443"/>
      <c r="Q121" s="1408"/>
    </row>
    <row r="122" spans="1:17" ht="13.5" thickBot="1">
      <c r="A122" s="1408"/>
      <c r="B122" s="3673"/>
      <c r="C122" s="3659" t="s">
        <v>2906</v>
      </c>
      <c r="D122" s="3662" t="str">
        <f>TEXT(PhaseOut_PCT,"0.0%")&amp;" Phaseout x 20% x (QBI less WCC)"</f>
        <v xml:space="preserve"> Phaseout x 20% x (QBI less WCC)</v>
      </c>
      <c r="E122" s="3643"/>
      <c r="F122" s="3659"/>
      <c r="G122" s="3645" t="str">
        <f>IF(H115,PhaseOut_PCT*$H$29*SUM(QBI,-WageCapitalComponent),"")</f>
        <v/>
      </c>
      <c r="H122" s="3645" t="str">
        <f>IF(H115,SUM(G120,G122),"")</f>
        <v/>
      </c>
      <c r="I122" s="5722" t="str">
        <f>IF(H115,MIN(G118,H122),"")</f>
        <v/>
      </c>
      <c r="J122" s="5727"/>
      <c r="K122" s="5728"/>
      <c r="L122" s="3702" t="s">
        <v>2982</v>
      </c>
      <c r="M122" s="1443"/>
      <c r="N122" s="2254"/>
      <c r="O122" s="1443"/>
      <c r="P122" s="1443"/>
      <c r="Q122" s="1408"/>
    </row>
    <row r="123" spans="1:17">
      <c r="A123" s="1408"/>
      <c r="B123" s="3673"/>
      <c r="C123" s="3643"/>
      <c r="D123" s="3699" t="s">
        <v>2925</v>
      </c>
      <c r="E123" s="3643"/>
      <c r="F123" s="3643"/>
      <c r="G123" s="3643"/>
      <c r="H123" s="3662"/>
      <c r="I123" s="5731"/>
      <c r="J123" s="5731"/>
      <c r="K123" s="5731"/>
      <c r="L123" s="3666"/>
      <c r="M123" s="1443"/>
      <c r="N123" s="1443"/>
      <c r="O123" s="1443"/>
      <c r="P123" s="1443"/>
      <c r="Q123" s="1408"/>
    </row>
    <row r="124" spans="1:17" ht="13.5" thickBot="1">
      <c r="A124" s="1408"/>
      <c r="B124" s="3673"/>
      <c r="C124" s="3659" t="s">
        <v>2906</v>
      </c>
      <c r="D124" s="3679" t="s">
        <v>2926</v>
      </c>
      <c r="E124" s="3662"/>
      <c r="F124" s="3643"/>
      <c r="G124" s="3643"/>
      <c r="H124" s="3701" t="s">
        <v>2983</v>
      </c>
      <c r="I124" s="5726" t="s">
        <v>2930</v>
      </c>
      <c r="J124" s="5726"/>
      <c r="K124" s="5726"/>
      <c r="L124" s="3666"/>
      <c r="M124" s="1443"/>
      <c r="N124" s="1443"/>
      <c r="O124" s="1443"/>
      <c r="P124" s="1443"/>
      <c r="Q124" s="1408"/>
    </row>
    <row r="125" spans="1:17" ht="13.5" thickBot="1">
      <c r="A125" s="1408"/>
      <c r="B125" s="3673"/>
      <c r="C125" s="3643"/>
      <c r="D125" s="3677" t="s">
        <v>2952</v>
      </c>
      <c r="E125" s="3662"/>
      <c r="F125" s="3643"/>
      <c r="G125" s="3659"/>
      <c r="H125" s="3645" t="str">
        <f>IF(H115,SUM(I32:I34),"")</f>
        <v/>
      </c>
      <c r="I125" s="5731" t="s">
        <v>2984</v>
      </c>
      <c r="J125" s="5731"/>
      <c r="K125" s="5731"/>
      <c r="L125" s="3702"/>
      <c r="M125" s="1443"/>
      <c r="N125" s="1443"/>
      <c r="O125" s="1443"/>
      <c r="P125" s="1443"/>
      <c r="Q125" s="1408"/>
    </row>
    <row r="126" spans="1:17" ht="13.5" thickBot="1">
      <c r="A126" s="1408"/>
      <c r="B126" s="3673"/>
      <c r="C126" s="3668"/>
      <c r="D126" s="3668"/>
      <c r="E126" s="3643"/>
      <c r="F126" s="3678"/>
      <c r="G126" s="3659"/>
      <c r="H126" s="3678" t="s">
        <v>2957</v>
      </c>
      <c r="I126" s="5722" t="str">
        <f>IF(H115,SUM(I122,H125),"")</f>
        <v/>
      </c>
      <c r="J126" s="5727"/>
      <c r="K126" s="5728"/>
      <c r="L126" s="3702" t="s">
        <v>2985</v>
      </c>
      <c r="M126" s="1443"/>
      <c r="N126" s="2254"/>
      <c r="O126" s="1443"/>
      <c r="P126" s="1443"/>
      <c r="Q126" s="1408"/>
    </row>
    <row r="127" spans="1:17">
      <c r="A127" s="1408"/>
      <c r="B127" s="3673"/>
      <c r="C127" s="3668"/>
      <c r="D127" s="3668"/>
      <c r="E127" s="3643"/>
      <c r="F127" s="3643"/>
      <c r="G127" s="3662"/>
      <c r="H127" s="3662"/>
      <c r="I127" s="3662"/>
      <c r="J127" s="3662"/>
      <c r="K127" s="3662"/>
      <c r="L127" s="3666"/>
      <c r="M127" s="1443"/>
      <c r="N127" s="2254"/>
      <c r="O127" s="1443"/>
      <c r="P127" s="1443"/>
      <c r="Q127" s="1408"/>
    </row>
    <row r="128" spans="1:17">
      <c r="A128" s="1408"/>
      <c r="B128" s="3674"/>
      <c r="C128" s="3652"/>
      <c r="D128" s="3652"/>
      <c r="E128" s="3652"/>
      <c r="F128" s="3652"/>
      <c r="G128" s="3652"/>
      <c r="H128" s="3653"/>
      <c r="I128" s="3653"/>
      <c r="J128" s="3653"/>
      <c r="K128" s="3653"/>
      <c r="L128" s="3675"/>
      <c r="M128" s="1443"/>
      <c r="N128" s="1443"/>
      <c r="O128" s="1443"/>
      <c r="P128" s="1443"/>
      <c r="Q128" s="1408"/>
    </row>
    <row r="129" spans="1:18">
      <c r="A129" s="1408"/>
      <c r="B129" s="3698" t="str">
        <f>IF(H129,"&gt;&gt;&gt;","")</f>
        <v/>
      </c>
      <c r="C129" s="3668" t="str">
        <f>"50.  No deduction."</f>
        <v>50.  No deduction.</v>
      </c>
      <c r="D129" s="3668"/>
      <c r="E129" s="3643"/>
      <c r="F129" s="3643"/>
      <c r="G129" s="3662"/>
      <c r="H129" s="4924" t="b">
        <f>K73</f>
        <v>0</v>
      </c>
      <c r="I129" s="3662"/>
      <c r="J129" s="3662"/>
      <c r="K129" s="3662"/>
      <c r="L129" s="3666"/>
      <c r="M129" s="1443"/>
      <c r="N129" s="2254"/>
      <c r="O129" s="1443"/>
      <c r="P129" s="1443"/>
      <c r="Q129" s="1408"/>
    </row>
    <row r="130" spans="1:18">
      <c r="A130" s="1408"/>
      <c r="B130" s="3673"/>
      <c r="C130" s="3643"/>
      <c r="D130" s="3643"/>
      <c r="E130" s="3643"/>
      <c r="F130" s="3643"/>
      <c r="G130" s="3643"/>
      <c r="H130" s="3662"/>
      <c r="I130" s="3662"/>
      <c r="J130" s="3662"/>
      <c r="K130" s="3662"/>
      <c r="L130" s="3666"/>
      <c r="M130" s="1443"/>
      <c r="N130" s="1443"/>
      <c r="O130" s="1443"/>
      <c r="P130" s="1443"/>
      <c r="Q130" s="1408"/>
    </row>
    <row r="131" spans="1:18" ht="13.5" thickBot="1">
      <c r="A131" s="1408"/>
      <c r="B131" s="3674"/>
      <c r="C131" s="3652"/>
      <c r="D131" s="3652"/>
      <c r="E131" s="3652"/>
      <c r="F131" s="3652"/>
      <c r="G131" s="3652"/>
      <c r="H131" s="3652"/>
      <c r="I131" s="3652"/>
      <c r="J131" s="3652"/>
      <c r="K131" s="3652"/>
      <c r="L131" s="3675"/>
      <c r="M131" s="1443"/>
      <c r="N131" s="1443"/>
      <c r="O131" s="1443"/>
      <c r="P131" s="1443"/>
      <c r="Q131" s="1408"/>
    </row>
    <row r="132" spans="1:18" ht="13.5" thickBot="1">
      <c r="A132" s="1408"/>
      <c r="B132" s="3673"/>
      <c r="C132" s="3668" t="str">
        <f>"60.  Enter your QBI deduction on Form 1040, Line 9."</f>
        <v>60.  Enter your QBI deduction on Form 1040, Line 9.</v>
      </c>
      <c r="D132" s="3668"/>
      <c r="E132" s="3643"/>
      <c r="F132" s="3643"/>
      <c r="G132" s="3643"/>
      <c r="H132" s="3645">
        <f>IF(H79,I87,IF(H90,I101,IF(H104,I112,IF(H115,I126,IF(H129,0,0)))))</f>
        <v>0</v>
      </c>
      <c r="I132" s="3662"/>
      <c r="J132" s="3662"/>
      <c r="K132" s="3662"/>
      <c r="L132" s="3666"/>
      <c r="M132" s="1443"/>
      <c r="N132" s="1443"/>
      <c r="O132" s="1443"/>
      <c r="P132" s="1443"/>
      <c r="Q132" s="1408"/>
    </row>
    <row r="133" spans="1:18">
      <c r="A133" s="1408"/>
      <c r="B133" s="3703"/>
      <c r="C133" s="3704"/>
      <c r="D133" s="3704"/>
      <c r="E133" s="3704"/>
      <c r="F133" s="3704"/>
      <c r="G133" s="3704"/>
      <c r="H133" s="3705"/>
      <c r="I133" s="3705"/>
      <c r="J133" s="3705"/>
      <c r="K133" s="3705"/>
      <c r="L133" s="3706"/>
      <c r="M133" s="1443"/>
      <c r="N133" s="1443"/>
      <c r="O133" s="1443"/>
      <c r="P133" s="1443"/>
      <c r="Q133" s="1408"/>
    </row>
    <row r="134" spans="1:18" ht="15.75" customHeight="1">
      <c r="A134" s="1443"/>
      <c r="B134" s="1443"/>
      <c r="C134" s="1443"/>
      <c r="D134" s="1443"/>
      <c r="E134" s="1443"/>
      <c r="F134" s="1443"/>
      <c r="G134" s="1443"/>
      <c r="H134" s="1443"/>
      <c r="I134" s="1443"/>
      <c r="J134" s="1443"/>
      <c r="K134" s="1443"/>
      <c r="L134" s="1443"/>
      <c r="M134" s="1443"/>
      <c r="N134" s="1443"/>
      <c r="O134" s="1443"/>
      <c r="P134" s="1443"/>
      <c r="Q134" s="1408"/>
      <c r="R134" s="3168"/>
    </row>
    <row r="145" spans="15:15">
      <c r="O145" s="1075" t="s">
        <v>813</v>
      </c>
    </row>
  </sheetData>
  <sheetProtection password="F07E" sheet="1" objects="1" scenarios="1"/>
  <mergeCells count="58">
    <mergeCell ref="I37:L37"/>
    <mergeCell ref="I125:K125"/>
    <mergeCell ref="I126:K126"/>
    <mergeCell ref="I120:K120"/>
    <mergeCell ref="I121:K121"/>
    <mergeCell ref="I122:K122"/>
    <mergeCell ref="I123:K123"/>
    <mergeCell ref="I124:K124"/>
    <mergeCell ref="I85:K85"/>
    <mergeCell ref="I112:K112"/>
    <mergeCell ref="I106:K106"/>
    <mergeCell ref="I111:K111"/>
    <mergeCell ref="G107:G108"/>
    <mergeCell ref="I98:K98"/>
    <mergeCell ref="I99:K99"/>
    <mergeCell ref="I100:K100"/>
    <mergeCell ref="I101:K101"/>
    <mergeCell ref="I108:K108"/>
    <mergeCell ref="I107:K107"/>
    <mergeCell ref="F53:F54"/>
    <mergeCell ref="H53:H54"/>
    <mergeCell ref="F64:F65"/>
    <mergeCell ref="H64:H65"/>
    <mergeCell ref="D39:F39"/>
    <mergeCell ref="D40:F40"/>
    <mergeCell ref="D41:F41"/>
    <mergeCell ref="I19:K19"/>
    <mergeCell ref="I47:K47"/>
    <mergeCell ref="I48:K48"/>
    <mergeCell ref="I59:K59"/>
    <mergeCell ref="I58:K58"/>
    <mergeCell ref="I49:K49"/>
    <mergeCell ref="I23:K23"/>
    <mergeCell ref="I24:K24"/>
    <mergeCell ref="I21:K21"/>
    <mergeCell ref="I30:K30"/>
    <mergeCell ref="I28:K28"/>
    <mergeCell ref="I29:K29"/>
    <mergeCell ref="I32:K32"/>
    <mergeCell ref="I33:K33"/>
    <mergeCell ref="I39:K39"/>
    <mergeCell ref="I34:K34"/>
    <mergeCell ref="I25:K25"/>
    <mergeCell ref="I66:K66"/>
    <mergeCell ref="I109:K109"/>
    <mergeCell ref="I97:K97"/>
    <mergeCell ref="I96:K96"/>
    <mergeCell ref="I95:K95"/>
    <mergeCell ref="I86:K86"/>
    <mergeCell ref="I84:K84"/>
    <mergeCell ref="I75:K75"/>
    <mergeCell ref="I40:K40"/>
    <mergeCell ref="I41:K41"/>
    <mergeCell ref="I60:K60"/>
    <mergeCell ref="I68:K68"/>
    <mergeCell ref="I87:K87"/>
    <mergeCell ref="I38:L38"/>
    <mergeCell ref="I36:L36"/>
  </mergeCells>
  <conditionalFormatting sqref="D10">
    <cfRule type="expression" dxfId="2595" priority="27">
      <formula>$I$10</formula>
    </cfRule>
  </conditionalFormatting>
  <conditionalFormatting sqref="C13 C72">
    <cfRule type="expression" dxfId="2594" priority="26">
      <formula>NOT(I13)</formula>
    </cfRule>
  </conditionalFormatting>
  <conditionalFormatting sqref="C77:D77">
    <cfRule type="expression" dxfId="2593" priority="25">
      <formula>I77</formula>
    </cfRule>
  </conditionalFormatting>
  <conditionalFormatting sqref="D50">
    <cfRule type="expression" dxfId="2592" priority="23">
      <formula>I49</formula>
    </cfRule>
  </conditionalFormatting>
  <conditionalFormatting sqref="D13 D72">
    <cfRule type="expression" dxfId="2591" priority="20">
      <formula>NOT(I13)</formula>
    </cfRule>
  </conditionalFormatting>
  <conditionalFormatting sqref="D66">
    <cfRule type="expression" dxfId="2590" priority="19">
      <formula>AND($I$10,NOT($K$64))</formula>
    </cfRule>
  </conditionalFormatting>
  <conditionalFormatting sqref="D64">
    <cfRule type="expression" dxfId="2589" priority="18">
      <formula>AND(C53="",$K$64)</formula>
    </cfRule>
  </conditionalFormatting>
  <conditionalFormatting sqref="D74">
    <cfRule type="expression" dxfId="2588" priority="13">
      <formula>I73</formula>
    </cfRule>
  </conditionalFormatting>
  <conditionalFormatting sqref="D53:E53">
    <cfRule type="expression" dxfId="2587" priority="2002">
      <formula>AND($K$64,$K$53)</formula>
    </cfRule>
  </conditionalFormatting>
  <conditionalFormatting sqref="D55:E55 D76">
    <cfRule type="expression" dxfId="2586" priority="2003">
      <formula>AND($C$76="X",$C$64="X")</formula>
    </cfRule>
  </conditionalFormatting>
  <conditionalFormatting sqref="B68:L70">
    <cfRule type="expression" dxfId="2585" priority="11">
      <formula>OR($C$53="X",$C$66="X")</formula>
    </cfRule>
  </conditionalFormatting>
  <conditionalFormatting sqref="B37:I37 B38:H38 B36:H36 B111:L133 B110:H110 L110 B109:L109 B108:H108 L108 B39:L107 B4:L35">
    <cfRule type="expression" dxfId="2584" priority="9">
      <formula>NoColor</formula>
    </cfRule>
  </conditionalFormatting>
  <conditionalFormatting sqref="I38">
    <cfRule type="expression" dxfId="2583" priority="8">
      <formula>NoColor</formula>
    </cfRule>
  </conditionalFormatting>
  <conditionalFormatting sqref="I36">
    <cfRule type="expression" dxfId="2582" priority="7">
      <formula>NoColor</formula>
    </cfRule>
  </conditionalFormatting>
  <conditionalFormatting sqref="I110:K110">
    <cfRule type="expression" dxfId="2581" priority="5">
      <formula>NoColor</formula>
    </cfRule>
  </conditionalFormatting>
  <conditionalFormatting sqref="I108:K108">
    <cfRule type="expression" dxfId="2580" priority="4">
      <formula>NoColor</formula>
    </cfRule>
  </conditionalFormatting>
  <conditionalFormatting sqref="B2">
    <cfRule type="expression" dxfId="2579" priority="3">
      <formula>NoColor</formula>
    </cfRule>
  </conditionalFormatting>
  <conditionalFormatting sqref="B3">
    <cfRule type="expression" dxfId="2578" priority="2">
      <formula>NoColor</formula>
    </cfRule>
  </conditionalFormatting>
  <conditionalFormatting sqref="C2:L3">
    <cfRule type="expression" dxfId="2577" priority="1">
      <formula>NoColor</formula>
    </cfRule>
  </conditionalFormatting>
  <printOptions horizontalCentered="1"/>
  <pageMargins left="0.42" right="0.17" top="0.39" bottom="0.31" header="0" footer="0"/>
  <pageSetup scale="80" fitToHeight="2" orientation="portrait" r:id="rId1"/>
  <headerFooter alignWithMargins="0"/>
  <rowBreaks count="1" manualBreakCount="1">
    <brk id="71" min="1" max="11"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AE57"/>
  <sheetViews>
    <sheetView zoomScaleNormal="100" workbookViewId="0">
      <selection activeCell="P29" sqref="P29"/>
    </sheetView>
  </sheetViews>
  <sheetFormatPr defaultColWidth="9.140625" defaultRowHeight="12.75"/>
  <cols>
    <col min="1" max="1" width="2" style="46" customWidth="1"/>
    <col min="2" max="2" width="3.5703125" style="46" customWidth="1"/>
    <col min="3" max="3" width="2.85546875" style="46" customWidth="1"/>
    <col min="4" max="4" width="5.28515625" style="46" customWidth="1"/>
    <col min="5" max="5" width="9.5703125" style="46" customWidth="1"/>
    <col min="6" max="6" width="2.85546875" style="46" customWidth="1"/>
    <col min="7" max="7" width="40.7109375" style="46" customWidth="1"/>
    <col min="8" max="8" width="7.5703125" style="46" customWidth="1"/>
    <col min="9" max="9" width="4.85546875" style="46" customWidth="1"/>
    <col min="10" max="10" width="13.42578125" style="46" customWidth="1"/>
    <col min="11" max="11" width="3.5703125" style="46" customWidth="1"/>
    <col min="12" max="12" width="13.42578125" style="46" customWidth="1"/>
    <col min="13" max="13" width="3.42578125" style="46" customWidth="1"/>
    <col min="14" max="14" width="2.5703125" style="46" customWidth="1"/>
    <col min="15" max="15" width="2.7109375" style="46" customWidth="1"/>
    <col min="16" max="16" width="3.28515625" style="46" customWidth="1"/>
    <col min="17" max="17" width="1.85546875" style="46" customWidth="1"/>
    <col min="18" max="18" width="10.85546875" style="46" customWidth="1"/>
    <col min="19" max="19" width="18.5703125" style="46" customWidth="1"/>
    <col min="20" max="20" width="8.85546875" style="46" customWidth="1"/>
    <col min="21" max="21" width="9.140625" style="46"/>
    <col min="22" max="31" width="9.140625" style="3169"/>
    <col min="32" max="16384" width="9.140625" style="46"/>
  </cols>
  <sheetData>
    <row r="1" spans="1:22" ht="15.75" customHeight="1">
      <c r="A1" s="82"/>
      <c r="B1" s="82"/>
      <c r="C1" s="82"/>
      <c r="D1" s="82"/>
      <c r="E1" s="82"/>
      <c r="F1" s="82"/>
      <c r="G1" s="82"/>
      <c r="H1" s="82"/>
      <c r="I1" s="82"/>
      <c r="J1" s="82"/>
      <c r="K1" s="82"/>
      <c r="L1" s="82"/>
      <c r="M1" s="82"/>
      <c r="N1" s="82"/>
      <c r="O1" s="1443"/>
      <c r="P1" s="1443"/>
      <c r="Q1" s="1443"/>
      <c r="R1" s="1443"/>
      <c r="S1" s="1443"/>
      <c r="T1" s="1443"/>
      <c r="U1" s="1443"/>
      <c r="V1" s="3168" t="s">
        <v>2552</v>
      </c>
    </row>
    <row r="2" spans="1:22" ht="13.5" customHeight="1">
      <c r="A2" s="82"/>
      <c r="B2" s="1706" t="s">
        <v>2740</v>
      </c>
      <c r="C2" s="1705"/>
      <c r="D2" s="1705"/>
      <c r="E2" s="1705"/>
      <c r="F2" s="1705"/>
      <c r="G2" s="1705"/>
      <c r="H2" s="1705"/>
      <c r="I2" s="1705"/>
      <c r="J2" s="1705"/>
      <c r="K2" s="1705"/>
      <c r="L2" s="1705"/>
      <c r="M2" s="82"/>
      <c r="N2" s="82"/>
      <c r="O2" s="1443"/>
      <c r="P2" s="1443"/>
      <c r="Q2" s="1443"/>
      <c r="R2" s="1443"/>
      <c r="S2" s="1443"/>
      <c r="T2" s="1443"/>
      <c r="U2" s="1443"/>
    </row>
    <row r="3" spans="1:22" ht="13.5" customHeight="1">
      <c r="A3" s="82"/>
      <c r="B3" s="1707" t="str">
        <f>"1. You received a refund in "&amp;TaxYear&amp;" that is for a tax year other than "&amp;TaxYear-1&amp;"."</f>
        <v>1. You received a refund in 2018 that is for a tax year other than 2017.</v>
      </c>
      <c r="C3" s="1705"/>
      <c r="D3" s="1705"/>
      <c r="E3" s="1705"/>
      <c r="F3" s="1705"/>
      <c r="G3" s="1705"/>
      <c r="H3" s="1705"/>
      <c r="I3" s="1705"/>
      <c r="J3" s="1705"/>
      <c r="K3" s="1705"/>
      <c r="L3" s="1705"/>
      <c r="M3" s="82"/>
      <c r="N3" s="82"/>
      <c r="O3" s="1443"/>
      <c r="P3" s="1443"/>
      <c r="Q3" s="1443"/>
      <c r="R3" s="1443"/>
      <c r="S3" s="1443"/>
      <c r="T3" s="1443"/>
      <c r="U3" s="1443"/>
    </row>
    <row r="4" spans="1:22" ht="13.5" customHeight="1">
      <c r="A4" s="82"/>
      <c r="B4" s="1707"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2018 of an amount deducted or</v>
      </c>
      <c r="C4" s="1705"/>
      <c r="D4" s="1705"/>
      <c r="E4" s="1705"/>
      <c r="F4" s="1705"/>
      <c r="G4" s="1705"/>
      <c r="H4" s="1705"/>
      <c r="I4" s="1705"/>
      <c r="J4" s="1705"/>
      <c r="K4" s="1705"/>
      <c r="L4" s="1705"/>
      <c r="M4" s="82"/>
      <c r="N4" s="82"/>
      <c r="O4" s="1443"/>
      <c r="P4" s="1443"/>
      <c r="Q4" s="1443"/>
      <c r="R4" s="1443"/>
      <c r="S4" s="1443"/>
      <c r="T4" s="1443"/>
      <c r="U4" s="1443"/>
    </row>
    <row r="5" spans="1:22" ht="13.5" customHeight="1">
      <c r="A5" s="82"/>
      <c r="B5" s="1707" t="s">
        <v>992</v>
      </c>
      <c r="C5" s="1705"/>
      <c r="D5" s="1705"/>
      <c r="E5" s="1705"/>
      <c r="F5" s="1705"/>
      <c r="G5" s="1705"/>
      <c r="H5" s="1705"/>
      <c r="I5" s="1705"/>
      <c r="J5" s="1705"/>
      <c r="K5" s="1705"/>
      <c r="L5" s="1705"/>
      <c r="M5" s="82"/>
      <c r="N5" s="82"/>
      <c r="O5" s="1443"/>
      <c r="P5" s="1443"/>
      <c r="Q5" s="1443"/>
      <c r="R5" s="1443"/>
      <c r="S5" s="1443"/>
      <c r="T5" s="1443"/>
      <c r="U5" s="1443"/>
    </row>
    <row r="6" spans="1:22" ht="13.5" customHeight="1">
      <c r="A6" s="82"/>
      <c r="B6" s="1707" t="str">
        <f>"3. The amount on your "&amp;TaxYear-1&amp;" Form 1040, line 42, was more than the amount on your "&amp;TaxYear-1&amp;" Form 1040, line 41."</f>
        <v>3. The amount on your 2017 Form 1040, line 42, was more than the amount on your 2017 Form 1040, line 41.</v>
      </c>
      <c r="C6" s="1705"/>
      <c r="D6" s="1705"/>
      <c r="E6" s="1705"/>
      <c r="F6" s="1705"/>
      <c r="G6" s="1705"/>
      <c r="H6" s="1705"/>
      <c r="I6" s="1705"/>
      <c r="J6" s="1705"/>
      <c r="K6" s="1705"/>
      <c r="L6" s="1705"/>
      <c r="M6" s="82"/>
      <c r="N6" s="82"/>
      <c r="O6" s="1443"/>
      <c r="P6" s="1443"/>
      <c r="Q6" s="1443"/>
      <c r="R6" s="1443"/>
      <c r="S6" s="1443"/>
      <c r="T6" s="1443"/>
      <c r="U6" s="1443"/>
    </row>
    <row r="7" spans="1:22" ht="13.5" customHeight="1">
      <c r="A7" s="82"/>
      <c r="B7" s="1707" t="str">
        <f>"4. You had taxable income on your "&amp;TaxYear-1&amp;" Form 1040, line 43, but no tax on your Form 1040, line 44, because of the 0% tax rate on net capital gain and"</f>
        <v>4. You had taxable income on your 2017 Form 1040, line 43, but no tax on your Form 1040, line 44, because of the 0% tax rate on net capital gain and</v>
      </c>
      <c r="C7" s="1705"/>
      <c r="D7" s="1705"/>
      <c r="E7" s="1705"/>
      <c r="F7" s="1705"/>
      <c r="G7" s="1705"/>
      <c r="H7" s="1705"/>
      <c r="I7" s="1705"/>
      <c r="J7" s="1705"/>
      <c r="K7" s="1705"/>
      <c r="L7" s="1705"/>
      <c r="M7" s="82"/>
      <c r="N7" s="82"/>
      <c r="O7" s="1443"/>
      <c r="P7" s="1443"/>
      <c r="Q7" s="1443"/>
      <c r="R7" s="1443"/>
      <c r="S7" s="1443"/>
      <c r="T7" s="1443"/>
      <c r="U7" s="1443"/>
    </row>
    <row r="8" spans="1:22" ht="13.5" customHeight="1">
      <c r="A8" s="82"/>
      <c r="B8" s="1707" t="s">
        <v>993</v>
      </c>
      <c r="C8" s="1705"/>
      <c r="D8" s="1705"/>
      <c r="E8" s="1705"/>
      <c r="F8" s="1705"/>
      <c r="G8" s="1705"/>
      <c r="H8" s="1705"/>
      <c r="I8" s="1705"/>
      <c r="J8" s="1705"/>
      <c r="K8" s="1705"/>
      <c r="L8" s="1705"/>
      <c r="M8" s="82"/>
      <c r="N8" s="82"/>
      <c r="O8" s="1443"/>
      <c r="P8" s="1443"/>
      <c r="Q8" s="1443"/>
      <c r="R8" s="1443"/>
      <c r="S8" s="1443"/>
      <c r="T8" s="1443"/>
      <c r="U8" s="1443"/>
    </row>
    <row r="9" spans="1:22" ht="13.5" customHeight="1">
      <c r="A9" s="82"/>
      <c r="B9" s="1707" t="str">
        <f>"5. Your "&amp;TaxYear-1&amp;" state and local income tax refund is more than your "&amp;TaxYear-1&amp;" state and local income tax deduction minus the amount you could have"</f>
        <v>5. Your 2017 state and local income tax refund is more than your 2017 state and local income tax deduction minus the amount you could have</v>
      </c>
      <c r="C9" s="1705"/>
      <c r="D9" s="1705"/>
      <c r="E9" s="1705"/>
      <c r="F9" s="1705"/>
      <c r="G9" s="1705"/>
      <c r="H9" s="1705"/>
      <c r="I9" s="1705"/>
      <c r="J9" s="1705"/>
      <c r="K9" s="1705"/>
      <c r="L9" s="1705"/>
      <c r="M9" s="82"/>
      <c r="N9" s="82"/>
      <c r="O9" s="1443"/>
      <c r="P9" s="1443"/>
      <c r="Q9" s="1443"/>
      <c r="R9" s="1443"/>
      <c r="S9" s="1443"/>
      <c r="T9" s="1443"/>
      <c r="U9" s="1443"/>
    </row>
    <row r="10" spans="1:22" ht="12.75" customHeight="1">
      <c r="A10" s="82"/>
      <c r="B10" s="1707" t="str">
        <f>"    deducted as your "&amp;TaxYear-1&amp;" state and local general sales taxes."</f>
        <v xml:space="preserve">    deducted as your 2017 state and local general sales taxes.</v>
      </c>
      <c r="C10" s="1705"/>
      <c r="D10" s="1705"/>
      <c r="E10" s="1705"/>
      <c r="F10" s="1705"/>
      <c r="G10" s="1705"/>
      <c r="H10" s="1705"/>
      <c r="I10" s="1705"/>
      <c r="J10" s="1705"/>
      <c r="K10" s="1705"/>
      <c r="L10" s="1705"/>
      <c r="M10" s="82"/>
      <c r="N10" s="82"/>
      <c r="O10" s="1443"/>
      <c r="P10" s="1443"/>
      <c r="Q10" s="1443"/>
      <c r="R10" s="1443"/>
      <c r="S10" s="1443"/>
      <c r="T10" s="1443"/>
      <c r="U10" s="1443"/>
    </row>
    <row r="11" spans="1:22" ht="13.5" customHeight="1">
      <c r="A11" s="82"/>
      <c r="B11" s="1707" t="str">
        <f>"6. You made your last payment of "&amp;TaxYear-1&amp;" estimated state or local income tax in "&amp;TaxYear&amp;"."</f>
        <v>6. You made your last payment of 2017 estimated state or local income tax in 2018.</v>
      </c>
      <c r="C11" s="1705"/>
      <c r="D11" s="1705"/>
      <c r="E11" s="1705"/>
      <c r="F11" s="1705"/>
      <c r="G11" s="1705"/>
      <c r="H11" s="1705"/>
      <c r="I11" s="1705"/>
      <c r="J11" s="1705"/>
      <c r="K11" s="1705"/>
      <c r="L11" s="1705"/>
      <c r="M11" s="82"/>
      <c r="N11" s="82"/>
      <c r="O11" s="1443"/>
      <c r="P11" s="1443"/>
      <c r="Q11" s="1443"/>
      <c r="R11" s="1443"/>
      <c r="S11" s="1443"/>
      <c r="T11" s="1443"/>
      <c r="U11" s="1443"/>
    </row>
    <row r="12" spans="1:22" ht="13.5" customHeight="1">
      <c r="A12" s="82"/>
      <c r="B12" s="1707" t="str">
        <f>"7. You owed alternative minimum tax in "&amp;TaxYear-1&amp;"."</f>
        <v>7. You owed alternative minimum tax in 2017.</v>
      </c>
      <c r="C12" s="1705"/>
      <c r="D12" s="1705"/>
      <c r="E12" s="1705"/>
      <c r="F12" s="1705"/>
      <c r="G12" s="1705"/>
      <c r="H12" s="1705"/>
      <c r="I12" s="1705"/>
      <c r="J12" s="1705"/>
      <c r="K12" s="1705"/>
      <c r="L12" s="1705"/>
      <c r="M12" s="82"/>
      <c r="N12" s="82"/>
      <c r="O12" s="1443"/>
      <c r="P12" s="1443"/>
      <c r="Q12" s="1443"/>
      <c r="R12" s="1443"/>
      <c r="S12" s="1443"/>
      <c r="T12" s="1443"/>
      <c r="U12" s="1443"/>
    </row>
    <row r="13" spans="1:22" ht="13.5" customHeight="1">
      <c r="A13" s="82"/>
      <c r="B13" s="1707" t="str">
        <f>"8. You couldn't use the full amount of credits you were entitled to in "&amp;TaxYear-1&amp;" because the total credits were more than"</f>
        <v>8. You couldn't use the full amount of credits you were entitled to in 2017 because the total credits were more than</v>
      </c>
      <c r="C13" s="1705"/>
      <c r="D13" s="1705"/>
      <c r="E13" s="1705"/>
      <c r="F13" s="1705"/>
      <c r="G13" s="1705"/>
      <c r="H13" s="1705"/>
      <c r="I13" s="1705"/>
      <c r="J13" s="1705"/>
      <c r="K13" s="1705"/>
      <c r="L13" s="1705"/>
      <c r="M13" s="82"/>
      <c r="N13" s="82"/>
      <c r="O13" s="1443"/>
      <c r="P13" s="1443"/>
      <c r="Q13" s="1443"/>
      <c r="R13" s="1443"/>
      <c r="S13" s="1443"/>
      <c r="T13" s="1443"/>
      <c r="U13" s="1443"/>
    </row>
    <row r="14" spans="1:22" ht="13.5" customHeight="1">
      <c r="A14" s="82"/>
      <c r="B14" s="1707" t="str">
        <f>"    the amount shown on your "&amp;TaxYear-1&amp;" Form 1040, line 47."</f>
        <v xml:space="preserve">    the amount shown on your 2017 Form 1040, line 47.</v>
      </c>
      <c r="C14" s="1705"/>
      <c r="D14" s="1705"/>
      <c r="E14" s="1705"/>
      <c r="F14" s="1705"/>
      <c r="G14" s="1705"/>
      <c r="H14" s="1705"/>
      <c r="I14" s="1705"/>
      <c r="J14" s="1705"/>
      <c r="K14" s="1705"/>
      <c r="L14" s="1705"/>
      <c r="M14" s="82"/>
      <c r="N14" s="82"/>
      <c r="O14" s="1443"/>
      <c r="P14" s="1443"/>
      <c r="Q14" s="1443"/>
      <c r="R14" s="1443"/>
      <c r="S14" s="1443"/>
      <c r="T14" s="1443"/>
      <c r="U14" s="1443"/>
    </row>
    <row r="15" spans="1:22" ht="13.5" customHeight="1">
      <c r="A15" s="82"/>
      <c r="B15" s="1707" t="str">
        <f>"9. You could be claimed as a dependent by someone else in "&amp;TaxYear-1&amp;"."</f>
        <v>9. You could be claimed as a dependent by someone else in 2017.</v>
      </c>
      <c r="C15" s="1705"/>
      <c r="D15" s="1705"/>
      <c r="E15" s="1705"/>
      <c r="F15" s="1705"/>
      <c r="G15" s="1705"/>
      <c r="H15" s="1705"/>
      <c r="I15" s="1705"/>
      <c r="J15" s="1705"/>
      <c r="K15" s="1705"/>
      <c r="L15" s="1705"/>
      <c r="M15" s="82"/>
      <c r="N15" s="82"/>
      <c r="O15" s="1443"/>
      <c r="P15" s="1443"/>
      <c r="Q15" s="1443"/>
      <c r="R15" s="1443"/>
      <c r="S15" s="1443"/>
      <c r="T15" s="1443"/>
      <c r="U15" s="1443"/>
    </row>
    <row r="16" spans="1:22" ht="13.5" customHeight="1">
      <c r="A16" s="82"/>
      <c r="B16" s="1707" t="str">
        <f>"10. You received a refund because of a jointly filed state or local income tax return, but you are not filing a joint "&amp;TaxYear&amp;" Form 1040 with the same person."</f>
        <v>10. You received a refund because of a jointly filed state or local income tax return, but you are not filing a joint 2018 Form 1040 with the same person.</v>
      </c>
      <c r="C16" s="1705"/>
      <c r="D16" s="1705"/>
      <c r="E16" s="1705"/>
      <c r="F16" s="1705"/>
      <c r="G16" s="1705"/>
      <c r="H16" s="1705"/>
      <c r="I16" s="1705"/>
      <c r="J16" s="1705"/>
      <c r="K16" s="1705"/>
      <c r="L16" s="1705"/>
      <c r="M16" s="82"/>
      <c r="N16" s="82"/>
      <c r="O16" s="1443"/>
      <c r="P16" s="1443"/>
      <c r="Q16" s="1443"/>
      <c r="R16" s="1443"/>
      <c r="S16" s="1443"/>
      <c r="T16" s="1443"/>
      <c r="U16" s="1443"/>
    </row>
    <row r="17" spans="1:25" ht="13.5" customHeight="1">
      <c r="A17" s="82"/>
      <c r="B17" s="1707" t="str">
        <f>"11. You had to use the Itemized Deductions Worksheet in the "&amp;TaxYear-1&amp;" Instructions for Schedule A and both of the following apply."</f>
        <v>11. You had to use the Itemized Deductions Worksheet in the 2017 Instructions for Schedule A and both of the following apply.</v>
      </c>
      <c r="C17" s="1705"/>
      <c r="D17" s="1705"/>
      <c r="E17" s="1705"/>
      <c r="F17" s="1705"/>
      <c r="G17" s="1705"/>
      <c r="H17" s="1705"/>
      <c r="I17" s="1705"/>
      <c r="J17" s="1705"/>
      <c r="K17" s="1705"/>
      <c r="L17" s="1705"/>
      <c r="M17" s="82"/>
      <c r="N17" s="82"/>
      <c r="O17" s="1443"/>
      <c r="P17" s="1443"/>
      <c r="Q17" s="1443"/>
      <c r="R17" s="1443"/>
      <c r="S17" s="1443"/>
      <c r="T17" s="1443"/>
      <c r="U17" s="1443"/>
    </row>
    <row r="18" spans="1:25" ht="13.5" customHeight="1">
      <c r="A18" s="82"/>
      <c r="B18" s="1707"/>
      <c r="C18" s="1705" t="str">
        <f>"a.  You could not deduct all of the amount on the "&amp;TaxYear-1&amp;" Itemized Deductions Worksheet, line 1."</f>
        <v>a.  You could not deduct all of the amount on the 2017 Itemized Deductions Worksheet, line 1.</v>
      </c>
      <c r="D18" s="1705"/>
      <c r="E18" s="1705"/>
      <c r="F18" s="1705"/>
      <c r="G18" s="1705"/>
      <c r="H18" s="1705"/>
      <c r="I18" s="1705"/>
      <c r="J18" s="1705"/>
      <c r="K18" s="1705"/>
      <c r="L18" s="1705"/>
      <c r="M18" s="82"/>
      <c r="N18" s="82"/>
      <c r="O18" s="1443"/>
      <c r="P18" s="1443"/>
      <c r="Q18" s="1443"/>
      <c r="R18" s="1443"/>
      <c r="S18" s="1443"/>
      <c r="T18" s="1443"/>
      <c r="U18" s="1443"/>
    </row>
    <row r="19" spans="1:25" ht="13.5" customHeight="1">
      <c r="A19" s="82"/>
      <c r="B19" s="1707"/>
      <c r="C19" s="1705" t="str">
        <f>"b.  The amount on line 8 of that "&amp;TaxYear-1&amp;" worksheet would be more than the amount on line 4 of that worksheet if the amount on line 4 were reduced"</f>
        <v>b.  The amount on line 8 of that 2017 worksheet would be more than the amount on line 4 of that worksheet if the amount on line 4 were reduced</v>
      </c>
      <c r="D19" s="1705"/>
      <c r="E19" s="1705"/>
      <c r="F19" s="1705"/>
      <c r="G19" s="1705"/>
      <c r="H19" s="1705"/>
      <c r="I19" s="1705"/>
      <c r="J19" s="1705"/>
      <c r="K19" s="1705"/>
      <c r="L19" s="1705"/>
      <c r="M19" s="82"/>
      <c r="N19" s="82"/>
      <c r="O19" s="1443"/>
      <c r="P19" s="1443"/>
      <c r="Q19" s="1443"/>
      <c r="R19" s="1443"/>
      <c r="S19" s="1443"/>
      <c r="T19" s="1443"/>
      <c r="U19" s="1443"/>
    </row>
    <row r="20" spans="1:25" ht="13.5" customHeight="1">
      <c r="A20" s="82"/>
      <c r="B20" s="1707"/>
      <c r="C20" s="1705" t="str">
        <f>"      by 80% of the refund you received in "&amp;TaxYear&amp;"."</f>
        <v xml:space="preserve">      by 80% of the refund you received in 2018.</v>
      </c>
      <c r="D20" s="1705"/>
      <c r="E20" s="1705"/>
      <c r="F20" s="1705"/>
      <c r="G20" s="1705"/>
      <c r="H20" s="1705"/>
      <c r="I20" s="1705"/>
      <c r="J20" s="1705"/>
      <c r="K20" s="1705"/>
      <c r="L20" s="1705"/>
      <c r="M20" s="82"/>
      <c r="N20" s="82"/>
      <c r="O20" s="1443"/>
      <c r="P20" s="1443"/>
      <c r="Q20" s="1443"/>
      <c r="R20" s="1443"/>
      <c r="S20" s="1443"/>
      <c r="T20" s="1443"/>
      <c r="U20" s="1443"/>
    </row>
    <row r="21" spans="1:25">
      <c r="A21" s="82"/>
      <c r="B21" s="82"/>
      <c r="C21" s="82"/>
      <c r="D21" s="82"/>
      <c r="E21" s="82"/>
      <c r="F21" s="82"/>
      <c r="G21" s="4489"/>
      <c r="H21" s="82"/>
      <c r="I21" s="82"/>
      <c r="J21" s="82"/>
      <c r="K21" s="82"/>
      <c r="L21" s="82"/>
      <c r="M21" s="82"/>
      <c r="N21" s="82"/>
      <c r="O21" s="1443"/>
      <c r="P21" s="1443"/>
      <c r="Q21" s="1443"/>
      <c r="R21" s="5785" t="s">
        <v>4885</v>
      </c>
      <c r="S21" s="1443"/>
      <c r="T21" s="1443"/>
      <c r="U21" s="1443"/>
    </row>
    <row r="22" spans="1:25" ht="31.5" customHeight="1" thickBot="1">
      <c r="A22" s="82"/>
      <c r="B22" s="4453" t="s">
        <v>288</v>
      </c>
      <c r="C22" s="68"/>
      <c r="D22" s="89"/>
      <c r="E22" s="89"/>
      <c r="F22" s="89"/>
      <c r="G22" s="89"/>
      <c r="H22" s="89"/>
      <c r="I22" s="356"/>
      <c r="J22" s="364"/>
      <c r="K22" s="356" t="s">
        <v>200</v>
      </c>
      <c r="L22" s="91"/>
      <c r="M22" s="91"/>
      <c r="N22" s="82"/>
      <c r="O22" s="1443"/>
      <c r="P22" s="1443"/>
      <c r="Q22" s="1443"/>
      <c r="R22" s="5785"/>
      <c r="S22" s="1443"/>
      <c r="T22" s="1443"/>
      <c r="U22" s="1443"/>
    </row>
    <row r="23" spans="1:25" ht="15.75" customHeight="1">
      <c r="A23" s="82"/>
      <c r="B23" s="357"/>
      <c r="C23" s="526" t="s">
        <v>242</v>
      </c>
      <c r="D23" s="872"/>
      <c r="E23" s="872"/>
      <c r="F23" s="875" t="s">
        <v>48</v>
      </c>
      <c r="G23" s="1096" t="s">
        <v>2643</v>
      </c>
      <c r="H23" s="872"/>
      <c r="I23" s="873"/>
      <c r="J23" s="874"/>
      <c r="K23" s="873"/>
      <c r="L23" s="829"/>
      <c r="M23" s="830"/>
      <c r="N23" s="82"/>
      <c r="O23" s="1443"/>
      <c r="P23" s="1443"/>
      <c r="Q23" s="1443"/>
      <c r="R23" s="5175"/>
      <c r="S23" s="1443"/>
      <c r="T23" s="1443"/>
      <c r="U23" s="1443"/>
      <c r="Y23" s="3170"/>
    </row>
    <row r="24" spans="1:25" ht="15.75" customHeight="1" thickBot="1">
      <c r="A24" s="82"/>
      <c r="B24" s="876"/>
      <c r="C24" s="877"/>
      <c r="D24" s="878"/>
      <c r="E24" s="878"/>
      <c r="F24" s="879"/>
      <c r="G24" s="884" t="s">
        <v>144</v>
      </c>
      <c r="H24" s="878"/>
      <c r="I24" s="880"/>
      <c r="J24" s="881"/>
      <c r="K24" s="880"/>
      <c r="L24" s="882"/>
      <c r="M24" s="883"/>
      <c r="N24" s="82"/>
      <c r="O24" s="1443"/>
      <c r="P24" s="1443"/>
      <c r="Q24" s="1443"/>
      <c r="R24" s="603"/>
      <c r="S24" s="1443"/>
      <c r="T24" s="1443"/>
      <c r="U24" s="1443"/>
    </row>
    <row r="25" spans="1:25" ht="14.25" customHeight="1">
      <c r="A25" s="82"/>
      <c r="B25" s="317">
        <v>1</v>
      </c>
      <c r="C25" s="74" t="s">
        <v>2644</v>
      </c>
      <c r="D25" s="63"/>
      <c r="E25" s="63"/>
      <c r="F25" s="63"/>
      <c r="G25" s="63"/>
      <c r="H25" s="63"/>
      <c r="I25" s="68"/>
      <c r="J25" s="63"/>
      <c r="K25" s="69"/>
      <c r="L25" s="63"/>
      <c r="M25" s="70"/>
      <c r="N25" s="82"/>
      <c r="O25" s="578"/>
      <c r="P25" s="362"/>
      <c r="Q25" s="33"/>
      <c r="R25" s="33"/>
      <c r="S25" s="33"/>
      <c r="T25" s="100"/>
      <c r="U25" s="1443"/>
    </row>
    <row r="26" spans="1:25">
      <c r="A26" s="82"/>
      <c r="B26" s="67"/>
      <c r="C26" s="24" t="str">
        <f>"the amount of your state and local income taxes shown on your "&amp;TaxYear-1&amp;" Schedule A, line 5"</f>
        <v>the amount of your state and local income taxes shown on your 2017 Schedule A, line 5</v>
      </c>
      <c r="D26" s="63"/>
      <c r="E26" s="63"/>
      <c r="F26" s="63"/>
      <c r="G26" s="63"/>
      <c r="H26" s="63"/>
      <c r="I26" s="68"/>
      <c r="J26" s="305" t="s">
        <v>630</v>
      </c>
      <c r="K26" s="69">
        <v>1</v>
      </c>
      <c r="L26" s="5135">
        <f>IF(R23&lt;&gt;"",ROUND(R23,0),SALT_Refund)</f>
        <v>0</v>
      </c>
      <c r="M26" s="360"/>
      <c r="N26" s="82"/>
      <c r="O26" s="574"/>
      <c r="P26" s="134" t="str">
        <f>"Indicate your "&amp;TaxYear-1&amp;" filing status below:"</f>
        <v>Indicate your 2017 filing status below:</v>
      </c>
      <c r="Q26" s="24"/>
      <c r="R26" s="24"/>
      <c r="S26" s="24"/>
      <c r="T26" s="101"/>
      <c r="U26" s="1443"/>
    </row>
    <row r="27" spans="1:25" ht="15.75" customHeight="1">
      <c r="A27" s="82"/>
      <c r="B27" s="67">
        <v>2</v>
      </c>
      <c r="C27" s="24" t="str">
        <f>"Enter your total allowable itemized deductions from your "&amp;TaxYear-1&amp;" Schedule A, line 29."</f>
        <v>Enter your total allowable itemized deductions from your 2017 Schedule A, line 29.</v>
      </c>
      <c r="D27" s="63"/>
      <c r="E27" s="63"/>
      <c r="F27" s="63"/>
      <c r="G27" s="63"/>
      <c r="H27" s="760"/>
      <c r="I27" s="68">
        <v>2</v>
      </c>
      <c r="J27" s="2272"/>
      <c r="K27" s="68"/>
      <c r="L27" s="1788">
        <f>ROUND(L26,0)</f>
        <v>0</v>
      </c>
      <c r="M27" s="360"/>
      <c r="N27" s="82"/>
      <c r="O27" s="576"/>
      <c r="P27" s="134" t="str">
        <f>IF(O27=0,"Check one.",IF(O38&gt;1,"Check only one.",""))</f>
        <v>Check one.</v>
      </c>
      <c r="Q27" s="24"/>
      <c r="R27" s="24"/>
      <c r="S27" s="24"/>
      <c r="T27" s="101"/>
      <c r="U27" s="1443"/>
    </row>
    <row r="28" spans="1:25" ht="9" customHeight="1" thickBot="1">
      <c r="A28" s="82"/>
      <c r="B28" s="67"/>
      <c r="C28" s="24"/>
      <c r="D28" s="63"/>
      <c r="E28" s="63"/>
      <c r="F28" s="63"/>
      <c r="G28" s="63"/>
      <c r="H28" s="63"/>
      <c r="I28" s="68"/>
      <c r="J28" s="339"/>
      <c r="K28" s="68"/>
      <c r="L28" s="363"/>
      <c r="M28" s="360"/>
      <c r="N28" s="82"/>
      <c r="O28" s="1097" t="b">
        <f>IF(O38=1,TRUE,FALSE)</f>
        <v>0</v>
      </c>
      <c r="P28" s="24"/>
      <c r="Q28" s="24"/>
      <c r="R28" s="24"/>
      <c r="S28" s="24"/>
      <c r="T28" s="101"/>
      <c r="U28" s="1443"/>
    </row>
    <row r="29" spans="1:25" ht="16.5" customHeight="1" thickBot="1">
      <c r="A29" s="82"/>
      <c r="B29" s="67"/>
      <c r="C29" s="358" t="s">
        <v>359</v>
      </c>
      <c r="D29" s="358"/>
      <c r="E29" s="359" t="str">
        <f>"If the filing status on your "&amp;TaxYear-1&amp;" Form 1040 return was married filing separately and"</f>
        <v>If the filing status on your 2017 Form 1040 return was married filing separately and</v>
      </c>
      <c r="F29" s="359"/>
      <c r="G29" s="359"/>
      <c r="H29" s="359"/>
      <c r="I29" s="68"/>
      <c r="J29" s="63"/>
      <c r="K29" s="68"/>
      <c r="L29" s="958"/>
      <c r="M29" s="70"/>
      <c r="N29" s="82"/>
      <c r="O29" s="576">
        <f>IF(P29&lt;&gt;"",1,0)</f>
        <v>0</v>
      </c>
      <c r="P29" s="1448"/>
      <c r="Q29" s="24"/>
      <c r="R29" s="24" t="s">
        <v>77</v>
      </c>
      <c r="S29" s="24"/>
      <c r="T29" s="101"/>
      <c r="U29" s="1443"/>
    </row>
    <row r="30" spans="1:25" ht="13.5" thickBot="1">
      <c r="A30" s="82"/>
      <c r="B30" s="67"/>
      <c r="C30" s="275" t="str">
        <f>"your spouse itemized deductions in "&amp;TaxYear-1&amp;", skip lines 3 through 5, enter the amount from"</f>
        <v>your spouse itemized deductions in 2017, skip lines 3 through 5, enter the amount from</v>
      </c>
      <c r="D30" s="63"/>
      <c r="E30" s="63"/>
      <c r="F30" s="63"/>
      <c r="G30" s="63"/>
      <c r="H30" s="63"/>
      <c r="I30" s="68"/>
      <c r="J30" s="958"/>
      <c r="K30" s="68"/>
      <c r="L30" s="1229"/>
      <c r="M30" s="70"/>
      <c r="N30" s="82"/>
      <c r="O30" s="576"/>
      <c r="P30" s="519"/>
      <c r="Q30" s="24"/>
      <c r="R30" s="24"/>
      <c r="S30" s="24"/>
      <c r="T30" s="101"/>
      <c r="U30" s="1443"/>
    </row>
    <row r="31" spans="1:25" ht="15" customHeight="1" thickBot="1">
      <c r="A31" s="82"/>
      <c r="B31" s="67"/>
      <c r="C31" s="1093" t="s">
        <v>920</v>
      </c>
      <c r="D31" s="583"/>
      <c r="E31" s="583"/>
      <c r="F31" s="583"/>
      <c r="G31" s="583"/>
      <c r="H31" s="2274"/>
      <c r="I31" s="1229"/>
      <c r="J31" s="1229"/>
      <c r="K31" s="68"/>
      <c r="L31" s="1229"/>
      <c r="M31" s="70"/>
      <c r="N31" s="82"/>
      <c r="O31" s="576">
        <f>IF(P31&lt;&gt;"",1,0)</f>
        <v>0</v>
      </c>
      <c r="P31" s="1448"/>
      <c r="Q31" s="24"/>
      <c r="R31" s="24" t="s">
        <v>539</v>
      </c>
      <c r="S31" s="24"/>
      <c r="T31" s="101"/>
      <c r="U31" s="1443"/>
    </row>
    <row r="32" spans="1:25" ht="24.75" customHeight="1" thickBot="1">
      <c r="A32" s="82"/>
      <c r="B32" s="317">
        <v>3</v>
      </c>
      <c r="C32" s="58" t="s">
        <v>471</v>
      </c>
      <c r="D32" s="359"/>
      <c r="E32" s="359"/>
      <c r="F32" s="359"/>
      <c r="G32" s="359"/>
      <c r="H32" s="340"/>
      <c r="I32" s="68"/>
      <c r="J32" s="63"/>
      <c r="K32" s="68"/>
      <c r="L32" s="534">
        <v>6350</v>
      </c>
      <c r="M32" s="70"/>
      <c r="N32" s="82"/>
      <c r="O32" s="576"/>
      <c r="P32" s="519"/>
      <c r="Q32" s="24"/>
      <c r="R32" s="24"/>
      <c r="S32" s="24"/>
      <c r="T32" s="101"/>
      <c r="U32" s="1443"/>
    </row>
    <row r="33" spans="1:21" ht="13.5" thickBot="1">
      <c r="A33" s="82"/>
      <c r="B33" s="67"/>
      <c r="C33" s="24" t="str">
        <f>"claimed on your "&amp;TaxYear-1&amp;" Form 1040."</f>
        <v>claimed on your 2017 Form 1040.</v>
      </c>
      <c r="D33" s="63"/>
      <c r="E33" s="63"/>
      <c r="F33" s="63"/>
      <c r="G33" s="63"/>
      <c r="H33" s="312"/>
      <c r="I33" s="68"/>
      <c r="J33" s="63"/>
      <c r="K33" s="68"/>
      <c r="L33" s="534">
        <v>12700</v>
      </c>
      <c r="M33" s="70"/>
      <c r="N33" s="82"/>
      <c r="O33" s="576">
        <f>IF(P33&lt;&gt;"",1,0)</f>
        <v>0</v>
      </c>
      <c r="P33" s="1448"/>
      <c r="Q33" s="24"/>
      <c r="R33" s="24" t="s">
        <v>309</v>
      </c>
      <c r="S33" s="24"/>
      <c r="T33" s="101"/>
      <c r="U33" s="1443"/>
    </row>
    <row r="34" spans="1:21" ht="13.5" thickBot="1">
      <c r="A34" s="82"/>
      <c r="B34" s="67"/>
      <c r="C34" s="3314" t="s">
        <v>385</v>
      </c>
      <c r="D34" s="24" t="str">
        <f>"Single or married filing separately–- "&amp;TEXT(L32,"$0,000")</f>
        <v>Single or married filing separately–- $6,350</v>
      </c>
      <c r="E34" s="63"/>
      <c r="F34" s="63"/>
      <c r="G34" s="63"/>
      <c r="H34" s="312"/>
      <c r="I34" s="68"/>
      <c r="J34" s="63"/>
      <c r="K34" s="68"/>
      <c r="L34" s="534"/>
      <c r="M34" s="70"/>
      <c r="N34" s="82"/>
      <c r="O34" s="576"/>
      <c r="P34" s="419"/>
      <c r="Q34" s="24"/>
      <c r="R34" s="24"/>
      <c r="S34" s="24"/>
      <c r="T34" s="101"/>
      <c r="U34" s="1443"/>
    </row>
    <row r="35" spans="1:21" ht="15" customHeight="1" thickBot="1">
      <c r="A35" s="82"/>
      <c r="B35" s="67"/>
      <c r="C35" s="3314" t="s">
        <v>385</v>
      </c>
      <c r="D35" s="24" t="str">
        <f>"Married filing jointly or qualifying widow(er)–-"&amp;TEXT(L33,"$0,000")</f>
        <v>Married filing jointly or qualifying widow(er)–-$12,700</v>
      </c>
      <c r="E35" s="63"/>
      <c r="F35" s="63"/>
      <c r="G35" s="63"/>
      <c r="H35" s="760"/>
      <c r="I35" s="68">
        <v>3</v>
      </c>
      <c r="J35" s="1708" t="str">
        <f>IF(R46,"",IF(O38&gt;1,"",IF(OR(P29&lt;&gt;"",P33&lt;&gt;""),L32,IF(OR(P31&lt;&gt;"",P37&lt;&gt;""),L33,IF(P35&lt;&gt;"",L35,"")))))</f>
        <v/>
      </c>
      <c r="K35" s="68"/>
      <c r="L35" s="534">
        <v>9350</v>
      </c>
      <c r="M35" s="70"/>
      <c r="N35" s="82"/>
      <c r="O35" s="576">
        <f>IF(P35&lt;&gt;"",1,0)</f>
        <v>0</v>
      </c>
      <c r="P35" s="1448"/>
      <c r="Q35" s="24"/>
      <c r="R35" s="24" t="s">
        <v>310</v>
      </c>
      <c r="S35" s="24"/>
      <c r="T35" s="101"/>
      <c r="U35" s="1443"/>
    </row>
    <row r="36" spans="1:21" ht="13.5" thickBot="1">
      <c r="A36" s="82"/>
      <c r="B36" s="67"/>
      <c r="C36" s="3314" t="s">
        <v>385</v>
      </c>
      <c r="D36" s="24" t="str">
        <f>"Head of household–-"&amp;TEXT(L35,"$0,000")</f>
        <v>Head of household–-$9,350</v>
      </c>
      <c r="E36" s="63"/>
      <c r="F36" s="63"/>
      <c r="G36" s="63"/>
      <c r="H36" s="305"/>
      <c r="I36" s="68"/>
      <c r="J36" s="339"/>
      <c r="K36" s="68"/>
      <c r="L36" s="63"/>
      <c r="M36" s="70"/>
      <c r="N36" s="82"/>
      <c r="O36" s="576"/>
      <c r="P36" s="419"/>
      <c r="Q36" s="24"/>
      <c r="R36" s="24"/>
      <c r="S36" s="24"/>
      <c r="T36" s="101"/>
      <c r="U36" s="1443"/>
    </row>
    <row r="37" spans="1:21" ht="15" customHeight="1" thickBot="1">
      <c r="A37" s="82"/>
      <c r="B37" s="67"/>
      <c r="C37" s="71"/>
      <c r="D37" s="24"/>
      <c r="E37" s="63"/>
      <c r="F37" s="63"/>
      <c r="G37" s="63"/>
      <c r="H37" s="63"/>
      <c r="I37" s="68"/>
      <c r="J37" s="63"/>
      <c r="K37" s="68"/>
      <c r="L37" s="777" t="str">
        <f>"Indicate your "&amp;TaxYear-1&amp;" filing status here. "</f>
        <v xml:space="preserve">Indicate your 2017 filing status here. </v>
      </c>
      <c r="M37" s="750" t="s">
        <v>360</v>
      </c>
      <c r="N37" s="82"/>
      <c r="O37" s="576">
        <f>IF(P37&lt;&gt;"",1,0)</f>
        <v>0</v>
      </c>
      <c r="P37" s="1448"/>
      <c r="Q37" s="24"/>
      <c r="R37" s="24" t="s">
        <v>475</v>
      </c>
      <c r="S37" s="24"/>
      <c r="T37" s="101"/>
      <c r="U37" s="1443"/>
    </row>
    <row r="38" spans="1:21" ht="13.5" thickBot="1">
      <c r="A38" s="82"/>
      <c r="B38" s="317">
        <v>4</v>
      </c>
      <c r="C38" s="24" t="str">
        <f>"Did you fill in line 39a on your "&amp;TaxYear-1&amp;" Form 1040?"</f>
        <v>Did you fill in line 39a on your 2017 Form 1040?</v>
      </c>
      <c r="D38" s="63"/>
      <c r="E38" s="63"/>
      <c r="F38" s="63"/>
      <c r="G38" s="63"/>
      <c r="H38" s="63"/>
      <c r="I38" s="68"/>
      <c r="J38" s="106"/>
      <c r="K38" s="68"/>
      <c r="L38" s="1231" t="str">
        <f>IF(P40="","","STOP!  You may not use this worksheet.")</f>
        <v/>
      </c>
      <c r="M38" s="70"/>
      <c r="N38" s="82"/>
      <c r="O38" s="2574">
        <f>SUM(O29,O31,O33,O35,O37)</f>
        <v>0</v>
      </c>
      <c r="P38" s="2575"/>
      <c r="Q38" s="39"/>
      <c r="R38" s="39"/>
      <c r="S38" s="39"/>
      <c r="T38" s="102"/>
      <c r="U38" s="1443"/>
    </row>
    <row r="39" spans="1:21" ht="15" customHeight="1" thickBot="1">
      <c r="A39" s="82"/>
      <c r="B39" s="67"/>
      <c r="C39" s="1717" t="str">
        <f>IF(OR(NOT(O28),R46),"",IF(OR(R48=0,R48=""),"X",""))</f>
        <v/>
      </c>
      <c r="D39" s="308" t="s">
        <v>472</v>
      </c>
      <c r="E39" s="63" t="s">
        <v>473</v>
      </c>
      <c r="F39" s="63"/>
      <c r="G39" s="63"/>
      <c r="H39" s="63"/>
      <c r="I39" s="63"/>
      <c r="J39" s="106"/>
      <c r="K39" s="68"/>
      <c r="L39" s="1231" t="str">
        <f>IF(P40="","","See Exception above and Publication 525.")</f>
        <v/>
      </c>
      <c r="M39" s="70"/>
      <c r="N39" s="82"/>
      <c r="O39" s="2572"/>
      <c r="P39" s="2573"/>
      <c r="Q39" s="33"/>
      <c r="R39" s="33"/>
      <c r="S39" s="33"/>
      <c r="T39" s="100"/>
      <c r="U39" s="1443"/>
    </row>
    <row r="40" spans="1:21" ht="12.75" customHeight="1" thickBot="1">
      <c r="A40" s="82"/>
      <c r="B40" s="67"/>
      <c r="C40" s="42"/>
      <c r="D40" s="412" t="str">
        <f>IF(OR(O28&lt;&gt;1,R46,P40&lt;&gt;""),"",IF(AND($C$39&lt;&gt;"",$C$41&lt;&gt;""),"Check ONLY one.",IF(OR($C$39&lt;&gt;"",$C$41&lt;&gt;""),"","Check one.")))</f>
        <v/>
      </c>
      <c r="E40" s="73"/>
      <c r="F40" s="73"/>
      <c r="G40" s="73"/>
      <c r="H40" s="73"/>
      <c r="I40" s="63"/>
      <c r="J40" s="106"/>
      <c r="K40" s="68"/>
      <c r="L40" s="534">
        <v>1250</v>
      </c>
      <c r="M40" s="70"/>
      <c r="N40" s="82"/>
      <c r="O40" s="576"/>
      <c r="P40" s="1448"/>
      <c r="Q40" s="24"/>
      <c r="R40" s="24" t="s">
        <v>49</v>
      </c>
      <c r="S40" s="24"/>
      <c r="T40" s="101"/>
      <c r="U40" s="1443"/>
    </row>
    <row r="41" spans="1:21" ht="15" customHeight="1" thickBot="1">
      <c r="A41" s="82"/>
      <c r="B41" s="67"/>
      <c r="C41" s="1717" t="str">
        <f>IF(OR(NOT(O28),R46),"",IF(OR(R48=0,R48=""),"","X"))</f>
        <v/>
      </c>
      <c r="D41" s="43" t="s">
        <v>474</v>
      </c>
      <c r="E41" s="63" t="str">
        <f>"Multiply the number on line "&amp;P48&amp;" of your "</f>
        <v xml:space="preserve">Multiply the number on line 39a of your </v>
      </c>
      <c r="F41" s="63"/>
      <c r="G41" s="63"/>
      <c r="H41" s="246"/>
      <c r="I41" s="63"/>
      <c r="J41" s="106"/>
      <c r="K41" s="68"/>
      <c r="L41" s="534">
        <v>1550</v>
      </c>
      <c r="M41" s="70"/>
      <c r="N41" s="82"/>
      <c r="O41" s="574"/>
      <c r="P41" s="1230"/>
      <c r="Q41" s="24"/>
      <c r="R41" s="24" t="str">
        <f>"on your "&amp;TaxYear-1&amp;" tax return."</f>
        <v>on your 2017 tax return.</v>
      </c>
      <c r="S41" s="24"/>
      <c r="T41" s="101"/>
      <c r="U41" s="1443"/>
    </row>
    <row r="42" spans="1:21" ht="12.75" customHeight="1">
      <c r="A42" s="82"/>
      <c r="B42" s="67"/>
      <c r="D42" s="63"/>
      <c r="E42" s="74" t="str">
        <f>TaxYear-1&amp;" Form 1040 by: "&amp;TEXT(L40,"$0,000")&amp;" ("&amp;TEXT(L41,"$0,000")&amp;" if your "&amp;TaxYear-1&amp;" filing"</f>
        <v>2017 Form 1040 by: $1,250 ($1,550 if your 2017 filing</v>
      </c>
      <c r="F42" s="74"/>
      <c r="G42" s="74"/>
      <c r="H42" s="41"/>
      <c r="I42" s="68">
        <v>4</v>
      </c>
      <c r="J42" s="1708" t="str">
        <f>IF(OR(R46,P40&lt;&gt;"",O38&lt;&gt;1),"",IF(C39&lt;&gt;"",0,IF(AND(C39="",C41&lt;&gt;""),IF(OR(P31&lt;&gt;"",P33&lt;&gt;"",P37&lt;&gt;""),L40*R48,IF(OR(P29&lt;&gt;"",P35&lt;&gt;""),L41*R48,0)),"")))</f>
        <v/>
      </c>
      <c r="K42" s="68"/>
      <c r="L42" s="63"/>
      <c r="M42" s="70"/>
      <c r="N42" s="82"/>
      <c r="O42" s="2576"/>
      <c r="P42" s="475"/>
      <c r="Q42" s="45"/>
      <c r="R42" s="45"/>
      <c r="S42" s="45"/>
      <c r="T42" s="2316"/>
      <c r="U42" s="1443"/>
    </row>
    <row r="43" spans="1:21" ht="12.75" customHeight="1" thickBot="1">
      <c r="A43" s="82"/>
      <c r="B43" s="67"/>
      <c r="C43" s="74"/>
      <c r="D43" s="63"/>
      <c r="E43" s="131" t="s">
        <v>767</v>
      </c>
      <c r="F43" s="63"/>
      <c r="G43" s="63"/>
      <c r="H43" s="63"/>
      <c r="I43" s="75"/>
      <c r="J43" s="63"/>
      <c r="K43" s="68"/>
      <c r="L43" s="63"/>
      <c r="M43" s="70"/>
      <c r="N43" s="82"/>
      <c r="O43" s="2577"/>
      <c r="P43" s="2578"/>
      <c r="Q43" s="58"/>
      <c r="R43" s="58"/>
      <c r="S43" s="58"/>
      <c r="T43" s="2579"/>
      <c r="U43" s="1443"/>
    </row>
    <row r="44" spans="1:21" ht="12" customHeight="1" thickBot="1">
      <c r="A44" s="82"/>
      <c r="B44" s="67"/>
      <c r="C44" s="74"/>
      <c r="D44" s="63"/>
      <c r="E44" s="63"/>
      <c r="F44" s="63"/>
      <c r="G44" s="63"/>
      <c r="H44" s="63"/>
      <c r="I44" s="749"/>
      <c r="J44" s="63"/>
      <c r="K44" s="68"/>
      <c r="L44" s="777" t="str">
        <f>IF(OR(P40&lt;&gt;"",R48&lt;&gt;"",C39&lt;&gt;""),"",IF(C41&lt;&gt;"","Enter number on line "&amp;P48&amp;" of your "&amp;TaxYear-1&amp;" Form 1040 here.",""))</f>
        <v/>
      </c>
      <c r="M44" s="750" t="s">
        <v>360</v>
      </c>
      <c r="N44" s="82"/>
      <c r="O44" s="576"/>
      <c r="P44" s="1448"/>
      <c r="Q44" s="24"/>
      <c r="R44" s="1440" t="s">
        <v>2148</v>
      </c>
      <c r="S44" s="24"/>
      <c r="T44" s="101"/>
      <c r="U44" s="1443"/>
    </row>
    <row r="45" spans="1:21" ht="12" customHeight="1">
      <c r="A45" s="82"/>
      <c r="B45" s="67">
        <v>5</v>
      </c>
      <c r="C45" s="74" t="s">
        <v>921</v>
      </c>
      <c r="D45" s="63"/>
      <c r="E45" s="63"/>
      <c r="F45" s="63"/>
      <c r="G45" s="63"/>
      <c r="H45" s="42" t="s">
        <v>766</v>
      </c>
      <c r="I45" s="68">
        <v>5</v>
      </c>
      <c r="J45" s="1708" t="str">
        <f>IF(NOT(O28),"",IF(R46,"",IF(OR(P40&lt;&gt;"",AND(J35="",J42="")),"",ROUND(SUM(J35,J42),0))))</f>
        <v/>
      </c>
      <c r="K45" s="68"/>
      <c r="L45" s="63"/>
      <c r="M45" s="70"/>
      <c r="N45" s="82"/>
      <c r="O45" s="574"/>
      <c r="P45" s="1230"/>
      <c r="Q45" s="24"/>
      <c r="R45" s="1440" t="str">
        <f>"deductions on your "&amp;TaxYear-1&amp;" tax return."</f>
        <v>deductions on your 2017 tax return.</v>
      </c>
      <c r="S45" s="24"/>
      <c r="T45" s="101"/>
      <c r="U45" s="1443"/>
    </row>
    <row r="46" spans="1:21" ht="12" customHeight="1" thickBot="1">
      <c r="A46" s="82"/>
      <c r="B46" s="67"/>
      <c r="C46" s="24"/>
      <c r="D46" s="63"/>
      <c r="E46" s="63"/>
      <c r="F46" s="63"/>
      <c r="G46" s="63"/>
      <c r="H46" s="63"/>
      <c r="I46" s="68"/>
      <c r="J46" s="63"/>
      <c r="K46" s="68"/>
      <c r="L46" s="63"/>
      <c r="M46" s="70"/>
      <c r="N46" s="82"/>
      <c r="O46" s="575"/>
      <c r="P46" s="1232"/>
      <c r="Q46" s="39"/>
      <c r="R46" s="1675" t="b">
        <f>IF(P44&lt;&gt;"",TRUE,FALSE)</f>
        <v>0</v>
      </c>
      <c r="S46" s="39"/>
      <c r="T46" s="102"/>
      <c r="U46" s="1443"/>
    </row>
    <row r="47" spans="1:21">
      <c r="A47" s="82"/>
      <c r="B47" s="67">
        <v>6</v>
      </c>
      <c r="C47" s="74" t="s">
        <v>344</v>
      </c>
      <c r="D47" s="63"/>
      <c r="E47" s="63"/>
      <c r="F47" s="63"/>
      <c r="G47" s="63"/>
      <c r="H47" s="63"/>
      <c r="I47" s="68"/>
      <c r="J47" s="63"/>
      <c r="K47" s="68"/>
      <c r="L47" s="339"/>
      <c r="M47" s="360"/>
      <c r="N47" s="82"/>
      <c r="O47" s="92"/>
      <c r="P47" s="33"/>
      <c r="Q47" s="33"/>
      <c r="R47" s="33"/>
      <c r="S47" s="5779" t="str">
        <f>"Number of boxes checked on Line 39a your "&amp;TaxYear-1&amp;" tax return."</f>
        <v>Number of boxes checked on Line 39a your 2017 tax return.</v>
      </c>
      <c r="T47" s="5780"/>
      <c r="U47" s="1443"/>
    </row>
    <row r="48" spans="1:21" ht="12" customHeight="1" thickBot="1">
      <c r="A48" s="82"/>
      <c r="B48" s="67"/>
      <c r="C48" s="24"/>
      <c r="D48" s="63"/>
      <c r="E48" s="63"/>
      <c r="F48" s="63"/>
      <c r="G48" s="63"/>
      <c r="H48" s="63"/>
      <c r="I48" s="68"/>
      <c r="J48" s="63"/>
      <c r="K48" s="68"/>
      <c r="L48" s="5212" t="b">
        <f>AND(L26&gt;0,OR(O38&lt;&gt;1,R48=""))</f>
        <v>0</v>
      </c>
      <c r="M48" s="70"/>
      <c r="N48" s="82"/>
      <c r="O48" s="59"/>
      <c r="P48" s="5777" t="s">
        <v>61</v>
      </c>
      <c r="Q48" s="5778"/>
      <c r="R48" s="2273"/>
      <c r="S48" s="5781"/>
      <c r="T48" s="5782"/>
      <c r="U48" s="1443"/>
    </row>
    <row r="49" spans="1:21" ht="12" customHeight="1" thickBot="1">
      <c r="A49" s="82"/>
      <c r="B49" s="67"/>
      <c r="C49" s="1717" t="str">
        <f>IF(OR(NOT(O28),J27="",L26="",R46,P40&lt;&gt;"",J45&lt;J27),"","X")</f>
        <v/>
      </c>
      <c r="D49" s="63" t="s">
        <v>472</v>
      </c>
      <c r="E49" s="305" t="s">
        <v>380</v>
      </c>
      <c r="F49" s="305"/>
      <c r="G49" s="305"/>
      <c r="H49" s="63"/>
      <c r="I49" s="68"/>
      <c r="J49" s="63"/>
      <c r="K49" s="68"/>
      <c r="L49" s="63"/>
      <c r="M49" s="70"/>
      <c r="N49" s="82"/>
      <c r="O49" s="93"/>
      <c r="P49" s="39"/>
      <c r="Q49" s="39"/>
      <c r="R49" s="39"/>
      <c r="S49" s="5783"/>
      <c r="T49" s="5784"/>
      <c r="U49" s="2379"/>
    </row>
    <row r="50" spans="1:21" ht="11.25" customHeight="1" thickBot="1">
      <c r="A50" s="82"/>
      <c r="B50" s="67"/>
      <c r="C50" s="24"/>
      <c r="D50" s="63"/>
      <c r="E50" s="63"/>
      <c r="F50" s="63"/>
      <c r="G50" s="63"/>
      <c r="H50" s="63"/>
      <c r="I50" s="68"/>
      <c r="J50" s="63"/>
      <c r="K50" s="68"/>
      <c r="L50" s="63"/>
      <c r="M50" s="70"/>
      <c r="N50" s="82"/>
      <c r="O50" s="24"/>
      <c r="P50" s="24"/>
      <c r="Q50" s="24"/>
      <c r="R50" s="25"/>
      <c r="S50" s="24"/>
      <c r="T50" s="24"/>
      <c r="U50" s="1443"/>
    </row>
    <row r="51" spans="1:21" ht="13.5" thickBot="1">
      <c r="A51" s="82"/>
      <c r="B51" s="67"/>
      <c r="C51" s="1717" t="str">
        <f>IF(OR(NOT(O28),L26="",L27="",R46,C49="X"),"","X")</f>
        <v/>
      </c>
      <c r="D51" s="63" t="s">
        <v>474</v>
      </c>
      <c r="E51" s="131" t="s">
        <v>922</v>
      </c>
      <c r="F51" s="63"/>
      <c r="G51" s="63"/>
      <c r="H51" s="63"/>
      <c r="I51" s="68"/>
      <c r="J51" s="760" t="s">
        <v>238</v>
      </c>
      <c r="K51" s="68">
        <v>6</v>
      </c>
      <c r="L51" s="1708" t="str">
        <f>IF(NOT(O28),"",IF(R46,J27,IF(P40&lt;&gt;"","",IF(J45&lt;J27,ROUND(J27-J45,0),0))))</f>
        <v/>
      </c>
      <c r="M51" s="70"/>
      <c r="N51" s="82"/>
      <c r="O51" s="24"/>
      <c r="P51" s="24"/>
      <c r="Q51" s="24"/>
      <c r="R51" s="25" t="s">
        <v>468</v>
      </c>
      <c r="S51" s="24"/>
      <c r="T51" s="24"/>
      <c r="U51" s="1443"/>
    </row>
    <row r="52" spans="1:21" ht="15" customHeight="1">
      <c r="A52" s="82"/>
      <c r="B52" s="67"/>
      <c r="C52" s="41"/>
      <c r="D52" s="63"/>
      <c r="E52" s="63"/>
      <c r="F52" s="63"/>
      <c r="G52" s="63"/>
      <c r="H52" s="63"/>
      <c r="I52" s="68"/>
      <c r="J52" s="63"/>
      <c r="K52" s="68"/>
      <c r="L52" s="63"/>
      <c r="M52" s="360"/>
      <c r="N52" s="82"/>
      <c r="O52" s="24"/>
      <c r="P52" s="24"/>
      <c r="Q52" s="24"/>
      <c r="R52" s="603"/>
      <c r="S52" s="24"/>
      <c r="T52" s="24"/>
      <c r="U52" s="1443"/>
    </row>
    <row r="53" spans="1:21">
      <c r="A53" s="82"/>
      <c r="B53" s="67">
        <v>7</v>
      </c>
      <c r="C53" s="25" t="s">
        <v>4034</v>
      </c>
      <c r="D53" s="63"/>
      <c r="E53" s="63"/>
      <c r="F53" s="63"/>
      <c r="G53" s="63"/>
      <c r="H53" s="63"/>
      <c r="I53" s="68"/>
      <c r="J53" s="73"/>
      <c r="K53" s="68">
        <v>7</v>
      </c>
      <c r="L53" s="1708">
        <f>IF(R53&lt;&gt;"",R53,IF(O28,MIN(L27,L51),0))</f>
        <v>0</v>
      </c>
      <c r="M53" s="70"/>
      <c r="N53" s="82"/>
      <c r="O53" s="24"/>
      <c r="P53" s="24"/>
      <c r="Q53" s="24"/>
      <c r="R53" s="751"/>
      <c r="S53" s="24"/>
      <c r="T53" s="24"/>
      <c r="U53" s="1443"/>
    </row>
    <row r="54" spans="1:21" ht="12.75" customHeight="1" thickBot="1">
      <c r="A54" s="82"/>
      <c r="B54" s="93"/>
      <c r="C54" s="39"/>
      <c r="D54" s="39"/>
      <c r="E54" s="39"/>
      <c r="F54" s="39"/>
      <c r="G54" s="39"/>
      <c r="H54" s="39"/>
      <c r="I54" s="39"/>
      <c r="J54" s="39"/>
      <c r="K54" s="39"/>
      <c r="L54" s="39"/>
      <c r="M54" s="102"/>
      <c r="N54" s="82"/>
      <c r="O54" s="24"/>
      <c r="P54" s="24"/>
      <c r="Q54" s="24"/>
      <c r="R54" s="603"/>
      <c r="S54" s="24"/>
      <c r="T54" s="24"/>
      <c r="U54" s="1443"/>
    </row>
    <row r="55" spans="1:21">
      <c r="A55" s="82"/>
      <c r="B55" s="82"/>
      <c r="C55" s="82"/>
      <c r="D55" s="82"/>
      <c r="E55" s="82"/>
      <c r="F55" s="82"/>
      <c r="G55" s="82"/>
      <c r="H55" s="82"/>
      <c r="I55" s="82"/>
      <c r="J55" s="82"/>
      <c r="K55" s="82"/>
      <c r="L55" s="82"/>
      <c r="M55" s="82"/>
      <c r="N55" s="82"/>
      <c r="O55" s="24"/>
      <c r="P55" s="24"/>
      <c r="Q55" s="24"/>
      <c r="R55" s="603"/>
      <c r="S55" s="24"/>
      <c r="T55" s="24"/>
      <c r="U55" s="1443"/>
    </row>
    <row r="56" spans="1:21" ht="12" customHeight="1">
      <c r="A56" s="24"/>
      <c r="B56" s="24"/>
      <c r="C56" s="24"/>
      <c r="D56" s="24"/>
      <c r="E56" s="24"/>
      <c r="F56" s="24"/>
      <c r="G56" s="24"/>
      <c r="H56" s="24"/>
      <c r="I56" s="24"/>
      <c r="J56" s="24"/>
      <c r="K56" s="24"/>
      <c r="L56" s="24"/>
      <c r="M56" s="24"/>
      <c r="N56" s="24"/>
      <c r="O56" s="24"/>
      <c r="P56" s="24"/>
      <c r="Q56" s="24"/>
      <c r="R56" s="24"/>
      <c r="S56" s="24"/>
      <c r="T56" s="24"/>
      <c r="U56" s="1443"/>
    </row>
    <row r="57" spans="1:21" ht="12" customHeight="1">
      <c r="A57" s="24"/>
      <c r="B57" s="24"/>
      <c r="C57" s="24"/>
      <c r="D57" s="24"/>
      <c r="E57" s="24"/>
      <c r="F57" s="24"/>
      <c r="G57" s="24"/>
      <c r="H57" s="24"/>
      <c r="I57" s="24"/>
      <c r="J57" s="24"/>
      <c r="K57" s="24"/>
      <c r="L57" s="24"/>
      <c r="M57" s="24"/>
      <c r="N57" s="24"/>
      <c r="O57" s="24"/>
      <c r="P57" s="24"/>
      <c r="Q57" s="24"/>
      <c r="R57" s="24"/>
      <c r="S57" s="24"/>
      <c r="T57" s="24"/>
      <c r="U57" s="1443"/>
    </row>
  </sheetData>
  <sheetProtection password="F07E" sheet="1" objects="1" scenarios="1"/>
  <mergeCells count="3">
    <mergeCell ref="P48:Q48"/>
    <mergeCell ref="S47:T49"/>
    <mergeCell ref="R21:R22"/>
  </mergeCells>
  <phoneticPr fontId="12" type="noConversion"/>
  <conditionalFormatting sqref="O38:T38">
    <cfRule type="expression" dxfId="2576" priority="49" stopIfTrue="1">
      <formula>IF(2&gt;1,1,0)</formula>
    </cfRule>
  </conditionalFormatting>
  <conditionalFormatting sqref="R48">
    <cfRule type="expression" dxfId="2575" priority="23">
      <formula>IF(NoColor,1,0)</formula>
    </cfRule>
    <cfRule type="expression" priority="50">
      <formula>IF(2&gt;1,1,0)</formula>
    </cfRule>
  </conditionalFormatting>
  <conditionalFormatting sqref="G23:G24">
    <cfRule type="expression" dxfId="2574" priority="51" stopIfTrue="1">
      <formula>IF($L$26="",1,0)</formula>
    </cfRule>
  </conditionalFormatting>
  <conditionalFormatting sqref="L37">
    <cfRule type="expression" dxfId="2573" priority="54" stopIfTrue="1">
      <formula>IF($O$38&gt;0,1,0)</formula>
    </cfRule>
  </conditionalFormatting>
  <conditionalFormatting sqref="E49">
    <cfRule type="expression" dxfId="2572" priority="79" stopIfTrue="1">
      <formula>IF($C$49&lt;&gt;"",1,0)</formula>
    </cfRule>
  </conditionalFormatting>
  <conditionalFormatting sqref="L29">
    <cfRule type="expression" dxfId="2571" priority="41" stopIfTrue="1">
      <formula>IF(OR(NOT($O$28),$P$33=""),1,0)</formula>
    </cfRule>
  </conditionalFormatting>
  <conditionalFormatting sqref="L30">
    <cfRule type="expression" dxfId="2570" priority="40" stopIfTrue="1">
      <formula>IF(OR(NOT($O$28),$P$33=""),1,0)</formula>
    </cfRule>
  </conditionalFormatting>
  <conditionalFormatting sqref="L31">
    <cfRule type="expression" dxfId="2569" priority="39" stopIfTrue="1">
      <formula>IF(OR(NOT($O$28),$P$33=""),1,0)</formula>
    </cfRule>
  </conditionalFormatting>
  <conditionalFormatting sqref="M37">
    <cfRule type="expression" dxfId="2568" priority="118" stopIfTrue="1">
      <formula>IF($O$38&gt;0,1,0)</formula>
    </cfRule>
  </conditionalFormatting>
  <conditionalFormatting sqref="P26">
    <cfRule type="expression" dxfId="2567" priority="34" stopIfTrue="1">
      <formula>IF(NOT($O$28),1,0)</formula>
    </cfRule>
  </conditionalFormatting>
  <conditionalFormatting sqref="F49:G49">
    <cfRule type="expression" dxfId="2566" priority="653" stopIfTrue="1">
      <formula>IF(K45&gt;=K27,1,0)</formula>
    </cfRule>
  </conditionalFormatting>
  <conditionalFormatting sqref="M44">
    <cfRule type="expression" dxfId="2565" priority="33" stopIfTrue="1">
      <formula>IF(L44="",1,0)</formula>
    </cfRule>
  </conditionalFormatting>
  <conditionalFormatting sqref="L44">
    <cfRule type="expression" dxfId="2564" priority="32" stopIfTrue="1">
      <formula>IF($R$48&lt;&gt;"",1,0)</formula>
    </cfRule>
  </conditionalFormatting>
  <conditionalFormatting sqref="L26">
    <cfRule type="expression" dxfId="2563" priority="31">
      <formula>IF(NoColor,1,0)</formula>
    </cfRule>
  </conditionalFormatting>
  <conditionalFormatting sqref="J27">
    <cfRule type="expression" dxfId="2562" priority="30">
      <formula>IF(NoColor,1,0)</formula>
    </cfRule>
  </conditionalFormatting>
  <conditionalFormatting sqref="P29">
    <cfRule type="expression" dxfId="2561" priority="29">
      <formula>IF(NoColor,1,0)</formula>
    </cfRule>
  </conditionalFormatting>
  <conditionalFormatting sqref="P31">
    <cfRule type="expression" dxfId="2560" priority="28">
      <formula>IF(NoColor,1,0)</formula>
    </cfRule>
  </conditionalFormatting>
  <conditionalFormatting sqref="P33">
    <cfRule type="expression" dxfId="2559" priority="27">
      <formula>IF(NoColor,1,0)</formula>
    </cfRule>
  </conditionalFormatting>
  <conditionalFormatting sqref="P35">
    <cfRule type="expression" dxfId="2558" priority="26">
      <formula>IF(NoColor,1,0)</formula>
    </cfRule>
  </conditionalFormatting>
  <conditionalFormatting sqref="P37">
    <cfRule type="expression" dxfId="2557" priority="25">
      <formula>IF(NoColor,1,0)</formula>
    </cfRule>
  </conditionalFormatting>
  <conditionalFormatting sqref="P40">
    <cfRule type="expression" dxfId="2556" priority="24">
      <formula>IF(NoColor,1,0)</formula>
    </cfRule>
  </conditionalFormatting>
  <conditionalFormatting sqref="J35">
    <cfRule type="expression" dxfId="2555" priority="22">
      <formula>IF(NoColor,1,0)</formula>
    </cfRule>
  </conditionalFormatting>
  <conditionalFormatting sqref="J42">
    <cfRule type="expression" dxfId="2554" priority="21">
      <formula>IF(NoColor,1,0)</formula>
    </cfRule>
  </conditionalFormatting>
  <conditionalFormatting sqref="J45">
    <cfRule type="expression" dxfId="2553" priority="20">
      <formula>IF(NoColor,1,0)</formula>
    </cfRule>
  </conditionalFormatting>
  <conditionalFormatting sqref="L51">
    <cfRule type="expression" dxfId="2552" priority="19">
      <formula>IF(NoColor,1,0)</formula>
    </cfRule>
  </conditionalFormatting>
  <conditionalFormatting sqref="L53">
    <cfRule type="expression" dxfId="2551" priority="18">
      <formula>IF(NoColor,1,0)</formula>
    </cfRule>
  </conditionalFormatting>
  <conditionalFormatting sqref="P27">
    <cfRule type="expression" dxfId="2550" priority="16" stopIfTrue="1">
      <formula>IF(NOT($O$28),1,0)</formula>
    </cfRule>
  </conditionalFormatting>
  <conditionalFormatting sqref="S47:T49">
    <cfRule type="expression" dxfId="2549" priority="15">
      <formula>IF($R$48="",1,0)</formula>
    </cfRule>
  </conditionalFormatting>
  <conditionalFormatting sqref="J30">
    <cfRule type="expression" dxfId="2548" priority="13" stopIfTrue="1">
      <formula>IF(OR(NOT($O$28),$P$33=""),1,0)</formula>
    </cfRule>
  </conditionalFormatting>
  <conditionalFormatting sqref="I31:J31">
    <cfRule type="expression" dxfId="2547" priority="12" stopIfTrue="1">
      <formula>IF(OR(NOT($O$28),$P$33=""),1,0)</formula>
    </cfRule>
  </conditionalFormatting>
  <conditionalFormatting sqref="P44">
    <cfRule type="expression" dxfId="2546" priority="10">
      <formula>IF($P$33="",1,0)</formula>
    </cfRule>
    <cfRule type="expression" dxfId="2545" priority="11">
      <formula>IF(NoColor,1,0)</formula>
    </cfRule>
  </conditionalFormatting>
  <conditionalFormatting sqref="R44">
    <cfRule type="expression" dxfId="2544" priority="9">
      <formula>IF($P$33&lt;&gt;"",1,0)</formula>
    </cfRule>
  </conditionalFormatting>
  <conditionalFormatting sqref="R45">
    <cfRule type="expression" dxfId="2543" priority="7">
      <formula>IF($P$33&lt;&gt;"",1,0)</formula>
    </cfRule>
  </conditionalFormatting>
  <conditionalFormatting sqref="B15">
    <cfRule type="expression" dxfId="2542" priority="6">
      <formula>IF($P$40&lt;&gt;"",1,0)</formula>
    </cfRule>
  </conditionalFormatting>
  <conditionalFormatting sqref="C39">
    <cfRule type="expression" dxfId="2541" priority="5">
      <formula>NoColor</formula>
    </cfRule>
  </conditionalFormatting>
  <conditionalFormatting sqref="C41">
    <cfRule type="expression" dxfId="2540" priority="4">
      <formula>NoColor</formula>
    </cfRule>
  </conditionalFormatting>
  <conditionalFormatting sqref="C49">
    <cfRule type="expression" dxfId="2539" priority="3">
      <formula>NoColor</formula>
    </cfRule>
  </conditionalFormatting>
  <conditionalFormatting sqref="C51">
    <cfRule type="expression" dxfId="2538" priority="2">
      <formula>NoColor</formula>
    </cfRule>
  </conditionalFormatting>
  <conditionalFormatting sqref="R23">
    <cfRule type="expression" dxfId="2537" priority="1">
      <formula>NoColor</formula>
    </cfRule>
  </conditionalFormatting>
  <pageMargins left="0.27" right="0" top="0.55000000000000004" bottom="0" header="0" footer="0"/>
  <pageSetup scale="94" orientation="portrait" horizontalDpi="300" verticalDpi="300"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AM174"/>
  <sheetViews>
    <sheetView zoomScaleNormal="100" zoomScaleSheetLayoutView="100" workbookViewId="0">
      <selection activeCell="B19" sqref="B19"/>
    </sheetView>
  </sheetViews>
  <sheetFormatPr defaultColWidth="9.140625" defaultRowHeight="12.75"/>
  <cols>
    <col min="1" max="1" width="2.5703125" style="46" customWidth="1"/>
    <col min="2" max="2" width="1.7109375" style="46" customWidth="1"/>
    <col min="3" max="3" width="3" style="46" customWidth="1"/>
    <col min="4" max="4" width="2.28515625" style="46" customWidth="1"/>
    <col min="5" max="5" width="6" style="46" customWidth="1"/>
    <col min="6" max="6" width="9" style="46" customWidth="1"/>
    <col min="7" max="7" width="4" style="46" customWidth="1"/>
    <col min="8" max="8" width="27.85546875" style="46" customWidth="1"/>
    <col min="9" max="9" width="4" style="46" customWidth="1"/>
    <col min="10" max="10" width="15.7109375" style="46" customWidth="1"/>
    <col min="11" max="11" width="4" style="46" customWidth="1"/>
    <col min="12" max="12" width="15.7109375" style="46" customWidth="1"/>
    <col min="13" max="13" width="4" style="46" customWidth="1"/>
    <col min="14" max="14" width="15.7109375" style="46" customWidth="1"/>
    <col min="15" max="15" width="1.28515625" style="46" customWidth="1"/>
    <col min="16" max="17" width="2.28515625" style="46" customWidth="1"/>
    <col min="18" max="18" width="13.85546875" style="46" customWidth="1"/>
    <col min="19" max="19" width="3" style="46" customWidth="1"/>
    <col min="20" max="20" width="3.42578125" style="46" customWidth="1"/>
    <col min="21" max="26" width="11.85546875" style="46" hidden="1" customWidth="1"/>
    <col min="27" max="27" width="11.42578125" style="46" hidden="1" customWidth="1"/>
    <col min="28" max="28" width="3.42578125" style="46" customWidth="1"/>
    <col min="29" max="39" width="10.7109375" style="3169" customWidth="1"/>
    <col min="40" max="46" width="10.7109375" style="46" customWidth="1"/>
    <col min="47" max="16384" width="9.140625" style="46"/>
  </cols>
  <sheetData>
    <row r="1" spans="1:29" ht="19.5" customHeight="1" thickBot="1">
      <c r="A1" s="82"/>
      <c r="B1" s="82"/>
      <c r="C1" s="82"/>
      <c r="D1" s="82"/>
      <c r="E1" s="82"/>
      <c r="F1" s="82"/>
      <c r="G1" s="82"/>
      <c r="H1" s="82"/>
      <c r="I1" s="82"/>
      <c r="J1" s="847"/>
      <c r="K1" s="847"/>
      <c r="L1" s="82"/>
      <c r="M1" s="82"/>
      <c r="N1" s="82"/>
      <c r="O1" s="82"/>
      <c r="P1" s="82"/>
      <c r="Q1" s="1227"/>
      <c r="R1" s="1227"/>
      <c r="S1" s="1227"/>
      <c r="AC1" s="3168" t="s">
        <v>2552</v>
      </c>
    </row>
    <row r="2" spans="1:29" ht="13.5" customHeight="1" thickBot="1">
      <c r="A2" s="82"/>
      <c r="B2" s="82"/>
      <c r="C2" s="82"/>
      <c r="D2" s="82"/>
      <c r="E2" s="82"/>
      <c r="F2" s="82"/>
      <c r="G2" s="82"/>
      <c r="H2" s="82"/>
      <c r="I2" s="82"/>
      <c r="J2" s="847"/>
      <c r="K2" s="847"/>
      <c r="L2" s="82"/>
      <c r="M2" s="82"/>
      <c r="N2" s="82"/>
      <c r="O2" s="82"/>
      <c r="P2" s="82"/>
      <c r="Q2" s="1227"/>
      <c r="R2" s="1227"/>
      <c r="S2" s="1227"/>
      <c r="U2" s="4297" t="s">
        <v>336</v>
      </c>
      <c r="V2" s="4182" t="str">
        <f>IF(NOT(Y2),"",IF(Form2555_Used,FEI_TW_Line3,Taxable_Inc))</f>
        <v/>
      </c>
      <c r="W2" s="4183" t="s">
        <v>3967</v>
      </c>
      <c r="X2" s="1055"/>
      <c r="Y2" s="1055" t="b">
        <f>CGTW</f>
        <v>0</v>
      </c>
      <c r="Z2" s="4189" t="s">
        <v>3641</v>
      </c>
      <c r="AA2" s="4184"/>
    </row>
    <row r="3" spans="1:29" ht="13.5" customHeight="1">
      <c r="A3" s="82"/>
      <c r="B3" s="82"/>
      <c r="C3" s="5787" t="str">
        <f>IF(R3,"Yes","No")</f>
        <v>No</v>
      </c>
      <c r="D3" s="5788"/>
      <c r="E3" s="5788"/>
      <c r="F3" s="1605" t="s">
        <v>217</v>
      </c>
      <c r="G3" s="1605"/>
      <c r="H3" s="1605"/>
      <c r="I3" s="1605"/>
      <c r="J3" s="2353"/>
      <c r="K3" s="2353"/>
      <c r="L3" s="1605"/>
      <c r="M3" s="1605"/>
      <c r="N3" s="1606"/>
      <c r="O3" s="82"/>
      <c r="P3" s="82"/>
      <c r="Q3" s="1227"/>
      <c r="R3" s="2359" t="b">
        <f>AND(SchD_NotReqd,OR(AND(SchDLine18&lt;&gt;"",SchDLine18&gt;0),AND(SchDLine19&lt;&gt;"",SchDLine19&gt;0)))</f>
        <v>0</v>
      </c>
      <c r="S3" s="1227"/>
      <c r="U3" s="4298" t="s">
        <v>0</v>
      </c>
      <c r="V3" s="4181">
        <f>Qualified_Dividends</f>
        <v>0</v>
      </c>
      <c r="W3" s="1075" t="s">
        <v>3968</v>
      </c>
      <c r="Z3" s="154"/>
      <c r="AA3" s="4281" t="s">
        <v>3642</v>
      </c>
    </row>
    <row r="4" spans="1:29" ht="13.5" customHeight="1" thickBot="1">
      <c r="A4" s="82"/>
      <c r="B4" s="82"/>
      <c r="C4" s="1611"/>
      <c r="D4" s="1612"/>
      <c r="E4" s="1612"/>
      <c r="F4" s="2354" t="s">
        <v>503</v>
      </c>
      <c r="G4" s="1612"/>
      <c r="H4" s="1612"/>
      <c r="I4" s="1612"/>
      <c r="J4" s="2358"/>
      <c r="K4" s="2358"/>
      <c r="L4" s="1612"/>
      <c r="M4" s="1612"/>
      <c r="N4" s="1613"/>
      <c r="O4" s="82"/>
      <c r="P4" s="82"/>
      <c r="Q4" s="1227"/>
      <c r="R4" s="2359"/>
      <c r="S4" s="1227"/>
      <c r="U4" s="4298" t="s">
        <v>1</v>
      </c>
      <c r="V4" s="4181" t="str">
        <f>IF(NOT(FilingScheduleD),CapitalGains,IF(OR(SchDLine15="",SchDLine15&lt;=0,SchDLine16="",SchDLine16&lt;=0),0,MIN(SchDLine15,SchDLine16)))</f>
        <v/>
      </c>
      <c r="W4" s="1075" t="s">
        <v>3969</v>
      </c>
      <c r="AA4" s="4185"/>
    </row>
    <row r="5" spans="1:29" ht="13.5" customHeight="1">
      <c r="A5" s="82"/>
      <c r="B5" s="82"/>
      <c r="C5" s="5787" t="str">
        <f>IF(FEI_Tax_Worksheet,"Yes","No")</f>
        <v>No</v>
      </c>
      <c r="D5" s="5788"/>
      <c r="E5" s="5788"/>
      <c r="F5" s="1934" t="s">
        <v>3846</v>
      </c>
      <c r="G5" s="1605"/>
      <c r="H5" s="1605"/>
      <c r="I5" s="1605"/>
      <c r="J5" s="2353"/>
      <c r="K5" s="2353"/>
      <c r="L5" s="1605"/>
      <c r="M5" s="1605"/>
      <c r="N5" s="1606"/>
      <c r="O5" s="82"/>
      <c r="P5" s="82"/>
      <c r="Q5" s="1227"/>
      <c r="R5" s="2359" t="b">
        <f>AND(NOT(SchD_NotReqd),OR(AND(SchDLine18&lt;&gt;"",SchDLine18&gt;0),AND(SchDLine19&lt;&gt;"",SchDLine19&gt;0)))</f>
        <v>0</v>
      </c>
      <c r="S5" s="1227"/>
      <c r="U5" s="4298" t="s">
        <v>455</v>
      </c>
      <c r="V5" s="4180">
        <f>SUM(V3,V4)</f>
        <v>0</v>
      </c>
      <c r="W5" s="1075" t="s">
        <v>3482</v>
      </c>
      <c r="AA5" s="4185"/>
    </row>
    <row r="6" spans="1:29" ht="13.5" customHeight="1" thickBot="1">
      <c r="A6" s="82"/>
      <c r="B6" s="82"/>
      <c r="C6" s="1611"/>
      <c r="D6" s="1612"/>
      <c r="E6" s="1612"/>
      <c r="F6" s="2354"/>
      <c r="G6" s="1612"/>
      <c r="H6" s="1612"/>
      <c r="I6" s="1612"/>
      <c r="J6" s="2358"/>
      <c r="K6" s="2358"/>
      <c r="L6" s="1612"/>
      <c r="M6" s="1612"/>
      <c r="N6" s="1613"/>
      <c r="O6" s="82"/>
      <c r="P6" s="82"/>
      <c r="Q6" s="1227"/>
      <c r="R6" s="2359"/>
      <c r="S6" s="1227"/>
      <c r="U6" s="4298" t="s">
        <v>35</v>
      </c>
      <c r="V6" s="4181" t="str">
        <f>CGTW_Line5</f>
        <v/>
      </c>
      <c r="W6" s="1075" t="s">
        <v>3479</v>
      </c>
      <c r="AA6" s="4185"/>
    </row>
    <row r="7" spans="1:29" ht="13.5" customHeight="1">
      <c r="A7" s="82"/>
      <c r="B7" s="82"/>
      <c r="C7" s="5790" t="b">
        <f>OR(C15&lt;&gt;"",AND(NOT(R3),OR(R8,R9,R10)))</f>
        <v>0</v>
      </c>
      <c r="D7" s="5791"/>
      <c r="E7" s="5791"/>
      <c r="F7" s="3564" t="s">
        <v>4385</v>
      </c>
      <c r="G7" s="1443"/>
      <c r="H7" s="1443"/>
      <c r="I7" s="1443"/>
      <c r="J7" s="2355"/>
      <c r="K7" s="2355"/>
      <c r="L7" s="1443"/>
      <c r="M7" s="1443"/>
      <c r="N7" s="1554"/>
      <c r="O7" s="82"/>
      <c r="P7" s="82"/>
      <c r="Q7" s="1227"/>
      <c r="R7" s="2359"/>
      <c r="S7" s="1227"/>
      <c r="U7" s="4299" t="s">
        <v>75</v>
      </c>
      <c r="V7" s="4180" t="e">
        <f>MAX(0,SUM(V5,-V6))</f>
        <v>#VALUE!</v>
      </c>
      <c r="AA7" s="4185"/>
    </row>
    <row r="8" spans="1:29" ht="13.5" customHeight="1" thickBot="1">
      <c r="A8" s="82"/>
      <c r="B8" s="82"/>
      <c r="C8" s="5789" t="str">
        <f>IF(R8,"Yes","No")</f>
        <v>No</v>
      </c>
      <c r="D8" s="5527"/>
      <c r="E8" s="5527"/>
      <c r="F8" s="2356" t="s">
        <v>3844</v>
      </c>
      <c r="G8" s="1443"/>
      <c r="H8" s="1443"/>
      <c r="I8" s="1443"/>
      <c r="J8" s="2355"/>
      <c r="K8" s="2355"/>
      <c r="L8" s="1443"/>
      <c r="M8" s="1443"/>
      <c r="N8" s="1554"/>
      <c r="O8" s="82"/>
      <c r="P8" s="82"/>
      <c r="Q8" s="1227"/>
      <c r="R8" s="2359" t="b">
        <f>IF(Qualified_Dividends&gt;0,TRUE,FALSE)</f>
        <v>0</v>
      </c>
      <c r="S8" s="1227"/>
      <c r="U8" s="4299" t="s">
        <v>76</v>
      </c>
      <c r="V8" s="4180" t="e">
        <f>MAX(0,SUM(V2,-V7))</f>
        <v>#VALUE!</v>
      </c>
      <c r="W8" s="4280" t="s">
        <v>3847</v>
      </c>
      <c r="X8" s="277" t="s">
        <v>77</v>
      </c>
      <c r="Y8" s="277" t="s">
        <v>3629</v>
      </c>
      <c r="Z8" s="277" t="s">
        <v>531</v>
      </c>
      <c r="AA8" s="4251" t="s">
        <v>2508</v>
      </c>
    </row>
    <row r="9" spans="1:29" ht="13.5" customHeight="1" thickTop="1" thickBot="1">
      <c r="A9" s="82"/>
      <c r="B9" s="82"/>
      <c r="C9" s="5789" t="str">
        <f>IF(R9,"Yes","No")</f>
        <v>No</v>
      </c>
      <c r="D9" s="5527"/>
      <c r="E9" s="5527"/>
      <c r="F9" s="2357" t="s">
        <v>3845</v>
      </c>
      <c r="G9" s="1443"/>
      <c r="H9" s="1443"/>
      <c r="I9" s="1443"/>
      <c r="J9" s="2355"/>
      <c r="K9" s="2355"/>
      <c r="L9" s="1443"/>
      <c r="M9" s="1443"/>
      <c r="N9" s="1554"/>
      <c r="O9" s="82"/>
      <c r="P9" s="82"/>
      <c r="Q9" s="1227"/>
      <c r="R9" s="2359" t="b">
        <f>AND(SchD_NotReqd,CapitalGains&gt;0)</f>
        <v>0</v>
      </c>
      <c r="S9" s="1227"/>
      <c r="U9" s="4299" t="s">
        <v>232</v>
      </c>
      <c r="V9" s="4180" t="str">
        <f>IF(OR(File_Single&lt;&gt;"",File_Marr_Sep&lt;&gt;""),CGTW_Line8_SMFS,IF(OR(File_Marr_Joint&lt;&gt;"",File_Qual_Widow&lt;&gt;""),CGTW_Line8_MFJQW,IF(File_Head&lt;&gt;"",CGTW_Line8_HOH,"")))</f>
        <v/>
      </c>
      <c r="W9" s="4268" t="str">
        <f>$V$2</f>
        <v/>
      </c>
      <c r="X9" s="4262" t="e">
        <f>LOOKUP(W9,'Tax Table'!$B$2:$B$2063,'Tax Table'!$D$2:$D$2063)</f>
        <v>#N/A</v>
      </c>
      <c r="Y9" s="4262" t="e">
        <f>LOOKUP(W9,'Tax Table'!$B$2:$B$2063,'Tax Table'!$E$2:$E$2063)</f>
        <v>#N/A</v>
      </c>
      <c r="Z9" s="4262" t="e">
        <f>LOOKUP(W9,'Tax Table'!$B$2:$B$2063,'Tax Table'!$F$2:$F$2063)</f>
        <v>#N/A</v>
      </c>
      <c r="AA9" s="4262" t="e">
        <f>LOOKUP(W9,'Tax Table'!$B$2:$B$2063,'Tax Table'!$G$2:$G$2063)</f>
        <v>#N/A</v>
      </c>
    </row>
    <row r="10" spans="1:29" ht="13.5" customHeight="1" thickBot="1">
      <c r="A10" s="82"/>
      <c r="B10" s="82"/>
      <c r="C10" s="5789" t="str">
        <f>IF(R10,"Yes","No")</f>
        <v>No</v>
      </c>
      <c r="D10" s="5527"/>
      <c r="E10" s="5527"/>
      <c r="F10" s="2357" t="s">
        <v>216</v>
      </c>
      <c r="G10" s="1443"/>
      <c r="H10" s="1443"/>
      <c r="I10" s="1443"/>
      <c r="J10" s="2355"/>
      <c r="K10" s="2355"/>
      <c r="L10" s="1443"/>
      <c r="M10" s="1443"/>
      <c r="N10" s="1554"/>
      <c r="O10" s="82"/>
      <c r="P10" s="82"/>
      <c r="Q10" s="1227"/>
      <c r="R10" s="2359" t="b">
        <f>AND(NOT(SchD_NotReqd),SchDLine15&lt;&gt;"",SchDLine15&gt;0,SchDLine16&lt;&gt;"",SchDLine16&gt;0)</f>
        <v>0</v>
      </c>
      <c r="S10" s="1227"/>
      <c r="U10" s="4299" t="s">
        <v>233</v>
      </c>
      <c r="V10" s="4180">
        <f>MIN(V2,V9)</f>
        <v>0</v>
      </c>
      <c r="W10" s="4257"/>
      <c r="X10" s="4264" t="e">
        <f>IF(W9&lt;SectA_a3,"---",IF(W9&lt;=SectA_a4,ROUND((W9*(SectA_b4/100)-SectA_d4),0),IF(W9&lt;=SectA_a5,ROUND((W9*(SectA_b5/100)-SectA_d5),0),IF(W9&lt;=SectA_a6,ROUND((W9*(SectA_b6/100)-SectA_d6),0),ROUND((W9*(SectA_b7/100)-SectA_d7),0)))))</f>
        <v>#VALUE!</v>
      </c>
      <c r="Y10" s="4264" t="e">
        <f>IF(W9&lt;SectB_a2,"---",IF(W9&lt;=SectB_a3,ROUND((W9*(SectB_b3/100)-SectB_d3),0),IF(W9&lt;=SectB_a4,ROUND((W9*(SectB_b4/100)-SectB_d4),0),IF(W9&lt;=SectB_a5,ROUND((W9*(SectB_b5/100)-SectB_d5),0),IF(W9&lt;=SectB_a6,ROUND((W9*(SectB_b6/100)-SectB_d6),0),ROUND((W9*(SectB_b7/100)-SectB_d7),0))))))</f>
        <v>#VALUE!</v>
      </c>
      <c r="Z10" s="4264" t="e">
        <f>IF(W9&lt;SectC_a2,"---",IF(W9&lt;=SectC_a3,ROUND((W9*(SectC_b3/100)-SectC_d3),0),IF(W9&lt;=SectC_a4,ROUND((W9*(SectC_b4/100)-SectC_d4),0),IF(W9&lt;=SectC_a5,ROUND((W9*(SectC_b5/100)-SectC_d5),0),ROUND((W9*(SectC_b6/100)-SectC_d6),0)))))</f>
        <v>#VALUE!</v>
      </c>
      <c r="AA10" s="4264" t="e">
        <f>IF(W9&lt;SectD_a2,"---",IF(W9&lt;=SectD_a3,ROUND((W9*(SectD_b3/100)-SectD_d3),0),IF(W9&lt;=SectD_a4,ROUND((W9*(SectD_b4/100)-SectD_d4),0),IF(W9&lt;=SectD_a5,ROUND((W9*(SectD_b5/100)-SectD_d5),0),IF(W9&lt;=SectD_a6,ROUND((W9*(SectD_b6/100)-SectD_d6),0),ROUND((W9*(SectD_b7/100)-SectD_d7),0))))))</f>
        <v>#VALUE!</v>
      </c>
    </row>
    <row r="11" spans="1:29" ht="13.5" customHeight="1" thickBot="1">
      <c r="A11" s="82"/>
      <c r="B11" s="82"/>
      <c r="C11" s="1611"/>
      <c r="D11" s="1612"/>
      <c r="E11" s="1612"/>
      <c r="F11" s="1612"/>
      <c r="G11" s="1612"/>
      <c r="H11" s="1612"/>
      <c r="I11" s="1612"/>
      <c r="J11" s="2358"/>
      <c r="K11" s="2358"/>
      <c r="L11" s="1612"/>
      <c r="M11" s="1612"/>
      <c r="N11" s="1613"/>
      <c r="O11" s="82"/>
      <c r="P11" s="82"/>
      <c r="Q11" s="1227"/>
      <c r="R11" s="1227"/>
      <c r="S11" s="1227"/>
      <c r="U11" s="4299" t="s">
        <v>337</v>
      </c>
      <c r="V11" s="4180" t="e">
        <f>MIN(V8,V10)</f>
        <v>#VALUE!</v>
      </c>
      <c r="W11" s="4258" t="str">
        <f>IF(File_Single&lt;&gt;"",X9,IF(File_Marr_Joint&lt;&gt;"",Y9,IF(File_Marr_Sep&lt;&gt;"", Z9,IF(File_Head&lt;&gt;"",AA9,IF(File_Qual_Widow&lt;&gt;"",Y9,"Filing status?")))))</f>
        <v>Filing status?</v>
      </c>
      <c r="X11" s="2563" t="str">
        <f>"&lt;100k"</f>
        <v>&lt;100k</v>
      </c>
      <c r="Y11" s="2563"/>
      <c r="Z11" s="2563"/>
      <c r="AA11" s="2564"/>
    </row>
    <row r="12" spans="1:29" ht="13.5" customHeight="1" thickBot="1">
      <c r="A12" s="82"/>
      <c r="B12" s="82"/>
      <c r="C12" s="82"/>
      <c r="D12" s="82"/>
      <c r="E12" s="82"/>
      <c r="F12" s="82"/>
      <c r="G12" s="82"/>
      <c r="H12" s="82"/>
      <c r="I12" s="82"/>
      <c r="J12" s="847"/>
      <c r="K12" s="847"/>
      <c r="L12" s="82"/>
      <c r="M12" s="82"/>
      <c r="N12" s="82"/>
      <c r="O12" s="82"/>
      <c r="P12" s="82"/>
      <c r="Q12" s="1227"/>
      <c r="R12" s="1227"/>
      <c r="S12" s="1227"/>
      <c r="U12" s="4299" t="s">
        <v>338</v>
      </c>
      <c r="V12" s="4180" t="e">
        <f>SUM(V10,-V11)</f>
        <v>#VALUE!</v>
      </c>
      <c r="W12" s="4259" t="str">
        <f>IF(File_Single&lt;&gt;"",X10,IF(OR(File_Marr_Joint&lt;&gt;"",File_Qual_Widow&lt;&gt;""),Y10,IF(File_Marr_Sep&lt;&gt;"", Z10,IF(File_Head&lt;&gt;"",AA10,"Filing status?"))))</f>
        <v>Filing status?</v>
      </c>
      <c r="X12" s="4260" t="str">
        <f>"&gt;=100k"</f>
        <v>&gt;=100k</v>
      </c>
      <c r="Y12" s="4260"/>
      <c r="Z12" s="4266" t="s">
        <v>3630</v>
      </c>
      <c r="AA12" s="4282" t="str">
        <f>IF(W9&gt;100000,W12,W11)</f>
        <v>Filing status?</v>
      </c>
    </row>
    <row r="13" spans="1:29" ht="13.5" customHeight="1" thickTop="1">
      <c r="A13" s="82"/>
      <c r="B13" s="82"/>
      <c r="C13" s="847"/>
      <c r="D13" s="847"/>
      <c r="E13" s="847"/>
      <c r="F13" s="847"/>
      <c r="G13" s="847"/>
      <c r="H13" s="847"/>
      <c r="I13" s="847"/>
      <c r="J13" s="847"/>
      <c r="K13" s="847"/>
      <c r="L13" s="82"/>
      <c r="M13" s="82"/>
      <c r="N13" s="1629"/>
      <c r="O13" s="82"/>
      <c r="P13" s="82"/>
      <c r="Q13" s="1227"/>
      <c r="R13" s="1227"/>
      <c r="S13" s="1227"/>
      <c r="U13" s="4299" t="s">
        <v>339</v>
      </c>
      <c r="V13" s="4180" t="e">
        <f>MIN(V2,V7)</f>
        <v>#VALUE!</v>
      </c>
      <c r="AA13" s="4442" t="s">
        <v>3849</v>
      </c>
    </row>
    <row r="14" spans="1:29" ht="13.5" customHeight="1" thickBot="1">
      <c r="A14" s="82"/>
      <c r="B14" s="82"/>
      <c r="C14" s="82"/>
      <c r="D14" s="82"/>
      <c r="E14" s="82"/>
      <c r="F14" s="82"/>
      <c r="G14" s="82"/>
      <c r="H14" s="82"/>
      <c r="I14" s="82"/>
      <c r="J14" s="847"/>
      <c r="K14" s="847"/>
      <c r="L14" s="82"/>
      <c r="M14" s="82"/>
      <c r="N14" s="82"/>
      <c r="O14" s="82"/>
      <c r="P14" s="82"/>
      <c r="Q14" s="1227"/>
      <c r="R14" s="1227"/>
      <c r="S14" s="1227"/>
      <c r="U14" s="4299" t="s">
        <v>498</v>
      </c>
      <c r="V14" s="4180" t="e">
        <f>V12</f>
        <v>#VALUE!</v>
      </c>
      <c r="AA14" s="4185"/>
    </row>
    <row r="15" spans="1:29" ht="13.5" customHeight="1" thickBot="1">
      <c r="A15" s="82"/>
      <c r="B15" s="82"/>
      <c r="C15" s="2615"/>
      <c r="D15" s="82"/>
      <c r="E15" s="1607" t="s">
        <v>2047</v>
      </c>
      <c r="F15" s="1443"/>
      <c r="G15" s="1443"/>
      <c r="H15" s="1443"/>
      <c r="I15" s="82"/>
      <c r="J15" s="847"/>
      <c r="K15" s="847"/>
      <c r="L15" s="82"/>
      <c r="M15" s="82"/>
      <c r="N15" s="82"/>
      <c r="O15" s="82"/>
      <c r="P15" s="82"/>
      <c r="Q15" s="1227"/>
      <c r="R15" s="1227"/>
      <c r="S15" s="1227"/>
      <c r="U15" s="4299" t="s">
        <v>499</v>
      </c>
      <c r="V15" s="4180" t="e">
        <f>SUM(V13,-V14)</f>
        <v>#VALUE!</v>
      </c>
      <c r="AA15" s="4185"/>
    </row>
    <row r="16" spans="1:29" ht="13.5" customHeight="1" thickBot="1">
      <c r="A16" s="82"/>
      <c r="B16" s="82"/>
      <c r="C16" s="82"/>
      <c r="D16" s="82"/>
      <c r="E16" s="82"/>
      <c r="F16" s="82"/>
      <c r="G16" s="82"/>
      <c r="H16" s="82"/>
      <c r="I16" s="82"/>
      <c r="J16" s="847"/>
      <c r="K16" s="847"/>
      <c r="L16" s="82"/>
      <c r="M16" s="82"/>
      <c r="N16" s="82"/>
      <c r="O16" s="82"/>
      <c r="P16" s="82"/>
      <c r="Q16" s="1227"/>
      <c r="R16" s="1227"/>
      <c r="S16" s="1227"/>
      <c r="U16" s="4299" t="s">
        <v>500</v>
      </c>
      <c r="V16" s="4180" t="str">
        <f>IF(File_Single&lt;&gt;"",CGTW_Line15_Single,IF(File_Marr_Sep&lt;&gt;"",CGTW_Line15_MFS,IF(OR(File_Marr_Joint&lt;&gt;"",File_Qual_Widow&lt;&gt;""),CGTW_Line15_MFJQW,IF(File_Head&lt;&gt;"",CGTW_Line15_HOH,""))))</f>
        <v/>
      </c>
      <c r="W16" s="4280" t="s">
        <v>3848</v>
      </c>
      <c r="X16" s="277" t="s">
        <v>77</v>
      </c>
      <c r="Y16" s="277" t="s">
        <v>3629</v>
      </c>
      <c r="Z16" s="277" t="s">
        <v>531</v>
      </c>
      <c r="AA16" s="4251" t="s">
        <v>2508</v>
      </c>
    </row>
    <row r="17" spans="1:27" ht="13.5" customHeight="1" thickTop="1" thickBot="1">
      <c r="A17" s="82"/>
      <c r="B17" s="1443"/>
      <c r="C17" s="1443"/>
      <c r="D17" s="1443"/>
      <c r="E17" s="1443"/>
      <c r="F17" s="1443"/>
      <c r="G17" s="1443"/>
      <c r="H17" s="1443"/>
      <c r="I17" s="1443"/>
      <c r="J17" s="2355"/>
      <c r="K17" s="2355"/>
      <c r="L17" s="1443"/>
      <c r="M17" s="1443"/>
      <c r="N17" s="1443"/>
      <c r="O17" s="1443"/>
      <c r="P17" s="82"/>
      <c r="Q17" s="1227"/>
      <c r="R17" s="1227"/>
      <c r="S17" s="1227"/>
      <c r="U17" s="4299" t="s">
        <v>215</v>
      </c>
      <c r="V17" s="4180">
        <f>MIN(V2,V16)</f>
        <v>0</v>
      </c>
      <c r="W17" s="4268" t="e">
        <f>V8</f>
        <v>#VALUE!</v>
      </c>
      <c r="X17" s="4262" t="e">
        <f>LOOKUP(W17,'Tax Table'!$B$2:$B$2063,'Tax Table'!$D$2:$D$2063)</f>
        <v>#VALUE!</v>
      </c>
      <c r="Y17" s="4262" t="e">
        <f>LOOKUP(W17,'Tax Table'!$B$2:$B$2063,'Tax Table'!$E$2:$E$2063)</f>
        <v>#VALUE!</v>
      </c>
      <c r="Z17" s="4262" t="e">
        <f>LOOKUP(W17,'Tax Table'!$B$2:$B$2063,'Tax Table'!$F$2:$F$2063)</f>
        <v>#VALUE!</v>
      </c>
      <c r="AA17" s="4262" t="e">
        <f>LOOKUP(W17,'Tax Table'!$B$2:$B$2063,'Tax Table'!$G$2:$G$2063)</f>
        <v>#VALUE!</v>
      </c>
    </row>
    <row r="18" spans="1:27" ht="27.75" customHeight="1" thickBot="1">
      <c r="A18" s="82"/>
      <c r="B18" s="24"/>
      <c r="C18" s="4295"/>
      <c r="D18" s="24"/>
      <c r="E18" s="24"/>
      <c r="F18" s="24"/>
      <c r="G18" s="24"/>
      <c r="H18" s="24"/>
      <c r="I18" s="24"/>
      <c r="J18" s="139"/>
      <c r="K18" s="139"/>
      <c r="L18" s="24"/>
      <c r="M18" s="24"/>
      <c r="N18" s="24"/>
      <c r="O18" s="24"/>
      <c r="P18" s="82"/>
      <c r="Q18" s="1227"/>
      <c r="R18" s="1227"/>
      <c r="S18" s="1227"/>
      <c r="U18" s="4299" t="s">
        <v>559</v>
      </c>
      <c r="V18" s="4180" t="e">
        <f>SUM(V8,-V12)</f>
        <v>#VALUE!</v>
      </c>
      <c r="W18" s="4257"/>
      <c r="X18" s="4264" t="e">
        <f>IF(W17&lt;SectA_a3,"---",IF(W17&lt;=SectA_a4,ROUND((W17*(SectA_b4/100)-SectA_d4),0),IF(W17&lt;=SectA_a5,ROUND((W17*(SectA_b5/100)-SectA_d5),0),IF(W17&lt;=SectA_a6,ROUND((W17*(SectA_b6/100)-SectA_d6),0),ROUND((W17*(SectA_b7/100)-SectA_d7),0)))))</f>
        <v>#VALUE!</v>
      </c>
      <c r="Y18" s="4264" t="e">
        <f>IF(W17&lt;SectB_a2,"---",IF(W17&lt;=SectB_a3,ROUND((W17*(SectB_b3/100)-SectB_d3),0),IF(W17&lt;=SectB_a4,ROUND((W17*(SectB_b4/100)-SectB_d4),0),IF(W17&lt;=SectB_a5,ROUND((W17*(SectB_b5/100)-SectB_d5),0),IF(W17&lt;=SectB_a6,ROUND((W17*(SectB_b6/100)-SectB_d6),0),ROUND((W17*(SectB_b7/100)-SectB_d7),0))))))</f>
        <v>#VALUE!</v>
      </c>
      <c r="Z18" s="4264" t="e">
        <f>IF(W17&lt;SectC_a2,"---",IF(W17&lt;=SectC_a3,ROUND((W17*(SectC_b3/100)-SectC_d3),0),IF(W17&lt;=SectC_a4,ROUND((W17*(SectC_b4/100)-SectC_d4),0),IF(W17&lt;=SectC_a5,ROUND((W17*(SectC_b5/100)-SectC_d5),0),ROUND((W17*(SectC_b6/100)-SectC_d6),0)))))</f>
        <v>#VALUE!</v>
      </c>
      <c r="AA18" s="4264" t="e">
        <f>IF(W17&lt;SectD_a2,"---",IF(W17&lt;=SectD_a3,ROUND((W17*(SectD_b3/100)-SectD_d3),0),IF(W17&lt;=SectD_a4,ROUND((W17*(SectD_b4/100)-SectD_d4),0),IF(W17&lt;=SectD_a5,ROUND((W17*(SectD_b5/100)-SectD_d5),0),IF(W17&lt;=SectD_a6,ROUND((W17*(SectD_b6/100)-SectD_d6),0),ROUND((W17*(SectD_b7/100)-SectD_d7),0))))))</f>
        <v>#VALUE!</v>
      </c>
    </row>
    <row r="19" spans="1:27" ht="16.5" customHeight="1" thickBot="1">
      <c r="A19" s="82"/>
      <c r="B19" s="586" t="s">
        <v>3687</v>
      </c>
      <c r="C19" s="586"/>
      <c r="D19" s="351"/>
      <c r="E19" s="39"/>
      <c r="F19" s="39"/>
      <c r="G19" s="39"/>
      <c r="H19" s="39"/>
      <c r="I19" s="39"/>
      <c r="J19" s="138"/>
      <c r="K19" s="429"/>
      <c r="L19" s="369"/>
      <c r="M19" s="849" t="s">
        <v>234</v>
      </c>
      <c r="N19" s="430"/>
      <c r="O19" s="430"/>
      <c r="P19" s="846"/>
      <c r="Q19" s="1227"/>
      <c r="R19" s="1227"/>
      <c r="S19" s="1227"/>
      <c r="U19" s="4299" t="s">
        <v>560</v>
      </c>
      <c r="V19" s="4180" t="e">
        <f>MAX(0,SUM(V17,-V18))</f>
        <v>#VALUE!</v>
      </c>
      <c r="W19" s="4258" t="str">
        <f>IF(File_Single&lt;&gt;"",X17,IF(File_Marr_Joint&lt;&gt;"",Y17,IF(File_Marr_Sep&lt;&gt;"", Z17,IF(File_Head&lt;&gt;"",AA17,IF(File_Qual_Widow&lt;&gt;"",Y17,"Filing status?")))))</f>
        <v>Filing status?</v>
      </c>
      <c r="X19" s="2563" t="str">
        <f>"&lt;100k"</f>
        <v>&lt;100k</v>
      </c>
      <c r="Y19" s="2563"/>
      <c r="Z19" s="2563"/>
      <c r="AA19" s="2564"/>
    </row>
    <row r="20" spans="1:27" ht="19.5" customHeight="1" thickBot="1">
      <c r="A20" s="82"/>
      <c r="B20" s="825"/>
      <c r="C20" s="826" t="s">
        <v>131</v>
      </c>
      <c r="D20" s="517"/>
      <c r="E20" s="33"/>
      <c r="F20" s="24"/>
      <c r="G20" s="827" t="s">
        <v>415</v>
      </c>
      <c r="H20" s="1109" t="s">
        <v>3688</v>
      </c>
      <c r="I20" s="33"/>
      <c r="J20" s="518"/>
      <c r="K20" s="828"/>
      <c r="L20" s="33"/>
      <c r="M20" s="33"/>
      <c r="N20" s="829"/>
      <c r="O20" s="830"/>
      <c r="P20" s="846"/>
      <c r="Q20" s="1227"/>
      <c r="R20" s="1227"/>
      <c r="S20" s="1227"/>
      <c r="U20" s="4299" t="s">
        <v>561</v>
      </c>
      <c r="V20" s="4180" t="e">
        <f>MIN(V15,V19)</f>
        <v>#VALUE!</v>
      </c>
      <c r="W20" s="4259" t="str">
        <f>IF(File_Single&lt;&gt;"",X18,IF(OR(File_Marr_Joint&lt;&gt;"",File_Qual_Widow&lt;&gt;""),Y18,IF(File_Marr_Sep&lt;&gt;"", Z18,IF(File_Head&lt;&gt;"",AA18,"Filing status?"))))</f>
        <v>Filing status?</v>
      </c>
      <c r="X20" s="4260" t="str">
        <f>"&gt;=100k"</f>
        <v>&gt;=100k</v>
      </c>
      <c r="Y20" s="4260"/>
      <c r="Z20" s="4266" t="s">
        <v>3630</v>
      </c>
      <c r="AA20" s="4282" t="e">
        <f>IF(W17&gt;100000,W20,W19)</f>
        <v>#VALUE!</v>
      </c>
    </row>
    <row r="21" spans="1:27" ht="14.25" customHeight="1" thickTop="1">
      <c r="A21" s="82"/>
      <c r="B21" s="831"/>
      <c r="C21" s="582"/>
      <c r="D21" s="41"/>
      <c r="E21" s="24"/>
      <c r="F21" s="24"/>
      <c r="G21" s="827" t="s">
        <v>415</v>
      </c>
      <c r="H21" s="1224" t="s">
        <v>3689</v>
      </c>
      <c r="I21" s="24"/>
      <c r="J21" s="139"/>
      <c r="K21" s="832"/>
      <c r="L21" s="24"/>
      <c r="M21" s="24"/>
      <c r="N21" s="91"/>
      <c r="O21" s="833"/>
      <c r="P21" s="846"/>
      <c r="Q21" s="1227"/>
      <c r="R21" s="1227"/>
      <c r="S21" s="1227"/>
      <c r="U21" s="4300" t="s">
        <v>392</v>
      </c>
      <c r="V21" s="4180" t="e">
        <f>ROUND((V20*CGTW_Line20_PCT),0)</f>
        <v>#VALUE!</v>
      </c>
      <c r="AA21" s="4442" t="s">
        <v>3850</v>
      </c>
    </row>
    <row r="22" spans="1:27" ht="15.75" customHeight="1">
      <c r="A22" s="82"/>
      <c r="B22" s="831"/>
      <c r="C22" s="332"/>
      <c r="D22" s="41"/>
      <c r="E22" s="24"/>
      <c r="F22" s="24"/>
      <c r="G22" s="827" t="s">
        <v>415</v>
      </c>
      <c r="H22" s="24" t="s">
        <v>446</v>
      </c>
      <c r="I22" s="24"/>
      <c r="J22" s="139"/>
      <c r="K22" s="832"/>
      <c r="L22" s="24"/>
      <c r="M22" s="24"/>
      <c r="N22" s="834"/>
      <c r="O22" s="833"/>
      <c r="P22" s="846"/>
      <c r="Q22" s="1227"/>
      <c r="R22" s="1227"/>
      <c r="S22" s="1227"/>
      <c r="U22" s="4299" t="s">
        <v>393</v>
      </c>
      <c r="V22" s="4180" t="e">
        <f>SUM(V12,V20)</f>
        <v>#VALUE!</v>
      </c>
      <c r="AA22" s="4185"/>
    </row>
    <row r="23" spans="1:27" ht="13.5" customHeight="1" thickBot="1">
      <c r="A23" s="82"/>
      <c r="B23" s="844"/>
      <c r="C23" s="1033"/>
      <c r="D23" s="351"/>
      <c r="E23" s="39"/>
      <c r="F23" s="39"/>
      <c r="G23" s="2360"/>
      <c r="H23" s="1928" t="s">
        <v>3690</v>
      </c>
      <c r="I23" s="39"/>
      <c r="J23" s="2361"/>
      <c r="K23" s="429"/>
      <c r="L23" s="2362"/>
      <c r="M23" s="39"/>
      <c r="N23" s="2363"/>
      <c r="O23" s="2364"/>
      <c r="P23" s="846"/>
      <c r="Q23" s="1227"/>
      <c r="R23" s="1227"/>
      <c r="S23" s="1227"/>
      <c r="U23" s="4299" t="s">
        <v>394</v>
      </c>
      <c r="V23" s="4180" t="e">
        <f>SUM(V13,-V22)</f>
        <v>#VALUE!</v>
      </c>
      <c r="AA23" s="4185"/>
    </row>
    <row r="24" spans="1:27" ht="15.75" customHeight="1">
      <c r="A24" s="82"/>
      <c r="B24" s="1022"/>
      <c r="C24" s="139" t="s">
        <v>336</v>
      </c>
      <c r="D24" s="139"/>
      <c r="E24" s="60" t="s">
        <v>3407</v>
      </c>
      <c r="F24" s="60"/>
      <c r="G24" s="288"/>
      <c r="H24" s="60"/>
      <c r="I24" s="60"/>
      <c r="J24" s="139"/>
      <c r="K24" s="319"/>
      <c r="L24" s="319"/>
      <c r="M24" s="319"/>
      <c r="N24" s="319"/>
      <c r="O24" s="1023"/>
      <c r="P24" s="846"/>
      <c r="Q24" s="1227"/>
      <c r="R24" s="3035" t="s">
        <v>100</v>
      </c>
      <c r="S24" s="1227"/>
      <c r="U24" s="4300" t="s">
        <v>395</v>
      </c>
      <c r="V24" s="4180" t="e">
        <f>ROUND(V23*CGTW_Line23_PCT,0)</f>
        <v>#VALUE!</v>
      </c>
      <c r="AA24" s="4185"/>
    </row>
    <row r="25" spans="1:27" ht="16.5" customHeight="1">
      <c r="A25" s="82"/>
      <c r="B25" s="831"/>
      <c r="C25" s="139"/>
      <c r="D25" s="139"/>
      <c r="E25" s="60" t="s">
        <v>407</v>
      </c>
      <c r="F25" s="60"/>
      <c r="G25" s="288"/>
      <c r="H25" s="60"/>
      <c r="I25" s="60"/>
      <c r="J25" s="139"/>
      <c r="K25" s="319"/>
      <c r="L25" s="319"/>
      <c r="M25" s="319"/>
      <c r="N25" s="319"/>
      <c r="O25" s="1023"/>
      <c r="P25" s="846"/>
      <c r="Q25" s="1227"/>
      <c r="R25" s="3035" t="s">
        <v>468</v>
      </c>
      <c r="S25" s="1227"/>
      <c r="U25" s="4300" t="s">
        <v>396</v>
      </c>
      <c r="V25" s="4180" t="e">
        <f>AA20</f>
        <v>#VALUE!</v>
      </c>
      <c r="W25" s="1075" t="s">
        <v>3480</v>
      </c>
      <c r="AA25" s="4185"/>
    </row>
    <row r="26" spans="1:27" ht="13.5" customHeight="1">
      <c r="A26" s="82"/>
      <c r="B26" s="831"/>
      <c r="C26" s="139"/>
      <c r="D26" s="139"/>
      <c r="E26" s="60" t="s">
        <v>784</v>
      </c>
      <c r="F26" s="60"/>
      <c r="G26" s="288"/>
      <c r="H26" s="60"/>
      <c r="I26" s="60"/>
      <c r="J26" s="426" t="s">
        <v>785</v>
      </c>
      <c r="K26" s="139" t="str">
        <f>C24</f>
        <v>1.</v>
      </c>
      <c r="L26" s="1715" t="str">
        <f>IF(R26&lt;&gt;"",R26,IF(Form2555_Used,FEI_TW_Line3,IF(NOT(CGTW),"",Taxable_Inc)))</f>
        <v/>
      </c>
      <c r="M26" s="60"/>
      <c r="N26" s="60"/>
      <c r="O26" s="835"/>
      <c r="P26" s="846"/>
      <c r="Q26" s="1227"/>
      <c r="R26" s="1442"/>
      <c r="S26" s="1227"/>
      <c r="U26" s="4300" t="s">
        <v>397</v>
      </c>
      <c r="V26" s="4180" t="e">
        <f>SUM(V21,V24,V25)</f>
        <v>#VALUE!</v>
      </c>
      <c r="AA26" s="4185"/>
    </row>
    <row r="27" spans="1:27" ht="13.5" customHeight="1">
      <c r="A27" s="82"/>
      <c r="B27" s="831"/>
      <c r="C27" s="139" t="s">
        <v>0</v>
      </c>
      <c r="D27" s="139"/>
      <c r="E27" s="60" t="s">
        <v>3691</v>
      </c>
      <c r="F27" s="60"/>
      <c r="G27" s="288"/>
      <c r="H27" s="139"/>
      <c r="I27" s="139" t="s">
        <v>0</v>
      </c>
      <c r="J27" s="1715" t="str">
        <f>IF(NOT(CGTW),"",Qualified_Dividends)</f>
        <v/>
      </c>
      <c r="K27" s="139"/>
      <c r="L27" s="139"/>
      <c r="M27" s="60"/>
      <c r="N27" s="60"/>
      <c r="O27" s="835"/>
      <c r="P27" s="846"/>
      <c r="Q27" s="1227"/>
      <c r="R27" s="1227"/>
      <c r="S27" s="1227"/>
      <c r="U27" s="4300" t="s">
        <v>398</v>
      </c>
      <c r="V27" s="4180" t="str">
        <f>AA12</f>
        <v>Filing status?</v>
      </c>
      <c r="W27" s="1075" t="s">
        <v>3481</v>
      </c>
      <c r="AA27" s="4185"/>
    </row>
    <row r="28" spans="1:27" ht="13.5" customHeight="1" thickBot="1">
      <c r="A28" s="82"/>
      <c r="B28" s="831"/>
      <c r="C28" s="139" t="s">
        <v>1</v>
      </c>
      <c r="D28" s="139"/>
      <c r="E28" s="60" t="s">
        <v>408</v>
      </c>
      <c r="F28" s="60"/>
      <c r="G28" s="288"/>
      <c r="H28" s="139"/>
      <c r="I28" s="139"/>
      <c r="J28" s="4191" t="b">
        <f>AND(NOT(SchD_NotReqd),OR(AND(SchDLine15&lt;&gt;"",SchDLine15&lt;&gt;0),AND(SchDLine16&lt;&gt;"",SchDLine16&lt;&gt;0)))</f>
        <v>0</v>
      </c>
      <c r="K28" s="139"/>
      <c r="L28" s="139"/>
      <c r="M28" s="139"/>
      <c r="N28" s="60"/>
      <c r="O28" s="835"/>
      <c r="P28" s="82"/>
      <c r="Q28" s="1227"/>
      <c r="R28" s="1227"/>
      <c r="S28" s="1227"/>
      <c r="U28" s="4301" t="s">
        <v>399</v>
      </c>
      <c r="V28" s="4186" t="str">
        <f>IF(NOT(Y2),"",MIN(V26,V27))</f>
        <v/>
      </c>
      <c r="W28" s="4190" t="s">
        <v>3483</v>
      </c>
      <c r="X28" s="4187"/>
      <c r="Y28" s="4187"/>
      <c r="Z28" s="4187"/>
      <c r="AA28" s="4188"/>
    </row>
    <row r="29" spans="1:27" ht="13.5" customHeight="1" thickBot="1">
      <c r="A29" s="82"/>
      <c r="B29" s="831"/>
      <c r="C29" s="139"/>
      <c r="D29" s="1717" t="str">
        <f>IF(NOT(CGTW),"",IF(J28,"X",""))</f>
        <v/>
      </c>
      <c r="E29" s="44" t="s">
        <v>179</v>
      </c>
      <c r="F29" s="60" t="s">
        <v>11</v>
      </c>
      <c r="G29" s="288"/>
      <c r="H29" s="139"/>
      <c r="I29" s="139"/>
      <c r="J29" s="139"/>
      <c r="K29" s="139"/>
      <c r="L29" s="139"/>
      <c r="M29" s="139"/>
      <c r="N29" s="60"/>
      <c r="O29" s="835"/>
      <c r="P29" s="82"/>
      <c r="Q29" s="1227"/>
      <c r="R29" s="1227"/>
      <c r="S29" s="1227"/>
      <c r="V29" s="4180"/>
    </row>
    <row r="30" spans="1:27" ht="13.5" customHeight="1">
      <c r="A30" s="82"/>
      <c r="B30" s="831"/>
      <c r="C30" s="139"/>
      <c r="D30" s="519"/>
      <c r="E30" s="60"/>
      <c r="F30" s="60" t="s">
        <v>1040</v>
      </c>
      <c r="G30" s="286"/>
      <c r="H30" s="139"/>
      <c r="I30" s="139"/>
      <c r="J30" s="139"/>
      <c r="K30" s="139"/>
      <c r="L30" s="139"/>
      <c r="M30" s="139"/>
      <c r="N30" s="60"/>
      <c r="O30" s="835"/>
      <c r="P30" s="82"/>
      <c r="Q30" s="1227"/>
      <c r="R30" s="1227"/>
      <c r="S30" s="1227"/>
      <c r="V30" s="4180"/>
    </row>
    <row r="31" spans="1:27" ht="13.5" customHeight="1" thickBot="1">
      <c r="A31" s="82"/>
      <c r="B31" s="831"/>
      <c r="C31" s="139"/>
      <c r="D31" s="519"/>
      <c r="E31" s="60"/>
      <c r="F31" s="60" t="s">
        <v>1041</v>
      </c>
      <c r="G31" s="286"/>
      <c r="H31" s="139"/>
      <c r="I31" s="139" t="s">
        <v>1</v>
      </c>
      <c r="J31" s="1744" t="str">
        <f>IF(NOT(CGTW),"",IF(NOT(FilingScheduleD),CapitalGains,IF(OR(SchDLine15="",SchDLine15&lt;=0,SchDLine16="",SchDLine16&lt;=0),0,MIN(SchDLine15,SchDLine16))))</f>
        <v/>
      </c>
      <c r="K31" s="139"/>
      <c r="L31" s="139"/>
      <c r="M31" s="139"/>
      <c r="N31" s="60"/>
      <c r="O31" s="835"/>
      <c r="P31" s="82"/>
      <c r="Q31" s="1227"/>
      <c r="R31" s="1227"/>
      <c r="S31" s="1227"/>
      <c r="V31" s="4180"/>
    </row>
    <row r="32" spans="1:27" ht="13.5" customHeight="1" thickBot="1">
      <c r="A32" s="82"/>
      <c r="B32" s="831"/>
      <c r="C32" s="139"/>
      <c r="D32" s="1717" t="str">
        <f>IF(NOT(CGTW),"",IF(J28,"","X"))</f>
        <v/>
      </c>
      <c r="E32" s="44" t="s">
        <v>205</v>
      </c>
      <c r="F32" s="60" t="s">
        <v>3692</v>
      </c>
      <c r="G32" s="286"/>
      <c r="H32" s="139"/>
      <c r="I32" s="139"/>
      <c r="J32" s="848"/>
      <c r="K32" s="139"/>
      <c r="L32" s="139"/>
      <c r="M32" s="139"/>
      <c r="N32" s="836"/>
      <c r="O32" s="835"/>
      <c r="P32" s="82"/>
      <c r="Q32" s="1227"/>
      <c r="R32" s="1227"/>
      <c r="S32" s="1227"/>
      <c r="U32" s="479"/>
      <c r="V32" s="479"/>
      <c r="W32" s="479"/>
      <c r="X32" s="479"/>
      <c r="Y32" s="479"/>
    </row>
    <row r="33" spans="1:27" ht="13.5" customHeight="1">
      <c r="A33" s="82"/>
      <c r="B33" s="831"/>
      <c r="C33" s="139" t="s">
        <v>455</v>
      </c>
      <c r="D33" s="286"/>
      <c r="E33" s="60" t="s">
        <v>127</v>
      </c>
      <c r="F33" s="60"/>
      <c r="G33" s="60"/>
      <c r="H33" s="426" t="s">
        <v>691</v>
      </c>
      <c r="I33" s="139" t="s">
        <v>455</v>
      </c>
      <c r="J33" s="1715" t="str">
        <f>IF(NOT(CGTW),"",SUM(J27,J31))</f>
        <v/>
      </c>
      <c r="K33" s="139"/>
      <c r="L33" s="139"/>
      <c r="M33" s="139"/>
      <c r="N33" s="836"/>
      <c r="O33" s="835"/>
      <c r="P33" s="82"/>
      <c r="Q33" s="1227"/>
      <c r="R33" s="1227"/>
      <c r="S33" s="1227"/>
      <c r="U33" s="479"/>
      <c r="V33" s="479"/>
      <c r="W33" s="479"/>
      <c r="X33" s="479"/>
      <c r="Y33" s="479"/>
    </row>
    <row r="34" spans="1:27" ht="11.25" customHeight="1">
      <c r="A34" s="82"/>
      <c r="B34" s="831"/>
      <c r="C34" s="139" t="s">
        <v>35</v>
      </c>
      <c r="D34" s="286"/>
      <c r="E34" s="60" t="s">
        <v>1314</v>
      </c>
      <c r="F34" s="60"/>
      <c r="G34" s="60"/>
      <c r="H34" s="139"/>
      <c r="I34" s="139"/>
      <c r="J34" s="585"/>
      <c r="K34" s="139"/>
      <c r="L34" s="139"/>
      <c r="M34" s="139"/>
      <c r="N34" s="418"/>
      <c r="O34" s="835"/>
      <c r="P34" s="82"/>
      <c r="Q34" s="1227"/>
      <c r="R34" s="1227"/>
      <c r="S34" s="1227"/>
    </row>
    <row r="35" spans="1:27" ht="11.25" customHeight="1">
      <c r="A35" s="82"/>
      <c r="B35" s="831"/>
      <c r="C35" s="139"/>
      <c r="D35" s="286"/>
      <c r="E35" s="60" t="s">
        <v>1315</v>
      </c>
      <c r="F35" s="60"/>
      <c r="G35" s="60"/>
      <c r="H35" s="139"/>
      <c r="I35" s="139"/>
      <c r="J35" s="584"/>
      <c r="K35" s="139"/>
      <c r="L35" s="139"/>
      <c r="M35" s="139"/>
      <c r="N35" s="418"/>
      <c r="O35" s="835"/>
      <c r="P35" s="82"/>
      <c r="Q35" s="1227"/>
      <c r="R35" s="1227"/>
      <c r="S35" s="1227"/>
    </row>
    <row r="36" spans="1:27" ht="11.25" customHeight="1">
      <c r="A36" s="82"/>
      <c r="B36" s="831"/>
      <c r="C36" s="139"/>
      <c r="D36" s="286"/>
      <c r="E36" s="60" t="s">
        <v>1316</v>
      </c>
      <c r="F36" s="60"/>
      <c r="G36" s="60"/>
      <c r="H36" s="139"/>
      <c r="I36" s="139" t="s">
        <v>35</v>
      </c>
      <c r="J36" s="1716" t="str">
        <f>IF(J33&lt;&gt;"",0,"")</f>
        <v/>
      </c>
      <c r="K36" s="139"/>
      <c r="L36" s="139"/>
      <c r="M36" s="139"/>
      <c r="N36" s="418"/>
      <c r="O36" s="835"/>
      <c r="P36" s="82"/>
      <c r="Q36" s="1227"/>
      <c r="R36" s="1227"/>
      <c r="S36" s="1227"/>
    </row>
    <row r="37" spans="1:27" ht="13.5" customHeight="1">
      <c r="A37" s="82"/>
      <c r="B37" s="831"/>
      <c r="C37" s="139" t="s">
        <v>75</v>
      </c>
      <c r="D37" s="286"/>
      <c r="E37" s="60" t="s">
        <v>12</v>
      </c>
      <c r="F37" s="60"/>
      <c r="G37" s="60"/>
      <c r="H37" s="60"/>
      <c r="I37" s="60"/>
      <c r="J37" s="426" t="s">
        <v>690</v>
      </c>
      <c r="K37" s="426" t="str">
        <f>C37</f>
        <v>6.</v>
      </c>
      <c r="L37" s="1715" t="str">
        <f>IF(NOT(CGTW),"",MAX(0,SUM(J33,-J36)))</f>
        <v/>
      </c>
      <c r="M37" s="60"/>
      <c r="N37" s="418"/>
      <c r="O37" s="835"/>
      <c r="P37" s="846"/>
      <c r="Q37" s="1227"/>
      <c r="R37" s="1227"/>
      <c r="S37" s="1227"/>
    </row>
    <row r="38" spans="1:27" ht="12.75" customHeight="1">
      <c r="A38" s="82"/>
      <c r="B38" s="831"/>
      <c r="C38" s="139" t="s">
        <v>76</v>
      </c>
      <c r="D38" s="286"/>
      <c r="E38" s="60" t="s">
        <v>13</v>
      </c>
      <c r="F38" s="60"/>
      <c r="G38" s="60"/>
      <c r="H38" s="60"/>
      <c r="I38" s="60"/>
      <c r="J38" s="426" t="s">
        <v>690</v>
      </c>
      <c r="K38" s="426" t="str">
        <f>C38</f>
        <v>7.</v>
      </c>
      <c r="L38" s="1715" t="str">
        <f>IF(NOT(CGTW),"",MAX(0,SUM(CGTW_Line1,-L37)))</f>
        <v/>
      </c>
      <c r="M38" s="60"/>
      <c r="N38" s="418"/>
      <c r="O38" s="835"/>
      <c r="P38" s="846"/>
      <c r="Q38" s="1227"/>
      <c r="R38" s="1227"/>
      <c r="S38" s="1227"/>
    </row>
    <row r="39" spans="1:27">
      <c r="A39" s="82"/>
      <c r="B39" s="831"/>
      <c r="C39" s="139" t="s">
        <v>232</v>
      </c>
      <c r="D39" s="60"/>
      <c r="E39" s="60" t="s">
        <v>685</v>
      </c>
      <c r="F39" s="60"/>
      <c r="G39" s="32"/>
      <c r="H39" s="32"/>
      <c r="I39" s="32"/>
      <c r="J39" s="32"/>
      <c r="K39" s="426"/>
      <c r="L39" s="836"/>
      <c r="M39" s="32"/>
      <c r="N39" s="837"/>
      <c r="O39" s="835"/>
      <c r="P39" s="846"/>
      <c r="Q39" s="1227"/>
      <c r="R39" s="1227"/>
      <c r="S39" s="1227"/>
    </row>
    <row r="40" spans="1:27">
      <c r="A40" s="82"/>
      <c r="B40" s="831"/>
      <c r="C40" s="139"/>
      <c r="D40" s="838"/>
      <c r="E40" s="60" t="str">
        <f>TEXT(N40,"$0,000")&amp;" if single or married filing separately,"</f>
        <v>$38,600 if single or married filing separately,</v>
      </c>
      <c r="F40" s="60"/>
      <c r="G40" s="60"/>
      <c r="H40" s="32"/>
      <c r="I40" s="32"/>
      <c r="J40" s="139"/>
      <c r="K40" s="32"/>
      <c r="L40" s="32"/>
      <c r="M40" s="32"/>
      <c r="N40" s="520">
        <v>38600</v>
      </c>
      <c r="O40" s="839"/>
      <c r="P40" s="846"/>
      <c r="Q40" s="1227"/>
      <c r="R40" s="1227"/>
      <c r="S40" s="1227"/>
      <c r="Z40" s="5"/>
      <c r="AA40" s="5"/>
    </row>
    <row r="41" spans="1:27">
      <c r="A41" s="82"/>
      <c r="B41" s="831"/>
      <c r="C41" s="139"/>
      <c r="D41" s="838"/>
      <c r="E41" s="60" t="str">
        <f>TEXT(N41,"$0,000")&amp;" if married filing jointly or qualifying widow(er),"</f>
        <v>$77,200 if married filing jointly or qualifying widow(er),</v>
      </c>
      <c r="F41" s="60"/>
      <c r="G41" s="60"/>
      <c r="H41" s="32"/>
      <c r="I41" s="32"/>
      <c r="J41" s="426" t="s">
        <v>689</v>
      </c>
      <c r="K41" s="139" t="s">
        <v>232</v>
      </c>
      <c r="L41" s="1715" t="str">
        <f>IF(NOT(CGTW),"",N43)</f>
        <v/>
      </c>
      <c r="M41" s="32"/>
      <c r="N41" s="520">
        <v>77200</v>
      </c>
      <c r="O41" s="839"/>
      <c r="P41" s="846"/>
      <c r="Q41" s="1227"/>
      <c r="R41" s="1227"/>
      <c r="S41" s="1227"/>
      <c r="Z41" s="479"/>
      <c r="AA41" s="479"/>
    </row>
    <row r="42" spans="1:27" ht="12" customHeight="1">
      <c r="A42" s="82"/>
      <c r="B42" s="831"/>
      <c r="C42" s="139"/>
      <c r="D42" s="838"/>
      <c r="E42" s="60" t="str">
        <f>TEXT(N42,"$0,000")&amp;" if head of household."</f>
        <v>$51,700 if head of household.</v>
      </c>
      <c r="F42" s="60"/>
      <c r="G42" s="60"/>
      <c r="H42" s="32"/>
      <c r="I42" s="32"/>
      <c r="J42" s="49"/>
      <c r="K42" s="32"/>
      <c r="L42" s="32"/>
      <c r="M42" s="32"/>
      <c r="N42" s="520">
        <v>51700</v>
      </c>
      <c r="O42" s="840"/>
      <c r="P42" s="846"/>
      <c r="Q42" s="1227"/>
      <c r="R42" s="1227"/>
      <c r="S42" s="1227"/>
      <c r="Z42" s="479"/>
      <c r="AA42" s="479"/>
    </row>
    <row r="43" spans="1:27" ht="13.5" customHeight="1">
      <c r="A43" s="82"/>
      <c r="B43" s="841"/>
      <c r="C43" s="139" t="s">
        <v>233</v>
      </c>
      <c r="D43" s="838"/>
      <c r="E43" s="60" t="s">
        <v>649</v>
      </c>
      <c r="F43" s="501"/>
      <c r="G43" s="60"/>
      <c r="H43" s="60"/>
      <c r="I43" s="60"/>
      <c r="J43" s="426" t="s">
        <v>688</v>
      </c>
      <c r="K43" s="139" t="s">
        <v>233</v>
      </c>
      <c r="L43" s="1715">
        <f>MIN(CGTW_Line1,L41)</f>
        <v>0</v>
      </c>
      <c r="M43" s="60"/>
      <c r="N43" s="520" t="str">
        <f>IF(OR(File_Single&lt;&gt;"",File_Marr_Sep&lt;&gt;""),N40,IF(OR(File_Marr_Joint&lt;&gt;"",File_Qual_Widow&lt;&gt;""),N41,IF(File_Head&lt;&gt;"",N42,"")))</f>
        <v/>
      </c>
      <c r="O43" s="835"/>
      <c r="P43" s="846"/>
      <c r="Q43" s="1227"/>
      <c r="R43" s="1227"/>
      <c r="S43" s="1227"/>
      <c r="Z43" s="479"/>
      <c r="AA43" s="479"/>
    </row>
    <row r="44" spans="1:27" ht="12" customHeight="1">
      <c r="A44" s="82"/>
      <c r="B44" s="831"/>
      <c r="C44" s="139" t="s">
        <v>337</v>
      </c>
      <c r="D44" s="519"/>
      <c r="E44" s="60" t="s">
        <v>650</v>
      </c>
      <c r="F44" s="60"/>
      <c r="G44" s="286"/>
      <c r="H44" s="60"/>
      <c r="I44" s="60"/>
      <c r="J44" s="426" t="s">
        <v>687</v>
      </c>
      <c r="K44" s="426" t="str">
        <f>C44</f>
        <v>10.</v>
      </c>
      <c r="L44" s="1715">
        <f>MIN(CGTW_Line7,L43)</f>
        <v>0</v>
      </c>
      <c r="M44" s="60"/>
      <c r="N44" s="60"/>
      <c r="O44" s="835"/>
      <c r="P44" s="846"/>
      <c r="Q44" s="1227"/>
      <c r="R44" s="1227"/>
      <c r="S44" s="1227"/>
      <c r="Z44" s="479"/>
      <c r="AA44" s="479"/>
    </row>
    <row r="45" spans="1:27" ht="12" customHeight="1">
      <c r="A45" s="82"/>
      <c r="B45" s="831"/>
      <c r="C45" s="139" t="s">
        <v>338</v>
      </c>
      <c r="D45" s="139"/>
      <c r="E45" s="60" t="s">
        <v>651</v>
      </c>
      <c r="F45" s="60"/>
      <c r="G45" s="521"/>
      <c r="H45" s="32"/>
      <c r="I45" s="32"/>
      <c r="J45" s="426" t="s">
        <v>928</v>
      </c>
      <c r="K45" s="426" t="str">
        <f>C45</f>
        <v>11.</v>
      </c>
      <c r="L45" s="1715">
        <f>SUM(L43,-L44)</f>
        <v>0</v>
      </c>
      <c r="M45" s="32"/>
      <c r="N45" s="32"/>
      <c r="O45" s="835"/>
      <c r="P45" s="846"/>
      <c r="Q45" s="1227"/>
      <c r="R45" s="1227"/>
      <c r="S45" s="1227"/>
      <c r="Z45" s="479"/>
      <c r="AA45" s="479"/>
    </row>
    <row r="46" spans="1:27" ht="12.75" customHeight="1">
      <c r="A46" s="82"/>
      <c r="B46" s="841"/>
      <c r="C46" s="139" t="s">
        <v>339</v>
      </c>
      <c r="D46" s="60"/>
      <c r="E46" s="60" t="s">
        <v>786</v>
      </c>
      <c r="F46" s="60"/>
      <c r="G46" s="60"/>
      <c r="H46" s="60"/>
      <c r="I46" s="60"/>
      <c r="J46" s="426" t="s">
        <v>927</v>
      </c>
      <c r="K46" s="426" t="str">
        <f>C46</f>
        <v>12.</v>
      </c>
      <c r="L46" s="1715">
        <f>MIN(CGTW_Line1,L37)</f>
        <v>0</v>
      </c>
      <c r="M46" s="139"/>
      <c r="N46" s="286"/>
      <c r="O46" s="835"/>
      <c r="P46" s="846"/>
      <c r="Q46" s="1227"/>
      <c r="R46" s="1227"/>
      <c r="S46" s="1227"/>
      <c r="Z46" s="479"/>
      <c r="AA46" s="479"/>
    </row>
    <row r="47" spans="1:27" ht="13.5" customHeight="1">
      <c r="A47" s="82"/>
      <c r="B47" s="831"/>
      <c r="C47" s="139" t="s">
        <v>498</v>
      </c>
      <c r="D47" s="60"/>
      <c r="E47" s="60" t="s">
        <v>686</v>
      </c>
      <c r="F47" s="60"/>
      <c r="G47" s="60"/>
      <c r="H47" s="60"/>
      <c r="I47" s="60"/>
      <c r="J47" s="289" t="s">
        <v>688</v>
      </c>
      <c r="K47" s="426" t="str">
        <f>C47</f>
        <v>13.</v>
      </c>
      <c r="L47" s="1715">
        <f>L45</f>
        <v>0</v>
      </c>
      <c r="M47" s="60"/>
      <c r="N47" s="837"/>
      <c r="O47" s="835"/>
      <c r="P47" s="846"/>
      <c r="Q47" s="1227"/>
      <c r="R47" s="1227"/>
      <c r="S47" s="1227"/>
    </row>
    <row r="48" spans="1:27" ht="13.5" customHeight="1">
      <c r="A48" s="82"/>
      <c r="B48" s="831"/>
      <c r="C48" s="139" t="s">
        <v>499</v>
      </c>
      <c r="D48" s="519"/>
      <c r="E48" s="60" t="s">
        <v>787</v>
      </c>
      <c r="F48" s="60"/>
      <c r="G48" s="286"/>
      <c r="H48" s="60"/>
      <c r="I48" s="60"/>
      <c r="J48" s="289" t="s">
        <v>926</v>
      </c>
      <c r="K48" s="426" t="str">
        <f>C48</f>
        <v>14.</v>
      </c>
      <c r="L48" s="1715">
        <f>SUM(L46,-L47)</f>
        <v>0</v>
      </c>
      <c r="M48" s="139"/>
      <c r="N48" s="836"/>
      <c r="O48" s="843"/>
      <c r="P48" s="846"/>
      <c r="Q48" s="1227"/>
      <c r="R48" s="1227"/>
      <c r="S48" s="1227"/>
    </row>
    <row r="49" spans="1:25" ht="13.5" customHeight="1">
      <c r="A49" s="82"/>
      <c r="B49" s="831"/>
      <c r="C49" s="426" t="s">
        <v>500</v>
      </c>
      <c r="D49" s="60"/>
      <c r="E49" s="60" t="s">
        <v>685</v>
      </c>
      <c r="F49" s="60"/>
      <c r="G49" s="32"/>
      <c r="H49" s="32"/>
      <c r="I49" s="32"/>
      <c r="J49" s="32"/>
      <c r="K49" s="426"/>
      <c r="L49" s="836"/>
      <c r="M49" s="32"/>
      <c r="N49" s="837"/>
      <c r="O49" s="835"/>
      <c r="P49" s="846"/>
      <c r="Q49" s="1227"/>
      <c r="R49" s="1227"/>
      <c r="S49" s="1227"/>
    </row>
    <row r="50" spans="1:25">
      <c r="A50" s="82"/>
      <c r="B50" s="831"/>
      <c r="C50" s="139"/>
      <c r="D50" s="838"/>
      <c r="E50" s="60" t="str">
        <f>TEXT(N50,"$0,000")&amp;" if single,"</f>
        <v>$425,800 if single,</v>
      </c>
      <c r="F50" s="60"/>
      <c r="G50" s="60"/>
      <c r="H50" s="32"/>
      <c r="I50" s="32"/>
      <c r="J50" s="139"/>
      <c r="K50" s="32"/>
      <c r="L50" s="32"/>
      <c r="M50" s="32"/>
      <c r="N50" s="520">
        <v>425800</v>
      </c>
      <c r="O50" s="839"/>
      <c r="P50" s="846"/>
      <c r="Q50" s="1227"/>
      <c r="R50" s="1227"/>
      <c r="S50" s="1227"/>
    </row>
    <row r="51" spans="1:25">
      <c r="A51" s="82"/>
      <c r="B51" s="831"/>
      <c r="C51" s="139"/>
      <c r="D51" s="838"/>
      <c r="E51" s="60" t="str">
        <f>TEXT(N51,"$0,000")&amp;" if married filing separately,"</f>
        <v>$239,500 if married filing separately,</v>
      </c>
      <c r="F51" s="60"/>
      <c r="G51" s="60"/>
      <c r="H51" s="32"/>
      <c r="I51" s="32"/>
      <c r="J51" s="139"/>
      <c r="K51" s="32"/>
      <c r="L51" s="32"/>
      <c r="M51" s="32"/>
      <c r="N51" s="520">
        <v>239500</v>
      </c>
      <c r="O51" s="839"/>
      <c r="P51" s="846"/>
      <c r="Q51" s="1227"/>
      <c r="R51" s="1227"/>
      <c r="S51" s="1227"/>
    </row>
    <row r="52" spans="1:25">
      <c r="A52" s="82"/>
      <c r="B52" s="831"/>
      <c r="C52" s="139"/>
      <c r="D52" s="838"/>
      <c r="E52" s="60" t="str">
        <f>TEXT(N52,"$0,000")&amp;" if married filing jointly or qualifying widow(er),"</f>
        <v>$479,000 if married filing jointly or qualifying widow(er),</v>
      </c>
      <c r="F52" s="60"/>
      <c r="G52" s="60"/>
      <c r="H52" s="32"/>
      <c r="I52" s="32"/>
      <c r="J52" s="426" t="s">
        <v>689</v>
      </c>
      <c r="K52" s="426" t="s">
        <v>500</v>
      </c>
      <c r="L52" s="1715" t="str">
        <f>IF(NOT(CGTW),"",N54)</f>
        <v/>
      </c>
      <c r="M52" s="32"/>
      <c r="N52" s="520">
        <v>479000</v>
      </c>
      <c r="O52" s="839"/>
      <c r="P52" s="846"/>
      <c r="Q52" s="1227"/>
      <c r="R52" s="1227"/>
      <c r="S52" s="1227"/>
    </row>
    <row r="53" spans="1:25" ht="12" customHeight="1">
      <c r="A53" s="82"/>
      <c r="B53" s="831"/>
      <c r="C53" s="139"/>
      <c r="D53" s="838"/>
      <c r="E53" s="60" t="str">
        <f>TEXT(N53,"$0,000")&amp;" if head of household."</f>
        <v>$452,400 if head of household.</v>
      </c>
      <c r="F53" s="60"/>
      <c r="G53" s="60"/>
      <c r="H53" s="32"/>
      <c r="I53" s="32"/>
      <c r="J53" s="49"/>
      <c r="K53" s="32"/>
      <c r="L53" s="32"/>
      <c r="M53" s="32"/>
      <c r="N53" s="520">
        <v>452400</v>
      </c>
      <c r="O53" s="840"/>
      <c r="P53" s="846"/>
      <c r="Q53" s="1227"/>
      <c r="R53" s="1227"/>
      <c r="S53" s="1227"/>
    </row>
    <row r="54" spans="1:25" ht="13.5" customHeight="1">
      <c r="A54" s="82"/>
      <c r="B54" s="841"/>
      <c r="C54" s="426" t="s">
        <v>215</v>
      </c>
      <c r="D54" s="60"/>
      <c r="E54" s="60" t="s">
        <v>996</v>
      </c>
      <c r="F54" s="60"/>
      <c r="G54" s="60"/>
      <c r="H54" s="60"/>
      <c r="I54" s="60"/>
      <c r="J54" s="426" t="s">
        <v>927</v>
      </c>
      <c r="K54" s="426" t="str">
        <f>C54</f>
        <v>16.</v>
      </c>
      <c r="L54" s="1715">
        <f>MIN(CGTW_Line1,L52)</f>
        <v>0</v>
      </c>
      <c r="M54" s="139"/>
      <c r="N54" s="520" t="str">
        <f>IF(File_Single&lt;&gt;"",CGTW_Line15_Single,IF(File_Marr_Sep&lt;&gt;"",CGTW_Line15_MFS,IF(OR(File_Marr_Joint&lt;&gt;"",File_Qual_Widow&lt;&gt;""),CGTW_Line15_MFJQW,IF(File_Head&lt;&gt;"",CGTW_Line15_HOH,""))))</f>
        <v/>
      </c>
      <c r="O54" s="835"/>
      <c r="P54" s="846"/>
      <c r="Q54" s="1227"/>
      <c r="R54" s="1227"/>
      <c r="S54" s="1227"/>
    </row>
    <row r="55" spans="1:25" ht="13.5" customHeight="1">
      <c r="A55" s="82"/>
      <c r="B55" s="831"/>
      <c r="C55" s="426" t="s">
        <v>559</v>
      </c>
      <c r="D55" s="519"/>
      <c r="E55" s="60" t="s">
        <v>997</v>
      </c>
      <c r="F55" s="60"/>
      <c r="G55" s="286"/>
      <c r="H55" s="60"/>
      <c r="I55" s="60"/>
      <c r="J55" s="426" t="s">
        <v>687</v>
      </c>
      <c r="K55" s="426" t="str">
        <f>C55</f>
        <v>17.</v>
      </c>
      <c r="L55" s="1715">
        <f>SUM(CGTW_Line7,L45)</f>
        <v>0</v>
      </c>
      <c r="M55" s="60"/>
      <c r="N55" s="60"/>
      <c r="O55" s="835"/>
      <c r="P55" s="846"/>
      <c r="Q55" s="1227"/>
      <c r="R55" s="1227"/>
      <c r="S55" s="1227"/>
    </row>
    <row r="56" spans="1:25" ht="12" customHeight="1" thickBot="1">
      <c r="A56" s="82"/>
      <c r="B56" s="831"/>
      <c r="C56" s="426" t="s">
        <v>560</v>
      </c>
      <c r="D56" s="286"/>
      <c r="E56" s="60" t="s">
        <v>998</v>
      </c>
      <c r="F56" s="60"/>
      <c r="G56" s="60"/>
      <c r="H56" s="60"/>
      <c r="I56" s="60"/>
      <c r="J56" s="426" t="s">
        <v>690</v>
      </c>
      <c r="K56" s="426" t="str">
        <f>C56</f>
        <v>18.</v>
      </c>
      <c r="L56" s="1715" t="str">
        <f>IF(NOT(CGTW),"",IF(SUM(L54,-L55)&lt;=0,0,SUM(L54,-L55)))</f>
        <v/>
      </c>
      <c r="M56" s="60"/>
      <c r="N56" s="418"/>
      <c r="O56" s="835"/>
      <c r="P56" s="846"/>
      <c r="Q56" s="1227"/>
      <c r="R56" s="1227"/>
      <c r="S56" s="1227"/>
      <c r="U56" s="1075" t="s">
        <v>972</v>
      </c>
      <c r="V56" s="277" t="s">
        <v>77</v>
      </c>
      <c r="W56" s="277" t="s">
        <v>3629</v>
      </c>
      <c r="X56" s="277" t="s">
        <v>531</v>
      </c>
      <c r="Y56" s="277" t="s">
        <v>2508</v>
      </c>
    </row>
    <row r="57" spans="1:25" ht="12.75" customHeight="1" thickTop="1" thickBot="1">
      <c r="A57" s="82"/>
      <c r="B57" s="841"/>
      <c r="C57" s="426" t="s">
        <v>561</v>
      </c>
      <c r="D57" s="60"/>
      <c r="E57" s="60" t="s">
        <v>999</v>
      </c>
      <c r="F57" s="60"/>
      <c r="G57" s="60"/>
      <c r="H57" s="60"/>
      <c r="I57" s="60"/>
      <c r="J57" s="426" t="s">
        <v>927</v>
      </c>
      <c r="K57" s="426" t="str">
        <f>C57</f>
        <v>19.</v>
      </c>
      <c r="L57" s="1715">
        <f>MIN(L48,L56)</f>
        <v>0</v>
      </c>
      <c r="M57" s="139"/>
      <c r="N57" s="1714">
        <v>0.15</v>
      </c>
      <c r="O57" s="835"/>
      <c r="P57" s="846"/>
      <c r="Q57" s="1227"/>
      <c r="R57" s="1227"/>
      <c r="S57" s="1227"/>
      <c r="U57" s="4268" t="str">
        <f>CGTW_Line7</f>
        <v/>
      </c>
      <c r="V57" s="4262" t="e">
        <f>LOOKUP(U57,'Tax Table'!$B$2:$B$2063,'Tax Table'!$D$2:$D$2063)</f>
        <v>#N/A</v>
      </c>
      <c r="W57" s="4262" t="e">
        <f>LOOKUP(U57,'Tax Table'!$B$2:$B$2063,'Tax Table'!$E$2:$E$2063)</f>
        <v>#N/A</v>
      </c>
      <c r="X57" s="4262" t="e">
        <f>LOOKUP(U57,'Tax Table'!$B$2:$B$2063,'Tax Table'!$F$2:$F$2063)</f>
        <v>#N/A</v>
      </c>
      <c r="Y57" s="4263" t="e">
        <f>LOOKUP(U57,'Tax Table'!$B$2:$B$2063,'Tax Table'!$G$2:$G$2063)</f>
        <v>#N/A</v>
      </c>
    </row>
    <row r="58" spans="1:25" ht="13.5" customHeight="1" thickBot="1">
      <c r="A58" s="82"/>
      <c r="B58" s="831"/>
      <c r="C58" s="426" t="s">
        <v>392</v>
      </c>
      <c r="D58" s="519"/>
      <c r="E58" s="60" t="str">
        <f>"Multiply line 19 by "&amp;TEXT(N57,"0%")&amp;" ("&amp;TEXT(N57,"0.00")&amp;") "</f>
        <v xml:space="preserve">Multiply line 19 by 15% (0.15) </v>
      </c>
      <c r="F58" s="60"/>
      <c r="G58" s="286"/>
      <c r="H58" s="60"/>
      <c r="I58" s="60"/>
      <c r="J58" s="139"/>
      <c r="K58" s="426"/>
      <c r="L58" s="289" t="s">
        <v>925</v>
      </c>
      <c r="M58" s="426" t="s">
        <v>392</v>
      </c>
      <c r="N58" s="1715">
        <f>ROUND(L57*N57,0)</f>
        <v>0</v>
      </c>
      <c r="O58" s="843"/>
      <c r="P58" s="846"/>
      <c r="Q58" s="1227"/>
      <c r="R58" s="1227"/>
      <c r="S58" s="1227"/>
      <c r="U58" s="4257"/>
      <c r="V58" s="4264" t="e">
        <f>IF(U57&lt;SectA_a3,"---",IF(U57&lt;=SectA_a4,ROUND((U57*(SectA_b4/100)-SectA_d4),0),IF(U57&lt;=SectA_a5,ROUND((U57*(SectA_b5/100)-SectA_d5),0),IF(U57&lt;=SectA_a6,ROUND((U57*(SectA_b6/100)-SectA_d6),0),ROUND((U57*(SectA_b7/100)-SectA_d7),0)))))</f>
        <v>#VALUE!</v>
      </c>
      <c r="W58" s="4264" t="e">
        <f>IF(U57&lt;SectB_a2,"---",IF(U57&lt;=SectB_a3,ROUND((U57*(SectB_b3/100)-SectB_d3),0),IF(U57&lt;=SectB_a4,ROUND((U57*(SectB_b4/100)-SectB_d4),0),IF(U57&lt;=SectB_a5,ROUND((U57*(SectB_b5/100)-SectB_d5),0),IF(U57&lt;=SectB_a6,ROUND((U57*(SectB_b6/100)-SectB_d6),0),ROUND((U57*(SectB_b7/100)-SectB_d7),0))))))</f>
        <v>#VALUE!</v>
      </c>
      <c r="X58" s="4264" t="e">
        <f>IF(U57&lt;SectC_a2,"---",IF(U57&lt;=SectC_a3,ROUND((U57*(SectC_b3/100)-SectC_d3),0),IF(U57&lt;=SectC_a4,ROUND((U57*(SectC_b4/100)-SectC_d4),0),IF(U57&lt;=SectC_a5,ROUND((U57*(SectC_b5/100)-SectC_d5),0),ROUND((U57*(SectC_b6/100)-SectC_d6),0)))))</f>
        <v>#VALUE!</v>
      </c>
      <c r="Y58" s="4265" t="e">
        <f>IF(U57&lt;SectD_a2,"---",IF(U57&lt;=SectD_a3,ROUND((U57*(SectD_b3/100)-SectD_d3),0),IF(U57&lt;=SectD_a4,ROUND((U57*(SectD_b4/100)-SectD_d4),0),IF(U57&lt;=SectD_a5,ROUND((U57*(SectD_b5/100)-SectD_d5),0),IF(U57&lt;=SectD_a6,ROUND((U57*(SectD_b6/100)-SectD_d6),0),ROUND((U57*(SectD_b7/100)-SectD_d7),0))))))</f>
        <v>#VALUE!</v>
      </c>
    </row>
    <row r="59" spans="1:25" ht="13.5" customHeight="1" thickBot="1">
      <c r="A59" s="82"/>
      <c r="B59" s="831"/>
      <c r="C59" s="426" t="s">
        <v>393</v>
      </c>
      <c r="D59" s="519"/>
      <c r="E59" s="60" t="s">
        <v>1000</v>
      </c>
      <c r="F59" s="60"/>
      <c r="G59" s="286"/>
      <c r="H59" s="60"/>
      <c r="I59" s="60"/>
      <c r="J59" s="426" t="s">
        <v>4386</v>
      </c>
      <c r="K59" s="426" t="str">
        <f>C59</f>
        <v>21.</v>
      </c>
      <c r="L59" s="1715">
        <f>SUM(L45,L57)</f>
        <v>0</v>
      </c>
      <c r="M59" s="60"/>
      <c r="N59" s="60"/>
      <c r="O59" s="835"/>
      <c r="P59" s="846"/>
      <c r="Q59" s="1227"/>
      <c r="R59" s="1227"/>
      <c r="S59" s="1227"/>
      <c r="U59" s="4258" t="str">
        <f>IF(File_Single&lt;&gt;"",V57,IF(File_Marr_Joint&lt;&gt;"",W57,IF(File_Marr_Sep&lt;&gt;"", X57,IF(File_Head&lt;&gt;"",Y57,IF(File_Qual_Widow&lt;&gt;"",W57,"Filing status?")))))</f>
        <v>Filing status?</v>
      </c>
      <c r="V59" s="2563" t="str">
        <f>"&lt;100k"</f>
        <v>&lt;100k</v>
      </c>
      <c r="W59" s="2563"/>
      <c r="X59" s="2563"/>
      <c r="Y59" s="4261"/>
    </row>
    <row r="60" spans="1:25" ht="12" customHeight="1" thickBot="1">
      <c r="A60" s="82"/>
      <c r="B60" s="831"/>
      <c r="C60" s="426" t="s">
        <v>394</v>
      </c>
      <c r="D60" s="519"/>
      <c r="E60" s="60" t="s">
        <v>1001</v>
      </c>
      <c r="F60" s="60"/>
      <c r="G60" s="286"/>
      <c r="H60" s="60"/>
      <c r="I60" s="60"/>
      <c r="J60" s="289" t="s">
        <v>926</v>
      </c>
      <c r="K60" s="426" t="str">
        <f>C60</f>
        <v>22.</v>
      </c>
      <c r="L60" s="1715">
        <f>SUM(L46,-L59)</f>
        <v>0</v>
      </c>
      <c r="M60" s="139"/>
      <c r="N60" s="1714">
        <v>0.2</v>
      </c>
      <c r="O60" s="843"/>
      <c r="P60" s="846"/>
      <c r="Q60" s="1227"/>
      <c r="R60" s="1227"/>
      <c r="S60" s="1227"/>
      <c r="U60" s="4259" t="str">
        <f>IF(File_Single&lt;&gt;"",V58,IF(OR(File_Marr_Joint&lt;&gt;"",File_Qual_Widow&lt;&gt;""),W58,IF(File_Marr_Sep&lt;&gt;"", X58,IF(File_Head&lt;&gt;"",Y58,"Filing status?"))))</f>
        <v>Filing status?</v>
      </c>
      <c r="V60" s="4260" t="str">
        <f>"&gt;=100k"</f>
        <v>&gt;=100k</v>
      </c>
      <c r="W60" s="4260"/>
      <c r="X60" s="4266" t="s">
        <v>3630</v>
      </c>
      <c r="Y60" s="4267" t="str">
        <f>IF(U57&gt;100000,U60,U59)</f>
        <v>Filing status?</v>
      </c>
    </row>
    <row r="61" spans="1:25" ht="13.5" customHeight="1" thickTop="1">
      <c r="A61" s="82"/>
      <c r="B61" s="831"/>
      <c r="C61" s="426" t="s">
        <v>395</v>
      </c>
      <c r="D61" s="519"/>
      <c r="E61" s="60" t="str">
        <f>"Multiply line 22 by "&amp;TEXT(N60,"0%")&amp;" ("&amp;TEXT(N60,"0.00")&amp;") "</f>
        <v xml:space="preserve">Multiply line 22 by 20% (0.20) </v>
      </c>
      <c r="F61" s="60"/>
      <c r="G61" s="286"/>
      <c r="H61" s="60"/>
      <c r="I61" s="60"/>
      <c r="J61" s="139"/>
      <c r="K61" s="426"/>
      <c r="L61" s="289" t="s">
        <v>925</v>
      </c>
      <c r="M61" s="426" t="s">
        <v>395</v>
      </c>
      <c r="N61" s="1715">
        <f>ROUND(L60*N60,0)</f>
        <v>0</v>
      </c>
      <c r="O61" s="843"/>
      <c r="P61" s="846"/>
      <c r="Q61" s="1227"/>
      <c r="R61" s="1227"/>
      <c r="S61" s="1227"/>
    </row>
    <row r="62" spans="1:25" ht="13.5" customHeight="1">
      <c r="A62" s="82"/>
      <c r="B62" s="831"/>
      <c r="C62" s="426" t="s">
        <v>396</v>
      </c>
      <c r="D62" s="519"/>
      <c r="E62" s="60" t="s">
        <v>652</v>
      </c>
      <c r="F62" s="60"/>
      <c r="G62" s="286"/>
      <c r="H62" s="60"/>
      <c r="I62" s="60"/>
      <c r="J62" s="139"/>
      <c r="K62" s="139"/>
      <c r="L62" s="535"/>
      <c r="M62" s="139"/>
      <c r="N62" s="836"/>
      <c r="O62" s="843"/>
      <c r="P62" s="846"/>
      <c r="Q62" s="1227"/>
      <c r="R62" s="1227"/>
      <c r="S62" s="1227"/>
    </row>
    <row r="63" spans="1:25" ht="13.5" customHeight="1" thickBot="1">
      <c r="A63" s="82"/>
      <c r="B63" s="831"/>
      <c r="C63" s="426"/>
      <c r="D63" s="519"/>
      <c r="E63" s="60" t="s">
        <v>653</v>
      </c>
      <c r="F63" s="60"/>
      <c r="G63" s="286"/>
      <c r="H63" s="60"/>
      <c r="I63" s="60"/>
      <c r="J63" s="139"/>
      <c r="K63" s="139"/>
      <c r="L63" s="535"/>
      <c r="M63" s="139"/>
      <c r="N63" s="836"/>
      <c r="O63" s="843"/>
      <c r="P63" s="846"/>
      <c r="Q63" s="1227"/>
      <c r="R63" s="1227"/>
      <c r="S63" s="1227"/>
      <c r="U63" s="1075" t="s">
        <v>459</v>
      </c>
      <c r="V63" s="277" t="s">
        <v>77</v>
      </c>
      <c r="W63" s="277" t="s">
        <v>3629</v>
      </c>
      <c r="X63" s="277" t="s">
        <v>531</v>
      </c>
      <c r="Y63" s="277" t="s">
        <v>2508</v>
      </c>
    </row>
    <row r="64" spans="1:25" ht="13.5" customHeight="1" thickTop="1" thickBot="1">
      <c r="A64" s="82"/>
      <c r="B64" s="831"/>
      <c r="C64" s="842"/>
      <c r="D64" s="139"/>
      <c r="E64" s="60" t="s">
        <v>406</v>
      </c>
      <c r="F64" s="60"/>
      <c r="G64" s="60"/>
      <c r="H64" s="44"/>
      <c r="I64" s="44"/>
      <c r="J64" s="139"/>
      <c r="K64" s="139"/>
      <c r="L64" s="289" t="s">
        <v>1004</v>
      </c>
      <c r="M64" s="139" t="str">
        <f>C62</f>
        <v>24.</v>
      </c>
      <c r="N64" s="1715" t="str">
        <f>IF(NOT(CGTW),"",Y60)</f>
        <v/>
      </c>
      <c r="O64" s="835"/>
      <c r="P64" s="846"/>
      <c r="Q64" s="1227"/>
      <c r="R64" s="1227"/>
      <c r="S64" s="1227"/>
      <c r="U64" s="4268" t="str">
        <f>CGTW_Line1</f>
        <v/>
      </c>
      <c r="V64" s="4262" t="e">
        <f>LOOKUP(U64,'Tax Table'!$B$2:$B$2063,'Tax Table'!$D$2:$D$2063)</f>
        <v>#N/A</v>
      </c>
      <c r="W64" s="4262" t="e">
        <f>LOOKUP(U64,'Tax Table'!$B$2:$B$2063,'Tax Table'!$E$2:$E$2063)</f>
        <v>#N/A</v>
      </c>
      <c r="X64" s="4262" t="e">
        <f>LOOKUP(U64,'Tax Table'!$B$2:$B$2063,'Tax Table'!$F$2:$F$2063)</f>
        <v>#N/A</v>
      </c>
      <c r="Y64" s="4263" t="e">
        <f>LOOKUP(U64,'Tax Table'!$B$2:$B$2063,'Tax Table'!$G$2:$G$2063)</f>
        <v>#N/A</v>
      </c>
    </row>
    <row r="65" spans="1:25" ht="13.5" customHeight="1" thickBot="1">
      <c r="A65" s="82"/>
      <c r="B65" s="831"/>
      <c r="C65" s="426" t="s">
        <v>397</v>
      </c>
      <c r="D65" s="519"/>
      <c r="E65" s="60" t="s">
        <v>1002</v>
      </c>
      <c r="F65" s="60"/>
      <c r="G65" s="286"/>
      <c r="H65" s="60"/>
      <c r="I65" s="60"/>
      <c r="J65" s="139"/>
      <c r="K65" s="139"/>
      <c r="L65" s="289" t="s">
        <v>1003</v>
      </c>
      <c r="M65" s="139" t="str">
        <f>C65</f>
        <v>25.</v>
      </c>
      <c r="N65" s="1715" t="str">
        <f>IF(NOT(CGTW),"",SUM(N58,N61,N64))</f>
        <v/>
      </c>
      <c r="O65" s="843"/>
      <c r="P65" s="846"/>
      <c r="Q65" s="1227"/>
      <c r="R65" s="1227"/>
      <c r="S65" s="1227"/>
      <c r="U65" s="4257"/>
      <c r="V65" s="4264" t="e">
        <f>IF(U64&lt;SectA_a3,"---",IF(U64&lt;=SectA_a4,ROUND((U64*(SectA_b4/100)-SectA_d4),0),IF(U64&lt;=SectA_a5,ROUND((U64*(SectA_b5/100)-SectA_d5),0),IF(U64&lt;=SectA_a6,ROUND((U64*(SectA_b6/100)-SectA_d6),0),ROUND((U64*(SectA_b7/100)-SectA_d7),0)))))</f>
        <v>#VALUE!</v>
      </c>
      <c r="W65" s="4264" t="e">
        <f>IF(U64&lt;SectB_a2,"---",IF(U64&lt;=SectB_a3,ROUND((U64*(SectB_b3/100)-SectB_d3),0),IF(U64&lt;=SectB_a4,ROUND((U64*(SectB_b4/100)-SectB_d4),0),IF(U64&lt;=SectB_a5,ROUND((U64*(SectB_b5/100)-SectB_d5),0),IF(U64&lt;=SectB_a6,ROUND((U64*(SectB_b6/100)-SectB_d6),0),ROUND((U64*(SectB_b7/100)-SectB_d7),0))))))</f>
        <v>#VALUE!</v>
      </c>
      <c r="X65" s="4264" t="e">
        <f>IF(U64&lt;SectC_a2,"---",IF(U64&lt;=SectC_a3,ROUND((U64*(SectC_b3/100)-SectC_d3),0),IF(U64&lt;=SectC_a4,ROUND((U64*(SectC_b4/100)-SectC_d4),0),IF(U64&lt;=SectC_a5,ROUND((U64*(SectC_b5/100)-SectC_d5),0),ROUND((U64*(SectC_b6/100)-SectC_d6),0)))))</f>
        <v>#VALUE!</v>
      </c>
      <c r="Y65" s="4265" t="e">
        <f>IF(U64&lt;SectD_a2,"---",IF(U64&lt;=SectD_a3,ROUND((U64*(SectD_b3/100)-SectD_d3),0),IF(U64&lt;=SectD_a4,ROUND((U64*(SectD_b4/100)-SectD_d4),0),IF(U64&lt;=SectD_a5,ROUND((U64*(SectD_b5/100)-SectD_d5),0),IF(U64&lt;=SectD_a6,ROUND((U64*(SectD_b6/100)-SectD_d6),0),ROUND((U64*(SectD_b7/100)-SectD_d7),0))))))</f>
        <v>#VALUE!</v>
      </c>
    </row>
    <row r="66" spans="1:25" ht="13.5" customHeight="1" thickBot="1">
      <c r="A66" s="82"/>
      <c r="B66" s="831"/>
      <c r="C66" s="426" t="s">
        <v>398</v>
      </c>
      <c r="D66" s="139"/>
      <c r="E66" s="60" t="s">
        <v>654</v>
      </c>
      <c r="F66" s="60"/>
      <c r="G66" s="60"/>
      <c r="H66" s="44"/>
      <c r="I66" s="44"/>
      <c r="J66" s="139"/>
      <c r="K66" s="139"/>
      <c r="L66" s="535"/>
      <c r="M66" s="139"/>
      <c r="N66" s="848"/>
      <c r="O66" s="835"/>
      <c r="P66" s="846"/>
      <c r="Q66" s="1227"/>
      <c r="R66" s="1227"/>
      <c r="S66" s="1227"/>
      <c r="U66" s="4258" t="str">
        <f>IF(File_Single&lt;&gt;"",V64,IF(File_Marr_Joint&lt;&gt;"",W64,IF(File_Marr_Sep&lt;&gt;"", X64,IF(File_Head&lt;&gt;"",Y64,IF(File_Qual_Widow&lt;&gt;"",W64,"Filing status?")))))</f>
        <v>Filing status?</v>
      </c>
      <c r="V66" s="2563" t="str">
        <f>"&lt;100k"</f>
        <v>&lt;100k</v>
      </c>
      <c r="W66" s="2563"/>
      <c r="X66" s="2563"/>
      <c r="Y66" s="4261"/>
    </row>
    <row r="67" spans="1:25" ht="13.5" customHeight="1" thickBot="1">
      <c r="A67" s="82"/>
      <c r="B67" s="831"/>
      <c r="C67" s="426"/>
      <c r="D67" s="139"/>
      <c r="E67" s="60" t="s">
        <v>655</v>
      </c>
      <c r="F67" s="60"/>
      <c r="G67" s="60"/>
      <c r="H67" s="44"/>
      <c r="I67" s="44"/>
      <c r="J67" s="139"/>
      <c r="K67" s="139"/>
      <c r="L67" s="535"/>
      <c r="M67" s="139"/>
      <c r="N67" s="836"/>
      <c r="O67" s="835"/>
      <c r="P67" s="846"/>
      <c r="Q67" s="1227"/>
      <c r="R67" s="1227"/>
      <c r="S67" s="1227"/>
      <c r="U67" s="4259" t="str">
        <f>IF(File_Single&lt;&gt;"",V65,IF(OR(File_Marr_Joint&lt;&gt;"",File_Qual_Widow&lt;&gt;""),W65,IF(File_Marr_Sep&lt;&gt;"", X65,IF(File_Head&lt;&gt;"",Y65,"Filing status?"))))</f>
        <v>Filing status?</v>
      </c>
      <c r="V67" s="4260" t="str">
        <f>"&gt;=100k"</f>
        <v>&gt;=100k</v>
      </c>
      <c r="W67" s="4260"/>
      <c r="X67" s="4266" t="s">
        <v>3630</v>
      </c>
      <c r="Y67" s="4267" t="str">
        <f>IF(U64&gt;100000,U67,U66)</f>
        <v>Filing status?</v>
      </c>
    </row>
    <row r="68" spans="1:25" ht="13.5" customHeight="1" thickTop="1">
      <c r="A68" s="82"/>
      <c r="B68" s="831"/>
      <c r="C68" s="842"/>
      <c r="D68" s="139"/>
      <c r="E68" s="60" t="s">
        <v>406</v>
      </c>
      <c r="F68" s="60"/>
      <c r="G68" s="60"/>
      <c r="H68" s="44"/>
      <c r="I68" s="44"/>
      <c r="J68" s="139"/>
      <c r="K68" s="139"/>
      <c r="L68" s="289" t="s">
        <v>692</v>
      </c>
      <c r="M68" s="139" t="str">
        <f>C66</f>
        <v>26.</v>
      </c>
      <c r="N68" s="1715" t="str">
        <f>IF(NOT(CGTW),"",Y67)</f>
        <v/>
      </c>
      <c r="O68" s="835"/>
      <c r="P68" s="846"/>
      <c r="Q68" s="1227"/>
      <c r="R68" s="1227"/>
      <c r="S68" s="1227"/>
    </row>
    <row r="69" spans="1:25">
      <c r="A69" s="82"/>
      <c r="B69" s="831"/>
      <c r="C69" s="426" t="s">
        <v>399</v>
      </c>
      <c r="D69" s="139"/>
      <c r="E69" s="286" t="s">
        <v>3851</v>
      </c>
      <c r="F69" s="60"/>
      <c r="G69" s="60"/>
      <c r="H69" s="44"/>
      <c r="I69" s="44"/>
      <c r="J69" s="139"/>
      <c r="K69" s="139"/>
      <c r="L69" s="535"/>
      <c r="M69" s="139"/>
      <c r="N69" s="848"/>
      <c r="O69" s="835"/>
      <c r="P69" s="846"/>
      <c r="Q69" s="1227"/>
      <c r="R69" s="3035"/>
      <c r="S69" s="1227"/>
    </row>
    <row r="70" spans="1:25" ht="13.5" customHeight="1">
      <c r="A70" s="82"/>
      <c r="B70" s="831"/>
      <c r="C70" s="139"/>
      <c r="D70" s="139"/>
      <c r="E70" s="60" t="s">
        <v>3852</v>
      </c>
      <c r="F70" s="60"/>
      <c r="G70" s="60"/>
      <c r="H70" s="44"/>
      <c r="I70" s="44"/>
      <c r="J70" s="139"/>
      <c r="K70" s="139"/>
      <c r="L70" s="535"/>
      <c r="M70" s="139"/>
      <c r="N70" s="836"/>
      <c r="O70" s="835"/>
      <c r="P70" s="846"/>
      <c r="Q70" s="1227"/>
      <c r="R70" s="3035" t="s">
        <v>100</v>
      </c>
      <c r="S70" s="1227"/>
    </row>
    <row r="71" spans="1:25" ht="13.5" customHeight="1">
      <c r="A71" s="82"/>
      <c r="B71" s="831"/>
      <c r="C71" s="139"/>
      <c r="D71" s="139"/>
      <c r="E71" s="60" t="s">
        <v>3854</v>
      </c>
      <c r="F71" s="60"/>
      <c r="G71" s="60"/>
      <c r="H71" s="44"/>
      <c r="I71" s="44"/>
      <c r="J71" s="139"/>
      <c r="K71" s="139"/>
      <c r="L71" s="535"/>
      <c r="M71" s="139"/>
      <c r="N71" s="836"/>
      <c r="O71" s="835"/>
      <c r="P71" s="846"/>
      <c r="Q71" s="1227"/>
      <c r="R71" s="3035" t="s">
        <v>468</v>
      </c>
      <c r="S71" s="1227"/>
    </row>
    <row r="72" spans="1:25">
      <c r="A72" s="82"/>
      <c r="B72" s="831"/>
      <c r="C72" s="842"/>
      <c r="D72" s="139"/>
      <c r="E72" s="60" t="s">
        <v>3853</v>
      </c>
      <c r="F72" s="60"/>
      <c r="G72" s="60"/>
      <c r="H72" s="44"/>
      <c r="I72" s="44"/>
      <c r="J72" s="139"/>
      <c r="K72" s="139"/>
      <c r="L72" s="289" t="s">
        <v>1003</v>
      </c>
      <c r="M72" s="139" t="str">
        <f>C69</f>
        <v>27.</v>
      </c>
      <c r="N72" s="1715" t="str">
        <f>IF(R72&lt;&gt;"",R72,IF(NOT(CGTW),"",MIN(N65,N68)))</f>
        <v/>
      </c>
      <c r="O72" s="835"/>
      <c r="P72" s="846"/>
      <c r="Q72" s="1227"/>
      <c r="R72" s="1442"/>
      <c r="S72" s="1227"/>
    </row>
    <row r="73" spans="1:25">
      <c r="A73" s="82"/>
      <c r="B73" s="831"/>
      <c r="C73" s="1024" t="s">
        <v>788</v>
      </c>
      <c r="D73" s="139"/>
      <c r="E73" s="60"/>
      <c r="F73" s="60"/>
      <c r="G73" s="60"/>
      <c r="H73" s="44"/>
      <c r="I73" s="44"/>
      <c r="J73" s="139"/>
      <c r="K73" s="139"/>
      <c r="L73" s="535"/>
      <c r="M73" s="139"/>
      <c r="N73" s="836"/>
      <c r="O73" s="835"/>
      <c r="P73" s="846"/>
      <c r="Q73" s="1227"/>
      <c r="R73" s="1227"/>
      <c r="S73" s="1227"/>
    </row>
    <row r="74" spans="1:25" ht="18" customHeight="1" thickBot="1">
      <c r="A74" s="82"/>
      <c r="B74" s="844"/>
      <c r="C74" s="138"/>
      <c r="D74" s="138"/>
      <c r="E74" s="31"/>
      <c r="F74" s="31"/>
      <c r="G74" s="31"/>
      <c r="H74" s="48"/>
      <c r="I74" s="48"/>
      <c r="J74" s="48"/>
      <c r="K74" s="48"/>
      <c r="L74" s="48"/>
      <c r="M74" s="138"/>
      <c r="N74" s="522"/>
      <c r="O74" s="845"/>
      <c r="P74" s="846"/>
      <c r="Q74" s="1227"/>
      <c r="R74" s="1227"/>
      <c r="S74" s="1227"/>
    </row>
    <row r="75" spans="1:25" ht="37.5" customHeight="1">
      <c r="A75" s="1227"/>
      <c r="B75" s="3053" t="s">
        <v>3686</v>
      </c>
      <c r="C75" s="3053"/>
      <c r="D75" s="3047"/>
      <c r="E75" s="3048"/>
      <c r="F75" s="3049"/>
      <c r="G75" s="3050"/>
      <c r="H75" s="3050"/>
      <c r="I75" s="3050"/>
      <c r="J75" s="3050"/>
      <c r="K75" s="3050"/>
      <c r="L75" s="3051" t="s">
        <v>200</v>
      </c>
      <c r="M75" s="3052"/>
      <c r="N75" s="320"/>
      <c r="O75" s="45"/>
      <c r="P75" s="1227"/>
      <c r="Q75" s="1227"/>
      <c r="R75" s="1227"/>
      <c r="S75" s="1227"/>
    </row>
    <row r="76" spans="1:25" ht="12.75" customHeight="1">
      <c r="A76" s="1227"/>
      <c r="B76" s="3042"/>
      <c r="C76" s="24"/>
      <c r="D76" s="3036"/>
      <c r="E76" s="3040"/>
      <c r="F76" s="3045"/>
      <c r="G76" s="3040"/>
      <c r="H76" s="3040"/>
      <c r="I76" s="3040"/>
      <c r="J76" s="3040"/>
      <c r="K76" s="2598"/>
      <c r="L76" s="2598"/>
      <c r="M76" s="1736"/>
      <c r="N76" s="1440" t="b">
        <f>AND(Taxable_Inc&gt;0,Form2555_Used)</f>
        <v>0</v>
      </c>
      <c r="O76" s="101"/>
      <c r="P76" s="1227"/>
      <c r="Q76" s="1227"/>
      <c r="R76" s="1227"/>
      <c r="S76" s="1227"/>
    </row>
    <row r="77" spans="1:25" ht="29.25" customHeight="1">
      <c r="A77" s="1227"/>
      <c r="B77" s="3044"/>
      <c r="C77" s="1544"/>
      <c r="D77" s="2768"/>
      <c r="E77" s="4296" t="s">
        <v>3693</v>
      </c>
      <c r="F77" s="2768"/>
      <c r="G77" s="320"/>
      <c r="H77" s="320"/>
      <c r="I77" s="320"/>
      <c r="J77" s="320"/>
      <c r="K77" s="3041"/>
      <c r="L77" s="2306"/>
      <c r="M77" s="2307"/>
      <c r="N77" s="3046" t="str">
        <f>IF(NOT(FEI_Tax_Worksheet),"Complete Form 2555 before completing this worksheet.","")</f>
        <v>Complete Form 2555 before completing this worksheet.</v>
      </c>
      <c r="O77" s="2316"/>
      <c r="P77" s="1227"/>
      <c r="Q77" s="1227"/>
      <c r="R77" s="1227" t="s">
        <v>100</v>
      </c>
      <c r="S77" s="1227"/>
    </row>
    <row r="78" spans="1:25" ht="13.5" thickBot="1">
      <c r="A78" s="1227"/>
      <c r="B78" s="3042"/>
      <c r="C78" s="24"/>
      <c r="D78" s="3037"/>
      <c r="E78" s="275"/>
      <c r="F78" s="41"/>
      <c r="G78" s="275"/>
      <c r="H78" s="994"/>
      <c r="I78" s="996"/>
      <c r="J78" s="1141"/>
      <c r="K78" s="1141"/>
      <c r="L78" s="1142"/>
      <c r="M78" s="1142"/>
      <c r="N78" s="1143"/>
      <c r="O78" s="101"/>
      <c r="P78" s="1227"/>
      <c r="Q78" s="1227"/>
      <c r="R78" s="1227" t="s">
        <v>468</v>
      </c>
      <c r="S78" s="1227"/>
      <c r="U78" s="270" t="str">
        <f>"FEI_TW_Line3"</f>
        <v>FEI_TW_Line3</v>
      </c>
      <c r="V78" s="277" t="s">
        <v>77</v>
      </c>
      <c r="W78" s="277" t="s">
        <v>3629</v>
      </c>
      <c r="X78" s="277" t="s">
        <v>531</v>
      </c>
      <c r="Y78" s="277" t="s">
        <v>2508</v>
      </c>
    </row>
    <row r="79" spans="1:25" ht="14.25" thickTop="1" thickBot="1">
      <c r="A79" s="1227"/>
      <c r="B79" s="3042"/>
      <c r="C79" s="24"/>
      <c r="D79" s="3038" t="s">
        <v>336</v>
      </c>
      <c r="E79" s="74" t="s">
        <v>3404</v>
      </c>
      <c r="F79" s="275"/>
      <c r="G79" s="275"/>
      <c r="H79" s="996"/>
      <c r="I79" s="996"/>
      <c r="J79" s="1142"/>
      <c r="K79" s="1142"/>
      <c r="L79" s="289" t="s">
        <v>3966</v>
      </c>
      <c r="M79" s="1673" t="s">
        <v>336</v>
      </c>
      <c r="N79" s="4292" t="str">
        <f>IF(R79&lt;&gt;"",ROUND(R79,0),IF(FEI_Tax_Worksheet,Taxable_Inc,""))</f>
        <v/>
      </c>
      <c r="O79" s="101"/>
      <c r="P79" s="1227"/>
      <c r="Q79" s="1227"/>
      <c r="R79" s="4750"/>
      <c r="S79" s="1227"/>
      <c r="U79" s="4268">
        <f>FEI_TW_Line3</f>
        <v>0</v>
      </c>
      <c r="V79" s="4262">
        <f>LOOKUP(U79,'Tax Table'!$B$2:$B$2063,'Tax Table'!$D$2:$D$2063)</f>
        <v>0</v>
      </c>
      <c r="W79" s="4262">
        <f>LOOKUP(U79,'Tax Table'!$B$2:$B$2063,'Tax Table'!$E$2:$E$2063)</f>
        <v>0</v>
      </c>
      <c r="X79" s="4262">
        <f>LOOKUP(U79,'Tax Table'!$B$2:$B$2063,'Tax Table'!$F$2:$F$2063)</f>
        <v>0</v>
      </c>
      <c r="Y79" s="4263">
        <f>LOOKUP(U79,'Tax Table'!$B$2:$B$2063,'Tax Table'!$G$2:$G$2063)</f>
        <v>0</v>
      </c>
    </row>
    <row r="80" spans="1:25" ht="13.5" thickBot="1">
      <c r="A80" s="1227"/>
      <c r="B80" s="3042"/>
      <c r="C80" s="24"/>
      <c r="D80" s="1125"/>
      <c r="E80" s="74"/>
      <c r="F80" s="275"/>
      <c r="G80" s="275"/>
      <c r="H80" s="996"/>
      <c r="I80" s="996"/>
      <c r="J80" s="1142"/>
      <c r="K80" s="1142"/>
      <c r="L80" s="1143"/>
      <c r="M80" s="1143"/>
      <c r="N80" s="1143"/>
      <c r="O80" s="101"/>
      <c r="P80" s="1227"/>
      <c r="Q80" s="1227"/>
      <c r="R80" s="1227"/>
      <c r="S80" s="1227"/>
      <c r="U80" s="4257"/>
      <c r="V80" s="4264" t="str">
        <f>IF(U79&lt;SectA_a3,"---",IF(U79&lt;=SectA_a4,ROUND((U79*(SectA_b4/100)-SectA_d4),0),IF(U79&lt;=SectA_a5,ROUND((U79*(SectA_b5/100)-SectA_d5),0),IF(U79&lt;=SectA_a6,ROUND((U79*(SectA_b6/100)-SectA_d6),0),ROUND((U79*(SectA_b7/100)-SectA_d7),0)))))</f>
        <v>---</v>
      </c>
      <c r="W80" s="4264" t="str">
        <f>IF(U79&lt;SectB_a2,"---",IF(U79&lt;=SectB_a3,ROUND((U79*(SectB_b3/100)-SectB_d3),0),IF(U79&lt;=SectB_a4,ROUND((U79*(SectB_b4/100)-SectB_d4),0),IF(U79&lt;=SectB_a5,ROUND((U79*(SectB_b5/100)-SectB_d5),0),IF(U79&lt;=SectB_a6,ROUND((U79*(SectB_b6/100)-SectB_d6),0),ROUND((U79*(SectB_b7/100)-SectB_d7),0))))))</f>
        <v>---</v>
      </c>
      <c r="X80" s="4264" t="str">
        <f>IF(U79&lt;SectC_a2,"---",IF(U79&lt;=SectC_a3,ROUND((U79*(SectC_b3/100)-SectC_d3),0),IF(U79&lt;=SectC_a4,ROUND((U79*(SectC_b4/100)-SectC_d4),0),IF(U79&lt;=SectC_a5,ROUND((U79*(SectC_b5/100)-SectC_d5),0),ROUND((U79*(SectC_b6/100)-SectC_d6),0)))))</f>
        <v>---</v>
      </c>
      <c r="Y80" s="4265" t="str">
        <f>IF(U79&lt;SectD_a2,"---",IF(U79&lt;=SectD_a3,ROUND((U79*(SectD_b3/100)-SectD_d3),0),IF(U79&lt;=SectD_a4,ROUND((U79*(SectD_b4/100)-SectD_d4),0),IF(U79&lt;=SectD_a5,ROUND((U79*(SectD_b5/100)-SectD_d5),0),IF(U79&lt;=SectD_a6,ROUND((U79*(SectD_b6/100)-SectD_d6),0),ROUND((U79*(SectD_b7/100)-SectD_d7),0))))))</f>
        <v>---</v>
      </c>
    </row>
    <row r="81" spans="1:27" ht="13.5" thickBot="1">
      <c r="A81" s="1227"/>
      <c r="B81" s="3042"/>
      <c r="C81" s="24"/>
      <c r="D81" s="3038" t="s">
        <v>2000</v>
      </c>
      <c r="E81" s="74" t="s">
        <v>1999</v>
      </c>
      <c r="F81" s="275"/>
      <c r="G81" s="275"/>
      <c r="H81" s="996"/>
      <c r="I81" s="996"/>
      <c r="J81" s="1142"/>
      <c r="K81" s="1142"/>
      <c r="L81" s="1143"/>
      <c r="M81" s="1143"/>
      <c r="N81" s="1143"/>
      <c r="O81" s="101"/>
      <c r="P81" s="1227"/>
      <c r="Q81" s="1227"/>
      <c r="R81" s="1227"/>
      <c r="S81" s="1227"/>
      <c r="U81" s="4258" t="str">
        <f>IF(File_Single&lt;&gt;"",V79,IF(File_Marr_Joint&lt;&gt;"",W79,IF(File_Marr_Sep&lt;&gt;"", X79,IF(File_Head&lt;&gt;"",Y79,IF(File_Qual_Widow&lt;&gt;"",W79,"Filing status?")))))</f>
        <v>Filing status?</v>
      </c>
      <c r="V81" s="2563" t="str">
        <f>"&lt;100k"</f>
        <v>&lt;100k</v>
      </c>
      <c r="W81" s="2563"/>
      <c r="X81" s="2563"/>
      <c r="Y81" s="4261"/>
    </row>
    <row r="82" spans="1:27" ht="13.5" thickBot="1">
      <c r="A82" s="1227"/>
      <c r="B82" s="3042"/>
      <c r="C82" s="1443"/>
      <c r="D82" s="1125"/>
      <c r="E82" s="74" t="s">
        <v>1422</v>
      </c>
      <c r="F82" s="275"/>
      <c r="G82" s="275"/>
      <c r="H82" s="996"/>
      <c r="I82" s="996"/>
      <c r="J82" s="1142"/>
      <c r="K82" s="1142"/>
      <c r="L82" s="289" t="s">
        <v>3857</v>
      </c>
      <c r="M82" s="1673" t="s">
        <v>2000</v>
      </c>
      <c r="N82" s="4292" t="str">
        <f>IF(R82&lt;&gt;"",ROUND(R82,0),IF(FEI_Tax_Worksheet,SUM(ForeignHousingExclusion,ForeignHousingDeduction),""))</f>
        <v/>
      </c>
      <c r="O82" s="101"/>
      <c r="P82" s="1227"/>
      <c r="Q82" s="1227"/>
      <c r="R82" s="4750"/>
      <c r="S82" s="1227"/>
      <c r="U82" s="4259" t="str">
        <f>IF(File_Single&lt;&gt;"",V80,IF(OR(File_Marr_Joint&lt;&gt;"",File_Qual_Widow&lt;&gt;""),W80,IF(File_Marr_Sep&lt;&gt;"", X80,IF(File_Head&lt;&gt;"",Y80,"Filing status?"))))</f>
        <v>Filing status?</v>
      </c>
      <c r="V82" s="4260" t="str">
        <f>"&gt;=100k"</f>
        <v>&gt;=100k</v>
      </c>
      <c r="W82" s="4260"/>
      <c r="X82" s="4266" t="s">
        <v>3630</v>
      </c>
      <c r="Y82" s="4267" t="str">
        <f>IF(U79&gt;100000,U82,U81)</f>
        <v>Filing status?</v>
      </c>
    </row>
    <row r="83" spans="1:27" ht="13.5" thickTop="1">
      <c r="A83" s="1227"/>
      <c r="B83" s="3042"/>
      <c r="C83" s="1443"/>
      <c r="D83" s="3038" t="s">
        <v>702</v>
      </c>
      <c r="E83" s="74" t="s">
        <v>2001</v>
      </c>
      <c r="F83" s="275"/>
      <c r="G83" s="275"/>
      <c r="H83" s="996"/>
      <c r="I83" s="996"/>
      <c r="J83" s="1142"/>
      <c r="K83" s="1142"/>
      <c r="L83" s="1143"/>
      <c r="M83" s="1143"/>
      <c r="N83" s="1143"/>
      <c r="O83" s="101"/>
      <c r="P83" s="1227"/>
      <c r="Q83" s="1227"/>
      <c r="R83" s="1227"/>
      <c r="S83" s="1227"/>
      <c r="Y83" s="46" t="b">
        <f>Y82=MIN(Y82,V117,X174)</f>
        <v>0</v>
      </c>
    </row>
    <row r="84" spans="1:27" ht="13.5" thickBot="1">
      <c r="A84" s="1227"/>
      <c r="B84" s="3042"/>
      <c r="C84" s="1443"/>
      <c r="D84" s="1125"/>
      <c r="E84" s="74" t="s">
        <v>2002</v>
      </c>
      <c r="F84" s="275"/>
      <c r="G84" s="275"/>
      <c r="H84" s="996"/>
      <c r="I84" s="996"/>
      <c r="J84" s="1142"/>
      <c r="K84" s="1142"/>
      <c r="L84" s="289" t="s">
        <v>3858</v>
      </c>
      <c r="M84" s="1673" t="s">
        <v>702</v>
      </c>
      <c r="N84" s="2323"/>
      <c r="O84" s="101"/>
      <c r="P84" s="1227"/>
      <c r="Q84" s="1227"/>
      <c r="R84" s="1227"/>
      <c r="S84" s="1227"/>
      <c r="U84" s="270" t="str">
        <f>"FEI_TW_Line2c"</f>
        <v>FEI_TW_Line2c</v>
      </c>
      <c r="V84" s="277" t="s">
        <v>77</v>
      </c>
      <c r="W84" s="277" t="s">
        <v>3629</v>
      </c>
      <c r="X84" s="277" t="s">
        <v>531</v>
      </c>
      <c r="Y84" s="277" t="s">
        <v>2508</v>
      </c>
    </row>
    <row r="85" spans="1:27" ht="14.25" thickTop="1" thickBot="1">
      <c r="A85" s="1227"/>
      <c r="B85" s="3042"/>
      <c r="C85" s="1443"/>
      <c r="D85" s="3038" t="s">
        <v>700</v>
      </c>
      <c r="E85" s="74" t="s">
        <v>1985</v>
      </c>
      <c r="F85" s="275"/>
      <c r="G85" s="275"/>
      <c r="H85" s="996"/>
      <c r="I85" s="996"/>
      <c r="J85" s="1142"/>
      <c r="K85" s="1142"/>
      <c r="L85" s="289" t="s">
        <v>3859</v>
      </c>
      <c r="M85" s="1673" t="s">
        <v>700</v>
      </c>
      <c r="N85" s="4292" t="str">
        <f>IF(FEI_Tax_Worksheet,MAX(0,SUM(N82,-N84)),"")</f>
        <v/>
      </c>
      <c r="O85" s="101"/>
      <c r="P85" s="1227"/>
      <c r="Q85" s="1227"/>
      <c r="R85" s="1227"/>
      <c r="S85" s="1227"/>
      <c r="U85" s="4268" t="str">
        <f>FEI_TW_Line2c</f>
        <v/>
      </c>
      <c r="V85" s="4262" t="e">
        <f>LOOKUP(U85,'Tax Table'!$B$2:$B$2063,'Tax Table'!$D$2:$D$2063)</f>
        <v>#N/A</v>
      </c>
      <c r="W85" s="4262" t="e">
        <f>LOOKUP(U85,'Tax Table'!$B$2:$B$2063,'Tax Table'!$E$2:$E$2063)</f>
        <v>#N/A</v>
      </c>
      <c r="X85" s="4262" t="e">
        <f>LOOKUP(U85,'Tax Table'!$B$2:$B$2063,'Tax Table'!$F$2:$F$2063)</f>
        <v>#N/A</v>
      </c>
      <c r="Y85" s="4263" t="e">
        <f>LOOKUP(U85,'Tax Table'!$B$2:$B$2063,'Tax Table'!$G$2:$G$2063)</f>
        <v>#N/A</v>
      </c>
    </row>
    <row r="86" spans="1:27" ht="9" customHeight="1" thickBot="1">
      <c r="A86" s="1227"/>
      <c r="B86" s="3042"/>
      <c r="C86" s="1443"/>
      <c r="D86" s="1125"/>
      <c r="E86" s="74"/>
      <c r="F86" s="275"/>
      <c r="G86" s="275"/>
      <c r="H86" s="996"/>
      <c r="I86" s="996"/>
      <c r="J86" s="1142"/>
      <c r="K86" s="1142"/>
      <c r="L86" s="1143"/>
      <c r="M86" s="1143"/>
      <c r="N86" s="1143"/>
      <c r="O86" s="101"/>
      <c r="P86" s="1227"/>
      <c r="Q86" s="1227"/>
      <c r="R86" s="1227"/>
      <c r="S86" s="1227"/>
      <c r="U86" s="4257"/>
      <c r="V86" s="4264" t="e">
        <f>IF(U85&lt;SectA_a3,"---",IF(U85&lt;=SectA_a4,ROUND((U85*(SectA_b4/100)-SectA_d4),0),IF(U85&lt;=SectA_a5,ROUND((U85*(SectA_b5/100)-SectA_d5),0),IF(U85&lt;=SectA_a6,ROUND((U85*(SectA_b6/100)-SectA_d6),0),ROUND((U85*(SectA_b7/100)-SectA_d7),0)))))</f>
        <v>#VALUE!</v>
      </c>
      <c r="W86" s="4264" t="e">
        <f>IF(U85&lt;SectB_a2,"---",IF(U85&lt;=SectB_a3,ROUND((U85*(SectB_b3/100)-SectB_d3),0),IF(U85&lt;=SectB_a4,ROUND((U85*(SectB_b4/100)-SectB_d4),0),IF(U85&lt;=SectB_a5,ROUND((U85*(SectB_b5/100)-SectB_d5),0),IF(U85&lt;=SectB_a6,ROUND((U85*(SectB_b6/100)-SectB_d6),0),ROUND((U85*(SectB_b7/100)-SectB_d7),0))))))</f>
        <v>#VALUE!</v>
      </c>
      <c r="X86" s="4264" t="e">
        <f>IF(U85&lt;SectC_a2,"---",IF(U85&lt;=SectC_a3,ROUND((U85*(SectC_b3/100)-SectC_d3),0),IF(U85&lt;=SectC_a4,ROUND((U85*(SectC_b4/100)-SectC_d4),0),IF(U85&lt;=SectC_a5,ROUND((U85*(SectC_b5/100)-SectC_d5),0),ROUND((U85*(SectC_b6/100)-SectC_d6),0)))))</f>
        <v>#VALUE!</v>
      </c>
      <c r="Y86" s="4265" t="e">
        <f>IF(U85&lt;SectD_a2,"---",IF(U85&lt;=SectD_a3,ROUND((U85*(SectD_b3/100)-SectD_d3),0),IF(U85&lt;=SectD_a4,ROUND((U85*(SectD_b4/100)-SectD_d4),0),IF(U85&lt;=SectD_a5,ROUND((U85*(SectD_b5/100)-SectD_d5),0),IF(U85&lt;=SectD_a6,ROUND((U85*(SectD_b6/100)-SectD_d6),0),ROUND((U85*(SectD_b7/100)-SectD_d7),0))))))</f>
        <v>#VALUE!</v>
      </c>
    </row>
    <row r="87" spans="1:27" ht="13.5" thickBot="1">
      <c r="A87" s="1227"/>
      <c r="B87" s="3042"/>
      <c r="C87" s="1443"/>
      <c r="D87" s="3038" t="s">
        <v>1</v>
      </c>
      <c r="E87" s="74" t="s">
        <v>1986</v>
      </c>
      <c r="F87" s="275"/>
      <c r="G87" s="275"/>
      <c r="H87" s="996"/>
      <c r="I87" s="996"/>
      <c r="J87" s="1142"/>
      <c r="K87" s="1142"/>
      <c r="L87" s="289" t="s">
        <v>1004</v>
      </c>
      <c r="M87" s="1673" t="s">
        <v>1</v>
      </c>
      <c r="N87" s="4292" t="str">
        <f>IF(FEI_Tax_Worksheet,SUM(N79,N85),"")</f>
        <v/>
      </c>
      <c r="O87" s="101"/>
      <c r="P87" s="1227"/>
      <c r="Q87" s="1227"/>
      <c r="R87" s="1227"/>
      <c r="S87" s="1227"/>
      <c r="U87" s="4258" t="str">
        <f>IF(File_Single&lt;&gt;"",V85,IF(File_Marr_Joint&lt;&gt;"",W85,IF(File_Marr_Sep&lt;&gt;"", X85,IF(File_Head&lt;&gt;"",Y85,IF(File_Qual_Widow&lt;&gt;"",W85,"Filing status?")))))</f>
        <v>Filing status?</v>
      </c>
      <c r="V87" s="2563" t="str">
        <f>"&lt;100k"</f>
        <v>&lt;100k</v>
      </c>
      <c r="W87" s="2563"/>
      <c r="X87" s="2563"/>
      <c r="Y87" s="4261"/>
    </row>
    <row r="88" spans="1:27" ht="13.5" thickBot="1">
      <c r="A88" s="1227"/>
      <c r="B88" s="3042"/>
      <c r="C88" s="1443"/>
      <c r="D88" s="1125"/>
      <c r="E88" s="74"/>
      <c r="F88" s="275"/>
      <c r="G88" s="275"/>
      <c r="H88" s="996"/>
      <c r="I88" s="996"/>
      <c r="J88" s="1142"/>
      <c r="K88" s="1142"/>
      <c r="L88" s="1143"/>
      <c r="M88" s="1143"/>
      <c r="N88" s="1143">
        <f>IF(N87="",0,N87)</f>
        <v>0</v>
      </c>
      <c r="O88" s="101"/>
      <c r="P88" s="1227"/>
      <c r="Q88" s="1227"/>
      <c r="R88" s="1227"/>
      <c r="S88" s="1227"/>
      <c r="U88" s="4259" t="str">
        <f>IF(File_Single&lt;&gt;"",V86,IF(OR(File_Marr_Joint&lt;&gt;"",File_Qual_Widow&lt;&gt;""),W86,IF(File_Marr_Sep&lt;&gt;"", X86,IF(File_Head&lt;&gt;"",Y86,"Filing status?"))))</f>
        <v>Filing status?</v>
      </c>
      <c r="V88" s="4260" t="str">
        <f>"&gt;=100k"</f>
        <v>&gt;=100k</v>
      </c>
      <c r="W88" s="4260"/>
      <c r="X88" s="4266" t="s">
        <v>3630</v>
      </c>
      <c r="Y88" s="4267" t="str">
        <f>IF(U85&gt;100000,U88,U87)</f>
        <v>Filing status?</v>
      </c>
    </row>
    <row r="89" spans="1:27" ht="13.5" thickTop="1">
      <c r="A89" s="1227"/>
      <c r="B89" s="3042"/>
      <c r="C89" s="1443"/>
      <c r="D89" s="3038" t="s">
        <v>455</v>
      </c>
      <c r="E89" s="74" t="s">
        <v>3695</v>
      </c>
      <c r="F89" s="275"/>
      <c r="G89" s="275"/>
      <c r="H89" s="996"/>
      <c r="I89" s="996"/>
      <c r="J89" s="1142"/>
      <c r="K89" s="1142"/>
      <c r="L89" s="1143"/>
      <c r="M89" s="1143"/>
      <c r="N89" s="1143"/>
      <c r="O89" s="101"/>
      <c r="P89" s="1227"/>
      <c r="Q89" s="1227"/>
      <c r="R89" s="1227"/>
      <c r="S89" s="1227"/>
      <c r="U89" s="479"/>
      <c r="V89" s="479"/>
      <c r="W89" s="479"/>
      <c r="X89" s="479"/>
      <c r="Y89" s="479"/>
    </row>
    <row r="90" spans="1:27" ht="13.5" thickBot="1">
      <c r="A90" s="1227"/>
      <c r="B90" s="3042"/>
      <c r="C90" s="1443"/>
      <c r="D90" s="1125"/>
      <c r="E90" s="74" t="s">
        <v>4381</v>
      </c>
      <c r="F90" s="275"/>
      <c r="G90" s="275"/>
      <c r="H90" s="996"/>
      <c r="I90" s="996"/>
      <c r="J90" s="1142"/>
      <c r="K90" s="1142"/>
      <c r="L90" s="1143"/>
      <c r="M90" s="1143"/>
      <c r="N90" s="5786" t="str">
        <f>IF(R93&lt;&gt;"","Manual override",IF(AND(U79&gt;100000,Y83),"Tax Formula",IF(Y83,"Tax Table",IF(Z174,"Sch. D Tax Worksheet",IF(AA118,"Qualified Div &amp; Capital Gain Tax Worksheet","")))))</f>
        <v/>
      </c>
      <c r="O90" s="101"/>
      <c r="P90" s="1227"/>
      <c r="Q90" s="1227"/>
      <c r="R90" s="1227"/>
      <c r="S90" s="1227"/>
      <c r="U90" s="479"/>
      <c r="V90" s="479"/>
      <c r="W90" s="479"/>
      <c r="X90" s="479"/>
      <c r="Y90" s="479"/>
    </row>
    <row r="91" spans="1:27" ht="13.5" customHeight="1">
      <c r="A91" s="1227"/>
      <c r="B91" s="3042"/>
      <c r="C91" s="1443"/>
      <c r="D91" s="1125"/>
      <c r="E91" s="74" t="s">
        <v>3855</v>
      </c>
      <c r="F91" s="275"/>
      <c r="G91" s="275"/>
      <c r="H91" s="996"/>
      <c r="I91" s="996"/>
      <c r="J91" s="1142"/>
      <c r="K91" s="1142"/>
      <c r="L91" s="1143"/>
      <c r="M91" s="1143"/>
      <c r="N91" s="5786"/>
      <c r="O91" s="101"/>
      <c r="P91" s="1227"/>
      <c r="Q91" s="1227"/>
      <c r="R91" s="1227"/>
      <c r="S91" s="1227"/>
      <c r="U91" s="4297" t="s">
        <v>336</v>
      </c>
      <c r="V91" s="4182" t="str">
        <f>IF(NOT(Y91),"",IF(Form2555_Used,FEI_TW_Line3,Taxable_Inc))</f>
        <v/>
      </c>
      <c r="W91" s="4183" t="s">
        <v>3694</v>
      </c>
      <c r="X91" s="1055"/>
      <c r="Y91" s="1055" t="b">
        <f>CGTW</f>
        <v>0</v>
      </c>
      <c r="Z91" s="4189" t="s">
        <v>3641</v>
      </c>
      <c r="AA91" s="4184"/>
    </row>
    <row r="92" spans="1:27">
      <c r="A92" s="1227"/>
      <c r="B92" s="3042"/>
      <c r="C92" s="1443"/>
      <c r="D92" s="1125"/>
      <c r="E92" s="74" t="s">
        <v>2003</v>
      </c>
      <c r="F92" s="275"/>
      <c r="G92" s="275"/>
      <c r="H92" s="996"/>
      <c r="I92" s="996"/>
      <c r="J92" s="1142"/>
      <c r="K92" s="1142"/>
      <c r="L92" s="1143"/>
      <c r="M92" s="1143"/>
      <c r="N92" s="5786"/>
      <c r="O92" s="101"/>
      <c r="P92" s="1227"/>
      <c r="Q92" s="1227"/>
      <c r="R92" s="1227"/>
      <c r="S92" s="1227"/>
      <c r="U92" s="4298" t="s">
        <v>0</v>
      </c>
      <c r="V92" s="4181">
        <f>Qualified_Dividends</f>
        <v>0</v>
      </c>
      <c r="W92" s="1075" t="s">
        <v>3477</v>
      </c>
      <c r="Z92" s="154"/>
      <c r="AA92" s="4281" t="s">
        <v>3642</v>
      </c>
    </row>
    <row r="93" spans="1:27">
      <c r="A93" s="1227"/>
      <c r="B93" s="3042"/>
      <c r="C93" s="1443"/>
      <c r="D93" s="1125"/>
      <c r="E93" s="74" t="s">
        <v>2004</v>
      </c>
      <c r="F93" s="275"/>
      <c r="G93" s="275"/>
      <c r="H93" s="996"/>
      <c r="I93" s="996"/>
      <c r="J93" s="1142"/>
      <c r="K93" s="1142"/>
      <c r="L93" s="289" t="s">
        <v>3860</v>
      </c>
      <c r="M93" s="1673" t="s">
        <v>455</v>
      </c>
      <c r="N93" s="4292">
        <f>IF(R93&lt;&gt;"",ROUND(R93,0),MIN(Y82,V117,X174))</f>
        <v>0</v>
      </c>
      <c r="O93" s="101"/>
      <c r="P93" s="1227"/>
      <c r="Q93" s="1227"/>
      <c r="R93" s="4750"/>
      <c r="S93" s="1227"/>
      <c r="U93" s="4298" t="s">
        <v>1</v>
      </c>
      <c r="V93" s="4181" t="str">
        <f>IF(NOT(FilingScheduleD),CapitalGains,IF(OR(SchDLine15="",SchDLine15&lt;=0,SchDLine16="",SchDLine16&lt;=0),0,MIN(SchDLine15,SchDLine16)))</f>
        <v/>
      </c>
      <c r="W93" s="1075" t="s">
        <v>3478</v>
      </c>
      <c r="AA93" s="4185"/>
    </row>
    <row r="94" spans="1:27">
      <c r="A94" s="1227"/>
      <c r="B94" s="3042"/>
      <c r="C94" s="1443"/>
      <c r="D94" s="1125"/>
      <c r="E94" s="74"/>
      <c r="F94" s="275"/>
      <c r="G94" s="275"/>
      <c r="H94" s="996"/>
      <c r="I94" s="996"/>
      <c r="J94" s="1142"/>
      <c r="K94" s="1142"/>
      <c r="L94" s="1143"/>
      <c r="M94" s="1143"/>
      <c r="N94" s="1143"/>
      <c r="O94" s="101"/>
      <c r="P94" s="1227"/>
      <c r="Q94" s="1227"/>
      <c r="R94" s="1227"/>
      <c r="S94" s="1227"/>
      <c r="U94" s="4298" t="s">
        <v>455</v>
      </c>
      <c r="V94" s="4180">
        <f>SUM(V92,V93)</f>
        <v>0</v>
      </c>
      <c r="W94" s="1075" t="s">
        <v>3482</v>
      </c>
      <c r="AA94" s="4185"/>
    </row>
    <row r="95" spans="1:27">
      <c r="A95" s="1227"/>
      <c r="B95" s="3042"/>
      <c r="C95" s="1443"/>
      <c r="D95" s="3038" t="s">
        <v>35</v>
      </c>
      <c r="E95" s="74" t="s">
        <v>3696</v>
      </c>
      <c r="F95" s="275"/>
      <c r="G95" s="275"/>
      <c r="H95" s="996"/>
      <c r="I95" s="996"/>
      <c r="J95" s="1142"/>
      <c r="K95" s="1142"/>
      <c r="L95" s="1143"/>
      <c r="M95" s="1143"/>
      <c r="N95" s="1143"/>
      <c r="O95" s="101"/>
      <c r="P95" s="1227"/>
      <c r="Q95" s="1227"/>
      <c r="R95" s="1227"/>
      <c r="S95" s="1227"/>
      <c r="U95" s="4298" t="s">
        <v>35</v>
      </c>
      <c r="V95" s="4181" t="str">
        <f>CGTW_Line5</f>
        <v/>
      </c>
      <c r="W95" s="1075" t="s">
        <v>3479</v>
      </c>
      <c r="AA95" s="4185"/>
    </row>
    <row r="96" spans="1:27">
      <c r="A96" s="1227"/>
      <c r="B96" s="3042"/>
      <c r="C96" s="1443"/>
      <c r="D96" s="1125"/>
      <c r="E96" s="74" t="s">
        <v>2005</v>
      </c>
      <c r="F96" s="275"/>
      <c r="G96" s="275"/>
      <c r="H96" s="996"/>
      <c r="I96" s="996"/>
      <c r="J96" s="1142"/>
      <c r="K96" s="1142"/>
      <c r="L96" s="1143"/>
      <c r="M96" s="1143"/>
      <c r="N96" s="1143"/>
      <c r="O96" s="101"/>
      <c r="P96" s="1227"/>
      <c r="Q96" s="1227"/>
      <c r="R96" s="1227"/>
      <c r="S96" s="1227"/>
      <c r="U96" s="4299" t="s">
        <v>75</v>
      </c>
      <c r="V96" s="4180" t="e">
        <f>MAX(0,SUM(V94,-V95))</f>
        <v>#VALUE!</v>
      </c>
      <c r="AA96" s="4185"/>
    </row>
    <row r="97" spans="1:27" ht="13.5" thickBot="1">
      <c r="A97" s="1227"/>
      <c r="B97" s="3042"/>
      <c r="C97" s="1443"/>
      <c r="D97" s="1125"/>
      <c r="E97" s="74" t="s">
        <v>406</v>
      </c>
      <c r="F97" s="275"/>
      <c r="G97" s="275"/>
      <c r="H97" s="996"/>
      <c r="I97" s="996"/>
      <c r="J97" s="1142"/>
      <c r="K97" s="1142"/>
      <c r="L97" s="289" t="s">
        <v>1004</v>
      </c>
      <c r="M97" s="1673" t="s">
        <v>35</v>
      </c>
      <c r="N97" s="4292" t="str">
        <f>IF(R97&lt;&gt;"",ROUND(R97,0),IF(FEI_Tax_Worksheet,Y88,""))</f>
        <v/>
      </c>
      <c r="O97" s="101"/>
      <c r="P97" s="1227"/>
      <c r="Q97" s="1227"/>
      <c r="R97" s="4750"/>
      <c r="S97" s="1227"/>
      <c r="U97" s="4299" t="s">
        <v>76</v>
      </c>
      <c r="V97" s="4180" t="e">
        <f>MAX(0,SUM(V91,-V96))</f>
        <v>#VALUE!</v>
      </c>
      <c r="W97" s="4280" t="s">
        <v>3847</v>
      </c>
      <c r="X97" s="277" t="s">
        <v>77</v>
      </c>
      <c r="Y97" s="277" t="s">
        <v>3629</v>
      </c>
      <c r="Z97" s="277" t="s">
        <v>531</v>
      </c>
      <c r="AA97" s="4251" t="s">
        <v>2508</v>
      </c>
    </row>
    <row r="98" spans="1:27" ht="14.25" thickTop="1" thickBot="1">
      <c r="A98" s="1227"/>
      <c r="B98" s="3042"/>
      <c r="C98" s="1443"/>
      <c r="D98" s="1125"/>
      <c r="E98" s="74"/>
      <c r="F98" s="275"/>
      <c r="G98" s="275"/>
      <c r="H98" s="996"/>
      <c r="I98" s="996"/>
      <c r="J98" s="1142"/>
      <c r="K98" s="1142"/>
      <c r="L98" s="1143"/>
      <c r="M98" s="1143"/>
      <c r="N98" s="1143"/>
      <c r="O98" s="101"/>
      <c r="P98" s="1227"/>
      <c r="Q98" s="1227"/>
      <c r="R98" s="1227"/>
      <c r="S98" s="1227"/>
      <c r="U98" s="4299" t="s">
        <v>232</v>
      </c>
      <c r="V98" s="4180" t="str">
        <f>IF(OR(File_Single&lt;&gt;"",File_Marr_Sep&lt;&gt;""),CGTW_Line8_SMFS,IF(OR(File_Marr_Joint&lt;&gt;"",File_Qual_Widow&lt;&gt;""),CGTW_Line8_MFJQW,IF(File_Head&lt;&gt;"",CGTW_Line8_HOH,"")))</f>
        <v/>
      </c>
      <c r="W98" s="4268" t="str">
        <f>V91</f>
        <v/>
      </c>
      <c r="X98" s="4262" t="e">
        <f>LOOKUP(W98,'Tax Table'!$B$2:$B$2063,'Tax Table'!$D$2:$D$2063)</f>
        <v>#N/A</v>
      </c>
      <c r="Y98" s="4262" t="e">
        <f>LOOKUP(W98,'Tax Table'!$B$2:$B$2063,'Tax Table'!$E$2:$E$2063)</f>
        <v>#N/A</v>
      </c>
      <c r="Z98" s="4262" t="e">
        <f>LOOKUP(W98,'Tax Table'!$B$2:$B$2063,'Tax Table'!$F$2:$F$2063)</f>
        <v>#N/A</v>
      </c>
      <c r="AA98" s="4262" t="e">
        <f>LOOKUP(W98,'Tax Table'!$B$2:$B$2063,'Tax Table'!$G$2:$G$2063)</f>
        <v>#N/A</v>
      </c>
    </row>
    <row r="99" spans="1:27" ht="13.5" thickBot="1">
      <c r="A99" s="1227"/>
      <c r="B99" s="3042"/>
      <c r="C99" s="1443"/>
      <c r="D99" s="3038" t="s">
        <v>75</v>
      </c>
      <c r="E99" s="74" t="s">
        <v>2006</v>
      </c>
      <c r="F99" s="275"/>
      <c r="G99" s="275"/>
      <c r="H99" s="996"/>
      <c r="I99" s="996"/>
      <c r="J99" s="1142"/>
      <c r="K99" s="1142"/>
      <c r="L99" s="1143"/>
      <c r="M99" s="1143"/>
      <c r="N99" s="1143"/>
      <c r="O99" s="101"/>
      <c r="P99" s="1227"/>
      <c r="Q99" s="1227"/>
      <c r="R99" s="1227"/>
      <c r="S99" s="1227"/>
      <c r="U99" s="4299" t="s">
        <v>233</v>
      </c>
      <c r="V99" s="4180">
        <f>MIN(V91,V98)</f>
        <v>0</v>
      </c>
      <c r="W99" s="4257"/>
      <c r="X99" s="4264" t="e">
        <f>IF(W98&lt;SectA_a3,"---",IF(W98&lt;=SectA_a4,ROUND((W98*(SectA_b4/100)-SectA_d4),0),IF(W98&lt;=SectA_a5,ROUND((W98*(SectA_b5/100)-SectA_d5),0),IF(W98&lt;=SectA_a6,ROUND((W98*(SectA_b6/100)-SectA_d6),0),ROUND((W98*(SectA_b7/100)-SectA_d7),0)))))</f>
        <v>#VALUE!</v>
      </c>
      <c r="Y99" s="4264" t="e">
        <f>IF(W98&lt;SectB_a2,"---",IF(W98&lt;=SectB_a3,ROUND((W98*(SectB_b3/100)-SectB_d3),0),IF(W98&lt;=SectB_a4,ROUND((W98*(SectB_b4/100)-SectB_d4),0),IF(W98&lt;=SectB_a5,ROUND((W98*(SectB_b5/100)-SectB_d5),0),IF(W98&lt;=SectB_a6,ROUND((W98*(SectB_b6/100)-SectB_d6),0),ROUND((W98*(SectB_b7/100)-SectB_d7),0))))))</f>
        <v>#VALUE!</v>
      </c>
      <c r="Z99" s="4264" t="e">
        <f>IF(W98&lt;SectC_a2,"---",IF(W98&lt;=SectC_a3,ROUND((W98*(SectC_b3/100)-SectC_d3),0),IF(W98&lt;=SectC_a4,ROUND((W98*(SectC_b4/100)-SectC_d4),0),IF(W98&lt;=SectC_a5,ROUND((W98*(SectC_b5/100)-SectC_d5),0),ROUND((W98*(SectC_b6/100)-SectC_d6),0)))))</f>
        <v>#VALUE!</v>
      </c>
      <c r="AA99" s="4264" t="e">
        <f>IF(W98&lt;SectD_a2,"---",IF(W98&lt;=SectD_a3,ROUND((W98*(SectD_b3/100)-SectD_d3),0),IF(W98&lt;=SectD_a4,ROUND((W98*(SectD_b4/100)-SectD_d4),0),IF(W98&lt;=SectD_a5,ROUND((W98*(SectD_b5/100)-SectD_d5),0),IF(W98&lt;=SectD_a6,ROUND((W98*(SectD_b6/100)-SectD_d6),0),ROUND((W98*(SectD_b7/100)-SectD_d7),0))))))</f>
        <v>#VALUE!</v>
      </c>
    </row>
    <row r="100" spans="1:27" ht="13.5" thickBot="1">
      <c r="A100" s="1227"/>
      <c r="B100" s="3042"/>
      <c r="C100" s="1443"/>
      <c r="D100" s="1125"/>
      <c r="E100" s="74" t="s">
        <v>3856</v>
      </c>
      <c r="F100" s="275"/>
      <c r="G100" s="275"/>
      <c r="H100" s="996"/>
      <c r="I100" s="996"/>
      <c r="J100" s="1142"/>
      <c r="K100" s="1142"/>
      <c r="L100" s="289" t="s">
        <v>4382</v>
      </c>
      <c r="M100" s="1673" t="s">
        <v>75</v>
      </c>
      <c r="N100" s="4292" t="str">
        <f>IF(R100&lt;&gt;"",ROUND(R100,0),IF(FEI_Tax_Worksheet,MAX(0,SUM(N93,-N97)),""))</f>
        <v/>
      </c>
      <c r="O100" s="101"/>
      <c r="P100" s="1227"/>
      <c r="Q100" s="1227"/>
      <c r="R100" s="4750"/>
      <c r="S100" s="1227"/>
      <c r="U100" s="4299" t="s">
        <v>337</v>
      </c>
      <c r="V100" s="4180" t="e">
        <f>MIN(V97,V99)</f>
        <v>#VALUE!</v>
      </c>
      <c r="W100" s="4258" t="str">
        <f>IF(File_Single&lt;&gt;"",X98,IF(File_Marr_Joint&lt;&gt;"",Y98,IF(File_Marr_Sep&lt;&gt;"", Z98,IF(File_Head&lt;&gt;"",AA98,IF(File_Qual_Widow&lt;&gt;"",Y98,"Filing status?")))))</f>
        <v>Filing status?</v>
      </c>
      <c r="X100" s="2563" t="str">
        <f>"&lt;100k"</f>
        <v>&lt;100k</v>
      </c>
      <c r="Y100" s="2563"/>
      <c r="Z100" s="2563"/>
      <c r="AA100" s="2564"/>
    </row>
    <row r="101" spans="1:27" ht="13.5" thickBot="1">
      <c r="A101" s="1227"/>
      <c r="B101" s="3042"/>
      <c r="C101" s="1443"/>
      <c r="D101" s="1125"/>
      <c r="E101" s="1051"/>
      <c r="F101" s="74"/>
      <c r="G101" s="275"/>
      <c r="H101" s="275"/>
      <c r="I101" s="996"/>
      <c r="J101" s="1142"/>
      <c r="K101" s="1142"/>
      <c r="L101" s="1143"/>
      <c r="M101" s="1143"/>
      <c r="N101" s="1143"/>
      <c r="O101" s="101"/>
      <c r="P101" s="1227"/>
      <c r="Q101" s="1227"/>
      <c r="R101" s="1227"/>
      <c r="S101" s="1227"/>
      <c r="U101" s="4299" t="s">
        <v>338</v>
      </c>
      <c r="V101" s="4180" t="e">
        <f>SUM(V99,-V100)</f>
        <v>#VALUE!</v>
      </c>
      <c r="W101" s="4259" t="str">
        <f>IF(File_Single&lt;&gt;"",X99,IF(OR(File_Marr_Joint&lt;&gt;"",File_Qual_Widow&lt;&gt;""),Y99,IF(File_Marr_Sep&lt;&gt;"", Z99,IF(File_Head&lt;&gt;"",AA99,"Filing status?"))))</f>
        <v>Filing status?</v>
      </c>
      <c r="X101" s="4260" t="str">
        <f>"&gt;=100k"</f>
        <v>&gt;=100k</v>
      </c>
      <c r="Y101" s="4260"/>
      <c r="Z101" s="4266" t="s">
        <v>3630</v>
      </c>
      <c r="AA101" s="4282" t="str">
        <f>IF(W98&gt;100000,W101,W100)</f>
        <v>Filing status?</v>
      </c>
    </row>
    <row r="102" spans="1:27" ht="13.5" thickTop="1">
      <c r="A102" s="3054"/>
      <c r="B102" s="3055" t="s">
        <v>2010</v>
      </c>
      <c r="C102" s="3042"/>
      <c r="D102" s="1443"/>
      <c r="E102" s="74"/>
      <c r="F102" s="275"/>
      <c r="G102" s="275"/>
      <c r="H102" s="996"/>
      <c r="I102" s="1142"/>
      <c r="J102" s="1142"/>
      <c r="K102" s="1142"/>
      <c r="L102" s="1143"/>
      <c r="M102" s="1143"/>
      <c r="N102" s="1143"/>
      <c r="O102" s="101"/>
      <c r="P102" s="1227"/>
      <c r="Q102" s="1227"/>
      <c r="R102" s="1227"/>
      <c r="S102" s="1227"/>
      <c r="U102" s="4299" t="s">
        <v>339</v>
      </c>
      <c r="V102" s="4180" t="e">
        <f>MIN(V91,V96)</f>
        <v>#VALUE!</v>
      </c>
      <c r="AA102" s="4442" t="s">
        <v>3849</v>
      </c>
    </row>
    <row r="103" spans="1:27">
      <c r="A103" s="3054"/>
      <c r="B103" s="3055" t="s">
        <v>2007</v>
      </c>
      <c r="C103" s="3042"/>
      <c r="D103" s="1443"/>
      <c r="E103" s="74"/>
      <c r="F103" s="275"/>
      <c r="G103" s="275"/>
      <c r="H103" s="996"/>
      <c r="I103" s="1142"/>
      <c r="J103" s="1142"/>
      <c r="K103" s="1142"/>
      <c r="L103" s="1143"/>
      <c r="M103" s="1143"/>
      <c r="N103" s="1143"/>
      <c r="O103" s="101"/>
      <c r="P103" s="1227"/>
      <c r="Q103" s="1227"/>
      <c r="R103" s="1227"/>
      <c r="S103" s="1227"/>
      <c r="U103" s="4299" t="s">
        <v>498</v>
      </c>
      <c r="V103" s="4180" t="e">
        <f>V101</f>
        <v>#VALUE!</v>
      </c>
      <c r="AA103" s="4185"/>
    </row>
    <row r="104" spans="1:27">
      <c r="A104" s="3054"/>
      <c r="B104" s="3055" t="s">
        <v>2008</v>
      </c>
      <c r="C104" s="3042"/>
      <c r="D104" s="1443"/>
      <c r="E104" s="74"/>
      <c r="F104" s="275"/>
      <c r="G104" s="275"/>
      <c r="H104" s="996"/>
      <c r="I104" s="1142"/>
      <c r="J104" s="1142"/>
      <c r="K104" s="1142"/>
      <c r="L104" s="1143"/>
      <c r="M104" s="1143"/>
      <c r="N104" s="1143"/>
      <c r="O104" s="101"/>
      <c r="P104" s="1227"/>
      <c r="Q104" s="1227"/>
      <c r="R104" s="1227"/>
      <c r="S104" s="1227"/>
      <c r="U104" s="4299" t="s">
        <v>499</v>
      </c>
      <c r="V104" s="4180" t="e">
        <f>SUM(V102,-V103)</f>
        <v>#VALUE!</v>
      </c>
      <c r="AA104" s="4185"/>
    </row>
    <row r="105" spans="1:27" ht="13.5" thickBot="1">
      <c r="A105" s="3054"/>
      <c r="B105" s="3055" t="s">
        <v>4383</v>
      </c>
      <c r="C105" s="3042"/>
      <c r="D105" s="1443"/>
      <c r="E105" s="74"/>
      <c r="F105" s="275"/>
      <c r="G105" s="275"/>
      <c r="H105" s="996"/>
      <c r="I105" s="1142"/>
      <c r="J105" s="1142"/>
      <c r="K105" s="1142"/>
      <c r="L105" s="1143"/>
      <c r="M105" s="1143"/>
      <c r="N105" s="1143"/>
      <c r="O105" s="101"/>
      <c r="P105" s="1227"/>
      <c r="Q105" s="1227"/>
      <c r="R105" s="1227"/>
      <c r="S105" s="1227"/>
      <c r="U105" s="4299" t="s">
        <v>500</v>
      </c>
      <c r="V105" s="4180" t="str">
        <f>IF(File_Single&lt;&gt;"",CGTW_Line15_Single,IF(File_Marr_Sep&lt;&gt;"",CGTW_Line15_MFS,IF(OR(File_Marr_Joint&lt;&gt;"",File_Qual_Widow&lt;&gt;""),CGTW_Line15_MFJQW,IF(File_Head&lt;&gt;"",CGTW_Line15_HOH,""))))</f>
        <v/>
      </c>
      <c r="W105" s="4280" t="s">
        <v>3848</v>
      </c>
      <c r="X105" s="277" t="s">
        <v>77</v>
      </c>
      <c r="Y105" s="277" t="s">
        <v>3629</v>
      </c>
      <c r="Z105" s="277" t="s">
        <v>531</v>
      </c>
      <c r="AA105" s="4251" t="s">
        <v>2508</v>
      </c>
    </row>
    <row r="106" spans="1:27" ht="14.25" thickTop="1" thickBot="1">
      <c r="A106" s="3054"/>
      <c r="B106" s="3055" t="s">
        <v>2009</v>
      </c>
      <c r="C106" s="3042"/>
      <c r="D106" s="1443"/>
      <c r="E106" s="74"/>
      <c r="F106" s="275"/>
      <c r="G106" s="275"/>
      <c r="H106" s="996"/>
      <c r="I106" s="1142"/>
      <c r="J106" s="1142"/>
      <c r="K106" s="1142"/>
      <c r="L106" s="1143"/>
      <c r="M106" s="1143"/>
      <c r="N106" s="1143"/>
      <c r="O106" s="101"/>
      <c r="P106" s="1227"/>
      <c r="Q106" s="1227"/>
      <c r="R106" s="1227"/>
      <c r="S106" s="1227"/>
      <c r="U106" s="4299" t="s">
        <v>215</v>
      </c>
      <c r="V106" s="4180">
        <f>MIN(V91,V105)</f>
        <v>0</v>
      </c>
      <c r="W106" s="4268" t="e">
        <f>V97</f>
        <v>#VALUE!</v>
      </c>
      <c r="X106" s="4262" t="e">
        <f>LOOKUP(W106,'Tax Table'!$B$2:$B$2063,'Tax Table'!$D$2:$D$2063)</f>
        <v>#VALUE!</v>
      </c>
      <c r="Y106" s="4262" t="e">
        <f>LOOKUP(W106,'Tax Table'!$B$2:$B$2063,'Tax Table'!$E$2:$E$2063)</f>
        <v>#VALUE!</v>
      </c>
      <c r="Z106" s="4262" t="e">
        <f>LOOKUP(W106,'Tax Table'!$B$2:$B$2063,'Tax Table'!$F$2:$F$2063)</f>
        <v>#VALUE!</v>
      </c>
      <c r="AA106" s="4262" t="e">
        <f>LOOKUP(W106,'Tax Table'!$B$2:$B$2063,'Tax Table'!$G$2:$G$2063)</f>
        <v>#VALUE!</v>
      </c>
    </row>
    <row r="107" spans="1:27" ht="13.5" thickBot="1">
      <c r="A107" s="3054"/>
      <c r="B107" s="3055" t="s">
        <v>4384</v>
      </c>
      <c r="C107" s="3042"/>
      <c r="D107" s="1443"/>
      <c r="E107" s="74"/>
      <c r="F107" s="275"/>
      <c r="G107" s="275"/>
      <c r="H107" s="996"/>
      <c r="I107" s="1142"/>
      <c r="J107" s="1142"/>
      <c r="K107" s="1142"/>
      <c r="L107" s="1143"/>
      <c r="M107" s="1143"/>
      <c r="N107" s="1143"/>
      <c r="O107" s="101"/>
      <c r="P107" s="1227"/>
      <c r="Q107" s="1227"/>
      <c r="R107" s="1227"/>
      <c r="S107" s="1227"/>
      <c r="U107" s="4299" t="s">
        <v>559</v>
      </c>
      <c r="V107" s="4180" t="e">
        <f>SUM(V97,-V101)</f>
        <v>#VALUE!</v>
      </c>
      <c r="W107" s="4257"/>
      <c r="X107" s="4264" t="e">
        <f>IF(W106&lt;SectA_a3,"---",IF(W106&lt;=SectA_a4,ROUND((W106*(SectA_b4/100)-SectA_d4),0),IF(W106&lt;=SectA_a5,ROUND((W106*(SectA_b5/100)-SectA_d5),0),IF(W106&lt;=SectA_a6,ROUND((W106*(SectA_b6/100)-SectA_d6),0),ROUND((W106*(SectA_b7/100)-SectA_d7),0)))))</f>
        <v>#VALUE!</v>
      </c>
      <c r="Y107" s="4264" t="e">
        <f>IF(W106&lt;SectB_a2,"---",IF(W106&lt;=SectB_a3,ROUND((W106*(SectB_b3/100)-SectB_d3),0),IF(W106&lt;=SectB_a4,ROUND((W106*(SectB_b4/100)-SectB_d4),0),IF(W106&lt;=SectB_a5,ROUND((W106*(SectB_b5/100)-SectB_d5),0),IF(W106&lt;=SectB_a6,ROUND((W106*(SectB_b6/100)-SectB_d6),0),ROUND((W106*(SectB_b7/100)-SectB_d7),0))))))</f>
        <v>#VALUE!</v>
      </c>
      <c r="Z107" s="4264" t="e">
        <f>IF(W106&lt;SectC_a2,"---",IF(W106&lt;=SectC_a3,ROUND((W106*(SectC_b3/100)-SectC_d3),0),IF(W106&lt;=SectC_a4,ROUND((W106*(SectC_b4/100)-SectC_d4),0),IF(W106&lt;=SectC_a5,ROUND((W106*(SectC_b5/100)-SectC_d5),0),ROUND((W106*(SectC_b6/100)-SectC_d6),0)))))</f>
        <v>#VALUE!</v>
      </c>
      <c r="AA107" s="4264" t="e">
        <f>IF(W106&lt;SectD_a2,"---",IF(W106&lt;=SectD_a3,ROUND((W106*(SectD_b3/100)-SectD_d3),0),IF(W106&lt;=SectD_a4,ROUND((W106*(SectD_b4/100)-SectD_d4),0),IF(W106&lt;=SectD_a5,ROUND((W106*(SectD_b5/100)-SectD_d5),0),IF(W106&lt;=SectD_a6,ROUND((W106*(SectD_b6/100)-SectD_d6),0),ROUND((W106*(SectD_b7/100)-SectD_d7),0))))))</f>
        <v>#VALUE!</v>
      </c>
    </row>
    <row r="108" spans="1:27" ht="13.5" thickBot="1">
      <c r="A108" s="3054"/>
      <c r="B108" s="3055" t="s">
        <v>2011</v>
      </c>
      <c r="C108" s="3042"/>
      <c r="D108" s="1443"/>
      <c r="E108" s="74"/>
      <c r="F108" s="275"/>
      <c r="G108" s="275"/>
      <c r="H108" s="996"/>
      <c r="I108" s="1142"/>
      <c r="J108" s="1142"/>
      <c r="K108" s="1142"/>
      <c r="L108" s="1143"/>
      <c r="M108" s="1143"/>
      <c r="N108" s="1143"/>
      <c r="O108" s="101"/>
      <c r="P108" s="1227"/>
      <c r="Q108" s="1227"/>
      <c r="R108" s="1227"/>
      <c r="S108" s="1227"/>
      <c r="U108" s="4299" t="s">
        <v>560</v>
      </c>
      <c r="V108" s="4180" t="e">
        <f>MAX(0,SUM(V106,-V107))</f>
        <v>#VALUE!</v>
      </c>
      <c r="W108" s="4258" t="str">
        <f>IF(File_Single&lt;&gt;"",X106,IF(File_Marr_Joint&lt;&gt;"",Y106,IF(File_Marr_Sep&lt;&gt;"", Z106,IF(File_Head&lt;&gt;"",AA106,IF(File_Qual_Widow&lt;&gt;"",Y106,"Filing status?")))))</f>
        <v>Filing status?</v>
      </c>
      <c r="X108" s="2563" t="str">
        <f>"&lt;100k"</f>
        <v>&lt;100k</v>
      </c>
      <c r="Y108" s="2563"/>
      <c r="Z108" s="2563"/>
      <c r="AA108" s="2564"/>
    </row>
    <row r="109" spans="1:27" ht="13.5" thickBot="1">
      <c r="A109" s="3054"/>
      <c r="B109" s="3055" t="s">
        <v>2012</v>
      </c>
      <c r="C109" s="3042"/>
      <c r="D109" s="1443"/>
      <c r="E109" s="74"/>
      <c r="F109" s="275"/>
      <c r="G109" s="275"/>
      <c r="H109" s="996"/>
      <c r="I109" s="1142"/>
      <c r="J109" s="1142"/>
      <c r="K109" s="1142"/>
      <c r="L109" s="1143"/>
      <c r="M109" s="1143"/>
      <c r="N109" s="1143"/>
      <c r="O109" s="101"/>
      <c r="P109" s="1227"/>
      <c r="Q109" s="1227"/>
      <c r="R109" s="1227"/>
      <c r="S109" s="1227"/>
      <c r="U109" s="4299" t="s">
        <v>561</v>
      </c>
      <c r="V109" s="4180" t="e">
        <f>MIN(V104,V108)</f>
        <v>#VALUE!</v>
      </c>
      <c r="W109" s="4259" t="str">
        <f>IF(File_Single&lt;&gt;"",X107,IF(OR(File_Marr_Joint&lt;&gt;"",File_Qual_Widow&lt;&gt;""),Y107,IF(File_Marr_Sep&lt;&gt;"", Z107,IF(File_Head&lt;&gt;"",AA107,"Filing status?"))))</f>
        <v>Filing status?</v>
      </c>
      <c r="X109" s="4260" t="str">
        <f>"&gt;=100k"</f>
        <v>&gt;=100k</v>
      </c>
      <c r="Y109" s="4260"/>
      <c r="Z109" s="4266" t="s">
        <v>3630</v>
      </c>
      <c r="AA109" s="4282" t="e">
        <f>IF(W106&gt;100000,W109,W108)</f>
        <v>#VALUE!</v>
      </c>
    </row>
    <row r="110" spans="1:27" ht="13.5" thickTop="1">
      <c r="A110" s="3054"/>
      <c r="B110" s="3055" t="s">
        <v>2013</v>
      </c>
      <c r="C110" s="3042"/>
      <c r="D110" s="1443"/>
      <c r="E110" s="74"/>
      <c r="F110" s="275"/>
      <c r="G110" s="275"/>
      <c r="H110" s="996"/>
      <c r="I110" s="1142"/>
      <c r="J110" s="1142"/>
      <c r="K110" s="1142"/>
      <c r="L110" s="1143"/>
      <c r="M110" s="1143"/>
      <c r="N110" s="1143"/>
      <c r="O110" s="101"/>
      <c r="P110" s="1227"/>
      <c r="Q110" s="1227"/>
      <c r="R110" s="1227"/>
      <c r="S110" s="1227"/>
      <c r="U110" s="4300" t="s">
        <v>392</v>
      </c>
      <c r="V110" s="4180" t="e">
        <f>ROUND((V109*CGTW_Line20_PCT),0)</f>
        <v>#VALUE!</v>
      </c>
      <c r="AA110" s="4442" t="s">
        <v>3850</v>
      </c>
    </row>
    <row r="111" spans="1:27">
      <c r="A111" s="3054"/>
      <c r="B111" s="3055" t="s">
        <v>2014</v>
      </c>
      <c r="C111" s="3042"/>
      <c r="D111" s="1443"/>
      <c r="E111" s="74"/>
      <c r="F111" s="275"/>
      <c r="G111" s="275"/>
      <c r="H111" s="996"/>
      <c r="I111" s="1142"/>
      <c r="J111" s="1142"/>
      <c r="K111" s="1142"/>
      <c r="L111" s="1143"/>
      <c r="M111" s="1143"/>
      <c r="N111" s="1143"/>
      <c r="O111" s="101"/>
      <c r="P111" s="1227"/>
      <c r="Q111" s="1227"/>
      <c r="R111" s="1227"/>
      <c r="S111" s="1227"/>
      <c r="U111" s="4299" t="s">
        <v>393</v>
      </c>
      <c r="V111" s="4180" t="e">
        <f>SUM(V101,V109)</f>
        <v>#VALUE!</v>
      </c>
      <c r="AA111" s="4185"/>
    </row>
    <row r="112" spans="1:27">
      <c r="A112" s="3054"/>
      <c r="B112" s="3055" t="s">
        <v>2015</v>
      </c>
      <c r="C112" s="3042"/>
      <c r="D112" s="1443"/>
      <c r="E112" s="74"/>
      <c r="F112" s="275"/>
      <c r="G112" s="275"/>
      <c r="H112" s="996"/>
      <c r="I112" s="1142"/>
      <c r="J112" s="1142"/>
      <c r="K112" s="1142"/>
      <c r="L112" s="1143"/>
      <c r="M112" s="1143"/>
      <c r="N112" s="1143"/>
      <c r="O112" s="101"/>
      <c r="P112" s="1227"/>
      <c r="Q112" s="1227"/>
      <c r="R112" s="1227"/>
      <c r="S112" s="1227"/>
      <c r="U112" s="4299" t="s">
        <v>394</v>
      </c>
      <c r="V112" s="4180" t="e">
        <f>SUM(V102,-V111)</f>
        <v>#VALUE!</v>
      </c>
      <c r="AA112" s="4185"/>
    </row>
    <row r="113" spans="1:27">
      <c r="A113" s="3054"/>
      <c r="B113" s="3055" t="s">
        <v>2016</v>
      </c>
      <c r="C113" s="3042"/>
      <c r="D113" s="1443"/>
      <c r="E113" s="74"/>
      <c r="F113" s="275"/>
      <c r="G113" s="275"/>
      <c r="H113" s="996"/>
      <c r="I113" s="1142"/>
      <c r="J113" s="1142"/>
      <c r="K113" s="1142"/>
      <c r="L113" s="1143"/>
      <c r="M113" s="1143"/>
      <c r="N113" s="1143"/>
      <c r="O113" s="101"/>
      <c r="P113" s="1227"/>
      <c r="Q113" s="1227"/>
      <c r="R113" s="1227"/>
      <c r="S113" s="1227"/>
      <c r="U113" s="4300" t="s">
        <v>395</v>
      </c>
      <c r="V113" s="4180" t="e">
        <f>ROUND(V112*CGTW_Line23_PCT,0)</f>
        <v>#VALUE!</v>
      </c>
      <c r="AA113" s="4185"/>
    </row>
    <row r="114" spans="1:27">
      <c r="A114" s="3054"/>
      <c r="B114" s="3055" t="s">
        <v>2017</v>
      </c>
      <c r="C114" s="3042"/>
      <c r="D114" s="1443"/>
      <c r="E114" s="74"/>
      <c r="F114" s="275"/>
      <c r="G114" s="275"/>
      <c r="H114" s="996"/>
      <c r="I114" s="1142"/>
      <c r="J114" s="1142"/>
      <c r="K114" s="1142"/>
      <c r="L114" s="1143"/>
      <c r="M114" s="1143"/>
      <c r="N114" s="1143"/>
      <c r="O114" s="101"/>
      <c r="P114" s="1227"/>
      <c r="Q114" s="1227"/>
      <c r="R114" s="1227"/>
      <c r="S114" s="1227"/>
      <c r="U114" s="4300" t="s">
        <v>396</v>
      </c>
      <c r="V114" s="4180" t="e">
        <f>AA109</f>
        <v>#VALUE!</v>
      </c>
      <c r="W114" s="1075" t="s">
        <v>3480</v>
      </c>
      <c r="AA114" s="4185"/>
    </row>
    <row r="115" spans="1:27">
      <c r="A115" s="3054"/>
      <c r="B115" s="3055" t="s">
        <v>2018</v>
      </c>
      <c r="C115" s="3042"/>
      <c r="D115" s="1443"/>
      <c r="E115" s="74"/>
      <c r="F115" s="275"/>
      <c r="G115" s="275"/>
      <c r="H115" s="996"/>
      <c r="I115" s="1142"/>
      <c r="J115" s="1142"/>
      <c r="K115" s="1142"/>
      <c r="L115" s="1143"/>
      <c r="M115" s="1143"/>
      <c r="N115" s="1143"/>
      <c r="O115" s="101"/>
      <c r="P115" s="1227"/>
      <c r="Q115" s="1227"/>
      <c r="R115" s="1227"/>
      <c r="S115" s="1227"/>
      <c r="U115" s="4300" t="s">
        <v>397</v>
      </c>
      <c r="V115" s="4180" t="e">
        <f>SUM(V110,V113,V114)</f>
        <v>#VALUE!</v>
      </c>
      <c r="AA115" s="4185"/>
    </row>
    <row r="116" spans="1:27">
      <c r="A116" s="3054"/>
      <c r="B116" s="3055" t="s">
        <v>2019</v>
      </c>
      <c r="C116" s="3042"/>
      <c r="D116" s="1443"/>
      <c r="E116" s="74"/>
      <c r="F116" s="275"/>
      <c r="G116" s="275"/>
      <c r="H116" s="996"/>
      <c r="I116" s="1142"/>
      <c r="J116" s="1142"/>
      <c r="K116" s="1142"/>
      <c r="L116" s="1143"/>
      <c r="M116" s="1143"/>
      <c r="N116" s="1143"/>
      <c r="O116" s="101"/>
      <c r="P116" s="1227"/>
      <c r="Q116" s="1227"/>
      <c r="R116" s="1227"/>
      <c r="S116" s="1227"/>
      <c r="U116" s="4300" t="s">
        <v>398</v>
      </c>
      <c r="V116" s="4180" t="str">
        <f>AA101</f>
        <v>Filing status?</v>
      </c>
      <c r="W116" s="1075" t="s">
        <v>3481</v>
      </c>
      <c r="AA116" s="4185"/>
    </row>
    <row r="117" spans="1:27" ht="13.5" thickBot="1">
      <c r="A117" s="3054"/>
      <c r="B117" s="3055" t="s">
        <v>2020</v>
      </c>
      <c r="C117" s="3042"/>
      <c r="D117" s="1443"/>
      <c r="E117" s="74"/>
      <c r="F117" s="275"/>
      <c r="G117" s="275"/>
      <c r="H117" s="996"/>
      <c r="I117" s="1142"/>
      <c r="J117" s="1142"/>
      <c r="K117" s="1142"/>
      <c r="L117" s="1143"/>
      <c r="M117" s="1143"/>
      <c r="N117" s="1143"/>
      <c r="O117" s="101"/>
      <c r="P117" s="1227"/>
      <c r="Q117" s="1227"/>
      <c r="R117" s="1227"/>
      <c r="S117" s="1227"/>
      <c r="U117" s="4301" t="s">
        <v>399</v>
      </c>
      <c r="V117" s="4186" t="str">
        <f>IF(NOT(Y91),"",MIN(V115,V116))</f>
        <v/>
      </c>
      <c r="W117" s="4190" t="s">
        <v>3483</v>
      </c>
      <c r="X117" s="4187"/>
      <c r="Y117" s="4187"/>
      <c r="Z117" s="4187"/>
      <c r="AA117" s="4188"/>
    </row>
    <row r="118" spans="1:27">
      <c r="A118" s="3054"/>
      <c r="B118" s="3055" t="s">
        <v>2021</v>
      </c>
      <c r="C118" s="3042"/>
      <c r="D118" s="1443"/>
      <c r="E118" s="74"/>
      <c r="F118" s="275"/>
      <c r="G118" s="275"/>
      <c r="H118" s="996"/>
      <c r="I118" s="1142"/>
      <c r="J118" s="1142"/>
      <c r="K118" s="1142"/>
      <c r="L118" s="1143"/>
      <c r="M118" s="1143"/>
      <c r="N118" s="1143"/>
      <c r="O118" s="101"/>
      <c r="P118" s="1227"/>
      <c r="Q118" s="1227"/>
      <c r="R118" s="1227"/>
      <c r="S118" s="1227"/>
      <c r="AA118" s="46" t="b">
        <f>V117=MIN(Y82,V117,X174)</f>
        <v>0</v>
      </c>
    </row>
    <row r="119" spans="1:27" ht="13.5" thickBot="1">
      <c r="A119" s="3054"/>
      <c r="B119" s="3043"/>
      <c r="C119" s="1612"/>
      <c r="D119" s="3039"/>
      <c r="E119" s="2299"/>
      <c r="F119" s="1928"/>
      <c r="G119" s="963"/>
      <c r="H119" s="963"/>
      <c r="I119" s="2300"/>
      <c r="J119" s="2301"/>
      <c r="K119" s="2301"/>
      <c r="L119" s="2302"/>
      <c r="M119" s="2302"/>
      <c r="N119" s="2302"/>
      <c r="O119" s="102"/>
      <c r="P119" s="1227"/>
      <c r="Q119" s="1227"/>
      <c r="R119" s="1227"/>
      <c r="S119" s="1227"/>
      <c r="U119" s="4460" t="s">
        <v>549</v>
      </c>
      <c r="V119" s="4461"/>
      <c r="W119" s="4461"/>
      <c r="X119" s="4461" t="b">
        <f>SchDTW_Used</f>
        <v>0</v>
      </c>
      <c r="Y119" s="4485" t="s">
        <v>3965</v>
      </c>
    </row>
    <row r="120" spans="1:27">
      <c r="A120" s="1227"/>
      <c r="B120" s="1227"/>
      <c r="C120" s="1227"/>
      <c r="D120" s="1227"/>
      <c r="E120" s="1227"/>
      <c r="F120" s="1227"/>
      <c r="G120" s="1227"/>
      <c r="H120" s="1227"/>
      <c r="I120" s="1227"/>
      <c r="J120" s="1227"/>
      <c r="K120" s="1227"/>
      <c r="L120" s="1227"/>
      <c r="M120" s="1227"/>
      <c r="N120" s="1227"/>
      <c r="O120" s="1227"/>
      <c r="P120" s="1227"/>
      <c r="Q120" s="1227"/>
      <c r="R120" s="1227"/>
      <c r="S120" s="1227"/>
      <c r="U120" s="4462" t="s">
        <v>336</v>
      </c>
      <c r="V120" s="1701" t="s">
        <v>3694</v>
      </c>
      <c r="W120"/>
      <c r="X120" s="1666" t="str">
        <f>IF(NOT(X119),"",IF(Form2555_Used,FEI_TW_Line3,IF(Taxable_Inc&lt;&gt;"",Taxable_Inc,0)))</f>
        <v/>
      </c>
      <c r="Y120" s="4463"/>
    </row>
    <row r="121" spans="1:27">
      <c r="U121" s="4464" t="s">
        <v>0</v>
      </c>
      <c r="V121" s="1701" t="s">
        <v>3928</v>
      </c>
      <c r="W121"/>
      <c r="X121" s="1666">
        <f>Qualified_Dividends</f>
        <v>0</v>
      </c>
      <c r="Y121" s="4463"/>
    </row>
    <row r="122" spans="1:27">
      <c r="U122" s="4465" t="s">
        <v>1</v>
      </c>
      <c r="V122" s="1701" t="s">
        <v>3929</v>
      </c>
      <c r="W122"/>
      <c r="X122" s="1666">
        <f>Form4952_Line4g</f>
        <v>0</v>
      </c>
      <c r="Y122" s="4463"/>
    </row>
    <row r="123" spans="1:27">
      <c r="U123" s="4465" t="s">
        <v>455</v>
      </c>
      <c r="V123" s="1701" t="s">
        <v>3930</v>
      </c>
      <c r="W123"/>
      <c r="X123" s="1666">
        <f>Form4952_Line4e</f>
        <v>0</v>
      </c>
      <c r="Y123" s="4463"/>
    </row>
    <row r="124" spans="1:27">
      <c r="U124" s="4464" t="s">
        <v>35</v>
      </c>
      <c r="V124" s="1701" t="s">
        <v>3931</v>
      </c>
      <c r="W124"/>
      <c r="X124" s="1666">
        <f>MAX(0,SUM(X122-X123))</f>
        <v>0</v>
      </c>
      <c r="Y124" s="4463"/>
    </row>
    <row r="125" spans="1:27">
      <c r="U125" s="4466" t="s">
        <v>75</v>
      </c>
      <c r="V125" s="1701" t="s">
        <v>3932</v>
      </c>
      <c r="W125"/>
      <c r="X125" s="1666">
        <f>MAX(0,SUM(X121,-X124))</f>
        <v>0</v>
      </c>
      <c r="Y125" s="4463"/>
    </row>
    <row r="126" spans="1:27">
      <c r="U126" s="4464" t="s">
        <v>76</v>
      </c>
      <c r="V126" s="1701" t="s">
        <v>3918</v>
      </c>
      <c r="W126"/>
      <c r="X126" s="1666">
        <f>MIN(SchDLine15,SchDLine16)</f>
        <v>0</v>
      </c>
      <c r="Y126" s="4463"/>
    </row>
    <row r="127" spans="1:27">
      <c r="U127" s="4464" t="s">
        <v>232</v>
      </c>
      <c r="V127" s="1701" t="s">
        <v>3933</v>
      </c>
      <c r="W127"/>
      <c r="X127" s="1666">
        <f>MIN(X122,X123)</f>
        <v>0</v>
      </c>
      <c r="Y127" s="4463"/>
    </row>
    <row r="128" spans="1:27">
      <c r="U128" s="4466" t="s">
        <v>233</v>
      </c>
      <c r="V128" s="1701" t="s">
        <v>3934</v>
      </c>
      <c r="W128"/>
      <c r="X128" s="1666">
        <f>MAX(0,SUM(X126,-X127))</f>
        <v>0</v>
      </c>
      <c r="Y128" s="4463"/>
    </row>
    <row r="129" spans="21:25">
      <c r="U129" s="4464" t="s">
        <v>337</v>
      </c>
      <c r="V129" s="1701" t="s">
        <v>88</v>
      </c>
      <c r="W129"/>
      <c r="X129" s="1666">
        <f>SUM(X125,X128)</f>
        <v>0</v>
      </c>
      <c r="Y129" s="4463"/>
    </row>
    <row r="130" spans="21:25">
      <c r="U130" s="4466" t="s">
        <v>338</v>
      </c>
      <c r="V130" s="1701" t="s">
        <v>3919</v>
      </c>
      <c r="W130"/>
      <c r="X130" s="1666">
        <f>SUM(SchDLine18,SchDLine19)</f>
        <v>0</v>
      </c>
      <c r="Y130" s="4463"/>
    </row>
    <row r="131" spans="21:25">
      <c r="U131" s="4464" t="s">
        <v>339</v>
      </c>
      <c r="V131" s="1701" t="s">
        <v>3935</v>
      </c>
      <c r="W131"/>
      <c r="X131" s="1666">
        <f>MIN(X128,X130)</f>
        <v>0</v>
      </c>
      <c r="Y131" s="4463"/>
    </row>
    <row r="132" spans="21:25">
      <c r="U132" s="4462" t="s">
        <v>498</v>
      </c>
      <c r="V132" s="1701" t="s">
        <v>3936</v>
      </c>
      <c r="W132"/>
      <c r="X132" s="1666">
        <f>SUM(X129,-X131)</f>
        <v>0</v>
      </c>
      <c r="Y132" s="4463"/>
    </row>
    <row r="133" spans="21:25">
      <c r="U133" s="4462" t="s">
        <v>499</v>
      </c>
      <c r="V133" s="1701" t="s">
        <v>3936</v>
      </c>
      <c r="W133"/>
      <c r="X133" s="1666">
        <f>MAX(0,SUM(X120,-X132))</f>
        <v>0</v>
      </c>
      <c r="Y133" s="4463"/>
    </row>
    <row r="134" spans="21:25">
      <c r="U134" s="4464" t="s">
        <v>500</v>
      </c>
      <c r="V134" s="1701" t="s">
        <v>3937</v>
      </c>
      <c r="W134"/>
      <c r="X134" s="1666" t="str">
        <f>SchDTW_Line15</f>
        <v>Filing status?</v>
      </c>
      <c r="Y134" s="4463"/>
    </row>
    <row r="135" spans="21:25">
      <c r="U135" s="4466" t="s">
        <v>215</v>
      </c>
      <c r="V135" s="1701" t="s">
        <v>3938</v>
      </c>
      <c r="W135"/>
      <c r="X135" s="1666">
        <f>MIN(X120,X134)</f>
        <v>0</v>
      </c>
      <c r="Y135" s="4463"/>
    </row>
    <row r="136" spans="21:25">
      <c r="U136" s="4464" t="s">
        <v>559</v>
      </c>
      <c r="V136" s="1701" t="s">
        <v>3939</v>
      </c>
      <c r="W136"/>
      <c r="X136" s="1666">
        <f>MIN(X133,X135)</f>
        <v>0</v>
      </c>
      <c r="Y136" s="4463"/>
    </row>
    <row r="137" spans="21:25">
      <c r="U137" s="4464" t="s">
        <v>560</v>
      </c>
      <c r="V137" s="1701" t="s">
        <v>3940</v>
      </c>
      <c r="W137"/>
      <c r="X137" s="1666">
        <f>MAX(0,SUM(X120,-X129))</f>
        <v>0</v>
      </c>
      <c r="Y137" s="4463"/>
    </row>
    <row r="138" spans="21:25">
      <c r="U138" s="4466" t="s">
        <v>561</v>
      </c>
      <c r="V138" s="1701" t="s">
        <v>3941</v>
      </c>
      <c r="W138"/>
      <c r="X138" s="1666">
        <f>MAX(X136,X137)</f>
        <v>0</v>
      </c>
      <c r="Y138" s="4463"/>
    </row>
    <row r="139" spans="21:25">
      <c r="U139" s="4466" t="s">
        <v>392</v>
      </c>
      <c r="V139" s="1701" t="s">
        <v>3942</v>
      </c>
      <c r="W139"/>
      <c r="X139" s="1666">
        <f>SUM(X135,-X136)</f>
        <v>0</v>
      </c>
      <c r="Y139" s="4463"/>
    </row>
    <row r="140" spans="21:25">
      <c r="U140" s="4464" t="s">
        <v>393</v>
      </c>
      <c r="V140" s="1701" t="s">
        <v>3943</v>
      </c>
      <c r="W140"/>
      <c r="X140" s="1666">
        <f>MIN(X120,X132)</f>
        <v>0</v>
      </c>
      <c r="Y140" s="4463" t="b">
        <f>(SchDTW_Line1=X135)</f>
        <v>0</v>
      </c>
    </row>
    <row r="141" spans="21:25">
      <c r="U141" s="4464" t="s">
        <v>394</v>
      </c>
      <c r="V141" s="1701" t="s">
        <v>3944</v>
      </c>
      <c r="W141"/>
      <c r="X141" s="1666">
        <f>IF(Y140,"",IF(X139="",0,X139))</f>
        <v>0</v>
      </c>
      <c r="Y141" s="4463"/>
    </row>
    <row r="142" spans="21:25">
      <c r="U142" s="4466" t="s">
        <v>395</v>
      </c>
      <c r="V142" s="1701" t="s">
        <v>3942</v>
      </c>
      <c r="W142"/>
      <c r="X142" s="1666">
        <f>IF(Y140,"",MAX(0,SUM(X140,-X141)))</f>
        <v>0</v>
      </c>
      <c r="Y142" s="4463"/>
    </row>
    <row r="143" spans="21:25">
      <c r="U143" s="4464" t="s">
        <v>396</v>
      </c>
      <c r="V143" s="1701" t="s">
        <v>3945</v>
      </c>
      <c r="W143"/>
      <c r="X143" s="1666" t="str">
        <f>IF(Y140,"",SchDTW_Line24)</f>
        <v>Filing status?</v>
      </c>
      <c r="Y143" s="4463"/>
    </row>
    <row r="144" spans="21:25">
      <c r="U144" s="4464" t="s">
        <v>397</v>
      </c>
      <c r="V144" s="1701" t="s">
        <v>3946</v>
      </c>
      <c r="W144"/>
      <c r="X144" s="1666">
        <f>IF(Y140,"",MIN(X120,X143))</f>
        <v>0</v>
      </c>
      <c r="Y144" s="4463"/>
    </row>
    <row r="145" spans="21:25">
      <c r="U145" s="4464" t="s">
        <v>398</v>
      </c>
      <c r="V145" s="1701" t="s">
        <v>1018</v>
      </c>
      <c r="W145"/>
      <c r="X145" s="1666">
        <f>IF(Y140,"",SUM(X138,X139))</f>
        <v>0</v>
      </c>
      <c r="Y145" s="4463"/>
    </row>
    <row r="146" spans="21:25">
      <c r="U146" s="4464" t="s">
        <v>399</v>
      </c>
      <c r="V146" s="1701" t="s">
        <v>3947</v>
      </c>
      <c r="W146"/>
      <c r="X146" s="1666">
        <f>IF(Y140,"",MAX(0,SUM(X144,-X145)))</f>
        <v>0</v>
      </c>
      <c r="Y146" s="4463"/>
    </row>
    <row r="147" spans="21:25">
      <c r="U147" s="4466" t="s">
        <v>3920</v>
      </c>
      <c r="V147" s="1701" t="s">
        <v>3948</v>
      </c>
      <c r="W147"/>
      <c r="X147" s="1666">
        <f>IF(Y140,"",MIN(X142,X146))</f>
        <v>0</v>
      </c>
      <c r="Y147" s="4467"/>
    </row>
    <row r="148" spans="21:25">
      <c r="U148" s="4462" t="s">
        <v>3921</v>
      </c>
      <c r="V148" s="1701" t="str">
        <f>"Multiply line 28 by "&amp;TEXT(Y148,"0%")</f>
        <v>Multiply line 28 by 15%</v>
      </c>
      <c r="W148"/>
      <c r="X148" s="1666">
        <f>IF(Y140,"",ROUND(X147*Y148,0))</f>
        <v>0</v>
      </c>
      <c r="Y148" s="4468">
        <f>SchDTW_Line29Rate</f>
        <v>0.15</v>
      </c>
    </row>
    <row r="149" spans="21:25">
      <c r="U149" s="4464" t="s">
        <v>3922</v>
      </c>
      <c r="V149" s="1701" t="s">
        <v>1020</v>
      </c>
      <c r="W149"/>
      <c r="X149" s="1666">
        <f>IF(Y140,"",SUM(X141,X147))</f>
        <v>0</v>
      </c>
      <c r="Y149" s="4463" t="b">
        <f>(X120=X149)</f>
        <v>0</v>
      </c>
    </row>
    <row r="150" spans="21:25">
      <c r="U150" s="4466" t="s">
        <v>3923</v>
      </c>
      <c r="V150" s="1701" t="s">
        <v>3949</v>
      </c>
      <c r="W150"/>
      <c r="X150" s="1666">
        <f>IF(OR(Y140,Y149),"",SUM(X140,-X149))</f>
        <v>0</v>
      </c>
      <c r="Y150" s="4463"/>
    </row>
    <row r="151" spans="21:25">
      <c r="U151" s="4462" t="s">
        <v>400</v>
      </c>
      <c r="V151" s="1701" t="str">
        <f>"Multiply line 31 by "&amp;TEXT(Y151,"0%")</f>
        <v>Multiply line 31 by 20%</v>
      </c>
      <c r="W151"/>
      <c r="X151" s="1666">
        <f>IF(OR(Y140,Y149),"",ROUND(X150*Y151,0))</f>
        <v>0</v>
      </c>
      <c r="Y151" s="4468">
        <f>SchDTW_Line32Rate</f>
        <v>0.2</v>
      </c>
    </row>
    <row r="152" spans="21:25">
      <c r="U152" s="4464" t="s">
        <v>401</v>
      </c>
      <c r="V152" s="1701" t="s">
        <v>3924</v>
      </c>
      <c r="W152"/>
      <c r="X152" s="1666" t="str">
        <f>IF(OR(Y140,Y149,Y152),"",MIN(X128,SchDLine19))</f>
        <v/>
      </c>
      <c r="Y152" s="4463" t="b">
        <f>OR(SchDLine19=0,SchDLine19="")</f>
        <v>1</v>
      </c>
    </row>
    <row r="153" spans="21:25">
      <c r="U153" s="4469" t="s">
        <v>3926</v>
      </c>
      <c r="V153" s="1701" t="s">
        <v>668</v>
      </c>
      <c r="W153"/>
      <c r="X153" s="1666" t="str">
        <f>IF(OR(Y140,Y149,Y152),"",SUM(X129,X138))</f>
        <v/>
      </c>
      <c r="Y153" s="4463"/>
    </row>
    <row r="154" spans="21:25">
      <c r="U154" s="4469" t="s">
        <v>3950</v>
      </c>
      <c r="V154" s="1701" t="s">
        <v>3951</v>
      </c>
      <c r="W154"/>
      <c r="X154" s="1666" t="str">
        <f>IF(OR(Y140,Y149,Y152),"",X120)</f>
        <v/>
      </c>
      <c r="Y154" s="4463"/>
    </row>
    <row r="155" spans="21:25">
      <c r="U155" s="4464" t="s">
        <v>3952</v>
      </c>
      <c r="V155" s="1701" t="s">
        <v>3953</v>
      </c>
      <c r="W155"/>
      <c r="X155" s="1666" t="str">
        <f>IF(OR(Y140,Y149,Y152),"",MAX(0,SUM(X153,-X154)))</f>
        <v/>
      </c>
      <c r="Y155" s="4463"/>
    </row>
    <row r="156" spans="21:25">
      <c r="U156" s="4466" t="s">
        <v>3954</v>
      </c>
      <c r="V156" s="1701" t="s">
        <v>3955</v>
      </c>
      <c r="W156"/>
      <c r="X156" s="1666" t="str">
        <f>IF(OR(Y140,Y149,Y152),"",MAX(0,SUM(X152,-X155)))</f>
        <v/>
      </c>
      <c r="Y156" s="4463"/>
    </row>
    <row r="157" spans="21:25">
      <c r="U157" s="4462" t="s">
        <v>3956</v>
      </c>
      <c r="V157" s="1701" t="str">
        <f>"Multiply line 37 by "&amp;TEXT(Y157,"0%")</f>
        <v>Multiply line 37 by 25%</v>
      </c>
      <c r="W157"/>
      <c r="X157" s="1666" t="str">
        <f>IF(OR(Y140,Y149,Y152),"",ROUND(X156*Y157,0))</f>
        <v/>
      </c>
      <c r="Y157" s="4468">
        <f>SchDTW_Line38Rate</f>
        <v>0.25</v>
      </c>
    </row>
    <row r="158" spans="21:25">
      <c r="U158" s="4466" t="s">
        <v>1027</v>
      </c>
      <c r="V158" s="1701" t="s">
        <v>3957</v>
      </c>
      <c r="W158"/>
      <c r="X158" s="1666" t="str">
        <f>IF(OR(Y140,Y149,Y158),"",SUM(X138,X139,X147,X150,X156))</f>
        <v/>
      </c>
      <c r="Y158" s="4463" t="b">
        <f>OR(SchDLine18=0,SchDLine18="")</f>
        <v>1</v>
      </c>
    </row>
    <row r="159" spans="21:25">
      <c r="U159" s="4466" t="s">
        <v>1029</v>
      </c>
      <c r="V159" s="1701" t="s">
        <v>3958</v>
      </c>
      <c r="W159"/>
      <c r="X159" s="1666" t="str">
        <f>IF(OR(Y140,Y149,Y158),"",SUM(X120,-X158))</f>
        <v/>
      </c>
      <c r="Y159" s="4463"/>
    </row>
    <row r="160" spans="21:25">
      <c r="U160" s="4462" t="s">
        <v>1030</v>
      </c>
      <c r="V160" s="1701" t="str">
        <f>"Multiply line 40 by "&amp;TEXT(Y160,"0%")</f>
        <v>Multiply line 40 by 28%</v>
      </c>
      <c r="W160"/>
      <c r="X160" s="1666" t="str">
        <f>IF(OR(Y140,Y149,Y158),"",ROUND(X159*Y160,0))</f>
        <v/>
      </c>
      <c r="Y160" s="4468">
        <f>SchDTW_Line41Rate</f>
        <v>0.28000000000000003</v>
      </c>
    </row>
    <row r="161" spans="21:26">
      <c r="U161" s="4462" t="s">
        <v>1031</v>
      </c>
      <c r="V161" s="1701" t="s">
        <v>3959</v>
      </c>
      <c r="W161"/>
      <c r="X161" s="1666" t="str">
        <f>Y166</f>
        <v>Filing status?</v>
      </c>
      <c r="Y161" s="4463"/>
    </row>
    <row r="162" spans="21:26" ht="13.5" thickBot="1">
      <c r="U162" s="4470" t="s">
        <v>3960</v>
      </c>
      <c r="V162" s="277" t="s">
        <v>77</v>
      </c>
      <c r="W162" s="277" t="s">
        <v>3629</v>
      </c>
      <c r="X162" s="277" t="s">
        <v>531</v>
      </c>
      <c r="Y162" s="4471" t="s">
        <v>2508</v>
      </c>
    </row>
    <row r="163" spans="21:26" ht="14.25" thickTop="1" thickBot="1">
      <c r="U163" s="4472">
        <f>X138</f>
        <v>0</v>
      </c>
      <c r="V163" s="4262">
        <f>LOOKUP(U163,'Tax Table'!$B$2:$B$2063,'Tax Table'!$D$2:$D$2063)</f>
        <v>0</v>
      </c>
      <c r="W163" s="4262">
        <f>LOOKUP(U163,'Tax Table'!$B$2:$B$2063,'Tax Table'!$E$2:$E$2063)</f>
        <v>0</v>
      </c>
      <c r="X163" s="4262">
        <f>LOOKUP(U163,'Tax Table'!$B$2:$B$2063,'Tax Table'!$F$2:$F$2063)</f>
        <v>0</v>
      </c>
      <c r="Y163" s="4473">
        <f>LOOKUP(U163,'Tax Table'!$B$2:$B$2063,'Tax Table'!$G$2:$G$2063)</f>
        <v>0</v>
      </c>
    </row>
    <row r="164" spans="21:26" ht="13.5" thickBot="1">
      <c r="U164" s="4474"/>
      <c r="V164" s="4264" t="str">
        <f>IF(U163&lt;SectA_a3,"---",IF(U163&lt;=SectA_a4,ROUND((U163*(SectA_b4/100)-SectA_d4),0),IF(U163&lt;=SectA_a5,ROUND((U163*(SectA_b5/100)-SectA_d5),0),IF(U163&lt;=SectA_a6,ROUND((U163*(SectA_b6/100)-SectA_d6),0),ROUND((U163*(SectA_b7/100)-SectA_d7),0)))))</f>
        <v>---</v>
      </c>
      <c r="W164" s="4264" t="str">
        <f>IF(U163&lt;SectB_a2,"---",IF(U163&lt;=SectB_a3,ROUND((U163*(SectB_b3/100)-SectB_d3),0),IF(U163&lt;=SectB_a4,ROUND((U163*(SectB_b4/100)-SectB_d4),0),IF(U163&lt;=SectB_a5,ROUND((U163*(SectB_b5/100)-SectB_d5),0),IF(U163&lt;=SectB_a6,ROUND((U163*(SectB_b6/100)-SectB_d6),0),ROUND((U163*(SectB_b7/100)-SectB_d7),0))))))</f>
        <v>---</v>
      </c>
      <c r="X164" s="4264" t="str">
        <f>IF(U163&lt;SectC_a2,"---",IF(U163&lt;=SectC_a3,ROUND((U163*(SectC_b3/100)-SectC_d3),0),IF(U163&lt;=SectC_a4,ROUND((U163*(SectC_b4/100)-SectC_d4),0),IF(U163&lt;=SectC_a5,ROUND((U163*(SectC_b5/100)-SectC_d5),0),ROUND((U163*(SectC_b6/100)-SectC_d6),0)))))</f>
        <v>---</v>
      </c>
      <c r="Y164" s="4475" t="str">
        <f>IF(U163&lt;SectD_a2,"---",IF(U163&lt;=SectD_a3,ROUND((U163*(SectD_b3/100)-SectD_d3),0),IF(U163&lt;=SectD_a4,ROUND((U163*(SectD_b4/100)-SectD_d4),0),IF(U163&lt;=SectD_a5,ROUND((U163*(SectD_b5/100)-SectD_d5),0),IF(U163&lt;=SectD_a6,ROUND((U163*(SectD_b6/100)-SectD_d6),0),ROUND((U163*(SectD_b7/100)-SectD_d7),0))))))</f>
        <v>---</v>
      </c>
    </row>
    <row r="165" spans="21:26" ht="13.5" thickBot="1">
      <c r="U165" s="4476" t="str">
        <f>IF(File_Single&lt;&gt;"",V163,IF(File_Marr_Joint&lt;&gt;"",W163,IF(File_Marr_Sep&lt;&gt;"", X163,IF(File_Head&lt;&gt;"",Y163,IF(File_Qual_Widow&lt;&gt;"",W163,"Filing status?")))))</f>
        <v>Filing status?</v>
      </c>
      <c r="V165" s="2563" t="str">
        <f>"&lt;100k"</f>
        <v>&lt;100k</v>
      </c>
      <c r="W165" s="2563"/>
      <c r="X165" s="2563"/>
      <c r="Y165" s="4477"/>
    </row>
    <row r="166" spans="21:26" ht="13.5" thickBot="1">
      <c r="U166" s="4478" t="str">
        <f>IF(File_Single&lt;&gt;"",V164,IF(OR(File_Marr_Joint&lt;&gt;"",File_Qual_Widow&lt;&gt;""),W164,IF(File_Marr_Sep&lt;&gt;"", X164,IF(File_Head&lt;&gt;"",Y164,"Filing status?"))))</f>
        <v>Filing status?</v>
      </c>
      <c r="V166" s="4260" t="str">
        <f>"&gt;=100k"</f>
        <v>&gt;=100k</v>
      </c>
      <c r="W166" s="4260"/>
      <c r="X166" s="4266" t="s">
        <v>3630</v>
      </c>
      <c r="Y166" s="4479" t="str">
        <f>IF(U163&gt;100000,U166,U165)</f>
        <v>Filing status?</v>
      </c>
    </row>
    <row r="167" spans="21:26" ht="13.5" thickTop="1">
      <c r="U167" s="4462" t="s">
        <v>1032</v>
      </c>
      <c r="V167" s="1701" t="s">
        <v>3961</v>
      </c>
      <c r="W167"/>
      <c r="X167" s="1666">
        <f>SUM(X148,X151,X157,X160,X161)</f>
        <v>0</v>
      </c>
      <c r="Y167" s="4463"/>
    </row>
    <row r="168" spans="21:26">
      <c r="U168" s="4462" t="s">
        <v>1033</v>
      </c>
      <c r="V168" s="1701" t="s">
        <v>3962</v>
      </c>
      <c r="W168"/>
      <c r="X168" s="1666" t="str">
        <f>Y173</f>
        <v>Filing status?</v>
      </c>
      <c r="Y168" s="4463"/>
    </row>
    <row r="169" spans="21:26" ht="13.5" thickBot="1">
      <c r="U169" s="4470" t="s">
        <v>3963</v>
      </c>
      <c r="V169" s="277" t="s">
        <v>77</v>
      </c>
      <c r="W169" s="277" t="s">
        <v>3629</v>
      </c>
      <c r="X169" s="277" t="s">
        <v>531</v>
      </c>
      <c r="Y169" s="4471" t="s">
        <v>2508</v>
      </c>
    </row>
    <row r="170" spans="21:26" ht="14.25" thickTop="1" thickBot="1">
      <c r="U170" s="4472" t="str">
        <f>X120</f>
        <v/>
      </c>
      <c r="V170" s="4262" t="e">
        <f>LOOKUP(U170,'Tax Table'!$B$2:$B$2063,'Tax Table'!$D$2:$D$2063)</f>
        <v>#N/A</v>
      </c>
      <c r="W170" s="4262" t="e">
        <f>LOOKUP(U170,'Tax Table'!$B$2:$B$2063,'Tax Table'!$E$2:$E$2063)</f>
        <v>#N/A</v>
      </c>
      <c r="X170" s="4262" t="e">
        <f>LOOKUP(U170,'Tax Table'!$B$2:$B$2063,'Tax Table'!$F$2:$F$2063)</f>
        <v>#N/A</v>
      </c>
      <c r="Y170" s="4473" t="e">
        <f>LOOKUP(U170,'Tax Table'!$B$2:$B$2063,'Tax Table'!$G$2:$G$2063)</f>
        <v>#N/A</v>
      </c>
    </row>
    <row r="171" spans="21:26" ht="13.5" thickBot="1">
      <c r="U171" s="4474"/>
      <c r="V171" s="4264" t="e">
        <f>IF(U170&lt;SectA_a3,"---",IF(U170&lt;=SectA_a4,ROUND((U170*(SectA_b4/100)-SectA_d4),0),IF(U170&lt;=SectA_a5,ROUND((U170*(SectA_b5/100)-SectA_d5),0),IF(U170&lt;=SectA_a6,ROUND((U170*(SectA_b6/100)-SectA_d6),0),ROUND((U170*(SectA_b7/100)-SectA_d7),0)))))</f>
        <v>#VALUE!</v>
      </c>
      <c r="W171" s="4264" t="e">
        <f>IF(U170&lt;SectB_a2,"---",IF(U170&lt;=SectB_a3,ROUND((U170*(SectB_b3/100)-SectB_d3),0),IF(U170&lt;=SectB_a4,ROUND((U170*(SectB_b4/100)-SectB_d4),0),IF(U170&lt;=SectB_a5,ROUND((U170*(SectB_b5/100)-SectB_d5),0),IF(U170&lt;=SectB_a6,ROUND((U170*(SectB_b6/100)-SectB_d6),0),ROUND((U170*(SectB_b7/100)-SectB_d7),0))))))</f>
        <v>#VALUE!</v>
      </c>
      <c r="X171" s="4264" t="e">
        <f>IF(U170&lt;SectC_a2,"---",IF(U170&lt;=SectC_a3,ROUND((U170*(SectC_b3/100)-SectC_d3),0),IF(U170&lt;=SectC_a4,ROUND((U170*(SectC_b4/100)-SectC_d4),0),IF(U170&lt;=SectC_a5,ROUND((U170*(SectC_b5/100)-SectC_d5),0),ROUND((U170*(SectC_b6/100)-SectC_d6),0)))))</f>
        <v>#VALUE!</v>
      </c>
      <c r="Y171" s="4475" t="e">
        <f>IF(U170&lt;SectD_a2,"---",IF(U170&lt;=SectD_a3,ROUND((U170*(SectD_b3/100)-SectD_d3),0),IF(U170&lt;=SectD_a4,ROUND((U170*(SectD_b4/100)-SectD_d4),0),IF(U170&lt;=SectD_a5,ROUND((U170*(SectD_b5/100)-SectD_d5),0),IF(U170&lt;=SectD_a6,ROUND((U170*(SectD_b6/100)-SectD_d6),0),ROUND((U170*(SectD_b7/100)-SectD_d7),0))))))</f>
        <v>#VALUE!</v>
      </c>
    </row>
    <row r="172" spans="21:26" ht="13.5" thickBot="1">
      <c r="U172" s="4476" t="str">
        <f>IF(File_Single&lt;&gt;"",V170,IF(File_Marr_Joint&lt;&gt;"",W170,IF(File_Marr_Sep&lt;&gt;"", X170,IF(File_Head&lt;&gt;"",Y170,IF(File_Qual_Widow&lt;&gt;"",W170,"Filing status?")))))</f>
        <v>Filing status?</v>
      </c>
      <c r="V172" s="2563" t="str">
        <f>"&lt;100k"</f>
        <v>&lt;100k</v>
      </c>
      <c r="W172" s="2563"/>
      <c r="X172" s="2563"/>
      <c r="Y172" s="4477"/>
    </row>
    <row r="173" spans="21:26" ht="13.5" thickBot="1">
      <c r="U173" s="4478" t="str">
        <f>IF(File_Single&lt;&gt;"",V171,IF(OR(File_Marr_Joint&lt;&gt;"",File_Qual_Widow&lt;&gt;""),W171,IF(File_Marr_Sep&lt;&gt;"", X171,IF(File_Head&lt;&gt;"",Y171,"Filing status?"))))</f>
        <v>Filing status?</v>
      </c>
      <c r="V173" s="4260" t="str">
        <f>"&gt;=100k"</f>
        <v>&gt;=100k</v>
      </c>
      <c r="W173" s="4260"/>
      <c r="X173" s="4266" t="s">
        <v>3630</v>
      </c>
      <c r="Y173" s="4479" t="str">
        <f>IF(U170&gt;100000,U173,U172)</f>
        <v>Filing status?</v>
      </c>
    </row>
    <row r="174" spans="21:26" ht="13.5" thickTop="1">
      <c r="U174" s="4480" t="s">
        <v>1034</v>
      </c>
      <c r="V174" s="4481" t="s">
        <v>3964</v>
      </c>
      <c r="W174" s="4482"/>
      <c r="X174" s="4483" t="str">
        <f>IF(NOT(X119),"",MIN(X167,X168))</f>
        <v/>
      </c>
      <c r="Y174" s="4484"/>
      <c r="Z174" s="46" t="b">
        <f>X174=MIN(Y82,V117,X174)</f>
        <v>0</v>
      </c>
    </row>
  </sheetData>
  <sheetProtection password="F07E" sheet="1" objects="1" scenarios="1"/>
  <mergeCells count="7">
    <mergeCell ref="N90:N92"/>
    <mergeCell ref="C3:E3"/>
    <mergeCell ref="C8:E8"/>
    <mergeCell ref="C9:E9"/>
    <mergeCell ref="C10:E10"/>
    <mergeCell ref="C7:E7"/>
    <mergeCell ref="C5:E5"/>
  </mergeCells>
  <phoneticPr fontId="0" type="noConversion"/>
  <conditionalFormatting sqref="L26">
    <cfRule type="expression" dxfId="2536" priority="83">
      <formula>IF(NoColor,1,0)</formula>
    </cfRule>
  </conditionalFormatting>
  <conditionalFormatting sqref="L37">
    <cfRule type="expression" dxfId="2535" priority="82">
      <formula>IF(NoColor,1,0)</formula>
    </cfRule>
  </conditionalFormatting>
  <conditionalFormatting sqref="L38">
    <cfRule type="expression" dxfId="2534" priority="81">
      <formula>IF(NoColor,1,0)</formula>
    </cfRule>
  </conditionalFormatting>
  <conditionalFormatting sqref="L41">
    <cfRule type="expression" dxfId="2533" priority="80">
      <formula>IF(NoColor,1,0)</formula>
    </cfRule>
  </conditionalFormatting>
  <conditionalFormatting sqref="L43">
    <cfRule type="expression" dxfId="2532" priority="79">
      <formula>IF(NoColor,1,0)</formula>
    </cfRule>
  </conditionalFormatting>
  <conditionalFormatting sqref="L44">
    <cfRule type="expression" dxfId="2531" priority="78">
      <formula>IF(NoColor,1,0)</formula>
    </cfRule>
  </conditionalFormatting>
  <conditionalFormatting sqref="L45">
    <cfRule type="expression" dxfId="2530" priority="77">
      <formula>IF(NoColor,1,0)</formula>
    </cfRule>
  </conditionalFormatting>
  <conditionalFormatting sqref="L46:L48">
    <cfRule type="expression" dxfId="2529" priority="76">
      <formula>IF(NoColor,1,0)</formula>
    </cfRule>
  </conditionalFormatting>
  <conditionalFormatting sqref="L52">
    <cfRule type="expression" dxfId="2528" priority="75">
      <formula>IF(NoColor,1,0)</formula>
    </cfRule>
  </conditionalFormatting>
  <conditionalFormatting sqref="L54:L57">
    <cfRule type="expression" dxfId="2527" priority="74">
      <formula>IF(NoColor,1,0)</formula>
    </cfRule>
  </conditionalFormatting>
  <conditionalFormatting sqref="L59:L60">
    <cfRule type="expression" dxfId="2526" priority="73">
      <formula>IF(NoColor,1,0)</formula>
    </cfRule>
  </conditionalFormatting>
  <conditionalFormatting sqref="J27">
    <cfRule type="expression" dxfId="2525" priority="72">
      <formula>IF(NoColor,1,0)</formula>
    </cfRule>
  </conditionalFormatting>
  <conditionalFormatting sqref="J31">
    <cfRule type="expression" dxfId="2524" priority="71">
      <formula>IF(NoColor,1,0)</formula>
    </cfRule>
  </conditionalFormatting>
  <conditionalFormatting sqref="J33">
    <cfRule type="expression" dxfId="2523" priority="70">
      <formula>IF(NoColor,1,0)</formula>
    </cfRule>
  </conditionalFormatting>
  <conditionalFormatting sqref="J36">
    <cfRule type="expression" dxfId="2522" priority="69">
      <formula>IF(NoColor,1,0)</formula>
    </cfRule>
  </conditionalFormatting>
  <conditionalFormatting sqref="D29">
    <cfRule type="expression" dxfId="2521" priority="68">
      <formula>IF(NoColor,1,0)</formula>
    </cfRule>
  </conditionalFormatting>
  <conditionalFormatting sqref="D32">
    <cfRule type="expression" dxfId="2520" priority="67">
      <formula>IF(NoColor,1,0)</formula>
    </cfRule>
  </conditionalFormatting>
  <conditionalFormatting sqref="N58">
    <cfRule type="expression" dxfId="2519" priority="66">
      <formula>IF(NoColor,1,0)</formula>
    </cfRule>
  </conditionalFormatting>
  <conditionalFormatting sqref="N61">
    <cfRule type="expression" dxfId="2518" priority="65">
      <formula>IF(NoColor,1,0)</formula>
    </cfRule>
  </conditionalFormatting>
  <conditionalFormatting sqref="N64:N65">
    <cfRule type="expression" dxfId="2517" priority="64">
      <formula>IF(NoColor,1,0)</formula>
    </cfRule>
  </conditionalFormatting>
  <conditionalFormatting sqref="N72">
    <cfRule type="expression" dxfId="2516" priority="62">
      <formula>IF(NoColor,1,0)</formula>
    </cfRule>
  </conditionalFormatting>
  <conditionalFormatting sqref="N68">
    <cfRule type="expression" dxfId="2515" priority="63">
      <formula>IF(NoColor,1,0)</formula>
    </cfRule>
  </conditionalFormatting>
  <conditionalFormatting sqref="N79">
    <cfRule type="expression" dxfId="2514" priority="61">
      <formula>IF(NoColor,1,0)</formula>
    </cfRule>
  </conditionalFormatting>
  <conditionalFormatting sqref="N84">
    <cfRule type="expression" dxfId="2513" priority="54">
      <formula>IF(NoColor,1,0)</formula>
    </cfRule>
  </conditionalFormatting>
  <conditionalFormatting sqref="E77">
    <cfRule type="expression" dxfId="2512" priority="52">
      <formula>IF(OR(Taxable_Inc="",Taxable_Inc=0),1,0)</formula>
    </cfRule>
  </conditionalFormatting>
  <conditionalFormatting sqref="X121">
    <cfRule type="expression" dxfId="2511" priority="50">
      <formula>IF(NoColor,1,0)</formula>
    </cfRule>
  </conditionalFormatting>
  <conditionalFormatting sqref="X120">
    <cfRule type="expression" dxfId="2510" priority="51">
      <formula>IF(NoColor,1,0)</formula>
    </cfRule>
  </conditionalFormatting>
  <conditionalFormatting sqref="X124">
    <cfRule type="expression" dxfId="2509" priority="47">
      <formula>IF(NoColor,1,0)</formula>
    </cfRule>
  </conditionalFormatting>
  <conditionalFormatting sqref="X122">
    <cfRule type="expression" dxfId="2508" priority="49">
      <formula>IF(NoColor,1,0)</formula>
    </cfRule>
  </conditionalFormatting>
  <conditionalFormatting sqref="X123">
    <cfRule type="expression" dxfId="2507" priority="48">
      <formula>IF(NoColor,1,0)</formula>
    </cfRule>
  </conditionalFormatting>
  <conditionalFormatting sqref="X125">
    <cfRule type="expression" dxfId="2506" priority="46">
      <formula>IF(NoColor,1,0)</formula>
    </cfRule>
  </conditionalFormatting>
  <conditionalFormatting sqref="X126">
    <cfRule type="expression" dxfId="2505" priority="45">
      <formula>IF(NoColor,1,0)</formula>
    </cfRule>
  </conditionalFormatting>
  <conditionalFormatting sqref="X127">
    <cfRule type="expression" dxfId="2504" priority="44">
      <formula>IF(NoColor,1,0)</formula>
    </cfRule>
  </conditionalFormatting>
  <conditionalFormatting sqref="X128">
    <cfRule type="expression" dxfId="2503" priority="43">
      <formula>IF(NoColor,1,0)</formula>
    </cfRule>
  </conditionalFormatting>
  <conditionalFormatting sqref="X129">
    <cfRule type="expression" dxfId="2502" priority="42">
      <formula>IF(NoColor,1,0)</formula>
    </cfRule>
  </conditionalFormatting>
  <conditionalFormatting sqref="X130">
    <cfRule type="expression" dxfId="2501" priority="41">
      <formula>IF(NoColor,1,0)</formula>
    </cfRule>
  </conditionalFormatting>
  <conditionalFormatting sqref="X131">
    <cfRule type="expression" dxfId="2500" priority="40">
      <formula>IF(NoColor,1,0)</formula>
    </cfRule>
  </conditionalFormatting>
  <conditionalFormatting sqref="X132">
    <cfRule type="expression" dxfId="2499" priority="39">
      <formula>IF(NoColor,1,0)</formula>
    </cfRule>
  </conditionalFormatting>
  <conditionalFormatting sqref="X133">
    <cfRule type="expression" dxfId="2498" priority="38">
      <formula>IF(NoColor,1,0)</formula>
    </cfRule>
  </conditionalFormatting>
  <conditionalFormatting sqref="X134">
    <cfRule type="expression" dxfId="2497" priority="37">
      <formula>IF(NoColor,1,0)</formula>
    </cfRule>
  </conditionalFormatting>
  <conditionalFormatting sqref="X135">
    <cfRule type="expression" dxfId="2496" priority="36">
      <formula>IF(NoColor,1,0)</formula>
    </cfRule>
  </conditionalFormatting>
  <conditionalFormatting sqref="X136">
    <cfRule type="expression" dxfId="2495" priority="35">
      <formula>IF(NoColor,1,0)</formula>
    </cfRule>
  </conditionalFormatting>
  <conditionalFormatting sqref="X137">
    <cfRule type="expression" dxfId="2494" priority="34">
      <formula>IF(NoColor,1,0)</formula>
    </cfRule>
  </conditionalFormatting>
  <conditionalFormatting sqref="X138">
    <cfRule type="expression" dxfId="2493" priority="33">
      <formula>IF(NoColor,1,0)</formula>
    </cfRule>
  </conditionalFormatting>
  <conditionalFormatting sqref="X139">
    <cfRule type="expression" dxfId="2492" priority="32">
      <formula>IF(NoColor,1,0)</formula>
    </cfRule>
  </conditionalFormatting>
  <conditionalFormatting sqref="X140">
    <cfRule type="expression" dxfId="2491" priority="31">
      <formula>IF(NoColor,1,0)</formula>
    </cfRule>
  </conditionalFormatting>
  <conditionalFormatting sqref="X141">
    <cfRule type="expression" dxfId="2490" priority="30">
      <formula>IF(NoColor,1,0)</formula>
    </cfRule>
  </conditionalFormatting>
  <conditionalFormatting sqref="X142">
    <cfRule type="expression" dxfId="2489" priority="29">
      <formula>IF(NoColor,1,0)</formula>
    </cfRule>
  </conditionalFormatting>
  <conditionalFormatting sqref="X143">
    <cfRule type="expression" dxfId="2488" priority="28">
      <formula>IF(NoColor,1,0)</formula>
    </cfRule>
  </conditionalFormatting>
  <conditionalFormatting sqref="X144">
    <cfRule type="expression" dxfId="2487" priority="27">
      <formula>IF(NoColor,1,0)</formula>
    </cfRule>
  </conditionalFormatting>
  <conditionalFormatting sqref="X145">
    <cfRule type="expression" dxfId="2486" priority="26">
      <formula>IF(NoColor,1,0)</formula>
    </cfRule>
  </conditionalFormatting>
  <conditionalFormatting sqref="X146">
    <cfRule type="expression" dxfId="2485" priority="25">
      <formula>IF(NoColor,1,0)</formula>
    </cfRule>
  </conditionalFormatting>
  <conditionalFormatting sqref="X147">
    <cfRule type="expression" dxfId="2484" priority="24">
      <formula>IF(NoColor,1,0)</formula>
    </cfRule>
  </conditionalFormatting>
  <conditionalFormatting sqref="X148">
    <cfRule type="expression" dxfId="2483" priority="23">
      <formula>IF(NoColor,1,0)</formula>
    </cfRule>
  </conditionalFormatting>
  <conditionalFormatting sqref="X149">
    <cfRule type="expression" dxfId="2482" priority="22">
      <formula>IF(NoColor,1,0)</formula>
    </cfRule>
  </conditionalFormatting>
  <conditionalFormatting sqref="X150">
    <cfRule type="expression" dxfId="2481" priority="21">
      <formula>IF(NoColor,1,0)</formula>
    </cfRule>
  </conditionalFormatting>
  <conditionalFormatting sqref="X151">
    <cfRule type="expression" dxfId="2480" priority="20">
      <formula>IF(NoColor,1,0)</formula>
    </cfRule>
  </conditionalFormatting>
  <conditionalFormatting sqref="X152">
    <cfRule type="expression" dxfId="2479" priority="19">
      <formula>IF(NoColor,1,0)</formula>
    </cfRule>
  </conditionalFormatting>
  <conditionalFormatting sqref="X153">
    <cfRule type="expression" dxfId="2478" priority="18">
      <formula>IF(NoColor,1,0)</formula>
    </cfRule>
  </conditionalFormatting>
  <conditionalFormatting sqref="X154">
    <cfRule type="expression" dxfId="2477" priority="17">
      <formula>IF(NoColor,1,0)</formula>
    </cfRule>
  </conditionalFormatting>
  <conditionalFormatting sqref="X155">
    <cfRule type="expression" dxfId="2476" priority="16">
      <formula>IF(NoColor,1,0)</formula>
    </cfRule>
  </conditionalFormatting>
  <conditionalFormatting sqref="X156">
    <cfRule type="expression" dxfId="2475" priority="15">
      <formula>IF(NoColor,1,0)</formula>
    </cfRule>
  </conditionalFormatting>
  <conditionalFormatting sqref="X157">
    <cfRule type="expression" dxfId="2474" priority="14">
      <formula>IF(NoColor,1,0)</formula>
    </cfRule>
  </conditionalFormatting>
  <conditionalFormatting sqref="X158">
    <cfRule type="expression" dxfId="2473" priority="13">
      <formula>IF(NoColor,1,0)</formula>
    </cfRule>
  </conditionalFormatting>
  <conditionalFormatting sqref="X159">
    <cfRule type="expression" dxfId="2472" priority="12">
      <formula>IF(NoColor,1,0)</formula>
    </cfRule>
  </conditionalFormatting>
  <conditionalFormatting sqref="X168">
    <cfRule type="expression" dxfId="2471" priority="8">
      <formula>IF(NoColor,1,0)</formula>
    </cfRule>
  </conditionalFormatting>
  <conditionalFormatting sqref="X160">
    <cfRule type="expression" dxfId="2470" priority="11">
      <formula>IF(NoColor,1,0)</formula>
    </cfRule>
  </conditionalFormatting>
  <conditionalFormatting sqref="X161">
    <cfRule type="expression" dxfId="2469" priority="10">
      <formula>IF(NoColor,1,0)</formula>
    </cfRule>
  </conditionalFormatting>
  <conditionalFormatting sqref="X167">
    <cfRule type="expression" dxfId="2468" priority="9">
      <formula>IF(NoColor,1,0)</formula>
    </cfRule>
  </conditionalFormatting>
  <conditionalFormatting sqref="X174">
    <cfRule type="expression" dxfId="2467" priority="7">
      <formula>IF(NoColor,1,0)</formula>
    </cfRule>
  </conditionalFormatting>
  <conditionalFormatting sqref="N82">
    <cfRule type="expression" dxfId="2466" priority="6">
      <formula>IF(NoColor,1,0)</formula>
    </cfRule>
  </conditionalFormatting>
  <conditionalFormatting sqref="N85">
    <cfRule type="expression" dxfId="2465" priority="5">
      <formula>IF(NoColor,1,0)</formula>
    </cfRule>
  </conditionalFormatting>
  <conditionalFormatting sqref="N87">
    <cfRule type="expression" dxfId="2464" priority="4">
      <formula>IF(NoColor,1,0)</formula>
    </cfRule>
  </conditionalFormatting>
  <conditionalFormatting sqref="N93">
    <cfRule type="expression" dxfId="2463" priority="3">
      <formula>IF(NoColor,1,0)</formula>
    </cfRule>
  </conditionalFormatting>
  <conditionalFormatting sqref="N97">
    <cfRule type="expression" dxfId="2462" priority="2">
      <formula>IF(NoColor,1,0)</formula>
    </cfRule>
  </conditionalFormatting>
  <conditionalFormatting sqref="N100">
    <cfRule type="expression" dxfId="2461" priority="1">
      <formula>IF(NoColor,1,0)</formula>
    </cfRule>
  </conditionalFormatting>
  <printOptions gridLines="1" gridLinesSet="0"/>
  <pageMargins left="0.38" right="0.25" top="0.66" bottom="0.64" header="0.5" footer="0.5"/>
  <pageSetup scale="89" fitToHeight="0" orientation="portrait" horizontalDpi="120" verticalDpi="144"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AI238"/>
  <sheetViews>
    <sheetView zoomScaleNormal="100" zoomScaleSheetLayoutView="100" workbookViewId="0">
      <selection activeCell="A31" sqref="A31"/>
    </sheetView>
  </sheetViews>
  <sheetFormatPr defaultColWidth="9.140625" defaultRowHeight="12.75"/>
  <cols>
    <col min="1" max="1" width="9.28515625" style="1238" customWidth="1"/>
    <col min="2" max="2" width="4.140625" style="1238" customWidth="1"/>
    <col min="3" max="3" width="6.28515625" style="1238" customWidth="1"/>
    <col min="4" max="5" width="3.7109375" style="1238" customWidth="1"/>
    <col min="6" max="6" width="4.28515625" style="1238" customWidth="1"/>
    <col min="7" max="7" width="6.7109375" style="1238" customWidth="1"/>
    <col min="8" max="8" width="10.140625" style="1238" customWidth="1"/>
    <col min="9" max="9" width="5.140625" style="1238" customWidth="1"/>
    <col min="10" max="10" width="7.7109375" style="1238" customWidth="1"/>
    <col min="11" max="11" width="11.85546875" style="1238" customWidth="1"/>
    <col min="12" max="12" width="2" style="1238" customWidth="1"/>
    <col min="13" max="13" width="4.42578125" style="1238" customWidth="1"/>
    <col min="14" max="14" width="5.42578125" style="1238" customWidth="1"/>
    <col min="15" max="15" width="14" style="1238" customWidth="1"/>
    <col min="16" max="16" width="4" style="1238" customWidth="1"/>
    <col min="17" max="17" width="12.140625" style="1238" customWidth="1"/>
    <col min="18" max="19" width="4.140625" style="1238" customWidth="1"/>
    <col min="20" max="20" width="3.85546875" style="1238" customWidth="1"/>
    <col min="21" max="21" width="11" style="1238" customWidth="1"/>
    <col min="22" max="22" width="2" style="1238" customWidth="1"/>
    <col min="23" max="23" width="3.5703125" style="1237" customWidth="1"/>
    <col min="24" max="24" width="13.5703125" style="1237" customWidth="1"/>
    <col min="25" max="25" width="7.28515625" style="1238" customWidth="1"/>
    <col min="26" max="35" width="10.7109375" style="3179" customWidth="1"/>
    <col min="36" max="16384" width="9.140625" style="1238"/>
  </cols>
  <sheetData>
    <row r="1" spans="1:26" ht="16.5" customHeight="1">
      <c r="A1" s="1234"/>
      <c r="B1" s="1234"/>
      <c r="C1" s="1234"/>
      <c r="D1" s="1235"/>
      <c r="E1" s="1234"/>
      <c r="F1" s="1234"/>
      <c r="G1" s="1234"/>
      <c r="H1" s="1234"/>
      <c r="I1" s="1234"/>
      <c r="J1" s="1234"/>
      <c r="K1" s="1236"/>
      <c r="L1" s="1234"/>
      <c r="M1" s="1234"/>
      <c r="N1" s="1234"/>
      <c r="O1" s="1234"/>
      <c r="P1" s="1234"/>
      <c r="Q1" s="1234"/>
      <c r="R1" s="1234"/>
      <c r="S1" s="1234"/>
      <c r="T1" s="1234"/>
      <c r="U1" s="1234"/>
      <c r="V1" s="1237"/>
      <c r="Z1" s="3182" t="s">
        <v>2552</v>
      </c>
    </row>
    <row r="2" spans="1:26" ht="15">
      <c r="A2" s="1239"/>
      <c r="B2" s="1239"/>
      <c r="C2" s="1240"/>
      <c r="D2" s="1239"/>
      <c r="E2" s="1240" t="str">
        <f>IF(OR(Pub_972&lt;&gt;"Complete.",AND(Qual_Child_Count=0,DependentCount=0)),"NOTICE!","")</f>
        <v>NOTICE!</v>
      </c>
      <c r="F2" s="1240"/>
      <c r="G2" s="1241" t="str">
        <f>IF(AND(Qual_Child_Count=0,DependentCount=0),"No qualifying children OR other dependents have been indicated on Form 1040.",IF(Pub_972&lt;&gt;"Complete.","To correctly determine your Child Tax Credit/Dependent Credit, you must answer these questions.",""))</f>
        <v>No qualifying children OR other dependents have been indicated on Form 1040.</v>
      </c>
      <c r="H2" s="1242"/>
      <c r="I2" s="1242"/>
      <c r="J2" s="1242"/>
      <c r="K2" s="1243"/>
      <c r="L2" s="1242"/>
      <c r="M2" s="1242"/>
      <c r="N2" s="1242"/>
      <c r="O2" s="1242"/>
      <c r="P2" s="1242"/>
      <c r="Q2" s="1242"/>
      <c r="R2" s="1242"/>
      <c r="S2" s="1242"/>
      <c r="T2" s="1242"/>
      <c r="U2" s="1242"/>
      <c r="V2" s="1237"/>
    </row>
    <row r="3" spans="1:26" ht="24" customHeight="1" thickBot="1">
      <c r="A3" s="1234"/>
      <c r="B3" s="1244"/>
      <c r="C3" s="1234"/>
      <c r="D3" s="1235"/>
      <c r="E3" s="1234"/>
      <c r="F3" s="1234"/>
      <c r="G3" s="1234"/>
      <c r="H3" s="1234"/>
      <c r="I3" s="1234"/>
      <c r="J3" s="1234"/>
      <c r="K3" s="1236"/>
      <c r="L3" s="1234"/>
      <c r="M3" s="1234"/>
      <c r="N3" s="1234"/>
      <c r="O3" s="1234"/>
      <c r="P3" s="1234"/>
      <c r="Q3" s="1234"/>
      <c r="R3" s="1245" t="s">
        <v>316</v>
      </c>
      <c r="S3" s="1246" t="s">
        <v>307</v>
      </c>
      <c r="T3" s="1250">
        <f>SUM(T9:T12)</f>
        <v>0</v>
      </c>
      <c r="U3" s="1250">
        <f>SUM(U9:U12)</f>
        <v>0</v>
      </c>
      <c r="V3" s="1237"/>
    </row>
    <row r="4" spans="1:26" ht="12.75" customHeight="1" thickBot="1">
      <c r="A4" s="1234"/>
      <c r="B4" s="1244" t="s">
        <v>336</v>
      </c>
      <c r="C4" s="1234" t="s">
        <v>479</v>
      </c>
      <c r="D4" s="1235"/>
      <c r="E4" s="1234"/>
      <c r="F4" s="1234"/>
      <c r="G4" s="1234"/>
      <c r="H4" s="1234"/>
      <c r="I4" s="1234"/>
      <c r="J4" s="1234"/>
      <c r="K4" s="1236"/>
      <c r="L4" s="1234"/>
      <c r="M4" s="1234"/>
      <c r="N4" s="1234"/>
      <c r="O4" s="1234"/>
      <c r="P4" s="1234"/>
      <c r="Q4" s="1391" t="str">
        <f>IF(Qual_Child_Count=0,"",IF(AND(R4="",S4=""),"Check one box.  ",IF(AND(R4&lt;&gt;"",S4&lt;&gt;""),"Check only one box. ",IF(AND(S4&lt;&gt;"",O41=""),"See Line 3 below. ",IF(AND(R4="X",O41&lt;&gt;"",O41&lt;&gt;0),"Clear Line 3 entry.","")))))</f>
        <v/>
      </c>
      <c r="R4" s="2076"/>
      <c r="S4" s="2331" t="str">
        <f>IF(AND(R4="",Form2555_Used),"X","")</f>
        <v/>
      </c>
      <c r="T4" s="1251"/>
      <c r="U4" s="1234"/>
      <c r="V4" s="1237"/>
    </row>
    <row r="5" spans="1:26">
      <c r="A5" s="1234"/>
      <c r="B5" s="1244"/>
      <c r="C5" s="1234"/>
      <c r="D5" s="1247" t="s">
        <v>385</v>
      </c>
      <c r="E5" s="1234" t="s">
        <v>330</v>
      </c>
      <c r="F5" s="1234"/>
      <c r="G5" s="1234"/>
      <c r="H5" s="1234"/>
      <c r="I5" s="1234"/>
      <c r="J5" s="1234"/>
      <c r="K5" s="1236"/>
      <c r="L5" s="1234"/>
      <c r="M5" s="1234"/>
      <c r="N5" s="1234"/>
      <c r="O5" s="1234"/>
      <c r="P5" s="1234"/>
      <c r="Q5" s="1234"/>
      <c r="R5" s="1234"/>
      <c r="S5" s="1234"/>
      <c r="T5" s="1234"/>
      <c r="U5" s="1234"/>
      <c r="V5" s="1237"/>
    </row>
    <row r="6" spans="1:26">
      <c r="A6" s="1234"/>
      <c r="B6" s="1244"/>
      <c r="C6" s="1234"/>
      <c r="D6" s="1247" t="s">
        <v>385</v>
      </c>
      <c r="E6" s="1234" t="s">
        <v>315</v>
      </c>
      <c r="F6" s="1234"/>
      <c r="G6" s="1234"/>
      <c r="H6" s="1234"/>
      <c r="I6" s="1234"/>
      <c r="J6" s="1234"/>
      <c r="K6" s="1236"/>
      <c r="L6" s="1234"/>
      <c r="M6" s="1234"/>
      <c r="N6" s="1234"/>
      <c r="O6" s="1234"/>
      <c r="P6" s="1234"/>
      <c r="Q6" s="1234"/>
      <c r="R6" s="1234"/>
      <c r="S6" s="1234"/>
      <c r="T6" s="1234"/>
      <c r="U6" s="1234"/>
      <c r="V6" s="1237"/>
    </row>
    <row r="7" spans="1:26">
      <c r="A7" s="1234"/>
      <c r="B7" s="1244"/>
      <c r="C7" s="1234"/>
      <c r="D7" s="1235"/>
      <c r="E7" s="1234"/>
      <c r="F7" s="1234"/>
      <c r="G7" s="1234"/>
      <c r="H7" s="1234"/>
      <c r="I7" s="1234"/>
      <c r="J7" s="1234"/>
      <c r="K7" s="1236"/>
      <c r="L7" s="1234"/>
      <c r="M7" s="1234"/>
      <c r="N7" s="1234"/>
      <c r="O7" s="1234"/>
      <c r="P7" s="1234"/>
      <c r="Q7" s="1234"/>
      <c r="R7" s="1234"/>
      <c r="S7" s="1234"/>
      <c r="T7" s="1246"/>
      <c r="U7" s="1234"/>
      <c r="V7" s="1237"/>
    </row>
    <row r="8" spans="1:26" ht="13.5" thickBot="1">
      <c r="A8" s="1234"/>
      <c r="B8" s="1244" t="s">
        <v>0</v>
      </c>
      <c r="C8" s="1234" t="s">
        <v>552</v>
      </c>
      <c r="D8" s="1235"/>
      <c r="E8" s="1234"/>
      <c r="F8" s="1234"/>
      <c r="G8" s="1234"/>
      <c r="H8" s="1234"/>
      <c r="I8" s="1234"/>
      <c r="J8" s="1234"/>
      <c r="K8" s="1236"/>
      <c r="L8" s="1234"/>
      <c r="M8" s="1234"/>
      <c r="N8" s="1234"/>
      <c r="O8" s="1234"/>
      <c r="P8" s="1234"/>
      <c r="Q8" s="1234"/>
      <c r="R8" s="1245" t="s">
        <v>316</v>
      </c>
      <c r="S8" s="1246" t="s">
        <v>307</v>
      </c>
      <c r="T8" s="1246"/>
      <c r="U8" s="1234"/>
      <c r="V8" s="1237"/>
    </row>
    <row r="9" spans="1:26" ht="12.75" customHeight="1">
      <c r="A9" s="1234"/>
      <c r="B9" s="1244"/>
      <c r="C9" s="1234"/>
      <c r="D9" s="1247" t="s">
        <v>385</v>
      </c>
      <c r="E9" s="1234" t="str">
        <f>"Mortgage interest credit, Form 8396"</f>
        <v>Mortgage interest credit, Form 8396</v>
      </c>
      <c r="F9" s="1234"/>
      <c r="G9" s="1234"/>
      <c r="H9" s="1234"/>
      <c r="I9" s="1234"/>
      <c r="J9" s="1234"/>
      <c r="K9" s="1236"/>
      <c r="L9" s="1234"/>
      <c r="M9" s="1234"/>
      <c r="N9" s="1234"/>
      <c r="O9" s="1234"/>
      <c r="P9" s="1234"/>
      <c r="Q9" s="1391" t="str">
        <f>IF(Qual_Child_Count=0,"",IF(AND(R9="",S9=""),"Check one box.  ",IF(AND(R9&lt;&gt;"",S9&lt;&gt;""),"Check only one box. ",IF(AND(S9&lt;&gt;"",K226=""),"See Line 14 Worksheet, Line 15.",""))))</f>
        <v/>
      </c>
      <c r="R9" s="2070"/>
      <c r="S9" s="2073"/>
      <c r="T9" s="1388" t="str">
        <f>IF(S9&lt;&gt;"",1,"")</f>
        <v/>
      </c>
      <c r="U9" s="1388" t="str">
        <f>IF(S9&lt;&gt;"",1,"")</f>
        <v/>
      </c>
      <c r="V9" s="1237"/>
    </row>
    <row r="10" spans="1:26" ht="12.75" customHeight="1">
      <c r="A10" s="1234"/>
      <c r="B10" s="1244"/>
      <c r="C10" s="1234"/>
      <c r="D10" s="1247" t="s">
        <v>385</v>
      </c>
      <c r="E10" s="1234" t="s">
        <v>931</v>
      </c>
      <c r="F10" s="1234"/>
      <c r="G10" s="1234"/>
      <c r="H10" s="1234"/>
      <c r="I10" s="1234"/>
      <c r="J10" s="1234"/>
      <c r="K10" s="1236"/>
      <c r="L10" s="1234"/>
      <c r="M10" s="1234"/>
      <c r="N10" s="1234"/>
      <c r="O10" s="1234"/>
      <c r="P10" s="1234"/>
      <c r="Q10" s="1391" t="str">
        <f>IF(Qual_Child_Count=0,"",IF(AND(R10="",S10=""),"Check one box.  ",IF(AND(R10&lt;&gt;"",S10&lt;&gt;""),"Check only one box. ",IF(AND(S10&lt;&gt;"",K227=""),"See Line 14 Worksheet, Line 15.",""))))</f>
        <v/>
      </c>
      <c r="R10" s="2071"/>
      <c r="S10" s="2074"/>
      <c r="T10" s="1249" t="str">
        <f>IF(S10&lt;&gt;"",1,"")</f>
        <v/>
      </c>
      <c r="U10" s="1388" t="str">
        <f>IF(S10&lt;&gt;"",1,"")</f>
        <v/>
      </c>
      <c r="V10" s="1237"/>
    </row>
    <row r="11" spans="1:26" ht="12.75" customHeight="1">
      <c r="A11" s="1234"/>
      <c r="B11" s="1244"/>
      <c r="C11" s="1234"/>
      <c r="D11" s="1247" t="s">
        <v>385</v>
      </c>
      <c r="E11" s="1234" t="str">
        <f>"Residential energy efficient property credit, Form 5695, Part I"</f>
        <v>Residential energy efficient property credit, Form 5695, Part I</v>
      </c>
      <c r="F11" s="1234"/>
      <c r="G11" s="1234"/>
      <c r="H11" s="1234"/>
      <c r="I11" s="1234"/>
      <c r="J11" s="1234"/>
      <c r="K11" s="1236"/>
      <c r="L11" s="1234"/>
      <c r="M11" s="1234"/>
      <c r="N11" s="1234"/>
      <c r="O11" s="1234"/>
      <c r="P11" s="1234"/>
      <c r="Q11" s="1391" t="str">
        <f>IF(Qual_Child_Count=0,"",IF(AND(R11="",S11=""),"Check one box.  ",IF(AND(R11&lt;&gt;"",S11&lt;&gt;""),"Check only one box. ",IF(AND(S11&lt;&gt;"",K228=""),"See Line 14 Worksheet, Line 15.",""))))</f>
        <v/>
      </c>
      <c r="R11" s="2071"/>
      <c r="S11" s="2074" t="str">
        <f>IF(OR(R11&lt;&gt;"",'Sch. 3'!AC15=""),"",IF('Sch. 3'!AC15&gt;0,"X",""))</f>
        <v/>
      </c>
      <c r="T11" s="1249" t="str">
        <f>IF(S11&lt;&gt;"",1,"")</f>
        <v/>
      </c>
      <c r="U11" s="1388" t="str">
        <f>IF(S11&lt;&gt;"",1,"")</f>
        <v/>
      </c>
      <c r="V11" s="1237"/>
    </row>
    <row r="12" spans="1:26" ht="12.75" customHeight="1" thickBot="1">
      <c r="A12" s="1234"/>
      <c r="B12" s="1244"/>
      <c r="C12" s="1234"/>
      <c r="D12" s="1247" t="s">
        <v>385</v>
      </c>
      <c r="E12" s="1234" t="s">
        <v>155</v>
      </c>
      <c r="F12" s="1234"/>
      <c r="G12" s="1234"/>
      <c r="H12" s="1234"/>
      <c r="I12" s="1234"/>
      <c r="J12" s="1234"/>
      <c r="K12" s="1236"/>
      <c r="L12" s="1234"/>
      <c r="M12" s="1234"/>
      <c r="N12" s="1234"/>
      <c r="O12" s="1234"/>
      <c r="P12" s="1234"/>
      <c r="Q12" s="1391" t="str">
        <f>IF(Qual_Child_Count=0,"",IF(AND(R12="",S12=""),"Check one box.  ",IF(AND(R12&lt;&gt;"",S12&lt;&gt;""),"Check only one box. ",IF(AND(S12&lt;&gt;"",K229=""),"See Line 14 Worksheet, Line 15.",""))))</f>
        <v/>
      </c>
      <c r="R12" s="2072"/>
      <c r="S12" s="2075"/>
      <c r="T12" s="1249" t="str">
        <f>IF(S12&lt;&gt;"",1,"")</f>
        <v/>
      </c>
      <c r="U12" s="1388" t="str">
        <f>IF(S12&lt;&gt;"",1,"")</f>
        <v/>
      </c>
      <c r="V12" s="1237"/>
    </row>
    <row r="13" spans="1:26" ht="20.25" customHeight="1">
      <c r="A13" s="1234"/>
      <c r="B13" s="1252"/>
      <c r="C13" s="1252" t="s">
        <v>306</v>
      </c>
      <c r="D13" s="1253" t="str">
        <f>IF(AND(Qual_Child_Count=0,DependentCount=0)," Not applicable",  IF(AND(R4&lt;&gt;"",S4&lt;&gt;"")," Check only one box.",  IF(OR(AND(R9="",S9=""),AND(R11="",S11=""), AND(R12="",S12=""), AND(R4="",S4=""))," Check boxes as indicated above.",  IF(OR(AND(S9&lt;&gt;"",K226=""), AND(S10&lt;&gt;"",K227=""),AND(S11&lt;&gt;"",K90="",K228=""), AND(S12&lt;&gt;"",K229=""), AND(S4&lt;&gt;"",O41=""))," Need more information.","Complete."))))</f>
        <v xml:space="preserve"> Not applicable</v>
      </c>
      <c r="E13" s="1234"/>
      <c r="F13" s="1234"/>
      <c r="G13" s="1254"/>
      <c r="H13" s="1255"/>
      <c r="I13" s="1255"/>
      <c r="J13" s="1255"/>
      <c r="K13" s="1256"/>
      <c r="L13" s="1234"/>
      <c r="M13" s="1234"/>
      <c r="N13" s="1234"/>
      <c r="O13" s="1257"/>
      <c r="P13" s="1234"/>
      <c r="Q13" s="1248"/>
      <c r="R13" s="1234"/>
      <c r="S13" s="1248"/>
      <c r="T13" s="1234"/>
      <c r="U13" s="1234"/>
      <c r="V13" s="1237"/>
    </row>
    <row r="14" spans="1:26" ht="20.25" customHeight="1" thickBot="1">
      <c r="A14" s="1258"/>
      <c r="B14" s="1259"/>
      <c r="C14" s="1259"/>
      <c r="D14" s="1260"/>
      <c r="E14" s="1258"/>
      <c r="F14" s="1258"/>
      <c r="G14" s="1261"/>
      <c r="H14" s="1262"/>
      <c r="I14" s="1262"/>
      <c r="J14" s="1262"/>
      <c r="K14" s="1263"/>
      <c r="L14" s="1258"/>
      <c r="M14" s="1258"/>
      <c r="N14" s="1258"/>
      <c r="O14" s="1264"/>
      <c r="P14" s="1258"/>
      <c r="Q14" s="1248"/>
      <c r="R14" s="1258"/>
      <c r="S14" s="1248"/>
      <c r="T14" s="1258"/>
      <c r="U14" s="1258"/>
      <c r="V14" s="1237"/>
    </row>
    <row r="15" spans="1:26" ht="12.75" customHeight="1">
      <c r="A15" s="1265"/>
      <c r="B15" s="1266"/>
      <c r="C15" s="1267"/>
      <c r="D15" s="1268"/>
      <c r="E15" s="1269"/>
      <c r="F15" s="1269"/>
      <c r="G15" s="1269"/>
      <c r="H15" s="1269"/>
      <c r="I15" s="1269"/>
      <c r="J15" s="1269"/>
      <c r="K15" s="1270"/>
      <c r="L15" s="1269"/>
      <c r="M15" s="1269"/>
      <c r="N15" s="1269"/>
      <c r="O15" s="1271"/>
      <c r="P15" s="1269"/>
      <c r="Q15" s="1271"/>
      <c r="R15" s="1272"/>
      <c r="S15" s="1272"/>
      <c r="T15" s="1272"/>
      <c r="U15" s="1272"/>
      <c r="V15" s="1237"/>
    </row>
    <row r="16" spans="1:26" ht="12.75" customHeight="1">
      <c r="A16" s="1265"/>
      <c r="B16" s="1273"/>
      <c r="C16" s="1274" t="s">
        <v>789</v>
      </c>
      <c r="D16" s="1275"/>
      <c r="E16" s="1276" t="s">
        <v>818</v>
      </c>
      <c r="F16" s="1276"/>
      <c r="G16" s="1265"/>
      <c r="H16" s="1265"/>
      <c r="I16" s="1265"/>
      <c r="J16" s="1265"/>
      <c r="K16" s="1277"/>
      <c r="L16" s="1265"/>
      <c r="M16" s="1265"/>
      <c r="N16" s="1265"/>
      <c r="O16" s="1272"/>
      <c r="P16" s="1265"/>
      <c r="Q16" s="1272"/>
      <c r="R16" s="1272"/>
      <c r="S16" s="1272"/>
      <c r="T16" s="1272"/>
      <c r="U16" s="1272"/>
      <c r="V16" s="1237"/>
    </row>
    <row r="17" spans="1:35" ht="12" customHeight="1" thickBot="1">
      <c r="A17" s="1234"/>
      <c r="B17" s="1234"/>
      <c r="C17" s="1234"/>
      <c r="D17" s="1235"/>
      <c r="E17" s="1234"/>
      <c r="F17" s="1234"/>
      <c r="G17" s="1234"/>
      <c r="H17" s="1234"/>
      <c r="I17" s="1234"/>
      <c r="J17" s="1234"/>
      <c r="K17" s="1236"/>
      <c r="L17" s="1234"/>
      <c r="M17" s="1234"/>
      <c r="N17" s="1234"/>
      <c r="O17" s="1234"/>
      <c r="P17" s="1234"/>
      <c r="Q17" s="1234"/>
      <c r="R17" s="1234"/>
      <c r="S17" s="1234"/>
      <c r="T17" s="1234"/>
      <c r="U17" s="1234"/>
      <c r="V17" s="1237"/>
    </row>
    <row r="18" spans="1:35" ht="18.75" customHeight="1" thickTop="1">
      <c r="A18" s="1265"/>
      <c r="B18" s="5813" t="str">
        <f>TaxYear&amp;" Child Tax Credit and Credit for Other Dependents"</f>
        <v>2018 Child Tax Credit and Credit for Other Dependents</v>
      </c>
      <c r="C18" s="5814"/>
      <c r="D18" s="5814"/>
      <c r="E18" s="5814"/>
      <c r="F18" s="5814"/>
      <c r="G18" s="5814"/>
      <c r="H18" s="5814"/>
      <c r="I18" s="5814"/>
      <c r="J18" s="5814"/>
      <c r="K18" s="5814"/>
      <c r="L18" s="5814"/>
      <c r="M18" s="5814"/>
      <c r="N18" s="5813"/>
      <c r="O18" s="5814"/>
      <c r="P18" s="5814"/>
      <c r="Q18" s="5814"/>
      <c r="R18" s="1272"/>
      <c r="S18" s="1272"/>
      <c r="T18" s="1272"/>
      <c r="U18" s="1272"/>
      <c r="V18" s="1237"/>
    </row>
    <row r="19" spans="1:35" ht="18.75" customHeight="1" thickBot="1">
      <c r="A19" s="1265"/>
      <c r="B19" s="5815" t="s">
        <v>4091</v>
      </c>
      <c r="C19" s="5816"/>
      <c r="D19" s="5816"/>
      <c r="E19" s="5816"/>
      <c r="F19" s="5816"/>
      <c r="G19" s="5816"/>
      <c r="H19" s="5816"/>
      <c r="I19" s="5816"/>
      <c r="J19" s="5816"/>
      <c r="K19" s="5816"/>
      <c r="L19" s="5816"/>
      <c r="M19" s="5816"/>
      <c r="N19" s="1290"/>
      <c r="O19" s="1322"/>
      <c r="P19" s="1290"/>
      <c r="Q19" s="4510" t="s">
        <v>200</v>
      </c>
      <c r="R19" s="1272"/>
      <c r="S19" s="1272"/>
      <c r="T19" s="1272"/>
      <c r="U19" s="1272"/>
      <c r="V19" s="1237"/>
    </row>
    <row r="20" spans="1:35" ht="24" customHeight="1" thickTop="1">
      <c r="A20" s="1258"/>
      <c r="B20" s="1285"/>
      <c r="C20" s="1260"/>
      <c r="D20" s="1275"/>
      <c r="E20" s="4508"/>
      <c r="F20" s="4509"/>
      <c r="G20" s="4509" t="s">
        <v>242</v>
      </c>
      <c r="H20" s="1283" t="s">
        <v>415</v>
      </c>
      <c r="I20" s="1283"/>
      <c r="J20" s="1380" t="s">
        <v>4710</v>
      </c>
      <c r="K20" s="1284"/>
      <c r="L20" s="1284"/>
      <c r="M20" s="1284"/>
      <c r="N20" s="1284"/>
      <c r="O20" s="1284"/>
      <c r="P20" s="1284"/>
      <c r="Q20" s="1284"/>
      <c r="R20" s="1284"/>
      <c r="S20" s="1284"/>
      <c r="T20" s="1284"/>
      <c r="U20" s="1258"/>
      <c r="V20" s="1237"/>
    </row>
    <row r="21" spans="1:35" ht="11.25" customHeight="1">
      <c r="A21" s="1258"/>
      <c r="B21" s="1285"/>
      <c r="C21" s="1260"/>
      <c r="D21" s="1275"/>
      <c r="E21" s="1258"/>
      <c r="F21" s="1258"/>
      <c r="G21" s="1258"/>
      <c r="H21" s="1286"/>
      <c r="I21" s="1286"/>
      <c r="J21" s="1381" t="s">
        <v>1005</v>
      </c>
      <c r="K21" s="1287"/>
      <c r="L21" s="1258"/>
      <c r="M21" s="1258"/>
      <c r="N21" s="1258"/>
      <c r="O21" s="1258"/>
      <c r="P21" s="1288"/>
      <c r="Q21" s="1289"/>
      <c r="R21" s="1258"/>
      <c r="S21" s="1258"/>
      <c r="T21" s="1258"/>
      <c r="U21" s="1258"/>
      <c r="V21" s="1237"/>
    </row>
    <row r="22" spans="1:35" s="5007" customFormat="1" ht="21.6" customHeight="1">
      <c r="A22" s="4986"/>
      <c r="B22" s="4999"/>
      <c r="C22" s="5002"/>
      <c r="D22" s="5000"/>
      <c r="E22" s="5002" t="s">
        <v>4709</v>
      </c>
      <c r="F22" s="4986"/>
      <c r="G22" s="4986"/>
      <c r="H22" s="5001"/>
      <c r="I22" s="5001"/>
      <c r="J22" s="5002"/>
      <c r="K22" s="5003"/>
      <c r="L22" s="4986"/>
      <c r="M22" s="4986"/>
      <c r="N22" s="4986"/>
      <c r="O22" s="4986"/>
      <c r="P22" s="5004"/>
      <c r="Q22" s="5005"/>
      <c r="R22" s="4986"/>
      <c r="S22" s="4986"/>
      <c r="T22" s="4986"/>
      <c r="U22" s="4986"/>
      <c r="V22" s="5006"/>
      <c r="W22" s="5006"/>
      <c r="X22" s="5006"/>
      <c r="Z22" s="5008"/>
      <c r="AA22" s="5008"/>
      <c r="AB22" s="5008"/>
      <c r="AC22" s="5008"/>
      <c r="AD22" s="5008"/>
      <c r="AE22" s="5008"/>
      <c r="AF22" s="5008"/>
      <c r="AG22" s="5008"/>
      <c r="AH22" s="5008"/>
      <c r="AI22" s="5008"/>
    </row>
    <row r="23" spans="1:35" ht="12.75" customHeight="1" thickBot="1">
      <c r="A23" s="1265"/>
      <c r="B23" s="1273"/>
      <c r="C23" s="1276"/>
      <c r="D23" s="1275"/>
      <c r="E23" s="1265"/>
      <c r="F23" s="1265"/>
      <c r="G23" s="1265"/>
      <c r="H23" s="1265"/>
      <c r="I23" s="1265"/>
      <c r="J23" s="1265"/>
      <c r="K23" s="1277"/>
      <c r="L23" s="1265"/>
      <c r="M23" s="1265"/>
      <c r="N23" s="1265"/>
      <c r="O23" s="1272"/>
      <c r="P23" s="1265"/>
      <c r="Q23" s="1272"/>
      <c r="R23" s="1272"/>
      <c r="S23" s="1272"/>
      <c r="T23" s="1272"/>
      <c r="U23" s="1272"/>
      <c r="V23" s="1237"/>
    </row>
    <row r="24" spans="1:35" ht="18.75" customHeight="1" thickTop="1" thickBot="1">
      <c r="A24" s="1265"/>
      <c r="B24" s="1577"/>
      <c r="C24" s="1578"/>
      <c r="D24" s="1579"/>
      <c r="E24" s="1580"/>
      <c r="F24" s="1581"/>
      <c r="G24" s="1582"/>
      <c r="H24" s="1582"/>
      <c r="I24" s="1582"/>
      <c r="J24" s="1582"/>
      <c r="K24" s="1583"/>
      <c r="L24" s="1582"/>
      <c r="M24" s="1582"/>
      <c r="N24" s="1582"/>
      <c r="O24" s="1581"/>
      <c r="P24" s="1582"/>
      <c r="Q24" s="1584"/>
      <c r="R24" s="1272"/>
      <c r="S24" s="1272"/>
      <c r="T24" s="1272"/>
      <c r="U24" s="1272"/>
      <c r="V24" s="1237"/>
      <c r="X24" s="1295" t="s">
        <v>468</v>
      </c>
    </row>
    <row r="25" spans="1:35" ht="18" customHeight="1">
      <c r="A25" s="1234"/>
      <c r="B25" s="5800" t="s">
        <v>424</v>
      </c>
      <c r="C25" s="5800"/>
      <c r="D25" s="1291" t="str">
        <f>"1."</f>
        <v>1.</v>
      </c>
      <c r="E25" s="1292" t="s">
        <v>3705</v>
      </c>
      <c r="F25" s="1292"/>
      <c r="G25" s="1234"/>
      <c r="H25" s="1244"/>
      <c r="I25" s="1244"/>
      <c r="J25" s="1244"/>
      <c r="K25" s="4306"/>
      <c r="L25" s="1265"/>
      <c r="M25" s="1265"/>
      <c r="N25" s="1265"/>
      <c r="O25" s="4317">
        <v>2000</v>
      </c>
      <c r="P25" s="5817" t="s">
        <v>165</v>
      </c>
      <c r="Q25" s="5797">
        <f>O25*K26</f>
        <v>0</v>
      </c>
      <c r="R25" s="1265"/>
      <c r="S25" s="1265"/>
      <c r="T25" s="1294"/>
      <c r="U25" s="1294"/>
      <c r="V25" s="1237"/>
      <c r="X25" s="5793"/>
    </row>
    <row r="26" spans="1:35" ht="13.5" thickBot="1">
      <c r="A26" s="1234"/>
      <c r="B26" s="1295"/>
      <c r="C26" s="1295"/>
      <c r="D26" s="1291"/>
      <c r="E26" s="1292" t="s">
        <v>3706</v>
      </c>
      <c r="F26" s="1292"/>
      <c r="G26" s="1234"/>
      <c r="H26" s="1244"/>
      <c r="I26" s="1244"/>
      <c r="J26" s="1244"/>
      <c r="K26" s="3531">
        <f>IF(X25&lt;&gt;"",ROUND(X25,0),Qual_Child_Count)</f>
        <v>0</v>
      </c>
      <c r="L26" s="5799" t="str">
        <f>"X "&amp;TEXT(O25,"$0,000")&amp;".  Enter the result."</f>
        <v>X $2,000.  Enter the result.</v>
      </c>
      <c r="M26" s="5799"/>
      <c r="N26" s="5799"/>
      <c r="O26" s="5799"/>
      <c r="P26" s="5796"/>
      <c r="Q26" s="5798"/>
      <c r="R26" s="1294"/>
      <c r="S26" s="1294"/>
      <c r="T26" s="1294"/>
      <c r="U26" s="1294"/>
      <c r="V26" s="1237"/>
      <c r="X26" s="5794"/>
    </row>
    <row r="27" spans="1:35" ht="10.5" customHeight="1" thickBot="1">
      <c r="A27" s="1234"/>
      <c r="B27" s="1295"/>
      <c r="C27" s="1295"/>
      <c r="D27" s="1291"/>
      <c r="E27" s="1296"/>
      <c r="F27" s="1296"/>
      <c r="G27" s="1297"/>
      <c r="H27" s="1297"/>
      <c r="I27" s="1297"/>
      <c r="J27" s="1297"/>
      <c r="K27" s="1298"/>
      <c r="L27" s="1297"/>
      <c r="M27" s="1297"/>
      <c r="N27" s="1297"/>
      <c r="O27" s="1299"/>
      <c r="P27" s="1305"/>
      <c r="Q27" s="1323"/>
      <c r="R27" s="1234"/>
      <c r="S27" s="1234"/>
      <c r="T27" s="1234"/>
      <c r="U27" s="1234"/>
      <c r="V27" s="1237"/>
    </row>
    <row r="28" spans="1:35" ht="18" customHeight="1">
      <c r="A28" s="1234"/>
      <c r="B28" s="1295"/>
      <c r="C28" s="1295"/>
      <c r="D28" s="1291" t="str">
        <f>"2."</f>
        <v>2.</v>
      </c>
      <c r="E28" s="1292" t="s">
        <v>3707</v>
      </c>
      <c r="F28" s="1292"/>
      <c r="G28" s="1234"/>
      <c r="H28" s="1244"/>
      <c r="I28" s="1244"/>
      <c r="J28" s="1244"/>
      <c r="K28" s="4306"/>
      <c r="L28" s="1265"/>
      <c r="M28" s="1265"/>
      <c r="N28" s="1265"/>
      <c r="O28" s="4317">
        <v>500</v>
      </c>
      <c r="P28" s="5795" t="s">
        <v>166</v>
      </c>
      <c r="Q28" s="5797">
        <f>O28*K29</f>
        <v>0</v>
      </c>
      <c r="R28" s="1265"/>
      <c r="S28" s="1265"/>
      <c r="T28" s="1294"/>
      <c r="U28" s="1294"/>
      <c r="V28" s="1237"/>
      <c r="X28" s="5793"/>
    </row>
    <row r="29" spans="1:35" ht="13.5" thickBot="1">
      <c r="A29" s="1234"/>
      <c r="B29" s="1295"/>
      <c r="C29" s="1295"/>
      <c r="D29" s="1291"/>
      <c r="E29" s="1292" t="s">
        <v>3708</v>
      </c>
      <c r="F29" s="1292"/>
      <c r="G29" s="1234"/>
      <c r="H29" s="1244"/>
      <c r="I29" s="1244"/>
      <c r="J29" s="1244"/>
      <c r="K29" s="3531">
        <f>IF(X28&lt;&gt;"",ROUND(X28,0),DependentCount)</f>
        <v>0</v>
      </c>
      <c r="L29" s="5799" t="str">
        <f>"X "&amp;TEXT(O28,"$000")&amp;".  Enter the result."</f>
        <v>X $500.  Enter the result.</v>
      </c>
      <c r="M29" s="5799"/>
      <c r="N29" s="5799"/>
      <c r="O29" s="5799"/>
      <c r="P29" s="5796"/>
      <c r="Q29" s="5798"/>
      <c r="R29" s="1294"/>
      <c r="S29" s="1294"/>
      <c r="T29" s="1294"/>
      <c r="U29" s="1294"/>
      <c r="V29" s="1237"/>
      <c r="X29" s="5794"/>
    </row>
    <row r="30" spans="1:35" ht="15.75" customHeight="1">
      <c r="A30" s="1234"/>
      <c r="B30" s="1295"/>
      <c r="C30" s="1295"/>
      <c r="D30" s="1291"/>
      <c r="E30" s="1292" t="s">
        <v>4712</v>
      </c>
      <c r="F30" s="1292"/>
      <c r="G30" s="1234"/>
      <c r="H30" s="1244"/>
      <c r="I30" s="1244"/>
      <c r="J30" s="1244"/>
      <c r="K30" s="1244"/>
      <c r="L30" s="1265"/>
      <c r="M30" s="1265"/>
      <c r="N30" s="1265"/>
      <c r="O30" s="1265"/>
      <c r="P30" s="1305"/>
      <c r="Q30" s="4307"/>
      <c r="R30" s="1294"/>
      <c r="S30" s="1294"/>
      <c r="T30" s="1294"/>
      <c r="U30" s="1294"/>
      <c r="V30" s="1237"/>
      <c r="X30" s="4308"/>
    </row>
    <row r="31" spans="1:35" s="4313" customFormat="1" ht="15.75" customHeight="1">
      <c r="A31" s="1333"/>
      <c r="B31" s="1334"/>
      <c r="C31" s="1334"/>
      <c r="D31" s="1360"/>
      <c r="E31" s="1304" t="s">
        <v>4711</v>
      </c>
      <c r="F31" s="1296"/>
      <c r="G31" s="4309"/>
      <c r="H31" s="4309"/>
      <c r="I31" s="4309"/>
      <c r="J31" s="4309"/>
      <c r="K31" s="4310"/>
      <c r="L31" s="4309"/>
      <c r="M31" s="4309"/>
      <c r="N31" s="4309"/>
      <c r="O31" s="4311"/>
      <c r="P31" s="1357"/>
      <c r="Q31" s="1359"/>
      <c r="R31" s="1333"/>
      <c r="S31" s="1333"/>
      <c r="T31" s="1333"/>
      <c r="U31" s="1333"/>
      <c r="V31" s="4312"/>
      <c r="W31" s="4312"/>
      <c r="X31" s="4312"/>
      <c r="Z31" s="4314"/>
      <c r="AA31" s="4314"/>
      <c r="AB31" s="4314"/>
      <c r="AC31" s="4314"/>
      <c r="AD31" s="4314"/>
      <c r="AE31" s="4314"/>
      <c r="AF31" s="4314"/>
      <c r="AG31" s="4314"/>
      <c r="AH31" s="4314"/>
      <c r="AI31" s="4314"/>
    </row>
    <row r="32" spans="1:35" ht="9" customHeight="1">
      <c r="A32" s="1234"/>
      <c r="B32" s="1295"/>
      <c r="C32" s="1295"/>
      <c r="D32" s="1291"/>
      <c r="E32" s="1300"/>
      <c r="F32" s="1300"/>
      <c r="G32" s="1301"/>
      <c r="H32" s="1301"/>
      <c r="I32" s="1301"/>
      <c r="J32" s="1301"/>
      <c r="K32" s="1302"/>
      <c r="L32" s="1234"/>
      <c r="M32" s="1234"/>
      <c r="N32" s="1234"/>
      <c r="O32" s="1291"/>
      <c r="P32" s="1234"/>
      <c r="Q32" s="1291"/>
      <c r="R32" s="1291"/>
      <c r="S32" s="1291"/>
      <c r="T32" s="1291"/>
      <c r="U32" s="1291"/>
      <c r="V32" s="1237"/>
    </row>
    <row r="33" spans="1:24" ht="15" customHeight="1">
      <c r="A33" s="1234"/>
      <c r="B33" s="1252"/>
      <c r="C33" s="1292"/>
      <c r="D33" s="4315" t="s">
        <v>1</v>
      </c>
      <c r="E33" s="1292" t="s">
        <v>3711</v>
      </c>
      <c r="F33" s="1304"/>
      <c r="G33" s="1234"/>
      <c r="H33" s="1234"/>
      <c r="I33" s="1234"/>
      <c r="J33" s="1234"/>
      <c r="K33" s="1244"/>
      <c r="L33" s="1234"/>
      <c r="M33" s="1234"/>
      <c r="N33" s="4316" t="s">
        <v>167</v>
      </c>
      <c r="O33" s="3530">
        <f>SUM(Q25,Q28)</f>
        <v>0</v>
      </c>
      <c r="P33" s="1234"/>
      <c r="Q33" s="1291"/>
      <c r="R33" s="1294"/>
      <c r="S33" s="1294"/>
      <c r="T33" s="1294"/>
      <c r="U33" s="1294"/>
      <c r="V33" s="1237"/>
    </row>
    <row r="34" spans="1:24" ht="7.5" customHeight="1">
      <c r="A34" s="1234"/>
      <c r="B34" s="1252"/>
      <c r="C34" s="1292"/>
      <c r="D34" s="1303"/>
      <c r="E34" s="1292"/>
      <c r="F34" s="1292"/>
      <c r="G34" s="1234"/>
      <c r="H34" s="1234"/>
      <c r="I34" s="1234"/>
      <c r="J34" s="1234"/>
      <c r="K34" s="1244"/>
      <c r="L34" s="1234"/>
      <c r="M34" s="1234"/>
      <c r="N34" s="1305"/>
      <c r="O34" s="1306"/>
      <c r="P34" s="1234"/>
      <c r="Q34" s="1291"/>
      <c r="R34" s="1294"/>
      <c r="S34" s="1294"/>
      <c r="T34" s="1294"/>
      <c r="U34" s="1294"/>
      <c r="V34" s="1237"/>
    </row>
    <row r="35" spans="1:24" ht="9" customHeight="1">
      <c r="A35" s="1234"/>
      <c r="B35" s="1295"/>
      <c r="C35" s="1295"/>
      <c r="D35" s="1291"/>
      <c r="E35" s="1300"/>
      <c r="F35" s="1300"/>
      <c r="G35" s="1301"/>
      <c r="H35" s="1301"/>
      <c r="I35" s="1301"/>
      <c r="J35" s="1301"/>
      <c r="K35" s="1302"/>
      <c r="L35" s="1234"/>
      <c r="M35" s="1234"/>
      <c r="N35" s="1234"/>
      <c r="O35" s="1291"/>
      <c r="P35" s="1234"/>
      <c r="Q35" s="1291"/>
      <c r="R35" s="1291"/>
      <c r="S35" s="1291"/>
      <c r="T35" s="1291"/>
      <c r="U35" s="1291"/>
      <c r="V35" s="1237"/>
    </row>
    <row r="36" spans="1:24" ht="15" customHeight="1">
      <c r="A36" s="1234"/>
      <c r="B36" s="1252"/>
      <c r="C36" s="1292"/>
      <c r="D36" s="4315" t="s">
        <v>455</v>
      </c>
      <c r="E36" s="1292" t="s">
        <v>1710</v>
      </c>
      <c r="F36" s="1304"/>
      <c r="G36" s="1234"/>
      <c r="H36" s="1234"/>
      <c r="I36" s="1234"/>
      <c r="J36" s="1234"/>
      <c r="K36" s="1244"/>
      <c r="L36" s="1234"/>
      <c r="M36" s="1234"/>
      <c r="N36" s="4316" t="s">
        <v>168</v>
      </c>
      <c r="O36" s="3530">
        <f>Adj_Gross_Inc</f>
        <v>0</v>
      </c>
      <c r="P36" s="1234"/>
      <c r="Q36" s="1291"/>
      <c r="R36" s="1294"/>
      <c r="S36" s="1294"/>
      <c r="T36" s="1294"/>
      <c r="U36" s="1294"/>
      <c r="V36" s="1237"/>
    </row>
    <row r="37" spans="1:24" ht="7.5" customHeight="1">
      <c r="A37" s="1234"/>
      <c r="B37" s="1252"/>
      <c r="C37" s="1292"/>
      <c r="D37" s="1303"/>
      <c r="E37" s="1292"/>
      <c r="F37" s="1292"/>
      <c r="G37" s="1234"/>
      <c r="H37" s="1234"/>
      <c r="I37" s="1234"/>
      <c r="J37" s="1234"/>
      <c r="K37" s="1244"/>
      <c r="L37" s="1234"/>
      <c r="M37" s="1234"/>
      <c r="N37" s="1305"/>
      <c r="O37" s="1306"/>
      <c r="P37" s="1234"/>
      <c r="Q37" s="1291"/>
      <c r="R37" s="1294"/>
      <c r="S37" s="1294"/>
      <c r="T37" s="1294"/>
      <c r="U37" s="1294"/>
      <c r="V37" s="1237"/>
    </row>
    <row r="38" spans="1:24" ht="9" customHeight="1">
      <c r="A38" s="1234"/>
      <c r="B38" s="1295"/>
      <c r="C38" s="1295"/>
      <c r="D38" s="1291"/>
      <c r="E38" s="1300"/>
      <c r="F38" s="1300"/>
      <c r="G38" s="1301"/>
      <c r="H38" s="1301"/>
      <c r="I38" s="1301"/>
      <c r="J38" s="1301"/>
      <c r="K38" s="1302"/>
      <c r="L38" s="1234"/>
      <c r="M38" s="1234"/>
      <c r="N38" s="1234"/>
      <c r="O38" s="1291"/>
      <c r="P38" s="1234"/>
      <c r="Q38" s="1291"/>
      <c r="R38" s="1291"/>
      <c r="S38" s="1291"/>
      <c r="T38" s="1291"/>
      <c r="U38" s="1291"/>
      <c r="V38" s="1237"/>
    </row>
    <row r="39" spans="1:24" ht="12.75" customHeight="1">
      <c r="A39" s="1234"/>
      <c r="B39" s="1234"/>
      <c r="C39" s="1234"/>
      <c r="D39" s="4315" t="s">
        <v>35</v>
      </c>
      <c r="E39" s="1307" t="s">
        <v>790</v>
      </c>
      <c r="F39" s="1307"/>
      <c r="G39" s="1234"/>
      <c r="H39" s="1234"/>
      <c r="I39" s="1234"/>
      <c r="J39" s="1234"/>
      <c r="K39" s="1236"/>
      <c r="L39" s="1234"/>
      <c r="M39" s="1234"/>
      <c r="N39" s="1234"/>
      <c r="O39" s="1234"/>
      <c r="P39" s="1234"/>
      <c r="Q39" s="1234"/>
      <c r="R39" s="1234"/>
      <c r="S39" s="1234"/>
      <c r="T39" s="1234"/>
      <c r="U39" s="1234"/>
      <c r="V39" s="1237"/>
      <c r="X39" s="1295" t="s">
        <v>100</v>
      </c>
    </row>
    <row r="40" spans="1:24" ht="12.75" customHeight="1" thickBot="1">
      <c r="A40" s="1258"/>
      <c r="B40" s="1258"/>
      <c r="C40" s="1258"/>
      <c r="D40" s="1305"/>
      <c r="E40" s="1308" t="s">
        <v>385</v>
      </c>
      <c r="F40" s="1308"/>
      <c r="G40" s="1258" t="s">
        <v>791</v>
      </c>
      <c r="H40" s="1258"/>
      <c r="I40" s="1258"/>
      <c r="J40" s="1258"/>
      <c r="K40" s="1287"/>
      <c r="L40" s="1258"/>
      <c r="M40" s="1258"/>
      <c r="N40" s="1258"/>
      <c r="O40" s="1258"/>
      <c r="P40" s="1258"/>
      <c r="Q40" s="1258"/>
      <c r="R40" s="1258"/>
      <c r="S40" s="1258"/>
      <c r="T40" s="1258"/>
      <c r="U40" s="1234"/>
      <c r="V40" s="1237"/>
      <c r="X40" s="1295" t="s">
        <v>468</v>
      </c>
    </row>
    <row r="41" spans="1:24" ht="19.5" customHeight="1" thickBot="1">
      <c r="A41" s="1258"/>
      <c r="B41" s="1258"/>
      <c r="C41" s="1258"/>
      <c r="D41" s="1305"/>
      <c r="E41" s="1247" t="s">
        <v>385</v>
      </c>
      <c r="F41" s="1308"/>
      <c r="G41" s="1234" t="s">
        <v>792</v>
      </c>
      <c r="H41" s="1258"/>
      <c r="I41" s="1258"/>
      <c r="J41" s="1258"/>
      <c r="K41" s="1287"/>
      <c r="L41" s="1258"/>
      <c r="M41" s="1258"/>
      <c r="N41" s="4316" t="s">
        <v>228</v>
      </c>
      <c r="O41" s="3530">
        <f>IF(X41&lt;&gt;"",ROUND(X41,0),SUM(ForeignHousingExclusion,ForeignHousingDeduction))</f>
        <v>0</v>
      </c>
      <c r="P41" s="1309" t="str">
        <f>IF(AND($S$4&lt;&gt;"",O41=""),"¬","")</f>
        <v/>
      </c>
      <c r="Q41" s="1260" t="str">
        <f>IF(AND($S$4&lt;&gt;"",O41=""),"Enter total.","")</f>
        <v/>
      </c>
      <c r="R41" s="1258"/>
      <c r="S41" s="1258"/>
      <c r="T41" s="1258"/>
      <c r="U41" s="1234"/>
      <c r="V41" s="1237"/>
      <c r="X41" s="1392"/>
    </row>
    <row r="42" spans="1:24" ht="12.75" customHeight="1">
      <c r="A42" s="1258"/>
      <c r="B42" s="1258"/>
      <c r="C42" s="1258"/>
      <c r="D42" s="1305"/>
      <c r="E42" s="1310"/>
      <c r="F42" s="1310"/>
      <c r="G42" s="1333" t="s">
        <v>2147</v>
      </c>
      <c r="H42" s="1258"/>
      <c r="I42" s="1258"/>
      <c r="J42" s="1258"/>
      <c r="K42" s="1287"/>
      <c r="L42" s="1258"/>
      <c r="M42" s="1258"/>
      <c r="N42" s="1258"/>
      <c r="O42" s="1258"/>
      <c r="P42" s="1258"/>
      <c r="Q42" s="1258"/>
      <c r="R42" s="1258"/>
      <c r="S42" s="1258"/>
      <c r="T42" s="1258"/>
      <c r="U42" s="1234"/>
      <c r="V42" s="1237"/>
    </row>
    <row r="43" spans="1:24" ht="15" customHeight="1">
      <c r="A43" s="1258"/>
      <c r="B43" s="1258"/>
      <c r="C43" s="1258"/>
      <c r="D43" s="1305"/>
      <c r="E43" s="4302"/>
      <c r="F43" s="1310"/>
      <c r="G43" s="1258"/>
      <c r="H43" s="1258"/>
      <c r="I43" s="1258"/>
      <c r="J43" s="1258"/>
      <c r="K43" s="1287"/>
      <c r="L43" s="1258"/>
      <c r="M43" s="1258"/>
      <c r="N43" s="1258"/>
      <c r="O43" s="1258"/>
      <c r="P43" s="1258"/>
      <c r="Q43" s="1258"/>
      <c r="R43" s="1258"/>
      <c r="S43" s="1258"/>
      <c r="T43" s="1258"/>
      <c r="U43" s="1258"/>
      <c r="V43" s="1237"/>
    </row>
    <row r="44" spans="1:24" ht="8.25" customHeight="1">
      <c r="A44" s="1234"/>
      <c r="B44" s="1295"/>
      <c r="C44" s="1295"/>
      <c r="D44" s="1291"/>
      <c r="E44" s="1296"/>
      <c r="F44" s="1296"/>
      <c r="G44" s="1297"/>
      <c r="H44" s="1297"/>
      <c r="I44" s="1297"/>
      <c r="J44" s="1297"/>
      <c r="K44" s="1298"/>
      <c r="L44" s="1297"/>
      <c r="M44" s="1297"/>
      <c r="N44" s="1234"/>
      <c r="O44" s="1234"/>
      <c r="P44" s="1234"/>
      <c r="Q44" s="1234"/>
      <c r="R44" s="1234"/>
      <c r="S44" s="1234"/>
      <c r="T44" s="1234"/>
      <c r="U44" s="1234"/>
      <c r="V44" s="1237"/>
    </row>
    <row r="45" spans="1:24" ht="9" customHeight="1">
      <c r="A45" s="1234"/>
      <c r="B45" s="1295"/>
      <c r="C45" s="1295"/>
      <c r="D45" s="1291"/>
      <c r="E45" s="1300"/>
      <c r="F45" s="1300"/>
      <c r="G45" s="1301"/>
      <c r="H45" s="1301"/>
      <c r="I45" s="1301"/>
      <c r="J45" s="1301"/>
      <c r="K45" s="1302"/>
      <c r="L45" s="1234"/>
      <c r="M45" s="1234"/>
      <c r="N45" s="1234"/>
      <c r="O45" s="1291"/>
      <c r="P45" s="1234"/>
      <c r="Q45" s="1291"/>
      <c r="R45" s="1291"/>
      <c r="S45" s="1291"/>
      <c r="T45" s="1291"/>
      <c r="U45" s="1291"/>
      <c r="V45" s="1237"/>
    </row>
    <row r="46" spans="1:24" ht="16.5" customHeight="1">
      <c r="A46" s="1234"/>
      <c r="B46" s="1252"/>
      <c r="C46" s="1292"/>
      <c r="D46" s="1291" t="str">
        <f>N46&amp;"."</f>
        <v>6.</v>
      </c>
      <c r="E46" s="1292" t="s">
        <v>3712</v>
      </c>
      <c r="F46" s="1292"/>
      <c r="G46" s="1234"/>
      <c r="H46" s="1234"/>
      <c r="I46" s="1234"/>
      <c r="J46" s="1234"/>
      <c r="K46" s="1244"/>
      <c r="L46" s="1234"/>
      <c r="M46" s="1234"/>
      <c r="N46" s="4316" t="s">
        <v>112</v>
      </c>
      <c r="O46" s="3530">
        <f>SUM(O36,O41)</f>
        <v>0</v>
      </c>
      <c r="P46" s="1234"/>
      <c r="Q46" s="1291"/>
      <c r="R46" s="1294"/>
      <c r="S46" s="1294"/>
      <c r="T46" s="1294"/>
      <c r="U46" s="1294"/>
      <c r="V46" s="1237"/>
    </row>
    <row r="47" spans="1:24" ht="7.5" customHeight="1">
      <c r="A47" s="1234"/>
      <c r="B47" s="1295"/>
      <c r="C47" s="1295"/>
      <c r="D47" s="1291"/>
      <c r="E47" s="1296"/>
      <c r="F47" s="1296"/>
      <c r="G47" s="1297"/>
      <c r="H47" s="1297"/>
      <c r="I47" s="1297"/>
      <c r="J47" s="1297"/>
      <c r="K47" s="1298"/>
      <c r="L47" s="1297"/>
      <c r="M47" s="1297"/>
      <c r="N47" s="1234"/>
      <c r="O47" s="1234"/>
      <c r="P47" s="1234"/>
      <c r="Q47" s="1234"/>
      <c r="R47" s="1234"/>
      <c r="S47" s="1234"/>
      <c r="T47" s="1234"/>
      <c r="U47" s="1234"/>
      <c r="V47" s="1237"/>
    </row>
    <row r="48" spans="1:24" ht="9" customHeight="1">
      <c r="A48" s="1234"/>
      <c r="B48" s="1295"/>
      <c r="C48" s="1295"/>
      <c r="D48" s="1291"/>
      <c r="E48" s="1300"/>
      <c r="F48" s="1300"/>
      <c r="G48" s="1301"/>
      <c r="H48" s="1301"/>
      <c r="I48" s="1301"/>
      <c r="J48" s="1301"/>
      <c r="K48" s="1302"/>
      <c r="L48" s="1234"/>
      <c r="M48" s="1234"/>
      <c r="N48" s="1234"/>
      <c r="O48" s="1291"/>
      <c r="P48" s="1234"/>
      <c r="Q48" s="1291"/>
      <c r="R48" s="1291"/>
      <c r="S48" s="1291"/>
      <c r="T48" s="1291"/>
      <c r="U48" s="1291"/>
      <c r="V48" s="1237"/>
    </row>
    <row r="49" spans="1:22" ht="13.5" customHeight="1">
      <c r="A49" s="1234"/>
      <c r="B49" s="1234"/>
      <c r="C49" s="1234"/>
      <c r="D49" s="4315" t="s">
        <v>76</v>
      </c>
      <c r="E49" s="1292" t="s">
        <v>793</v>
      </c>
      <c r="F49" s="1292"/>
      <c r="G49" s="1234"/>
      <c r="H49" s="1234"/>
      <c r="I49" s="1234"/>
      <c r="J49" s="1234"/>
      <c r="K49" s="1236"/>
      <c r="L49" s="1234"/>
      <c r="M49" s="1234"/>
      <c r="N49" s="1234"/>
      <c r="O49" s="1234"/>
      <c r="P49" s="1234"/>
      <c r="Q49" s="1234"/>
      <c r="R49" s="1234"/>
      <c r="S49" s="1234"/>
      <c r="T49" s="1234"/>
      <c r="U49" s="1234"/>
      <c r="V49" s="1237"/>
    </row>
    <row r="50" spans="1:22" ht="12.75" customHeight="1">
      <c r="A50" s="1258"/>
      <c r="B50" s="1258"/>
      <c r="C50" s="1258"/>
      <c r="D50" s="1305"/>
      <c r="E50" s="1258" t="s">
        <v>794</v>
      </c>
      <c r="F50" s="1258"/>
      <c r="G50" s="1258"/>
      <c r="H50" s="1258"/>
      <c r="I50" s="1258"/>
      <c r="J50" s="1258"/>
      <c r="K50" s="1287"/>
      <c r="L50" s="1258"/>
      <c r="M50" s="1258"/>
      <c r="N50" s="1258"/>
      <c r="O50" s="1258"/>
      <c r="P50" s="1258"/>
      <c r="Q50" s="1258"/>
      <c r="R50" s="1258"/>
      <c r="S50" s="1258"/>
      <c r="T50" s="1258"/>
      <c r="U50" s="1258"/>
      <c r="V50" s="1237"/>
    </row>
    <row r="51" spans="1:22" ht="17.25" customHeight="1">
      <c r="A51" s="1258"/>
      <c r="B51" s="1258"/>
      <c r="C51" s="1258"/>
      <c r="D51" s="1305"/>
      <c r="E51" s="1247" t="s">
        <v>385</v>
      </c>
      <c r="F51" s="1308"/>
      <c r="G51" s="1234" t="str">
        <f>"Married filing jointly – "&amp;TEXT(Q51,"$0,000")</f>
        <v>Married filing jointly – $400,000</v>
      </c>
      <c r="H51" s="1258"/>
      <c r="I51" s="1258"/>
      <c r="J51" s="1258"/>
      <c r="K51" s="1287"/>
      <c r="L51" s="1258"/>
      <c r="M51" s="1258"/>
      <c r="N51" s="4316" t="s">
        <v>113</v>
      </c>
      <c r="O51" s="3530" t="str">
        <f>IF(File_Marr_Joint&lt;&gt;"",Q51,IF(OR(File_Single&lt;&gt;"",File_Head&lt;&gt;"",File_Qual_Widow&lt;&gt;"",File_Marr_Sep&lt;&gt;""),Q52,"Filing Status?"))</f>
        <v>Filing Status?</v>
      </c>
      <c r="P51" s="1258"/>
      <c r="Q51" s="1311">
        <v>400000</v>
      </c>
      <c r="R51" s="1258"/>
      <c r="S51" s="1258"/>
      <c r="T51" s="1258"/>
      <c r="U51" s="1258"/>
      <c r="V51" s="1237"/>
    </row>
    <row r="52" spans="1:22" ht="12" customHeight="1">
      <c r="A52" s="1258"/>
      <c r="B52" s="1258"/>
      <c r="C52" s="1258"/>
      <c r="D52" s="1305"/>
      <c r="E52" s="1308" t="s">
        <v>385</v>
      </c>
      <c r="F52" s="1310"/>
      <c r="G52" s="1258" t="str">
        <f>"All othe filing statuses – "&amp;TEXT(Q52,"$0,000")</f>
        <v>All othe filing statuses – $200,000</v>
      </c>
      <c r="H52" s="1258"/>
      <c r="I52" s="1258"/>
      <c r="J52" s="1258"/>
      <c r="K52" s="1287"/>
      <c r="L52" s="1258"/>
      <c r="M52" s="1258"/>
      <c r="N52" s="1258"/>
      <c r="O52" s="1258"/>
      <c r="P52" s="1258"/>
      <c r="Q52" s="1311">
        <v>200000</v>
      </c>
      <c r="R52" s="1258"/>
      <c r="S52" s="1258"/>
      <c r="T52" s="1258"/>
      <c r="U52" s="1258"/>
      <c r="V52" s="1237"/>
    </row>
    <row r="53" spans="1:22" ht="8.25" customHeight="1">
      <c r="A53" s="1234"/>
      <c r="B53" s="1295"/>
      <c r="C53" s="1295"/>
      <c r="D53" s="1291"/>
      <c r="E53" s="1296"/>
      <c r="F53" s="1296"/>
      <c r="G53" s="1297"/>
      <c r="H53" s="1297"/>
      <c r="I53" s="1297"/>
      <c r="J53" s="1297"/>
      <c r="K53" s="1298"/>
      <c r="L53" s="1297"/>
      <c r="M53" s="1297"/>
      <c r="N53" s="1234"/>
      <c r="O53" s="1234"/>
      <c r="P53" s="1234"/>
      <c r="Q53" s="1234"/>
      <c r="R53" s="1234"/>
      <c r="S53" s="1234"/>
      <c r="T53" s="1234"/>
      <c r="U53" s="1234"/>
      <c r="V53" s="1237"/>
    </row>
    <row r="54" spans="1:22" ht="9" customHeight="1">
      <c r="A54" s="1234"/>
      <c r="B54" s="1295"/>
      <c r="C54" s="1295"/>
      <c r="D54" s="1291"/>
      <c r="E54" s="1300"/>
      <c r="F54" s="1300"/>
      <c r="G54" s="1301"/>
      <c r="H54" s="1301"/>
      <c r="I54" s="1301"/>
      <c r="J54" s="1301"/>
      <c r="K54" s="1302"/>
      <c r="L54" s="1234"/>
      <c r="M54" s="1234"/>
      <c r="N54" s="1234"/>
      <c r="O54" s="1291"/>
      <c r="P54" s="1234"/>
      <c r="Q54" s="1291"/>
      <c r="R54" s="1291"/>
      <c r="S54" s="1291"/>
      <c r="T54" s="1291"/>
      <c r="U54" s="1291"/>
      <c r="V54" s="1237"/>
    </row>
    <row r="55" spans="1:22" ht="15.75" customHeight="1">
      <c r="A55" s="1234"/>
      <c r="B55" s="1234"/>
      <c r="C55" s="1234"/>
      <c r="D55" s="4315" t="s">
        <v>232</v>
      </c>
      <c r="E55" s="1292" t="s">
        <v>3713</v>
      </c>
      <c r="F55" s="1292"/>
      <c r="G55" s="1234"/>
      <c r="H55" s="1234"/>
      <c r="I55" s="1234"/>
      <c r="J55" s="1234"/>
      <c r="K55" s="1236"/>
      <c r="L55" s="1234"/>
      <c r="M55" s="1234"/>
      <c r="N55" s="1234"/>
      <c r="O55" s="1234"/>
      <c r="P55" s="1234"/>
      <c r="Q55" s="1234"/>
      <c r="R55" s="1234"/>
      <c r="S55" s="1234"/>
      <c r="T55" s="1234"/>
      <c r="U55" s="1234"/>
      <c r="V55" s="1237"/>
    </row>
    <row r="56" spans="1:22" ht="9.75" customHeight="1" thickBot="1">
      <c r="A56" s="1258"/>
      <c r="B56" s="1258"/>
      <c r="C56" s="1258"/>
      <c r="D56" s="1305"/>
      <c r="E56" s="1312"/>
      <c r="F56" s="1312"/>
      <c r="G56" s="1258"/>
      <c r="H56" s="1258"/>
      <c r="I56" s="1258"/>
      <c r="J56" s="1258"/>
      <c r="K56" s="1287"/>
      <c r="L56" s="1258"/>
      <c r="M56" s="1258"/>
      <c r="N56" s="1258"/>
      <c r="O56" s="1258"/>
      <c r="P56" s="1258"/>
      <c r="Q56" s="1258"/>
      <c r="R56" s="1258"/>
      <c r="S56" s="1258"/>
      <c r="T56" s="1258"/>
      <c r="U56" s="1258"/>
      <c r="V56" s="1237"/>
    </row>
    <row r="57" spans="1:22" ht="14.25" customHeight="1" thickBot="1">
      <c r="A57" s="1258"/>
      <c r="B57" s="1258"/>
      <c r="C57" s="1258"/>
      <c r="D57" s="1305"/>
      <c r="E57" s="1721" t="str">
        <f>IF(O46&gt;O51,"","X")</f>
        <v>X</v>
      </c>
      <c r="F57" s="1312"/>
      <c r="G57" s="1313" t="s">
        <v>314</v>
      </c>
      <c r="H57" s="1258" t="s">
        <v>4653</v>
      </c>
      <c r="I57" s="1258"/>
      <c r="J57" s="1258"/>
      <c r="K57" s="1287"/>
      <c r="L57" s="1258"/>
      <c r="M57" s="1258"/>
      <c r="N57" s="1258"/>
      <c r="O57" s="1258"/>
      <c r="P57" s="1258"/>
      <c r="Q57" s="1258"/>
      <c r="R57" s="1258"/>
      <c r="S57" s="1258"/>
      <c r="T57" s="1258"/>
      <c r="U57" s="1258"/>
      <c r="V57" s="1237"/>
    </row>
    <row r="58" spans="1:22" ht="17.25" customHeight="1" thickBot="1">
      <c r="A58" s="1258"/>
      <c r="B58" s="1258"/>
      <c r="C58" s="1258"/>
      <c r="D58" s="1305"/>
      <c r="E58" s="1308"/>
      <c r="F58" s="1308"/>
      <c r="G58" s="1258"/>
      <c r="H58" s="1333"/>
      <c r="I58" s="1258"/>
      <c r="J58" s="1258"/>
      <c r="K58" s="1287"/>
      <c r="L58" s="1258"/>
      <c r="M58" s="1258"/>
      <c r="N58" s="4316" t="s">
        <v>114</v>
      </c>
      <c r="O58" s="3530" t="str">
        <f>IF(E57="X","",ROUNDUP(O46-O51,-3))</f>
        <v/>
      </c>
      <c r="P58" s="1258"/>
      <c r="Q58" s="1314"/>
      <c r="R58" s="1258"/>
      <c r="S58" s="1258"/>
      <c r="T58" s="1258"/>
      <c r="U58" s="1258"/>
      <c r="V58" s="1237"/>
    </row>
    <row r="59" spans="1:22" ht="12" customHeight="1" thickBot="1">
      <c r="A59" s="1258"/>
      <c r="B59" s="1258"/>
      <c r="C59" s="1258"/>
      <c r="D59" s="1305"/>
      <c r="E59" s="1721" t="str">
        <f>IF(O46&gt;O51,"X","")</f>
        <v/>
      </c>
      <c r="F59" s="1312"/>
      <c r="G59" s="1313" t="s">
        <v>193</v>
      </c>
      <c r="H59" s="1258" t="s">
        <v>3714</v>
      </c>
      <c r="I59" s="1258"/>
      <c r="J59" s="1258"/>
      <c r="K59" s="1287"/>
      <c r="L59" s="1258"/>
      <c r="M59" s="1258"/>
      <c r="N59" s="1258"/>
      <c r="O59" s="1258"/>
      <c r="P59" s="1258"/>
      <c r="Q59" s="1258"/>
      <c r="R59" s="1258"/>
      <c r="S59" s="1258"/>
      <c r="T59" s="1258"/>
      <c r="U59" s="1258"/>
      <c r="V59" s="1237"/>
    </row>
    <row r="60" spans="1:22" ht="12" customHeight="1">
      <c r="A60" s="1258"/>
      <c r="B60" s="1258"/>
      <c r="C60" s="1258"/>
      <c r="D60" s="1305"/>
      <c r="E60" s="1308"/>
      <c r="F60" s="1308"/>
      <c r="G60" s="1258" t="s">
        <v>796</v>
      </c>
      <c r="H60" s="1258"/>
      <c r="I60" s="1258"/>
      <c r="J60" s="1258"/>
      <c r="K60" s="1287"/>
      <c r="L60" s="1258"/>
      <c r="M60" s="1258"/>
      <c r="N60" s="1258"/>
      <c r="O60" s="1258"/>
      <c r="P60" s="1258"/>
      <c r="Q60" s="1258"/>
      <c r="R60" s="1258"/>
      <c r="S60" s="1258"/>
      <c r="T60" s="1258"/>
      <c r="U60" s="1258"/>
      <c r="V60" s="1237"/>
    </row>
    <row r="61" spans="1:22" ht="12" customHeight="1">
      <c r="A61" s="1258"/>
      <c r="B61" s="1258"/>
      <c r="C61" s="1258"/>
      <c r="D61" s="1305"/>
      <c r="E61" s="1308"/>
      <c r="F61" s="1308"/>
      <c r="G61" s="1258" t="s">
        <v>4713</v>
      </c>
      <c r="H61" s="1258"/>
      <c r="I61" s="1258"/>
      <c r="J61" s="1258"/>
      <c r="K61" s="1287"/>
      <c r="L61" s="1258"/>
      <c r="M61" s="1258"/>
      <c r="N61" s="1258"/>
      <c r="O61" s="1258"/>
      <c r="P61" s="1258"/>
      <c r="Q61" s="1258"/>
      <c r="R61" s="1258"/>
      <c r="S61" s="1258"/>
      <c r="T61" s="1258"/>
      <c r="U61" s="1258"/>
      <c r="V61" s="1237"/>
    </row>
    <row r="62" spans="1:22" ht="12" customHeight="1">
      <c r="A62" s="1258"/>
      <c r="B62" s="1258"/>
      <c r="C62" s="1258"/>
      <c r="D62" s="1305"/>
      <c r="E62" s="1308"/>
      <c r="F62" s="1308"/>
      <c r="G62" s="1258" t="s">
        <v>4714</v>
      </c>
      <c r="H62" s="1258"/>
      <c r="I62" s="1258"/>
      <c r="J62" s="1258"/>
      <c r="K62" s="1287"/>
      <c r="L62" s="1258"/>
      <c r="M62" s="1258"/>
      <c r="N62" s="1258"/>
      <c r="O62" s="1258"/>
      <c r="P62" s="1258"/>
      <c r="Q62" s="1258"/>
      <c r="R62" s="1258"/>
      <c r="S62" s="1258"/>
      <c r="T62" s="1258"/>
      <c r="U62" s="1258"/>
      <c r="V62" s="1237"/>
    </row>
    <row r="63" spans="1:22" ht="12" customHeight="1">
      <c r="A63" s="1258"/>
      <c r="B63" s="1258"/>
      <c r="C63" s="1258"/>
      <c r="D63" s="1305"/>
      <c r="E63" s="1308"/>
      <c r="F63" s="1308"/>
      <c r="G63" s="1258" t="s">
        <v>4715</v>
      </c>
      <c r="H63" s="1258"/>
      <c r="I63" s="1258"/>
      <c r="J63" s="1258"/>
      <c r="K63" s="1287"/>
      <c r="L63" s="1258"/>
      <c r="M63" s="1258"/>
      <c r="N63" s="1258"/>
      <c r="O63" s="1258"/>
      <c r="P63" s="1258"/>
      <c r="Q63" s="1258"/>
      <c r="R63" s="1258"/>
      <c r="S63" s="1258"/>
      <c r="T63" s="1258"/>
      <c r="U63" s="1258"/>
      <c r="V63" s="1237"/>
    </row>
    <row r="64" spans="1:22" ht="8.25" customHeight="1">
      <c r="A64" s="1234"/>
      <c r="B64" s="1295"/>
      <c r="C64" s="1295"/>
      <c r="D64" s="1291"/>
      <c r="E64" s="1296"/>
      <c r="F64" s="1296"/>
      <c r="G64" s="1297"/>
      <c r="H64" s="1297"/>
      <c r="I64" s="1297"/>
      <c r="J64" s="1297"/>
      <c r="K64" s="1298"/>
      <c r="L64" s="1234"/>
      <c r="M64" s="1234"/>
      <c r="N64" s="1234"/>
      <c r="O64" s="1234"/>
      <c r="P64" s="1234"/>
      <c r="Q64" s="1234"/>
      <c r="R64" s="1234"/>
      <c r="S64" s="1234"/>
      <c r="T64" s="1234"/>
      <c r="U64" s="1234"/>
      <c r="V64" s="1237"/>
    </row>
    <row r="65" spans="1:22" ht="23.25" customHeight="1">
      <c r="A65" s="1234"/>
      <c r="B65" s="1252"/>
      <c r="C65" s="1292"/>
      <c r="D65" s="4315" t="s">
        <v>233</v>
      </c>
      <c r="E65" s="1315" t="str">
        <f>"Multiply the amount on line 8 by "&amp;TEXT(U65,"0%")&amp;" ("&amp;TEXT(U65,"0.00")&amp;"). Enter the result."</f>
        <v>Multiply the amount on line 8 by 5% (0.05). Enter the result.</v>
      </c>
      <c r="F65" s="1315"/>
      <c r="G65" s="1234"/>
      <c r="H65" s="1244"/>
      <c r="I65" s="1244"/>
      <c r="J65" s="1244"/>
      <c r="K65" s="1244"/>
      <c r="L65" s="1244"/>
      <c r="M65" s="1244"/>
      <c r="N65" s="1265"/>
      <c r="O65" s="1272"/>
      <c r="P65" s="4316" t="s">
        <v>115</v>
      </c>
      <c r="Q65" s="3530">
        <f>IF(E57="X",0,ROUND(O58*U65,0))</f>
        <v>0</v>
      </c>
      <c r="R65" s="1294"/>
      <c r="S65" s="1294"/>
      <c r="T65" s="1294"/>
      <c r="U65" s="2514">
        <v>0.05</v>
      </c>
      <c r="V65" s="1237"/>
    </row>
    <row r="66" spans="1:22" ht="9" customHeight="1">
      <c r="A66" s="1234"/>
      <c r="B66" s="1295"/>
      <c r="C66" s="1295"/>
      <c r="D66" s="1291"/>
      <c r="E66" s="1296"/>
      <c r="F66" s="1296"/>
      <c r="G66" s="1297"/>
      <c r="H66" s="1297"/>
      <c r="I66" s="1297"/>
      <c r="J66" s="1297"/>
      <c r="K66" s="1298"/>
      <c r="L66" s="1297"/>
      <c r="M66" s="1297"/>
      <c r="N66" s="1297"/>
      <c r="O66" s="1297"/>
      <c r="P66" s="1234"/>
      <c r="Q66" s="1234"/>
      <c r="R66" s="1234"/>
      <c r="S66" s="1234"/>
      <c r="T66" s="1234"/>
      <c r="U66" s="1234"/>
      <c r="V66" s="1237"/>
    </row>
    <row r="67" spans="1:22" ht="9" customHeight="1">
      <c r="A67" s="1234"/>
      <c r="B67" s="1295"/>
      <c r="C67" s="1295"/>
      <c r="D67" s="1291"/>
      <c r="E67" s="1300"/>
      <c r="F67" s="1300"/>
      <c r="G67" s="1301"/>
      <c r="H67" s="1301"/>
      <c r="I67" s="1301"/>
      <c r="J67" s="1301"/>
      <c r="K67" s="1302"/>
      <c r="L67" s="1234"/>
      <c r="M67" s="1234"/>
      <c r="N67" s="1234"/>
      <c r="O67" s="1291"/>
      <c r="P67" s="1234"/>
      <c r="Q67" s="1291"/>
      <c r="R67" s="1291"/>
      <c r="S67" s="1291"/>
      <c r="T67" s="1291"/>
      <c r="U67" s="1291"/>
      <c r="V67" s="1237"/>
    </row>
    <row r="68" spans="1:22" ht="14.25" customHeight="1">
      <c r="A68" s="1234"/>
      <c r="B68" s="1234"/>
      <c r="C68" s="1234"/>
      <c r="D68" s="4315" t="s">
        <v>337</v>
      </c>
      <c r="E68" s="1292" t="s">
        <v>3715</v>
      </c>
      <c r="F68" s="1292"/>
      <c r="G68" s="1234"/>
      <c r="H68" s="1234"/>
      <c r="I68" s="1234"/>
      <c r="J68" s="1234"/>
      <c r="K68" s="1236"/>
      <c r="L68" s="1234"/>
      <c r="M68" s="1234"/>
      <c r="N68" s="1234"/>
      <c r="O68" s="1234"/>
      <c r="P68" s="1234"/>
      <c r="Q68" s="1234"/>
      <c r="R68" s="1234"/>
      <c r="S68" s="1234"/>
      <c r="T68" s="1234"/>
      <c r="U68" s="1234"/>
      <c r="V68" s="1237"/>
    </row>
    <row r="69" spans="1:22" ht="9.75" customHeight="1" thickBot="1">
      <c r="A69" s="1258"/>
      <c r="B69" s="1258"/>
      <c r="C69" s="1258"/>
      <c r="D69" s="1305"/>
      <c r="E69" s="1312"/>
      <c r="F69" s="1312"/>
      <c r="G69" s="1258"/>
      <c r="H69" s="1258"/>
      <c r="I69" s="1258"/>
      <c r="J69" s="1258"/>
      <c r="K69" s="1287"/>
      <c r="L69" s="1258"/>
      <c r="M69" s="1258"/>
      <c r="N69" s="1258"/>
      <c r="O69" s="1258"/>
      <c r="P69" s="1258"/>
      <c r="Q69" s="1258"/>
      <c r="R69" s="1258"/>
      <c r="S69" s="1258"/>
      <c r="T69" s="1258"/>
      <c r="U69" s="1258"/>
      <c r="V69" s="1237"/>
    </row>
    <row r="70" spans="1:22" ht="17.25" customHeight="1" thickBot="1">
      <c r="A70" s="3513" t="b">
        <f>IF(E70="X",TRUE,FALSE)</f>
        <v>1</v>
      </c>
      <c r="B70" s="1258"/>
      <c r="C70" s="1258"/>
      <c r="D70" s="1305"/>
      <c r="E70" s="1721" t="str">
        <f>IF(O33&gt;Q65,"","X")</f>
        <v>X</v>
      </c>
      <c r="F70" s="1312"/>
      <c r="G70" s="1313" t="s">
        <v>797</v>
      </c>
      <c r="H70" s="1316" t="str">
        <f>IF(E70="X","    STOP","")</f>
        <v xml:space="preserve">    STOP</v>
      </c>
      <c r="I70" s="1316"/>
      <c r="J70" s="1316"/>
      <c r="K70" s="1287"/>
      <c r="L70" s="1258"/>
      <c r="M70" s="1258"/>
      <c r="N70" s="1258"/>
      <c r="O70" s="1258"/>
      <c r="P70" s="1258"/>
      <c r="Q70" s="1258"/>
      <c r="R70" s="1258"/>
      <c r="S70" s="1258"/>
      <c r="T70" s="1258"/>
      <c r="U70" s="1258"/>
      <c r="V70" s="1237"/>
    </row>
    <row r="71" spans="1:22" ht="12" customHeight="1">
      <c r="A71" s="1258"/>
      <c r="B71" s="1258"/>
      <c r="C71" s="1258"/>
      <c r="D71" s="1305"/>
      <c r="E71" s="1312"/>
      <c r="F71" s="1312"/>
      <c r="G71" s="1258" t="s">
        <v>4716</v>
      </c>
      <c r="H71" s="1258"/>
      <c r="I71" s="1258"/>
      <c r="J71" s="1258"/>
      <c r="K71" s="1287"/>
      <c r="L71" s="1258"/>
      <c r="M71" s="1258"/>
      <c r="N71" s="1258"/>
      <c r="O71" s="1258"/>
      <c r="P71" s="1258"/>
      <c r="Q71" s="1258"/>
      <c r="R71" s="1258"/>
      <c r="S71" s="1258"/>
      <c r="T71" s="1258"/>
      <c r="U71" s="1258"/>
      <c r="V71" s="1237"/>
    </row>
    <row r="72" spans="1:22" ht="12" customHeight="1">
      <c r="A72" s="1258"/>
      <c r="B72" s="1258"/>
      <c r="C72" s="1258"/>
      <c r="D72" s="1305"/>
      <c r="E72" s="1312"/>
      <c r="F72" s="1312"/>
      <c r="G72" s="1258" t="s">
        <v>4717</v>
      </c>
      <c r="H72" s="1258"/>
      <c r="I72" s="1258"/>
      <c r="J72" s="1258"/>
      <c r="K72" s="1287"/>
      <c r="L72" s="1258"/>
      <c r="M72" s="1258"/>
      <c r="N72" s="1258"/>
      <c r="O72" s="1258"/>
      <c r="P72" s="1258"/>
      <c r="Q72" s="1258"/>
      <c r="R72" s="1258"/>
      <c r="S72" s="1258"/>
      <c r="T72" s="1258"/>
      <c r="U72" s="1258"/>
      <c r="V72" s="1237"/>
    </row>
    <row r="73" spans="1:22" ht="12" customHeight="1">
      <c r="A73" s="1258"/>
      <c r="B73" s="1258"/>
      <c r="C73" s="1258"/>
      <c r="D73" s="1305"/>
      <c r="E73" s="1312"/>
      <c r="F73" s="1312"/>
      <c r="G73" s="1258" t="s">
        <v>4098</v>
      </c>
      <c r="H73" s="1258"/>
      <c r="I73" s="1258"/>
      <c r="J73" s="1258"/>
      <c r="K73" s="1287"/>
      <c r="L73" s="1258"/>
      <c r="M73" s="1258"/>
      <c r="N73" s="1258"/>
      <c r="O73" s="1258"/>
      <c r="P73" s="1258"/>
      <c r="Q73" s="1258"/>
      <c r="R73" s="1258"/>
      <c r="S73" s="1258"/>
      <c r="T73" s="1258"/>
      <c r="U73" s="1258"/>
      <c r="V73" s="1237"/>
    </row>
    <row r="74" spans="1:22" ht="17.25" customHeight="1" thickBot="1">
      <c r="A74" s="1258"/>
      <c r="B74" s="1258"/>
      <c r="C74" s="1258"/>
      <c r="D74" s="1305"/>
      <c r="E74" s="1308"/>
      <c r="F74" s="1308"/>
      <c r="G74" s="1258"/>
      <c r="H74" s="1258"/>
      <c r="I74" s="1258"/>
      <c r="J74" s="1258"/>
      <c r="K74" s="1287"/>
      <c r="L74" s="1258"/>
      <c r="M74" s="1258"/>
      <c r="N74" s="1258"/>
      <c r="O74" s="1258"/>
      <c r="P74" s="4316" t="s">
        <v>116</v>
      </c>
      <c r="Q74" s="1720">
        <f>IF(E70="X",0,SUM(O33,-Q65))</f>
        <v>0</v>
      </c>
      <c r="R74" s="1258"/>
      <c r="S74" s="1258"/>
      <c r="T74" s="1258"/>
      <c r="U74" s="1258"/>
      <c r="V74" s="1237"/>
    </row>
    <row r="75" spans="1:22" ht="18" customHeight="1" thickBot="1">
      <c r="A75" s="1258"/>
      <c r="B75" s="1258"/>
      <c r="C75" s="1258"/>
      <c r="D75" s="1305"/>
      <c r="E75" s="1721" t="str">
        <f>IF(O33&gt;Q65,"X","")</f>
        <v/>
      </c>
      <c r="F75" s="1312"/>
      <c r="G75" s="1313" t="s">
        <v>474</v>
      </c>
      <c r="H75" s="1258" t="s">
        <v>4090</v>
      </c>
      <c r="I75" s="1258"/>
      <c r="J75" s="1258"/>
      <c r="K75" s="1287"/>
      <c r="L75" s="1258"/>
      <c r="M75" s="1258"/>
      <c r="N75" s="1258"/>
      <c r="O75" s="1258"/>
      <c r="P75" s="1258"/>
      <c r="Q75" s="1258"/>
      <c r="R75" s="1258"/>
      <c r="S75" s="1258"/>
      <c r="T75" s="1258"/>
      <c r="U75" s="1258"/>
      <c r="V75" s="1237"/>
    </row>
    <row r="76" spans="1:22" ht="12" customHeight="1">
      <c r="A76" s="1258"/>
      <c r="B76" s="1258"/>
      <c r="C76" s="1258"/>
      <c r="D76" s="1305"/>
      <c r="E76" s="1308"/>
      <c r="F76" s="1308"/>
      <c r="G76" s="4303" t="s">
        <v>4654</v>
      </c>
      <c r="H76" s="1258"/>
      <c r="I76" s="1258"/>
      <c r="J76" s="1258"/>
      <c r="K76" s="1287"/>
      <c r="L76" s="1258"/>
      <c r="M76" s="1258"/>
      <c r="N76" s="1258"/>
      <c r="O76" s="1258"/>
      <c r="P76" s="1258"/>
      <c r="Q76" s="1258"/>
      <c r="R76" s="1258"/>
      <c r="S76" s="1258"/>
      <c r="T76" s="1258"/>
      <c r="U76" s="1258"/>
      <c r="V76" s="1237"/>
    </row>
    <row r="77" spans="1:22" ht="15" customHeight="1">
      <c r="A77" s="1234"/>
      <c r="B77" s="1317"/>
      <c r="C77" s="1317"/>
      <c r="D77" s="1318"/>
      <c r="E77" s="1296"/>
      <c r="F77" s="1296"/>
      <c r="G77" s="1297"/>
      <c r="H77" s="1297"/>
      <c r="I77" s="1297"/>
      <c r="J77" s="1297"/>
      <c r="K77" s="1298"/>
      <c r="L77" s="1297"/>
      <c r="M77" s="1297"/>
      <c r="N77" s="1297"/>
      <c r="O77" s="1297"/>
      <c r="P77" s="1297"/>
      <c r="Q77" s="1297"/>
      <c r="R77" s="1234"/>
      <c r="S77" s="1234"/>
      <c r="T77" s="1234"/>
      <c r="U77" s="1234"/>
      <c r="V77" s="1237"/>
    </row>
    <row r="78" spans="1:22" ht="25.5" customHeight="1" thickBot="1">
      <c r="A78" s="1281"/>
      <c r="B78" s="1281"/>
      <c r="C78" s="1718" t="s">
        <v>812</v>
      </c>
      <c r="D78" s="1282"/>
      <c r="E78" s="1281"/>
      <c r="F78" s="1281"/>
      <c r="G78" s="1281"/>
      <c r="H78" s="1281"/>
      <c r="I78" s="1281"/>
      <c r="J78" s="1281"/>
      <c r="K78" s="1320"/>
      <c r="L78" s="1281"/>
      <c r="M78" s="1281"/>
      <c r="N78" s="1281"/>
      <c r="O78" s="1281"/>
      <c r="P78" s="1321"/>
      <c r="Q78" s="1718" t="str">
        <f>"Publication 972 ("&amp;TaxYear&amp;")"</f>
        <v>Publication 972 (2018)</v>
      </c>
      <c r="R78" s="1258"/>
      <c r="S78" s="1258"/>
      <c r="T78" s="1258"/>
      <c r="U78" s="1258"/>
      <c r="V78" s="1237"/>
    </row>
    <row r="79" spans="1:22" ht="19.5" customHeight="1">
      <c r="A79" s="1265"/>
      <c r="B79" s="4971" t="str">
        <f>" Child Tax Credit and Credit for Other Dependents Worksheet  ---  Continued"</f>
        <v xml:space="preserve"> Child Tax Credit and Credit for Other Dependents Worksheet  ---  Continued</v>
      </c>
      <c r="C79" s="4970"/>
      <c r="D79" s="4970"/>
      <c r="E79" s="4970"/>
      <c r="F79" s="4970"/>
      <c r="G79" s="4970"/>
      <c r="H79" s="4970"/>
      <c r="I79" s="4970"/>
      <c r="J79" s="4970"/>
      <c r="K79" s="4970"/>
      <c r="L79" s="4970"/>
      <c r="M79" s="4970"/>
      <c r="N79" s="1265"/>
      <c r="O79" s="4506"/>
      <c r="P79" s="1265"/>
      <c r="Q79" s="4507"/>
      <c r="R79" s="1272"/>
      <c r="S79" s="1272"/>
      <c r="T79" s="1272"/>
      <c r="U79" s="1272"/>
      <c r="V79" s="1237"/>
    </row>
    <row r="80" spans="1:22" ht="9" customHeight="1" thickBot="1">
      <c r="A80" s="1265"/>
      <c r="B80" s="5804"/>
      <c r="C80" s="5805"/>
      <c r="D80" s="5805"/>
      <c r="E80" s="5805"/>
      <c r="F80" s="5805"/>
      <c r="G80" s="5805"/>
      <c r="H80" s="5805"/>
      <c r="I80" s="5805"/>
      <c r="J80" s="5805"/>
      <c r="K80" s="5805"/>
      <c r="L80" s="5805"/>
      <c r="M80" s="5805"/>
      <c r="N80" s="4511"/>
      <c r="O80" s="4512"/>
      <c r="P80" s="4512"/>
      <c r="Q80" s="4512"/>
      <c r="R80" s="1272"/>
      <c r="S80" s="1272"/>
      <c r="T80" s="1272"/>
      <c r="U80" s="1272"/>
      <c r="V80" s="1237"/>
    </row>
    <row r="81" spans="1:35" ht="9" customHeight="1" thickTop="1">
      <c r="A81" s="1234"/>
      <c r="B81" s="1295"/>
      <c r="C81" s="1295"/>
      <c r="D81" s="1291"/>
      <c r="E81" s="1235"/>
      <c r="F81" s="1235"/>
      <c r="G81" s="1234"/>
      <c r="H81" s="1234"/>
      <c r="I81" s="1234"/>
      <c r="J81" s="1234"/>
      <c r="K81" s="1252"/>
      <c r="L81" s="1234"/>
      <c r="M81" s="1234"/>
      <c r="N81" s="1234"/>
      <c r="O81" s="1291"/>
      <c r="P81" s="1234"/>
      <c r="Q81" s="1291"/>
      <c r="R81" s="1291"/>
      <c r="S81" s="1291"/>
      <c r="T81" s="1291"/>
      <c r="U81" s="1291"/>
      <c r="V81" s="1237"/>
    </row>
    <row r="82" spans="1:35" s="1379" customFormat="1" ht="23.25" customHeight="1">
      <c r="A82" s="1258"/>
      <c r="B82" s="5800" t="s">
        <v>117</v>
      </c>
      <c r="C82" s="5801"/>
      <c r="D82" s="4972" t="s">
        <v>338</v>
      </c>
      <c r="E82" s="1265" t="s">
        <v>3716</v>
      </c>
      <c r="F82" s="1265"/>
      <c r="G82" s="1258"/>
      <c r="H82" s="1258"/>
      <c r="I82" s="1258"/>
      <c r="J82" s="1258"/>
      <c r="K82" s="1328"/>
      <c r="L82" s="1258"/>
      <c r="M82" s="1258"/>
      <c r="N82" s="1258"/>
      <c r="O82" s="1258"/>
      <c r="P82" s="4320" t="s">
        <v>801</v>
      </c>
      <c r="Q82" s="1720" t="str">
        <f>IF(E70="X","",Tax)</f>
        <v/>
      </c>
      <c r="R82" s="1355"/>
      <c r="S82" s="1355"/>
      <c r="T82" s="1355"/>
      <c r="U82" s="1355"/>
      <c r="V82" s="1378"/>
      <c r="W82" s="1378"/>
      <c r="X82" s="1378"/>
      <c r="Z82" s="3181"/>
      <c r="AA82" s="3181"/>
      <c r="AB82" s="3181"/>
      <c r="AC82" s="3181"/>
      <c r="AD82" s="3181"/>
      <c r="AE82" s="3181"/>
      <c r="AF82" s="3181"/>
      <c r="AG82" s="3181"/>
      <c r="AH82" s="3181"/>
      <c r="AI82" s="3181"/>
    </row>
    <row r="83" spans="1:35" ht="9.75" customHeight="1">
      <c r="A83" s="1234"/>
      <c r="B83" s="1295"/>
      <c r="C83" s="1295"/>
      <c r="D83" s="1291"/>
      <c r="E83" s="1296"/>
      <c r="F83" s="1296"/>
      <c r="G83" s="1297"/>
      <c r="H83" s="1297"/>
      <c r="I83" s="1297"/>
      <c r="J83" s="1297"/>
      <c r="K83" s="1298"/>
      <c r="L83" s="1297"/>
      <c r="M83" s="1297"/>
      <c r="N83" s="1297"/>
      <c r="O83" s="1297"/>
      <c r="P83" s="1234"/>
      <c r="Q83" s="1234"/>
      <c r="R83" s="1234"/>
      <c r="S83" s="1234"/>
      <c r="T83" s="1234"/>
      <c r="U83" s="1234"/>
      <c r="V83" s="1237"/>
    </row>
    <row r="84" spans="1:35" ht="24" customHeight="1">
      <c r="A84" s="1234"/>
      <c r="B84" s="1252"/>
      <c r="C84" s="1292"/>
      <c r="D84" s="4315" t="s">
        <v>339</v>
      </c>
      <c r="E84" s="1292" t="s">
        <v>4718</v>
      </c>
      <c r="F84" s="1292"/>
      <c r="G84" s="1234"/>
      <c r="H84" s="1234"/>
      <c r="I84" s="1234"/>
      <c r="J84" s="1234"/>
      <c r="K84" s="1244"/>
      <c r="L84" s="1234"/>
      <c r="M84" s="1234"/>
      <c r="N84" s="1234"/>
      <c r="O84" s="1291"/>
      <c r="P84" s="1234"/>
      <c r="Q84" s="1291"/>
      <c r="R84" s="1294"/>
      <c r="S84" s="1294"/>
      <c r="T84" s="1294"/>
      <c r="U84" s="1294"/>
      <c r="V84" s="1237"/>
      <c r="X84" s="1295"/>
    </row>
    <row r="85" spans="1:35" ht="14.25" customHeight="1">
      <c r="A85" s="1234"/>
      <c r="B85" s="1252"/>
      <c r="C85" s="1292"/>
      <c r="D85" s="1291"/>
      <c r="E85" s="4129" t="s">
        <v>943</v>
      </c>
      <c r="F85" s="1295"/>
      <c r="G85" s="1234"/>
      <c r="H85" s="4130"/>
      <c r="I85" s="4130"/>
      <c r="J85" s="1307"/>
      <c r="K85" s="1234"/>
      <c r="L85" s="1234"/>
      <c r="M85" s="1234"/>
      <c r="N85" s="1291"/>
      <c r="O85" s="1234"/>
      <c r="P85" s="1291"/>
      <c r="Q85" s="1294"/>
      <c r="R85" s="1291"/>
      <c r="S85" s="1294"/>
      <c r="T85" s="1294"/>
      <c r="U85" s="1294"/>
      <c r="V85" s="1237"/>
      <c r="X85" s="1295"/>
    </row>
    <row r="86" spans="1:35" ht="12.75" customHeight="1">
      <c r="A86" s="1234"/>
      <c r="B86" s="1252"/>
      <c r="C86" s="1292"/>
      <c r="D86" s="1303"/>
      <c r="E86" s="1385" t="s">
        <v>4655</v>
      </c>
      <c r="F86" s="1292"/>
      <c r="G86" s="1234"/>
      <c r="H86" s="1234"/>
      <c r="I86" s="1234"/>
      <c r="J86" s="1234"/>
      <c r="K86" s="4132">
        <f>IF(X86&lt;&gt;"", ROUND(X86,0),Foreign_Tax_Credit)</f>
        <v>0</v>
      </c>
      <c r="L86" s="1234"/>
      <c r="M86" s="1291"/>
      <c r="N86" s="1327"/>
      <c r="O86" s="1234"/>
      <c r="P86" s="1294"/>
      <c r="Q86" s="1292"/>
      <c r="R86" s="1234"/>
      <c r="S86" s="1294"/>
      <c r="T86" s="1294"/>
      <c r="U86" s="1294"/>
      <c r="V86" s="1237"/>
    </row>
    <row r="87" spans="1:35" ht="12.75" customHeight="1">
      <c r="A87" s="1234"/>
      <c r="B87" s="1252"/>
      <c r="C87" s="1292"/>
      <c r="D87" s="1303"/>
      <c r="E87" s="1385" t="s">
        <v>4656</v>
      </c>
      <c r="F87" s="1292"/>
      <c r="G87" s="1234"/>
      <c r="H87" s="1234"/>
      <c r="I87" s="1234"/>
      <c r="J87" s="1326" t="s">
        <v>798</v>
      </c>
      <c r="K87" s="4132">
        <f>Care_Expenses</f>
        <v>0</v>
      </c>
      <c r="L87" s="1234"/>
      <c r="M87" s="1291"/>
      <c r="N87" s="1324"/>
      <c r="O87" s="1234"/>
      <c r="P87" s="1294"/>
      <c r="Q87" s="1292"/>
      <c r="R87" s="1234"/>
      <c r="S87" s="1294"/>
      <c r="T87" s="1294"/>
      <c r="U87" s="1294"/>
      <c r="V87" s="1237"/>
    </row>
    <row r="88" spans="1:35" ht="12.75" customHeight="1">
      <c r="A88" s="1234"/>
      <c r="B88" s="1252"/>
      <c r="C88" s="1292"/>
      <c r="D88" s="1303"/>
      <c r="E88" s="1385" t="s">
        <v>4657</v>
      </c>
      <c r="F88" s="1292"/>
      <c r="G88" s="1234"/>
      <c r="H88" s="1234"/>
      <c r="I88" s="1234"/>
      <c r="J88" s="1326" t="s">
        <v>798</v>
      </c>
      <c r="K88" s="4132">
        <f>Education</f>
        <v>0</v>
      </c>
      <c r="L88" s="1234"/>
      <c r="M88" s="1291"/>
      <c r="N88" s="1324"/>
      <c r="O88" s="1234"/>
      <c r="P88" s="1294"/>
      <c r="Q88" s="1325"/>
      <c r="R88" s="1234"/>
      <c r="S88" s="1294"/>
      <c r="T88" s="1294"/>
      <c r="U88" s="1294"/>
      <c r="V88" s="1237"/>
    </row>
    <row r="89" spans="1:35" ht="12.75" customHeight="1">
      <c r="A89" s="1234"/>
      <c r="B89" s="1252"/>
      <c r="C89" s="1292"/>
      <c r="D89" s="1303"/>
      <c r="E89" s="1265" t="s">
        <v>4658</v>
      </c>
      <c r="F89" s="1292"/>
      <c r="G89" s="1255"/>
      <c r="H89" s="1234"/>
      <c r="I89" s="1234"/>
      <c r="J89" s="1326" t="s">
        <v>798</v>
      </c>
      <c r="K89" s="4132">
        <f>Retirement_Savings</f>
        <v>0</v>
      </c>
      <c r="L89" s="1234"/>
      <c r="M89" s="1291"/>
      <c r="N89" s="1324"/>
      <c r="O89" s="1234"/>
      <c r="P89" s="1294"/>
      <c r="Q89" s="1292"/>
      <c r="R89" s="1234"/>
      <c r="S89" s="1294"/>
      <c r="T89" s="1294"/>
      <c r="U89" s="1294"/>
      <c r="V89" s="1237"/>
    </row>
    <row r="90" spans="1:35" ht="13.5" customHeight="1">
      <c r="A90" s="1234"/>
      <c r="B90" s="1252"/>
      <c r="C90" s="1292"/>
      <c r="D90" s="1387" t="str">
        <f>IF(S11&lt;&gt;"","®","")</f>
        <v/>
      </c>
      <c r="E90" s="1265" t="s">
        <v>3698</v>
      </c>
      <c r="F90" s="1292"/>
      <c r="G90" s="1234"/>
      <c r="H90" s="1390"/>
      <c r="I90" s="1390"/>
      <c r="J90" s="1326" t="s">
        <v>798</v>
      </c>
      <c r="K90" s="4131"/>
      <c r="L90" s="1234"/>
      <c r="M90" s="1235"/>
      <c r="N90" s="1327"/>
      <c r="O90" s="1234"/>
      <c r="P90" s="1294"/>
      <c r="Q90" s="1389"/>
      <c r="R90" s="1234"/>
      <c r="S90" s="1294"/>
      <c r="T90" s="1294"/>
      <c r="U90" s="1294"/>
      <c r="V90" s="1237"/>
      <c r="X90" s="1295"/>
    </row>
    <row r="91" spans="1:35" ht="12.75" customHeight="1">
      <c r="A91" s="1234"/>
      <c r="B91" s="1252"/>
      <c r="C91" s="1292"/>
      <c r="D91" s="1303"/>
      <c r="E91" s="1385" t="s">
        <v>3699</v>
      </c>
      <c r="F91" s="1292"/>
      <c r="G91" s="1234"/>
      <c r="H91" s="1234"/>
      <c r="I91" s="1234"/>
      <c r="J91" s="1326" t="s">
        <v>798</v>
      </c>
      <c r="K91" s="4131"/>
      <c r="L91" s="1234"/>
      <c r="M91" s="1291"/>
      <c r="N91" s="1324"/>
      <c r="O91" s="1234"/>
      <c r="P91" s="1294"/>
      <c r="Q91" s="1292"/>
      <c r="R91" s="1234"/>
      <c r="S91" s="1294"/>
      <c r="T91" s="1294"/>
      <c r="U91" s="1294"/>
      <c r="V91" s="1237"/>
    </row>
    <row r="92" spans="1:35" ht="12.75" customHeight="1">
      <c r="A92" s="1234"/>
      <c r="B92" s="1252"/>
      <c r="C92" s="1292"/>
      <c r="D92" s="1303"/>
      <c r="E92" s="1385" t="s">
        <v>930</v>
      </c>
      <c r="F92" s="1292"/>
      <c r="G92" s="1234"/>
      <c r="H92" s="1387"/>
      <c r="I92" s="1387"/>
      <c r="J92" s="1326" t="s">
        <v>798</v>
      </c>
      <c r="K92" s="4131"/>
      <c r="L92" s="1234"/>
      <c r="M92" s="1291"/>
      <c r="N92" s="1234"/>
      <c r="O92" s="1234"/>
      <c r="P92" s="1294"/>
      <c r="Q92" s="1292"/>
      <c r="R92" s="1234"/>
      <c r="S92" s="1294"/>
      <c r="T92" s="1294"/>
      <c r="U92" s="1294"/>
      <c r="V92" s="1237"/>
      <c r="X92" s="1295" t="s">
        <v>100</v>
      </c>
    </row>
    <row r="93" spans="1:35" ht="12.75" customHeight="1">
      <c r="A93" s="1234"/>
      <c r="B93" s="1252"/>
      <c r="C93" s="1292"/>
      <c r="D93" s="1303"/>
      <c r="E93" s="1385" t="s">
        <v>819</v>
      </c>
      <c r="F93" s="1292"/>
      <c r="G93" s="1234"/>
      <c r="H93" s="1234"/>
      <c r="I93" s="1234"/>
      <c r="J93" s="1326" t="s">
        <v>798</v>
      </c>
      <c r="K93" s="4132" t="str">
        <f>SchR_Line22</f>
        <v/>
      </c>
      <c r="L93" s="1234"/>
      <c r="M93" s="1291"/>
      <c r="N93" s="1234"/>
      <c r="O93" s="1234"/>
      <c r="P93" s="1294"/>
      <c r="Q93" s="1292"/>
      <c r="R93" s="1234"/>
      <c r="S93" s="1294"/>
      <c r="T93" s="1294"/>
      <c r="U93" s="1294"/>
      <c r="V93" s="1237"/>
      <c r="X93" s="1295" t="s">
        <v>468</v>
      </c>
    </row>
    <row r="94" spans="1:35" ht="5.25" customHeight="1" thickBot="1">
      <c r="A94" s="1234"/>
      <c r="B94" s="1252"/>
      <c r="C94" s="1292"/>
      <c r="D94" s="1303"/>
      <c r="E94" s="1292"/>
      <c r="F94" s="1292"/>
      <c r="G94" s="1234"/>
      <c r="H94" s="1234"/>
      <c r="I94" s="1234"/>
      <c r="J94" s="1292"/>
      <c r="K94" s="1234"/>
      <c r="L94" s="1234"/>
      <c r="M94" s="1326"/>
      <c r="N94" s="4304"/>
      <c r="O94" s="1234"/>
      <c r="P94" s="1291"/>
      <c r="Q94" s="1294"/>
      <c r="R94" s="1234"/>
      <c r="S94" s="1294"/>
      <c r="T94" s="1294"/>
      <c r="U94" s="1294"/>
      <c r="V94" s="1237"/>
    </row>
    <row r="95" spans="1:35" ht="21" customHeight="1" thickBot="1">
      <c r="A95" s="1234"/>
      <c r="B95" s="1252"/>
      <c r="C95" s="1292"/>
      <c r="D95" s="1303"/>
      <c r="E95" s="1234"/>
      <c r="F95" s="1234"/>
      <c r="G95" s="1328"/>
      <c r="H95" s="1234"/>
      <c r="I95" s="4973" t="s">
        <v>799</v>
      </c>
      <c r="J95" s="4316" t="s">
        <v>248</v>
      </c>
      <c r="K95" s="1722" t="str">
        <f>IF(X95&lt;&gt;"",ROUND(X95,0),IF($E$70="X","",SUM(K86:K93)))</f>
        <v/>
      </c>
      <c r="L95" s="1234"/>
      <c r="M95" s="1291"/>
      <c r="N95" s="1234"/>
      <c r="O95" s="1234"/>
      <c r="P95" s="1234"/>
      <c r="Q95" s="1294"/>
      <c r="R95" s="1234"/>
      <c r="S95" s="1294"/>
      <c r="T95" s="1294"/>
      <c r="U95" s="1294"/>
      <c r="V95" s="1237"/>
      <c r="X95" s="1392"/>
    </row>
    <row r="96" spans="1:35" ht="19.5" customHeight="1">
      <c r="A96" s="1234"/>
      <c r="B96" s="1295"/>
      <c r="C96" s="1295"/>
      <c r="D96" s="1291"/>
      <c r="E96" s="1925" t="s">
        <v>4659</v>
      </c>
      <c r="F96" s="1235"/>
      <c r="G96" s="1234"/>
      <c r="H96" s="1234"/>
      <c r="I96" s="1234"/>
      <c r="J96" s="1234"/>
      <c r="K96" s="1252"/>
      <c r="L96" s="1234"/>
      <c r="M96" s="1234"/>
      <c r="N96" s="1234"/>
      <c r="O96" s="1291"/>
      <c r="P96" s="1234"/>
      <c r="Q96" s="1291"/>
      <c r="R96" s="1291"/>
      <c r="S96" s="1291"/>
      <c r="T96" s="1291"/>
      <c r="U96" s="1291"/>
      <c r="V96" s="1237"/>
    </row>
    <row r="97" spans="1:24" ht="13.5" customHeight="1">
      <c r="A97" s="1234"/>
      <c r="B97" s="1295"/>
      <c r="C97" s="1295"/>
      <c r="D97" s="1291"/>
      <c r="E97" s="4975" t="str">
        <f>"credit) applies for "&amp;TaxYear&amp;"."</f>
        <v>credit) applies for 2018.</v>
      </c>
      <c r="F97" s="1329"/>
      <c r="G97" s="1297"/>
      <c r="H97" s="1297"/>
      <c r="I97" s="1297"/>
      <c r="J97" s="1297"/>
      <c r="K97" s="1298"/>
      <c r="L97" s="1234"/>
      <c r="M97" s="1234"/>
      <c r="N97" s="1234"/>
      <c r="O97" s="1291"/>
      <c r="P97" s="1234"/>
      <c r="Q97" s="1291"/>
      <c r="R97" s="1291"/>
      <c r="S97" s="1291"/>
      <c r="T97" s="1291"/>
      <c r="U97" s="1291"/>
      <c r="V97" s="1237"/>
    </row>
    <row r="98" spans="1:24" ht="23.25" customHeight="1">
      <c r="A98" s="1234"/>
      <c r="B98" s="1252"/>
      <c r="C98" s="1292"/>
      <c r="D98" s="4315" t="s">
        <v>498</v>
      </c>
      <c r="E98" s="1315" t="s">
        <v>4660</v>
      </c>
      <c r="F98" s="1315"/>
      <c r="G98" s="1234"/>
      <c r="H98" s="1244"/>
      <c r="I98" s="1244"/>
      <c r="J98" s="1244"/>
      <c r="K98" s="1244"/>
      <c r="L98" s="1244"/>
      <c r="M98" s="1244"/>
      <c r="N98" s="1265"/>
      <c r="O98" s="1272"/>
      <c r="P98" s="4316" t="s">
        <v>803</v>
      </c>
      <c r="Q98" s="5159" t="str">
        <f>IF(OR($E$70&lt;&gt;"",$Q$82=""),"",SUM(Q82,-CTC_WS_Line12))</f>
        <v/>
      </c>
      <c r="R98" s="1294"/>
      <c r="S98" s="1294"/>
      <c r="T98" s="1294"/>
      <c r="U98" s="2514"/>
      <c r="V98" s="1237"/>
    </row>
    <row r="99" spans="1:24" ht="9" customHeight="1">
      <c r="A99" s="1234"/>
      <c r="B99" s="1295"/>
      <c r="C99" s="1295"/>
      <c r="D99" s="1291"/>
      <c r="E99" s="1296"/>
      <c r="F99" s="1296"/>
      <c r="G99" s="1297"/>
      <c r="H99" s="1297"/>
      <c r="I99" s="1297"/>
      <c r="J99" s="1297"/>
      <c r="K99" s="1298"/>
      <c r="L99" s="1297"/>
      <c r="M99" s="1297"/>
      <c r="N99" s="1297"/>
      <c r="O99" s="1297"/>
      <c r="P99" s="1234"/>
      <c r="Q99" s="1234"/>
      <c r="R99" s="1234"/>
      <c r="S99" s="1234"/>
      <c r="T99" s="1234"/>
      <c r="U99" s="1234"/>
      <c r="V99" s="1237"/>
    </row>
    <row r="100" spans="1:24" ht="15.75" customHeight="1">
      <c r="A100" s="1234"/>
      <c r="B100" s="1295"/>
      <c r="C100" s="1295"/>
      <c r="D100" s="4315" t="s">
        <v>815</v>
      </c>
      <c r="E100" s="1315" t="s">
        <v>552</v>
      </c>
      <c r="F100" s="1315"/>
      <c r="G100" s="1234"/>
      <c r="H100" s="1234"/>
      <c r="I100" s="1234"/>
      <c r="J100" s="1234"/>
      <c r="K100" s="1252"/>
      <c r="L100" s="1234"/>
      <c r="M100" s="1234"/>
      <c r="N100" s="1234"/>
      <c r="O100" s="1291"/>
      <c r="P100" s="1234"/>
      <c r="Q100" s="1291"/>
      <c r="R100" s="1291"/>
      <c r="S100" s="1291"/>
      <c r="T100" s="1291"/>
      <c r="U100" s="1291"/>
      <c r="V100" s="1237"/>
    </row>
    <row r="101" spans="1:24" ht="15" customHeight="1">
      <c r="A101" s="1234"/>
      <c r="B101" s="1234"/>
      <c r="C101" s="1234"/>
      <c r="D101" s="1387" t="str">
        <f>IF(S9&lt;&gt;"","®","")</f>
        <v/>
      </c>
      <c r="E101" s="1247" t="s">
        <v>385</v>
      </c>
      <c r="F101" s="1247"/>
      <c r="G101" s="1234" t="s">
        <v>800</v>
      </c>
      <c r="H101" s="1234"/>
      <c r="I101" s="1234"/>
      <c r="J101" s="1234"/>
      <c r="K101" s="1236"/>
      <c r="L101" s="1234"/>
      <c r="M101" s="1234"/>
      <c r="N101" s="1234"/>
      <c r="O101" s="1234"/>
      <c r="P101" s="1234"/>
      <c r="Q101" s="1234"/>
      <c r="R101" s="1234"/>
      <c r="S101" s="1234"/>
      <c r="T101" s="1234"/>
      <c r="U101" s="1234"/>
      <c r="V101" s="1237"/>
    </row>
    <row r="102" spans="1:24" ht="15" customHeight="1">
      <c r="A102" s="1234"/>
      <c r="B102" s="1234"/>
      <c r="C102" s="1234"/>
      <c r="D102" s="1387" t="str">
        <f>IF(S10&lt;&gt;"","®","")</f>
        <v/>
      </c>
      <c r="E102" s="1247" t="s">
        <v>385</v>
      </c>
      <c r="F102" s="1247"/>
      <c r="G102" s="1234" t="s">
        <v>931</v>
      </c>
      <c r="H102" s="1234"/>
      <c r="I102" s="1234"/>
      <c r="J102" s="1234"/>
      <c r="K102" s="1236"/>
      <c r="L102" s="1234"/>
      <c r="M102" s="1234"/>
      <c r="N102" s="1234"/>
      <c r="O102" s="1234"/>
      <c r="P102" s="1234"/>
      <c r="Q102" s="1234"/>
      <c r="R102" s="1234"/>
      <c r="S102" s="1234"/>
      <c r="T102" s="1234"/>
      <c r="U102" s="1234"/>
      <c r="V102" s="1237"/>
    </row>
    <row r="103" spans="1:24" ht="15" customHeight="1">
      <c r="A103" s="1234"/>
      <c r="B103" s="1234"/>
      <c r="C103" s="1234"/>
      <c r="D103" s="1387" t="str">
        <f>IF(S11&lt;&gt;"","®","")</f>
        <v/>
      </c>
      <c r="E103" s="1247" t="s">
        <v>385</v>
      </c>
      <c r="F103" s="1247"/>
      <c r="G103" s="1234" t="s">
        <v>1006</v>
      </c>
      <c r="H103" s="1234"/>
      <c r="I103" s="1234"/>
      <c r="J103" s="1234"/>
      <c r="K103" s="1236"/>
      <c r="L103" s="1234"/>
      <c r="M103" s="1234"/>
      <c r="N103" s="1234"/>
      <c r="O103" s="1234"/>
      <c r="P103" s="1234"/>
      <c r="Q103" s="1234"/>
      <c r="R103" s="1234"/>
      <c r="S103" s="1234"/>
      <c r="T103" s="1234"/>
      <c r="U103" s="1234"/>
      <c r="V103" s="1237"/>
    </row>
    <row r="104" spans="1:24" ht="15" customHeight="1">
      <c r="A104" s="1234"/>
      <c r="B104" s="1234"/>
      <c r="C104" s="1234"/>
      <c r="D104" s="1387" t="str">
        <f>IF(S12&lt;&gt;"","®","")</f>
        <v/>
      </c>
      <c r="E104" s="1247" t="s">
        <v>385</v>
      </c>
      <c r="F104" s="1247"/>
      <c r="G104" s="1234" t="s">
        <v>155</v>
      </c>
      <c r="H104" s="1234"/>
      <c r="I104" s="1234"/>
      <c r="J104" s="1234"/>
      <c r="K104" s="1236"/>
      <c r="L104" s="1234"/>
      <c r="M104" s="1234"/>
      <c r="N104" s="1234"/>
      <c r="O104" s="1234"/>
      <c r="P104" s="1234"/>
      <c r="Q104" s="1234"/>
      <c r="R104" s="1234"/>
      <c r="S104" s="1234"/>
      <c r="T104" s="1234"/>
      <c r="U104" s="1234"/>
      <c r="V104" s="1237"/>
      <c r="X104" s="1295" t="s">
        <v>100</v>
      </c>
    </row>
    <row r="105" spans="1:24" ht="5.25" customHeight="1" thickBot="1">
      <c r="A105" s="1234"/>
      <c r="B105" s="1234"/>
      <c r="C105" s="1234"/>
      <c r="D105" s="1235"/>
      <c r="E105" s="1234"/>
      <c r="F105" s="1234"/>
      <c r="G105" s="1234"/>
      <c r="H105" s="1234"/>
      <c r="I105" s="1234"/>
      <c r="J105" s="1234"/>
      <c r="K105" s="1236"/>
      <c r="L105" s="1234"/>
      <c r="M105" s="1234"/>
      <c r="N105" s="1234"/>
      <c r="O105" s="1234"/>
      <c r="P105" s="1234"/>
      <c r="Q105" s="1234"/>
      <c r="R105" s="1234"/>
      <c r="S105" s="1234"/>
      <c r="T105" s="1234"/>
      <c r="U105" s="1234"/>
      <c r="V105" s="1237"/>
      <c r="X105" s="1295"/>
    </row>
    <row r="106" spans="1:24" ht="15" customHeight="1" thickBot="1">
      <c r="A106" s="1234"/>
      <c r="B106" s="1234"/>
      <c r="C106" s="1234"/>
      <c r="D106" s="1235"/>
      <c r="E106" s="1721" t="str">
        <f>IF(OR(S9&lt;&gt;"",S10&lt;&gt;"",S11&lt;&gt;"",S12&lt;&gt;""),"","X")</f>
        <v>X</v>
      </c>
      <c r="F106" s="1312"/>
      <c r="G106" s="1246" t="s">
        <v>205</v>
      </c>
      <c r="H106" s="1234" t="s">
        <v>473</v>
      </c>
      <c r="I106" s="1234"/>
      <c r="J106" s="1234"/>
      <c r="K106" s="1236"/>
      <c r="L106" s="1234"/>
      <c r="M106" s="1234"/>
      <c r="N106" s="1234"/>
      <c r="O106" s="1234"/>
      <c r="P106" s="1234"/>
      <c r="Q106" s="1234"/>
      <c r="R106" s="1234"/>
      <c r="S106" s="1234"/>
      <c r="T106" s="1234"/>
      <c r="U106" s="1234"/>
      <c r="V106" s="1237"/>
      <c r="X106" s="1295" t="s">
        <v>468</v>
      </c>
    </row>
    <row r="107" spans="1:24" ht="18.75" customHeight="1" thickBot="1">
      <c r="A107" s="1234"/>
      <c r="B107" s="1234"/>
      <c r="C107" s="1234"/>
      <c r="D107" s="1330"/>
      <c r="E107" s="1234"/>
      <c r="F107" s="1234"/>
      <c r="G107" s="1234"/>
      <c r="H107" s="1234"/>
      <c r="I107" s="1234"/>
      <c r="J107" s="1234"/>
      <c r="K107" s="1236"/>
      <c r="L107" s="1234"/>
      <c r="M107" s="1234"/>
      <c r="N107" s="1234"/>
      <c r="O107" s="1234"/>
      <c r="P107" s="4316" t="s">
        <v>815</v>
      </c>
      <c r="Q107" s="5160" t="str">
        <f>IF(X107&lt;&gt;"",ROUND(X107,0),IF($E$70="X","",IF(E106="X",0,IF(OR(Form2555_Used,AND(E108="X",E164="X",D165)),0,Q228))))</f>
        <v/>
      </c>
      <c r="R107" s="1234"/>
      <c r="S107" s="1234"/>
      <c r="T107" s="1234"/>
      <c r="U107" s="1234"/>
      <c r="V107" s="1237"/>
      <c r="X107" s="1392"/>
    </row>
    <row r="108" spans="1:24" ht="15" customHeight="1" thickBot="1">
      <c r="A108" s="1234"/>
      <c r="B108" s="1234"/>
      <c r="C108" s="1234"/>
      <c r="D108" s="1235"/>
      <c r="E108" s="1721" t="str">
        <f>IF(OR(S9&lt;&gt;"",S10&lt;&gt;"",S11&lt;&gt;"",S12&lt;&gt;""),"X","")</f>
        <v/>
      </c>
      <c r="F108" s="1312"/>
      <c r="G108" s="1246" t="s">
        <v>179</v>
      </c>
      <c r="H108" s="1234" t="s">
        <v>4661</v>
      </c>
      <c r="I108" s="1234"/>
      <c r="J108" s="1234"/>
      <c r="K108" s="1331"/>
      <c r="L108" s="1258"/>
      <c r="M108" s="1234"/>
      <c r="N108" s="1234"/>
      <c r="O108" s="1234"/>
      <c r="P108" s="1234"/>
      <c r="Q108" s="1234"/>
      <c r="R108" s="1234"/>
      <c r="S108" s="1234"/>
      <c r="T108" s="1234"/>
      <c r="U108" s="1234"/>
      <c r="V108" s="1237"/>
    </row>
    <row r="109" spans="1:24" ht="15" customHeight="1">
      <c r="A109" s="1234"/>
      <c r="B109" s="1234"/>
      <c r="C109" s="1234"/>
      <c r="D109" s="1234"/>
      <c r="E109" s="1234"/>
      <c r="F109" s="1234"/>
      <c r="G109" s="1246"/>
      <c r="H109" s="1234" t="s">
        <v>4662</v>
      </c>
      <c r="I109" s="1234"/>
      <c r="J109" s="1234"/>
      <c r="K109" s="1331"/>
      <c r="L109" s="1258"/>
      <c r="M109" s="1234"/>
      <c r="N109" s="1234"/>
      <c r="O109" s="1234"/>
      <c r="P109" s="1234"/>
      <c r="Q109" s="1234"/>
      <c r="R109" s="1234"/>
      <c r="S109" s="1234"/>
      <c r="T109" s="1234"/>
      <c r="U109" s="1234"/>
      <c r="V109" s="1237"/>
    </row>
    <row r="110" spans="1:24" ht="15" customHeight="1">
      <c r="A110" s="1234"/>
      <c r="B110" s="1234"/>
      <c r="C110" s="1234"/>
      <c r="D110" s="1235"/>
      <c r="E110" s="1332"/>
      <c r="F110" s="1332"/>
      <c r="G110" s="1333"/>
      <c r="H110" s="1333" t="s">
        <v>802</v>
      </c>
      <c r="I110" s="1333"/>
      <c r="J110" s="1333"/>
      <c r="K110" s="1252"/>
      <c r="L110" s="1234"/>
      <c r="M110" s="1234"/>
      <c r="N110" s="1234"/>
      <c r="O110" s="1234"/>
      <c r="P110" s="1234"/>
      <c r="Q110" s="1234"/>
      <c r="R110" s="1234"/>
      <c r="S110" s="1234"/>
      <c r="T110" s="1234"/>
      <c r="U110" s="1234"/>
      <c r="V110" s="1237"/>
    </row>
    <row r="111" spans="1:24" ht="11.1" customHeight="1">
      <c r="A111" s="1234"/>
      <c r="B111" s="1234"/>
      <c r="C111" s="1234"/>
      <c r="D111" s="1235"/>
      <c r="E111" s="1365"/>
      <c r="F111" s="1365"/>
      <c r="G111" s="4985"/>
      <c r="H111" s="4985"/>
      <c r="I111" s="4985"/>
      <c r="J111" s="4985"/>
      <c r="K111" s="1302"/>
      <c r="L111" s="1301"/>
      <c r="M111" s="1301"/>
      <c r="N111" s="1301"/>
      <c r="O111" s="1301"/>
      <c r="P111" s="1234"/>
      <c r="Q111" s="1234"/>
      <c r="R111" s="1234"/>
      <c r="S111" s="1234"/>
      <c r="T111" s="1234"/>
      <c r="U111" s="1234"/>
      <c r="V111" s="1237"/>
    </row>
    <row r="112" spans="1:24" ht="23.25" customHeight="1">
      <c r="A112" s="1234"/>
      <c r="B112" s="1252"/>
      <c r="C112" s="1292"/>
      <c r="D112" s="4972" t="s">
        <v>500</v>
      </c>
      <c r="E112" s="1265" t="s">
        <v>4702</v>
      </c>
      <c r="F112" s="1315"/>
      <c r="G112" s="1234"/>
      <c r="H112" s="1244"/>
      <c r="I112" s="1244"/>
      <c r="J112" s="1244"/>
      <c r="K112" s="1244"/>
      <c r="L112" s="1244"/>
      <c r="M112" s="1244"/>
      <c r="N112" s="1265"/>
      <c r="O112" s="1272"/>
      <c r="P112" s="4316" t="s">
        <v>816</v>
      </c>
      <c r="Q112" s="5159" t="str">
        <f>IF(Q82="","",SUM(Q98,-Q107))</f>
        <v/>
      </c>
      <c r="R112" s="1294"/>
      <c r="S112" s="1294"/>
      <c r="T112" s="1294"/>
      <c r="U112" s="2514"/>
      <c r="V112" s="1237"/>
    </row>
    <row r="113" spans="1:24" ht="9" customHeight="1">
      <c r="A113" s="1234"/>
      <c r="B113" s="1295"/>
      <c r="C113" s="1295"/>
      <c r="D113" s="1291"/>
      <c r="E113" s="1296"/>
      <c r="F113" s="1296"/>
      <c r="G113" s="1297"/>
      <c r="H113" s="1297"/>
      <c r="I113" s="1297"/>
      <c r="J113" s="1297"/>
      <c r="K113" s="1298"/>
      <c r="L113" s="1297"/>
      <c r="M113" s="1297"/>
      <c r="N113" s="1297"/>
      <c r="O113" s="1297"/>
      <c r="P113" s="1234"/>
      <c r="Q113" s="1234"/>
      <c r="R113" s="1234"/>
      <c r="S113" s="1234"/>
      <c r="T113" s="1234"/>
      <c r="U113" s="1234"/>
      <c r="V113" s="1237"/>
    </row>
    <row r="114" spans="1:24" ht="21" customHeight="1">
      <c r="A114" s="1234"/>
      <c r="B114" s="1295"/>
      <c r="C114" s="1295"/>
      <c r="D114" s="4315" t="s">
        <v>215</v>
      </c>
      <c r="E114" s="1315" t="s">
        <v>4703</v>
      </c>
      <c r="F114" s="1315"/>
      <c r="G114" s="1234"/>
      <c r="H114" s="1234"/>
      <c r="I114" s="1234"/>
      <c r="J114" s="1234"/>
      <c r="K114" s="1252"/>
      <c r="L114" s="1234"/>
      <c r="M114" s="1234"/>
      <c r="N114" s="1234"/>
      <c r="O114" s="1291"/>
      <c r="P114" s="1234"/>
      <c r="Q114" s="1291"/>
      <c r="R114" s="1234"/>
      <c r="S114" s="1234"/>
      <c r="T114" s="1291"/>
      <c r="U114" s="1291"/>
      <c r="V114" s="1237"/>
    </row>
    <row r="115" spans="1:24" ht="8.25" customHeight="1" thickBot="1">
      <c r="A115" s="1234"/>
      <c r="B115" s="1234"/>
      <c r="C115" s="1234"/>
      <c r="D115" s="1235"/>
      <c r="E115" s="1234"/>
      <c r="F115" s="1234"/>
      <c r="G115" s="1234"/>
      <c r="H115" s="1234"/>
      <c r="I115" s="1234"/>
      <c r="J115" s="1234"/>
      <c r="K115" s="1236"/>
      <c r="L115" s="1234"/>
      <c r="M115" s="1234"/>
      <c r="N115" s="1234"/>
      <c r="O115" s="1234"/>
      <c r="P115" s="1234"/>
      <c r="Q115" s="1234"/>
      <c r="R115" s="1234"/>
      <c r="S115" s="1234"/>
      <c r="T115" s="1234"/>
      <c r="U115" s="1234"/>
      <c r="V115" s="1237"/>
      <c r="X115" s="5210"/>
    </row>
    <row r="116" spans="1:24" ht="15" customHeight="1" thickBot="1">
      <c r="A116" s="1234"/>
      <c r="B116" s="1234"/>
      <c r="C116" s="1234"/>
      <c r="D116" s="1235"/>
      <c r="E116" s="1721" t="str">
        <f>IF(Q74&gt;Q112,"","X")</f>
        <v>X</v>
      </c>
      <c r="F116" s="1312"/>
      <c r="G116" s="4516" t="s">
        <v>472</v>
      </c>
      <c r="H116" s="1258" t="str">
        <f>"Enter the amount from line 10."</f>
        <v>Enter the amount from line 10.</v>
      </c>
      <c r="I116" s="1234"/>
      <c r="J116" s="1234"/>
      <c r="K116" s="1236"/>
      <c r="L116" s="1234"/>
      <c r="M116" s="1234"/>
      <c r="N116" s="1234"/>
      <c r="O116" s="1234"/>
      <c r="P116" s="1234"/>
      <c r="Q116" s="1234"/>
      <c r="R116" s="1234"/>
      <c r="S116" s="1234"/>
      <c r="T116" s="1234"/>
      <c r="U116" s="1234"/>
      <c r="V116" s="1237"/>
      <c r="X116" s="1295"/>
    </row>
    <row r="117" spans="1:24" ht="6.95" customHeight="1" thickBot="1">
      <c r="A117" s="1234"/>
      <c r="B117" s="1234"/>
      <c r="C117" s="1234"/>
      <c r="D117" s="1234"/>
      <c r="E117" s="1234"/>
      <c r="F117" s="1234"/>
      <c r="G117" s="4516"/>
      <c r="H117" s="1258"/>
      <c r="I117" s="1234"/>
      <c r="J117" s="1234"/>
      <c r="K117" s="1236"/>
      <c r="L117" s="1234"/>
      <c r="M117" s="1234"/>
      <c r="N117" s="1234"/>
      <c r="O117" s="1234"/>
      <c r="P117" s="1234"/>
      <c r="Q117" s="1234"/>
      <c r="R117" s="1234"/>
      <c r="S117" s="1234"/>
      <c r="T117" s="1234"/>
      <c r="U117" s="1234"/>
      <c r="V117" s="1237"/>
      <c r="X117" s="1295"/>
    </row>
    <row r="118" spans="1:24" ht="15" customHeight="1" thickTop="1" thickBot="1">
      <c r="A118" s="1234"/>
      <c r="B118" s="1234"/>
      <c r="C118" s="1234"/>
      <c r="D118" s="1235"/>
      <c r="E118" s="1721" t="str">
        <f>IF(Q74&gt;Q112,"X","")</f>
        <v/>
      </c>
      <c r="F118" s="1312"/>
      <c r="G118" s="4516" t="s">
        <v>474</v>
      </c>
      <c r="H118" s="1234" t="s">
        <v>4704</v>
      </c>
      <c r="I118" s="1258"/>
      <c r="J118" s="1258"/>
      <c r="K118" s="1236"/>
      <c r="L118" s="1234"/>
      <c r="M118" s="4515" t="s">
        <v>4097</v>
      </c>
      <c r="N118" s="1246"/>
      <c r="O118" s="1234"/>
      <c r="P118" s="4321" t="s">
        <v>1374</v>
      </c>
      <c r="Q118" s="5160">
        <f>IF(E118&lt;&gt;"",Q112,IF(E116&lt;&gt;"",Q74,""))</f>
        <v>0</v>
      </c>
      <c r="R118" s="1234"/>
      <c r="S118" s="1234"/>
      <c r="T118" s="1234"/>
      <c r="U118" s="1234"/>
      <c r="V118" s="1237"/>
      <c r="X118" s="1295"/>
    </row>
    <row r="119" spans="1:24" ht="14.25" customHeight="1">
      <c r="A119" s="1234"/>
      <c r="B119" s="1234"/>
      <c r="C119" s="1234"/>
      <c r="D119" s="1234"/>
      <c r="E119" s="1234"/>
      <c r="F119" s="1234"/>
      <c r="G119" s="4513"/>
      <c r="H119" s="1234" t="s">
        <v>4092</v>
      </c>
      <c r="I119" s="1258"/>
      <c r="J119" s="1258"/>
      <c r="K119" s="1236"/>
      <c r="L119" s="1234"/>
      <c r="M119" s="4513" t="s">
        <v>4096</v>
      </c>
      <c r="N119" s="1246"/>
      <c r="O119" s="1234"/>
      <c r="P119" s="1292" t="s">
        <v>537</v>
      </c>
      <c r="Q119" s="1336"/>
      <c r="R119" s="1234"/>
      <c r="S119" s="1234"/>
      <c r="T119" s="1234"/>
      <c r="U119" s="1234"/>
      <c r="V119" s="1237"/>
      <c r="X119" s="1295"/>
    </row>
    <row r="120" spans="1:24" ht="14.25" customHeight="1">
      <c r="A120" s="1234"/>
      <c r="B120" s="1234"/>
      <c r="C120" s="1234"/>
      <c r="D120" s="1234"/>
      <c r="E120" s="1234"/>
      <c r="F120" s="1234"/>
      <c r="G120" s="4513"/>
      <c r="H120" s="1234" t="s">
        <v>4094</v>
      </c>
      <c r="I120" s="1258"/>
      <c r="J120" s="1258"/>
      <c r="K120" s="1236"/>
      <c r="L120" s="1234"/>
      <c r="M120" s="4514" t="s">
        <v>4095</v>
      </c>
      <c r="N120" s="1246"/>
      <c r="O120" s="1234"/>
      <c r="P120" s="1315" t="s">
        <v>3700</v>
      </c>
      <c r="Q120" s="1234"/>
      <c r="R120" s="1338"/>
      <c r="S120" s="1234"/>
      <c r="T120" s="1234"/>
      <c r="U120" s="1234"/>
      <c r="V120" s="1237"/>
    </row>
    <row r="121" spans="1:24" ht="19.5" customHeight="1">
      <c r="A121" s="1234"/>
      <c r="B121" s="1234"/>
      <c r="C121" s="1234"/>
      <c r="D121" s="1234"/>
      <c r="E121" s="1234"/>
      <c r="F121" s="1234"/>
      <c r="G121" s="4513"/>
      <c r="H121" s="1333" t="s">
        <v>4093</v>
      </c>
      <c r="I121" s="1258"/>
      <c r="J121" s="1258"/>
      <c r="K121" s="1236"/>
      <c r="L121" s="1234"/>
      <c r="M121" s="4513"/>
      <c r="N121" s="4515"/>
      <c r="O121" s="1234"/>
      <c r="P121" s="2567"/>
      <c r="Q121" s="1234"/>
      <c r="R121" s="1234"/>
      <c r="S121" s="1234"/>
      <c r="T121" s="1234"/>
      <c r="U121" s="1234"/>
      <c r="V121" s="1237"/>
    </row>
    <row r="122" spans="1:24" ht="14.25" customHeight="1">
      <c r="A122" s="1234"/>
      <c r="B122" s="1234"/>
      <c r="C122" s="1234"/>
      <c r="D122" s="1235"/>
      <c r="E122" s="1234"/>
      <c r="F122" s="1234"/>
      <c r="G122" s="1234"/>
      <c r="H122" s="1258"/>
      <c r="I122" s="1234"/>
      <c r="J122" s="1234"/>
      <c r="K122" s="1236"/>
      <c r="L122" s="1334"/>
      <c r="M122" s="4514"/>
      <c r="N122" s="4514"/>
      <c r="O122" s="1335"/>
      <c r="P122" s="1234"/>
      <c r="Q122" s="1234"/>
      <c r="R122" s="1234"/>
      <c r="S122" s="1234"/>
      <c r="T122" s="1234"/>
      <c r="U122" s="1234"/>
      <c r="V122" s="1237"/>
    </row>
    <row r="123" spans="1:24" ht="15" customHeight="1">
      <c r="A123" s="1234"/>
      <c r="B123" s="1234"/>
      <c r="C123" s="1234"/>
      <c r="D123" s="1235"/>
      <c r="E123" s="1234"/>
      <c r="F123" s="1234"/>
      <c r="G123" s="1234"/>
      <c r="H123" s="4986" t="s">
        <v>4707</v>
      </c>
      <c r="I123" s="1234"/>
      <c r="J123" s="1234"/>
      <c r="K123" s="1236"/>
      <c r="L123" s="1234"/>
      <c r="M123" s="1234"/>
      <c r="N123" s="1234"/>
      <c r="O123" s="1234"/>
      <c r="P123" s="4517"/>
      <c r="Q123" s="1234"/>
      <c r="R123" s="1234"/>
      <c r="S123" s="1234"/>
      <c r="T123" s="1234"/>
      <c r="U123" s="1234"/>
      <c r="V123" s="1237"/>
    </row>
    <row r="124" spans="1:24" ht="15" customHeight="1">
      <c r="A124" s="1234"/>
      <c r="B124" s="1234"/>
      <c r="C124" s="1234"/>
      <c r="D124" s="1235"/>
      <c r="E124" s="1234"/>
      <c r="F124" s="1234"/>
      <c r="G124" s="1291"/>
      <c r="H124" s="4986" t="s">
        <v>4705</v>
      </c>
      <c r="I124" s="1234"/>
      <c r="J124" s="1234"/>
      <c r="K124" s="1236"/>
      <c r="L124" s="1234"/>
      <c r="M124" s="1234"/>
      <c r="N124" s="1234"/>
      <c r="O124" s="1234"/>
      <c r="P124" s="4517"/>
      <c r="Q124" s="1234"/>
      <c r="R124" s="1234"/>
      <c r="S124" s="1234"/>
      <c r="T124" s="1234"/>
      <c r="U124" s="1234"/>
      <c r="V124" s="1237"/>
    </row>
    <row r="125" spans="1:24" ht="15" customHeight="1">
      <c r="A125" s="1234"/>
      <c r="B125" s="1234"/>
      <c r="C125" s="1234"/>
      <c r="D125" s="1235"/>
      <c r="E125" s="1234"/>
      <c r="F125" s="1234"/>
      <c r="G125" s="1234"/>
      <c r="H125" s="4986" t="s">
        <v>4706</v>
      </c>
      <c r="I125" s="1234"/>
      <c r="J125" s="1234"/>
      <c r="K125" s="1236"/>
      <c r="L125" s="1234"/>
      <c r="M125" s="1234"/>
      <c r="N125" s="1234"/>
      <c r="O125" s="1234"/>
      <c r="P125" s="1234"/>
      <c r="Q125" s="1234"/>
      <c r="R125" s="1234"/>
      <c r="S125" s="1234"/>
      <c r="T125" s="1234"/>
      <c r="U125" s="1234"/>
      <c r="V125" s="1237"/>
    </row>
    <row r="126" spans="1:24" ht="15" customHeight="1">
      <c r="A126" s="1234"/>
      <c r="B126" s="1234"/>
      <c r="C126" s="1234"/>
      <c r="D126" s="1235"/>
      <c r="E126" s="1234"/>
      <c r="F126" s="1234"/>
      <c r="G126" s="1339" t="s">
        <v>385</v>
      </c>
      <c r="H126" s="4986" t="s">
        <v>3701</v>
      </c>
      <c r="I126" s="1234"/>
      <c r="J126" s="1234"/>
      <c r="K126" s="1236"/>
      <c r="L126" s="1234"/>
      <c r="M126" s="1234"/>
      <c r="N126" s="1234"/>
      <c r="O126" s="1234"/>
      <c r="P126" s="1234"/>
      <c r="Q126" s="1234"/>
      <c r="R126" s="1234"/>
      <c r="S126" s="1234"/>
      <c r="T126" s="1234"/>
      <c r="U126" s="1234"/>
      <c r="V126" s="1237"/>
    </row>
    <row r="127" spans="1:24" ht="15" customHeight="1">
      <c r="A127" s="1234"/>
      <c r="B127" s="1234"/>
      <c r="C127" s="1234"/>
      <c r="D127" s="1235"/>
      <c r="E127" s="1234"/>
      <c r="F127" s="1234"/>
      <c r="G127" s="1234"/>
      <c r="H127" s="4986" t="s">
        <v>3702</v>
      </c>
      <c r="I127" s="1234"/>
      <c r="J127" s="1234"/>
      <c r="K127" s="1234"/>
      <c r="L127" s="1234"/>
      <c r="M127" s="1234"/>
      <c r="N127" s="1234"/>
      <c r="O127" s="1234"/>
      <c r="P127" s="1234"/>
      <c r="Q127" s="1234"/>
      <c r="R127" s="1234"/>
      <c r="S127" s="1234"/>
      <c r="T127" s="1234"/>
      <c r="U127" s="1234"/>
      <c r="V127" s="1237"/>
    </row>
    <row r="128" spans="1:24" ht="16.5" customHeight="1">
      <c r="A128" s="1234"/>
      <c r="B128" s="1234"/>
      <c r="C128" s="1234"/>
      <c r="D128" s="1235"/>
      <c r="E128" s="1234"/>
      <c r="F128" s="1234"/>
      <c r="G128" s="1339" t="s">
        <v>385</v>
      </c>
      <c r="H128" s="4986" t="s">
        <v>3703</v>
      </c>
      <c r="I128" s="1234"/>
      <c r="J128" s="1234"/>
      <c r="K128" s="1236"/>
      <c r="L128" s="1234"/>
      <c r="M128" s="1234"/>
      <c r="N128" s="1234"/>
      <c r="O128" s="1234"/>
      <c r="P128" s="1234"/>
      <c r="Q128" s="1234"/>
      <c r="R128" s="1234"/>
      <c r="S128" s="1234"/>
      <c r="T128" s="1234"/>
      <c r="U128" s="1234"/>
      <c r="V128" s="1237"/>
    </row>
    <row r="129" spans="1:22" ht="19.5" customHeight="1" thickBot="1">
      <c r="A129" s="1234"/>
      <c r="B129" s="1234"/>
      <c r="C129" s="1234"/>
      <c r="D129" s="1235"/>
      <c r="E129" s="1234"/>
      <c r="F129" s="1234"/>
      <c r="G129" s="1234"/>
      <c r="H129" s="4305" t="s">
        <v>3704</v>
      </c>
      <c r="I129" s="1333"/>
      <c r="J129" s="1234"/>
      <c r="K129" s="1236"/>
      <c r="L129" s="1234"/>
      <c r="M129" s="1234"/>
      <c r="N129" s="1234"/>
      <c r="O129" s="1234"/>
      <c r="P129" s="1234"/>
      <c r="Q129" s="1234"/>
      <c r="R129" s="1234"/>
      <c r="S129" s="1234"/>
      <c r="T129" s="1234"/>
      <c r="U129" s="1234"/>
      <c r="V129" s="1237"/>
    </row>
    <row r="130" spans="1:22" ht="21" customHeight="1" thickBot="1">
      <c r="A130" s="1340"/>
      <c r="B130" s="4987" t="str">
        <f>"Publication 972 ("&amp;TaxYear&amp;")"</f>
        <v>Publication 972 (2018)</v>
      </c>
      <c r="C130" s="4988"/>
      <c r="D130" s="4989"/>
      <c r="E130" s="4990"/>
      <c r="F130" s="4990"/>
      <c r="G130" s="4991"/>
      <c r="H130" s="4992"/>
      <c r="I130" s="4990"/>
      <c r="J130" s="4990"/>
      <c r="K130" s="4993"/>
      <c r="L130" s="4994"/>
      <c r="M130" s="4994"/>
      <c r="N130" s="4994"/>
      <c r="O130" s="4995"/>
      <c r="P130" s="4995"/>
      <c r="Q130" s="4996"/>
      <c r="R130" s="4997" t="s">
        <v>817</v>
      </c>
      <c r="S130" s="4998"/>
      <c r="T130" s="1237"/>
      <c r="U130" s="1341"/>
      <c r="V130" s="1237"/>
    </row>
    <row r="131" spans="1:22" ht="30" customHeight="1" thickBot="1">
      <c r="A131" s="1342"/>
      <c r="B131" s="1343" t="str">
        <f>"Line "&amp;P107&amp;" Worksheet"</f>
        <v>Line 14 Worksheet</v>
      </c>
      <c r="C131" s="1344"/>
      <c r="D131" s="1345"/>
      <c r="E131" s="1346"/>
      <c r="F131" s="1346"/>
      <c r="G131" s="1346"/>
      <c r="H131" s="1346"/>
      <c r="I131" s="1346"/>
      <c r="J131" s="1346"/>
      <c r="K131" s="1347"/>
      <c r="L131" s="1346"/>
      <c r="M131" s="1346"/>
      <c r="N131" s="1346"/>
      <c r="O131" s="1348"/>
      <c r="P131" s="1346"/>
      <c r="Q131" s="1349"/>
      <c r="R131" s="1349"/>
      <c r="S131" s="1349"/>
      <c r="T131" s="1272"/>
      <c r="U131" s="1272"/>
      <c r="V131" s="1237"/>
    </row>
    <row r="132" spans="1:22" ht="9" customHeight="1" thickTop="1">
      <c r="A132" s="1234"/>
      <c r="B132" s="1295"/>
      <c r="C132" s="1295"/>
      <c r="D132" s="1291"/>
      <c r="E132" s="1300"/>
      <c r="F132" s="1300"/>
      <c r="G132" s="1301"/>
      <c r="H132" s="1301"/>
      <c r="I132" s="1301"/>
      <c r="J132" s="1301"/>
      <c r="K132" s="1302"/>
      <c r="L132" s="1234"/>
      <c r="M132" s="1234"/>
      <c r="N132" s="1234"/>
      <c r="O132" s="1291"/>
      <c r="P132" s="1234"/>
      <c r="Q132" s="1291"/>
      <c r="R132" s="1291"/>
      <c r="S132" s="1291"/>
      <c r="T132" s="1291"/>
      <c r="U132" s="1291"/>
      <c r="V132" s="1237"/>
    </row>
    <row r="133" spans="1:22" ht="13.5" customHeight="1">
      <c r="A133" s="1234"/>
      <c r="B133" s="1295"/>
      <c r="C133" s="1295"/>
      <c r="D133" s="1245"/>
      <c r="E133" s="1350"/>
      <c r="F133" s="1350"/>
      <c r="G133" s="1351" t="s">
        <v>804</v>
      </c>
      <c r="H133" s="1315" t="s">
        <v>4708</v>
      </c>
      <c r="I133" s="1315"/>
      <c r="J133" s="1315"/>
      <c r="K133" s="1252"/>
      <c r="L133" s="1234"/>
      <c r="M133" s="1234"/>
      <c r="N133" s="1234"/>
      <c r="O133" s="1291"/>
      <c r="P133" s="1234"/>
      <c r="Q133" s="1291"/>
      <c r="R133" s="1291"/>
      <c r="S133" s="1291"/>
      <c r="T133" s="1291"/>
      <c r="U133" s="1291"/>
      <c r="V133" s="1237"/>
    </row>
    <row r="134" spans="1:22" ht="12.75" customHeight="1">
      <c r="A134" s="1265"/>
      <c r="B134" s="1273"/>
      <c r="C134" s="1276"/>
      <c r="D134" s="1275"/>
      <c r="E134" s="1265"/>
      <c r="F134" s="1265"/>
      <c r="G134" s="1885" t="s">
        <v>1321</v>
      </c>
      <c r="H134" s="1315" t="s">
        <v>4664</v>
      </c>
      <c r="I134" s="1315"/>
      <c r="J134" s="1276"/>
      <c r="K134" s="1277"/>
      <c r="L134" s="1265"/>
      <c r="M134" s="1265"/>
      <c r="N134" s="1265"/>
      <c r="O134" s="1272"/>
      <c r="P134" s="1265"/>
      <c r="Q134" s="1272"/>
      <c r="R134" s="1272"/>
      <c r="S134" s="1272"/>
      <c r="T134" s="1272"/>
      <c r="U134" s="4322"/>
      <c r="V134" s="1237"/>
    </row>
    <row r="135" spans="1:22" ht="12.75" customHeight="1">
      <c r="A135" s="1265"/>
      <c r="B135" s="1273"/>
      <c r="C135" s="1276"/>
      <c r="D135" s="1275"/>
      <c r="E135" s="1265"/>
      <c r="F135" s="1265"/>
      <c r="G135" s="1885"/>
      <c r="H135" s="1315" t="s">
        <v>4665</v>
      </c>
      <c r="I135" s="1315"/>
      <c r="J135" s="1276"/>
      <c r="K135" s="1277"/>
      <c r="L135" s="1265"/>
      <c r="M135" s="1265"/>
      <c r="N135" s="1265"/>
      <c r="O135" s="1272"/>
      <c r="P135" s="1265"/>
      <c r="Q135" s="1272"/>
      <c r="R135" s="1272"/>
      <c r="S135" s="1272"/>
      <c r="T135" s="1272"/>
      <c r="U135" s="4322" t="s">
        <v>4663</v>
      </c>
      <c r="V135" s="1237"/>
    </row>
    <row r="136" spans="1:22" ht="19.5" customHeight="1">
      <c r="A136" s="1265"/>
      <c r="B136" s="1273"/>
      <c r="C136" s="1274"/>
      <c r="D136" s="1352"/>
      <c r="E136" s="4976" t="s">
        <v>4666</v>
      </c>
      <c r="F136" s="1353"/>
      <c r="G136" s="1265"/>
      <c r="H136" s="1265"/>
      <c r="I136" s="1265"/>
      <c r="J136" s="1265"/>
      <c r="K136" s="1265"/>
      <c r="L136" s="1265"/>
      <c r="M136" s="1265"/>
      <c r="N136" s="1265"/>
      <c r="O136" s="1265"/>
      <c r="P136" s="1265"/>
      <c r="Q136" s="1265"/>
      <c r="R136" s="1265"/>
      <c r="S136" s="1272"/>
      <c r="T136" s="1272"/>
      <c r="U136" s="1723" t="str">
        <f>IF(OR(E106&lt;&gt;"",Form2555_Used),"No",IF(E108&lt;&gt;"","Yes",""))</f>
        <v>No</v>
      </c>
      <c r="V136" s="1237"/>
    </row>
    <row r="137" spans="1:22" ht="12" customHeight="1" thickBot="1">
      <c r="A137" s="1234"/>
      <c r="B137" s="1278"/>
      <c r="C137" s="1278"/>
      <c r="D137" s="1279"/>
      <c r="E137" s="2293" t="s">
        <v>4667</v>
      </c>
      <c r="F137" s="1278"/>
      <c r="G137" s="1278"/>
      <c r="H137" s="1278"/>
      <c r="I137" s="1278"/>
      <c r="J137" s="1278"/>
      <c r="K137" s="1280"/>
      <c r="L137" s="1278"/>
      <c r="M137" s="1278"/>
      <c r="N137" s="1278"/>
      <c r="O137" s="1278"/>
      <c r="P137" s="1278"/>
      <c r="Q137" s="1278"/>
      <c r="R137" s="1234"/>
      <c r="S137" s="1234"/>
      <c r="T137" s="1234"/>
      <c r="U137" s="1235" t="str">
        <f>IF(Form2555_Used,"Form 2555 used.",IF(E106&lt;&gt;"","Line 14 is not 'Yes'.",""))</f>
        <v>Line 14 is not 'Yes'.</v>
      </c>
      <c r="V137" s="1237"/>
    </row>
    <row r="138" spans="1:22" ht="9" customHeight="1">
      <c r="A138" s="1234"/>
      <c r="B138" s="1295"/>
      <c r="C138" s="1295"/>
      <c r="D138" s="1291"/>
      <c r="E138" s="1235"/>
      <c r="F138" s="1300"/>
      <c r="G138" s="1301"/>
      <c r="H138" s="1301"/>
      <c r="I138" s="1301"/>
      <c r="J138" s="1301"/>
      <c r="K138" s="1302"/>
      <c r="L138" s="1234"/>
      <c r="M138" s="1234"/>
      <c r="N138" s="1234"/>
      <c r="O138" s="1291"/>
      <c r="P138" s="1234"/>
      <c r="Q138" s="1291"/>
      <c r="R138" s="1291"/>
      <c r="S138" s="1291"/>
      <c r="T138" s="1291"/>
      <c r="U138" s="1291"/>
      <c r="V138" s="1237"/>
    </row>
    <row r="139" spans="1:22" ht="15.75" customHeight="1">
      <c r="A139" s="1234"/>
      <c r="B139" s="1295"/>
      <c r="C139" s="1295"/>
      <c r="D139" s="1303" t="s">
        <v>336</v>
      </c>
      <c r="E139" s="1234" t="s">
        <v>4668</v>
      </c>
      <c r="F139" s="1235"/>
      <c r="G139" s="1234"/>
      <c r="H139" s="1234"/>
      <c r="I139" s="1234"/>
      <c r="J139" s="1234"/>
      <c r="K139" s="1252"/>
      <c r="L139" s="1234"/>
      <c r="M139" s="1234"/>
      <c r="N139" s="1234"/>
      <c r="O139" s="1291"/>
      <c r="P139" s="1234"/>
      <c r="Q139" s="1291"/>
      <c r="R139" s="1291"/>
      <c r="S139" s="1291"/>
      <c r="T139" s="1291"/>
      <c r="U139" s="1291"/>
      <c r="V139" s="1237"/>
    </row>
    <row r="140" spans="1:22" ht="15" customHeight="1">
      <c r="A140" s="1234"/>
      <c r="B140" s="1252"/>
      <c r="C140" s="1292"/>
      <c r="D140" s="1303"/>
      <c r="E140" s="1234" t="s">
        <v>4669</v>
      </c>
      <c r="F140" s="1234"/>
      <c r="G140" s="1234"/>
      <c r="H140" s="1234"/>
      <c r="I140" s="1234"/>
      <c r="J140" s="1234"/>
      <c r="K140" s="1244"/>
      <c r="L140" s="1234"/>
      <c r="M140" s="1234"/>
      <c r="N140" s="1234"/>
      <c r="O140" s="1234"/>
      <c r="P140" s="1293" t="s">
        <v>165</v>
      </c>
      <c r="Q140" s="1720" t="str">
        <f>IF(U136="No","",Q74)</f>
        <v/>
      </c>
      <c r="R140" s="1294"/>
      <c r="S140" s="1294"/>
      <c r="T140" s="1294"/>
      <c r="U140" s="1294"/>
      <c r="V140" s="1237"/>
    </row>
    <row r="141" spans="1:22" ht="6.75" customHeight="1">
      <c r="A141" s="1234"/>
      <c r="B141" s="1295"/>
      <c r="C141" s="1295"/>
      <c r="D141" s="1291"/>
      <c r="E141" s="1296"/>
      <c r="F141" s="1296"/>
      <c r="G141" s="1297"/>
      <c r="H141" s="1297"/>
      <c r="I141" s="1297"/>
      <c r="J141" s="1297"/>
      <c r="K141" s="1298"/>
      <c r="L141" s="1297"/>
      <c r="M141" s="1297"/>
      <c r="N141" s="1297"/>
      <c r="O141" s="1297"/>
      <c r="P141" s="1234"/>
      <c r="Q141" s="1234"/>
      <c r="R141" s="1234"/>
      <c r="S141" s="1234"/>
      <c r="T141" s="1234"/>
      <c r="U141" s="1234"/>
      <c r="V141" s="1237"/>
    </row>
    <row r="142" spans="1:22" ht="9" customHeight="1">
      <c r="A142" s="1234"/>
      <c r="B142" s="1295"/>
      <c r="C142" s="1295"/>
      <c r="D142" s="1291"/>
      <c r="E142" s="1300"/>
      <c r="F142" s="1300"/>
      <c r="G142" s="1301"/>
      <c r="H142" s="1301"/>
      <c r="I142" s="1301"/>
      <c r="J142" s="1301"/>
      <c r="K142" s="1302"/>
      <c r="L142" s="1234"/>
      <c r="M142" s="1234"/>
      <c r="N142" s="1234"/>
      <c r="O142" s="1291"/>
      <c r="P142" s="1234"/>
      <c r="Q142" s="1291"/>
      <c r="R142" s="1291"/>
      <c r="S142" s="1291"/>
      <c r="T142" s="1291"/>
      <c r="U142" s="1291"/>
      <c r="V142" s="1237"/>
    </row>
    <row r="143" spans="1:22">
      <c r="A143" s="1234"/>
      <c r="B143" s="1295"/>
      <c r="C143" s="1295"/>
      <c r="D143" s="4977" t="s">
        <v>0</v>
      </c>
      <c r="E143" s="1234" t="s">
        <v>4670</v>
      </c>
      <c r="F143" s="1235"/>
      <c r="G143" s="1234"/>
      <c r="H143" s="1234"/>
      <c r="I143" s="1234"/>
      <c r="J143" s="1234"/>
      <c r="K143" s="1252"/>
      <c r="L143" s="1234"/>
      <c r="M143" s="1234"/>
      <c r="N143" s="1234"/>
      <c r="O143" s="1291"/>
      <c r="P143" s="1234"/>
      <c r="Q143" s="1291"/>
      <c r="R143" s="1291"/>
      <c r="S143" s="1291"/>
      <c r="T143" s="1291"/>
      <c r="U143" s="1291"/>
      <c r="V143" s="1237"/>
    </row>
    <row r="144" spans="1:22" ht="15" customHeight="1">
      <c r="A144" s="1234"/>
      <c r="B144" s="1252"/>
      <c r="C144" s="1292"/>
      <c r="D144" s="1303"/>
      <c r="E144" s="1234" t="s">
        <v>4671</v>
      </c>
      <c r="F144" s="1234"/>
      <c r="G144" s="5806">
        <f>Qual_Child_Count</f>
        <v>0</v>
      </c>
      <c r="H144" s="5807"/>
      <c r="I144" s="4978" t="s">
        <v>4672</v>
      </c>
      <c r="J144" s="4979" t="str">
        <f>TEXT(U144,"$0,000")&amp;"."</f>
        <v>$1,400.</v>
      </c>
      <c r="K144" s="1292" t="s">
        <v>805</v>
      </c>
      <c r="L144" s="1234"/>
      <c r="M144" s="1234"/>
      <c r="N144" s="1234"/>
      <c r="O144" s="1234"/>
      <c r="P144" s="1585" t="s">
        <v>166</v>
      </c>
      <c r="Q144" s="1720" t="str">
        <f>IF(U136="No","",G144*U144)</f>
        <v/>
      </c>
      <c r="R144" s="1294"/>
      <c r="S144" s="1294"/>
      <c r="T144" s="1294"/>
      <c r="U144" s="4980">
        <v>1400</v>
      </c>
      <c r="V144" s="1237"/>
    </row>
    <row r="145" spans="1:22" ht="45.75" customHeight="1">
      <c r="A145" s="1234"/>
      <c r="B145" s="1295"/>
      <c r="C145" s="1295"/>
      <c r="D145" s="1291"/>
      <c r="E145" s="5808" t="s">
        <v>4674</v>
      </c>
      <c r="F145" s="5809"/>
      <c r="G145" s="5809"/>
      <c r="H145" s="5809"/>
      <c r="I145" s="5809"/>
      <c r="J145" s="5809"/>
      <c r="K145" s="5809"/>
      <c r="L145" s="5809"/>
      <c r="M145" s="5809"/>
      <c r="N145" s="5809"/>
      <c r="O145" s="5809"/>
      <c r="P145" s="1234"/>
      <c r="Q145" s="1234"/>
      <c r="R145" s="1234"/>
      <c r="S145" s="1234"/>
      <c r="T145" s="1234"/>
      <c r="U145" s="1234"/>
      <c r="V145" s="1237"/>
    </row>
    <row r="146" spans="1:22" ht="9" customHeight="1">
      <c r="A146" s="1234"/>
      <c r="B146" s="1295"/>
      <c r="C146" s="1295"/>
      <c r="D146" s="1291"/>
      <c r="E146" s="1300"/>
      <c r="F146" s="1300"/>
      <c r="G146" s="1301"/>
      <c r="H146" s="1301"/>
      <c r="I146" s="1301"/>
      <c r="J146" s="1301"/>
      <c r="K146" s="1302"/>
      <c r="L146" s="1234"/>
      <c r="M146" s="1234"/>
      <c r="N146" s="1234"/>
      <c r="O146" s="1291"/>
      <c r="P146" s="1234"/>
      <c r="Q146" s="1291"/>
      <c r="R146" s="1291"/>
      <c r="S146" s="1291"/>
      <c r="T146" s="1291"/>
      <c r="U146" s="1291"/>
      <c r="V146" s="1237"/>
    </row>
    <row r="147" spans="1:22" ht="14.25" customHeight="1">
      <c r="A147" s="1234"/>
      <c r="B147" s="1252"/>
      <c r="C147" s="1292"/>
      <c r="D147" s="4977" t="s">
        <v>1</v>
      </c>
      <c r="E147" s="1292" t="s">
        <v>820</v>
      </c>
      <c r="F147" s="1292"/>
      <c r="G147" s="1234"/>
      <c r="H147" s="1234"/>
      <c r="I147" s="1234"/>
      <c r="J147" s="1234"/>
      <c r="K147" s="1244"/>
      <c r="L147" s="1234"/>
      <c r="M147" s="1234"/>
      <c r="N147" s="1585" t="s">
        <v>167</v>
      </c>
      <c r="O147" s="1724"/>
      <c r="P147" s="1234"/>
      <c r="Q147" s="1291"/>
      <c r="R147" s="1294"/>
      <c r="S147" s="1294"/>
      <c r="T147" s="1294"/>
      <c r="U147" s="1294"/>
      <c r="V147" s="1237"/>
    </row>
    <row r="148" spans="1:22" ht="12.75" customHeight="1">
      <c r="A148" s="1234"/>
      <c r="B148" s="1252"/>
      <c r="C148" s="1292"/>
      <c r="D148" s="1303"/>
      <c r="E148" s="1292" t="s">
        <v>4675</v>
      </c>
      <c r="F148" s="1292"/>
      <c r="G148" s="1234"/>
      <c r="H148" s="1234"/>
      <c r="I148" s="1234"/>
      <c r="J148" s="1234"/>
      <c r="K148" s="1244"/>
      <c r="L148" s="1234"/>
      <c r="M148" s="1234"/>
      <c r="N148" s="1305"/>
      <c r="O148" s="1306"/>
      <c r="P148" s="1234"/>
      <c r="Q148" s="1291"/>
      <c r="R148" s="1294"/>
      <c r="S148" s="1294"/>
      <c r="T148" s="1294"/>
      <c r="U148" s="1294"/>
      <c r="V148" s="1237"/>
    </row>
    <row r="149" spans="1:22" ht="6.75" customHeight="1">
      <c r="A149" s="1234"/>
      <c r="B149" s="1295"/>
      <c r="C149" s="1295"/>
      <c r="D149" s="1291"/>
      <c r="E149" s="1296"/>
      <c r="F149" s="1296"/>
      <c r="G149" s="1297"/>
      <c r="H149" s="1297"/>
      <c r="I149" s="1297"/>
      <c r="J149" s="1297"/>
      <c r="K149" s="1298"/>
      <c r="L149" s="1234"/>
      <c r="M149" s="1234"/>
      <c r="N149" s="1234"/>
      <c r="O149" s="1234"/>
      <c r="P149" s="1234"/>
      <c r="Q149" s="1234"/>
      <c r="R149" s="1234"/>
      <c r="S149" s="1234"/>
      <c r="T149" s="1234"/>
      <c r="U149" s="1234"/>
      <c r="V149" s="1237"/>
    </row>
    <row r="150" spans="1:22" ht="6.75" customHeight="1">
      <c r="A150" s="1234"/>
      <c r="B150" s="1295"/>
      <c r="C150" s="1295"/>
      <c r="D150" s="1291"/>
      <c r="E150" s="1300"/>
      <c r="F150" s="1300"/>
      <c r="G150" s="1301"/>
      <c r="H150" s="1301"/>
      <c r="I150" s="1301"/>
      <c r="J150" s="1301"/>
      <c r="K150" s="1302"/>
      <c r="L150" s="1234"/>
      <c r="M150" s="1234"/>
      <c r="N150" s="1234"/>
      <c r="O150" s="1291"/>
      <c r="P150" s="1234"/>
      <c r="Q150" s="1291"/>
      <c r="R150" s="1291"/>
      <c r="S150" s="1291"/>
      <c r="T150" s="1291"/>
      <c r="U150" s="1291"/>
      <c r="V150" s="1237"/>
    </row>
    <row r="151" spans="1:22" ht="13.5" customHeight="1">
      <c r="A151" s="1234"/>
      <c r="B151" s="1234"/>
      <c r="C151" s="1234"/>
      <c r="D151" s="4977" t="s">
        <v>455</v>
      </c>
      <c r="E151" s="1234" t="str">
        <f>"Is the amount on line 3 more than "&amp;TEXT(Q151,"$0,000")&amp;"?"</f>
        <v>Is the amount on line 3 more than $2,500?</v>
      </c>
      <c r="F151" s="1234"/>
      <c r="G151" s="1234"/>
      <c r="H151" s="1234"/>
      <c r="I151" s="1234"/>
      <c r="J151" s="1234"/>
      <c r="K151" s="1236"/>
      <c r="L151" s="1234"/>
      <c r="M151" s="1234"/>
      <c r="N151" s="1234"/>
      <c r="O151" s="1255"/>
      <c r="P151" s="1234"/>
      <c r="Q151" s="1255">
        <v>2500</v>
      </c>
      <c r="R151" s="1234"/>
      <c r="S151" s="1234"/>
      <c r="T151" s="1234"/>
      <c r="U151" s="1234"/>
      <c r="V151" s="1237"/>
    </row>
    <row r="152" spans="1:22" ht="9.75" customHeight="1" thickBot="1">
      <c r="A152" s="1258"/>
      <c r="B152" s="1258"/>
      <c r="C152" s="1258"/>
      <c r="D152" s="1305"/>
      <c r="E152" s="1312"/>
      <c r="F152" s="1312"/>
      <c r="G152" s="1258"/>
      <c r="H152" s="1258"/>
      <c r="I152" s="1258"/>
      <c r="J152" s="1258"/>
      <c r="K152" s="1287"/>
      <c r="L152" s="1258"/>
      <c r="M152" s="1258"/>
      <c r="N152" s="1258"/>
      <c r="O152" s="1258"/>
      <c r="P152" s="1258"/>
      <c r="Q152" s="1258"/>
      <c r="R152" s="1258"/>
      <c r="S152" s="1258"/>
      <c r="T152" s="1258"/>
      <c r="U152" s="1258"/>
      <c r="V152" s="1237"/>
    </row>
    <row r="153" spans="1:22" ht="14.25" customHeight="1" thickBot="1">
      <c r="A153" s="1258"/>
      <c r="B153" s="1258"/>
      <c r="C153" s="1258"/>
      <c r="D153" s="1305"/>
      <c r="E153" s="1721" t="str">
        <f>IF(U136="No","",IF(O147&gt;Q151,"","X"))</f>
        <v/>
      </c>
      <c r="F153" s="1312"/>
      <c r="G153" s="1313" t="s">
        <v>314</v>
      </c>
      <c r="H153" s="1258" t="s">
        <v>4676</v>
      </c>
      <c r="I153" s="1258"/>
      <c r="J153" s="1258"/>
      <c r="K153" s="1287"/>
      <c r="L153" s="1258"/>
      <c r="M153" s="1258"/>
      <c r="N153" s="1258"/>
      <c r="O153" s="1258"/>
      <c r="P153" s="1258"/>
      <c r="Q153" s="1258"/>
      <c r="R153" s="1258"/>
      <c r="S153" s="1258"/>
      <c r="T153" s="1258"/>
      <c r="U153" s="1258"/>
      <c r="V153" s="1237"/>
    </row>
    <row r="154" spans="1:22" ht="18.75" customHeight="1" thickBot="1">
      <c r="A154" s="1258"/>
      <c r="B154" s="1258"/>
      <c r="C154" s="1258"/>
      <c r="D154" s="1305"/>
      <c r="E154" s="1308"/>
      <c r="F154" s="1308"/>
      <c r="G154" s="1258"/>
      <c r="H154" s="1333" t="s">
        <v>4677</v>
      </c>
      <c r="I154" s="1258"/>
      <c r="J154" s="1258"/>
      <c r="K154" s="1287"/>
      <c r="L154" s="1258"/>
      <c r="M154" s="1258"/>
      <c r="N154" s="1585" t="s">
        <v>168</v>
      </c>
      <c r="O154" s="1720" t="str">
        <f>IF(U136="No","",IF(E153="X","",O147-Q151))</f>
        <v/>
      </c>
      <c r="P154" s="1258"/>
      <c r="Q154" s="1314"/>
      <c r="R154" s="1258"/>
      <c r="S154" s="1258"/>
      <c r="T154" s="1258"/>
      <c r="U154" s="1258"/>
      <c r="V154" s="1237"/>
    </row>
    <row r="155" spans="1:22" ht="14.25" customHeight="1" thickBot="1">
      <c r="A155" s="1258"/>
      <c r="B155" s="1258"/>
      <c r="C155" s="1258"/>
      <c r="D155" s="1305"/>
      <c r="E155" s="1721" t="str">
        <f>IF(U136="No","",IF(O147&gt;Q151,"X",""))</f>
        <v/>
      </c>
      <c r="F155" s="1312"/>
      <c r="G155" s="1313" t="s">
        <v>193</v>
      </c>
      <c r="H155" s="1258" t="str">
        <f>"Subtract "&amp;TEXT(Q151,"$0,000")&amp;" from the amount on line "&amp;N147&amp;"."</f>
        <v>Subtract $2,500 from the amount on line 3.</v>
      </c>
      <c r="I155" s="1258"/>
      <c r="J155" s="1258"/>
      <c r="K155" s="1287"/>
      <c r="L155" s="1258"/>
      <c r="M155" s="1258"/>
      <c r="N155" s="1258"/>
      <c r="O155" s="1258"/>
      <c r="P155" s="1258"/>
      <c r="Q155" s="1258"/>
      <c r="R155" s="1258"/>
      <c r="S155" s="1258"/>
      <c r="T155" s="1258"/>
      <c r="U155" s="1258"/>
      <c r="V155" s="1237"/>
    </row>
    <row r="156" spans="1:22" ht="12" customHeight="1">
      <c r="A156" s="1258"/>
      <c r="B156" s="1258"/>
      <c r="C156" s="1258"/>
      <c r="D156" s="1305"/>
      <c r="E156" s="1308"/>
      <c r="F156" s="1308"/>
      <c r="G156" s="1258"/>
      <c r="H156" s="1258" t="s">
        <v>805</v>
      </c>
      <c r="I156" s="1258"/>
      <c r="J156" s="1258"/>
      <c r="K156" s="1287"/>
      <c r="L156" s="1258"/>
      <c r="M156" s="1258"/>
      <c r="N156" s="1258"/>
      <c r="O156" s="1258"/>
      <c r="P156" s="1258"/>
      <c r="Q156" s="1258"/>
      <c r="R156" s="1258"/>
      <c r="S156" s="1258"/>
      <c r="T156" s="1258"/>
      <c r="U156" s="1258"/>
      <c r="V156" s="1237"/>
    </row>
    <row r="157" spans="1:22" ht="6" customHeight="1">
      <c r="A157" s="1258"/>
      <c r="B157" s="1258"/>
      <c r="C157" s="1258"/>
      <c r="D157" s="1305"/>
      <c r="E157" s="1296"/>
      <c r="F157" s="1296"/>
      <c r="G157" s="1297"/>
      <c r="H157" s="1297"/>
      <c r="I157" s="1297"/>
      <c r="J157" s="1297"/>
      <c r="K157" s="1298"/>
      <c r="L157" s="1297"/>
      <c r="M157" s="1297"/>
      <c r="N157" s="1297"/>
      <c r="O157" s="1297"/>
      <c r="P157" s="1258"/>
      <c r="Q157" s="1258"/>
      <c r="R157" s="1258"/>
      <c r="S157" s="1258"/>
      <c r="T157" s="1258"/>
      <c r="U157" s="1258"/>
      <c r="V157" s="1237"/>
    </row>
    <row r="158" spans="1:22" ht="9" customHeight="1">
      <c r="A158" s="1234"/>
      <c r="B158" s="1295"/>
      <c r="C158" s="1295"/>
      <c r="D158" s="1291"/>
      <c r="E158" s="1300"/>
      <c r="F158" s="1300"/>
      <c r="G158" s="1301"/>
      <c r="H158" s="1301"/>
      <c r="I158" s="1301"/>
      <c r="J158" s="1301"/>
      <c r="K158" s="1302"/>
      <c r="L158" s="1234"/>
      <c r="M158" s="1234"/>
      <c r="N158" s="1234"/>
      <c r="O158" s="1291"/>
      <c r="P158" s="1234"/>
      <c r="Q158" s="1291"/>
      <c r="R158" s="1291"/>
      <c r="S158" s="1291"/>
      <c r="T158" s="1291"/>
      <c r="U158" s="1291"/>
      <c r="V158" s="1237"/>
    </row>
    <row r="159" spans="1:22" ht="15.75" customHeight="1">
      <c r="A159" s="1234"/>
      <c r="B159" s="1252"/>
      <c r="C159" s="1292"/>
      <c r="D159" s="4977" t="s">
        <v>35</v>
      </c>
      <c r="E159" s="1258" t="str">
        <f>"Multiply the amount on line 4 by "&amp;TEXT(O159,"0%")&amp;" ("&amp;TEXT(O159,"0.00")&amp;") and enter the result."</f>
        <v>Multiply the amount on line 4 by 15% (0.15) and enter the result.</v>
      </c>
      <c r="F159" s="1234"/>
      <c r="G159" s="1234"/>
      <c r="H159" s="1234"/>
      <c r="I159" s="1234"/>
      <c r="J159" s="1234"/>
      <c r="K159" s="1244"/>
      <c r="L159" s="1234"/>
      <c r="M159" s="1234"/>
      <c r="N159" s="1234"/>
      <c r="O159" s="1255">
        <v>0.15</v>
      </c>
      <c r="P159" s="1585" t="s">
        <v>228</v>
      </c>
      <c r="Q159" s="1720" t="str">
        <f>IF(U136="No","",IF(E153="X",0,ROUND(O154*O159,0)))</f>
        <v/>
      </c>
      <c r="R159" s="1294"/>
      <c r="S159" s="1294"/>
      <c r="T159" s="1294"/>
      <c r="U159" s="1294"/>
      <c r="V159" s="1237"/>
    </row>
    <row r="160" spans="1:22" ht="7.5" customHeight="1">
      <c r="A160" s="1234"/>
      <c r="B160" s="1295"/>
      <c r="C160" s="1295"/>
      <c r="D160" s="1291"/>
      <c r="E160" s="1296"/>
      <c r="F160" s="1296"/>
      <c r="G160" s="1297"/>
      <c r="H160" s="1297"/>
      <c r="I160" s="1297"/>
      <c r="J160" s="1297"/>
      <c r="K160" s="1298"/>
      <c r="L160" s="1297"/>
      <c r="M160" s="1297"/>
      <c r="N160" s="1297"/>
      <c r="O160" s="1297"/>
      <c r="P160" s="1234"/>
      <c r="Q160" s="1234"/>
      <c r="R160" s="1234"/>
      <c r="S160" s="1234"/>
      <c r="T160" s="1234"/>
      <c r="U160" s="1234"/>
      <c r="V160" s="1237"/>
    </row>
    <row r="161" spans="1:24" ht="9" customHeight="1">
      <c r="A161" s="1234"/>
      <c r="B161" s="1295"/>
      <c r="C161" s="1295"/>
      <c r="D161" s="1291"/>
      <c r="E161" s="1300"/>
      <c r="F161" s="1300"/>
      <c r="G161" s="1301"/>
      <c r="H161" s="1301"/>
      <c r="I161" s="1301"/>
      <c r="J161" s="1301"/>
      <c r="K161" s="1302"/>
      <c r="L161" s="1234"/>
      <c r="M161" s="1234"/>
      <c r="N161" s="1234"/>
      <c r="O161" s="1291"/>
      <c r="P161" s="1234"/>
      <c r="Q161" s="1291"/>
      <c r="R161" s="1291"/>
      <c r="S161" s="1291"/>
      <c r="T161" s="1291"/>
      <c r="U161" s="1291"/>
      <c r="V161" s="1237"/>
    </row>
    <row r="162" spans="1:24" ht="12" customHeight="1">
      <c r="A162" s="1234"/>
      <c r="B162" s="1234"/>
      <c r="C162" s="1234"/>
      <c r="D162" s="4977" t="s">
        <v>75</v>
      </c>
      <c r="E162" s="1234" t="str">
        <f>"On line 2 of this worksheet, is the amount "&amp;TEXT(Q162,"$0,000")&amp;" or more?"</f>
        <v>On line 2 of this worksheet, is the amount $4,200 or more?</v>
      </c>
      <c r="F162" s="1234"/>
      <c r="G162" s="1234"/>
      <c r="H162" s="1234"/>
      <c r="I162" s="1234"/>
      <c r="J162" s="1234"/>
      <c r="K162" s="1236"/>
      <c r="L162" s="1234"/>
      <c r="M162" s="1234"/>
      <c r="N162" s="1234"/>
      <c r="O162" s="1234"/>
      <c r="P162" s="1234"/>
      <c r="Q162" s="1255">
        <v>4200</v>
      </c>
      <c r="R162" s="1234"/>
      <c r="S162" s="1234"/>
      <c r="T162" s="1234"/>
      <c r="U162" s="1234"/>
      <c r="V162" s="1237"/>
    </row>
    <row r="163" spans="1:24" ht="9" customHeight="1" thickBot="1">
      <c r="A163" s="1258"/>
      <c r="B163" s="1258"/>
      <c r="C163" s="1258"/>
      <c r="D163" s="1305"/>
      <c r="E163" s="1312"/>
      <c r="F163" s="1312"/>
      <c r="G163" s="1258"/>
      <c r="H163" s="1258"/>
      <c r="I163" s="1258"/>
      <c r="J163" s="1258"/>
      <c r="K163" s="1287"/>
      <c r="L163" s="1258"/>
      <c r="M163" s="1258"/>
      <c r="N163" s="1258"/>
      <c r="O163" s="1258"/>
      <c r="P163" s="1258"/>
      <c r="Q163" s="1258"/>
      <c r="R163" s="1258"/>
      <c r="S163" s="1258"/>
      <c r="T163" s="1258"/>
      <c r="U163" s="1258"/>
      <c r="V163" s="1237"/>
    </row>
    <row r="164" spans="1:24" ht="12.75" customHeight="1" thickBot="1">
      <c r="A164" s="1258"/>
      <c r="B164" s="1258"/>
      <c r="C164" s="1258"/>
      <c r="D164" s="1305"/>
      <c r="E164" s="1721" t="str">
        <f>IF(U136="No","",IF(Q144&gt;=Q162,"","X"))</f>
        <v/>
      </c>
      <c r="F164" s="1384" t="s">
        <v>314</v>
      </c>
      <c r="G164" s="1258"/>
      <c r="H164" s="1354"/>
      <c r="I164" s="1354"/>
      <c r="J164" s="1354"/>
      <c r="K164" s="1287"/>
      <c r="L164" s="1258"/>
      <c r="M164" s="1258"/>
      <c r="N164" s="1258"/>
      <c r="O164" s="1258"/>
      <c r="P164" s="1258"/>
      <c r="Q164" s="1330"/>
      <c r="R164" s="1258"/>
      <c r="S164" s="1258"/>
      <c r="T164" s="1258"/>
      <c r="U164" s="1258"/>
      <c r="V164" s="1237"/>
    </row>
    <row r="165" spans="1:24" ht="12.75" customHeight="1">
      <c r="A165" s="1258"/>
      <c r="B165" s="1258"/>
      <c r="C165" s="1258"/>
      <c r="D165" s="5802" t="b">
        <f>IF(AND(E164="X",OR(Q144=0,Q159=0)),TRUE,FALSE)</f>
        <v>0</v>
      </c>
      <c r="E165" s="5803"/>
      <c r="F165" s="1382" t="s">
        <v>385</v>
      </c>
      <c r="G165" s="1258" t="s">
        <v>4686</v>
      </c>
      <c r="H165" s="1354"/>
      <c r="I165" s="1354"/>
      <c r="J165" s="1354"/>
      <c r="K165" s="1258" t="s">
        <v>4682</v>
      </c>
      <c r="L165" s="1258"/>
      <c r="M165" s="1258"/>
      <c r="N165" s="1258"/>
      <c r="O165" s="1258"/>
      <c r="P165" s="1258"/>
      <c r="Q165" s="1330"/>
      <c r="R165" s="1258"/>
      <c r="S165" s="1258"/>
      <c r="T165" s="1258"/>
      <c r="U165" s="1258"/>
      <c r="V165" s="1237"/>
    </row>
    <row r="166" spans="1:24" ht="12.75" customHeight="1">
      <c r="A166" s="1258"/>
      <c r="B166" s="1258"/>
      <c r="C166" s="1258"/>
      <c r="D166" s="1305"/>
      <c r="E166" s="1312"/>
      <c r="F166" s="1312"/>
      <c r="G166" s="1258" t="s">
        <v>4685</v>
      </c>
      <c r="H166" s="1258"/>
      <c r="I166" s="1258"/>
      <c r="J166" s="1258"/>
      <c r="K166" s="1287"/>
      <c r="L166" s="1258" t="s">
        <v>4684</v>
      </c>
      <c r="M166" s="1258"/>
      <c r="N166" s="1258"/>
      <c r="O166" s="1258"/>
      <c r="P166" s="1258"/>
      <c r="Q166" s="1330"/>
      <c r="R166" s="1258"/>
      <c r="S166" s="1258"/>
      <c r="T166" s="1258"/>
      <c r="U166" s="1258"/>
      <c r="V166" s="1237"/>
    </row>
    <row r="167" spans="1:24" ht="12.75" customHeight="1">
      <c r="A167" s="1258"/>
      <c r="B167" s="1258"/>
      <c r="C167" s="1258"/>
      <c r="D167" s="1305"/>
      <c r="E167" s="1312"/>
      <c r="F167" s="1312"/>
      <c r="G167" s="1258" t="s">
        <v>4681</v>
      </c>
      <c r="H167" s="1258"/>
      <c r="I167" s="1258"/>
      <c r="J167" s="1258"/>
      <c r="K167" s="1287"/>
      <c r="L167" s="1258"/>
      <c r="M167" s="1258"/>
      <c r="N167" s="1258"/>
      <c r="O167" s="1258"/>
      <c r="P167" s="1258"/>
      <c r="Q167" s="1258"/>
      <c r="R167" s="1258"/>
      <c r="S167" s="1258"/>
      <c r="T167" s="1258"/>
      <c r="U167" s="1258"/>
      <c r="V167" s="1237"/>
    </row>
    <row r="168" spans="1:24" ht="12.75" customHeight="1">
      <c r="A168" s="1258"/>
      <c r="B168" s="1258"/>
      <c r="C168" s="1258"/>
      <c r="D168" s="1258"/>
      <c r="E168" s="1258"/>
      <c r="F168" s="1258"/>
      <c r="G168" s="1258" t="s">
        <v>4683</v>
      </c>
      <c r="H168" s="1258"/>
      <c r="I168" s="1258"/>
      <c r="J168" s="1258"/>
      <c r="K168" s="1287"/>
      <c r="L168" s="1258"/>
      <c r="M168" s="1258"/>
      <c r="N168" s="1258"/>
      <c r="O168" s="1258"/>
      <c r="P168" s="1258"/>
      <c r="Q168" s="1258"/>
      <c r="R168" s="1258"/>
      <c r="S168" s="1258"/>
      <c r="T168" s="1258"/>
      <c r="U168" s="1258"/>
      <c r="V168" s="1237"/>
    </row>
    <row r="169" spans="1:24" ht="12.75" customHeight="1">
      <c r="A169" s="1258"/>
      <c r="B169" s="1258"/>
      <c r="C169" s="1258"/>
      <c r="D169" s="5810" t="b">
        <f>AND(E164="X",Q144&gt;0,Q159&gt;0)</f>
        <v>0</v>
      </c>
      <c r="E169" s="5811"/>
      <c r="F169" s="1382" t="s">
        <v>385</v>
      </c>
      <c r="G169" s="1258" t="s">
        <v>4687</v>
      </c>
      <c r="H169" s="1258"/>
      <c r="I169" s="1258"/>
      <c r="J169" s="1258"/>
      <c r="K169" s="1287"/>
      <c r="L169" s="1258" t="s">
        <v>4680</v>
      </c>
      <c r="M169" s="1258"/>
      <c r="N169" s="1258"/>
      <c r="O169" s="1258"/>
      <c r="P169" s="1258"/>
      <c r="Q169" s="1258"/>
      <c r="R169" s="1258"/>
      <c r="S169" s="1258"/>
      <c r="T169" s="1258"/>
      <c r="U169" s="1258"/>
      <c r="V169" s="1237"/>
    </row>
    <row r="170" spans="1:24" ht="12.75" customHeight="1">
      <c r="A170" s="1258"/>
      <c r="B170" s="1258"/>
      <c r="C170" s="1258"/>
      <c r="D170" s="1258"/>
      <c r="E170" s="1258"/>
      <c r="F170" s="1258"/>
      <c r="G170" s="1258" t="s">
        <v>4678</v>
      </c>
      <c r="H170" s="1258"/>
      <c r="I170" s="1258"/>
      <c r="J170" s="1258"/>
      <c r="K170" s="1287"/>
      <c r="L170" s="1258"/>
      <c r="M170" s="1258"/>
      <c r="N170" s="1258"/>
      <c r="O170" s="1258"/>
      <c r="P170" s="1258"/>
      <c r="Q170" s="4981"/>
      <c r="R170" s="1258"/>
      <c r="S170" s="1258"/>
      <c r="T170" s="1258"/>
      <c r="U170" s="1258"/>
      <c r="V170" s="1237"/>
    </row>
    <row r="171" spans="1:24" ht="7.5" customHeight="1" thickBot="1">
      <c r="A171" s="1258"/>
      <c r="B171" s="1258"/>
      <c r="C171" s="1258"/>
      <c r="D171" s="1305"/>
      <c r="E171" s="1308"/>
      <c r="F171" s="1308"/>
      <c r="G171" s="1258"/>
      <c r="H171" s="1258"/>
      <c r="I171" s="1258"/>
      <c r="J171" s="1258"/>
      <c r="K171" s="1287"/>
      <c r="L171" s="1258"/>
      <c r="M171" s="1258"/>
      <c r="N171" s="1258"/>
      <c r="O171" s="1258"/>
      <c r="P171" s="1258"/>
      <c r="Q171" s="1258"/>
      <c r="R171" s="1258"/>
      <c r="S171" s="1258"/>
      <c r="T171" s="1258"/>
      <c r="U171" s="1258"/>
      <c r="V171" s="1237"/>
    </row>
    <row r="172" spans="1:24" ht="12" customHeight="1" thickBot="1">
      <c r="A172" s="1258"/>
      <c r="B172" s="1258"/>
      <c r="C172" s="1258"/>
      <c r="D172" s="1305"/>
      <c r="E172" s="1721" t="str">
        <f>IF(U136="No","",IF(Q144&gt;=Q162,"X",""))</f>
        <v/>
      </c>
      <c r="F172" s="1383" t="s">
        <v>179</v>
      </c>
      <c r="G172" s="1258" t="s">
        <v>4679</v>
      </c>
      <c r="H172" s="1258"/>
      <c r="I172" s="1258"/>
      <c r="J172" s="1258"/>
      <c r="K172" s="1287"/>
      <c r="L172" s="1258"/>
      <c r="M172" s="1258"/>
      <c r="N172" s="1258"/>
      <c r="O172" s="1258"/>
      <c r="P172" s="1258"/>
      <c r="Q172" s="1330"/>
      <c r="R172" s="1258"/>
      <c r="S172" s="1258"/>
      <c r="T172" s="1258"/>
      <c r="U172" s="1258"/>
      <c r="V172" s="1237"/>
    </row>
    <row r="173" spans="1:24" ht="12" customHeight="1">
      <c r="A173" s="1258"/>
      <c r="B173" s="5792"/>
      <c r="C173" s="5792"/>
      <c r="D173" s="5812" t="b">
        <f>AND(E172="X",Q159&gt;=Q140)</f>
        <v>0</v>
      </c>
      <c r="E173" s="5812"/>
      <c r="F173" s="4982"/>
      <c r="G173" s="1258" t="s">
        <v>4688</v>
      </c>
      <c r="H173" s="1258"/>
      <c r="I173" s="1258"/>
      <c r="J173" s="1258"/>
      <c r="K173" s="1287"/>
      <c r="L173" s="1265" t="s">
        <v>781</v>
      </c>
      <c r="M173" s="1258"/>
      <c r="N173" s="1258"/>
      <c r="O173" s="1258"/>
      <c r="P173" s="1258"/>
      <c r="Q173" s="4983"/>
      <c r="R173" s="1258"/>
      <c r="S173" s="1258"/>
      <c r="T173" s="1258"/>
      <c r="U173" s="1258"/>
      <c r="V173" s="1237"/>
    </row>
    <row r="174" spans="1:24" ht="15.75" customHeight="1">
      <c r="A174" s="1258"/>
      <c r="B174" s="1258"/>
      <c r="C174" s="1258"/>
      <c r="D174" s="1305"/>
      <c r="E174" s="1308"/>
      <c r="F174" s="1308"/>
      <c r="G174" s="1258"/>
      <c r="H174" s="1258"/>
      <c r="I174" s="1258"/>
      <c r="J174" s="1258"/>
      <c r="K174" s="1258"/>
      <c r="L174" s="1258"/>
      <c r="M174" s="1258"/>
      <c r="N174" s="1258"/>
      <c r="O174" s="1258"/>
      <c r="P174" s="1258"/>
      <c r="Q174" s="1258"/>
      <c r="R174" s="1258"/>
      <c r="S174" s="1258"/>
      <c r="T174" s="1258"/>
      <c r="U174" s="1258"/>
      <c r="V174" s="1237"/>
    </row>
    <row r="175" spans="1:24" ht="9" customHeight="1">
      <c r="A175" s="1234"/>
      <c r="B175" s="1295"/>
      <c r="C175" s="1295"/>
      <c r="D175" s="1291"/>
      <c r="E175" s="1300"/>
      <c r="F175" s="1300"/>
      <c r="G175" s="1301"/>
      <c r="H175" s="1301"/>
      <c r="I175" s="1301"/>
      <c r="J175" s="1301"/>
      <c r="K175" s="1301"/>
      <c r="L175" s="1301"/>
      <c r="M175" s="1301"/>
      <c r="N175" s="1301"/>
      <c r="O175" s="1301"/>
      <c r="P175" s="1234"/>
      <c r="Q175" s="1291"/>
      <c r="R175" s="1291"/>
      <c r="S175" s="1291"/>
      <c r="T175" s="1291"/>
      <c r="U175" s="1291"/>
      <c r="V175" s="1237"/>
    </row>
    <row r="176" spans="1:24" ht="13.5" customHeight="1">
      <c r="A176" s="1234"/>
      <c r="B176" s="1886"/>
      <c r="C176" s="1292"/>
      <c r="D176" s="1292"/>
      <c r="E176" s="1292"/>
      <c r="F176" s="4977" t="s">
        <v>76</v>
      </c>
      <c r="G176" s="1292" t="s">
        <v>1007</v>
      </c>
      <c r="H176" s="1292"/>
      <c r="I176" s="1292"/>
      <c r="J176" s="1234"/>
      <c r="K176" s="1234"/>
      <c r="L176" s="1234"/>
      <c r="M176" s="1244"/>
      <c r="N176" s="1234"/>
      <c r="O176" s="1234"/>
      <c r="P176" s="1234"/>
      <c r="Q176" s="1234"/>
      <c r="R176" s="1234"/>
      <c r="S176" s="1291"/>
      <c r="T176" s="1294"/>
      <c r="U176" s="1294"/>
      <c r="V176" s="1294"/>
      <c r="X176" s="1295"/>
    </row>
    <row r="177" spans="1:35" ht="13.5" customHeight="1">
      <c r="A177" s="1234"/>
      <c r="B177" s="1886"/>
      <c r="C177" s="1292"/>
      <c r="D177" s="1292"/>
      <c r="E177" s="1244" t="s">
        <v>806</v>
      </c>
      <c r="F177" s="1303"/>
      <c r="G177" s="1292" t="s">
        <v>1008</v>
      </c>
      <c r="H177" s="1292"/>
      <c r="I177" s="1292"/>
      <c r="J177" s="1234"/>
      <c r="K177" s="1234"/>
      <c r="L177" s="1234"/>
      <c r="M177" s="1244"/>
      <c r="N177" s="1234"/>
      <c r="O177" s="1234"/>
      <c r="P177" s="1234"/>
      <c r="Q177" s="1234"/>
      <c r="R177" s="1234"/>
      <c r="S177" s="1291"/>
      <c r="T177" s="1294"/>
      <c r="U177" s="1294"/>
      <c r="V177" s="1294"/>
      <c r="X177" s="1295"/>
    </row>
    <row r="178" spans="1:35" ht="13.5" customHeight="1">
      <c r="A178" s="1234"/>
      <c r="B178" s="1886"/>
      <c r="C178" s="1292"/>
      <c r="D178" s="1292"/>
      <c r="E178" s="1328" t="s">
        <v>807</v>
      </c>
      <c r="F178" s="1303"/>
      <c r="G178" s="1292" t="s">
        <v>4690</v>
      </c>
      <c r="H178" s="1292"/>
      <c r="I178" s="1292"/>
      <c r="J178" s="1234"/>
      <c r="K178" s="1234"/>
      <c r="L178" s="1234"/>
      <c r="M178" s="1244"/>
      <c r="N178" s="1234"/>
      <c r="O178" s="1234"/>
      <c r="P178" s="1234"/>
      <c r="Q178" s="1234"/>
      <c r="R178" s="1234"/>
      <c r="S178" s="1291"/>
      <c r="T178" s="1294"/>
      <c r="U178" s="1294"/>
      <c r="V178" s="1294"/>
      <c r="X178" s="1295" t="s">
        <v>100</v>
      </c>
    </row>
    <row r="179" spans="1:35" ht="12.75" customHeight="1" thickBot="1">
      <c r="A179" s="1234"/>
      <c r="B179" s="1886"/>
      <c r="C179" s="1244"/>
      <c r="D179" s="1244"/>
      <c r="E179" s="1244" t="s">
        <v>809</v>
      </c>
      <c r="F179" s="1303"/>
      <c r="G179" s="1292" t="s">
        <v>1009</v>
      </c>
      <c r="H179" s="1292"/>
      <c r="I179" s="1292"/>
      <c r="J179" s="1234"/>
      <c r="K179" s="1234"/>
      <c r="L179" s="1234"/>
      <c r="M179" s="1244"/>
      <c r="N179" s="1234"/>
      <c r="O179" s="1234"/>
      <c r="P179" s="1305"/>
      <c r="Q179" s="1306"/>
      <c r="R179" s="1234"/>
      <c r="S179" s="1291"/>
      <c r="T179" s="1294"/>
      <c r="U179" s="1294"/>
      <c r="V179" s="1294"/>
      <c r="X179" s="1295" t="s">
        <v>468</v>
      </c>
    </row>
    <row r="180" spans="1:35" ht="17.25" customHeight="1" thickBot="1">
      <c r="A180" s="1258"/>
      <c r="B180" s="1887"/>
      <c r="C180" s="1328"/>
      <c r="D180" s="1328"/>
      <c r="E180" s="1328" t="s">
        <v>811</v>
      </c>
      <c r="F180" s="1305"/>
      <c r="G180" s="1308" t="s">
        <v>385</v>
      </c>
      <c r="H180" s="1258" t="s">
        <v>808</v>
      </c>
      <c r="I180" s="1258"/>
      <c r="J180" s="1258"/>
      <c r="K180" s="1258"/>
      <c r="L180" s="1258"/>
      <c r="M180" s="1328"/>
      <c r="N180" s="1585" t="s">
        <v>113</v>
      </c>
      <c r="O180" s="1720" t="str">
        <f xml:space="preserve">   IF(X180&lt;&gt;"",X180,IF(OR(U136="No",E164="X",D173),"",SUM(W2_SS_Tax_Withheld,MedCare_Tax_Withheld)))</f>
        <v/>
      </c>
      <c r="P180" s="1305"/>
      <c r="Q180" s="1306"/>
      <c r="R180" s="1258"/>
      <c r="S180" s="1312"/>
      <c r="T180" s="1355"/>
      <c r="U180" s="1355"/>
      <c r="V180" s="1355"/>
      <c r="X180" s="1392"/>
    </row>
    <row r="181" spans="1:35" ht="12.75" customHeight="1">
      <c r="A181" s="1234"/>
      <c r="B181" s="1886"/>
      <c r="C181" s="1244"/>
      <c r="D181" s="1244"/>
      <c r="E181" s="1362" t="str">
        <f>"completing lines"</f>
        <v>completing lines</v>
      </c>
      <c r="F181" s="1303"/>
      <c r="G181" s="1247" t="s">
        <v>385</v>
      </c>
      <c r="H181" s="1234" t="s">
        <v>810</v>
      </c>
      <c r="I181" s="1234"/>
      <c r="J181" s="1234"/>
      <c r="K181" s="1234"/>
      <c r="L181" s="1234"/>
      <c r="M181" s="1244"/>
      <c r="N181" s="1234"/>
      <c r="O181" s="1234"/>
      <c r="P181" s="1305"/>
      <c r="Q181" s="1306"/>
      <c r="R181" s="1234"/>
      <c r="S181" s="1291"/>
      <c r="T181" s="1294"/>
      <c r="U181" s="1294"/>
      <c r="V181" s="1294"/>
    </row>
    <row r="182" spans="1:35" ht="13.5" customHeight="1">
      <c r="A182" s="1234"/>
      <c r="B182" s="1888"/>
      <c r="C182" s="1328"/>
      <c r="D182" s="1362"/>
      <c r="E182" s="1362" t="s">
        <v>4689</v>
      </c>
      <c r="F182" s="1291"/>
      <c r="G182" s="1300"/>
      <c r="H182" s="1300"/>
      <c r="I182" s="1300"/>
      <c r="J182" s="1301"/>
      <c r="K182" s="1301"/>
      <c r="L182" s="1301"/>
      <c r="M182" s="1302"/>
      <c r="N182" s="1234"/>
      <c r="O182" s="1234"/>
      <c r="P182" s="1234"/>
      <c r="Q182" s="1291"/>
      <c r="R182" s="1234"/>
      <c r="S182" s="1291"/>
      <c r="T182" s="1291"/>
      <c r="U182" s="1291"/>
      <c r="V182" s="1291"/>
    </row>
    <row r="183" spans="1:35" ht="12.75" customHeight="1" thickBot="1">
      <c r="A183" s="1234"/>
      <c r="B183" s="1886"/>
      <c r="C183" s="1244"/>
      <c r="D183" s="1244"/>
      <c r="E183" s="1244"/>
      <c r="F183" s="4977" t="s">
        <v>232</v>
      </c>
      <c r="G183" s="1307" t="s">
        <v>790</v>
      </c>
      <c r="H183" s="1307"/>
      <c r="I183" s="1307"/>
      <c r="J183" s="1234"/>
      <c r="K183" s="1234"/>
      <c r="L183" s="1234"/>
      <c r="M183" s="1244"/>
      <c r="N183" s="4984"/>
      <c r="O183" s="4984"/>
      <c r="P183" s="1234"/>
      <c r="Q183" s="1291"/>
      <c r="R183" s="1234"/>
      <c r="S183" s="1291"/>
      <c r="T183" s="1294"/>
      <c r="U183" s="1294"/>
      <c r="V183" s="1294"/>
      <c r="X183" s="1295"/>
    </row>
    <row r="184" spans="1:35" s="1340" customFormat="1" ht="16.5" customHeight="1" thickBot="1">
      <c r="A184" s="1234"/>
      <c r="B184" s="1252"/>
      <c r="C184" s="1292"/>
      <c r="D184" s="1292"/>
      <c r="E184" s="1292"/>
      <c r="F184" s="1303"/>
      <c r="G184" s="1308" t="s">
        <v>385</v>
      </c>
      <c r="H184" s="1234" t="s">
        <v>4692</v>
      </c>
      <c r="I184" s="1234"/>
      <c r="J184" s="1234"/>
      <c r="K184" s="1234"/>
      <c r="L184" s="1234"/>
      <c r="M184" s="1244"/>
      <c r="N184" s="1234"/>
      <c r="O184" s="1234"/>
      <c r="P184" s="1234"/>
      <c r="Q184" s="1291"/>
      <c r="R184" s="1234"/>
      <c r="S184" s="1291"/>
      <c r="T184" s="1294"/>
      <c r="U184" s="1294"/>
      <c r="V184" s="1294"/>
      <c r="W184" s="1237"/>
      <c r="X184" s="1392"/>
      <c r="Z184" s="3179"/>
      <c r="AA184" s="3179"/>
      <c r="AB184" s="3179"/>
      <c r="AC184" s="3179"/>
      <c r="AD184" s="3179"/>
      <c r="AE184" s="3179"/>
      <c r="AF184" s="3179"/>
      <c r="AG184" s="3179"/>
      <c r="AH184" s="3179"/>
      <c r="AI184" s="3179"/>
    </row>
    <row r="185" spans="1:35" s="1340" customFormat="1" ht="16.5" customHeight="1">
      <c r="A185" s="1234"/>
      <c r="B185" s="1252"/>
      <c r="C185" s="1292"/>
      <c r="D185" s="1292"/>
      <c r="E185" s="1292"/>
      <c r="F185" s="1303"/>
      <c r="G185" s="1308"/>
      <c r="H185" s="1234" t="s">
        <v>4693</v>
      </c>
      <c r="I185" s="1234"/>
      <c r="J185" s="1234"/>
      <c r="K185" s="1234"/>
      <c r="L185" s="1234"/>
      <c r="M185" s="1244"/>
      <c r="N185" s="1585" t="s">
        <v>114</v>
      </c>
      <c r="O185" s="1720" t="str">
        <f xml:space="preserve">   IF(X184&lt;&gt;"",X184,IF(OR(U136="No",E164="X",D173),"",SUM(SE_Deduct,'Sch. 4'!AC11,'Sch. 4'!AJ20)))</f>
        <v/>
      </c>
      <c r="P185" s="1234"/>
      <c r="Q185" s="1291"/>
      <c r="R185" s="1234"/>
      <c r="S185" s="1291"/>
      <c r="T185" s="1294"/>
      <c r="U185" s="1294"/>
      <c r="V185" s="1294"/>
      <c r="W185" s="1237"/>
      <c r="X185" s="4974"/>
      <c r="Z185" s="3179"/>
      <c r="AA185" s="3179"/>
      <c r="AB185" s="3179"/>
      <c r="AC185" s="3179"/>
      <c r="AD185" s="3179"/>
      <c r="AE185" s="3179"/>
      <c r="AF185" s="3179"/>
      <c r="AG185" s="3179"/>
      <c r="AH185" s="3179"/>
      <c r="AI185" s="3179"/>
    </row>
    <row r="186" spans="1:35" ht="16.5" customHeight="1">
      <c r="A186" s="1234"/>
      <c r="B186" s="1252"/>
      <c r="C186" s="1292"/>
      <c r="D186" s="1292"/>
      <c r="E186" s="1292"/>
      <c r="F186" s="1303"/>
      <c r="G186" s="1308" t="s">
        <v>385</v>
      </c>
      <c r="H186" s="1258" t="s">
        <v>4694</v>
      </c>
      <c r="I186" s="1258"/>
      <c r="J186" s="1258"/>
      <c r="K186" s="1234"/>
      <c r="L186" s="1234"/>
      <c r="M186" s="1244"/>
      <c r="N186" s="1234"/>
      <c r="O186" s="1234"/>
      <c r="P186" s="1234"/>
      <c r="Q186" s="1291"/>
      <c r="R186" s="1234"/>
      <c r="S186" s="1291"/>
      <c r="T186" s="1294"/>
      <c r="U186" s="1294"/>
      <c r="V186" s="1294"/>
    </row>
    <row r="187" spans="1:35" ht="12.75" customHeight="1">
      <c r="A187" s="1234"/>
      <c r="B187" s="1252"/>
      <c r="C187" s="1292"/>
      <c r="D187" s="1292"/>
      <c r="E187" s="1292"/>
      <c r="F187" s="1303"/>
      <c r="G187" s="1247"/>
      <c r="H187" s="1234" t="s">
        <v>4695</v>
      </c>
      <c r="I187" s="1234"/>
      <c r="J187" s="1234"/>
      <c r="K187" s="1234"/>
      <c r="L187" s="1234"/>
      <c r="M187" s="1244"/>
      <c r="N187" s="1234"/>
      <c r="O187" s="1234"/>
      <c r="P187" s="1234"/>
      <c r="Q187" s="1291"/>
      <c r="R187" s="1234"/>
      <c r="S187" s="1291"/>
      <c r="T187" s="1294"/>
      <c r="U187" s="1294"/>
      <c r="V187" s="1294"/>
    </row>
    <row r="188" spans="1:35" ht="10.5" customHeight="1">
      <c r="A188" s="1333"/>
      <c r="B188" s="1356"/>
      <c r="C188" s="1304"/>
      <c r="D188" s="1357"/>
      <c r="E188" s="1333"/>
      <c r="F188" s="1333"/>
      <c r="G188" s="1333"/>
      <c r="H188" s="1333"/>
      <c r="I188" s="1333"/>
      <c r="J188" s="1333"/>
      <c r="K188" s="1358"/>
      <c r="L188" s="1333"/>
      <c r="M188" s="1333"/>
      <c r="N188" s="1357"/>
      <c r="O188" s="1359"/>
      <c r="P188" s="1333"/>
      <c r="Q188" s="1360"/>
      <c r="R188" s="1361"/>
      <c r="S188" s="1361"/>
      <c r="T188" s="1361"/>
      <c r="U188" s="1361"/>
      <c r="V188" s="1237"/>
    </row>
    <row r="189" spans="1:35" ht="5.25" customHeight="1" thickBot="1">
      <c r="A189" s="1234"/>
      <c r="B189" s="1295"/>
      <c r="C189" s="1295"/>
      <c r="D189" s="1291"/>
      <c r="E189" s="1300"/>
      <c r="F189" s="1300"/>
      <c r="G189" s="1301"/>
      <c r="H189" s="1301"/>
      <c r="I189" s="1301"/>
      <c r="J189" s="1301"/>
      <c r="K189" s="1302"/>
      <c r="L189" s="1234"/>
      <c r="M189" s="1234"/>
      <c r="N189" s="1234"/>
      <c r="O189" s="1291"/>
      <c r="P189" s="1234"/>
      <c r="Q189" s="1291"/>
      <c r="R189" s="1291"/>
      <c r="S189" s="1291"/>
      <c r="T189" s="1291"/>
      <c r="U189" s="1291"/>
      <c r="V189" s="1237"/>
    </row>
    <row r="190" spans="1:35" ht="16.5" customHeight="1" thickBot="1">
      <c r="A190" s="1234"/>
      <c r="B190" s="1252"/>
      <c r="C190" s="1292"/>
      <c r="D190" s="4977" t="s">
        <v>233</v>
      </c>
      <c r="E190" s="1234" t="s">
        <v>4696</v>
      </c>
      <c r="F190" s="1234"/>
      <c r="G190" s="1234"/>
      <c r="H190" s="1234"/>
      <c r="I190" s="1234"/>
      <c r="J190" s="1234"/>
      <c r="K190" s="1244"/>
      <c r="L190" s="1234"/>
      <c r="M190" s="1234"/>
      <c r="N190" s="1585" t="s">
        <v>115</v>
      </c>
      <c r="O190" s="1720" t="str">
        <f xml:space="preserve"> IF(X190&lt;&gt;"",X190,IF(OR(U136="No",E164="X",D173),"",SUM(O180,O185)))</f>
        <v/>
      </c>
      <c r="P190" s="1234"/>
      <c r="Q190" s="1291"/>
      <c r="R190" s="1294"/>
      <c r="S190" s="1294"/>
      <c r="T190" s="1294"/>
      <c r="U190" s="1294"/>
      <c r="V190" s="1237"/>
      <c r="X190" s="1392"/>
    </row>
    <row r="191" spans="1:35" ht="6" customHeight="1">
      <c r="A191" s="1234"/>
      <c r="B191" s="1295"/>
      <c r="C191" s="1295"/>
      <c r="D191" s="1291"/>
      <c r="E191" s="1296"/>
      <c r="F191" s="1296"/>
      <c r="G191" s="1297"/>
      <c r="H191" s="1297"/>
      <c r="I191" s="1297"/>
      <c r="J191" s="1297"/>
      <c r="K191" s="1298"/>
      <c r="L191" s="1234"/>
      <c r="M191" s="1234"/>
      <c r="N191" s="1234"/>
      <c r="O191" s="1234"/>
      <c r="P191" s="1234"/>
      <c r="Q191" s="1234"/>
      <c r="R191" s="1234"/>
      <c r="S191" s="1234"/>
      <c r="T191" s="1234"/>
      <c r="U191" s="1234"/>
      <c r="V191" s="1237"/>
    </row>
    <row r="192" spans="1:35" ht="27" customHeight="1" thickBot="1">
      <c r="A192" s="1281"/>
      <c r="B192" s="1281"/>
      <c r="C192" s="1718" t="s">
        <v>4691</v>
      </c>
      <c r="D192" s="1282"/>
      <c r="E192" s="1281"/>
      <c r="F192" s="1281"/>
      <c r="G192" s="1281"/>
      <c r="H192" s="1281"/>
      <c r="I192" s="1281"/>
      <c r="J192" s="1281"/>
      <c r="K192" s="1320"/>
      <c r="L192" s="1281"/>
      <c r="M192" s="1281"/>
      <c r="N192" s="1281"/>
      <c r="O192" s="1281"/>
      <c r="P192" s="1321"/>
      <c r="Q192" s="1319" t="str">
        <f>"Publication 972 ("&amp;TaxYear&amp;")"</f>
        <v>Publication 972 (2018)</v>
      </c>
      <c r="R192" s="1281"/>
      <c r="S192" s="1281"/>
      <c r="T192" s="1281"/>
      <c r="U192" s="1281"/>
      <c r="V192" s="1237"/>
    </row>
    <row r="193" spans="1:24" ht="30.75" customHeight="1" thickBot="1">
      <c r="A193" s="1342"/>
      <c r="B193" s="1343" t="s">
        <v>4673</v>
      </c>
      <c r="C193" s="1344"/>
      <c r="D193" s="1345"/>
      <c r="E193" s="1346"/>
      <c r="F193" s="1346"/>
      <c r="G193" s="1346"/>
      <c r="H193" s="1346"/>
      <c r="I193" s="1346"/>
      <c r="J193" s="1346"/>
      <c r="K193" s="1347"/>
      <c r="L193" s="1346"/>
      <c r="M193" s="1346"/>
      <c r="N193" s="1346"/>
      <c r="O193" s="1348"/>
      <c r="P193" s="1346"/>
      <c r="Q193" s="1349"/>
      <c r="R193" s="1363"/>
      <c r="S193" s="1363"/>
      <c r="T193" s="1363"/>
      <c r="U193" s="1363"/>
      <c r="V193" s="1237"/>
    </row>
    <row r="194" spans="1:24" ht="7.5" customHeight="1" thickTop="1">
      <c r="A194" s="1258"/>
      <c r="B194" s="1258"/>
      <c r="C194" s="1258"/>
      <c r="D194" s="1305"/>
      <c r="E194" s="1308"/>
      <c r="F194" s="1308"/>
      <c r="G194" s="1258"/>
      <c r="H194" s="1258"/>
      <c r="I194" s="1258"/>
      <c r="J194" s="1258"/>
      <c r="K194" s="1287"/>
      <c r="L194" s="1258"/>
      <c r="M194" s="1258"/>
      <c r="N194" s="1258"/>
      <c r="O194" s="1258"/>
      <c r="P194" s="1258"/>
      <c r="Q194" s="1258"/>
      <c r="R194" s="1258"/>
      <c r="S194" s="1258"/>
      <c r="T194" s="1258"/>
      <c r="U194" s="1258"/>
      <c r="V194" s="1237"/>
    </row>
    <row r="195" spans="1:24" ht="9" customHeight="1" thickBot="1">
      <c r="A195" s="1234"/>
      <c r="B195" s="1295"/>
      <c r="C195" s="1295"/>
      <c r="D195" s="1291"/>
      <c r="E195" s="1235"/>
      <c r="F195" s="1235"/>
      <c r="G195" s="1234"/>
      <c r="H195" s="1234"/>
      <c r="I195" s="1234"/>
      <c r="J195" s="1234"/>
      <c r="K195" s="1252"/>
      <c r="L195" s="1234"/>
      <c r="M195" s="1234"/>
      <c r="N195" s="1234"/>
      <c r="O195" s="1291"/>
      <c r="P195" s="1234"/>
      <c r="Q195" s="1291"/>
      <c r="R195" s="1291"/>
      <c r="S195" s="1291"/>
      <c r="T195" s="1291"/>
      <c r="U195" s="1291"/>
      <c r="V195" s="1237"/>
    </row>
    <row r="196" spans="1:24" ht="17.25" customHeight="1" thickBot="1">
      <c r="A196" s="1234"/>
      <c r="B196" s="1252"/>
      <c r="C196" s="1292"/>
      <c r="D196" s="4977" t="s">
        <v>337</v>
      </c>
      <c r="E196" s="1292" t="s">
        <v>1322</v>
      </c>
      <c r="F196" s="1292"/>
      <c r="G196" s="1234"/>
      <c r="H196" s="1234"/>
      <c r="I196" s="1234"/>
      <c r="J196" s="1234"/>
      <c r="K196" s="1244"/>
      <c r="L196" s="1234"/>
      <c r="M196" s="1234"/>
      <c r="N196" s="1585" t="s">
        <v>116</v>
      </c>
      <c r="O196" s="1720" t="str">
        <f xml:space="preserve"> IF(X196&lt;&gt;"",X196,IF(OR(U136="No",E164="X",D173),"",SUM(EIC,ExcessSSTax)))</f>
        <v/>
      </c>
      <c r="P196" s="1234"/>
      <c r="Q196" s="1291"/>
      <c r="R196" s="1294"/>
      <c r="S196" s="1294"/>
      <c r="T196" s="1294"/>
      <c r="U196" s="1294"/>
      <c r="V196" s="1237"/>
      <c r="X196" s="1392"/>
    </row>
    <row r="197" spans="1:24" ht="12" customHeight="1">
      <c r="A197" s="1234"/>
      <c r="B197" s="1252"/>
      <c r="C197" s="1292"/>
      <c r="D197" s="1303"/>
      <c r="E197" s="1234" t="s">
        <v>4697</v>
      </c>
      <c r="F197" s="1234"/>
      <c r="G197" s="1234"/>
      <c r="H197" s="1234"/>
      <c r="I197" s="1234"/>
      <c r="J197" s="1234"/>
      <c r="K197" s="1244"/>
      <c r="L197" s="1234"/>
      <c r="M197" s="1234"/>
      <c r="N197" s="1234"/>
      <c r="O197" s="1234"/>
      <c r="P197" s="1234"/>
      <c r="Q197" s="1291"/>
      <c r="R197" s="1294"/>
      <c r="S197" s="1294"/>
      <c r="T197" s="1294"/>
      <c r="U197" s="1294"/>
      <c r="V197" s="1237"/>
    </row>
    <row r="198" spans="1:24" ht="9" customHeight="1">
      <c r="A198" s="1234"/>
      <c r="B198" s="1295"/>
      <c r="C198" s="1295"/>
      <c r="D198" s="1291"/>
      <c r="E198" s="1235"/>
      <c r="F198" s="1235"/>
      <c r="G198" s="1234"/>
      <c r="H198" s="1234"/>
      <c r="I198" s="1234"/>
      <c r="J198" s="1234"/>
      <c r="K198" s="1252"/>
      <c r="L198" s="1234"/>
      <c r="M198" s="1234"/>
      <c r="N198" s="1234"/>
      <c r="O198" s="1291"/>
      <c r="P198" s="1297"/>
      <c r="Q198" s="1318"/>
      <c r="R198" s="1291"/>
      <c r="S198" s="1291"/>
      <c r="T198" s="1291"/>
      <c r="U198" s="1291"/>
      <c r="V198" s="1237"/>
    </row>
    <row r="199" spans="1:24" ht="19.5" customHeight="1">
      <c r="A199" s="1234"/>
      <c r="B199" s="1252"/>
      <c r="C199" s="1292"/>
      <c r="D199" s="4977" t="s">
        <v>338</v>
      </c>
      <c r="E199" s="1234" t="s">
        <v>4698</v>
      </c>
      <c r="F199" s="1234"/>
      <c r="G199" s="1234"/>
      <c r="H199" s="1234"/>
      <c r="I199" s="1234"/>
      <c r="J199" s="1234"/>
      <c r="K199" s="1244"/>
      <c r="L199" s="1234"/>
      <c r="M199" s="1234"/>
      <c r="N199" s="1234"/>
      <c r="O199" s="1889"/>
      <c r="P199" s="1585" t="s">
        <v>801</v>
      </c>
      <c r="Q199" s="1720" t="str">
        <f>IF(OR($U$136="No",$D$165),"",IF(OR($D$169,$D$173),0,IF(SUM(O190,-O196)&lt;=0,0,SUM(O190,-O196))))</f>
        <v/>
      </c>
      <c r="R199" s="1890"/>
      <c r="S199" s="1294"/>
      <c r="T199" s="1294"/>
      <c r="U199" s="1294"/>
      <c r="V199" s="1237"/>
    </row>
    <row r="200" spans="1:24" ht="14.25" customHeight="1">
      <c r="A200" s="1234"/>
      <c r="B200" s="1295"/>
      <c r="C200" s="1295"/>
      <c r="D200" s="1291"/>
      <c r="E200" s="1364"/>
      <c r="F200" s="1364"/>
      <c r="G200" s="1234"/>
      <c r="H200" s="1234"/>
      <c r="I200" s="1234"/>
      <c r="J200" s="1234"/>
      <c r="K200" s="1252"/>
      <c r="L200" s="1234"/>
      <c r="M200" s="1234"/>
      <c r="N200" s="1234"/>
      <c r="O200" s="1234"/>
      <c r="P200" s="1234"/>
      <c r="Q200" s="1234"/>
      <c r="R200" s="1234"/>
      <c r="S200" s="1234"/>
      <c r="T200" s="1234"/>
      <c r="U200" s="1234"/>
      <c r="V200" s="1237"/>
    </row>
    <row r="201" spans="1:24" ht="10.5" customHeight="1">
      <c r="A201" s="1234"/>
      <c r="B201" s="1295"/>
      <c r="C201" s="1295"/>
      <c r="D201" s="1291"/>
      <c r="E201" s="1365"/>
      <c r="F201" s="1365"/>
      <c r="G201" s="1301"/>
      <c r="H201" s="1301"/>
      <c r="I201" s="1301"/>
      <c r="J201" s="1301"/>
      <c r="K201" s="1302"/>
      <c r="L201" s="1301"/>
      <c r="M201" s="1301"/>
      <c r="N201" s="1301"/>
      <c r="O201" s="1301"/>
      <c r="P201" s="1234"/>
      <c r="Q201" s="1234"/>
      <c r="R201" s="1234"/>
      <c r="S201" s="1234"/>
      <c r="T201" s="1234"/>
      <c r="U201" s="1234"/>
      <c r="V201" s="1237"/>
    </row>
    <row r="202" spans="1:24" ht="21" customHeight="1">
      <c r="A202" s="1234"/>
      <c r="B202" s="1252"/>
      <c r="C202" s="1292"/>
      <c r="D202" s="4984" t="s">
        <v>339</v>
      </c>
      <c r="E202" s="1385" t="s">
        <v>4699</v>
      </c>
      <c r="F202" s="1385"/>
      <c r="G202" s="1385"/>
      <c r="H202" s="1258"/>
      <c r="I202" s="1258"/>
      <c r="J202" s="1258"/>
      <c r="K202" s="1234"/>
      <c r="L202" s="1234"/>
      <c r="M202" s="1234"/>
      <c r="N202" s="1234"/>
      <c r="O202" s="1234"/>
      <c r="P202" s="1585" t="s">
        <v>248</v>
      </c>
      <c r="Q202" s="1720" t="str">
        <f>IF(OR($U$136="No",$D$165),"",MAX(Q159,Q199))</f>
        <v/>
      </c>
      <c r="R202" s="1294"/>
      <c r="S202" s="1294"/>
      <c r="T202" s="1294"/>
      <c r="U202" s="1294"/>
      <c r="V202" s="1237"/>
    </row>
    <row r="203" spans="1:24" ht="7.5" customHeight="1">
      <c r="A203" s="1234"/>
      <c r="B203" s="1295"/>
      <c r="C203" s="1295"/>
      <c r="D203" s="1291"/>
      <c r="E203" s="1329"/>
      <c r="F203" s="1329"/>
      <c r="G203" s="1297"/>
      <c r="H203" s="1297"/>
      <c r="I203" s="1297"/>
      <c r="J203" s="1297"/>
      <c r="K203" s="1298"/>
      <c r="L203" s="1297"/>
      <c r="M203" s="1297"/>
      <c r="N203" s="1297"/>
      <c r="O203" s="1318"/>
      <c r="P203" s="1234"/>
      <c r="Q203" s="1291"/>
      <c r="R203" s="1291"/>
      <c r="S203" s="1291"/>
      <c r="T203" s="1291"/>
      <c r="U203" s="1291"/>
      <c r="V203" s="1237"/>
    </row>
    <row r="204" spans="1:24" ht="10.5" customHeight="1">
      <c r="A204" s="1234"/>
      <c r="B204" s="1295"/>
      <c r="C204" s="1295"/>
      <c r="D204" s="1291"/>
      <c r="E204" s="1365"/>
      <c r="F204" s="1365"/>
      <c r="G204" s="1301"/>
      <c r="H204" s="1301"/>
      <c r="I204" s="1301"/>
      <c r="J204" s="1301"/>
      <c r="K204" s="1302"/>
      <c r="L204" s="1301"/>
      <c r="M204" s="1301"/>
      <c r="N204" s="1301"/>
      <c r="O204" s="1301"/>
      <c r="P204" s="1234"/>
      <c r="Q204" s="1234"/>
      <c r="R204" s="1234"/>
      <c r="S204" s="1234"/>
      <c r="T204" s="1234"/>
      <c r="U204" s="1234"/>
      <c r="V204" s="1237"/>
    </row>
    <row r="205" spans="1:24" ht="21" customHeight="1">
      <c r="A205" s="1234"/>
      <c r="B205" s="1252"/>
      <c r="C205" s="1292"/>
      <c r="D205" s="4984" t="s">
        <v>498</v>
      </c>
      <c r="E205" s="1385" t="s">
        <v>4700</v>
      </c>
      <c r="F205" s="1385"/>
      <c r="G205" s="1385"/>
      <c r="H205" s="1258"/>
      <c r="I205" s="1258"/>
      <c r="J205" s="1258"/>
      <c r="K205" s="1234"/>
      <c r="L205" s="1234"/>
      <c r="M205" s="1234"/>
      <c r="N205" s="1234"/>
      <c r="O205" s="1234"/>
      <c r="P205" s="1585" t="s">
        <v>803</v>
      </c>
      <c r="Q205" s="1720" t="str">
        <f>IF(OR($U$136="No",$D$165),"",MAX(Q162,Q202))</f>
        <v/>
      </c>
      <c r="R205" s="1294"/>
      <c r="S205" s="1294"/>
      <c r="T205" s="1294"/>
      <c r="U205" s="1294"/>
      <c r="V205" s="1237"/>
    </row>
    <row r="206" spans="1:24" ht="7.5" customHeight="1">
      <c r="A206" s="1234"/>
      <c r="B206" s="1295"/>
      <c r="C206" s="1295"/>
      <c r="D206" s="1291"/>
      <c r="E206" s="1329"/>
      <c r="F206" s="1329"/>
      <c r="G206" s="1297"/>
      <c r="H206" s="1297"/>
      <c r="I206" s="1297"/>
      <c r="J206" s="1297"/>
      <c r="K206" s="1298"/>
      <c r="L206" s="1297"/>
      <c r="M206" s="1297"/>
      <c r="N206" s="1297"/>
      <c r="O206" s="1318"/>
      <c r="P206" s="1234"/>
      <c r="Q206" s="1291"/>
      <c r="R206" s="1291"/>
      <c r="S206" s="1291"/>
      <c r="T206" s="1291"/>
      <c r="U206" s="1291"/>
      <c r="V206" s="1237"/>
    </row>
    <row r="207" spans="1:24" ht="15.75" customHeight="1">
      <c r="A207" s="1234"/>
      <c r="B207" s="1295"/>
      <c r="C207" s="1295"/>
      <c r="D207" s="4977" t="s">
        <v>499</v>
      </c>
      <c r="E207" s="1315" t="str">
        <f>"   Is the amount on line 13 of this worksheet more than the amount on line "&amp;P140&amp;"?"</f>
        <v xml:space="preserve">   Is the amount on line 13 of this worksheet more than the amount on line 1?</v>
      </c>
      <c r="F207" s="1315"/>
      <c r="G207" s="1234"/>
      <c r="H207" s="1234"/>
      <c r="I207" s="1234"/>
      <c r="J207" s="1234"/>
      <c r="K207" s="1252"/>
      <c r="L207" s="1234"/>
      <c r="M207" s="1234"/>
      <c r="N207" s="1234"/>
      <c r="O207" s="1291"/>
      <c r="P207" s="1234"/>
      <c r="Q207" s="1291"/>
      <c r="R207" s="1291"/>
      <c r="S207" s="1291"/>
      <c r="T207" s="1291"/>
      <c r="U207" s="1291"/>
      <c r="V207" s="1237"/>
    </row>
    <row r="208" spans="1:24" ht="8.25" customHeight="1" thickBot="1">
      <c r="A208" s="1234"/>
      <c r="B208" s="1234"/>
      <c r="C208" s="1234"/>
      <c r="D208" s="1235"/>
      <c r="E208" s="1234"/>
      <c r="F208" s="1234"/>
      <c r="G208" s="1234"/>
      <c r="H208" s="1234"/>
      <c r="I208" s="1234"/>
      <c r="J208" s="1234"/>
      <c r="K208" s="1236"/>
      <c r="L208" s="1234"/>
      <c r="M208" s="1234"/>
      <c r="N208" s="1234"/>
      <c r="O208" s="1234"/>
      <c r="P208" s="1234"/>
      <c r="Q208" s="1234"/>
      <c r="R208" s="1234"/>
      <c r="S208" s="1234"/>
      <c r="T208" s="1234"/>
      <c r="U208" s="1234"/>
      <c r="V208" s="1237"/>
    </row>
    <row r="209" spans="1:22" ht="15" customHeight="1" thickBot="1">
      <c r="A209" s="1234"/>
      <c r="B209" s="1234"/>
      <c r="C209" s="1234"/>
      <c r="D209" s="1235"/>
      <c r="E209" s="1721" t="str">
        <f>IF(AND(E164="X",D165),"",IF(U136="No","",IF(Q202&gt;Q140,"","X")))</f>
        <v/>
      </c>
      <c r="F209" s="1386" t="s">
        <v>205</v>
      </c>
      <c r="G209" s="1234" t="str">
        <f>"Subtract line 13 from line 1. Enter the result."</f>
        <v>Subtract line 13 from line 1. Enter the result.</v>
      </c>
      <c r="H209" s="1234"/>
      <c r="I209" s="1234"/>
      <c r="J209" s="1234"/>
      <c r="K209" s="1236"/>
      <c r="L209" s="1234"/>
      <c r="M209" s="1234"/>
      <c r="N209" s="1234"/>
      <c r="O209" s="1234"/>
      <c r="P209" s="1234"/>
      <c r="Q209" s="1234"/>
      <c r="R209" s="1234"/>
      <c r="S209" s="1234"/>
      <c r="T209" s="1234"/>
      <c r="U209" s="1234"/>
      <c r="V209" s="1237"/>
    </row>
    <row r="210" spans="1:22" ht="14.25" customHeight="1" thickBot="1">
      <c r="A210" s="1234"/>
      <c r="B210" s="1234"/>
      <c r="C210" s="1234"/>
      <c r="D210" s="1330"/>
      <c r="E210" s="1234"/>
      <c r="F210" s="1234"/>
      <c r="G210" s="1234"/>
      <c r="H210" s="1234"/>
      <c r="I210" s="1234"/>
      <c r="J210" s="1234"/>
      <c r="K210" s="1236"/>
      <c r="L210" s="1234"/>
      <c r="M210" s="1234"/>
      <c r="N210" s="1234"/>
      <c r="O210" s="1234"/>
      <c r="P210" s="1585" t="s">
        <v>815</v>
      </c>
      <c r="Q210" s="1720" t="str">
        <f>IF(OR($U$136="No",$D$165),"",IF(E211="X",0,SUM(Q140,-Q202)))</f>
        <v/>
      </c>
      <c r="R210" s="1234"/>
      <c r="S210" s="1234"/>
      <c r="T210" s="1234"/>
      <c r="U210" s="1234"/>
      <c r="V210" s="1237"/>
    </row>
    <row r="211" spans="1:22" ht="17.25" customHeight="1" thickBot="1">
      <c r="A211" s="1234"/>
      <c r="B211" s="1234"/>
      <c r="C211" s="1234"/>
      <c r="D211" s="1235"/>
      <c r="E211" s="1721" t="str">
        <f>IF(AND(E164="X",D165),"",IF(U136="No","",IF(Q202&gt;Q140,"X","")))</f>
        <v/>
      </c>
      <c r="F211" s="1386" t="s">
        <v>179</v>
      </c>
      <c r="G211" s="1234" t="s">
        <v>473</v>
      </c>
      <c r="H211" s="1234"/>
      <c r="I211" s="1234"/>
      <c r="J211" s="1234"/>
      <c r="K211" s="1236"/>
      <c r="L211" s="1234"/>
      <c r="M211" s="1234"/>
      <c r="N211" s="1234"/>
      <c r="O211" s="1234"/>
      <c r="P211" s="1234"/>
      <c r="Q211" s="1234"/>
      <c r="R211" s="1234"/>
      <c r="S211" s="1234"/>
      <c r="T211" s="1234"/>
      <c r="U211" s="1234"/>
      <c r="V211" s="1237"/>
    </row>
    <row r="212" spans="1:22" ht="8.25" customHeight="1">
      <c r="A212" s="1234" t="s">
        <v>813</v>
      </c>
      <c r="B212" s="1234"/>
      <c r="C212" s="1234"/>
      <c r="D212" s="1235"/>
      <c r="E212" s="1296"/>
      <c r="F212" s="1296"/>
      <c r="G212" s="1297"/>
      <c r="H212" s="1297"/>
      <c r="I212" s="1297"/>
      <c r="J212" s="1297"/>
      <c r="K212" s="1298"/>
      <c r="L212" s="1297"/>
      <c r="M212" s="1297"/>
      <c r="N212" s="1297"/>
      <c r="O212" s="1297"/>
      <c r="P212" s="1234"/>
      <c r="Q212" s="1234"/>
      <c r="R212" s="1234"/>
      <c r="S212" s="1234"/>
      <c r="T212" s="1234"/>
      <c r="U212" s="1234"/>
      <c r="V212" s="1237"/>
    </row>
    <row r="213" spans="1:22" ht="6.75" customHeight="1">
      <c r="A213" s="1234"/>
      <c r="B213" s="1295"/>
      <c r="C213" s="1295"/>
      <c r="D213" s="1291"/>
      <c r="E213" s="1235"/>
      <c r="F213" s="1235"/>
      <c r="G213" s="1234"/>
      <c r="H213" s="1234"/>
      <c r="I213" s="1234"/>
      <c r="J213" s="1234"/>
      <c r="K213" s="1252"/>
      <c r="L213" s="1234"/>
      <c r="M213" s="1234"/>
      <c r="N213" s="1234"/>
      <c r="O213" s="1291"/>
      <c r="P213" s="1234"/>
      <c r="Q213" s="1291"/>
      <c r="R213" s="1291"/>
      <c r="S213" s="1291"/>
      <c r="T213" s="1291"/>
      <c r="U213" s="1291"/>
      <c r="V213" s="1237"/>
    </row>
    <row r="214" spans="1:22">
      <c r="A214" s="1234"/>
      <c r="B214" s="1295"/>
      <c r="C214" s="1295"/>
      <c r="D214" s="1291"/>
      <c r="E214" s="1315" t="s">
        <v>821</v>
      </c>
      <c r="F214" s="1246"/>
      <c r="G214" s="1234"/>
      <c r="H214" s="1234"/>
      <c r="I214" s="1234"/>
      <c r="J214" s="1234"/>
      <c r="K214" s="1252"/>
      <c r="L214" s="1234"/>
      <c r="M214" s="1234"/>
      <c r="N214" s="1234"/>
      <c r="O214" s="1291"/>
      <c r="P214" s="1234"/>
      <c r="Q214" s="1291"/>
      <c r="R214" s="1291"/>
      <c r="S214" s="1291"/>
      <c r="T214" s="1291"/>
      <c r="U214" s="1291"/>
      <c r="V214" s="1237"/>
    </row>
    <row r="215" spans="1:22" ht="6.75" customHeight="1">
      <c r="A215" s="1234"/>
      <c r="B215" s="1295"/>
      <c r="C215" s="1295"/>
      <c r="D215" s="1291"/>
      <c r="E215" s="1315"/>
      <c r="F215" s="1315"/>
      <c r="G215" s="1234"/>
      <c r="H215" s="1234"/>
      <c r="I215" s="1234"/>
      <c r="J215" s="1234"/>
      <c r="K215" s="1252"/>
      <c r="L215" s="1234"/>
      <c r="M215" s="1234"/>
      <c r="N215" s="1234"/>
      <c r="O215" s="1291"/>
      <c r="P215" s="1234"/>
      <c r="Q215" s="1291"/>
      <c r="R215" s="1291"/>
      <c r="S215" s="1291"/>
      <c r="T215" s="1291"/>
      <c r="U215" s="1291"/>
      <c r="V215" s="1237"/>
    </row>
    <row r="216" spans="1:22">
      <c r="A216" s="1234"/>
      <c r="B216" s="1295"/>
      <c r="C216" s="1295"/>
      <c r="D216" s="1291"/>
      <c r="E216" s="1308" t="s">
        <v>385</v>
      </c>
      <c r="F216" s="1308"/>
      <c r="G216" s="1234" t="s">
        <v>800</v>
      </c>
      <c r="H216" s="1234"/>
      <c r="I216" s="1234"/>
      <c r="J216" s="1234"/>
      <c r="K216" s="1252"/>
      <c r="L216" s="1234"/>
      <c r="M216" s="1234"/>
      <c r="N216" s="1234"/>
      <c r="O216" s="1291"/>
      <c r="P216" s="1234"/>
      <c r="Q216" s="1291"/>
      <c r="R216" s="1291"/>
      <c r="S216" s="1291"/>
      <c r="T216" s="1291"/>
      <c r="U216" s="1291"/>
      <c r="V216" s="1237"/>
    </row>
    <row r="217" spans="1:22">
      <c r="A217" s="1234"/>
      <c r="B217" s="1295"/>
      <c r="C217" s="1295"/>
      <c r="D217" s="1291"/>
      <c r="E217" s="1308" t="s">
        <v>385</v>
      </c>
      <c r="F217" s="1308"/>
      <c r="G217" s="1234" t="s">
        <v>931</v>
      </c>
      <c r="H217" s="1234"/>
      <c r="I217" s="1234"/>
      <c r="J217" s="1234"/>
      <c r="K217" s="1252"/>
      <c r="L217" s="1234"/>
      <c r="M217" s="1234"/>
      <c r="N217" s="1234"/>
      <c r="O217" s="1291"/>
      <c r="P217" s="1234"/>
      <c r="Q217" s="1291"/>
      <c r="R217" s="1291"/>
      <c r="S217" s="1291"/>
      <c r="T217" s="1291"/>
      <c r="U217" s="1291"/>
      <c r="V217" s="1237"/>
    </row>
    <row r="218" spans="1:22">
      <c r="A218" s="1234"/>
      <c r="B218" s="1295"/>
      <c r="C218" s="1295"/>
      <c r="D218" s="1291"/>
      <c r="E218" s="1308" t="s">
        <v>385</v>
      </c>
      <c r="F218" s="1308"/>
      <c r="G218" s="1234" t="s">
        <v>1006</v>
      </c>
      <c r="H218" s="1234"/>
      <c r="I218" s="1234"/>
      <c r="J218" s="1234"/>
      <c r="K218" s="1252"/>
      <c r="L218" s="1234"/>
      <c r="M218" s="1234"/>
      <c r="N218" s="1234"/>
      <c r="O218" s="1291"/>
      <c r="P218" s="1234"/>
      <c r="Q218" s="1291"/>
      <c r="R218" s="1291"/>
      <c r="S218" s="1291"/>
      <c r="T218" s="1291"/>
      <c r="U218" s="1291"/>
      <c r="V218" s="1237"/>
    </row>
    <row r="219" spans="1:22">
      <c r="A219" s="1234"/>
      <c r="B219" s="1295"/>
      <c r="C219" s="1295"/>
      <c r="D219" s="1291"/>
      <c r="E219" s="1308" t="s">
        <v>385</v>
      </c>
      <c r="F219" s="1308"/>
      <c r="G219" s="1234" t="s">
        <v>155</v>
      </c>
      <c r="H219" s="1234"/>
      <c r="I219" s="1234"/>
      <c r="J219" s="1234"/>
      <c r="K219" s="1252"/>
      <c r="L219" s="1234"/>
      <c r="M219" s="1234"/>
      <c r="N219" s="1234"/>
      <c r="O219" s="1291"/>
      <c r="P219" s="1234"/>
      <c r="Q219" s="1291"/>
      <c r="R219" s="1291"/>
      <c r="S219" s="1291"/>
      <c r="T219" s="1291"/>
      <c r="U219" s="1291"/>
      <c r="V219" s="1237"/>
    </row>
    <row r="220" spans="1:22" ht="6.75" customHeight="1">
      <c r="A220" s="1234"/>
      <c r="B220" s="1295"/>
      <c r="C220" s="1295"/>
      <c r="D220" s="1291"/>
      <c r="E220" s="1315"/>
      <c r="F220" s="1315"/>
      <c r="G220" s="1234"/>
      <c r="H220" s="1234"/>
      <c r="I220" s="1234"/>
      <c r="J220" s="1234"/>
      <c r="K220" s="1252"/>
      <c r="L220" s="1234"/>
      <c r="M220" s="1234"/>
      <c r="N220" s="1234"/>
      <c r="O220" s="1291"/>
      <c r="P220" s="1234"/>
      <c r="Q220" s="1291"/>
      <c r="R220" s="1291"/>
      <c r="S220" s="1291"/>
      <c r="T220" s="1291"/>
      <c r="U220" s="1291"/>
      <c r="V220" s="1237"/>
    </row>
    <row r="221" spans="1:22">
      <c r="A221" s="1234"/>
      <c r="B221" s="1295"/>
      <c r="C221" s="1295"/>
      <c r="D221" s="1291"/>
      <c r="E221" s="1925" t="s">
        <v>4701</v>
      </c>
      <c r="F221" s="1337"/>
      <c r="G221" s="1234"/>
      <c r="H221" s="1234"/>
      <c r="I221" s="1234"/>
      <c r="J221" s="1234"/>
      <c r="K221" s="1252"/>
      <c r="L221" s="1234"/>
      <c r="M221" s="1234"/>
      <c r="N221" s="1234"/>
      <c r="O221" s="1291"/>
      <c r="P221" s="1234"/>
      <c r="Q221" s="1291"/>
      <c r="R221" s="1291"/>
      <c r="S221" s="1291"/>
      <c r="T221" s="1291"/>
      <c r="U221" s="1291"/>
      <c r="V221" s="1237"/>
    </row>
    <row r="222" spans="1:22" ht="7.5" customHeight="1">
      <c r="A222" s="1234" t="s">
        <v>813</v>
      </c>
      <c r="B222" s="1234"/>
      <c r="C222" s="1234"/>
      <c r="D222" s="1235"/>
      <c r="E222" s="1296"/>
      <c r="F222" s="1296"/>
      <c r="G222" s="1297"/>
      <c r="H222" s="1297"/>
      <c r="I222" s="1297"/>
      <c r="J222" s="1297"/>
      <c r="K222" s="1298"/>
      <c r="L222" s="1297"/>
      <c r="M222" s="1297"/>
      <c r="N222" s="1297"/>
      <c r="O222" s="1297"/>
      <c r="P222" s="1234"/>
      <c r="Q222" s="1234"/>
      <c r="R222" s="1234"/>
      <c r="S222" s="1234"/>
      <c r="T222" s="1234"/>
      <c r="U222" s="1234"/>
      <c r="V222" s="1237"/>
    </row>
    <row r="223" spans="1:22" ht="6.75" customHeight="1">
      <c r="A223" s="1234"/>
      <c r="B223" s="1295"/>
      <c r="C223" s="1295"/>
      <c r="D223" s="1291"/>
      <c r="E223" s="1315"/>
      <c r="F223" s="1315"/>
      <c r="G223" s="1234"/>
      <c r="H223" s="1234"/>
      <c r="I223" s="1234"/>
      <c r="J223" s="1234"/>
      <c r="K223" s="1252"/>
      <c r="L223" s="1234"/>
      <c r="M223" s="1234"/>
      <c r="N223" s="1234"/>
      <c r="O223" s="1291"/>
      <c r="P223" s="1234"/>
      <c r="Q223" s="1291"/>
      <c r="R223" s="1291"/>
      <c r="S223" s="1291"/>
      <c r="T223" s="1291"/>
      <c r="U223" s="1291"/>
      <c r="V223" s="1237"/>
    </row>
    <row r="224" spans="1:22">
      <c r="A224" s="1234"/>
      <c r="B224" s="1295"/>
      <c r="C224" s="1295"/>
      <c r="D224" s="4977" t="s">
        <v>500</v>
      </c>
      <c r="E224" s="1315" t="s">
        <v>814</v>
      </c>
      <c r="F224" s="1315"/>
      <c r="G224" s="1234"/>
      <c r="H224" s="1234"/>
      <c r="I224" s="1234"/>
      <c r="J224" s="1234"/>
      <c r="K224" s="1252"/>
      <c r="L224" s="1234"/>
      <c r="M224" s="1234"/>
      <c r="N224" s="1234"/>
      <c r="O224" s="1291"/>
      <c r="P224" s="1234"/>
      <c r="Q224" s="1291"/>
      <c r="R224" s="1291"/>
      <c r="S224" s="1291"/>
      <c r="T224" s="1291"/>
      <c r="U224" s="1291"/>
      <c r="V224" s="1237"/>
    </row>
    <row r="225" spans="1:35" ht="5.25" customHeight="1">
      <c r="A225" s="1234"/>
      <c r="B225" s="1295"/>
      <c r="C225" s="1295"/>
      <c r="D225" s="1303"/>
      <c r="E225" s="1315"/>
      <c r="F225" s="1315"/>
      <c r="G225" s="1234"/>
      <c r="H225" s="1234"/>
      <c r="I225" s="1234"/>
      <c r="J225" s="1234"/>
      <c r="K225" s="1252"/>
      <c r="L225" s="1234"/>
      <c r="M225" s="1234"/>
      <c r="N225" s="1234"/>
      <c r="O225" s="1291"/>
      <c r="P225" s="1234"/>
      <c r="Q225" s="1291"/>
      <c r="R225" s="1291"/>
      <c r="S225" s="1291"/>
      <c r="T225" s="1291"/>
      <c r="U225" s="1291"/>
      <c r="V225" s="1237"/>
    </row>
    <row r="226" spans="1:35" ht="15" customHeight="1">
      <c r="A226" s="1234"/>
      <c r="B226" s="1295"/>
      <c r="C226" s="1295"/>
      <c r="D226" s="1303"/>
      <c r="E226" s="1308" t="s">
        <v>385</v>
      </c>
      <c r="F226" s="1308"/>
      <c r="G226" s="1258" t="s">
        <v>932</v>
      </c>
      <c r="H226" s="1234"/>
      <c r="I226" s="1234"/>
      <c r="J226" s="1234"/>
      <c r="K226" s="1366"/>
      <c r="L226" s="1309" t="str">
        <f>IF(AND(S9&lt;&gt;"",K226=""),"¬","")</f>
        <v/>
      </c>
      <c r="M226" s="1234"/>
      <c r="N226" s="1260" t="str">
        <f>IF(AND(S9&lt;&gt;"",K226=""),"Enter amount here.","")</f>
        <v/>
      </c>
      <c r="O226" s="1260"/>
      <c r="P226" s="1234"/>
      <c r="Q226" s="1291"/>
      <c r="R226" s="1291"/>
      <c r="S226" s="1291"/>
      <c r="T226" s="1291"/>
      <c r="U226" s="1291"/>
      <c r="V226" s="1237"/>
    </row>
    <row r="227" spans="1:35" ht="14.25" customHeight="1">
      <c r="A227" s="1234"/>
      <c r="B227" s="1295"/>
      <c r="C227" s="1295"/>
      <c r="D227" s="1303"/>
      <c r="E227" s="1308" t="s">
        <v>385</v>
      </c>
      <c r="F227" s="1308"/>
      <c r="G227" s="1258" t="s">
        <v>1010</v>
      </c>
      <c r="H227" s="1234"/>
      <c r="I227" s="1234"/>
      <c r="J227" s="1234"/>
      <c r="K227" s="1366"/>
      <c r="L227" s="1309" t="str">
        <f>IF(AND(S10&lt;&gt;"",K227=""),"¬","")</f>
        <v/>
      </c>
      <c r="M227" s="1234"/>
      <c r="N227" s="1260" t="str">
        <f>IF(AND(S10&lt;&gt;"",K227=""),"Enter amount here.","")</f>
        <v/>
      </c>
      <c r="O227" s="1260"/>
      <c r="P227" s="1234"/>
      <c r="Q227" s="1291"/>
      <c r="R227" s="1291"/>
      <c r="S227" s="1291"/>
      <c r="T227" s="1291"/>
      <c r="U227" s="1291"/>
      <c r="V227" s="1237"/>
    </row>
    <row r="228" spans="1:35" ht="16.5" customHeight="1">
      <c r="A228" s="1234"/>
      <c r="B228" s="1295"/>
      <c r="C228" s="1295"/>
      <c r="D228" s="1303"/>
      <c r="E228" s="1308" t="s">
        <v>385</v>
      </c>
      <c r="F228" s="1308"/>
      <c r="G228" s="1258" t="s">
        <v>1011</v>
      </c>
      <c r="H228" s="1234"/>
      <c r="I228" s="1234"/>
      <c r="J228" s="1234"/>
      <c r="K228" s="1366"/>
      <c r="L228" s="1309" t="str">
        <f>IF(AND(S11&lt;&gt;"",K228=""),"¬","")</f>
        <v/>
      </c>
      <c r="M228" s="1234"/>
      <c r="N228" s="1260" t="str">
        <f>IF(AND(S11&lt;&gt;"",K228=""),"Enter amount here.","")</f>
        <v/>
      </c>
      <c r="O228" s="1260"/>
      <c r="P228" s="1585" t="s">
        <v>816</v>
      </c>
      <c r="Q228" s="1720" t="str">
        <f>IF(OR($U$136="No",$D$165),"",SUM(K226,K227,K228,K229))</f>
        <v/>
      </c>
      <c r="R228" s="1291"/>
      <c r="S228" s="1291"/>
      <c r="T228" s="1291"/>
      <c r="U228" s="1291"/>
      <c r="V228" s="1237"/>
    </row>
    <row r="229" spans="1:35" ht="12.75" customHeight="1">
      <c r="A229" s="1234"/>
      <c r="B229" s="1295"/>
      <c r="C229" s="1295"/>
      <c r="D229" s="1303"/>
      <c r="E229" s="1367" t="s">
        <v>385</v>
      </c>
      <c r="F229" s="1367"/>
      <c r="G229" s="1234" t="s">
        <v>1012</v>
      </c>
      <c r="H229" s="1234"/>
      <c r="I229" s="1234"/>
      <c r="J229" s="1234"/>
      <c r="K229" s="1366"/>
      <c r="L229" s="1309" t="str">
        <f>IF(AND(S12&lt;&gt;"",K229=""),"¬","")</f>
        <v/>
      </c>
      <c r="M229" s="1234"/>
      <c r="N229" s="1260" t="str">
        <f>IF(AND(S12&lt;&gt;"",K229=""),"Enter amount here.","")</f>
        <v/>
      </c>
      <c r="O229" s="1260"/>
      <c r="P229" s="1234"/>
      <c r="Q229" s="1291"/>
      <c r="R229" s="1291"/>
      <c r="S229" s="1291"/>
      <c r="T229" s="1291"/>
      <c r="U229" s="1291"/>
      <c r="V229" s="1237"/>
    </row>
    <row r="230" spans="1:35" ht="6" customHeight="1">
      <c r="A230" s="1234"/>
      <c r="B230" s="1295"/>
      <c r="C230" s="1295"/>
      <c r="D230" s="1291"/>
      <c r="E230" s="1296"/>
      <c r="F230" s="1296"/>
      <c r="G230" s="1297"/>
      <c r="H230" s="1297"/>
      <c r="I230" s="1297"/>
      <c r="J230" s="1297"/>
      <c r="K230" s="1298"/>
      <c r="L230" s="1297"/>
      <c r="M230" s="1297"/>
      <c r="N230" s="1297"/>
      <c r="O230" s="1297"/>
      <c r="P230" s="1234"/>
      <c r="Q230" s="1291"/>
      <c r="R230" s="1291"/>
      <c r="S230" s="1291"/>
      <c r="T230" s="1291"/>
      <c r="U230" s="1291"/>
      <c r="V230" s="1237"/>
    </row>
    <row r="231" spans="1:35" ht="15" customHeight="1">
      <c r="A231" s="1234"/>
      <c r="B231" s="1295"/>
      <c r="C231" s="1295"/>
      <c r="D231" s="1291"/>
      <c r="E231" s="1332"/>
      <c r="F231" s="1332"/>
      <c r="G231" s="1234"/>
      <c r="H231" s="1234"/>
      <c r="I231" s="1234"/>
      <c r="J231" s="1234"/>
      <c r="K231" s="1252"/>
      <c r="L231" s="1234"/>
      <c r="M231" s="1234"/>
      <c r="N231" s="1234"/>
      <c r="O231" s="1234"/>
      <c r="P231" s="1368" t="s">
        <v>537</v>
      </c>
      <c r="Q231" s="1234"/>
      <c r="R231" s="1234"/>
      <c r="S231" s="1234"/>
      <c r="T231" s="1234"/>
      <c r="U231" s="1234"/>
      <c r="V231" s="1237"/>
    </row>
    <row r="232" spans="1:35">
      <c r="A232" s="1234"/>
      <c r="B232" s="1295"/>
      <c r="C232" s="1295"/>
      <c r="D232" s="1291"/>
      <c r="E232" s="1235"/>
      <c r="F232" s="1235"/>
      <c r="G232" s="1234"/>
      <c r="H232" s="1234"/>
      <c r="I232" s="1234"/>
      <c r="J232" s="1234"/>
      <c r="K232" s="1252"/>
      <c r="L232" s="1234"/>
      <c r="M232" s="1234"/>
      <c r="N232" s="1234"/>
      <c r="O232" s="1291"/>
      <c r="P232" s="1368" t="str">
        <f>"line "&amp;P107&amp;" of the Child"</f>
        <v>line 14 of the Child</v>
      </c>
      <c r="Q232" s="1291"/>
      <c r="R232" s="1291"/>
      <c r="S232" s="1291"/>
      <c r="T232" s="1291"/>
      <c r="U232" s="1291"/>
      <c r="V232" s="1237"/>
    </row>
    <row r="233" spans="1:35">
      <c r="A233" s="1234"/>
      <c r="B233" s="1295"/>
      <c r="C233" s="1295"/>
      <c r="D233" s="1291"/>
      <c r="E233" s="1235"/>
      <c r="F233" s="1235"/>
      <c r="G233" s="1234"/>
      <c r="H233" s="1234"/>
      <c r="I233" s="1234"/>
      <c r="J233" s="1234"/>
      <c r="K233" s="1252"/>
      <c r="L233" s="1234"/>
      <c r="M233" s="1234"/>
      <c r="N233" s="1234"/>
      <c r="O233" s="1291"/>
      <c r="P233" s="4986" t="s">
        <v>4719</v>
      </c>
      <c r="Q233" s="1291"/>
      <c r="R233" s="1291"/>
      <c r="S233" s="1291"/>
      <c r="T233" s="1291"/>
      <c r="U233" s="1291"/>
      <c r="V233" s="1237"/>
    </row>
    <row r="234" spans="1:35">
      <c r="A234" s="1234"/>
      <c r="B234" s="1295"/>
      <c r="C234" s="1295"/>
      <c r="D234" s="1291"/>
      <c r="E234" s="1235"/>
      <c r="F234" s="1235"/>
      <c r="G234" s="1234"/>
      <c r="H234" s="1234"/>
      <c r="I234" s="1234"/>
      <c r="J234" s="1234"/>
      <c r="K234" s="1252"/>
      <c r="L234" s="1234"/>
      <c r="M234" s="1234"/>
      <c r="N234" s="1234"/>
      <c r="O234" s="1291"/>
      <c r="P234" s="4986" t="s">
        <v>4720</v>
      </c>
      <c r="Q234" s="1291"/>
      <c r="R234" s="1291"/>
      <c r="S234" s="1291"/>
      <c r="T234" s="1291"/>
      <c r="U234" s="1291"/>
      <c r="V234" s="1237"/>
    </row>
    <row r="235" spans="1:35">
      <c r="A235" s="1234"/>
      <c r="B235" s="1295"/>
      <c r="C235" s="1295"/>
      <c r="D235" s="1291"/>
      <c r="E235" s="1235"/>
      <c r="F235" s="1235"/>
      <c r="G235" s="1234"/>
      <c r="H235" s="1234"/>
      <c r="I235" s="1234"/>
      <c r="J235" s="1234"/>
      <c r="K235" s="1252"/>
      <c r="L235" s="1234"/>
      <c r="M235" s="1234"/>
      <c r="N235" s="1234"/>
      <c r="O235" s="1291"/>
      <c r="P235" s="4986" t="s">
        <v>4721</v>
      </c>
      <c r="Q235" s="1291"/>
      <c r="R235" s="1291"/>
      <c r="S235" s="1291"/>
      <c r="T235" s="1291"/>
      <c r="U235" s="1291"/>
      <c r="V235" s="1237"/>
    </row>
    <row r="236" spans="1:35" s="1375" customFormat="1" ht="6.75" customHeight="1">
      <c r="A236" s="1368"/>
      <c r="B236" s="1369"/>
      <c r="C236" s="1369"/>
      <c r="D236" s="1370"/>
      <c r="E236" s="1371"/>
      <c r="F236" s="1371"/>
      <c r="G236" s="1372"/>
      <c r="H236" s="1372"/>
      <c r="I236" s="1372"/>
      <c r="J236" s="1372"/>
      <c r="K236" s="1373"/>
      <c r="L236" s="1372"/>
      <c r="M236" s="1372"/>
      <c r="N236" s="1372"/>
      <c r="O236" s="1372"/>
      <c r="P236" s="1372"/>
      <c r="Q236" s="1372"/>
      <c r="R236" s="1368"/>
      <c r="S236" s="1368"/>
      <c r="T236" s="1368"/>
      <c r="U236" s="1368"/>
      <c r="V236" s="1374"/>
      <c r="W236" s="1374"/>
      <c r="X236" s="1374"/>
      <c r="Z236" s="3180"/>
      <c r="AA236" s="3180"/>
      <c r="AB236" s="3180"/>
      <c r="AC236" s="3180"/>
      <c r="AD236" s="3180"/>
      <c r="AE236" s="3180"/>
      <c r="AF236" s="3180"/>
      <c r="AG236" s="3180"/>
      <c r="AH236" s="3180"/>
      <c r="AI236" s="3180"/>
    </row>
    <row r="237" spans="1:35" ht="9" customHeight="1">
      <c r="A237" s="1234"/>
      <c r="B237" s="1234"/>
      <c r="C237" s="1234"/>
      <c r="D237" s="1235"/>
      <c r="E237" s="1234"/>
      <c r="F237" s="1234"/>
      <c r="G237" s="1234"/>
      <c r="H237" s="1234"/>
      <c r="I237" s="1234"/>
      <c r="J237" s="1234"/>
      <c r="K237" s="1236"/>
      <c r="L237" s="1234"/>
      <c r="M237" s="1234"/>
      <c r="N237" s="1234"/>
      <c r="O237" s="1234"/>
      <c r="P237" s="1234"/>
      <c r="Q237" s="1234"/>
      <c r="R237" s="1234"/>
      <c r="S237" s="1234"/>
      <c r="T237" s="1234"/>
      <c r="U237" s="1234"/>
      <c r="V237" s="1237"/>
    </row>
    <row r="238" spans="1:35" s="1379" customFormat="1" ht="41.25" customHeight="1" thickBot="1">
      <c r="A238" s="1376"/>
      <c r="B238" s="1719" t="str">
        <f>"Publication 972 ("&amp;TaxYear&amp;")"</f>
        <v>Publication 972 (2018)</v>
      </c>
      <c r="C238" s="1377"/>
      <c r="D238" s="1282"/>
      <c r="E238" s="1281"/>
      <c r="F238" s="1281"/>
      <c r="G238" s="1281"/>
      <c r="H238" s="1281"/>
      <c r="I238" s="1281"/>
      <c r="J238" s="1281"/>
      <c r="K238" s="1320"/>
      <c r="L238" s="1281"/>
      <c r="M238" s="1281"/>
      <c r="N238" s="1281"/>
      <c r="O238" s="1281"/>
      <c r="P238" s="1321"/>
      <c r="Q238" s="1319"/>
      <c r="R238" s="5010" t="s">
        <v>4722</v>
      </c>
      <c r="S238" s="1281"/>
      <c r="T238" s="1281"/>
      <c r="U238" s="1281"/>
      <c r="V238" s="1378"/>
      <c r="W238" s="1378"/>
      <c r="X238" s="1378"/>
      <c r="Z238" s="3181"/>
      <c r="AA238" s="3181"/>
      <c r="AB238" s="3181"/>
      <c r="AC238" s="3181"/>
      <c r="AD238" s="3181"/>
      <c r="AE238" s="3181"/>
      <c r="AF238" s="3181"/>
      <c r="AG238" s="3181"/>
      <c r="AH238" s="3181"/>
      <c r="AI238" s="3181"/>
    </row>
  </sheetData>
  <sheetProtection password="F07E" sheet="1" objects="1" scenarios="1"/>
  <mergeCells count="20">
    <mergeCell ref="B18:M18"/>
    <mergeCell ref="B19:M19"/>
    <mergeCell ref="N18:Q18"/>
    <mergeCell ref="B25:C25"/>
    <mergeCell ref="L29:O29"/>
    <mergeCell ref="P25:P26"/>
    <mergeCell ref="Q25:Q26"/>
    <mergeCell ref="B173:C173"/>
    <mergeCell ref="X25:X26"/>
    <mergeCell ref="P28:P29"/>
    <mergeCell ref="Q28:Q29"/>
    <mergeCell ref="X28:X29"/>
    <mergeCell ref="L26:O26"/>
    <mergeCell ref="B82:C82"/>
    <mergeCell ref="D165:E165"/>
    <mergeCell ref="B80:M80"/>
    <mergeCell ref="G144:H144"/>
    <mergeCell ref="E145:O145"/>
    <mergeCell ref="D169:E169"/>
    <mergeCell ref="D173:E173"/>
  </mergeCells>
  <conditionalFormatting sqref="E142:R142 E146:R146">
    <cfRule type="expression" dxfId="2460" priority="104" stopIfTrue="1">
      <formula>IF($U$142="No",1,0)</formula>
    </cfRule>
  </conditionalFormatting>
  <conditionalFormatting sqref="D13">
    <cfRule type="cellIs" dxfId="2459" priority="109" stopIfTrue="1" operator="equal">
      <formula>"Complete."</formula>
    </cfRule>
  </conditionalFormatting>
  <conditionalFormatting sqref="G170">
    <cfRule type="expression" dxfId="2458" priority="21">
      <formula>$D$169</formula>
    </cfRule>
    <cfRule type="expression" dxfId="2457" priority="101" stopIfTrue="1">
      <formula>IF(AND($E$164="X",NOT($D$165)),1,0)</formula>
    </cfRule>
  </conditionalFormatting>
  <conditionalFormatting sqref="K226">
    <cfRule type="expression" dxfId="2456" priority="92" stopIfTrue="1">
      <formula>IF(S9&lt;&gt;"",1,0)</formula>
    </cfRule>
  </conditionalFormatting>
  <conditionalFormatting sqref="K228">
    <cfRule type="expression" dxfId="2455" priority="89" stopIfTrue="1">
      <formula>IF(S11&lt;&gt;"",1,0)</formula>
    </cfRule>
  </conditionalFormatting>
  <conditionalFormatting sqref="K229">
    <cfRule type="expression" dxfId="2454" priority="88" stopIfTrue="1">
      <formula>IF(S12&lt;&gt;"",1,0)</formula>
    </cfRule>
  </conditionalFormatting>
  <conditionalFormatting sqref="S4">
    <cfRule type="expression" dxfId="2453" priority="87">
      <formula>IF(NoColor,1,0)</formula>
    </cfRule>
  </conditionalFormatting>
  <conditionalFormatting sqref="K26">
    <cfRule type="expression" dxfId="2452" priority="85">
      <formula>IF(NoColor,1,0)</formula>
    </cfRule>
  </conditionalFormatting>
  <conditionalFormatting sqref="Q25">
    <cfRule type="expression" dxfId="2451" priority="84">
      <formula>IF(NoColor,1,0)</formula>
    </cfRule>
  </conditionalFormatting>
  <conditionalFormatting sqref="O36">
    <cfRule type="expression" dxfId="2450" priority="83">
      <formula>IF(NoColor,1,0)</formula>
    </cfRule>
  </conditionalFormatting>
  <conditionalFormatting sqref="O46">
    <cfRule type="expression" dxfId="2449" priority="81">
      <formula>IF(NoColor,1,0)</formula>
    </cfRule>
  </conditionalFormatting>
  <conditionalFormatting sqref="O51">
    <cfRule type="expression" dxfId="2448" priority="80">
      <formula>IF(NoColor,1,0)</formula>
    </cfRule>
  </conditionalFormatting>
  <conditionalFormatting sqref="O58">
    <cfRule type="expression" dxfId="2447" priority="79">
      <formula>IF(NoColor,1,0)</formula>
    </cfRule>
  </conditionalFormatting>
  <conditionalFormatting sqref="Q65">
    <cfRule type="expression" dxfId="2446" priority="78">
      <formula>IF(NoColor,1,0)</formula>
    </cfRule>
  </conditionalFormatting>
  <conditionalFormatting sqref="E57">
    <cfRule type="expression" dxfId="2445" priority="77">
      <formula>IF(NoColor,1,0)</formula>
    </cfRule>
  </conditionalFormatting>
  <conditionalFormatting sqref="E59">
    <cfRule type="expression" dxfId="2444" priority="76">
      <formula>IF(NoColor,1,0)</formula>
    </cfRule>
  </conditionalFormatting>
  <conditionalFormatting sqref="E70">
    <cfRule type="expression" dxfId="2443" priority="75">
      <formula>IF(NoColor,1,0)</formula>
    </cfRule>
  </conditionalFormatting>
  <conditionalFormatting sqref="E75">
    <cfRule type="expression" dxfId="2442" priority="74">
      <formula>IF(NoColor,1,0)</formula>
    </cfRule>
  </conditionalFormatting>
  <conditionalFormatting sqref="E106">
    <cfRule type="expression" dxfId="2441" priority="73">
      <formula>IF(NoColor,1,0)</formula>
    </cfRule>
  </conditionalFormatting>
  <conditionalFormatting sqref="E108">
    <cfRule type="expression" dxfId="2440" priority="72">
      <formula>IF(NoColor,1,0)</formula>
    </cfRule>
  </conditionalFormatting>
  <conditionalFormatting sqref="E118">
    <cfRule type="expression" dxfId="2439" priority="71">
      <formula>IF(NoColor,1,0)</formula>
    </cfRule>
  </conditionalFormatting>
  <conditionalFormatting sqref="E116">
    <cfRule type="expression" dxfId="2438" priority="70">
      <formula>IF(NoColor,1,0)</formula>
    </cfRule>
  </conditionalFormatting>
  <conditionalFormatting sqref="E153">
    <cfRule type="expression" dxfId="2437" priority="69">
      <formula>IF(NoColor,1,0)</formula>
    </cfRule>
  </conditionalFormatting>
  <conditionalFormatting sqref="E155">
    <cfRule type="expression" dxfId="2436" priority="68">
      <formula>IF(NoColor,1,0)</formula>
    </cfRule>
  </conditionalFormatting>
  <conditionalFormatting sqref="E164">
    <cfRule type="expression" dxfId="2435" priority="67">
      <formula>IF(NoColor,1,0)</formula>
    </cfRule>
  </conditionalFormatting>
  <conditionalFormatting sqref="E172">
    <cfRule type="expression" dxfId="2434" priority="66">
      <formula>IF(NoColor,1,0)</formula>
    </cfRule>
  </conditionalFormatting>
  <conditionalFormatting sqref="E209">
    <cfRule type="expression" dxfId="2433" priority="65">
      <formula>IF(NoColor,1,0)</formula>
    </cfRule>
  </conditionalFormatting>
  <conditionalFormatting sqref="E211">
    <cfRule type="expression" dxfId="2432" priority="64">
      <formula>IF(NoColor,1,0)</formula>
    </cfRule>
  </conditionalFormatting>
  <conditionalFormatting sqref="Q74">
    <cfRule type="expression" dxfId="2431" priority="63">
      <formula>IF(NoColor,1,0)</formula>
    </cfRule>
  </conditionalFormatting>
  <conditionalFormatting sqref="Q82">
    <cfRule type="expression" dxfId="2430" priority="62">
      <formula>IF(NoColor,1,0)</formula>
    </cfRule>
  </conditionalFormatting>
  <conditionalFormatting sqref="Q107">
    <cfRule type="expression" dxfId="2429" priority="61">
      <formula>IF(NoColor,1,0)</formula>
    </cfRule>
  </conditionalFormatting>
  <conditionalFormatting sqref="Q118">
    <cfRule type="expression" dxfId="2428" priority="59">
      <formula>IF(NoColor,1,0)</formula>
    </cfRule>
  </conditionalFormatting>
  <conditionalFormatting sqref="Q140">
    <cfRule type="expression" dxfId="2427" priority="58">
      <formula>IF(NoColor,1,0)</formula>
    </cfRule>
  </conditionalFormatting>
  <conditionalFormatting sqref="Q159">
    <cfRule type="expression" dxfId="2426" priority="57">
      <formula>IF(NoColor,1,0)</formula>
    </cfRule>
  </conditionalFormatting>
  <conditionalFormatting sqref="Q199">
    <cfRule type="expression" dxfId="2425" priority="56">
      <formula>IF(NoColor,1,0)</formula>
    </cfRule>
  </conditionalFormatting>
  <conditionalFormatting sqref="Q202">
    <cfRule type="expression" dxfId="2424" priority="55">
      <formula>IF(NoColor,1,0)</formula>
    </cfRule>
  </conditionalFormatting>
  <conditionalFormatting sqref="Q210">
    <cfRule type="expression" dxfId="2423" priority="54">
      <formula>IF(NoColor,1,0)</formula>
    </cfRule>
  </conditionalFormatting>
  <conditionalFormatting sqref="Q228">
    <cfRule type="expression" dxfId="2422" priority="53">
      <formula>IF(NoColor,1,0)</formula>
    </cfRule>
  </conditionalFormatting>
  <conditionalFormatting sqref="U136">
    <cfRule type="expression" dxfId="2421" priority="50">
      <formula>IF(NoColor,1,0)</formula>
    </cfRule>
  </conditionalFormatting>
  <conditionalFormatting sqref="O147">
    <cfRule type="expression" dxfId="2420" priority="49">
      <formula>IF(NoColor,1,0)</formula>
    </cfRule>
  </conditionalFormatting>
  <conditionalFormatting sqref="O154">
    <cfRule type="expression" dxfId="2419" priority="48">
      <formula>IF(NoColor,1,0)</formula>
    </cfRule>
  </conditionalFormatting>
  <conditionalFormatting sqref="O180">
    <cfRule type="expression" dxfId="2418" priority="47">
      <formula>IF(NoColor,1,0)</formula>
    </cfRule>
  </conditionalFormatting>
  <conditionalFormatting sqref="O185">
    <cfRule type="expression" dxfId="2417" priority="46">
      <formula>IF(NoColor,1,0)</formula>
    </cfRule>
  </conditionalFormatting>
  <conditionalFormatting sqref="O190">
    <cfRule type="expression" dxfId="2416" priority="45">
      <formula>IF(NoColor,1,0)</formula>
    </cfRule>
  </conditionalFormatting>
  <conditionalFormatting sqref="O196">
    <cfRule type="expression" dxfId="2415" priority="44">
      <formula>IF(NoColor,1,0)</formula>
    </cfRule>
  </conditionalFormatting>
  <conditionalFormatting sqref="K86:K89">
    <cfRule type="expression" dxfId="2414" priority="43">
      <formula>IF(NoColor,1,0)</formula>
    </cfRule>
  </conditionalFormatting>
  <conditionalFormatting sqref="K91:K92">
    <cfRule type="expression" dxfId="2413" priority="42">
      <formula>IF(NoColor,1,0)</formula>
    </cfRule>
  </conditionalFormatting>
  <conditionalFormatting sqref="K95">
    <cfRule type="expression" dxfId="2412" priority="41">
      <formula>IF(NoColor,1,0)</formula>
    </cfRule>
  </conditionalFormatting>
  <conditionalFormatting sqref="R9:S12">
    <cfRule type="expression" dxfId="2411" priority="40">
      <formula>IF(NoColor,1,0)</formula>
    </cfRule>
  </conditionalFormatting>
  <conditionalFormatting sqref="R4">
    <cfRule type="expression" dxfId="2410" priority="39">
      <formula>IF(NoColor,1,0)</formula>
    </cfRule>
  </conditionalFormatting>
  <conditionalFormatting sqref="O41">
    <cfRule type="expression" dxfId="2409" priority="37">
      <formula>IF(NoColor,1,0)</formula>
    </cfRule>
  </conditionalFormatting>
  <conditionalFormatting sqref="K29">
    <cfRule type="expression" dxfId="2408" priority="31">
      <formula>IF(NoColor,1,0)</formula>
    </cfRule>
  </conditionalFormatting>
  <conditionalFormatting sqref="Q28">
    <cfRule type="expression" dxfId="2407" priority="30">
      <formula>IF(NoColor,1,0)</formula>
    </cfRule>
  </conditionalFormatting>
  <conditionalFormatting sqref="O33">
    <cfRule type="expression" dxfId="2406" priority="29">
      <formula>IF(NoColor,1,0)</formula>
    </cfRule>
  </conditionalFormatting>
  <conditionalFormatting sqref="Q98">
    <cfRule type="expression" dxfId="2405" priority="24">
      <formula>IF(NoColor,1,0)</formula>
    </cfRule>
  </conditionalFormatting>
  <conditionalFormatting sqref="Q144">
    <cfRule type="expression" dxfId="2404" priority="22">
      <formula>IF(NoColor,1,0)</formula>
    </cfRule>
  </conditionalFormatting>
  <conditionalFormatting sqref="L169">
    <cfRule type="expression" dxfId="2403" priority="19">
      <formula>$D$169</formula>
    </cfRule>
    <cfRule type="expression" dxfId="2402" priority="20" stopIfTrue="1">
      <formula>IF(AND($E$164="X",NOT($D$165)),1,0)</formula>
    </cfRule>
  </conditionalFormatting>
  <conditionalFormatting sqref="O167">
    <cfRule type="expression" dxfId="2401" priority="18">
      <formula>$D$165</formula>
    </cfRule>
  </conditionalFormatting>
  <conditionalFormatting sqref="G168">
    <cfRule type="expression" dxfId="2400" priority="17">
      <formula>$D$165</formula>
    </cfRule>
  </conditionalFormatting>
  <conditionalFormatting sqref="K165">
    <cfRule type="expression" dxfId="2399" priority="16">
      <formula>$D$165</formula>
    </cfRule>
  </conditionalFormatting>
  <conditionalFormatting sqref="L166">
    <cfRule type="expression" dxfId="2398" priority="15">
      <formula>$D$165</formula>
    </cfRule>
  </conditionalFormatting>
  <conditionalFormatting sqref="G167">
    <cfRule type="expression" dxfId="2397" priority="14">
      <formula>$D$165</formula>
    </cfRule>
  </conditionalFormatting>
  <conditionalFormatting sqref="G165">
    <cfRule type="expression" dxfId="2396" priority="13">
      <formula>$D$165</formula>
    </cfRule>
  </conditionalFormatting>
  <conditionalFormatting sqref="G166">
    <cfRule type="expression" dxfId="2395" priority="12">
      <formula>$D$165</formula>
    </cfRule>
  </conditionalFormatting>
  <conditionalFormatting sqref="G169">
    <cfRule type="expression" dxfId="2394" priority="10">
      <formula>$D$169</formula>
    </cfRule>
    <cfRule type="expression" dxfId="2393" priority="11" stopIfTrue="1">
      <formula>IF(AND($E$164="X",NOT($D$165)),1,0)</formula>
    </cfRule>
  </conditionalFormatting>
  <conditionalFormatting sqref="G172:G173">
    <cfRule type="expression" dxfId="2392" priority="2598" stopIfTrue="1">
      <formula>AND($E$172="X",$D$173)</formula>
    </cfRule>
  </conditionalFormatting>
  <conditionalFormatting sqref="L173">
    <cfRule type="expression" dxfId="2391" priority="9">
      <formula>AND($E$172&lt;&gt;"",NOT($D$173))</formula>
    </cfRule>
  </conditionalFormatting>
  <conditionalFormatting sqref="Q205">
    <cfRule type="expression" dxfId="2390" priority="8">
      <formula>IF(NoColor,1,0)</formula>
    </cfRule>
  </conditionalFormatting>
  <conditionalFormatting sqref="Q112">
    <cfRule type="expression" dxfId="2389" priority="7">
      <formula>IF(NoColor,1,0)</formula>
    </cfRule>
  </conditionalFormatting>
  <conditionalFormatting sqref="K90">
    <cfRule type="expression" dxfId="2388" priority="6">
      <formula>IF(NoColor,1,0)</formula>
    </cfRule>
  </conditionalFormatting>
  <conditionalFormatting sqref="K227">
    <cfRule type="expression" dxfId="2387" priority="5">
      <formula>IF(S10&lt;&gt;"",1,0)</formula>
    </cfRule>
  </conditionalFormatting>
  <conditionalFormatting sqref="H119">
    <cfRule type="expression" dxfId="2386" priority="4">
      <formula>$E$118&lt;&gt;""</formula>
    </cfRule>
  </conditionalFormatting>
  <conditionalFormatting sqref="H120">
    <cfRule type="expression" dxfId="2385" priority="3">
      <formula>$E$118&lt;&gt;""</formula>
    </cfRule>
  </conditionalFormatting>
  <conditionalFormatting sqref="H121">
    <cfRule type="expression" dxfId="2384" priority="2">
      <formula>$E$118&lt;&gt;""</formula>
    </cfRule>
  </conditionalFormatting>
  <conditionalFormatting sqref="K93">
    <cfRule type="expression" dxfId="2383" priority="1">
      <formula>IF(NoColor,1,0)</formula>
    </cfRule>
  </conditionalFormatting>
  <printOptions gridLines="1" gridLinesSet="0"/>
  <pageMargins left="0.54" right="0.27" top="0.42" bottom="0.34" header="0.41" footer="0.27"/>
  <pageSetup scale="85" fitToHeight="0" orientation="portrait" r:id="rId1"/>
  <headerFooter alignWithMargins="0"/>
  <rowBreaks count="4" manualBreakCount="4">
    <brk id="23" min="1" max="19" man="1"/>
    <brk id="78" min="1" max="16" man="1"/>
    <brk id="130" min="1" max="16" man="1"/>
    <brk id="192" min="1" max="16"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453"/>
  <sheetViews>
    <sheetView zoomScaleNormal="100" zoomScaleSheetLayoutView="100" workbookViewId="0">
      <pane ySplit="1" topLeftCell="A2" activePane="bottomLeft" state="frozen"/>
      <selection activeCell="O28" sqref="O28"/>
      <selection pane="bottomLeft" activeCell="N5" sqref="N5"/>
    </sheetView>
  </sheetViews>
  <sheetFormatPr defaultColWidth="9.140625" defaultRowHeight="12.75"/>
  <cols>
    <col min="1" max="1" width="9.7109375" style="24" customWidth="1"/>
    <col min="2" max="2" width="3.140625" style="43" customWidth="1"/>
    <col min="3" max="3" width="3.85546875" style="24" customWidth="1"/>
    <col min="4" max="7" width="9.140625" style="24"/>
    <col min="8" max="9" width="3.140625" style="24" customWidth="1"/>
    <col min="10" max="10" width="9.140625" style="24"/>
    <col min="11" max="11" width="10.28515625" style="24" customWidth="1"/>
    <col min="12" max="12" width="11" style="24" customWidth="1"/>
    <col min="13" max="13" width="10.140625" style="24" customWidth="1"/>
    <col min="14" max="14" width="10.42578125" style="14" customWidth="1"/>
    <col min="15" max="15" width="9.85546875" style="24" customWidth="1"/>
    <col min="16" max="16" width="1" style="24" customWidth="1"/>
    <col min="17" max="17" width="3" style="24" customWidth="1"/>
    <col min="18" max="18" width="1" style="24" customWidth="1"/>
    <col min="19" max="19" width="3" style="24" customWidth="1"/>
    <col min="20" max="20" width="1" style="24" customWidth="1"/>
    <col min="21" max="21" width="3" style="24" customWidth="1"/>
    <col min="22" max="22" width="1" style="24" customWidth="1"/>
    <col min="23" max="23" width="3" style="24" customWidth="1"/>
    <col min="24" max="24" width="1" style="24" customWidth="1"/>
    <col min="25" max="26" width="3" style="24" customWidth="1"/>
    <col min="27" max="39" width="9.140625" style="24"/>
    <col min="40" max="41" width="9.140625" style="14" hidden="1" customWidth="1"/>
    <col min="42" max="48" width="9.140625" style="24" hidden="1" customWidth="1"/>
    <col min="49" max="16384" width="9.140625" style="24"/>
  </cols>
  <sheetData>
    <row r="1" spans="1:48" s="127" customFormat="1" ht="42.75" customHeight="1">
      <c r="A1" s="2154" t="b">
        <f>IF(OR(H21&lt;&gt;"",H26&lt;&gt;"",B31&lt;&gt;"",B35&lt;&gt;"",AND(B59&lt;&gt;"",H63&lt;&gt;""),AND(H111&lt;&gt;"",H133&lt;&gt;""),B124&lt;&gt;"",H141&lt;&gt;"",H148&lt;&gt;"",AND(B105=0,B163&lt;&gt;""),B171&lt;&gt;"",H250&lt;&gt;"",L271=0,EarnedIncomeWSB&lt;=0,O406&lt;=0),TRUE,FALSE)</f>
        <v>0</v>
      </c>
      <c r="B1" s="2155">
        <f>IF(OR(H26&lt;&gt;"",B124&lt;&gt;"",B141&lt;&gt;"",H163&lt;&gt;"",AND(B265&lt;&gt;"",L271=0),AND(B323&lt;&gt;"",O378=0),B398&lt;&gt;"",AND($B$323&lt;&gt;"",O406=0)),1,0)</f>
        <v>0</v>
      </c>
      <c r="C1" s="2156" t="str">
        <f>IF(OR(TaxYear="",Adj_Gross_Inc=""),"Answer questions as indicated in blue.",IF(AND(AN1="",AO1="",AP1="",B265&lt;&gt;"",L308&gt;0),"Your Earned Income Credit is "&amp;TEXT(L308,"$0")&amp;" - as indicated on Worksheet A, Part 3, Step 6.",IF(AND(AN1="",AO1="",AP1="",B323&lt;&gt;"",O443&gt;0),"Your Earned Income Credit is "&amp;TEXT(O443,"$0")&amp;" - as indicated on Worksheet B, Part 7.",IF(AN1&lt;&gt;"",AN1,IF(AO1&lt;&gt;"",AO1,IF(AP1&lt;&gt;"",AP1,""))))))</f>
        <v>Please answer question at Step 1, Question 2.</v>
      </c>
      <c r="L1" s="2154"/>
      <c r="N1" s="4756" t="b">
        <f>OR(EIC_Line2_No&lt;&gt;"",EIC_Step3_Line3_Yes&lt;&gt;"",EIC_Step4_Line3_No&lt;&gt;"")</f>
        <v>0</v>
      </c>
      <c r="AA1" s="3202" t="s">
        <v>2552</v>
      </c>
      <c r="AB1" s="3176"/>
      <c r="AC1" s="3176"/>
      <c r="AD1" s="3176"/>
      <c r="AE1" s="3176"/>
      <c r="AF1" s="3176"/>
      <c r="AG1" s="3176"/>
      <c r="AH1" s="3176"/>
      <c r="AI1" s="3176"/>
      <c r="AJ1" s="3176"/>
      <c r="AK1" s="3176"/>
      <c r="AL1" s="3176"/>
      <c r="AN1" s="3183" t="str">
        <f>IF(AND(B78&lt;&gt;"",H80=""),"Check box at Step 2 if you can take the credit",IF(NoEICredit,"You cannot take the Earned Income Credit.",IF(AND(B26="",H26=""),"Please answer question at Step 1, Question 2.",IF(AND(B35="",H35=""),"Please answer question at Step 1, Question 4.",IF(AND(B39="",H39=""),"Please answer question at Step 1, Question 5.",IF(AND(B59&lt;&gt;"",B63=""),"Please answer question at Step 2, Question 3.",IF(AND(B68="",B70="",B73="",H78=""),"Please answer question at Step 2, Question 4.","")))))))</f>
        <v>Please answer question at Step 1, Question 2.</v>
      </c>
      <c r="AO1" s="3183" t="str">
        <f>IF(B105="","Please indicate number of qualifying children at Step 3.",IF(AND(B111&lt;&gt;"",B115&lt;&gt;"X",B124="",H124=""),"Please answer question at Step 3, Question 3.",IF(AND(H111&lt;&gt;"",B141="",H141=""),"Please answer question at Step 4, Question 2.",IF(AND(H111&lt;&gt;"",B148="",H148=""),"Please answer question at Step 4, Question 3.",IF(AND(H111&lt;&gt;"",B163="",H163=""),"Please answer question at Step 4, Question 5.","")))))</f>
        <v>Please indicate number of qualifying children at Step 3.</v>
      </c>
      <c r="AP1" s="3183" t="str">
        <f>IF(AND(B178="",H178=""),"Please answer question at Step 5, Question 1.",IF(AND(B233="",H233=""),"Please answer question at Step 5, Question 2.",IF(AND(H233&lt;&gt;"",B257="",H257=""),"Please answer question at Step 6, Question 1.",IF(AND(B323&lt;&gt;"",OR(O351="",R353="",R354="",R355="")),"Please enter values at Worksheet B, Part 2, Question 2.",""))))</f>
        <v>Please answer question at Step 5, Question 1.</v>
      </c>
      <c r="AQ1" s="3176"/>
      <c r="AR1" s="3176"/>
      <c r="AS1" s="3176"/>
      <c r="AT1" s="3176"/>
      <c r="AU1" s="3176"/>
      <c r="AV1" s="3176"/>
    </row>
    <row r="2" spans="1:48" s="137" customFormat="1" ht="15.75">
      <c r="A2" s="2157" t="s">
        <v>4387</v>
      </c>
      <c r="B2" s="2157"/>
      <c r="C2" s="2157"/>
      <c r="AA2" s="3184"/>
      <c r="AB2" s="3184"/>
      <c r="AC2" s="3184"/>
      <c r="AD2" s="3184"/>
      <c r="AE2" s="3184"/>
      <c r="AF2" s="3184"/>
      <c r="AG2" s="3184"/>
      <c r="AH2" s="3184"/>
      <c r="AI2" s="3184"/>
      <c r="AJ2" s="3184"/>
      <c r="AK2" s="3184"/>
      <c r="AL2" s="3184"/>
      <c r="AN2" s="3185"/>
      <c r="AO2" s="3185"/>
      <c r="AP2" s="3184"/>
      <c r="AQ2" s="3184"/>
      <c r="AR2" s="3184"/>
      <c r="AS2" s="3184"/>
      <c r="AT2" s="3184"/>
      <c r="AU2" s="3184"/>
      <c r="AV2" s="3184"/>
    </row>
    <row r="3" spans="1:48" s="137" customFormat="1" ht="15.75">
      <c r="A3" s="2157" t="s">
        <v>1599</v>
      </c>
      <c r="B3" s="2157"/>
      <c r="C3" s="2157"/>
      <c r="G3" s="4294"/>
      <c r="H3" s="140"/>
      <c r="I3" s="140"/>
      <c r="J3" s="140"/>
      <c r="K3" s="140"/>
      <c r="L3" s="140"/>
      <c r="M3" s="140"/>
      <c r="N3" s="140"/>
      <c r="O3" s="140"/>
      <c r="P3" s="140"/>
      <c r="Q3" s="140"/>
      <c r="R3" s="140"/>
      <c r="S3" s="140"/>
      <c r="T3" s="140"/>
      <c r="U3" s="140"/>
      <c r="V3" s="140"/>
      <c r="W3" s="140"/>
      <c r="X3" s="140"/>
      <c r="Y3" s="140"/>
      <c r="Z3" s="140"/>
      <c r="AA3" s="3184"/>
      <c r="AB3" s="3184"/>
      <c r="AC3" s="3184"/>
      <c r="AD3" s="3184"/>
      <c r="AE3" s="3184"/>
      <c r="AF3" s="3184"/>
      <c r="AG3" s="3184"/>
      <c r="AH3" s="3184"/>
      <c r="AI3" s="3184"/>
      <c r="AJ3" s="3184"/>
      <c r="AK3" s="3184"/>
      <c r="AL3" s="3184"/>
      <c r="AN3" s="3185"/>
      <c r="AO3" s="3185"/>
      <c r="AP3" s="3184"/>
      <c r="AQ3" s="3184"/>
      <c r="AR3" s="3184"/>
      <c r="AS3" s="3184"/>
      <c r="AT3" s="3184"/>
      <c r="AU3" s="3184"/>
      <c r="AV3" s="3184"/>
    </row>
    <row r="4" spans="1:48" ht="15.75" customHeight="1">
      <c r="A4" s="2159"/>
      <c r="B4" s="2159"/>
      <c r="C4" s="2159"/>
      <c r="H4" s="140"/>
      <c r="N4" s="321" t="s">
        <v>101</v>
      </c>
      <c r="AA4" s="3169"/>
      <c r="AB4" s="3169"/>
      <c r="AC4" s="3169"/>
      <c r="AD4" s="3169"/>
      <c r="AE4" s="3169"/>
      <c r="AF4" s="3169"/>
      <c r="AG4" s="3169"/>
      <c r="AH4" s="3169"/>
      <c r="AI4" s="3169"/>
      <c r="AJ4" s="3169"/>
      <c r="AK4" s="3169"/>
      <c r="AL4" s="3169"/>
      <c r="AN4" s="3186"/>
      <c r="AO4" s="3186"/>
      <c r="AP4" s="3169"/>
      <c r="AQ4" s="3169"/>
      <c r="AR4" s="3169"/>
      <c r="AS4" s="3169"/>
      <c r="AT4" s="3169"/>
      <c r="AU4" s="3169"/>
      <c r="AV4" s="3169"/>
    </row>
    <row r="5" spans="1:48" s="137" customFormat="1" ht="15.75">
      <c r="A5" s="2182" t="s">
        <v>1731</v>
      </c>
      <c r="B5" s="2183" t="s">
        <v>1735</v>
      </c>
      <c r="C5" s="2157"/>
      <c r="G5" s="24"/>
      <c r="H5" s="140"/>
      <c r="I5" s="24"/>
      <c r="J5" s="24"/>
      <c r="K5" s="24"/>
      <c r="L5" s="24"/>
      <c r="M5" s="140" t="s">
        <v>4931</v>
      </c>
      <c r="N5" s="5173"/>
      <c r="O5" s="24"/>
      <c r="P5" s="24"/>
      <c r="Q5" s="24"/>
      <c r="R5" s="24"/>
      <c r="S5" s="24"/>
      <c r="T5" s="24"/>
      <c r="U5" s="24"/>
      <c r="V5" s="24"/>
      <c r="W5" s="24"/>
      <c r="X5" s="24"/>
      <c r="Y5" s="24"/>
      <c r="Z5" s="24"/>
      <c r="AA5" s="3184"/>
      <c r="AB5" s="3184"/>
      <c r="AC5" s="3184"/>
      <c r="AD5" s="3184"/>
      <c r="AE5" s="3184"/>
      <c r="AF5" s="3184"/>
      <c r="AG5" s="3184"/>
      <c r="AH5" s="3184"/>
      <c r="AI5" s="3184"/>
      <c r="AJ5" s="3184"/>
      <c r="AK5" s="3184"/>
      <c r="AL5" s="3184"/>
      <c r="AN5" s="3185"/>
      <c r="AO5" s="3185"/>
      <c r="AP5" s="3184"/>
      <c r="AQ5" s="3184"/>
      <c r="AR5" s="3184"/>
      <c r="AS5" s="3184"/>
      <c r="AT5" s="3184"/>
      <c r="AU5" s="3184"/>
      <c r="AV5" s="3184"/>
    </row>
    <row r="6" spans="1:48">
      <c r="H6" s="140"/>
      <c r="N6" s="5172">
        <f>IF(N5&lt;&gt;"",ROUND(N5,0),Qual_Child_Count)</f>
        <v>0</v>
      </c>
      <c r="AA6" s="3169"/>
      <c r="AB6" s="3169"/>
      <c r="AC6" s="3169"/>
      <c r="AD6" s="3169"/>
      <c r="AE6" s="3169"/>
      <c r="AF6" s="3169"/>
      <c r="AG6" s="3169"/>
      <c r="AH6" s="3169"/>
      <c r="AI6" s="3169"/>
      <c r="AJ6" s="3169"/>
      <c r="AK6" s="3169"/>
      <c r="AL6" s="3169"/>
      <c r="AN6" s="3186"/>
      <c r="AO6" s="3186"/>
      <c r="AP6" s="3169"/>
      <c r="AQ6" s="3169"/>
      <c r="AR6" s="3169"/>
      <c r="AS6" s="3169"/>
      <c r="AT6" s="3169"/>
      <c r="AU6" s="3169"/>
      <c r="AV6" s="3169"/>
    </row>
    <row r="7" spans="1:48">
      <c r="C7" s="2161" t="s">
        <v>336</v>
      </c>
      <c r="D7" s="24" t="str">
        <f>"If, in "&amp;TaxYear&amp;":"</f>
        <v>If, in 2018:</v>
      </c>
      <c r="N7" s="24"/>
      <c r="AA7" s="3169"/>
      <c r="AB7" s="3169"/>
      <c r="AC7" s="3169"/>
      <c r="AD7" s="3169"/>
      <c r="AE7" s="3169"/>
      <c r="AF7" s="3169"/>
      <c r="AG7" s="3169"/>
      <c r="AH7" s="3169"/>
      <c r="AI7" s="3169"/>
      <c r="AJ7" s="3169"/>
      <c r="AK7" s="3169"/>
      <c r="AL7" s="3169"/>
      <c r="AN7" s="3186"/>
      <c r="AO7" s="3186"/>
      <c r="AP7" s="3169"/>
      <c r="AQ7" s="3169"/>
      <c r="AR7" s="3169"/>
      <c r="AS7" s="3169"/>
      <c r="AT7" s="3169"/>
      <c r="AU7" s="3169"/>
      <c r="AV7" s="3169"/>
    </row>
    <row r="8" spans="1:48" ht="7.5" customHeight="1">
      <c r="N8" s="55"/>
      <c r="AA8" s="3169"/>
      <c r="AB8" s="3169"/>
      <c r="AC8" s="3169"/>
      <c r="AD8" s="3169"/>
      <c r="AE8" s="3169"/>
      <c r="AF8" s="3169"/>
      <c r="AG8" s="3169"/>
      <c r="AH8" s="3169"/>
      <c r="AI8" s="3169"/>
      <c r="AJ8" s="3169"/>
      <c r="AK8" s="3169"/>
      <c r="AL8" s="3169"/>
      <c r="AN8" s="3186"/>
      <c r="AO8" s="3186"/>
      <c r="AP8" s="3169"/>
      <c r="AQ8" s="3169"/>
      <c r="AR8" s="3169"/>
      <c r="AS8" s="3169"/>
      <c r="AT8" s="3169"/>
      <c r="AU8" s="3169"/>
      <c r="AV8" s="3169"/>
    </row>
    <row r="9" spans="1:48">
      <c r="B9" s="2279" t="str">
        <f>IF(OR(NumFileStatusBoxes=0,Adj_Gross_Inc=""),"",IF(N6&gt;=3,"®",""))</f>
        <v/>
      </c>
      <c r="C9" s="140" t="s">
        <v>1600</v>
      </c>
      <c r="D9" s="74" t="s">
        <v>1671</v>
      </c>
      <c r="N9" s="55"/>
      <c r="AA9" s="3169"/>
      <c r="AB9" s="3169"/>
      <c r="AC9" s="3169"/>
      <c r="AD9" s="3169"/>
      <c r="AE9" s="3169"/>
      <c r="AF9" s="3169"/>
      <c r="AG9" s="3169"/>
      <c r="AH9" s="3169"/>
      <c r="AI9" s="3169"/>
      <c r="AJ9" s="3169"/>
      <c r="AK9" s="3169"/>
      <c r="AL9" s="3169"/>
      <c r="AN9" s="3186"/>
      <c r="AO9" s="3186"/>
      <c r="AP9" s="3169"/>
      <c r="AQ9" s="3169"/>
      <c r="AR9" s="3169"/>
      <c r="AS9" s="3169"/>
      <c r="AT9" s="3169"/>
      <c r="AU9" s="3169"/>
      <c r="AV9" s="3169"/>
    </row>
    <row r="10" spans="1:48">
      <c r="B10" s="2162"/>
      <c r="D10" s="24" t="str">
        <f>"Is the amount on Form 1040, line 7, less than "&amp;TEXT(N10,"$0,000")&amp;" ("&amp;TEXT(O10,"$0,000")&amp;" if married filing jointly)?"</f>
        <v>Is the amount on Form 1040, line 7, less than $49,194 ($54,884 if married filing jointly)?</v>
      </c>
      <c r="M10" s="2280" t="str">
        <f>IF(B9&lt;&gt;"®","",IF(Adj_Gross_Inc&lt;N11,"Yes","No"))</f>
        <v/>
      </c>
      <c r="N10" s="14">
        <v>49194</v>
      </c>
      <c r="O10" s="14">
        <v>54884</v>
      </c>
      <c r="AA10" s="3169"/>
      <c r="AB10" s="3169"/>
      <c r="AC10" s="3169"/>
      <c r="AD10" s="3169"/>
      <c r="AE10" s="3169"/>
      <c r="AF10" s="3169"/>
      <c r="AG10" s="3169"/>
      <c r="AH10" s="3169"/>
      <c r="AI10" s="3169"/>
      <c r="AJ10" s="3169"/>
      <c r="AK10" s="3169"/>
      <c r="AL10" s="3169"/>
      <c r="AN10" s="3186"/>
      <c r="AO10" s="3186"/>
      <c r="AP10" s="3169"/>
      <c r="AQ10" s="3169"/>
      <c r="AR10" s="3169"/>
      <c r="AS10" s="3169"/>
      <c r="AT10" s="3169"/>
      <c r="AU10" s="3169"/>
      <c r="AV10" s="3169"/>
    </row>
    <row r="11" spans="1:48">
      <c r="B11" s="2162"/>
      <c r="C11" s="43" t="s">
        <v>274</v>
      </c>
      <c r="N11" s="14">
        <f>IF(File_Marr_Joint&lt;&gt;"",O10,N10)</f>
        <v>49194</v>
      </c>
      <c r="AA11" s="3169"/>
      <c r="AB11" s="3169"/>
      <c r="AC11" s="3169"/>
      <c r="AD11" s="3169"/>
      <c r="AE11" s="3169"/>
      <c r="AF11" s="3169"/>
      <c r="AG11" s="3169"/>
      <c r="AH11" s="3169"/>
      <c r="AI11" s="3169"/>
      <c r="AJ11" s="3169"/>
      <c r="AK11" s="3169"/>
      <c r="AL11" s="3169"/>
      <c r="AN11" s="3186"/>
      <c r="AO11" s="3186"/>
      <c r="AP11" s="3169"/>
      <c r="AQ11" s="3169"/>
      <c r="AR11" s="3169"/>
      <c r="AS11" s="3169"/>
      <c r="AT11" s="3169"/>
      <c r="AU11" s="3169"/>
      <c r="AV11" s="3169"/>
    </row>
    <row r="12" spans="1:48">
      <c r="B12" s="2279" t="str">
        <f>IF(OR(NumFileStatusBoxes=0,Adj_Gross_Inc=""),"",IF(N6=2,"®",""))</f>
        <v/>
      </c>
      <c r="C12" s="140" t="s">
        <v>1600</v>
      </c>
      <c r="D12" s="74" t="s">
        <v>1672</v>
      </c>
      <c r="N12" s="55"/>
      <c r="AA12" s="3169"/>
      <c r="AB12" s="3169"/>
      <c r="AC12" s="3169"/>
      <c r="AD12" s="3169"/>
      <c r="AE12" s="3169"/>
      <c r="AF12" s="3169"/>
      <c r="AG12" s="3169"/>
      <c r="AH12" s="3169"/>
      <c r="AI12" s="3169"/>
      <c r="AJ12" s="3169"/>
      <c r="AK12" s="3169"/>
      <c r="AL12" s="3169"/>
      <c r="AN12" s="3186"/>
      <c r="AO12" s="3186"/>
      <c r="AP12" s="3169"/>
      <c r="AQ12" s="3169"/>
      <c r="AR12" s="3169"/>
      <c r="AS12" s="3169"/>
      <c r="AT12" s="3169"/>
      <c r="AU12" s="3169"/>
      <c r="AV12" s="3169"/>
    </row>
    <row r="13" spans="1:48">
      <c r="B13" s="2162"/>
      <c r="D13" s="24" t="str">
        <f>"Is the amount on Form 1040, line 7, less than "&amp;TEXT(N13,"$0,000")&amp;" ("&amp;TEXT(O13,"$0,000")&amp;" if married filing jointly)?"</f>
        <v>Is the amount on Form 1040, line 7, less than $45,802 ($51,492 if married filing jointly)?</v>
      </c>
      <c r="M13" s="2280" t="str">
        <f>IF(B12&lt;&gt;"®","",IF(Adj_Gross_Inc&lt;N14,"Yes","No"))</f>
        <v/>
      </c>
      <c r="N13" s="14">
        <v>45802</v>
      </c>
      <c r="O13" s="14">
        <v>51492</v>
      </c>
      <c r="AA13" s="3169"/>
      <c r="AB13" s="3169"/>
      <c r="AC13" s="3169"/>
      <c r="AD13" s="3169"/>
      <c r="AE13" s="3169"/>
      <c r="AF13" s="3169"/>
      <c r="AG13" s="3169"/>
      <c r="AH13" s="3169"/>
      <c r="AI13" s="3169"/>
      <c r="AJ13" s="3169"/>
      <c r="AK13" s="3169"/>
      <c r="AL13" s="3169"/>
      <c r="AN13" s="3186"/>
      <c r="AO13" s="3186"/>
      <c r="AP13" s="3169"/>
      <c r="AQ13" s="3169"/>
      <c r="AR13" s="3169"/>
      <c r="AS13" s="3169"/>
      <c r="AT13" s="3169"/>
      <c r="AU13" s="3169"/>
      <c r="AV13" s="3169"/>
    </row>
    <row r="14" spans="1:48">
      <c r="B14" s="2162"/>
      <c r="C14" s="43" t="s">
        <v>274</v>
      </c>
      <c r="N14" s="14">
        <f>IF(File_Marr_Joint&lt;&gt;"",O13,N13)</f>
        <v>45802</v>
      </c>
      <c r="AA14" s="3169"/>
      <c r="AB14" s="3169"/>
      <c r="AC14" s="3169"/>
      <c r="AD14" s="3169"/>
      <c r="AE14" s="3169"/>
      <c r="AF14" s="3169"/>
      <c r="AG14" s="3169"/>
      <c r="AH14" s="3169"/>
      <c r="AI14" s="3169"/>
      <c r="AJ14" s="3169"/>
      <c r="AK14" s="3169"/>
      <c r="AL14" s="3169"/>
      <c r="AN14" s="3186"/>
      <c r="AO14" s="3186"/>
      <c r="AP14" s="3169"/>
      <c r="AQ14" s="3169"/>
      <c r="AR14" s="3169"/>
      <c r="AS14" s="3169"/>
      <c r="AT14" s="3169"/>
      <c r="AU14" s="3169"/>
      <c r="AV14" s="3169"/>
    </row>
    <row r="15" spans="1:48">
      <c r="B15" s="2279" t="str">
        <f>IF(OR(NumFileStatusBoxes=0,Adj_Gross_Inc=""),"",IF(N6=1,"®",""))</f>
        <v/>
      </c>
      <c r="C15" s="140" t="s">
        <v>1600</v>
      </c>
      <c r="D15" s="74" t="s">
        <v>1673</v>
      </c>
      <c r="AA15" s="3169"/>
      <c r="AB15" s="3169"/>
      <c r="AC15" s="3169"/>
      <c r="AD15" s="3169"/>
      <c r="AE15" s="3169"/>
      <c r="AF15" s="3169"/>
      <c r="AG15" s="3169"/>
      <c r="AH15" s="3169"/>
      <c r="AI15" s="3169"/>
      <c r="AJ15" s="3169"/>
      <c r="AK15" s="3169"/>
      <c r="AL15" s="3169"/>
      <c r="AN15" s="3186"/>
      <c r="AO15" s="3186"/>
      <c r="AP15" s="3169"/>
      <c r="AQ15" s="3169"/>
      <c r="AR15" s="3169"/>
      <c r="AS15" s="3169"/>
      <c r="AT15" s="3169"/>
      <c r="AU15" s="3169"/>
      <c r="AV15" s="3169"/>
    </row>
    <row r="16" spans="1:48">
      <c r="B16" s="2162"/>
      <c r="D16" s="24" t="str">
        <f>"Is the amount on Form 1040, line 7, less than "&amp;TEXT(N16,"$0,000")&amp;" ("&amp;TEXT(O16,"$0,000")&amp;" if married filing jointly)?"</f>
        <v>Is the amount on Form 1040, line 7, less than $40,320 ($46,010 if married filing jointly)?</v>
      </c>
      <c r="M16" s="2280" t="str">
        <f>IF(B15&lt;&gt;"®","",IF(Adj_Gross_Inc&lt;N17,"Yes","No"))</f>
        <v/>
      </c>
      <c r="N16" s="14">
        <v>40320</v>
      </c>
      <c r="O16" s="14">
        <v>46010</v>
      </c>
      <c r="AA16" s="3169"/>
      <c r="AB16" s="3169"/>
      <c r="AC16" s="3169"/>
      <c r="AD16" s="3169"/>
      <c r="AE16" s="3169"/>
      <c r="AF16" s="3169"/>
      <c r="AG16" s="3169"/>
      <c r="AH16" s="3169"/>
      <c r="AI16" s="3169"/>
      <c r="AJ16" s="3169"/>
      <c r="AK16" s="3169"/>
      <c r="AL16" s="3169"/>
      <c r="AN16" s="3186"/>
      <c r="AO16" s="3186"/>
      <c r="AP16" s="3169"/>
      <c r="AQ16" s="3169"/>
      <c r="AR16" s="3169"/>
      <c r="AS16" s="3169"/>
      <c r="AT16" s="3169"/>
      <c r="AU16" s="3169"/>
      <c r="AV16" s="3169"/>
    </row>
    <row r="17" spans="1:48">
      <c r="B17" s="2162"/>
      <c r="C17" s="43" t="s">
        <v>274</v>
      </c>
      <c r="N17" s="14">
        <f>IF(File_Marr_Joint&lt;&gt;"",O16,N16)</f>
        <v>40320</v>
      </c>
      <c r="AA17" s="3169"/>
      <c r="AB17" s="3169"/>
      <c r="AC17" s="3169"/>
      <c r="AD17" s="3169"/>
      <c r="AE17" s="3169"/>
      <c r="AF17" s="3169"/>
      <c r="AG17" s="3169"/>
      <c r="AH17" s="3169"/>
      <c r="AI17" s="3169"/>
      <c r="AJ17" s="3169"/>
      <c r="AK17" s="3169"/>
      <c r="AL17" s="3169"/>
      <c r="AN17" s="3186"/>
      <c r="AO17" s="3186"/>
      <c r="AP17" s="3169"/>
      <c r="AQ17" s="3169"/>
      <c r="AR17" s="3169"/>
      <c r="AS17" s="3169"/>
      <c r="AT17" s="3169"/>
      <c r="AU17" s="3169"/>
      <c r="AV17" s="3169"/>
    </row>
    <row r="18" spans="1:48">
      <c r="B18" s="2279" t="str">
        <f>IF(OR(NumFileStatusBoxes=0,Adj_Gross_Inc=""),"",IF(N6=0,"®",""))</f>
        <v/>
      </c>
      <c r="C18" s="140" t="s">
        <v>1600</v>
      </c>
      <c r="D18" s="74" t="s">
        <v>1674</v>
      </c>
      <c r="AA18" s="3169"/>
      <c r="AB18" s="3169"/>
      <c r="AC18" s="3169"/>
      <c r="AD18" s="3169"/>
      <c r="AE18" s="3169"/>
      <c r="AF18" s="3169"/>
      <c r="AG18" s="3169"/>
      <c r="AH18" s="3169"/>
      <c r="AI18" s="3169"/>
      <c r="AJ18" s="3169"/>
      <c r="AK18" s="3169"/>
      <c r="AL18" s="3169"/>
      <c r="AN18" s="3186"/>
      <c r="AO18" s="3186"/>
      <c r="AP18" s="3169"/>
      <c r="AQ18" s="3169"/>
      <c r="AR18" s="3169"/>
      <c r="AS18" s="3169"/>
      <c r="AT18" s="3169"/>
      <c r="AU18" s="3169"/>
      <c r="AV18" s="3169"/>
    </row>
    <row r="19" spans="1:48">
      <c r="D19" s="24" t="str">
        <f>"Is the amount on Form 1040, line 7, less than "&amp;TEXT(N19,"$0,000")&amp;" ("&amp;TEXT(O19,"$0,000")&amp;" if married filing jointly)?"</f>
        <v>Is the amount on Form 1040, line 7, less than $15,270 ($20,950 if married filing jointly)?</v>
      </c>
      <c r="M19" s="2280" t="str">
        <f>IF(B18&lt;&gt;"®","",IF(Adj_Gross_Inc&lt;N20,"Yes","No"))</f>
        <v/>
      </c>
      <c r="N19" s="14">
        <v>15270</v>
      </c>
      <c r="O19" s="14">
        <v>20950</v>
      </c>
      <c r="AA19" s="3169"/>
      <c r="AB19" s="3169"/>
      <c r="AC19" s="3169"/>
      <c r="AD19" s="3169"/>
      <c r="AE19" s="3169"/>
      <c r="AF19" s="3169"/>
      <c r="AG19" s="3169"/>
      <c r="AH19" s="3169"/>
      <c r="AI19" s="3169"/>
      <c r="AJ19" s="3169"/>
      <c r="AK19" s="3169"/>
      <c r="AL19" s="3169"/>
      <c r="AN19" s="3186"/>
      <c r="AO19" s="3186"/>
      <c r="AP19" s="3169"/>
      <c r="AQ19" s="3169"/>
      <c r="AR19" s="3169"/>
      <c r="AS19" s="3169"/>
      <c r="AT19" s="3169"/>
      <c r="AU19" s="3169"/>
      <c r="AV19" s="3169"/>
    </row>
    <row r="20" spans="1:48">
      <c r="N20" s="14">
        <f>IF(File_Marr_Joint&lt;&gt;"",O19,N19)</f>
        <v>15270</v>
      </c>
      <c r="AA20" s="3169"/>
      <c r="AB20" s="3169"/>
      <c r="AC20" s="3169"/>
      <c r="AD20" s="3169"/>
      <c r="AE20" s="3169"/>
      <c r="AF20" s="3169"/>
      <c r="AG20" s="3169"/>
      <c r="AH20" s="3169"/>
      <c r="AI20" s="3169"/>
      <c r="AJ20" s="3169"/>
      <c r="AK20" s="3169"/>
      <c r="AL20" s="3169"/>
      <c r="AN20" s="3186"/>
      <c r="AO20" s="3186"/>
      <c r="AP20" s="3169"/>
      <c r="AQ20" s="3169"/>
      <c r="AR20" s="3169"/>
      <c r="AS20" s="3169"/>
      <c r="AT20" s="3169"/>
      <c r="AU20" s="3169"/>
      <c r="AV20" s="3169"/>
    </row>
    <row r="21" spans="1:48" ht="15">
      <c r="B21" s="2526" t="str">
        <f>IF(OR(M10="Yes",M13="Yes",M16="Yes",M19="Yes"),"X","")</f>
        <v/>
      </c>
      <c r="D21" s="74" t="s">
        <v>3984</v>
      </c>
      <c r="H21" s="2526" t="str">
        <f>IF(OR(NumFileStatusBoxes&lt;&gt;1,AND(M10="",M13="",M16="",M19="")),"",IF(OR(M10="Yes",M13="Yes",M16="Yes",M19="Yes"),"","X"))</f>
        <v/>
      </c>
      <c r="J21" s="423" t="s">
        <v>3986</v>
      </c>
      <c r="AA21" s="3169"/>
      <c r="AB21" s="3169"/>
      <c r="AC21" s="3169"/>
      <c r="AD21" s="3169"/>
      <c r="AE21" s="3169"/>
      <c r="AF21" s="3169"/>
      <c r="AG21" s="3169"/>
      <c r="AH21" s="3169"/>
      <c r="AI21" s="3169"/>
      <c r="AJ21" s="3169"/>
      <c r="AK21" s="3169"/>
      <c r="AL21" s="3169"/>
      <c r="AN21" s="3186"/>
      <c r="AO21" s="3186"/>
      <c r="AP21" s="3169"/>
      <c r="AQ21" s="3169"/>
      <c r="AR21" s="3169"/>
      <c r="AS21" s="3169"/>
      <c r="AT21" s="3169"/>
      <c r="AU21" s="3169"/>
      <c r="AV21" s="3169"/>
    </row>
    <row r="22" spans="1:48">
      <c r="AA22" s="3169"/>
      <c r="AB22" s="3169"/>
      <c r="AC22" s="3169"/>
      <c r="AD22" s="3169"/>
      <c r="AE22" s="3169"/>
      <c r="AF22" s="3169"/>
      <c r="AG22" s="3169"/>
      <c r="AH22" s="3169"/>
      <c r="AI22" s="3169"/>
      <c r="AJ22" s="3169"/>
      <c r="AK22" s="3169"/>
      <c r="AL22" s="3169"/>
      <c r="AN22" s="3186"/>
      <c r="AO22" s="3186"/>
      <c r="AP22" s="3169"/>
      <c r="AQ22" s="3169"/>
      <c r="AR22" s="3169"/>
      <c r="AS22" s="3169"/>
      <c r="AT22" s="3169"/>
      <c r="AU22" s="3169"/>
      <c r="AV22" s="3169"/>
    </row>
    <row r="23" spans="1:48">
      <c r="C23" s="2161" t="s">
        <v>0</v>
      </c>
      <c r="D23" s="74" t="s">
        <v>3971</v>
      </c>
      <c r="AA23" s="3169"/>
      <c r="AB23" s="3169"/>
      <c r="AC23" s="3169"/>
      <c r="AD23" s="3169"/>
      <c r="AE23" s="3169"/>
      <c r="AF23" s="3169"/>
      <c r="AG23" s="3169"/>
      <c r="AH23" s="3169"/>
      <c r="AI23" s="3169"/>
      <c r="AJ23" s="3169"/>
      <c r="AK23" s="3169"/>
      <c r="AL23" s="3169"/>
      <c r="AN23" s="3186"/>
      <c r="AO23" s="3186"/>
      <c r="AP23" s="3169"/>
      <c r="AQ23" s="3169"/>
      <c r="AR23" s="3169"/>
      <c r="AS23" s="3169"/>
      <c r="AT23" s="3169"/>
      <c r="AU23" s="3169"/>
      <c r="AV23" s="3169"/>
    </row>
    <row r="24" spans="1:48">
      <c r="D24" s="74" t="str">
        <f>"of your "&amp;TaxYear&amp;" return (including extensions) that allows you to work and is valid for EIC purposes?"</f>
        <v>of your 2018 return (including extensions) that allows you to work and is valid for EIC purposes?</v>
      </c>
      <c r="AA24" s="3169"/>
      <c r="AB24" s="3169"/>
      <c r="AC24" s="3169"/>
      <c r="AD24" s="3169"/>
      <c r="AE24" s="3169"/>
      <c r="AF24" s="3169"/>
      <c r="AG24" s="3169"/>
      <c r="AH24" s="3169"/>
      <c r="AI24" s="3169"/>
      <c r="AJ24" s="3169"/>
      <c r="AK24" s="3169"/>
      <c r="AL24" s="3169"/>
      <c r="AN24" s="3186"/>
      <c r="AO24" s="3186"/>
      <c r="AP24" s="3169"/>
      <c r="AQ24" s="3169"/>
      <c r="AR24" s="3169"/>
      <c r="AS24" s="3169"/>
      <c r="AT24" s="3169"/>
      <c r="AU24" s="3169"/>
      <c r="AV24" s="3169"/>
    </row>
    <row r="25" spans="1:48">
      <c r="AA25" s="3169"/>
      <c r="AB25" s="3169"/>
      <c r="AC25" s="3169"/>
      <c r="AD25" s="3169"/>
      <c r="AE25" s="3169"/>
      <c r="AF25" s="3169"/>
      <c r="AG25" s="3169"/>
      <c r="AH25" s="3169"/>
      <c r="AI25" s="3169"/>
      <c r="AJ25" s="3169"/>
      <c r="AK25" s="3169"/>
      <c r="AL25" s="3169"/>
      <c r="AN25" s="3186"/>
      <c r="AO25" s="3186"/>
      <c r="AP25" s="3169"/>
      <c r="AQ25" s="3169"/>
      <c r="AR25" s="3169"/>
      <c r="AS25" s="3169"/>
      <c r="AT25" s="3169"/>
      <c r="AU25" s="3169"/>
      <c r="AV25" s="3169"/>
    </row>
    <row r="26" spans="1:48">
      <c r="A26" s="1440" t="b">
        <f>AND(EIC_Line2_No="",OR(AND(File_Marr_Joint&lt;&gt;"",SS_Yours&lt;&gt;"",SS_Spouse&lt;&gt;""),AND(File_Marr_Joint="",SS_Yours&lt;&gt;"")))</f>
        <v>0</v>
      </c>
      <c r="B26" s="2526" t="str">
        <f>IF(A26,"X","")</f>
        <v/>
      </c>
      <c r="D26" s="74" t="s">
        <v>3984</v>
      </c>
      <c r="H26" s="1669"/>
      <c r="J26" s="74" t="s">
        <v>3985</v>
      </c>
      <c r="AA26" s="3169"/>
      <c r="AB26" s="3169"/>
      <c r="AC26" s="3169"/>
      <c r="AD26" s="3169"/>
      <c r="AE26" s="3169"/>
      <c r="AF26" s="3169"/>
      <c r="AG26" s="3169"/>
      <c r="AH26" s="3169"/>
      <c r="AI26" s="3169"/>
      <c r="AJ26" s="3169"/>
      <c r="AK26" s="3169"/>
      <c r="AL26" s="3169"/>
      <c r="AN26" s="3186"/>
      <c r="AO26" s="3186"/>
      <c r="AP26" s="3169"/>
      <c r="AQ26" s="3169"/>
      <c r="AR26" s="3169"/>
      <c r="AS26" s="3169"/>
      <c r="AT26" s="3169"/>
      <c r="AU26" s="3169"/>
      <c r="AV26" s="3169"/>
    </row>
    <row r="27" spans="1:48">
      <c r="D27" s="2199" t="str">
        <f>IF(AND(EIC_Line2_No="",OR(AND(File_Marr_Joint&lt;&gt;"",OR(SS_Yours="",SS_Spouse="")),SS_Yours="")),"If so, enter your social security","")</f>
        <v>If so, enter your social security</v>
      </c>
      <c r="J27" s="74" t="s">
        <v>3972</v>
      </c>
      <c r="AA27" s="3169"/>
      <c r="AB27" s="3169"/>
      <c r="AC27" s="3169"/>
      <c r="AD27" s="3169"/>
      <c r="AE27" s="3169"/>
      <c r="AF27" s="3169"/>
      <c r="AG27" s="3169"/>
      <c r="AH27" s="3169"/>
      <c r="AI27" s="3169"/>
      <c r="AJ27" s="3169"/>
      <c r="AK27" s="3169"/>
      <c r="AL27" s="3169"/>
      <c r="AN27" s="3186"/>
      <c r="AO27" s="3186"/>
      <c r="AP27" s="3169"/>
      <c r="AQ27" s="3169"/>
      <c r="AR27" s="3169"/>
      <c r="AS27" s="3169"/>
      <c r="AT27" s="3169"/>
      <c r="AU27" s="3169"/>
      <c r="AV27" s="3169"/>
    </row>
    <row r="28" spans="1:48">
      <c r="D28" s="2199" t="str">
        <f>IF(AND(EIC_Line2_No="",OR(AND(File_Marr_Joint&lt;&gt;"",OR(SS_Yours="",SS_Spouse="")))),"numbers on the sheet labeled '1040'.",IF(AND(EIC_Line2_No="",SS_Yours=""),"number on the sheet labeled '1040'.",""))</f>
        <v>number on the sheet labeled '1040'.</v>
      </c>
      <c r="AA28" s="3169"/>
      <c r="AB28" s="3169"/>
      <c r="AC28" s="3169"/>
      <c r="AD28" s="3169"/>
      <c r="AE28" s="3169"/>
      <c r="AF28" s="3169"/>
      <c r="AG28" s="3169"/>
      <c r="AH28" s="3169"/>
      <c r="AI28" s="3169"/>
      <c r="AJ28" s="3169"/>
      <c r="AK28" s="3169"/>
      <c r="AL28" s="3169"/>
      <c r="AN28" s="3186"/>
      <c r="AO28" s="3186"/>
      <c r="AP28" s="3169"/>
      <c r="AQ28" s="3169"/>
      <c r="AR28" s="3169"/>
      <c r="AS28" s="3169"/>
      <c r="AT28" s="3169"/>
      <c r="AU28" s="3169"/>
      <c r="AV28" s="3169"/>
    </row>
    <row r="29" spans="1:48">
      <c r="C29" s="2161" t="s">
        <v>1</v>
      </c>
      <c r="D29" s="24" t="s">
        <v>1601</v>
      </c>
      <c r="AA29" s="3169"/>
      <c r="AB29" s="3169"/>
      <c r="AC29" s="3169"/>
      <c r="AD29" s="3169"/>
      <c r="AE29" s="3169"/>
      <c r="AF29" s="3169"/>
      <c r="AG29" s="3169"/>
      <c r="AH29" s="3169"/>
      <c r="AI29" s="3169"/>
      <c r="AJ29" s="3169"/>
      <c r="AK29" s="3169"/>
      <c r="AL29" s="3169"/>
      <c r="AN29" s="3186"/>
      <c r="AO29" s="3186"/>
      <c r="AP29" s="3169"/>
      <c r="AQ29" s="3169"/>
      <c r="AR29" s="3169"/>
      <c r="AS29" s="3169"/>
      <c r="AT29" s="3169"/>
      <c r="AU29" s="3169"/>
      <c r="AV29" s="3169"/>
    </row>
    <row r="30" spans="1:48">
      <c r="AA30" s="3169"/>
      <c r="AB30" s="3169"/>
      <c r="AC30" s="3169"/>
      <c r="AD30" s="3169"/>
      <c r="AE30" s="3169"/>
      <c r="AF30" s="3169"/>
      <c r="AG30" s="3169"/>
      <c r="AH30" s="3169"/>
      <c r="AI30" s="3169"/>
      <c r="AJ30" s="3169"/>
      <c r="AK30" s="3169"/>
      <c r="AL30" s="3169"/>
      <c r="AN30" s="3186"/>
      <c r="AO30" s="3186"/>
      <c r="AP30" s="3169"/>
      <c r="AQ30" s="3169"/>
      <c r="AR30" s="3169"/>
      <c r="AS30" s="3169"/>
      <c r="AT30" s="3169"/>
      <c r="AU30" s="3169"/>
      <c r="AV30" s="3169"/>
    </row>
    <row r="31" spans="1:48">
      <c r="B31" s="2527" t="str">
        <f>IF(OR(H21="X",H26="X"),"",IF(File_Marr_Sep&lt;&gt;"","X",""))</f>
        <v/>
      </c>
      <c r="D31" s="74" t="s">
        <v>3983</v>
      </c>
      <c r="H31" s="2527" t="str">
        <f>IF(OR(AND(B21="",H21=""),H21&lt;&gt;"",EIC_Line2_No&lt;&gt;""),"",IF(File_Marr_Sep="","X",""))</f>
        <v/>
      </c>
      <c r="J31" s="74" t="s">
        <v>3982</v>
      </c>
      <c r="AA31" s="3169"/>
      <c r="AB31" s="3169"/>
      <c r="AC31" s="3169"/>
      <c r="AD31" s="3169"/>
      <c r="AE31" s="3169"/>
      <c r="AF31" s="3169"/>
      <c r="AG31" s="3169"/>
      <c r="AH31" s="3169"/>
      <c r="AI31" s="3169"/>
      <c r="AJ31" s="3169"/>
      <c r="AK31" s="3169"/>
      <c r="AL31" s="3169"/>
      <c r="AN31" s="3186"/>
      <c r="AO31" s="3186"/>
      <c r="AP31" s="3169"/>
      <c r="AQ31" s="3169"/>
      <c r="AR31" s="3169"/>
      <c r="AS31" s="3169"/>
      <c r="AT31" s="3169"/>
      <c r="AU31" s="3169"/>
      <c r="AV31" s="3169"/>
    </row>
    <row r="32" spans="1:48">
      <c r="AA32" s="3169"/>
      <c r="AB32" s="3169"/>
      <c r="AC32" s="3169"/>
      <c r="AD32" s="3169"/>
      <c r="AE32" s="3169"/>
      <c r="AF32" s="3169"/>
      <c r="AG32" s="3169"/>
      <c r="AH32" s="3169"/>
      <c r="AI32" s="3169"/>
      <c r="AJ32" s="3169"/>
      <c r="AK32" s="3169"/>
      <c r="AL32" s="3169"/>
      <c r="AN32" s="3186"/>
      <c r="AO32" s="3186"/>
      <c r="AP32" s="3169"/>
      <c r="AQ32" s="3169"/>
      <c r="AR32" s="3169"/>
      <c r="AS32" s="3169"/>
      <c r="AT32" s="3169"/>
      <c r="AU32" s="3169"/>
      <c r="AV32" s="3169"/>
    </row>
    <row r="33" spans="1:48">
      <c r="C33" s="2161" t="s">
        <v>455</v>
      </c>
      <c r="D33" s="24" t="s">
        <v>1602</v>
      </c>
      <c r="AA33" s="3169"/>
      <c r="AB33" s="3169"/>
      <c r="AC33" s="3169"/>
      <c r="AD33" s="3169"/>
      <c r="AE33" s="3169"/>
      <c r="AF33" s="3169"/>
      <c r="AG33" s="3169"/>
      <c r="AH33" s="3169"/>
      <c r="AI33" s="3169"/>
      <c r="AJ33" s="3169"/>
      <c r="AK33" s="3169"/>
      <c r="AL33" s="3169"/>
      <c r="AN33" s="3186"/>
      <c r="AO33" s="3186"/>
      <c r="AP33" s="3169"/>
      <c r="AQ33" s="3169"/>
      <c r="AR33" s="3169"/>
      <c r="AS33" s="3169"/>
      <c r="AT33" s="3169"/>
      <c r="AU33" s="3169"/>
      <c r="AV33" s="3169"/>
    </row>
    <row r="34" spans="1:48">
      <c r="AA34" s="3169"/>
      <c r="AB34" s="3169"/>
      <c r="AC34" s="3169"/>
      <c r="AD34" s="3169"/>
      <c r="AE34" s="3169"/>
      <c r="AF34" s="3169"/>
      <c r="AG34" s="3169"/>
      <c r="AH34" s="3169"/>
      <c r="AI34" s="3169"/>
      <c r="AJ34" s="3169"/>
      <c r="AK34" s="3169"/>
      <c r="AL34" s="3169"/>
      <c r="AN34" s="3186"/>
      <c r="AO34" s="3186"/>
      <c r="AP34" s="3169"/>
      <c r="AQ34" s="3169"/>
      <c r="AR34" s="3169"/>
      <c r="AS34" s="3169"/>
      <c r="AT34" s="3169"/>
      <c r="AU34" s="3169"/>
      <c r="AV34" s="3169"/>
    </row>
    <row r="35" spans="1:48">
      <c r="A35" s="1440" t="b">
        <f>IF(AND(Birthday_Needed="",B21="X",B26="X",H31="X",H35="X"),TRUE,FALSE)</f>
        <v>0</v>
      </c>
      <c r="B35" s="2527" t="str">
        <f>IF(ForeignEarnedIncome&gt;0,"X","")</f>
        <v/>
      </c>
      <c r="D35" s="74" t="s">
        <v>3983</v>
      </c>
      <c r="H35" s="2527" t="str">
        <f>IF(AND(B21="",H21=""),"",IF(ForeignEarnedIncome&gt;0,"","X"))</f>
        <v/>
      </c>
      <c r="J35" s="74" t="s">
        <v>3982</v>
      </c>
      <c r="AA35" s="3169"/>
      <c r="AB35" s="3169"/>
      <c r="AC35" s="3169"/>
      <c r="AD35" s="3169"/>
      <c r="AE35" s="3169"/>
      <c r="AF35" s="3169"/>
      <c r="AG35" s="3169"/>
      <c r="AH35" s="3169"/>
      <c r="AI35" s="3169"/>
      <c r="AJ35" s="3169"/>
      <c r="AK35" s="3169"/>
      <c r="AL35" s="3169"/>
      <c r="AN35" s="3186"/>
      <c r="AO35" s="3186"/>
      <c r="AP35" s="3169"/>
      <c r="AQ35" s="3169"/>
      <c r="AR35" s="3169"/>
      <c r="AS35" s="3169"/>
      <c r="AT35" s="3169"/>
      <c r="AU35" s="3169"/>
      <c r="AV35" s="3169"/>
    </row>
    <row r="36" spans="1:48">
      <c r="AA36" s="3169"/>
      <c r="AB36" s="3169"/>
      <c r="AC36" s="3169"/>
      <c r="AD36" s="3169"/>
      <c r="AE36" s="3169"/>
      <c r="AF36" s="3169"/>
      <c r="AG36" s="3169"/>
      <c r="AH36" s="3169"/>
      <c r="AI36" s="3169"/>
      <c r="AJ36" s="3169"/>
      <c r="AK36" s="3169"/>
      <c r="AL36" s="3169"/>
      <c r="AN36" s="3186"/>
      <c r="AO36" s="3186"/>
      <c r="AP36" s="3169"/>
      <c r="AQ36" s="3169"/>
      <c r="AR36" s="3169"/>
      <c r="AS36" s="3169"/>
      <c r="AT36" s="3169"/>
      <c r="AU36" s="3169"/>
      <c r="AV36" s="3169"/>
    </row>
    <row r="37" spans="1:48">
      <c r="C37" s="2161" t="s">
        <v>35</v>
      </c>
      <c r="D37" s="24" t="str">
        <f>"Were you or your spouse a nonresident alien for any part of "&amp;TaxYear&amp;"?"</f>
        <v>Were you or your spouse a nonresident alien for any part of 2018?</v>
      </c>
      <c r="AA37" s="3169"/>
      <c r="AB37" s="3169"/>
      <c r="AC37" s="3169"/>
      <c r="AD37" s="3169"/>
      <c r="AE37" s="3169"/>
      <c r="AF37" s="3169"/>
      <c r="AG37" s="3169"/>
      <c r="AH37" s="3169"/>
      <c r="AI37" s="3169"/>
      <c r="AJ37" s="3169"/>
      <c r="AK37" s="3169"/>
      <c r="AL37" s="3169"/>
      <c r="AN37" s="3186"/>
      <c r="AO37" s="3186"/>
      <c r="AP37" s="3169"/>
      <c r="AQ37" s="3169"/>
      <c r="AR37" s="3169"/>
      <c r="AS37" s="3169"/>
      <c r="AT37" s="3169"/>
      <c r="AU37" s="3169"/>
      <c r="AV37" s="3169"/>
    </row>
    <row r="38" spans="1:48">
      <c r="AA38" s="3169"/>
      <c r="AB38" s="3169"/>
      <c r="AC38" s="3169"/>
      <c r="AD38" s="3169"/>
      <c r="AE38" s="3169"/>
      <c r="AF38" s="3169"/>
      <c r="AG38" s="3169"/>
      <c r="AH38" s="3169"/>
      <c r="AI38" s="3169"/>
      <c r="AJ38" s="3169"/>
      <c r="AK38" s="3169"/>
      <c r="AL38" s="3169"/>
      <c r="AN38" s="3186"/>
      <c r="AO38" s="3186"/>
      <c r="AP38" s="3169"/>
      <c r="AQ38" s="3169"/>
      <c r="AR38" s="3169"/>
      <c r="AS38" s="3169"/>
      <c r="AT38" s="3169"/>
      <c r="AU38" s="3169"/>
      <c r="AV38" s="3169"/>
    </row>
    <row r="39" spans="1:48">
      <c r="B39" s="1669"/>
      <c r="D39" s="25" t="s">
        <v>474</v>
      </c>
      <c r="H39" s="1669"/>
      <c r="J39" s="74" t="s">
        <v>3981</v>
      </c>
      <c r="AA39" s="3169"/>
      <c r="AB39" s="3169"/>
      <c r="AC39" s="3169"/>
      <c r="AD39" s="3169"/>
      <c r="AE39" s="3169"/>
      <c r="AF39" s="3169"/>
      <c r="AG39" s="3169"/>
      <c r="AH39" s="3169"/>
      <c r="AI39" s="3169"/>
      <c r="AJ39" s="3169"/>
      <c r="AK39" s="3169"/>
      <c r="AL39" s="3169"/>
      <c r="AN39" s="3186"/>
      <c r="AO39" s="3186"/>
      <c r="AP39" s="3169"/>
      <c r="AQ39" s="3169"/>
      <c r="AR39" s="3169"/>
      <c r="AS39" s="3169"/>
      <c r="AT39" s="3169"/>
      <c r="AU39" s="3169"/>
      <c r="AV39" s="3169"/>
    </row>
    <row r="40" spans="1:48">
      <c r="D40" s="24" t="s">
        <v>1675</v>
      </c>
      <c r="AA40" s="3169"/>
      <c r="AB40" s="3169"/>
      <c r="AC40" s="3169"/>
      <c r="AD40" s="3169"/>
      <c r="AE40" s="3169"/>
      <c r="AF40" s="3169"/>
      <c r="AG40" s="3169"/>
      <c r="AH40" s="3169"/>
      <c r="AI40" s="3169"/>
      <c r="AJ40" s="3169"/>
      <c r="AK40" s="3169"/>
      <c r="AL40" s="3169"/>
      <c r="AN40" s="3186"/>
      <c r="AO40" s="3186"/>
      <c r="AP40" s="3169"/>
      <c r="AQ40" s="3169"/>
      <c r="AR40" s="3169"/>
      <c r="AS40" s="3169"/>
      <c r="AT40" s="3169"/>
      <c r="AU40" s="3169"/>
      <c r="AV40" s="3169"/>
    </row>
    <row r="41" spans="1:48">
      <c r="D41" s="24" t="s">
        <v>1676</v>
      </c>
      <c r="AA41" s="3169"/>
      <c r="AB41" s="3169"/>
      <c r="AC41" s="3169"/>
      <c r="AD41" s="3169"/>
      <c r="AE41" s="3169"/>
      <c r="AF41" s="3169"/>
      <c r="AG41" s="3169"/>
      <c r="AH41" s="3169"/>
      <c r="AI41" s="3169"/>
      <c r="AJ41" s="3169"/>
      <c r="AK41" s="3169"/>
      <c r="AL41" s="3169"/>
      <c r="AN41" s="3186"/>
      <c r="AO41" s="3186"/>
      <c r="AP41" s="3169"/>
      <c r="AQ41" s="3169"/>
      <c r="AR41" s="3169"/>
      <c r="AS41" s="3169"/>
      <c r="AT41" s="3169"/>
      <c r="AU41" s="3169"/>
      <c r="AV41" s="3169"/>
    </row>
    <row r="42" spans="1:48">
      <c r="AA42" s="3169"/>
      <c r="AB42" s="3169"/>
      <c r="AC42" s="3169"/>
      <c r="AD42" s="3169"/>
      <c r="AE42" s="3169"/>
      <c r="AF42" s="3169"/>
      <c r="AG42" s="3169"/>
      <c r="AH42" s="3169"/>
      <c r="AI42" s="3169"/>
      <c r="AJ42" s="3169"/>
      <c r="AK42" s="3169"/>
      <c r="AL42" s="3169"/>
      <c r="AN42" s="3186"/>
      <c r="AO42" s="3186"/>
      <c r="AP42" s="3169"/>
      <c r="AQ42" s="3169"/>
      <c r="AR42" s="3169"/>
      <c r="AS42" s="3169"/>
      <c r="AT42" s="3169"/>
      <c r="AU42" s="3169"/>
      <c r="AV42" s="3169"/>
    </row>
    <row r="43" spans="1:48" s="2164" customFormat="1">
      <c r="B43" s="2163"/>
      <c r="N43" s="2165"/>
      <c r="AA43" s="3187"/>
      <c r="AB43" s="3187"/>
      <c r="AC43" s="3187"/>
      <c r="AD43" s="3187"/>
      <c r="AE43" s="3187"/>
      <c r="AF43" s="3187"/>
      <c r="AG43" s="3187"/>
      <c r="AH43" s="3187"/>
      <c r="AI43" s="3187"/>
      <c r="AJ43" s="3187"/>
      <c r="AK43" s="3187"/>
      <c r="AL43" s="3187"/>
      <c r="AN43" s="3188"/>
      <c r="AO43" s="3188"/>
      <c r="AP43" s="3187"/>
      <c r="AQ43" s="3187"/>
      <c r="AR43" s="3187"/>
      <c r="AS43" s="3187"/>
      <c r="AT43" s="3187"/>
      <c r="AU43" s="3187"/>
      <c r="AV43" s="3187"/>
    </row>
    <row r="44" spans="1:48" s="137" customFormat="1" ht="15.75">
      <c r="A44" s="2182" t="s">
        <v>1730</v>
      </c>
      <c r="B44" s="2183" t="s">
        <v>1734</v>
      </c>
      <c r="C44" s="2157"/>
      <c r="N44" s="2158"/>
      <c r="AA44" s="3184"/>
      <c r="AB44" s="3184"/>
      <c r="AC44" s="3184"/>
      <c r="AD44" s="3184"/>
      <c r="AE44" s="3184"/>
      <c r="AF44" s="3184"/>
      <c r="AG44" s="3184"/>
      <c r="AH44" s="3184"/>
      <c r="AI44" s="3184"/>
      <c r="AJ44" s="3184"/>
      <c r="AK44" s="3184"/>
      <c r="AL44" s="3184"/>
      <c r="AN44" s="3185"/>
      <c r="AO44" s="3185"/>
      <c r="AP44" s="3184"/>
      <c r="AQ44" s="3184"/>
      <c r="AR44" s="3184"/>
      <c r="AS44" s="3184"/>
      <c r="AT44" s="3184"/>
      <c r="AU44" s="3184"/>
      <c r="AV44" s="3184"/>
    </row>
    <row r="45" spans="1:48">
      <c r="A45" s="1586"/>
      <c r="B45" s="1586"/>
      <c r="C45" s="1586"/>
      <c r="AA45" s="3169"/>
      <c r="AB45" s="3169"/>
      <c r="AC45" s="3169"/>
      <c r="AD45" s="3169"/>
      <c r="AE45" s="3169"/>
      <c r="AF45" s="3169"/>
      <c r="AG45" s="3169"/>
      <c r="AH45" s="3169"/>
      <c r="AI45" s="3169"/>
      <c r="AJ45" s="3169"/>
      <c r="AK45" s="3169"/>
      <c r="AL45" s="3169"/>
      <c r="AN45" s="3186"/>
      <c r="AO45" s="3186"/>
      <c r="AP45" s="3169"/>
      <c r="AQ45" s="3169"/>
      <c r="AR45" s="3169"/>
      <c r="AS45" s="3169"/>
      <c r="AT45" s="3169"/>
      <c r="AU45" s="3169"/>
      <c r="AV45" s="3169"/>
    </row>
    <row r="46" spans="1:48">
      <c r="C46" s="2161" t="s">
        <v>336</v>
      </c>
      <c r="D46" s="74" t="s">
        <v>1686</v>
      </c>
      <c r="AA46" s="3169"/>
      <c r="AB46" s="3169"/>
      <c r="AC46" s="3169"/>
      <c r="AD46" s="3169"/>
      <c r="AE46" s="3169"/>
      <c r="AF46" s="3169"/>
      <c r="AG46" s="3169"/>
      <c r="AH46" s="3169"/>
      <c r="AI46" s="3169"/>
      <c r="AJ46" s="3169"/>
      <c r="AK46" s="3169"/>
      <c r="AL46" s="3169"/>
      <c r="AN46" s="3186"/>
      <c r="AO46" s="3186"/>
      <c r="AP46" s="3169"/>
      <c r="AQ46" s="3169"/>
      <c r="AR46" s="3169"/>
      <c r="AS46" s="3169"/>
      <c r="AT46" s="3169"/>
      <c r="AU46" s="3169"/>
      <c r="AV46" s="3169"/>
    </row>
    <row r="47" spans="1:48">
      <c r="C47" s="2161"/>
      <c r="AA47" s="3169"/>
      <c r="AB47" s="3169"/>
      <c r="AC47" s="3169"/>
      <c r="AD47" s="3169"/>
      <c r="AE47" s="3169"/>
      <c r="AF47" s="3169"/>
      <c r="AG47" s="3169"/>
      <c r="AH47" s="3169"/>
      <c r="AI47" s="3169"/>
      <c r="AJ47" s="3169"/>
      <c r="AK47" s="3169"/>
      <c r="AL47" s="3169"/>
      <c r="AN47" s="3186"/>
      <c r="AO47" s="3186"/>
      <c r="AP47" s="3169"/>
      <c r="AQ47" s="3169"/>
      <c r="AR47" s="3169"/>
      <c r="AS47" s="3169"/>
      <c r="AT47" s="3169"/>
      <c r="AU47" s="3169"/>
      <c r="AV47" s="3169"/>
    </row>
    <row r="48" spans="1:48">
      <c r="C48" s="2161"/>
      <c r="D48" s="1127" t="s">
        <v>3973</v>
      </c>
      <c r="E48" s="2166">
        <f>TaxExemptInt</f>
        <v>0</v>
      </c>
      <c r="AA48" s="3169"/>
      <c r="AB48" s="3169"/>
      <c r="AC48" s="3169"/>
      <c r="AD48" s="3169"/>
      <c r="AE48" s="3169"/>
      <c r="AF48" s="3169"/>
      <c r="AG48" s="3169"/>
      <c r="AH48" s="3169"/>
      <c r="AI48" s="3169"/>
      <c r="AJ48" s="3169"/>
      <c r="AK48" s="3169"/>
      <c r="AL48" s="3169"/>
      <c r="AN48" s="3186"/>
      <c r="AO48" s="3186"/>
      <c r="AP48" s="3169"/>
      <c r="AQ48" s="3169"/>
      <c r="AR48" s="3169"/>
      <c r="AS48" s="3169"/>
      <c r="AT48" s="3169"/>
      <c r="AU48" s="3169"/>
      <c r="AV48" s="3169"/>
    </row>
    <row r="49" spans="1:48">
      <c r="C49" s="2161"/>
      <c r="D49" s="2172" t="s">
        <v>3974</v>
      </c>
      <c r="E49" s="2166">
        <f>TaxableInterest</f>
        <v>0</v>
      </c>
      <c r="AA49" s="3169"/>
      <c r="AB49" s="3169"/>
      <c r="AC49" s="3169"/>
      <c r="AD49" s="3169"/>
      <c r="AE49" s="3169"/>
      <c r="AF49" s="3169"/>
      <c r="AG49" s="3169"/>
      <c r="AH49" s="3169"/>
      <c r="AI49" s="3169"/>
      <c r="AJ49" s="3169"/>
      <c r="AK49" s="3169"/>
      <c r="AL49" s="3169"/>
      <c r="AN49" s="3186"/>
      <c r="AO49" s="3186"/>
      <c r="AP49" s="3169"/>
      <c r="AQ49" s="3169"/>
      <c r="AR49" s="3169"/>
      <c r="AS49" s="3169"/>
      <c r="AT49" s="3169"/>
      <c r="AU49" s="3169"/>
      <c r="AV49" s="3169"/>
    </row>
    <row r="50" spans="1:48">
      <c r="C50" s="2161"/>
      <c r="D50" s="2172" t="s">
        <v>3975</v>
      </c>
      <c r="E50" s="2166">
        <f>OrdinaryDividends</f>
        <v>0</v>
      </c>
      <c r="AA50" s="3169"/>
      <c r="AB50" s="3169"/>
      <c r="AC50" s="3169"/>
      <c r="AD50" s="3169"/>
      <c r="AE50" s="3169"/>
      <c r="AF50" s="3169"/>
      <c r="AG50" s="3169"/>
      <c r="AH50" s="3169"/>
      <c r="AI50" s="3169"/>
      <c r="AJ50" s="3169"/>
      <c r="AK50" s="3169"/>
      <c r="AL50" s="3169"/>
      <c r="AN50" s="3186"/>
      <c r="AO50" s="3186"/>
      <c r="AP50" s="3169"/>
      <c r="AQ50" s="3169"/>
      <c r="AR50" s="3169"/>
      <c r="AS50" s="3169"/>
      <c r="AT50" s="3169"/>
      <c r="AU50" s="3169"/>
      <c r="AV50" s="3169"/>
    </row>
    <row r="51" spans="1:48">
      <c r="C51" s="2161"/>
      <c r="D51" s="2172" t="s">
        <v>3976</v>
      </c>
      <c r="E51" s="2166">
        <f>MAX(0,CapitalGains)</f>
        <v>0</v>
      </c>
      <c r="AA51" s="3169"/>
      <c r="AB51" s="3169"/>
      <c r="AC51" s="3169"/>
      <c r="AD51" s="3169"/>
      <c r="AE51" s="3169"/>
      <c r="AF51" s="3169"/>
      <c r="AG51" s="3169"/>
      <c r="AH51" s="3169"/>
      <c r="AI51" s="3169"/>
      <c r="AJ51" s="3169"/>
      <c r="AK51" s="3169"/>
      <c r="AL51" s="3169"/>
      <c r="AN51" s="3186"/>
      <c r="AO51" s="3186"/>
      <c r="AP51" s="3169"/>
      <c r="AQ51" s="3169"/>
      <c r="AR51" s="3169"/>
      <c r="AS51" s="3169"/>
      <c r="AT51" s="3169"/>
      <c r="AU51" s="3169"/>
      <c r="AV51" s="3169"/>
    </row>
    <row r="52" spans="1:48">
      <c r="C52" s="2161"/>
      <c r="AA52" s="3169"/>
      <c r="AB52" s="3169"/>
      <c r="AC52" s="3169"/>
      <c r="AD52" s="3169"/>
      <c r="AE52" s="3169"/>
      <c r="AF52" s="3169"/>
      <c r="AG52" s="3169"/>
      <c r="AH52" s="3169"/>
      <c r="AI52" s="3169"/>
      <c r="AJ52" s="3169"/>
      <c r="AK52" s="3169"/>
      <c r="AL52" s="3169"/>
      <c r="AN52" s="3186"/>
      <c r="AO52" s="3186"/>
      <c r="AP52" s="3169"/>
      <c r="AQ52" s="3169"/>
      <c r="AR52" s="3169"/>
      <c r="AS52" s="3169"/>
      <c r="AT52" s="3169"/>
      <c r="AU52" s="3169"/>
      <c r="AV52" s="3169"/>
    </row>
    <row r="53" spans="1:48">
      <c r="C53" s="2161"/>
      <c r="D53" s="1127" t="s">
        <v>1677</v>
      </c>
      <c r="E53" s="2167">
        <f>SUM(E48:E51)</f>
        <v>0</v>
      </c>
      <c r="AA53" s="3169"/>
      <c r="AB53" s="3169"/>
      <c r="AC53" s="3169"/>
      <c r="AD53" s="3169"/>
      <c r="AE53" s="3169"/>
      <c r="AF53" s="3169"/>
      <c r="AG53" s="3169"/>
      <c r="AH53" s="3169"/>
      <c r="AI53" s="3169"/>
      <c r="AJ53" s="3169"/>
      <c r="AK53" s="3169"/>
      <c r="AL53" s="3169"/>
      <c r="AN53" s="3186"/>
      <c r="AO53" s="3186"/>
      <c r="AP53" s="3169"/>
      <c r="AQ53" s="3169"/>
      <c r="AR53" s="3169"/>
      <c r="AS53" s="3169"/>
      <c r="AT53" s="3169"/>
      <c r="AU53" s="3169"/>
      <c r="AV53" s="3169"/>
    </row>
    <row r="54" spans="1:48">
      <c r="AA54" s="3169"/>
      <c r="AB54" s="3169"/>
      <c r="AC54" s="3169"/>
      <c r="AD54" s="3169"/>
      <c r="AE54" s="3169"/>
      <c r="AF54" s="3169"/>
      <c r="AG54" s="3169"/>
      <c r="AH54" s="3169"/>
      <c r="AI54" s="3169"/>
      <c r="AJ54" s="3169"/>
      <c r="AK54" s="3169"/>
      <c r="AL54" s="3169"/>
      <c r="AN54" s="3186"/>
      <c r="AO54" s="3186"/>
      <c r="AP54" s="3169"/>
      <c r="AQ54" s="3169"/>
      <c r="AR54" s="3169"/>
      <c r="AS54" s="3169"/>
      <c r="AT54" s="3169"/>
      <c r="AU54" s="3169"/>
      <c r="AV54" s="3169"/>
    </row>
    <row r="55" spans="1:48">
      <c r="C55" s="24" t="s">
        <v>1603</v>
      </c>
      <c r="AA55" s="3169"/>
      <c r="AB55" s="3169"/>
      <c r="AC55" s="3169"/>
      <c r="AD55" s="3169"/>
      <c r="AE55" s="3169"/>
      <c r="AF55" s="3169"/>
      <c r="AG55" s="3169"/>
      <c r="AH55" s="3169"/>
      <c r="AI55" s="3169"/>
      <c r="AJ55" s="3169"/>
      <c r="AK55" s="3169"/>
      <c r="AL55" s="3169"/>
      <c r="AN55" s="3186"/>
      <c r="AO55" s="3186"/>
      <c r="AP55" s="3169"/>
      <c r="AQ55" s="3169"/>
      <c r="AR55" s="3169"/>
      <c r="AS55" s="3169"/>
      <c r="AT55" s="3169"/>
      <c r="AU55" s="3169"/>
      <c r="AV55" s="3169"/>
    </row>
    <row r="56" spans="1:48" ht="12.75" customHeight="1">
      <c r="AA56" s="3169"/>
      <c r="AB56" s="3169"/>
      <c r="AC56" s="3169"/>
      <c r="AD56" s="3169"/>
      <c r="AE56" s="3169"/>
      <c r="AF56" s="3169"/>
      <c r="AG56" s="3169"/>
      <c r="AH56" s="3169"/>
      <c r="AI56" s="3169"/>
      <c r="AJ56" s="3169"/>
      <c r="AK56" s="3169"/>
      <c r="AL56" s="3169"/>
      <c r="AN56" s="3186"/>
      <c r="AO56" s="3186"/>
      <c r="AP56" s="3169"/>
      <c r="AQ56" s="3169"/>
      <c r="AR56" s="3169"/>
      <c r="AS56" s="3169"/>
      <c r="AT56" s="3169"/>
      <c r="AU56" s="3169"/>
      <c r="AV56" s="3169"/>
    </row>
    <row r="57" spans="1:48">
      <c r="C57" s="2161" t="s">
        <v>0</v>
      </c>
      <c r="D57" s="24" t="str">
        <f>"Is your investment income more than "&amp;TEXT(N57,"$0,000")&amp;"?"</f>
        <v>Is your investment income more than $3,500?</v>
      </c>
      <c r="N57" s="14">
        <v>3500</v>
      </c>
      <c r="AA57" s="3169"/>
      <c r="AB57" s="3169"/>
      <c r="AC57" s="3169"/>
      <c r="AD57" s="3169"/>
      <c r="AE57" s="3169"/>
      <c r="AF57" s="3169"/>
      <c r="AG57" s="3169"/>
      <c r="AH57" s="3169"/>
      <c r="AI57" s="3169"/>
      <c r="AJ57" s="3169"/>
      <c r="AK57" s="3169"/>
      <c r="AL57" s="3169"/>
      <c r="AN57" s="3186"/>
      <c r="AO57" s="3186"/>
      <c r="AP57" s="3169"/>
      <c r="AQ57" s="3169"/>
      <c r="AR57" s="3169"/>
      <c r="AS57" s="3169"/>
      <c r="AT57" s="3169"/>
      <c r="AU57" s="3169"/>
      <c r="AV57" s="3169"/>
    </row>
    <row r="58" spans="1:48">
      <c r="AA58" s="3169"/>
      <c r="AB58" s="3169"/>
      <c r="AC58" s="3169"/>
      <c r="AD58" s="3169"/>
      <c r="AE58" s="3169"/>
      <c r="AF58" s="3169"/>
      <c r="AG58" s="3169"/>
      <c r="AH58" s="3169"/>
      <c r="AI58" s="3169"/>
      <c r="AJ58" s="3169"/>
      <c r="AK58" s="3169"/>
      <c r="AL58" s="3169"/>
      <c r="AN58" s="3186"/>
      <c r="AO58" s="3186"/>
      <c r="AP58" s="3169"/>
      <c r="AQ58" s="3169"/>
      <c r="AR58" s="3169"/>
      <c r="AS58" s="3169"/>
      <c r="AT58" s="3169"/>
      <c r="AU58" s="3169"/>
      <c r="AV58" s="3169"/>
    </row>
    <row r="59" spans="1:48">
      <c r="B59" s="2527" t="str">
        <f>IF(E53&gt;N57,"X","")</f>
        <v/>
      </c>
      <c r="D59" s="74" t="s">
        <v>3979</v>
      </c>
      <c r="H59" s="2527" t="str">
        <f>IF(E53&gt;N57,"","X")</f>
        <v>X</v>
      </c>
      <c r="J59" s="74" t="s">
        <v>3980</v>
      </c>
      <c r="AA59" s="3169"/>
      <c r="AB59" s="3169"/>
      <c r="AC59" s="3169"/>
      <c r="AD59" s="3169"/>
      <c r="AE59" s="3169"/>
      <c r="AF59" s="3169"/>
      <c r="AG59" s="3169"/>
      <c r="AH59" s="3169"/>
      <c r="AI59" s="3169"/>
      <c r="AJ59" s="3169"/>
      <c r="AK59" s="3169"/>
      <c r="AL59" s="3169"/>
      <c r="AN59" s="3186"/>
      <c r="AO59" s="3186"/>
      <c r="AP59" s="3169"/>
      <c r="AQ59" s="3169"/>
      <c r="AR59" s="3169"/>
      <c r="AS59" s="3169"/>
      <c r="AT59" s="3169"/>
      <c r="AU59" s="3169"/>
      <c r="AV59" s="3169"/>
    </row>
    <row r="60" spans="1:48" ht="12.75" customHeight="1">
      <c r="AA60" s="3169"/>
      <c r="AB60" s="3169"/>
      <c r="AC60" s="3169"/>
      <c r="AD60" s="3169"/>
      <c r="AE60" s="3169"/>
      <c r="AF60" s="3169"/>
      <c r="AG60" s="3169"/>
      <c r="AH60" s="3169"/>
      <c r="AI60" s="3169"/>
      <c r="AJ60" s="3169"/>
      <c r="AK60" s="3169"/>
      <c r="AL60" s="3169"/>
      <c r="AN60" s="3186"/>
      <c r="AO60" s="3186"/>
      <c r="AP60" s="3169"/>
      <c r="AQ60" s="3169"/>
      <c r="AR60" s="3169"/>
      <c r="AS60" s="3169"/>
      <c r="AT60" s="3169"/>
      <c r="AU60" s="3169"/>
      <c r="AV60" s="3169"/>
    </row>
    <row r="61" spans="1:48">
      <c r="A61" s="5829" t="str">
        <f>IF(NoEICredit,"",IF(H59&lt;&gt;"","Skip",""))</f>
        <v>Skip</v>
      </c>
      <c r="B61" s="5830"/>
      <c r="C61" s="2161" t="s">
        <v>1</v>
      </c>
      <c r="D61" s="24" t="s">
        <v>1604</v>
      </c>
      <c r="AA61" s="3169"/>
      <c r="AB61" s="3169"/>
      <c r="AC61" s="3169"/>
      <c r="AD61" s="3169"/>
      <c r="AE61" s="3169"/>
      <c r="AF61" s="3169"/>
      <c r="AG61" s="3169"/>
      <c r="AH61" s="3169"/>
      <c r="AI61" s="3169"/>
      <c r="AJ61" s="3169"/>
      <c r="AK61" s="3169"/>
      <c r="AL61" s="3169"/>
      <c r="AN61" s="3186"/>
      <c r="AO61" s="3186"/>
      <c r="AP61" s="3169"/>
      <c r="AQ61" s="3169"/>
      <c r="AR61" s="3169"/>
      <c r="AS61" s="3169"/>
      <c r="AT61" s="3169"/>
      <c r="AU61" s="3169"/>
      <c r="AV61" s="3169"/>
    </row>
    <row r="62" spans="1:48">
      <c r="AA62" s="3169"/>
      <c r="AB62" s="3169"/>
      <c r="AC62" s="3169"/>
      <c r="AD62" s="3169"/>
      <c r="AE62" s="3169"/>
      <c r="AF62" s="3169"/>
      <c r="AG62" s="3169"/>
      <c r="AH62" s="3169"/>
      <c r="AI62" s="3169"/>
      <c r="AJ62" s="3169"/>
      <c r="AK62" s="3169"/>
      <c r="AL62" s="3169"/>
      <c r="AN62" s="3186"/>
      <c r="AO62" s="3186"/>
      <c r="AP62" s="3169"/>
      <c r="AQ62" s="3169"/>
      <c r="AR62" s="3169"/>
      <c r="AS62" s="3169"/>
      <c r="AT62" s="3169"/>
      <c r="AU62" s="3169"/>
      <c r="AV62" s="3169"/>
    </row>
    <row r="63" spans="1:48">
      <c r="B63" s="1669"/>
      <c r="D63" s="74" t="s">
        <v>3977</v>
      </c>
      <c r="H63" s="2527" t="str">
        <f>IF(AND(B59="X",B63=""),"X","")</f>
        <v/>
      </c>
      <c r="J63" s="74" t="s">
        <v>3978</v>
      </c>
      <c r="AA63" s="3169"/>
      <c r="AB63" s="3169"/>
      <c r="AC63" s="3169"/>
      <c r="AD63" s="3169"/>
      <c r="AE63" s="3169"/>
      <c r="AF63" s="3169"/>
      <c r="AG63" s="3169"/>
      <c r="AH63" s="3169"/>
      <c r="AI63" s="3169"/>
      <c r="AJ63" s="3169"/>
      <c r="AK63" s="3169"/>
      <c r="AL63" s="3169"/>
      <c r="AN63" s="3186"/>
      <c r="AO63" s="3186"/>
      <c r="AP63" s="3169"/>
      <c r="AQ63" s="3169"/>
      <c r="AR63" s="3169"/>
      <c r="AS63" s="3169"/>
      <c r="AT63" s="3169"/>
      <c r="AU63" s="3169"/>
      <c r="AV63" s="3169"/>
    </row>
    <row r="64" spans="1:48">
      <c r="B64" s="2160"/>
      <c r="D64" s="74" t="s">
        <v>1676</v>
      </c>
      <c r="H64" s="2160"/>
      <c r="AA64" s="3169"/>
      <c r="AB64" s="3169"/>
      <c r="AC64" s="3169"/>
      <c r="AD64" s="3169"/>
      <c r="AE64" s="3169"/>
      <c r="AF64" s="3169"/>
      <c r="AG64" s="3169"/>
      <c r="AH64" s="3169"/>
      <c r="AI64" s="3169"/>
      <c r="AJ64" s="3169"/>
      <c r="AK64" s="3169"/>
      <c r="AL64" s="3169"/>
      <c r="AN64" s="3186"/>
      <c r="AO64" s="3186"/>
      <c r="AP64" s="3169"/>
      <c r="AQ64" s="3169"/>
      <c r="AR64" s="3169"/>
      <c r="AS64" s="3169"/>
      <c r="AT64" s="3169"/>
      <c r="AU64" s="3169"/>
      <c r="AV64" s="3169"/>
    </row>
    <row r="65" spans="1:48" ht="12.75" customHeight="1">
      <c r="AA65" s="3169"/>
      <c r="AB65" s="3169"/>
      <c r="AC65" s="3169"/>
      <c r="AD65" s="3169"/>
      <c r="AE65" s="3169"/>
      <c r="AF65" s="3169"/>
      <c r="AG65" s="3169"/>
      <c r="AH65" s="3169"/>
      <c r="AI65" s="3169"/>
      <c r="AJ65" s="3169"/>
      <c r="AK65" s="3169"/>
      <c r="AL65" s="3169"/>
      <c r="AN65" s="3186"/>
      <c r="AO65" s="3186"/>
      <c r="AP65" s="3169"/>
      <c r="AQ65" s="3169"/>
      <c r="AR65" s="3169"/>
      <c r="AS65" s="3169"/>
      <c r="AT65" s="3169"/>
      <c r="AU65" s="3169"/>
      <c r="AV65" s="3169"/>
    </row>
    <row r="66" spans="1:48">
      <c r="C66" s="2161" t="s">
        <v>455</v>
      </c>
      <c r="D66" s="24" t="str">
        <f>"Do any of the following apply for "&amp;TaxYear&amp;"?"</f>
        <v>Do any of the following apply for 2018?</v>
      </c>
      <c r="AA66" s="3169"/>
      <c r="AB66" s="3169"/>
      <c r="AC66" s="3169"/>
      <c r="AD66" s="3169"/>
      <c r="AE66" s="3169"/>
      <c r="AF66" s="3169"/>
      <c r="AG66" s="3169"/>
      <c r="AH66" s="3169"/>
      <c r="AI66" s="3169"/>
      <c r="AJ66" s="3169"/>
      <c r="AK66" s="3169"/>
      <c r="AL66" s="3169"/>
      <c r="AN66" s="3186"/>
      <c r="AO66" s="3186"/>
      <c r="AP66" s="3169"/>
      <c r="AQ66" s="3169"/>
      <c r="AR66" s="3169"/>
      <c r="AS66" s="3169"/>
      <c r="AT66" s="3169"/>
      <c r="AU66" s="3169"/>
      <c r="AV66" s="3169"/>
    </row>
    <row r="67" spans="1:48" ht="7.5" customHeight="1">
      <c r="AA67" s="3169"/>
      <c r="AB67" s="3169"/>
      <c r="AC67" s="3169"/>
      <c r="AD67" s="3169"/>
      <c r="AE67" s="3169"/>
      <c r="AF67" s="3169"/>
      <c r="AG67" s="3169"/>
      <c r="AH67" s="3169"/>
      <c r="AI67" s="3169"/>
      <c r="AJ67" s="3169"/>
      <c r="AK67" s="3169"/>
      <c r="AL67" s="3169"/>
      <c r="AN67" s="3186"/>
      <c r="AO67" s="3186"/>
      <c r="AP67" s="3169"/>
      <c r="AQ67" s="3169"/>
      <c r="AR67" s="3169"/>
      <c r="AS67" s="3169"/>
      <c r="AT67" s="3169"/>
      <c r="AU67" s="3169"/>
      <c r="AV67" s="3169"/>
    </row>
    <row r="68" spans="1:48" ht="15.75">
      <c r="A68" s="2276" t="s">
        <v>360</v>
      </c>
      <c r="B68" s="2526" t="str">
        <f>IF(SchE2_Completed,"X","")</f>
        <v/>
      </c>
      <c r="C68" s="140" t="s">
        <v>1600</v>
      </c>
      <c r="D68" s="74" t="s">
        <v>1683</v>
      </c>
      <c r="AA68" s="3169"/>
      <c r="AB68" s="3169"/>
      <c r="AC68" s="3169"/>
      <c r="AD68" s="3169"/>
      <c r="AE68" s="3169"/>
      <c r="AF68" s="3169"/>
      <c r="AG68" s="3169"/>
      <c r="AH68" s="3169"/>
      <c r="AI68" s="3169"/>
      <c r="AJ68" s="3169"/>
      <c r="AK68" s="3169"/>
      <c r="AL68" s="3169"/>
      <c r="AN68" s="3186"/>
      <c r="AO68" s="3186"/>
      <c r="AP68" s="3169"/>
      <c r="AQ68" s="3169"/>
      <c r="AR68" s="3169"/>
      <c r="AS68" s="3169"/>
      <c r="AT68" s="3169"/>
      <c r="AU68" s="3169"/>
      <c r="AV68" s="3169"/>
    </row>
    <row r="69" spans="1:48">
      <c r="C69" s="43" t="s">
        <v>274</v>
      </c>
      <c r="AA69" s="3169"/>
      <c r="AB69" s="3169"/>
      <c r="AC69" s="3169"/>
      <c r="AD69" s="3169"/>
      <c r="AE69" s="3169"/>
      <c r="AF69" s="3169"/>
      <c r="AG69" s="3169"/>
      <c r="AH69" s="3169"/>
      <c r="AI69" s="3169"/>
      <c r="AJ69" s="3169"/>
      <c r="AK69" s="3169"/>
      <c r="AL69" s="3169"/>
      <c r="AN69" s="3186"/>
      <c r="AO69" s="3186"/>
      <c r="AP69" s="3169"/>
      <c r="AQ69" s="3169"/>
      <c r="AR69" s="3169"/>
      <c r="AS69" s="3169"/>
      <c r="AT69" s="3169"/>
      <c r="AU69" s="3169"/>
      <c r="AV69" s="3169"/>
    </row>
    <row r="70" spans="1:48" ht="15.75">
      <c r="A70" s="2276" t="s">
        <v>360</v>
      </c>
      <c r="B70" s="2282"/>
      <c r="C70" s="140" t="s">
        <v>1600</v>
      </c>
      <c r="D70" s="24" t="s">
        <v>1605</v>
      </c>
      <c r="AA70" s="3169"/>
      <c r="AB70" s="3169"/>
      <c r="AC70" s="3169"/>
      <c r="AD70" s="3169"/>
      <c r="AE70" s="3169"/>
      <c r="AF70" s="3169"/>
      <c r="AG70" s="3169"/>
      <c r="AH70" s="3169"/>
      <c r="AI70" s="3169"/>
      <c r="AJ70" s="3169"/>
      <c r="AK70" s="3169"/>
      <c r="AL70" s="3169"/>
      <c r="AN70" s="3186"/>
      <c r="AO70" s="3186"/>
      <c r="AP70" s="3169"/>
      <c r="AQ70" s="3169"/>
      <c r="AR70" s="3169"/>
      <c r="AS70" s="3169"/>
      <c r="AT70" s="3169"/>
      <c r="AU70" s="3169"/>
      <c r="AV70" s="3169"/>
    </row>
    <row r="71" spans="1:48">
      <c r="D71" s="24" t="str">
        <f>"personal property not used in a trade or business."</f>
        <v>personal property not used in a trade or business.</v>
      </c>
      <c r="AA71" s="3169"/>
      <c r="AB71" s="3169"/>
      <c r="AC71" s="3169"/>
      <c r="AD71" s="3169"/>
      <c r="AE71" s="3169"/>
      <c r="AF71" s="3169"/>
      <c r="AG71" s="3169"/>
      <c r="AH71" s="3169"/>
      <c r="AI71" s="3169"/>
      <c r="AJ71" s="3169"/>
      <c r="AK71" s="3169"/>
      <c r="AL71" s="3169"/>
      <c r="AN71" s="3186"/>
      <c r="AO71" s="3186"/>
      <c r="AP71" s="3169"/>
      <c r="AQ71" s="3169"/>
      <c r="AR71" s="3169"/>
      <c r="AS71" s="3169"/>
      <c r="AT71" s="3169"/>
      <c r="AU71" s="3169"/>
      <c r="AV71" s="3169"/>
    </row>
    <row r="72" spans="1:48">
      <c r="C72" s="43" t="s">
        <v>274</v>
      </c>
      <c r="AA72" s="3169"/>
      <c r="AB72" s="3169"/>
      <c r="AC72" s="3169"/>
      <c r="AD72" s="3169"/>
      <c r="AE72" s="3169"/>
      <c r="AF72" s="3169"/>
      <c r="AG72" s="3169"/>
      <c r="AH72" s="3169"/>
      <c r="AI72" s="3169"/>
      <c r="AJ72" s="3169"/>
      <c r="AK72" s="3169"/>
      <c r="AL72" s="3169"/>
      <c r="AN72" s="3186"/>
      <c r="AO72" s="3186"/>
      <c r="AP72" s="3169"/>
      <c r="AQ72" s="3169"/>
      <c r="AR72" s="3169"/>
      <c r="AS72" s="3169"/>
      <c r="AT72" s="3169"/>
      <c r="AU72" s="3169"/>
      <c r="AV72" s="3169"/>
    </row>
    <row r="73" spans="1:48" ht="15.75">
      <c r="A73" s="2276" t="s">
        <v>360</v>
      </c>
      <c r="B73" s="2282"/>
      <c r="C73" s="140" t="s">
        <v>1600</v>
      </c>
      <c r="D73" s="74" t="s">
        <v>1678</v>
      </c>
      <c r="AA73" s="3169"/>
      <c r="AB73" s="3169"/>
      <c r="AC73" s="3169"/>
      <c r="AD73" s="3169"/>
      <c r="AE73" s="3169"/>
      <c r="AF73" s="3169"/>
      <c r="AG73" s="3169"/>
      <c r="AH73" s="3169"/>
      <c r="AI73" s="3169"/>
      <c r="AJ73" s="3169"/>
      <c r="AK73" s="3169"/>
      <c r="AL73" s="3169"/>
      <c r="AN73" s="3186"/>
      <c r="AO73" s="3186"/>
      <c r="AP73" s="3169"/>
      <c r="AQ73" s="3169"/>
      <c r="AR73" s="3169"/>
      <c r="AS73" s="3169"/>
      <c r="AT73" s="3169"/>
      <c r="AU73" s="3169"/>
      <c r="AV73" s="3169"/>
    </row>
    <row r="74" spans="1:48">
      <c r="D74" s="74" t="s">
        <v>1679</v>
      </c>
      <c r="AA74" s="3169"/>
      <c r="AB74" s="3169"/>
      <c r="AC74" s="3169"/>
      <c r="AD74" s="3169"/>
      <c r="AE74" s="3169"/>
      <c r="AF74" s="3169"/>
      <c r="AG74" s="3169"/>
      <c r="AH74" s="3169"/>
      <c r="AI74" s="3169"/>
      <c r="AJ74" s="3169"/>
      <c r="AK74" s="3169"/>
      <c r="AL74" s="3169"/>
      <c r="AN74" s="3186"/>
      <c r="AO74" s="3186"/>
      <c r="AP74" s="3169"/>
      <c r="AQ74" s="3169"/>
      <c r="AR74" s="3169"/>
      <c r="AS74" s="3169"/>
      <c r="AT74" s="3169"/>
      <c r="AU74" s="3169"/>
      <c r="AV74" s="3169"/>
    </row>
    <row r="75" spans="1:48">
      <c r="C75" s="43" t="s">
        <v>274</v>
      </c>
      <c r="AA75" s="3169"/>
      <c r="AB75" s="3169"/>
      <c r="AC75" s="3169"/>
      <c r="AD75" s="3169"/>
      <c r="AE75" s="3169"/>
      <c r="AF75" s="3169"/>
      <c r="AG75" s="3169"/>
      <c r="AH75" s="3169"/>
      <c r="AI75" s="3169"/>
      <c r="AJ75" s="3169"/>
      <c r="AK75" s="3169"/>
      <c r="AL75" s="3169"/>
      <c r="AN75" s="3186"/>
      <c r="AO75" s="3186"/>
      <c r="AP75" s="3169"/>
      <c r="AQ75" s="3169"/>
      <c r="AR75" s="3169"/>
      <c r="AS75" s="3169"/>
      <c r="AT75" s="3169"/>
      <c r="AU75" s="3169"/>
      <c r="AV75" s="3169"/>
    </row>
    <row r="76" spans="1:48" ht="15.75">
      <c r="A76" s="2276" t="s">
        <v>360</v>
      </c>
      <c r="B76" s="2282"/>
      <c r="C76" s="140" t="s">
        <v>1600</v>
      </c>
      <c r="D76" s="74" t="s">
        <v>1680</v>
      </c>
      <c r="AA76" s="3169"/>
      <c r="AB76" s="3169"/>
      <c r="AC76" s="3169"/>
      <c r="AD76" s="3169"/>
      <c r="AE76" s="3169"/>
      <c r="AF76" s="3169"/>
      <c r="AG76" s="3169"/>
      <c r="AH76" s="3169"/>
      <c r="AI76" s="3169"/>
      <c r="AJ76" s="3169"/>
      <c r="AK76" s="3169"/>
      <c r="AL76" s="3169"/>
      <c r="AN76" s="3186"/>
      <c r="AO76" s="3186"/>
      <c r="AP76" s="3169"/>
      <c r="AQ76" s="3169"/>
      <c r="AR76" s="3169"/>
      <c r="AS76" s="3169"/>
      <c r="AT76" s="3169"/>
      <c r="AU76" s="3169"/>
      <c r="AV76" s="3169"/>
    </row>
    <row r="77" spans="1:48">
      <c r="AA77" s="3169"/>
      <c r="AB77" s="3169"/>
      <c r="AC77" s="3169"/>
      <c r="AD77" s="3169"/>
      <c r="AE77" s="3169"/>
      <c r="AF77" s="3169"/>
      <c r="AG77" s="3169"/>
      <c r="AH77" s="3169"/>
      <c r="AI77" s="3169"/>
      <c r="AJ77" s="3169"/>
      <c r="AK77" s="3169"/>
      <c r="AL77" s="3169"/>
      <c r="AN77" s="3186"/>
      <c r="AO77" s="3186"/>
      <c r="AP77" s="3169"/>
      <c r="AQ77" s="3169"/>
      <c r="AR77" s="3169"/>
      <c r="AS77" s="3169"/>
      <c r="AT77" s="3169"/>
      <c r="AU77" s="3169"/>
      <c r="AV77" s="3169"/>
    </row>
    <row r="78" spans="1:48" ht="15.75">
      <c r="B78" s="2527" t="str">
        <f>IF(OR(B68&lt;&gt;"",B70&lt;&gt;"",B73&lt;&gt;"",B76&lt;&gt;""),"X","")</f>
        <v/>
      </c>
      <c r="D78" s="74" t="s">
        <v>3987</v>
      </c>
      <c r="G78" s="2276" t="s">
        <v>360</v>
      </c>
      <c r="H78" s="1669"/>
      <c r="J78" s="74" t="s">
        <v>3988</v>
      </c>
      <c r="AA78" s="3169"/>
      <c r="AB78" s="3169"/>
      <c r="AC78" s="3169"/>
      <c r="AD78" s="3169"/>
      <c r="AE78" s="3169"/>
      <c r="AF78" s="3169"/>
      <c r="AG78" s="3169"/>
      <c r="AH78" s="3169"/>
      <c r="AI78" s="3169"/>
      <c r="AJ78" s="3169"/>
      <c r="AK78" s="3169"/>
      <c r="AL78" s="3169"/>
      <c r="AN78" s="3186"/>
      <c r="AO78" s="3186"/>
      <c r="AP78" s="3169"/>
      <c r="AQ78" s="3169"/>
      <c r="AR78" s="3169"/>
      <c r="AS78" s="3169"/>
      <c r="AT78" s="3169"/>
      <c r="AU78" s="3169"/>
      <c r="AV78" s="3169"/>
    </row>
    <row r="79" spans="1:48">
      <c r="D79" s="74" t="s">
        <v>1684</v>
      </c>
      <c r="H79" s="43"/>
      <c r="AA79" s="3169"/>
      <c r="AB79" s="3169"/>
      <c r="AC79" s="3169"/>
      <c r="AD79" s="3169"/>
      <c r="AE79" s="3169"/>
      <c r="AF79" s="3169"/>
      <c r="AG79" s="3169"/>
      <c r="AH79" s="3169"/>
      <c r="AI79" s="3169"/>
      <c r="AJ79" s="3169"/>
      <c r="AK79" s="3169"/>
      <c r="AL79" s="3169"/>
      <c r="AN79" s="3186"/>
      <c r="AO79" s="3186"/>
      <c r="AP79" s="3169"/>
      <c r="AQ79" s="3169"/>
      <c r="AR79" s="3169"/>
      <c r="AS79" s="3169"/>
      <c r="AT79" s="3169"/>
      <c r="AU79" s="3169"/>
      <c r="AV79" s="3169"/>
    </row>
    <row r="80" spans="1:48" ht="15.75">
      <c r="D80" s="74" t="s">
        <v>1685</v>
      </c>
      <c r="G80" s="2276" t="s">
        <v>360</v>
      </c>
      <c r="H80" s="2160"/>
      <c r="J80" s="2277" t="str">
        <f>IF(H80&lt;&gt;"","Go to Step 3.","Check here if you can take the credit.")</f>
        <v>Check here if you can take the credit.</v>
      </c>
      <c r="AA80" s="3169"/>
      <c r="AB80" s="3169"/>
      <c r="AC80" s="3169"/>
      <c r="AD80" s="3169"/>
      <c r="AE80" s="3169"/>
      <c r="AF80" s="3169"/>
      <c r="AG80" s="3169"/>
      <c r="AH80" s="3169"/>
      <c r="AI80" s="3169"/>
      <c r="AJ80" s="3169"/>
      <c r="AK80" s="3169"/>
      <c r="AL80" s="3169"/>
      <c r="AN80" s="3186"/>
      <c r="AO80" s="3186"/>
      <c r="AP80" s="3169"/>
      <c r="AQ80" s="3169"/>
      <c r="AR80" s="3169"/>
      <c r="AS80" s="3169"/>
      <c r="AT80" s="3169"/>
      <c r="AU80" s="3169"/>
      <c r="AV80" s="3169"/>
    </row>
    <row r="81" spans="1:48">
      <c r="AA81" s="3169"/>
      <c r="AB81" s="3169"/>
      <c r="AC81" s="3169"/>
      <c r="AD81" s="3169"/>
      <c r="AE81" s="3169"/>
      <c r="AF81" s="3169"/>
      <c r="AG81" s="3169"/>
      <c r="AH81" s="3169"/>
      <c r="AI81" s="3169"/>
      <c r="AJ81" s="3169"/>
      <c r="AK81" s="3169"/>
      <c r="AL81" s="3169"/>
      <c r="AN81" s="3186"/>
      <c r="AO81" s="3186"/>
      <c r="AP81" s="3169"/>
      <c r="AQ81" s="3169"/>
      <c r="AR81" s="3169"/>
      <c r="AS81" s="3169"/>
      <c r="AT81" s="3169"/>
      <c r="AU81" s="3169"/>
      <c r="AV81" s="3169"/>
    </row>
    <row r="82" spans="1:48" s="2164" customFormat="1">
      <c r="B82" s="2163"/>
      <c r="N82" s="2165"/>
      <c r="AA82" s="3187"/>
      <c r="AB82" s="3187"/>
      <c r="AC82" s="3187"/>
      <c r="AD82" s="3187"/>
      <c r="AE82" s="3187"/>
      <c r="AF82" s="3187"/>
      <c r="AG82" s="3187"/>
      <c r="AH82" s="3187"/>
      <c r="AI82" s="3187"/>
      <c r="AJ82" s="3187"/>
      <c r="AK82" s="3187"/>
      <c r="AL82" s="3187"/>
      <c r="AN82" s="3188"/>
      <c r="AO82" s="3188"/>
      <c r="AP82" s="3187"/>
      <c r="AQ82" s="3187"/>
      <c r="AR82" s="3187"/>
      <c r="AS82" s="3187"/>
      <c r="AT82" s="3187"/>
      <c r="AU82" s="3187"/>
      <c r="AV82" s="3187"/>
    </row>
    <row r="83" spans="1:48" s="137" customFormat="1" ht="15.75">
      <c r="A83" s="2182" t="s">
        <v>1729</v>
      </c>
      <c r="B83" s="2183" t="s">
        <v>1733</v>
      </c>
      <c r="C83" s="2157"/>
      <c r="F83" s="2170" t="s">
        <v>1693</v>
      </c>
      <c r="N83" s="2158"/>
      <c r="AA83" s="3184"/>
      <c r="AB83" s="3184"/>
      <c r="AC83" s="3184"/>
      <c r="AD83" s="3184"/>
      <c r="AE83" s="3184"/>
      <c r="AF83" s="3184"/>
      <c r="AG83" s="3184"/>
      <c r="AH83" s="3184"/>
      <c r="AI83" s="3184"/>
      <c r="AJ83" s="3184"/>
      <c r="AK83" s="3184"/>
      <c r="AL83" s="3184"/>
      <c r="AN83" s="3185"/>
      <c r="AO83" s="3185"/>
      <c r="AP83" s="3184"/>
      <c r="AQ83" s="3184"/>
      <c r="AR83" s="3184"/>
      <c r="AS83" s="3184"/>
      <c r="AT83" s="3184"/>
      <c r="AU83" s="3184"/>
      <c r="AV83" s="3184"/>
    </row>
    <row r="84" spans="1:48">
      <c r="A84" s="1586"/>
      <c r="C84" s="1586"/>
      <c r="AA84" s="3169"/>
      <c r="AB84" s="3169"/>
      <c r="AC84" s="3169"/>
      <c r="AD84" s="3169"/>
      <c r="AE84" s="3169"/>
      <c r="AF84" s="3169"/>
      <c r="AG84" s="3169"/>
      <c r="AH84" s="3169"/>
      <c r="AI84" s="3169"/>
      <c r="AJ84" s="3169"/>
      <c r="AK84" s="3169"/>
      <c r="AL84" s="3169"/>
      <c r="AN84" s="3186"/>
      <c r="AO84" s="3186"/>
      <c r="AP84" s="3169"/>
      <c r="AQ84" s="3169"/>
      <c r="AR84" s="3169"/>
      <c r="AS84" s="3169"/>
      <c r="AT84" s="3169"/>
      <c r="AU84" s="3169"/>
      <c r="AV84" s="3169"/>
    </row>
    <row r="85" spans="1:48">
      <c r="B85" s="25" t="s">
        <v>1606</v>
      </c>
      <c r="C85" s="2161"/>
      <c r="D85" s="25"/>
      <c r="AA85" s="3169"/>
      <c r="AB85" s="3169"/>
      <c r="AC85" s="3169"/>
      <c r="AD85" s="3169"/>
      <c r="AE85" s="3169"/>
      <c r="AF85" s="3169"/>
      <c r="AG85" s="3169"/>
      <c r="AH85" s="3169"/>
      <c r="AI85" s="3169"/>
      <c r="AJ85" s="3169"/>
      <c r="AK85" s="3169"/>
      <c r="AL85" s="3169"/>
      <c r="AN85" s="3186"/>
      <c r="AO85" s="3186"/>
      <c r="AP85" s="3169"/>
      <c r="AQ85" s="3169"/>
      <c r="AR85" s="3169"/>
      <c r="AS85" s="3169"/>
      <c r="AT85" s="3169"/>
      <c r="AU85" s="3169"/>
      <c r="AV85" s="3169"/>
    </row>
    <row r="86" spans="1:48">
      <c r="C86" s="2161"/>
      <c r="AA86" s="3169"/>
      <c r="AB86" s="3169"/>
      <c r="AC86" s="3169"/>
      <c r="AD86" s="3169"/>
      <c r="AE86" s="3169"/>
      <c r="AF86" s="3169"/>
      <c r="AG86" s="3169"/>
      <c r="AH86" s="3169"/>
      <c r="AI86" s="3169"/>
      <c r="AJ86" s="3169"/>
      <c r="AK86" s="3169"/>
      <c r="AL86" s="3169"/>
      <c r="AN86" s="3186"/>
      <c r="AO86" s="3186"/>
      <c r="AP86" s="3169"/>
      <c r="AQ86" s="3169"/>
      <c r="AR86" s="3169"/>
      <c r="AS86" s="3169"/>
      <c r="AT86" s="3169"/>
      <c r="AU86" s="3169"/>
      <c r="AV86" s="3169"/>
    </row>
    <row r="87" spans="1:48" ht="13.5" thickBot="1">
      <c r="C87" s="140" t="s">
        <v>1600</v>
      </c>
      <c r="D87" s="74" t="s">
        <v>1688</v>
      </c>
      <c r="M87" s="4487" t="s">
        <v>3990</v>
      </c>
      <c r="AA87" s="3169"/>
      <c r="AB87" s="3169"/>
      <c r="AC87" s="3169"/>
      <c r="AD87" s="3169"/>
      <c r="AE87" s="3169"/>
      <c r="AF87" s="3169"/>
      <c r="AG87" s="3169"/>
      <c r="AH87" s="3169"/>
      <c r="AI87" s="3169"/>
      <c r="AJ87" s="3169"/>
      <c r="AK87" s="3169"/>
      <c r="AL87" s="3169"/>
      <c r="AN87" s="3186"/>
      <c r="AO87" s="3186"/>
      <c r="AP87" s="3169"/>
      <c r="AQ87" s="3169"/>
      <c r="AR87" s="3169"/>
      <c r="AS87" s="3169"/>
      <c r="AT87" s="3169"/>
      <c r="AU87" s="3169"/>
      <c r="AV87" s="3169"/>
    </row>
    <row r="88" spans="1:48" ht="12.75" customHeight="1">
      <c r="D88" s="74" t="s">
        <v>1687</v>
      </c>
      <c r="M88" s="5831" t="s">
        <v>3991</v>
      </c>
      <c r="N88" s="5832"/>
      <c r="O88" s="5832"/>
      <c r="P88" s="5832"/>
      <c r="Q88" s="5832"/>
      <c r="R88" s="5832"/>
      <c r="S88" s="5832"/>
      <c r="T88" s="5832"/>
      <c r="U88" s="5832"/>
      <c r="V88" s="5832"/>
      <c r="W88" s="5832"/>
      <c r="X88" s="5832"/>
      <c r="Y88" s="5833"/>
      <c r="Z88" s="4486"/>
      <c r="AA88" s="3169"/>
      <c r="AB88" s="3169"/>
      <c r="AC88" s="3169"/>
      <c r="AD88" s="3169"/>
      <c r="AE88" s="3169"/>
      <c r="AF88" s="3169"/>
      <c r="AG88" s="3169"/>
      <c r="AH88" s="3169"/>
      <c r="AI88" s="3169"/>
      <c r="AJ88" s="3169"/>
      <c r="AK88" s="3169"/>
      <c r="AL88" s="3169"/>
      <c r="AN88" s="3186"/>
      <c r="AO88" s="3186"/>
      <c r="AP88" s="3169"/>
      <c r="AQ88" s="3169"/>
      <c r="AR88" s="3169"/>
      <c r="AS88" s="3169"/>
      <c r="AT88" s="3169"/>
      <c r="AU88" s="3169"/>
      <c r="AV88" s="3169"/>
    </row>
    <row r="89" spans="1:48">
      <c r="D89" s="24" t="s">
        <v>1607</v>
      </c>
      <c r="M89" s="5834"/>
      <c r="N89" s="5835"/>
      <c r="O89" s="5835"/>
      <c r="P89" s="5835"/>
      <c r="Q89" s="5835"/>
      <c r="R89" s="5835"/>
      <c r="S89" s="5835"/>
      <c r="T89" s="5835"/>
      <c r="U89" s="5835"/>
      <c r="V89" s="5835"/>
      <c r="W89" s="5835"/>
      <c r="X89" s="5835"/>
      <c r="Y89" s="5836"/>
      <c r="Z89" s="4486"/>
      <c r="AA89" s="3169"/>
      <c r="AB89" s="3169"/>
      <c r="AC89" s="3169"/>
      <c r="AD89" s="3169"/>
      <c r="AE89" s="3169"/>
      <c r="AF89" s="3169"/>
      <c r="AG89" s="3169"/>
      <c r="AH89" s="3169"/>
      <c r="AI89" s="3169"/>
      <c r="AJ89" s="3169"/>
      <c r="AK89" s="3169"/>
      <c r="AL89" s="3169"/>
      <c r="AN89" s="3186"/>
      <c r="AO89" s="3186"/>
      <c r="AP89" s="3169"/>
      <c r="AQ89" s="3169"/>
      <c r="AR89" s="3169"/>
      <c r="AS89" s="3169"/>
      <c r="AT89" s="3169"/>
      <c r="AU89" s="3169"/>
      <c r="AV89" s="3169"/>
    </row>
    <row r="90" spans="1:48">
      <c r="C90" s="25" t="s">
        <v>1691</v>
      </c>
      <c r="M90" s="5834"/>
      <c r="N90" s="5835"/>
      <c r="O90" s="5835"/>
      <c r="P90" s="5835"/>
      <c r="Q90" s="5835"/>
      <c r="R90" s="5835"/>
      <c r="S90" s="5835"/>
      <c r="T90" s="5835"/>
      <c r="U90" s="5835"/>
      <c r="V90" s="5835"/>
      <c r="W90" s="5835"/>
      <c r="X90" s="5835"/>
      <c r="Y90" s="5836"/>
      <c r="Z90" s="4486"/>
      <c r="AA90" s="3169"/>
      <c r="AB90" s="3169"/>
      <c r="AC90" s="3169"/>
      <c r="AD90" s="3169"/>
      <c r="AE90" s="3169"/>
      <c r="AF90" s="3169"/>
      <c r="AG90" s="3169"/>
      <c r="AH90" s="3169"/>
      <c r="AI90" s="3169"/>
      <c r="AJ90" s="3169"/>
      <c r="AK90" s="3169"/>
      <c r="AL90" s="3169"/>
      <c r="AN90" s="3186"/>
      <c r="AO90" s="3186"/>
      <c r="AP90" s="3169"/>
      <c r="AQ90" s="3169"/>
      <c r="AR90" s="3169"/>
      <c r="AS90" s="3169"/>
      <c r="AT90" s="3169"/>
      <c r="AU90" s="3169"/>
      <c r="AV90" s="3169"/>
    </row>
    <row r="91" spans="1:48">
      <c r="C91" s="25"/>
      <c r="D91" s="74" t="s">
        <v>1692</v>
      </c>
      <c r="M91" s="5834"/>
      <c r="N91" s="5835"/>
      <c r="O91" s="5835"/>
      <c r="P91" s="5835"/>
      <c r="Q91" s="5835"/>
      <c r="R91" s="5835"/>
      <c r="S91" s="5835"/>
      <c r="T91" s="5835"/>
      <c r="U91" s="5835"/>
      <c r="V91" s="5835"/>
      <c r="W91" s="5835"/>
      <c r="X91" s="5835"/>
      <c r="Y91" s="5836"/>
      <c r="Z91" s="4486"/>
      <c r="AA91" s="3169"/>
      <c r="AB91" s="3169"/>
      <c r="AC91" s="3169"/>
      <c r="AD91" s="3169"/>
      <c r="AE91" s="3169"/>
      <c r="AF91" s="3169"/>
      <c r="AG91" s="3169"/>
      <c r="AH91" s="3169"/>
      <c r="AI91" s="3169"/>
      <c r="AJ91" s="3169"/>
      <c r="AK91" s="3169"/>
      <c r="AL91" s="3169"/>
      <c r="AN91" s="3186"/>
      <c r="AO91" s="3186"/>
      <c r="AP91" s="3169"/>
      <c r="AQ91" s="3169"/>
      <c r="AR91" s="3169"/>
      <c r="AS91" s="3169"/>
      <c r="AT91" s="3169"/>
      <c r="AU91" s="3169"/>
      <c r="AV91" s="3169"/>
    </row>
    <row r="92" spans="1:48">
      <c r="C92" s="140" t="s">
        <v>1600</v>
      </c>
      <c r="D92" s="24" t="str">
        <f>"Under age 19 at the end of "&amp;TaxYear&amp;" and younger than you (or your spouse, if filing jointly)"</f>
        <v>Under age 19 at the end of 2018 and younger than you (or your spouse, if filing jointly)</v>
      </c>
      <c r="M92" s="5834"/>
      <c r="N92" s="5835"/>
      <c r="O92" s="5835"/>
      <c r="P92" s="5835"/>
      <c r="Q92" s="5835"/>
      <c r="R92" s="5835"/>
      <c r="S92" s="5835"/>
      <c r="T92" s="5835"/>
      <c r="U92" s="5835"/>
      <c r="V92" s="5835"/>
      <c r="W92" s="5835"/>
      <c r="X92" s="5835"/>
      <c r="Y92" s="5836"/>
      <c r="Z92" s="4486"/>
      <c r="AA92" s="3169"/>
      <c r="AB92" s="3169"/>
      <c r="AC92" s="3169"/>
      <c r="AD92" s="3169"/>
      <c r="AE92" s="3169"/>
      <c r="AF92" s="3169"/>
      <c r="AG92" s="3169"/>
      <c r="AH92" s="3169"/>
      <c r="AI92" s="3169"/>
      <c r="AJ92" s="3169"/>
      <c r="AK92" s="3169"/>
      <c r="AL92" s="3169"/>
      <c r="AN92" s="3186"/>
      <c r="AO92" s="3186"/>
      <c r="AP92" s="3169"/>
      <c r="AQ92" s="3169"/>
      <c r="AR92" s="3169"/>
      <c r="AS92" s="3169"/>
      <c r="AT92" s="3169"/>
      <c r="AU92" s="3169"/>
      <c r="AV92" s="3169"/>
    </row>
    <row r="93" spans="1:48" ht="13.5" thickBot="1">
      <c r="C93" s="140"/>
      <c r="D93" s="74" t="s">
        <v>274</v>
      </c>
      <c r="M93" s="5837"/>
      <c r="N93" s="5838"/>
      <c r="O93" s="5838"/>
      <c r="P93" s="5838"/>
      <c r="Q93" s="5838"/>
      <c r="R93" s="5838"/>
      <c r="S93" s="5838"/>
      <c r="T93" s="5838"/>
      <c r="U93" s="5838"/>
      <c r="V93" s="5838"/>
      <c r="W93" s="5838"/>
      <c r="X93" s="5838"/>
      <c r="Y93" s="5839"/>
      <c r="AA93" s="3169"/>
      <c r="AB93" s="3169"/>
      <c r="AC93" s="3169"/>
      <c r="AD93" s="3169"/>
      <c r="AE93" s="3169"/>
      <c r="AF93" s="3169"/>
      <c r="AG93" s="3169"/>
      <c r="AH93" s="3169"/>
      <c r="AI93" s="3169"/>
      <c r="AJ93" s="3169"/>
      <c r="AK93" s="3169"/>
      <c r="AL93" s="3169"/>
      <c r="AN93" s="3186"/>
      <c r="AO93" s="3186"/>
      <c r="AP93" s="3169"/>
      <c r="AQ93" s="3169"/>
      <c r="AR93" s="3169"/>
      <c r="AS93" s="3169"/>
      <c r="AT93" s="3169"/>
      <c r="AU93" s="3169"/>
      <c r="AV93" s="3169"/>
    </row>
    <row r="94" spans="1:48">
      <c r="C94" s="140" t="s">
        <v>1600</v>
      </c>
      <c r="D94" s="24" t="str">
        <f>"Under age 24 at the end of "&amp;TaxYear&amp;" and a student (defined later) and younger than you"</f>
        <v>Under age 24 at the end of 2018 and a student (defined later) and younger than you</v>
      </c>
      <c r="AA94" s="3169"/>
      <c r="AB94" s="3169"/>
      <c r="AC94" s="3169"/>
      <c r="AD94" s="3169"/>
      <c r="AE94" s="3169"/>
      <c r="AF94" s="3169"/>
      <c r="AG94" s="3169"/>
      <c r="AH94" s="3169"/>
      <c r="AI94" s="3169"/>
      <c r="AJ94" s="3169"/>
      <c r="AK94" s="3169"/>
      <c r="AL94" s="3169"/>
      <c r="AN94" s="3186"/>
      <c r="AO94" s="3186"/>
      <c r="AP94" s="3169"/>
      <c r="AQ94" s="3169"/>
      <c r="AR94" s="3169"/>
      <c r="AS94" s="3169"/>
      <c r="AT94" s="3169"/>
      <c r="AU94" s="3169"/>
      <c r="AV94" s="3169"/>
    </row>
    <row r="95" spans="1:48" ht="13.5" thickBot="1">
      <c r="C95" s="140"/>
      <c r="D95" s="74" t="s">
        <v>1689</v>
      </c>
      <c r="M95" s="4487" t="s">
        <v>3992</v>
      </c>
      <c r="AA95" s="3169"/>
      <c r="AB95" s="3169"/>
      <c r="AC95" s="3169"/>
      <c r="AD95" s="3169"/>
      <c r="AE95" s="3169"/>
      <c r="AF95" s="3169"/>
      <c r="AG95" s="3169"/>
      <c r="AH95" s="3169"/>
      <c r="AI95" s="3169"/>
      <c r="AJ95" s="3169"/>
      <c r="AK95" s="3169"/>
      <c r="AL95" s="3169"/>
      <c r="AN95" s="3186"/>
      <c r="AO95" s="3186"/>
      <c r="AP95" s="3169"/>
      <c r="AQ95" s="3169"/>
      <c r="AR95" s="3169"/>
      <c r="AS95" s="3169"/>
      <c r="AT95" s="3169"/>
      <c r="AU95" s="3169"/>
      <c r="AV95" s="3169"/>
    </row>
    <row r="96" spans="1:48" ht="12.75" customHeight="1">
      <c r="C96" s="140"/>
      <c r="D96" s="74" t="s">
        <v>274</v>
      </c>
      <c r="M96" s="5831" t="str">
        <f>"If the child didn't live with you for more than half of "&amp;TaxYear&amp;" because of a temporary absence, birth, death, or kidnapping, see Exception to time lived with you, later."</f>
        <v>If the child didn't live with you for more than half of 2018 because of a temporary absence, birth, death, or kidnapping, see Exception to time lived with you, later.</v>
      </c>
      <c r="N96" s="5832"/>
      <c r="O96" s="5832"/>
      <c r="P96" s="5832"/>
      <c r="Q96" s="5832"/>
      <c r="R96" s="5832"/>
      <c r="S96" s="5832"/>
      <c r="T96" s="5832"/>
      <c r="U96" s="5832"/>
      <c r="V96" s="5832"/>
      <c r="W96" s="5832"/>
      <c r="X96" s="5832"/>
      <c r="Y96" s="5833"/>
      <c r="AA96" s="3169"/>
      <c r="AB96" s="3169"/>
      <c r="AC96" s="3169"/>
      <c r="AD96" s="3169"/>
      <c r="AE96" s="3169"/>
      <c r="AF96" s="3169"/>
      <c r="AG96" s="3169"/>
      <c r="AH96" s="3169"/>
      <c r="AI96" s="3169"/>
      <c r="AJ96" s="3169"/>
      <c r="AK96" s="3169"/>
      <c r="AL96" s="3169"/>
      <c r="AN96" s="3186"/>
      <c r="AO96" s="3186"/>
      <c r="AP96" s="3169"/>
      <c r="AQ96" s="3169"/>
      <c r="AR96" s="3169"/>
      <c r="AS96" s="3169"/>
      <c r="AT96" s="3169"/>
      <c r="AU96" s="3169"/>
      <c r="AV96" s="3169"/>
    </row>
    <row r="97" spans="2:48">
      <c r="C97" s="140" t="s">
        <v>1600</v>
      </c>
      <c r="D97" s="74" t="s">
        <v>1690</v>
      </c>
      <c r="M97" s="5834"/>
      <c r="N97" s="5835"/>
      <c r="O97" s="5835"/>
      <c r="P97" s="5835"/>
      <c r="Q97" s="5835"/>
      <c r="R97" s="5835"/>
      <c r="S97" s="5835"/>
      <c r="T97" s="5835"/>
      <c r="U97" s="5835"/>
      <c r="V97" s="5835"/>
      <c r="W97" s="5835"/>
      <c r="X97" s="5835"/>
      <c r="Y97" s="5836"/>
      <c r="AA97" s="3169"/>
      <c r="AB97" s="3169"/>
      <c r="AC97" s="3169"/>
      <c r="AD97" s="3169"/>
      <c r="AE97" s="3169"/>
      <c r="AF97" s="3169"/>
      <c r="AG97" s="3169"/>
      <c r="AH97" s="3169"/>
      <c r="AI97" s="3169"/>
      <c r="AJ97" s="3169"/>
      <c r="AK97" s="3169"/>
      <c r="AL97" s="3169"/>
      <c r="AN97" s="3186"/>
      <c r="AO97" s="3186"/>
      <c r="AP97" s="3169"/>
      <c r="AQ97" s="3169"/>
      <c r="AR97" s="3169"/>
      <c r="AS97" s="3169"/>
      <c r="AT97" s="3169"/>
      <c r="AU97" s="3169"/>
      <c r="AV97" s="3169"/>
    </row>
    <row r="98" spans="2:48" ht="13.5" thickBot="1">
      <c r="C98" s="25" t="s">
        <v>1691</v>
      </c>
      <c r="M98" s="5837"/>
      <c r="N98" s="5838"/>
      <c r="O98" s="5838"/>
      <c r="P98" s="5838"/>
      <c r="Q98" s="5838"/>
      <c r="R98" s="5838"/>
      <c r="S98" s="5838"/>
      <c r="T98" s="5838"/>
      <c r="U98" s="5838"/>
      <c r="V98" s="5838"/>
      <c r="W98" s="5838"/>
      <c r="X98" s="5838"/>
      <c r="Y98" s="5839"/>
      <c r="AA98" s="3169"/>
      <c r="AB98" s="3169"/>
      <c r="AC98" s="3169"/>
      <c r="AD98" s="3169"/>
      <c r="AE98" s="3169"/>
      <c r="AF98" s="3169"/>
      <c r="AG98" s="3169"/>
      <c r="AH98" s="3169"/>
      <c r="AI98" s="3169"/>
      <c r="AJ98" s="3169"/>
      <c r="AK98" s="3169"/>
      <c r="AL98" s="3169"/>
      <c r="AN98" s="3186"/>
      <c r="AO98" s="3186"/>
      <c r="AP98" s="3169"/>
      <c r="AQ98" s="3169"/>
      <c r="AR98" s="3169"/>
      <c r="AS98" s="3169"/>
      <c r="AT98" s="3169"/>
      <c r="AU98" s="3169"/>
      <c r="AV98" s="3169"/>
    </row>
    <row r="99" spans="2:48">
      <c r="C99" s="140"/>
      <c r="D99" s="24" t="str">
        <f>"Who isn't filing a joint return for "&amp;TaxYear</f>
        <v>Who isn't filing a joint return for 2018</v>
      </c>
      <c r="M99" s="4486"/>
      <c r="N99" s="4486"/>
      <c r="O99" s="4486"/>
      <c r="P99" s="4486"/>
      <c r="Q99" s="4486"/>
      <c r="R99" s="4486"/>
      <c r="S99" s="4486"/>
      <c r="T99" s="4486"/>
      <c r="U99" s="4486"/>
      <c r="V99" s="4486"/>
      <c r="W99" s="4486"/>
      <c r="X99" s="4486"/>
      <c r="Y99" s="4486"/>
      <c r="Z99" s="36"/>
      <c r="AA99" s="3169"/>
      <c r="AB99" s="3169"/>
      <c r="AC99" s="3169"/>
      <c r="AD99" s="3169"/>
      <c r="AE99" s="3169"/>
      <c r="AF99" s="3169"/>
      <c r="AG99" s="3169"/>
      <c r="AH99" s="3169"/>
      <c r="AI99" s="3169"/>
      <c r="AJ99" s="3169"/>
      <c r="AK99" s="3169"/>
      <c r="AL99" s="3169"/>
      <c r="AN99" s="3186"/>
      <c r="AO99" s="3186"/>
      <c r="AP99" s="3169"/>
      <c r="AQ99" s="3169"/>
      <c r="AR99" s="3169"/>
      <c r="AS99" s="3169"/>
      <c r="AT99" s="3169"/>
      <c r="AU99" s="3169"/>
      <c r="AV99" s="3169"/>
    </row>
    <row r="100" spans="2:48" ht="13.5" thickBot="1">
      <c r="C100" s="140"/>
      <c r="D100" s="24" t="str">
        <f>"or is filing a joint return for "&amp;TaxYear&amp;" only to claim a refund of withheld income tax or"</f>
        <v>or is filing a joint return for 2018 only to claim a refund of withheld income tax or</v>
      </c>
      <c r="M100" s="4487" t="s">
        <v>3990</v>
      </c>
      <c r="N100" s="36"/>
      <c r="O100" s="36"/>
      <c r="P100" s="36"/>
      <c r="Q100" s="36"/>
      <c r="R100" s="36"/>
      <c r="S100" s="36"/>
      <c r="T100" s="36"/>
      <c r="U100" s="36"/>
      <c r="V100" s="36"/>
      <c r="W100" s="36"/>
      <c r="X100" s="36"/>
      <c r="Y100" s="36"/>
      <c r="Z100" s="36"/>
      <c r="AA100" s="3169"/>
      <c r="AB100" s="3169"/>
      <c r="AC100" s="3169"/>
      <c r="AD100" s="3169"/>
      <c r="AE100" s="3169"/>
      <c r="AF100" s="3169"/>
      <c r="AG100" s="3169"/>
      <c r="AH100" s="3169"/>
      <c r="AI100" s="3169"/>
      <c r="AJ100" s="3169"/>
      <c r="AK100" s="3169"/>
      <c r="AL100" s="3169"/>
      <c r="AN100" s="3186"/>
      <c r="AO100" s="3186"/>
      <c r="AP100" s="3169"/>
      <c r="AQ100" s="3169"/>
      <c r="AR100" s="3169"/>
      <c r="AS100" s="3169"/>
      <c r="AT100" s="3169"/>
      <c r="AU100" s="3169"/>
      <c r="AV100" s="3169"/>
    </row>
    <row r="101" spans="2:48" ht="12.75" customHeight="1">
      <c r="C101" s="140"/>
      <c r="D101" s="74" t="s">
        <v>3989</v>
      </c>
      <c r="M101" s="5831"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2018, see Qualifying child of more than one person, later. If the child was married, see Married child, later.</v>
      </c>
      <c r="N101" s="5832"/>
      <c r="O101" s="5832"/>
      <c r="P101" s="5832"/>
      <c r="Q101" s="5832"/>
      <c r="R101" s="5832"/>
      <c r="S101" s="5832"/>
      <c r="T101" s="5832"/>
      <c r="U101" s="5832"/>
      <c r="V101" s="5832"/>
      <c r="W101" s="5832"/>
      <c r="X101" s="5832"/>
      <c r="Y101" s="5833"/>
      <c r="Z101" s="36"/>
      <c r="AA101" s="3169"/>
      <c r="AB101" s="3169"/>
      <c r="AC101" s="3169"/>
      <c r="AD101" s="3169"/>
      <c r="AE101" s="3169"/>
      <c r="AF101" s="3169"/>
      <c r="AG101" s="3169"/>
      <c r="AH101" s="3169"/>
      <c r="AI101" s="3169"/>
      <c r="AJ101" s="3169"/>
      <c r="AK101" s="3169"/>
      <c r="AL101" s="3169"/>
      <c r="AN101" s="3186"/>
      <c r="AO101" s="3186"/>
      <c r="AP101" s="3169"/>
      <c r="AQ101" s="3169"/>
      <c r="AR101" s="3169"/>
      <c r="AS101" s="3169"/>
      <c r="AT101" s="3169"/>
      <c r="AU101" s="3169"/>
      <c r="AV101" s="3169"/>
    </row>
    <row r="102" spans="2:48">
      <c r="C102" s="25" t="s">
        <v>1691</v>
      </c>
      <c r="M102" s="5834"/>
      <c r="N102" s="5835"/>
      <c r="O102" s="5835"/>
      <c r="P102" s="5835"/>
      <c r="Q102" s="5835"/>
      <c r="R102" s="5835"/>
      <c r="S102" s="5835"/>
      <c r="T102" s="5835"/>
      <c r="U102" s="5835"/>
      <c r="V102" s="5835"/>
      <c r="W102" s="5835"/>
      <c r="X102" s="5835"/>
      <c r="Y102" s="5836"/>
      <c r="Z102" s="36"/>
      <c r="AA102" s="3169"/>
      <c r="AB102" s="3169"/>
      <c r="AC102" s="3169"/>
      <c r="AD102" s="3169"/>
      <c r="AE102" s="3169"/>
      <c r="AF102" s="3169"/>
      <c r="AG102" s="3169"/>
      <c r="AH102" s="3169"/>
      <c r="AI102" s="3169"/>
      <c r="AJ102" s="3169"/>
      <c r="AK102" s="3169"/>
      <c r="AL102" s="3169"/>
      <c r="AN102" s="3186"/>
      <c r="AO102" s="3186"/>
      <c r="AP102" s="3169"/>
      <c r="AQ102" s="3169"/>
      <c r="AR102" s="3169"/>
      <c r="AS102" s="3169"/>
      <c r="AT102" s="3169"/>
      <c r="AU102" s="3169"/>
      <c r="AV102" s="3169"/>
    </row>
    <row r="103" spans="2:48">
      <c r="C103" s="140"/>
      <c r="D103" s="24" t="str">
        <f>"Who lived with you in the United States for more than half of "&amp;TaxYear&amp;"."</f>
        <v>Who lived with you in the United States for more than half of 2018.</v>
      </c>
      <c r="M103" s="5834"/>
      <c r="N103" s="5835"/>
      <c r="O103" s="5835"/>
      <c r="P103" s="5835"/>
      <c r="Q103" s="5835"/>
      <c r="R103" s="5835"/>
      <c r="S103" s="5835"/>
      <c r="T103" s="5835"/>
      <c r="U103" s="5835"/>
      <c r="V103" s="5835"/>
      <c r="W103" s="5835"/>
      <c r="X103" s="5835"/>
      <c r="Y103" s="5836"/>
      <c r="AA103" s="3169"/>
      <c r="AB103" s="3169"/>
      <c r="AC103" s="3169"/>
      <c r="AD103" s="3169"/>
      <c r="AE103" s="3169"/>
      <c r="AF103" s="3169"/>
      <c r="AG103" s="3169"/>
      <c r="AH103" s="3169"/>
      <c r="AI103" s="3169"/>
      <c r="AJ103" s="3169"/>
      <c r="AK103" s="3169"/>
      <c r="AL103" s="3169"/>
      <c r="AN103" s="3186"/>
      <c r="AO103" s="3186"/>
      <c r="AP103" s="3169"/>
      <c r="AQ103" s="3169"/>
      <c r="AR103" s="3169"/>
      <c r="AS103" s="3169"/>
      <c r="AT103" s="3169"/>
      <c r="AU103" s="3169"/>
      <c r="AV103" s="3169"/>
    </row>
    <row r="104" spans="2:48" ht="13.5" thickBot="1">
      <c r="C104" s="140"/>
      <c r="M104" s="5837"/>
      <c r="N104" s="5838"/>
      <c r="O104" s="5838"/>
      <c r="P104" s="5838"/>
      <c r="Q104" s="5838"/>
      <c r="R104" s="5838"/>
      <c r="S104" s="5838"/>
      <c r="T104" s="5838"/>
      <c r="U104" s="5838"/>
      <c r="V104" s="5838"/>
      <c r="W104" s="5838"/>
      <c r="X104" s="5838"/>
      <c r="Y104" s="5839"/>
      <c r="AA104" s="3169"/>
      <c r="AB104" s="3169"/>
      <c r="AC104" s="3169"/>
      <c r="AD104" s="3169"/>
      <c r="AE104" s="3169"/>
      <c r="AF104" s="3169"/>
      <c r="AG104" s="3169"/>
      <c r="AH104" s="3169"/>
      <c r="AI104" s="3169"/>
      <c r="AJ104" s="3169"/>
      <c r="AK104" s="3169"/>
      <c r="AL104" s="3169"/>
      <c r="AN104" s="3186"/>
      <c r="AO104" s="3186"/>
      <c r="AP104" s="3169"/>
      <c r="AQ104" s="3169"/>
      <c r="AR104" s="3169"/>
      <c r="AS104" s="3169"/>
      <c r="AT104" s="3169"/>
      <c r="AU104" s="3169"/>
      <c r="AV104" s="3169"/>
    </row>
    <row r="105" spans="2:48">
      <c r="B105" s="2566"/>
      <c r="C105" s="140"/>
      <c r="D105" s="2168" t="s">
        <v>1608</v>
      </c>
      <c r="AA105" s="3169"/>
      <c r="AB105" s="3169"/>
      <c r="AC105" s="3169"/>
      <c r="AD105" s="3169"/>
      <c r="AE105" s="3169"/>
      <c r="AF105" s="3169"/>
      <c r="AG105" s="3169"/>
      <c r="AH105" s="3169"/>
      <c r="AI105" s="3169"/>
      <c r="AJ105" s="3169"/>
      <c r="AK105" s="3169"/>
      <c r="AL105" s="3169"/>
      <c r="AN105" s="3186"/>
      <c r="AO105" s="3186"/>
      <c r="AP105" s="3169"/>
      <c r="AQ105" s="3169"/>
      <c r="AR105" s="3169"/>
      <c r="AS105" s="3169"/>
      <c r="AT105" s="3169"/>
      <c r="AU105" s="3169"/>
      <c r="AV105" s="3169"/>
    </row>
    <row r="106" spans="2:48" ht="6.75" customHeight="1">
      <c r="AA106" s="3169"/>
      <c r="AB106" s="3169"/>
      <c r="AC106" s="3169"/>
      <c r="AD106" s="3169"/>
      <c r="AE106" s="3169"/>
      <c r="AF106" s="3169"/>
      <c r="AG106" s="3169"/>
      <c r="AH106" s="3169"/>
      <c r="AI106" s="3169"/>
      <c r="AJ106" s="3169"/>
      <c r="AK106" s="3169"/>
      <c r="AL106" s="3169"/>
      <c r="AN106" s="3186"/>
      <c r="AO106" s="3186"/>
      <c r="AP106" s="3169"/>
      <c r="AQ106" s="3169"/>
      <c r="AR106" s="3169"/>
      <c r="AS106" s="3169"/>
      <c r="AT106" s="3169"/>
      <c r="AU106" s="3169"/>
      <c r="AV106" s="3169"/>
    </row>
    <row r="107" spans="2:48" s="2164" customFormat="1" ht="6.75" customHeight="1">
      <c r="B107" s="2163"/>
      <c r="N107" s="2165"/>
      <c r="AA107" s="3187"/>
      <c r="AB107" s="3187"/>
      <c r="AC107" s="3187"/>
      <c r="AD107" s="3187"/>
      <c r="AE107" s="3187"/>
      <c r="AF107" s="3187"/>
      <c r="AG107" s="3187"/>
      <c r="AH107" s="3187"/>
      <c r="AI107" s="3187"/>
      <c r="AJ107" s="3187"/>
      <c r="AK107" s="3187"/>
      <c r="AL107" s="3187"/>
      <c r="AN107" s="3188"/>
      <c r="AO107" s="3188"/>
      <c r="AP107" s="3187"/>
      <c r="AQ107" s="3187"/>
      <c r="AR107" s="3187"/>
      <c r="AS107" s="3187"/>
      <c r="AT107" s="3187"/>
      <c r="AU107" s="3187"/>
      <c r="AV107" s="3187"/>
    </row>
    <row r="108" spans="2:48">
      <c r="C108" s="2161" t="s">
        <v>336</v>
      </c>
      <c r="D108" s="74" t="s">
        <v>4388</v>
      </c>
      <c r="AA108" s="3169"/>
      <c r="AB108" s="3169"/>
      <c r="AC108" s="3169"/>
      <c r="AD108" s="3169"/>
      <c r="AE108" s="3169"/>
      <c r="AF108" s="3169"/>
      <c r="AG108" s="3169"/>
      <c r="AH108" s="3169"/>
      <c r="AI108" s="3169"/>
      <c r="AJ108" s="3169"/>
      <c r="AK108" s="3169"/>
      <c r="AL108" s="3169"/>
      <c r="AN108" s="3186"/>
      <c r="AO108" s="3186"/>
      <c r="AP108" s="3169"/>
      <c r="AQ108" s="3169"/>
      <c r="AR108" s="3169"/>
      <c r="AS108" s="3169"/>
      <c r="AT108" s="3169"/>
      <c r="AU108" s="3169"/>
      <c r="AV108" s="3169"/>
    </row>
    <row r="109" spans="2:48">
      <c r="C109" s="2161"/>
      <c r="D109" s="74" t="str">
        <f>"unless the child was born and died in "&amp;TaxYear&amp;", has a valid SSN as defined later?"</f>
        <v>unless the child was born and died in 2018, has a valid SSN as defined later?</v>
      </c>
      <c r="AA109" s="3169"/>
      <c r="AB109" s="3169"/>
      <c r="AC109" s="3169"/>
      <c r="AD109" s="3169"/>
      <c r="AE109" s="3169"/>
      <c r="AF109" s="3169"/>
      <c r="AG109" s="3169"/>
      <c r="AH109" s="3169"/>
      <c r="AI109" s="3169"/>
      <c r="AJ109" s="3169"/>
      <c r="AK109" s="3169"/>
      <c r="AL109" s="3169"/>
      <c r="AN109" s="3186"/>
      <c r="AO109" s="3186"/>
      <c r="AP109" s="3169"/>
      <c r="AQ109" s="3169"/>
      <c r="AR109" s="3169"/>
      <c r="AS109" s="3169"/>
      <c r="AT109" s="3169"/>
      <c r="AU109" s="3169"/>
      <c r="AV109" s="3169"/>
    </row>
    <row r="110" spans="2:48">
      <c r="AA110" s="3169"/>
      <c r="AB110" s="3169"/>
      <c r="AC110" s="3169"/>
      <c r="AD110" s="3169"/>
      <c r="AE110" s="3169"/>
      <c r="AF110" s="3169"/>
      <c r="AG110" s="3169"/>
      <c r="AH110" s="3169"/>
      <c r="AI110" s="3169"/>
      <c r="AJ110" s="3169"/>
      <c r="AK110" s="3169"/>
      <c r="AL110" s="3169"/>
      <c r="AN110" s="3186"/>
      <c r="AO110" s="3186"/>
      <c r="AP110" s="3169"/>
      <c r="AQ110" s="3169"/>
      <c r="AR110" s="3169"/>
      <c r="AS110" s="3169"/>
      <c r="AT110" s="3169"/>
      <c r="AU110" s="3169"/>
      <c r="AV110" s="3169"/>
    </row>
    <row r="111" spans="2:48">
      <c r="B111" s="2528" t="str">
        <f>IF(EICNumQualChild&gt;0,"X","")</f>
        <v/>
      </c>
      <c r="D111" s="25" t="s">
        <v>474</v>
      </c>
      <c r="H111" s="2528" t="str">
        <f>IF(EICNumQualChild="","",IF(EICNumQualChild&gt;0,"","X"))</f>
        <v/>
      </c>
      <c r="J111" s="74" t="s">
        <v>3994</v>
      </c>
      <c r="AA111" s="3169"/>
      <c r="AB111" s="3169"/>
      <c r="AC111" s="3169"/>
      <c r="AD111" s="3169"/>
      <c r="AE111" s="3169"/>
      <c r="AF111" s="3169"/>
      <c r="AG111" s="3169"/>
      <c r="AH111" s="3169"/>
      <c r="AI111" s="3169"/>
      <c r="AJ111" s="3169"/>
      <c r="AK111" s="3169"/>
      <c r="AL111" s="3169"/>
      <c r="AN111" s="3186"/>
      <c r="AO111" s="3186"/>
      <c r="AP111" s="3169"/>
      <c r="AQ111" s="3169"/>
      <c r="AR111" s="3169"/>
      <c r="AS111" s="3169"/>
      <c r="AT111" s="3169"/>
      <c r="AU111" s="3169"/>
      <c r="AV111" s="3169"/>
    </row>
    <row r="112" spans="2:48">
      <c r="AA112" s="3169"/>
      <c r="AB112" s="3169"/>
      <c r="AC112" s="3169"/>
      <c r="AD112" s="3169"/>
      <c r="AE112" s="3169"/>
      <c r="AF112" s="3169"/>
      <c r="AG112" s="3169"/>
      <c r="AH112" s="3169"/>
      <c r="AI112" s="3169"/>
      <c r="AJ112" s="3169"/>
      <c r="AK112" s="3169"/>
      <c r="AL112" s="3169"/>
      <c r="AN112" s="3186"/>
      <c r="AO112" s="3186"/>
      <c r="AP112" s="3169"/>
      <c r="AQ112" s="3169"/>
      <c r="AR112" s="3169"/>
      <c r="AS112" s="3169"/>
      <c r="AT112" s="3169"/>
      <c r="AU112" s="3169"/>
      <c r="AV112" s="3169"/>
    </row>
    <row r="113" spans="1:48">
      <c r="A113" s="5829" t="str">
        <f>IF(H111&lt;&gt;"","Skip","")</f>
        <v/>
      </c>
      <c r="B113" s="5830"/>
      <c r="C113" s="2161" t="s">
        <v>0</v>
      </c>
      <c r="D113" s="24" t="str">
        <f>"Are you filing a joint return for "&amp;TaxYear&amp;"?"</f>
        <v>Are you filing a joint return for 2018?</v>
      </c>
      <c r="AA113" s="3169"/>
      <c r="AB113" s="3169"/>
      <c r="AC113" s="3169"/>
      <c r="AD113" s="3169"/>
      <c r="AE113" s="3169"/>
      <c r="AF113" s="3169"/>
      <c r="AG113" s="3169"/>
      <c r="AH113" s="3169"/>
      <c r="AI113" s="3169"/>
      <c r="AJ113" s="3169"/>
      <c r="AK113" s="3169"/>
      <c r="AL113" s="3169"/>
      <c r="AN113" s="3186"/>
      <c r="AO113" s="3186"/>
      <c r="AP113" s="3169"/>
      <c r="AQ113" s="3169"/>
      <c r="AR113" s="3169"/>
      <c r="AS113" s="3169"/>
      <c r="AT113" s="3169"/>
      <c r="AU113" s="3169"/>
      <c r="AV113" s="3169"/>
    </row>
    <row r="114" spans="1:48">
      <c r="AA114" s="3169"/>
      <c r="AB114" s="3169"/>
      <c r="AC114" s="3169"/>
      <c r="AD114" s="3169"/>
      <c r="AE114" s="3169"/>
      <c r="AF114" s="3169"/>
      <c r="AG114" s="3169"/>
      <c r="AH114" s="3169"/>
      <c r="AI114" s="3169"/>
      <c r="AJ114" s="3169"/>
      <c r="AK114" s="3169"/>
      <c r="AL114" s="3169"/>
      <c r="AN114" s="3186"/>
      <c r="AO114" s="3186"/>
      <c r="AP114" s="3169"/>
      <c r="AQ114" s="3169"/>
      <c r="AR114" s="3169"/>
      <c r="AS114" s="3169"/>
      <c r="AT114" s="3169"/>
      <c r="AU114" s="3169"/>
      <c r="AV114" s="3169"/>
    </row>
    <row r="115" spans="1:48">
      <c r="B115" s="2527" t="str">
        <f>IF(H111&lt;&gt;"","",IF(File_Marr_Joint&lt;&gt;"","X",""))</f>
        <v/>
      </c>
      <c r="D115" s="74" t="s">
        <v>3995</v>
      </c>
      <c r="H115" s="2527" t="str">
        <f>IF(OR(EICNumQualChild="",H111="X"),"",IF(File_Marr_Joint&lt;&gt;"","","X"))</f>
        <v/>
      </c>
      <c r="J115" s="74" t="s">
        <v>3996</v>
      </c>
      <c r="AA115" s="3169"/>
      <c r="AB115" s="3169"/>
      <c r="AC115" s="3169"/>
      <c r="AD115" s="3169"/>
      <c r="AE115" s="3169"/>
      <c r="AF115" s="3169"/>
      <c r="AG115" s="3169"/>
      <c r="AH115" s="3169"/>
      <c r="AI115" s="3169"/>
      <c r="AJ115" s="3169"/>
      <c r="AK115" s="3169"/>
      <c r="AL115" s="3169"/>
      <c r="AN115" s="3186"/>
      <c r="AO115" s="3186"/>
      <c r="AP115" s="3169"/>
      <c r="AQ115" s="3169"/>
      <c r="AR115" s="3169"/>
      <c r="AS115" s="3169"/>
      <c r="AT115" s="3169"/>
      <c r="AU115" s="3169"/>
      <c r="AV115" s="3169"/>
    </row>
    <row r="116" spans="1:48">
      <c r="D116" s="74" t="s">
        <v>1694</v>
      </c>
      <c r="AA116" s="3169"/>
      <c r="AB116" s="3169"/>
      <c r="AC116" s="3169"/>
      <c r="AD116" s="3169"/>
      <c r="AE116" s="3169"/>
      <c r="AF116" s="3169"/>
      <c r="AG116" s="3169"/>
      <c r="AH116" s="3169"/>
      <c r="AI116" s="3169"/>
      <c r="AJ116" s="3169"/>
      <c r="AK116" s="3169"/>
      <c r="AL116" s="3169"/>
      <c r="AN116" s="3186"/>
      <c r="AO116" s="3186"/>
      <c r="AP116" s="3169"/>
      <c r="AQ116" s="3169"/>
      <c r="AR116" s="3169"/>
      <c r="AS116" s="3169"/>
      <c r="AT116" s="3169"/>
      <c r="AU116" s="3169"/>
      <c r="AV116" s="3169"/>
    </row>
    <row r="117" spans="1:48">
      <c r="AA117" s="3169"/>
      <c r="AB117" s="3169"/>
      <c r="AC117" s="3169"/>
      <c r="AD117" s="3169"/>
      <c r="AE117" s="3169"/>
      <c r="AF117" s="3169"/>
      <c r="AG117" s="3169"/>
      <c r="AH117" s="3169"/>
      <c r="AI117" s="3169"/>
      <c r="AJ117" s="3169"/>
      <c r="AK117" s="3169"/>
      <c r="AL117" s="3169"/>
      <c r="AN117" s="3186"/>
      <c r="AO117" s="3186"/>
      <c r="AP117" s="3169"/>
      <c r="AQ117" s="3169"/>
      <c r="AR117" s="3169"/>
      <c r="AS117" s="3169"/>
      <c r="AT117" s="3169"/>
      <c r="AU117" s="3169"/>
      <c r="AV117" s="3169"/>
    </row>
    <row r="118" spans="1:48">
      <c r="A118" s="5829" t="str">
        <f>IF(OR(B115&lt;&gt;"",H111&lt;&gt;""),"Skip","")</f>
        <v/>
      </c>
      <c r="B118" s="5830"/>
      <c r="C118" s="2172" t="s">
        <v>1</v>
      </c>
      <c r="D118" s="24" t="str">
        <f>"Could you be a qualifying child of another person in "&amp;TaxYear&amp;"?"</f>
        <v>Could you be a qualifying child of another person in 2018?</v>
      </c>
      <c r="AA118" s="3169"/>
      <c r="AB118" s="3169"/>
      <c r="AC118" s="3169"/>
      <c r="AD118" s="3169"/>
      <c r="AE118" s="3169"/>
      <c r="AF118" s="3169"/>
      <c r="AG118" s="3169"/>
      <c r="AH118" s="3169"/>
      <c r="AI118" s="3169"/>
      <c r="AJ118" s="3169"/>
      <c r="AK118" s="3169"/>
      <c r="AL118" s="3169"/>
      <c r="AN118" s="3186"/>
      <c r="AO118" s="3186"/>
      <c r="AP118" s="3169"/>
      <c r="AQ118" s="3169"/>
      <c r="AR118" s="3169"/>
      <c r="AS118" s="3169"/>
      <c r="AT118" s="3169"/>
      <c r="AU118" s="3169"/>
      <c r="AV118" s="3169"/>
    </row>
    <row r="119" spans="1:48">
      <c r="A119" s="5829"/>
      <c r="B119" s="5830"/>
      <c r="C119" s="2172"/>
      <c r="D119" s="74" t="s">
        <v>1695</v>
      </c>
      <c r="AA119" s="3169"/>
      <c r="AB119" s="3169"/>
      <c r="AC119" s="3169"/>
      <c r="AD119" s="3169"/>
      <c r="AE119" s="3169"/>
      <c r="AF119" s="3169"/>
      <c r="AG119" s="3169"/>
      <c r="AH119" s="3169"/>
      <c r="AI119" s="3169"/>
      <c r="AJ119" s="3169"/>
      <c r="AK119" s="3169"/>
      <c r="AL119" s="3169"/>
      <c r="AN119" s="3186"/>
      <c r="AO119" s="3186"/>
      <c r="AP119" s="3169"/>
      <c r="AQ119" s="3169"/>
      <c r="AR119" s="3169"/>
      <c r="AS119" s="3169"/>
      <c r="AT119" s="3169"/>
      <c r="AU119" s="3169"/>
      <c r="AV119" s="3169"/>
    </row>
    <row r="120" spans="1:48">
      <c r="A120" s="5829"/>
      <c r="B120" s="5830"/>
      <c r="C120" s="2172"/>
      <c r="D120" s="74" t="str">
        <f>"isn't filing, a "&amp;TaxYear&amp;" tax return or is filing a "&amp;TaxYear&amp;" return only"</f>
        <v>isn't filing, a 2018 tax return or is filing a 2018 return only</v>
      </c>
      <c r="AA120" s="3169"/>
      <c r="AB120" s="3169"/>
      <c r="AC120" s="3169"/>
      <c r="AD120" s="3169"/>
      <c r="AE120" s="3169"/>
      <c r="AF120" s="3169"/>
      <c r="AG120" s="3169"/>
      <c r="AH120" s="3169"/>
      <c r="AI120" s="3169"/>
      <c r="AJ120" s="3169"/>
      <c r="AK120" s="3169"/>
      <c r="AL120" s="3169"/>
      <c r="AN120" s="3186"/>
      <c r="AO120" s="3186"/>
      <c r="AP120" s="3169"/>
      <c r="AQ120" s="3169"/>
      <c r="AR120" s="3169"/>
      <c r="AS120" s="3169"/>
      <c r="AT120" s="3169"/>
      <c r="AU120" s="3169"/>
      <c r="AV120" s="3169"/>
    </row>
    <row r="121" spans="1:48">
      <c r="A121" s="5829"/>
      <c r="B121" s="5830"/>
      <c r="C121" s="2172"/>
      <c r="D121" s="74" t="s">
        <v>1696</v>
      </c>
      <c r="AA121" s="3169"/>
      <c r="AB121" s="3169"/>
      <c r="AC121" s="3169"/>
      <c r="AD121" s="3169"/>
      <c r="AE121" s="3169"/>
      <c r="AF121" s="3169"/>
      <c r="AG121" s="3169"/>
      <c r="AH121" s="3169"/>
      <c r="AI121" s="3169"/>
      <c r="AJ121" s="3169"/>
      <c r="AK121" s="3169"/>
      <c r="AL121" s="3169"/>
      <c r="AN121" s="3186"/>
      <c r="AO121" s="3186"/>
      <c r="AP121" s="3169"/>
      <c r="AQ121" s="3169"/>
      <c r="AR121" s="3169"/>
      <c r="AS121" s="3169"/>
      <c r="AT121" s="3169"/>
      <c r="AU121" s="3169"/>
      <c r="AV121" s="3169"/>
    </row>
    <row r="122" spans="1:48">
      <c r="A122" s="5829"/>
      <c r="B122" s="5830"/>
      <c r="C122" s="2172"/>
      <c r="D122" s="74" t="s">
        <v>1697</v>
      </c>
      <c r="AA122" s="3169"/>
      <c r="AB122" s="3169"/>
      <c r="AC122" s="3169"/>
      <c r="AD122" s="3169"/>
      <c r="AE122" s="3169"/>
      <c r="AF122" s="3169"/>
      <c r="AG122" s="3169"/>
      <c r="AH122" s="3169"/>
      <c r="AI122" s="3169"/>
      <c r="AJ122" s="3169"/>
      <c r="AK122" s="3169"/>
      <c r="AL122" s="3169"/>
      <c r="AN122" s="3186"/>
      <c r="AO122" s="3186"/>
      <c r="AP122" s="3169"/>
      <c r="AQ122" s="3169"/>
      <c r="AR122" s="3169"/>
      <c r="AS122" s="3169"/>
      <c r="AT122" s="3169"/>
      <c r="AU122" s="3169"/>
      <c r="AV122" s="3169"/>
    </row>
    <row r="123" spans="1:48">
      <c r="AA123" s="3169"/>
      <c r="AB123" s="3169"/>
      <c r="AC123" s="3169"/>
      <c r="AD123" s="3169"/>
      <c r="AE123" s="3169"/>
      <c r="AF123" s="3169"/>
      <c r="AG123" s="3169"/>
      <c r="AH123" s="3169"/>
      <c r="AI123" s="3169"/>
      <c r="AJ123" s="3169"/>
      <c r="AK123" s="3169"/>
      <c r="AL123" s="3169"/>
      <c r="AN123" s="3186"/>
      <c r="AO123" s="3186"/>
      <c r="AP123" s="3169"/>
      <c r="AQ123" s="3169"/>
      <c r="AR123" s="3169"/>
      <c r="AS123" s="3169"/>
      <c r="AT123" s="3169"/>
      <c r="AU123" s="3169"/>
      <c r="AV123" s="3169"/>
    </row>
    <row r="124" spans="1:48">
      <c r="A124" s="2181" t="str">
        <f>IF(B115="X","Skip. ","")</f>
        <v/>
      </c>
      <c r="B124" s="2527" t="str">
        <f>IF(OR(B115&lt;&gt;"",H111&lt;&gt;""),"",IF(OR(DependentYOU&lt;&gt;"",DependentSPOUSE&lt;&gt;""),"X",""))</f>
        <v/>
      </c>
      <c r="D124" s="74" t="s">
        <v>3997</v>
      </c>
      <c r="H124" s="2527" t="str">
        <f>IF(OR(EICNumQualChild="",B115&lt;&gt;"",H111&lt;&gt;""),"",IF(OR(DependentYOU&lt;&gt;"",DependentSPOUSE&lt;&gt;""),"","X"))</f>
        <v/>
      </c>
      <c r="J124" s="74" t="s">
        <v>3998</v>
      </c>
      <c r="AA124" s="3169"/>
      <c r="AB124" s="3169"/>
      <c r="AC124" s="3169"/>
      <c r="AD124" s="3169"/>
      <c r="AE124" s="3169"/>
      <c r="AF124" s="3169"/>
      <c r="AG124" s="3169"/>
      <c r="AH124" s="3169"/>
      <c r="AI124" s="3169"/>
      <c r="AJ124" s="3169"/>
      <c r="AK124" s="3169"/>
      <c r="AL124" s="3169"/>
      <c r="AN124" s="3186"/>
      <c r="AO124" s="3186"/>
      <c r="AP124" s="3169"/>
      <c r="AQ124" s="3169"/>
      <c r="AR124" s="3169"/>
      <c r="AS124" s="3169"/>
      <c r="AT124" s="3169"/>
      <c r="AU124" s="3169"/>
      <c r="AV124" s="3169"/>
    </row>
    <row r="125" spans="1:48">
      <c r="D125" s="24" t="s">
        <v>1609</v>
      </c>
      <c r="AA125" s="3169"/>
      <c r="AB125" s="3169"/>
      <c r="AC125" s="3169"/>
      <c r="AD125" s="3169"/>
      <c r="AE125" s="3169"/>
      <c r="AF125" s="3169"/>
      <c r="AG125" s="3169"/>
      <c r="AH125" s="3169"/>
      <c r="AI125" s="3169"/>
      <c r="AJ125" s="3169"/>
      <c r="AK125" s="3169"/>
      <c r="AL125" s="3169"/>
      <c r="AN125" s="3186"/>
      <c r="AO125" s="3186"/>
      <c r="AP125" s="3169"/>
      <c r="AQ125" s="3169"/>
      <c r="AR125" s="3169"/>
      <c r="AS125" s="3169"/>
      <c r="AT125" s="3169"/>
      <c r="AU125" s="3169"/>
      <c r="AV125" s="3169"/>
    </row>
    <row r="126" spans="1:48">
      <c r="D126" s="74" t="s">
        <v>3993</v>
      </c>
      <c r="AA126" s="3169"/>
      <c r="AB126" s="3169"/>
      <c r="AC126" s="3169"/>
      <c r="AD126" s="3169"/>
      <c r="AE126" s="3169"/>
      <c r="AF126" s="3169"/>
      <c r="AG126" s="3169"/>
      <c r="AH126" s="3169"/>
      <c r="AI126" s="3169"/>
      <c r="AJ126" s="3169"/>
      <c r="AK126" s="3169"/>
      <c r="AL126" s="3169"/>
      <c r="AN126" s="3186"/>
      <c r="AO126" s="3186"/>
      <c r="AP126" s="3169"/>
      <c r="AQ126" s="3169"/>
      <c r="AR126" s="3169"/>
      <c r="AS126" s="3169"/>
      <c r="AT126" s="3169"/>
      <c r="AU126" s="3169"/>
      <c r="AV126" s="3169"/>
    </row>
    <row r="127" spans="1:48" ht="7.5" customHeight="1">
      <c r="AA127" s="3169"/>
      <c r="AB127" s="3169"/>
      <c r="AC127" s="3169"/>
      <c r="AD127" s="3169"/>
      <c r="AE127" s="3169"/>
      <c r="AF127" s="3169"/>
      <c r="AG127" s="3169"/>
      <c r="AH127" s="3169"/>
      <c r="AI127" s="3169"/>
      <c r="AJ127" s="3169"/>
      <c r="AK127" s="3169"/>
      <c r="AL127" s="3169"/>
      <c r="AN127" s="3186"/>
      <c r="AO127" s="3186"/>
      <c r="AP127" s="3169"/>
      <c r="AQ127" s="3169"/>
      <c r="AR127" s="3169"/>
      <c r="AS127" s="3169"/>
      <c r="AT127" s="3169"/>
      <c r="AU127" s="3169"/>
      <c r="AV127" s="3169"/>
    </row>
    <row r="128" spans="1:48" s="2164" customFormat="1" ht="7.5" customHeight="1">
      <c r="B128" s="2163"/>
      <c r="N128" s="2165"/>
      <c r="AA128" s="3187"/>
      <c r="AB128" s="3187"/>
      <c r="AC128" s="3187"/>
      <c r="AD128" s="3187"/>
      <c r="AE128" s="3187"/>
      <c r="AF128" s="3187"/>
      <c r="AG128" s="3187"/>
      <c r="AH128" s="3187"/>
      <c r="AI128" s="3187"/>
      <c r="AJ128" s="3187"/>
      <c r="AK128" s="3187"/>
      <c r="AL128" s="3187"/>
      <c r="AN128" s="3188"/>
      <c r="AO128" s="3188"/>
      <c r="AP128" s="3187"/>
      <c r="AQ128" s="3187"/>
      <c r="AR128" s="3187"/>
      <c r="AS128" s="3187"/>
      <c r="AT128" s="3187"/>
      <c r="AU128" s="3187"/>
      <c r="AV128" s="3187"/>
    </row>
    <row r="129" spans="1:48" s="137" customFormat="1" ht="15.75">
      <c r="A129" s="2182" t="s">
        <v>1728</v>
      </c>
      <c r="B129" s="2183" t="s">
        <v>1732</v>
      </c>
      <c r="C129" s="2157"/>
      <c r="H129" s="2181" t="str">
        <f>IF(B115="X","Skip. ","")</f>
        <v/>
      </c>
      <c r="N129" s="2158"/>
      <c r="AA129" s="3184"/>
      <c r="AB129" s="3184"/>
      <c r="AC129" s="3184"/>
      <c r="AD129" s="3184"/>
      <c r="AE129" s="3184"/>
      <c r="AF129" s="3184"/>
      <c r="AG129" s="3184"/>
      <c r="AH129" s="3184"/>
      <c r="AI129" s="3184"/>
      <c r="AJ129" s="3184"/>
      <c r="AK129" s="3184"/>
      <c r="AL129" s="3184"/>
      <c r="AN129" s="3185"/>
      <c r="AO129" s="3185"/>
      <c r="AP129" s="3184"/>
      <c r="AQ129" s="3184"/>
      <c r="AR129" s="3184"/>
      <c r="AS129" s="3184"/>
      <c r="AT129" s="3184"/>
      <c r="AU129" s="3184"/>
      <c r="AV129" s="3184"/>
    </row>
    <row r="130" spans="1:48">
      <c r="A130" s="1586"/>
      <c r="C130" s="1586"/>
      <c r="AA130" s="3169"/>
      <c r="AB130" s="3169"/>
      <c r="AC130" s="3169"/>
      <c r="AD130" s="3169"/>
      <c r="AE130" s="3169"/>
      <c r="AF130" s="3169"/>
      <c r="AG130" s="3169"/>
      <c r="AH130" s="3169"/>
      <c r="AI130" s="3169"/>
      <c r="AJ130" s="3169"/>
      <c r="AK130" s="3169"/>
      <c r="AL130" s="3169"/>
      <c r="AN130" s="3186"/>
      <c r="AO130" s="3186"/>
      <c r="AP130" s="3169"/>
      <c r="AQ130" s="3169"/>
      <c r="AR130" s="3169"/>
      <c r="AS130" s="3169"/>
      <c r="AT130" s="3169"/>
      <c r="AU130" s="3169"/>
      <c r="AV130" s="3169"/>
    </row>
    <row r="131" spans="1:48">
      <c r="B131" s="2169"/>
      <c r="C131" s="2161" t="s">
        <v>336</v>
      </c>
      <c r="D131" s="24" t="str">
        <f>"Is the amount on Form 1040, line 7, less than "&amp;TEXT(N19,"$0,000")&amp;" ("&amp;TEXT(O19,"$0,000")&amp;" if married filing jointly)?"</f>
        <v>Is the amount on Form 1040, line 7, less than $15,270 ($20,950 if married filing jointly)?</v>
      </c>
      <c r="AA131" s="3169"/>
      <c r="AB131" s="3169"/>
      <c r="AC131" s="3169"/>
      <c r="AD131" s="3169"/>
      <c r="AE131" s="3169"/>
      <c r="AF131" s="3169"/>
      <c r="AG131" s="3169"/>
      <c r="AH131" s="3169"/>
      <c r="AI131" s="3169"/>
      <c r="AJ131" s="3169"/>
      <c r="AK131" s="3169"/>
      <c r="AL131" s="3169"/>
      <c r="AN131" s="3186"/>
      <c r="AO131" s="3186"/>
      <c r="AP131" s="3169"/>
      <c r="AQ131" s="3169"/>
      <c r="AR131" s="3169"/>
      <c r="AS131" s="3169"/>
      <c r="AT131" s="3169"/>
      <c r="AU131" s="3169"/>
      <c r="AV131" s="3169"/>
    </row>
    <row r="132" spans="1:48">
      <c r="C132" s="2161"/>
      <c r="AA132" s="3169"/>
      <c r="AB132" s="3169"/>
      <c r="AC132" s="3169"/>
      <c r="AD132" s="3169"/>
      <c r="AE132" s="3169"/>
      <c r="AF132" s="3169"/>
      <c r="AG132" s="3169"/>
      <c r="AH132" s="3169"/>
      <c r="AI132" s="3169"/>
      <c r="AJ132" s="3169"/>
      <c r="AK132" s="3169"/>
      <c r="AL132" s="3169"/>
      <c r="AN132" s="3186"/>
      <c r="AO132" s="3186"/>
      <c r="AP132" s="3169"/>
      <c r="AQ132" s="3169"/>
      <c r="AR132" s="3169"/>
      <c r="AS132" s="3169"/>
      <c r="AT132" s="3169"/>
      <c r="AU132" s="3169"/>
      <c r="AV132" s="3169"/>
    </row>
    <row r="133" spans="1:48">
      <c r="B133" s="2527" t="str">
        <f>IF(OR(EICNumQualChild&gt;0,EICNumQualChild="",H124&lt;&gt;""),"",IF(OR(AND(File_Marr_Joint&lt;&gt;"",Adj_Gross_Inc&lt;O19),Adj_Gross_Inc&lt;N19),"X",""))</f>
        <v/>
      </c>
      <c r="D133" s="74" t="s">
        <v>3999</v>
      </c>
      <c r="H133" s="2527" t="str">
        <f>IF(OR(EICNumQualChild&gt;0,EICNumQualChild="",H124&lt;&gt;""),"",IF(OR(AND(File_Marr_Joint&lt;&gt;"",Adj_Gross_Inc&lt;O19),Adj_Gross_Inc&lt;N19),"","X"))</f>
        <v/>
      </c>
      <c r="J133" s="74" t="s">
        <v>4008</v>
      </c>
      <c r="AA133" s="3169"/>
      <c r="AB133" s="3169"/>
      <c r="AC133" s="3169"/>
      <c r="AD133" s="3169"/>
      <c r="AE133" s="3169"/>
      <c r="AF133" s="3169"/>
      <c r="AG133" s="3169"/>
      <c r="AH133" s="3169"/>
      <c r="AI133" s="3169"/>
      <c r="AJ133" s="3169"/>
      <c r="AK133" s="3169"/>
      <c r="AL133" s="3169"/>
      <c r="AN133" s="3186"/>
      <c r="AO133" s="3186"/>
      <c r="AP133" s="3169"/>
      <c r="AQ133" s="3169"/>
      <c r="AR133" s="3169"/>
      <c r="AS133" s="3169"/>
      <c r="AT133" s="3169"/>
      <c r="AU133" s="3169"/>
      <c r="AV133" s="3169"/>
    </row>
    <row r="134" spans="1:48" ht="12.75" customHeight="1">
      <c r="AA134" s="3169"/>
      <c r="AB134" s="3169"/>
      <c r="AC134" s="3169"/>
      <c r="AD134" s="3169"/>
      <c r="AE134" s="3169"/>
      <c r="AF134" s="3169"/>
      <c r="AG134" s="3169"/>
      <c r="AH134" s="3169"/>
      <c r="AI134" s="3169"/>
      <c r="AJ134" s="3169"/>
      <c r="AK134" s="3169"/>
      <c r="AL134" s="3169"/>
      <c r="AN134" s="3186"/>
      <c r="AO134" s="3186"/>
      <c r="AP134" s="3169"/>
      <c r="AQ134" s="3169"/>
      <c r="AR134" s="3169"/>
      <c r="AS134" s="3169"/>
      <c r="AT134" s="3169"/>
      <c r="AU134" s="3169"/>
      <c r="AV134" s="3169"/>
    </row>
    <row r="135" spans="1:48">
      <c r="A135" s="5829"/>
      <c r="B135" s="5830"/>
      <c r="C135" s="2161" t="s">
        <v>0</v>
      </c>
      <c r="D135" s="74" t="s">
        <v>1698</v>
      </c>
      <c r="AA135" s="3169"/>
      <c r="AB135" s="3169"/>
      <c r="AC135" s="3169"/>
      <c r="AD135" s="3169"/>
      <c r="AE135" s="3169"/>
      <c r="AF135" s="3169"/>
      <c r="AG135" s="3169"/>
      <c r="AH135" s="3169"/>
      <c r="AI135" s="3169"/>
      <c r="AJ135" s="3169"/>
      <c r="AK135" s="3169"/>
      <c r="AL135" s="3169"/>
      <c r="AN135" s="3186"/>
      <c r="AO135" s="3186"/>
      <c r="AP135" s="3169"/>
      <c r="AQ135" s="3169"/>
      <c r="AR135" s="3169"/>
      <c r="AS135" s="3169"/>
      <c r="AT135" s="3169"/>
      <c r="AU135" s="3169"/>
      <c r="AV135" s="3169"/>
    </row>
    <row r="136" spans="1:48">
      <c r="A136" s="2169"/>
      <c r="B136" s="2169"/>
      <c r="C136" s="2161"/>
      <c r="D136" s="74" t="str">
        <f>"25 but under age 65 at the end of "&amp;TaxYear&amp;"? (Check 'Yes' if"</f>
        <v>25 but under age 65 at the end of 2018? (Check 'Yes' if</v>
      </c>
      <c r="AA136" s="3169"/>
      <c r="AB136" s="3169"/>
      <c r="AC136" s="3169"/>
      <c r="AD136" s="3169"/>
      <c r="AE136" s="3169"/>
      <c r="AF136" s="3169"/>
      <c r="AG136" s="3169"/>
      <c r="AH136" s="3169"/>
      <c r="AI136" s="3169"/>
      <c r="AJ136" s="3169"/>
      <c r="AK136" s="3169"/>
      <c r="AL136" s="3169"/>
      <c r="AN136" s="3186"/>
      <c r="AO136" s="3186"/>
      <c r="AP136" s="3169"/>
      <c r="AQ136" s="3169"/>
      <c r="AR136" s="3169"/>
      <c r="AS136" s="3169"/>
      <c r="AT136" s="3169"/>
      <c r="AU136" s="3169"/>
      <c r="AV136" s="3169"/>
    </row>
    <row r="137" spans="1:48">
      <c r="A137" s="2169"/>
      <c r="B137" s="2169"/>
      <c r="C137" s="2161"/>
      <c r="D137" s="74" t="s">
        <v>1699</v>
      </c>
      <c r="AA137" s="3169"/>
      <c r="AB137" s="3169"/>
      <c r="AC137" s="3169"/>
      <c r="AD137" s="3169"/>
      <c r="AE137" s="3169"/>
      <c r="AF137" s="3169"/>
      <c r="AG137" s="3169"/>
      <c r="AH137" s="3169"/>
      <c r="AI137" s="3169"/>
      <c r="AJ137" s="3169"/>
      <c r="AK137" s="3169"/>
      <c r="AL137" s="3169"/>
      <c r="AN137" s="3186"/>
      <c r="AO137" s="3186"/>
      <c r="AP137" s="3169"/>
      <c r="AQ137" s="3169"/>
      <c r="AR137" s="3169"/>
      <c r="AS137" s="3169"/>
      <c r="AT137" s="3169"/>
      <c r="AU137" s="3169"/>
      <c r="AV137" s="3169"/>
    </row>
    <row r="138" spans="1:48">
      <c r="A138" s="2169"/>
      <c r="B138" s="2169"/>
      <c r="C138" s="2161"/>
      <c r="D138" s="24" t="str">
        <f>"December 31, "&amp;TaxYear-65&amp;", and before January 2, "&amp;TaxYear-24&amp;".) If your"</f>
        <v>December 31, 1953, and before January 2, 1994.) If your</v>
      </c>
      <c r="AA138" s="3169"/>
      <c r="AB138" s="3169"/>
      <c r="AC138" s="3169"/>
      <c r="AD138" s="3169"/>
      <c r="AE138" s="3169"/>
      <c r="AF138" s="3169"/>
      <c r="AG138" s="3169"/>
      <c r="AH138" s="3169"/>
      <c r="AI138" s="3169"/>
      <c r="AJ138" s="3169"/>
      <c r="AK138" s="3169"/>
      <c r="AL138" s="3169"/>
      <c r="AN138" s="3186"/>
      <c r="AO138" s="3186"/>
      <c r="AP138" s="3169"/>
      <c r="AQ138" s="3169"/>
      <c r="AR138" s="3169"/>
      <c r="AS138" s="3169"/>
      <c r="AT138" s="3169"/>
      <c r="AU138" s="3169"/>
      <c r="AV138" s="3169"/>
    </row>
    <row r="139" spans="1:48">
      <c r="A139" s="2169"/>
      <c r="B139" s="2169"/>
      <c r="C139" s="2161"/>
      <c r="D139" s="24" t="str">
        <f>"spouse died in "&amp;TaxYear&amp;", see Pub. 596 before you answer."</f>
        <v>spouse died in 2018, see Pub. 596 before you answer.</v>
      </c>
      <c r="AA139" s="3169"/>
      <c r="AB139" s="3169"/>
      <c r="AC139" s="3169"/>
      <c r="AD139" s="3169"/>
      <c r="AE139" s="3169"/>
      <c r="AF139" s="3169"/>
      <c r="AG139" s="3169"/>
      <c r="AH139" s="3169"/>
      <c r="AI139" s="3169"/>
      <c r="AJ139" s="3169"/>
      <c r="AK139" s="3169"/>
      <c r="AL139" s="3169"/>
      <c r="AN139" s="3186"/>
      <c r="AO139" s="3186"/>
      <c r="AP139" s="3169"/>
      <c r="AQ139" s="3169"/>
      <c r="AR139" s="3169"/>
      <c r="AS139" s="3169"/>
      <c r="AT139" s="3169"/>
      <c r="AU139" s="3169"/>
      <c r="AV139" s="3169"/>
    </row>
    <row r="140" spans="1:48">
      <c r="AA140" s="3169"/>
      <c r="AB140" s="3169"/>
      <c r="AC140" s="3169"/>
      <c r="AD140" s="3169"/>
      <c r="AE140" s="3169"/>
      <c r="AF140" s="3169"/>
      <c r="AG140" s="3169"/>
      <c r="AH140" s="3169"/>
      <c r="AI140" s="3169"/>
      <c r="AJ140" s="3169"/>
      <c r="AK140" s="3169"/>
      <c r="AL140" s="3169"/>
      <c r="AN140" s="3186"/>
      <c r="AO140" s="3186"/>
      <c r="AP140" s="3169"/>
      <c r="AQ140" s="3169"/>
      <c r="AR140" s="3169"/>
      <c r="AS140" s="3169"/>
      <c r="AT140" s="3169"/>
      <c r="AU140" s="3169"/>
      <c r="AV140" s="3169"/>
    </row>
    <row r="141" spans="1:48">
      <c r="B141" s="2526" t="str">
        <f>IF(B142&lt;&gt;"","X",IF(YourAge="®","",IF(OR(B115&lt;&gt;"",H124&lt;&gt;"",H133&lt;&gt;""),"",IF(OR(AND(YourAge&lt;&gt;"®",YourAge&gt;=25,YourAge&lt;65),AND(SpouseAge&lt;&gt;"®",File_Marr_Joint&lt;&gt;"",SpouseAge&gt;=25,SpouseAge&lt;65)),"X",""))))</f>
        <v/>
      </c>
      <c r="D141" s="74" t="s">
        <v>3999</v>
      </c>
      <c r="H141" s="2527" t="str">
        <f>IF(OR(B141&lt;&gt;"",YourAge="®"),"",IF(OR(Birthday_Needed&lt;&gt;"",B115&lt;&gt;"",H124&lt;&gt;"",H133&lt;&gt;""),"",IF(OR(AND(YourAge&gt;=25,YourAge&lt;65),AND(File_Marr_Joint&lt;&gt;"",SpouseAge&lt;&gt;"®",SpouseAge&gt;=25,SpouseAge&lt;65)),"","X")))</f>
        <v/>
      </c>
      <c r="J141" s="74" t="s">
        <v>4000</v>
      </c>
      <c r="AA141" s="3169"/>
      <c r="AB141" s="3169"/>
      <c r="AC141" s="3169"/>
      <c r="AD141" s="3169"/>
      <c r="AE141" s="3169"/>
      <c r="AF141" s="3169"/>
      <c r="AG141" s="3169"/>
      <c r="AH141" s="3169"/>
      <c r="AI141" s="3169"/>
      <c r="AJ141" s="3169"/>
      <c r="AK141" s="3169"/>
      <c r="AL141" s="3169"/>
      <c r="AN141" s="3186"/>
      <c r="AO141" s="3186"/>
      <c r="AP141" s="3169"/>
      <c r="AQ141" s="3169"/>
      <c r="AR141" s="3169"/>
      <c r="AS141" s="3169"/>
      <c r="AT141" s="3169"/>
      <c r="AU141" s="3169"/>
      <c r="AV141" s="3169"/>
    </row>
    <row r="142" spans="1:48">
      <c r="A142" s="74" t="s">
        <v>4389</v>
      </c>
      <c r="B142" s="1669"/>
      <c r="AA142" s="3169"/>
      <c r="AB142" s="3169"/>
      <c r="AC142" s="3169"/>
      <c r="AD142" s="3169"/>
      <c r="AE142" s="3169"/>
      <c r="AF142" s="3169"/>
      <c r="AG142" s="3169"/>
      <c r="AH142" s="3169"/>
      <c r="AI142" s="3169"/>
      <c r="AJ142" s="3169"/>
      <c r="AK142" s="3169"/>
      <c r="AL142" s="3169"/>
      <c r="AN142" s="3186"/>
      <c r="AO142" s="3186"/>
      <c r="AP142" s="3169"/>
      <c r="AQ142" s="3169"/>
      <c r="AR142" s="3169"/>
      <c r="AS142" s="3169"/>
      <c r="AT142" s="3169"/>
      <c r="AU142" s="3169"/>
      <c r="AV142" s="3169"/>
    </row>
    <row r="143" spans="1:48">
      <c r="A143" s="5829"/>
      <c r="B143" s="5830"/>
      <c r="C143" s="2161" t="s">
        <v>1</v>
      </c>
      <c r="D143" s="74" t="s">
        <v>1700</v>
      </c>
      <c r="AA143" s="3169"/>
      <c r="AB143" s="3169"/>
      <c r="AC143" s="3169"/>
      <c r="AD143" s="3169"/>
      <c r="AE143" s="3169"/>
      <c r="AF143" s="3169"/>
      <c r="AG143" s="3169"/>
      <c r="AH143" s="3169"/>
      <c r="AI143" s="3169"/>
      <c r="AJ143" s="3169"/>
      <c r="AK143" s="3169"/>
      <c r="AL143" s="3169"/>
      <c r="AN143" s="3186"/>
      <c r="AO143" s="3186"/>
      <c r="AP143" s="3169"/>
      <c r="AQ143" s="3169"/>
      <c r="AR143" s="3169"/>
      <c r="AS143" s="3169"/>
      <c r="AT143" s="3169"/>
      <c r="AU143" s="3169"/>
      <c r="AV143" s="3169"/>
    </row>
    <row r="144" spans="1:48">
      <c r="A144" s="5829"/>
      <c r="B144" s="5830"/>
      <c r="C144" s="2161"/>
      <c r="D144" s="74" t="str">
        <f>"return, in the United States for more than half of "&amp;TaxYear&amp;"?"</f>
        <v>return, in the United States for more than half of 2018?</v>
      </c>
      <c r="AA144" s="3169"/>
      <c r="AB144" s="3169"/>
      <c r="AC144" s="3169"/>
      <c r="AD144" s="3169"/>
      <c r="AE144" s="3169"/>
      <c r="AF144" s="3169"/>
      <c r="AG144" s="3169"/>
      <c r="AH144" s="3169"/>
      <c r="AI144" s="3169"/>
      <c r="AJ144" s="3169"/>
      <c r="AK144" s="3169"/>
      <c r="AL144" s="3169"/>
      <c r="AN144" s="3186"/>
      <c r="AO144" s="3186"/>
      <c r="AP144" s="3169"/>
      <c r="AQ144" s="3169"/>
      <c r="AR144" s="3169"/>
      <c r="AS144" s="3169"/>
      <c r="AT144" s="3169"/>
      <c r="AU144" s="3169"/>
      <c r="AV144" s="3169"/>
    </row>
    <row r="145" spans="1:48">
      <c r="A145" s="5829"/>
      <c r="B145" s="5830"/>
      <c r="C145" s="2161"/>
      <c r="D145" s="74" t="s">
        <v>1701</v>
      </c>
      <c r="AA145" s="3169"/>
      <c r="AB145" s="3169"/>
      <c r="AC145" s="3169"/>
      <c r="AD145" s="3169"/>
      <c r="AE145" s="3169"/>
      <c r="AF145" s="3169"/>
      <c r="AG145" s="3169"/>
      <c r="AH145" s="3169"/>
      <c r="AI145" s="3169"/>
      <c r="AJ145" s="3169"/>
      <c r="AK145" s="3169"/>
      <c r="AL145" s="3169"/>
      <c r="AN145" s="3186"/>
      <c r="AO145" s="3186"/>
      <c r="AP145" s="3169"/>
      <c r="AQ145" s="3169"/>
      <c r="AR145" s="3169"/>
      <c r="AS145" s="3169"/>
      <c r="AT145" s="3169"/>
      <c r="AU145" s="3169"/>
      <c r="AV145" s="3169"/>
    </row>
    <row r="146" spans="1:48">
      <c r="A146" s="5829"/>
      <c r="B146" s="5830"/>
      <c r="C146" s="2161"/>
      <c r="D146" s="74" t="s">
        <v>1702</v>
      </c>
      <c r="AA146" s="3169"/>
      <c r="AB146" s="3169"/>
      <c r="AC146" s="3169"/>
      <c r="AD146" s="3169"/>
      <c r="AE146" s="3169"/>
      <c r="AF146" s="3169"/>
      <c r="AG146" s="3169"/>
      <c r="AH146" s="3169"/>
      <c r="AI146" s="3169"/>
      <c r="AJ146" s="3169"/>
      <c r="AK146" s="3169"/>
      <c r="AL146" s="3169"/>
      <c r="AN146" s="3186"/>
      <c r="AO146" s="3186"/>
      <c r="AP146" s="3169"/>
      <c r="AQ146" s="3169"/>
      <c r="AR146" s="3169"/>
      <c r="AS146" s="3169"/>
      <c r="AT146" s="3169"/>
      <c r="AU146" s="3169"/>
      <c r="AV146" s="3169"/>
    </row>
    <row r="147" spans="1:48">
      <c r="AA147" s="3169"/>
      <c r="AB147" s="3169"/>
      <c r="AC147" s="3169"/>
      <c r="AD147" s="3169"/>
      <c r="AE147" s="3169"/>
      <c r="AF147" s="3169"/>
      <c r="AG147" s="3169"/>
      <c r="AH147" s="3169"/>
      <c r="AI147" s="3169"/>
      <c r="AJ147" s="3169"/>
      <c r="AK147" s="3169"/>
      <c r="AL147" s="3169"/>
      <c r="AN147" s="3186"/>
      <c r="AO147" s="3186"/>
      <c r="AP147" s="3169"/>
      <c r="AQ147" s="3169"/>
      <c r="AR147" s="3169"/>
      <c r="AS147" s="3169"/>
      <c r="AT147" s="3169"/>
      <c r="AU147" s="3169"/>
      <c r="AV147" s="3169"/>
    </row>
    <row r="148" spans="1:48">
      <c r="B148" s="1669"/>
      <c r="D148" s="74" t="s">
        <v>4001</v>
      </c>
      <c r="H148" s="1669"/>
      <c r="J148" s="74" t="s">
        <v>4007</v>
      </c>
      <c r="AA148" s="3169"/>
      <c r="AB148" s="3169"/>
      <c r="AC148" s="3169"/>
      <c r="AD148" s="3169"/>
      <c r="AE148" s="3169"/>
      <c r="AF148" s="3169"/>
      <c r="AG148" s="3169"/>
      <c r="AH148" s="3169"/>
      <c r="AI148" s="3169"/>
      <c r="AJ148" s="3169"/>
      <c r="AK148" s="3169"/>
      <c r="AL148" s="3169"/>
      <c r="AN148" s="3186"/>
      <c r="AO148" s="3186"/>
      <c r="AP148" s="3169"/>
      <c r="AQ148" s="3169"/>
      <c r="AR148" s="3169"/>
      <c r="AS148" s="3169"/>
      <c r="AT148" s="3169"/>
      <c r="AU148" s="3169"/>
      <c r="AV148" s="3169"/>
    </row>
    <row r="149" spans="1:48">
      <c r="D149" s="74"/>
      <c r="H149" s="2160"/>
      <c r="J149" s="74" t="s">
        <v>1703</v>
      </c>
      <c r="AA149" s="3169"/>
      <c r="AB149" s="3169"/>
      <c r="AC149" s="3169"/>
      <c r="AD149" s="3169"/>
      <c r="AE149" s="3169"/>
      <c r="AF149" s="3169"/>
      <c r="AG149" s="3169"/>
      <c r="AH149" s="3169"/>
      <c r="AI149" s="3169"/>
      <c r="AJ149" s="3169"/>
      <c r="AK149" s="3169"/>
      <c r="AL149" s="3169"/>
      <c r="AN149" s="3186"/>
      <c r="AO149" s="3186"/>
      <c r="AP149" s="3169"/>
      <c r="AQ149" s="3169"/>
      <c r="AR149" s="3169"/>
      <c r="AS149" s="3169"/>
      <c r="AT149" s="3169"/>
      <c r="AU149" s="3169"/>
      <c r="AV149" s="3169"/>
    </row>
    <row r="150" spans="1:48">
      <c r="D150" s="74"/>
      <c r="H150" s="2160"/>
      <c r="J150" s="74" t="s">
        <v>1704</v>
      </c>
      <c r="AA150" s="3169"/>
      <c r="AB150" s="3169"/>
      <c r="AC150" s="3169"/>
      <c r="AD150" s="3169"/>
      <c r="AE150" s="3169"/>
      <c r="AF150" s="3169"/>
      <c r="AG150" s="3169"/>
      <c r="AH150" s="3169"/>
      <c r="AI150" s="3169"/>
      <c r="AJ150" s="3169"/>
      <c r="AK150" s="3169"/>
      <c r="AL150" s="3169"/>
      <c r="AN150" s="3186"/>
      <c r="AO150" s="3186"/>
      <c r="AP150" s="3169"/>
      <c r="AQ150" s="3169"/>
      <c r="AR150" s="3169"/>
      <c r="AS150" s="3169"/>
      <c r="AT150" s="3169"/>
      <c r="AU150" s="3169"/>
      <c r="AV150" s="3169"/>
    </row>
    <row r="151" spans="1:48">
      <c r="AA151" s="3169"/>
      <c r="AB151" s="3169"/>
      <c r="AC151" s="3169"/>
      <c r="AD151" s="3169"/>
      <c r="AE151" s="3169"/>
      <c r="AF151" s="3169"/>
      <c r="AG151" s="3169"/>
      <c r="AH151" s="3169"/>
      <c r="AI151" s="3169"/>
      <c r="AJ151" s="3169"/>
      <c r="AK151" s="3169"/>
      <c r="AL151" s="3169"/>
      <c r="AN151" s="3186"/>
      <c r="AO151" s="3186"/>
      <c r="AP151" s="3169"/>
      <c r="AQ151" s="3169"/>
      <c r="AR151" s="3169"/>
      <c r="AS151" s="3169"/>
      <c r="AT151" s="3169"/>
      <c r="AU151" s="3169"/>
      <c r="AV151" s="3169"/>
    </row>
    <row r="152" spans="1:48">
      <c r="C152" s="2161" t="s">
        <v>455</v>
      </c>
      <c r="D152" s="24" t="str">
        <f>"Are you filing a joint return for "&amp;TaxYear&amp;"?"</f>
        <v>Are you filing a joint return for 2018?</v>
      </c>
      <c r="AA152" s="3169"/>
      <c r="AB152" s="3169"/>
      <c r="AC152" s="3169"/>
      <c r="AD152" s="3169"/>
      <c r="AE152" s="3169"/>
      <c r="AF152" s="3169"/>
      <c r="AG152" s="3169"/>
      <c r="AH152" s="3169"/>
      <c r="AI152" s="3169"/>
      <c r="AJ152" s="3169"/>
      <c r="AK152" s="3169"/>
      <c r="AL152" s="3169"/>
      <c r="AN152" s="3186">
        <v>25</v>
      </c>
      <c r="AO152" s="3186">
        <v>65</v>
      </c>
      <c r="AP152" s="3169"/>
      <c r="AQ152" s="3169"/>
      <c r="AR152" s="3169"/>
      <c r="AS152" s="3169"/>
      <c r="AT152" s="3169"/>
      <c r="AU152" s="3169"/>
      <c r="AV152" s="3169"/>
    </row>
    <row r="153" spans="1:48">
      <c r="D153" s="419" t="str">
        <f>IF(OR(B105&gt;0,B105="",B124&lt;&gt;"",H124&lt;&gt;"",B141&lt;&gt;"",B148&lt;&gt;""),"",IF(OR(AND(File_Marr_Joint&lt;&gt;"",OR(YourAge="",SpouseAge="")),YourAge=""),"Birthdate information is needed on Form 1040, Row 73.",""))</f>
        <v/>
      </c>
      <c r="AA153" s="3169"/>
      <c r="AB153" s="3169"/>
      <c r="AC153" s="3169"/>
      <c r="AD153" s="3169"/>
      <c r="AE153" s="3169"/>
      <c r="AF153" s="3169"/>
      <c r="AG153" s="3169"/>
      <c r="AH153" s="3169"/>
      <c r="AI153" s="3169"/>
      <c r="AJ153" s="3169"/>
      <c r="AK153" s="3169"/>
      <c r="AL153" s="3169"/>
      <c r="AN153" s="3186"/>
      <c r="AO153" s="3186"/>
      <c r="AP153" s="3169"/>
      <c r="AQ153" s="3169"/>
      <c r="AR153" s="3169"/>
      <c r="AS153" s="3169"/>
      <c r="AT153" s="3169"/>
      <c r="AU153" s="3169"/>
      <c r="AV153" s="3169"/>
    </row>
    <row r="154" spans="1:48">
      <c r="B154" s="2527" t="str">
        <f>IF(OR(B115="X",H124&lt;&gt;""),"",IF(File_Marr_Joint&lt;&gt;"","X",""))</f>
        <v/>
      </c>
      <c r="D154" s="74" t="s">
        <v>4002</v>
      </c>
      <c r="H154" s="2527" t="str">
        <f>IF(OR(B115="X",H124&lt;&gt;""),"",IF(File_Marr_Joint&lt;&gt;"","","X"))</f>
        <v>X</v>
      </c>
      <c r="J154" s="74" t="s">
        <v>4003</v>
      </c>
      <c r="AA154" s="3169"/>
      <c r="AB154" s="3169"/>
      <c r="AC154" s="3169"/>
      <c r="AD154" s="3169"/>
      <c r="AE154" s="3169"/>
      <c r="AF154" s="3169"/>
      <c r="AG154" s="3169"/>
      <c r="AH154" s="3169"/>
      <c r="AI154" s="3169"/>
      <c r="AJ154" s="3169"/>
      <c r="AK154" s="3169"/>
      <c r="AL154" s="3169"/>
      <c r="AN154" s="3186"/>
      <c r="AO154" s="3186"/>
      <c r="AP154" s="3169"/>
      <c r="AQ154" s="3169"/>
      <c r="AR154" s="3169"/>
      <c r="AS154" s="3169"/>
      <c r="AT154" s="3169"/>
      <c r="AU154" s="3169"/>
      <c r="AV154" s="3169"/>
    </row>
    <row r="155" spans="1:48">
      <c r="D155" s="74" t="s">
        <v>1705</v>
      </c>
      <c r="H155" s="43"/>
      <c r="AA155" s="3169"/>
      <c r="AB155" s="3169"/>
      <c r="AC155" s="3169"/>
      <c r="AD155" s="3169"/>
      <c r="AE155" s="3169"/>
      <c r="AF155" s="3169"/>
      <c r="AG155" s="3169"/>
      <c r="AH155" s="3169"/>
      <c r="AI155" s="3169"/>
      <c r="AJ155" s="3169"/>
      <c r="AK155" s="3169"/>
      <c r="AL155" s="3169"/>
      <c r="AN155" s="3186"/>
      <c r="AO155" s="3186"/>
      <c r="AP155" s="3169"/>
      <c r="AQ155" s="3169"/>
      <c r="AR155" s="3169"/>
      <c r="AS155" s="3169"/>
      <c r="AT155" s="3169"/>
      <c r="AU155" s="3169"/>
      <c r="AV155" s="3169"/>
    </row>
    <row r="156" spans="1:48" ht="12.75" customHeight="1">
      <c r="AA156" s="3169"/>
      <c r="AB156" s="3169"/>
      <c r="AC156" s="3169"/>
      <c r="AD156" s="3169"/>
      <c r="AE156" s="3169"/>
      <c r="AF156" s="3169"/>
      <c r="AG156" s="3169"/>
      <c r="AH156" s="3169"/>
      <c r="AI156" s="3169"/>
      <c r="AJ156" s="3169"/>
      <c r="AK156" s="3169"/>
      <c r="AL156" s="3169"/>
      <c r="AN156" s="3186"/>
      <c r="AO156" s="3186"/>
      <c r="AP156" s="3169"/>
      <c r="AQ156" s="3169"/>
      <c r="AR156" s="3169"/>
      <c r="AS156" s="3169"/>
      <c r="AT156" s="3169"/>
      <c r="AU156" s="3169"/>
      <c r="AV156" s="3169"/>
    </row>
    <row r="157" spans="1:48">
      <c r="A157" s="5826" t="str">
        <f>IF($B$154&lt;&gt;"","Skip","")</f>
        <v/>
      </c>
      <c r="B157" s="5827"/>
      <c r="C157" s="1127" t="s">
        <v>35</v>
      </c>
      <c r="D157" s="74" t="str">
        <f>"Could you be a qualifying child of another person for "&amp;TaxYear&amp;"?"</f>
        <v>Could you be a qualifying child of another person for 2018?</v>
      </c>
      <c r="AA157" s="3169"/>
      <c r="AB157" s="3169"/>
      <c r="AC157" s="3169"/>
      <c r="AD157" s="3169"/>
      <c r="AE157" s="3169"/>
      <c r="AF157" s="3169"/>
      <c r="AG157" s="3169"/>
      <c r="AH157" s="3169"/>
      <c r="AI157" s="3169"/>
      <c r="AJ157" s="3169"/>
      <c r="AK157" s="3169"/>
      <c r="AL157" s="3169"/>
      <c r="AN157" s="3186"/>
      <c r="AO157" s="3186"/>
      <c r="AP157" s="3169"/>
      <c r="AQ157" s="3169"/>
      <c r="AR157" s="3169"/>
      <c r="AS157" s="3169"/>
      <c r="AT157" s="3169"/>
      <c r="AU157" s="3169"/>
      <c r="AV157" s="3169"/>
    </row>
    <row r="158" spans="1:48">
      <c r="A158" s="5826"/>
      <c r="B158" s="5827"/>
      <c r="C158" s="2172"/>
      <c r="D158" s="74" t="s">
        <v>4391</v>
      </c>
      <c r="AA158" s="3169"/>
      <c r="AB158" s="3169"/>
      <c r="AC158" s="3169"/>
      <c r="AD158" s="3169"/>
      <c r="AE158" s="3169"/>
      <c r="AF158" s="3169"/>
      <c r="AG158" s="3169"/>
      <c r="AH158" s="3169"/>
      <c r="AI158" s="3169"/>
      <c r="AJ158" s="3169"/>
      <c r="AK158" s="3169"/>
      <c r="AL158" s="3169"/>
      <c r="AN158" s="3186"/>
      <c r="AO158" s="3186"/>
      <c r="AP158" s="3169"/>
      <c r="AQ158" s="3169"/>
      <c r="AR158" s="3169"/>
      <c r="AS158" s="3169"/>
      <c r="AT158" s="3169"/>
      <c r="AU158" s="3169"/>
      <c r="AV158" s="3169"/>
    </row>
    <row r="159" spans="1:48">
      <c r="A159" s="5826"/>
      <c r="B159" s="5827"/>
      <c r="C159" s="2172"/>
      <c r="D159" s="74" t="str">
        <f>"isn't filing, a "&amp;TaxYear&amp;" tax return or is filing a "&amp;TaxYear&amp;" return only"</f>
        <v>isn't filing, a 2018 tax return or is filing a 2018 return only</v>
      </c>
      <c r="AA159" s="3169"/>
      <c r="AB159" s="3169"/>
      <c r="AC159" s="3169"/>
      <c r="AD159" s="3169"/>
      <c r="AE159" s="3169"/>
      <c r="AF159" s="3169"/>
      <c r="AG159" s="3169"/>
      <c r="AH159" s="3169"/>
      <c r="AI159" s="3169"/>
      <c r="AJ159" s="3169"/>
      <c r="AK159" s="3169"/>
      <c r="AL159" s="3169"/>
      <c r="AN159" s="3186"/>
      <c r="AO159" s="3186"/>
      <c r="AP159" s="3169"/>
      <c r="AQ159" s="3169"/>
      <c r="AR159" s="3169"/>
      <c r="AS159" s="3169"/>
      <c r="AT159" s="3169"/>
      <c r="AU159" s="3169"/>
      <c r="AV159" s="3169"/>
    </row>
    <row r="160" spans="1:48">
      <c r="A160" s="5826"/>
      <c r="B160" s="5827"/>
      <c r="C160" s="2172"/>
      <c r="D160" s="74" t="s">
        <v>1696</v>
      </c>
      <c r="AA160" s="3169"/>
      <c r="AB160" s="3169"/>
      <c r="AC160" s="3169"/>
      <c r="AD160" s="3169"/>
      <c r="AE160" s="3169"/>
      <c r="AF160" s="3169"/>
      <c r="AG160" s="3169"/>
      <c r="AH160" s="3169"/>
      <c r="AI160" s="3169"/>
      <c r="AJ160" s="3169"/>
      <c r="AK160" s="3169"/>
      <c r="AL160" s="3169"/>
      <c r="AN160" s="3186"/>
      <c r="AO160" s="3186"/>
      <c r="AP160" s="3169"/>
      <c r="AQ160" s="3169"/>
      <c r="AR160" s="3169"/>
      <c r="AS160" s="3169"/>
      <c r="AT160" s="3169"/>
      <c r="AU160" s="3169"/>
      <c r="AV160" s="3169"/>
    </row>
    <row r="161" spans="1:48">
      <c r="A161" s="5826"/>
      <c r="B161" s="5827"/>
      <c r="C161" s="2172"/>
      <c r="D161" s="74" t="s">
        <v>1697</v>
      </c>
      <c r="AA161" s="3169"/>
      <c r="AB161" s="3169"/>
      <c r="AC161" s="3169"/>
      <c r="AD161" s="3169"/>
      <c r="AE161" s="3169"/>
      <c r="AF161" s="3169"/>
      <c r="AG161" s="3169"/>
      <c r="AH161" s="3169"/>
      <c r="AI161" s="3169"/>
      <c r="AJ161" s="3169"/>
      <c r="AK161" s="3169"/>
      <c r="AL161" s="3169"/>
      <c r="AN161" s="3186"/>
      <c r="AO161" s="3186"/>
      <c r="AP161" s="3169"/>
      <c r="AQ161" s="3169"/>
      <c r="AR161" s="3169"/>
      <c r="AS161" s="3169"/>
      <c r="AT161" s="3169"/>
      <c r="AU161" s="3169"/>
      <c r="AV161" s="3169"/>
    </row>
    <row r="162" spans="1:48">
      <c r="AA162" s="3169"/>
      <c r="AB162" s="3169"/>
      <c r="AC162" s="3169"/>
      <c r="AD162" s="3169"/>
      <c r="AE162" s="3169"/>
      <c r="AF162" s="3169"/>
      <c r="AG162" s="3169"/>
      <c r="AH162" s="3169"/>
      <c r="AI162" s="3169"/>
      <c r="AJ162" s="3169"/>
      <c r="AK162" s="3169"/>
      <c r="AL162" s="3169"/>
      <c r="AN162" s="3186"/>
      <c r="AO162" s="3186"/>
      <c r="AP162" s="3169"/>
      <c r="AQ162" s="3169"/>
      <c r="AR162" s="3169"/>
      <c r="AS162" s="3169"/>
      <c r="AT162" s="3169"/>
      <c r="AU162" s="3169"/>
      <c r="AV162" s="3169"/>
    </row>
    <row r="163" spans="1:48">
      <c r="B163" s="1669"/>
      <c r="D163" s="74" t="s">
        <v>4006</v>
      </c>
      <c r="H163" s="1669"/>
      <c r="J163" s="74" t="s">
        <v>4003</v>
      </c>
      <c r="AA163" s="3169"/>
      <c r="AB163" s="3169"/>
      <c r="AC163" s="3169"/>
      <c r="AD163" s="3169"/>
      <c r="AE163" s="3169"/>
      <c r="AF163" s="3169"/>
      <c r="AG163" s="3169"/>
      <c r="AH163" s="3169"/>
      <c r="AI163" s="3169"/>
      <c r="AJ163" s="3169"/>
      <c r="AK163" s="3169"/>
      <c r="AL163" s="3169"/>
      <c r="AN163" s="3186"/>
      <c r="AO163" s="3186"/>
      <c r="AP163" s="3169"/>
      <c r="AQ163" s="3169"/>
      <c r="AR163" s="3169"/>
      <c r="AS163" s="3169"/>
      <c r="AT163" s="3169"/>
      <c r="AU163" s="3169"/>
      <c r="AV163" s="3169"/>
    </row>
    <row r="164" spans="1:48">
      <c r="D164" s="74" t="s">
        <v>4392</v>
      </c>
      <c r="AA164" s="3169"/>
      <c r="AB164" s="3169"/>
      <c r="AC164" s="3169"/>
      <c r="AD164" s="3169"/>
      <c r="AE164" s="3169"/>
      <c r="AF164" s="3169"/>
      <c r="AG164" s="3169"/>
      <c r="AH164" s="3169"/>
      <c r="AI164" s="3169"/>
      <c r="AJ164" s="3169"/>
      <c r="AK164" s="3169"/>
      <c r="AL164" s="3169"/>
      <c r="AN164" s="3186"/>
      <c r="AO164" s="3186"/>
      <c r="AP164" s="3169"/>
      <c r="AQ164" s="3169"/>
      <c r="AR164" s="3169"/>
      <c r="AS164" s="3169"/>
      <c r="AT164" s="3169"/>
      <c r="AU164" s="3169"/>
      <c r="AV164" s="3169"/>
    </row>
    <row r="165" spans="1:48">
      <c r="D165" s="74" t="s">
        <v>4393</v>
      </c>
      <c r="AA165" s="3169"/>
      <c r="AB165" s="3169"/>
      <c r="AC165" s="3169"/>
      <c r="AD165" s="3169"/>
      <c r="AE165" s="3169"/>
      <c r="AF165" s="3169"/>
      <c r="AG165" s="3169"/>
      <c r="AH165" s="3169"/>
      <c r="AI165" s="3169"/>
      <c r="AJ165" s="3169"/>
      <c r="AK165" s="3169"/>
      <c r="AL165" s="3169"/>
      <c r="AN165" s="3186"/>
      <c r="AO165" s="3186"/>
      <c r="AP165" s="3169"/>
      <c r="AQ165" s="3169"/>
      <c r="AR165" s="3169"/>
      <c r="AS165" s="3169"/>
      <c r="AT165" s="3169"/>
      <c r="AU165" s="3169"/>
      <c r="AV165" s="3169"/>
    </row>
    <row r="166" spans="1:48">
      <c r="D166" s="74" t="s">
        <v>4004</v>
      </c>
      <c r="AA166" s="3169"/>
      <c r="AB166" s="3169"/>
      <c r="AC166" s="3169"/>
      <c r="AD166" s="3169"/>
      <c r="AE166" s="3169"/>
      <c r="AF166" s="3169"/>
      <c r="AG166" s="3169"/>
      <c r="AH166" s="3169"/>
      <c r="AI166" s="3169"/>
      <c r="AJ166" s="3169"/>
      <c r="AK166" s="3169"/>
      <c r="AL166" s="3169"/>
      <c r="AN166" s="3186"/>
      <c r="AO166" s="3186"/>
      <c r="AP166" s="3169"/>
      <c r="AQ166" s="3169"/>
      <c r="AR166" s="3169"/>
      <c r="AS166" s="3169"/>
      <c r="AT166" s="3169"/>
      <c r="AU166" s="3169"/>
      <c r="AV166" s="3169"/>
    </row>
    <row r="167" spans="1:48">
      <c r="AA167" s="3169"/>
      <c r="AB167" s="3169"/>
      <c r="AC167" s="3169"/>
      <c r="AD167" s="3169"/>
      <c r="AE167" s="3169"/>
      <c r="AF167" s="3169"/>
      <c r="AG167" s="3169"/>
      <c r="AH167" s="3169"/>
      <c r="AI167" s="3169"/>
      <c r="AJ167" s="3169"/>
      <c r="AK167" s="3169"/>
      <c r="AL167" s="3169"/>
      <c r="AN167" s="3186"/>
      <c r="AO167" s="3186"/>
      <c r="AP167" s="3169"/>
      <c r="AQ167" s="3169"/>
      <c r="AR167" s="3169"/>
      <c r="AS167" s="3169"/>
      <c r="AT167" s="3169"/>
      <c r="AU167" s="3169"/>
      <c r="AV167" s="3169"/>
    </row>
    <row r="168" spans="1:48">
      <c r="A168" s="5826" t="str">
        <f>IF($B$154&lt;&gt;"","Skip","")</f>
        <v/>
      </c>
      <c r="B168" s="5827"/>
      <c r="C168" s="2172" t="s">
        <v>75</v>
      </c>
      <c r="D168" s="24" t="str">
        <f>"Can you be claimed as a dependent on someone else's "&amp;TaxYear</f>
        <v>Can you be claimed as a dependent on someone else's 2018</v>
      </c>
      <c r="AA168" s="3169"/>
      <c r="AB168" s="3169"/>
      <c r="AC168" s="3169"/>
      <c r="AD168" s="3169"/>
      <c r="AE168" s="3169"/>
      <c r="AF168" s="3169"/>
      <c r="AG168" s="3169"/>
      <c r="AH168" s="3169"/>
      <c r="AI168" s="3169"/>
      <c r="AJ168" s="3169"/>
      <c r="AK168" s="3169"/>
      <c r="AL168" s="3169"/>
      <c r="AN168" s="3186"/>
      <c r="AO168" s="3186"/>
      <c r="AP168" s="3169"/>
      <c r="AQ168" s="3169"/>
      <c r="AR168" s="3169"/>
      <c r="AS168" s="3169"/>
      <c r="AT168" s="3169"/>
      <c r="AU168" s="3169"/>
      <c r="AV168" s="3169"/>
    </row>
    <row r="169" spans="1:48">
      <c r="D169" s="74" t="s">
        <v>1706</v>
      </c>
      <c r="AA169" s="3169"/>
      <c r="AB169" s="3169"/>
      <c r="AC169" s="3169"/>
      <c r="AD169" s="3169"/>
      <c r="AE169" s="3169"/>
      <c r="AF169" s="3169"/>
      <c r="AG169" s="3169"/>
      <c r="AH169" s="3169"/>
      <c r="AI169" s="3169"/>
      <c r="AJ169" s="3169"/>
      <c r="AK169" s="3169"/>
      <c r="AL169" s="3169"/>
      <c r="AN169" s="3186"/>
      <c r="AO169" s="3186"/>
      <c r="AP169" s="3169"/>
      <c r="AQ169" s="3169"/>
      <c r="AR169" s="3169"/>
      <c r="AS169" s="3169"/>
      <c r="AT169" s="3169"/>
      <c r="AU169" s="3169"/>
      <c r="AV169" s="3169"/>
    </row>
    <row r="170" spans="1:48">
      <c r="AA170" s="3169"/>
      <c r="AB170" s="3169"/>
      <c r="AC170" s="3169"/>
      <c r="AD170" s="3169"/>
      <c r="AE170" s="3169"/>
      <c r="AF170" s="3169"/>
      <c r="AG170" s="3169"/>
      <c r="AH170" s="3169"/>
      <c r="AI170" s="3169"/>
      <c r="AJ170" s="3169"/>
      <c r="AK170" s="3169"/>
      <c r="AL170" s="3169"/>
      <c r="AN170" s="3186"/>
      <c r="AO170" s="3186"/>
      <c r="AP170" s="3169"/>
      <c r="AQ170" s="3169"/>
      <c r="AR170" s="3169"/>
      <c r="AS170" s="3169"/>
      <c r="AT170" s="3169"/>
      <c r="AU170" s="3169"/>
      <c r="AV170" s="3169"/>
    </row>
    <row r="171" spans="1:48">
      <c r="B171" s="2527" t="str">
        <f>IF(OR(B115="X",H124&lt;&gt;"",B154&lt;&gt;"",B163&lt;&gt;""),"",IF(OR(DependentYOU&lt;&gt;"",DependentSPOUSE&lt;&gt;""),"X",""))</f>
        <v/>
      </c>
      <c r="D171" s="74" t="s">
        <v>4005</v>
      </c>
      <c r="H171" s="2527" t="str">
        <f>IF(OR(B115="X",H124&lt;&gt;"",B154&lt;&gt;"",B163&lt;&gt;""),"",IF(OR(DependentYOU&lt;&gt;"",DependentSPOUSE&lt;&gt;""),"","X"))</f>
        <v>X</v>
      </c>
      <c r="J171" s="74" t="s">
        <v>4394</v>
      </c>
      <c r="AA171" s="3169"/>
      <c r="AB171" s="3169"/>
      <c r="AC171" s="3169"/>
      <c r="AD171" s="3169"/>
      <c r="AE171" s="3169"/>
      <c r="AF171" s="3169"/>
      <c r="AG171" s="3169"/>
      <c r="AH171" s="3169"/>
      <c r="AI171" s="3169"/>
      <c r="AJ171" s="3169"/>
      <c r="AK171" s="3169"/>
      <c r="AL171" s="3169"/>
      <c r="AN171" s="3186"/>
      <c r="AO171" s="3186"/>
      <c r="AP171" s="3169"/>
      <c r="AQ171" s="3169"/>
      <c r="AR171" s="3169"/>
      <c r="AS171" s="3169"/>
      <c r="AT171" s="3169"/>
      <c r="AU171" s="3169"/>
      <c r="AV171" s="3169"/>
    </row>
    <row r="172" spans="1:48">
      <c r="AA172" s="3169"/>
      <c r="AB172" s="3169"/>
      <c r="AC172" s="3169"/>
      <c r="AD172" s="3169"/>
      <c r="AE172" s="3169"/>
      <c r="AF172" s="3169"/>
      <c r="AG172" s="3169"/>
      <c r="AH172" s="3169"/>
      <c r="AI172" s="3169"/>
      <c r="AJ172" s="3169"/>
      <c r="AK172" s="3169"/>
      <c r="AL172" s="3169"/>
      <c r="AN172" s="3186"/>
      <c r="AO172" s="3186"/>
      <c r="AP172" s="3169"/>
      <c r="AQ172" s="3169"/>
      <c r="AR172" s="3169"/>
      <c r="AS172" s="3169"/>
      <c r="AT172" s="3169"/>
      <c r="AU172" s="3169"/>
      <c r="AV172" s="3169"/>
    </row>
    <row r="173" spans="1:48">
      <c r="AA173" s="3169"/>
      <c r="AB173" s="3169"/>
      <c r="AC173" s="3169"/>
      <c r="AD173" s="3169"/>
      <c r="AE173" s="3169"/>
      <c r="AF173" s="3169"/>
      <c r="AG173" s="3169"/>
      <c r="AH173" s="3169"/>
      <c r="AI173" s="3169"/>
      <c r="AJ173" s="3169"/>
      <c r="AK173" s="3169"/>
      <c r="AL173" s="3169"/>
      <c r="AN173" s="3186"/>
      <c r="AO173" s="3186"/>
      <c r="AP173" s="3169"/>
      <c r="AQ173" s="3169"/>
      <c r="AR173" s="3169"/>
      <c r="AS173" s="3169"/>
      <c r="AT173" s="3169"/>
      <c r="AU173" s="3169"/>
      <c r="AV173" s="3169"/>
    </row>
    <row r="174" spans="1:48" s="137" customFormat="1" ht="15.75">
      <c r="A174" s="2182" t="s">
        <v>1727</v>
      </c>
      <c r="B174" s="2183" t="s">
        <v>1749</v>
      </c>
      <c r="C174" s="2157"/>
      <c r="N174" s="2158"/>
      <c r="AA174" s="3184"/>
      <c r="AB174" s="3184"/>
      <c r="AC174" s="3184"/>
      <c r="AD174" s="3184"/>
      <c r="AE174" s="3184"/>
      <c r="AF174" s="3184"/>
      <c r="AG174" s="3184"/>
      <c r="AH174" s="3184"/>
      <c r="AI174" s="3184"/>
      <c r="AJ174" s="3184"/>
      <c r="AK174" s="3184"/>
      <c r="AL174" s="3184"/>
      <c r="AN174" s="3185"/>
      <c r="AO174" s="3185"/>
      <c r="AP174" s="3184"/>
      <c r="AQ174" s="3184"/>
      <c r="AR174" s="3184"/>
      <c r="AS174" s="3184"/>
      <c r="AT174" s="3184"/>
      <c r="AU174" s="3184"/>
      <c r="AV174" s="3184"/>
    </row>
    <row r="175" spans="1:48">
      <c r="A175" s="1586"/>
      <c r="C175" s="1586"/>
      <c r="AA175" s="3169"/>
      <c r="AB175" s="3169"/>
      <c r="AC175" s="3169"/>
      <c r="AD175" s="3169"/>
      <c r="AE175" s="3169"/>
      <c r="AF175" s="3169"/>
      <c r="AG175" s="3169"/>
      <c r="AH175" s="3169"/>
      <c r="AI175" s="3169"/>
      <c r="AJ175" s="3169"/>
      <c r="AK175" s="3169"/>
      <c r="AL175" s="3169"/>
      <c r="AN175" s="3186"/>
      <c r="AO175" s="3186"/>
      <c r="AP175" s="3169"/>
      <c r="AQ175" s="3169"/>
      <c r="AR175" s="3169"/>
      <c r="AS175" s="3169"/>
      <c r="AT175" s="3169"/>
      <c r="AU175" s="3169"/>
      <c r="AV175" s="3169"/>
    </row>
    <row r="176" spans="1:48">
      <c r="A176" s="2161" t="s">
        <v>336</v>
      </c>
      <c r="B176" s="24" t="s">
        <v>1610</v>
      </c>
      <c r="AA176" s="3169"/>
      <c r="AB176" s="3169"/>
      <c r="AC176" s="3169"/>
      <c r="AD176" s="3169"/>
      <c r="AE176" s="3169"/>
      <c r="AF176" s="3169"/>
      <c r="AG176" s="3169"/>
      <c r="AH176" s="3169"/>
      <c r="AI176" s="3169"/>
      <c r="AJ176" s="3169"/>
      <c r="AK176" s="3169"/>
      <c r="AL176" s="3169"/>
      <c r="AN176" s="3186"/>
      <c r="AO176" s="3186"/>
      <c r="AP176" s="3169"/>
      <c r="AQ176" s="3169"/>
      <c r="AR176" s="3169"/>
      <c r="AS176" s="3169"/>
      <c r="AT176" s="3169"/>
      <c r="AU176" s="3169"/>
      <c r="AV176" s="3169"/>
    </row>
    <row r="177" spans="1:48">
      <c r="C177" s="2161"/>
      <c r="AA177" s="3169"/>
      <c r="AB177" s="3169"/>
      <c r="AC177" s="3169"/>
      <c r="AD177" s="3169"/>
      <c r="AE177" s="3169"/>
      <c r="AF177" s="3169"/>
      <c r="AG177" s="3169"/>
      <c r="AH177" s="3169"/>
      <c r="AI177" s="3169"/>
      <c r="AJ177" s="3169"/>
      <c r="AK177" s="3169"/>
      <c r="AL177" s="3169"/>
      <c r="AN177" s="3186"/>
      <c r="AO177" s="3186"/>
      <c r="AP177" s="3169"/>
      <c r="AQ177" s="3169"/>
      <c r="AR177" s="3169"/>
      <c r="AS177" s="3169"/>
      <c r="AT177" s="3169"/>
      <c r="AU177" s="3169"/>
      <c r="AV177" s="3169"/>
    </row>
    <row r="178" spans="1:48">
      <c r="A178" s="1440" t="b">
        <f>IF(OR(H21&lt;&gt;"",H26&lt;&gt;"",B31&lt;&gt;"",B35&lt;&gt;"",AND(B59&lt;&gt;"",H63&lt;&gt;""),AND(H111&lt;&gt;"",H133&lt;&gt;""),B124&lt;&gt;"",H141&lt;&gt;"",H148&lt;&gt;"",B163&lt;&gt;"",B171&lt;&gt;""),TRUE,FALSE)</f>
        <v>0</v>
      </c>
      <c r="B178" s="1669"/>
      <c r="D178" s="25" t="s">
        <v>474</v>
      </c>
      <c r="H178" s="1669"/>
      <c r="J178" s="53" t="s">
        <v>4395</v>
      </c>
      <c r="AA178" s="3169"/>
      <c r="AB178" s="3169"/>
      <c r="AC178" s="3169"/>
      <c r="AD178" s="3169"/>
      <c r="AE178" s="3169"/>
      <c r="AF178" s="3169"/>
      <c r="AG178" s="3169"/>
      <c r="AH178" s="3169"/>
      <c r="AI178" s="3169"/>
      <c r="AJ178" s="3169"/>
      <c r="AK178" s="3169"/>
      <c r="AL178" s="3169"/>
      <c r="AN178" s="3186"/>
      <c r="AO178" s="3186"/>
      <c r="AP178" s="3169"/>
      <c r="AQ178" s="3169"/>
      <c r="AR178" s="3169"/>
      <c r="AS178" s="3169"/>
      <c r="AT178" s="3169"/>
      <c r="AU178" s="3169"/>
      <c r="AV178" s="3169"/>
    </row>
    <row r="179" spans="1:48">
      <c r="D179" s="24" t="s">
        <v>1707</v>
      </c>
      <c r="J179" s="53" t="s">
        <v>1709</v>
      </c>
      <c r="AA179" s="3169"/>
      <c r="AB179" s="3169"/>
      <c r="AC179" s="3169"/>
      <c r="AD179" s="3169"/>
      <c r="AE179" s="3169"/>
      <c r="AF179" s="3169"/>
      <c r="AG179" s="3169"/>
      <c r="AH179" s="3169"/>
      <c r="AI179" s="3169"/>
      <c r="AJ179" s="3169"/>
      <c r="AK179" s="3169"/>
      <c r="AL179" s="3169"/>
      <c r="AN179" s="3186"/>
      <c r="AO179" s="3186"/>
      <c r="AP179" s="3169"/>
      <c r="AQ179" s="3169"/>
      <c r="AR179" s="3169"/>
      <c r="AS179" s="3169"/>
      <c r="AT179" s="3169"/>
      <c r="AU179" s="3169"/>
      <c r="AV179" s="3169"/>
    </row>
    <row r="180" spans="1:48">
      <c r="D180" s="24" t="s">
        <v>1708</v>
      </c>
      <c r="M180" s="2171" t="s">
        <v>100</v>
      </c>
      <c r="AA180" s="3169"/>
      <c r="AB180" s="3169"/>
      <c r="AC180" s="3169"/>
      <c r="AD180" s="3169"/>
      <c r="AE180" s="3169"/>
      <c r="AF180" s="3169"/>
      <c r="AG180" s="3169"/>
      <c r="AH180" s="3169"/>
      <c r="AI180" s="3169"/>
      <c r="AJ180" s="3169"/>
      <c r="AK180" s="3169"/>
      <c r="AL180" s="3169"/>
      <c r="AN180" s="3186"/>
      <c r="AO180" s="3186"/>
      <c r="AP180" s="3169"/>
      <c r="AQ180" s="3169"/>
      <c r="AR180" s="3169"/>
      <c r="AS180" s="3169"/>
      <c r="AT180" s="3169"/>
      <c r="AU180" s="3169"/>
      <c r="AV180" s="3169"/>
    </row>
    <row r="181" spans="1:48" ht="12.75" customHeight="1" thickBot="1">
      <c r="M181" s="2171" t="s">
        <v>468</v>
      </c>
      <c r="AA181" s="3169"/>
      <c r="AB181" s="3169"/>
      <c r="AC181" s="3169"/>
      <c r="AD181" s="3169"/>
      <c r="AE181" s="3169"/>
      <c r="AF181" s="3169"/>
      <c r="AG181" s="3169"/>
      <c r="AH181" s="3169"/>
      <c r="AI181" s="3169"/>
      <c r="AJ181" s="3169"/>
      <c r="AK181" s="3169"/>
      <c r="AL181" s="3169"/>
      <c r="AN181" s="3186"/>
      <c r="AO181" s="3186"/>
      <c r="AP181" s="3169"/>
      <c r="AQ181" s="3169"/>
      <c r="AR181" s="3169"/>
      <c r="AS181" s="3169"/>
      <c r="AT181" s="3169"/>
      <c r="AU181" s="3169"/>
      <c r="AV181" s="3169"/>
    </row>
    <row r="182" spans="1:48" ht="13.5" thickBot="1">
      <c r="C182" s="2172" t="s">
        <v>336</v>
      </c>
      <c r="D182" s="74" t="s">
        <v>4009</v>
      </c>
      <c r="J182" s="2172" t="s">
        <v>336</v>
      </c>
      <c r="K182" s="2518">
        <f>IF(M182&lt;&gt;"",ROUND(M182,0),IF(A178,"",Wages))</f>
        <v>0</v>
      </c>
      <c r="M182" s="2184"/>
      <c r="AA182" s="3169"/>
      <c r="AB182" s="3169"/>
      <c r="AC182" s="3169"/>
      <c r="AD182" s="3169"/>
      <c r="AE182" s="3169"/>
      <c r="AF182" s="3169"/>
      <c r="AG182" s="3169"/>
      <c r="AH182" s="3169"/>
      <c r="AI182" s="3169"/>
      <c r="AJ182" s="3169"/>
      <c r="AK182" s="3169"/>
      <c r="AL182" s="3169"/>
      <c r="AN182" s="3186"/>
      <c r="AO182" s="3186">
        <v>65</v>
      </c>
      <c r="AP182" s="3169"/>
      <c r="AQ182" s="3169"/>
      <c r="AR182" s="3169"/>
      <c r="AS182" s="3169"/>
      <c r="AT182" s="3169"/>
      <c r="AU182" s="3169"/>
      <c r="AV182" s="3169"/>
    </row>
    <row r="183" spans="1:48">
      <c r="AA183" s="3169"/>
      <c r="AB183" s="3169"/>
      <c r="AC183" s="3169"/>
      <c r="AD183" s="3169"/>
      <c r="AE183" s="3169"/>
      <c r="AF183" s="3169"/>
      <c r="AG183" s="3169"/>
      <c r="AH183" s="3169"/>
      <c r="AI183" s="3169"/>
      <c r="AJ183" s="3169"/>
      <c r="AK183" s="3169"/>
      <c r="AL183" s="3169"/>
      <c r="AN183" s="3186"/>
      <c r="AO183" s="3186"/>
      <c r="AP183" s="3169"/>
      <c r="AQ183" s="3169"/>
      <c r="AR183" s="3169"/>
      <c r="AS183" s="3169"/>
      <c r="AT183" s="3169"/>
      <c r="AU183" s="3169"/>
      <c r="AV183" s="3169"/>
    </row>
    <row r="184" spans="1:48" s="14" customFormat="1">
      <c r="A184" s="24"/>
      <c r="B184" s="43"/>
      <c r="C184" s="2172" t="s">
        <v>0</v>
      </c>
      <c r="D184" s="74" t="s">
        <v>4010</v>
      </c>
      <c r="E184" s="24"/>
      <c r="F184" s="24"/>
      <c r="G184" s="24"/>
      <c r="H184" s="24"/>
      <c r="I184" s="24"/>
      <c r="J184" s="24"/>
      <c r="K184" s="24"/>
      <c r="L184" s="24"/>
      <c r="M184" s="24"/>
      <c r="O184" s="24"/>
      <c r="P184" s="24"/>
      <c r="Q184" s="24"/>
      <c r="R184" s="24"/>
      <c r="S184" s="24"/>
      <c r="T184" s="24"/>
      <c r="U184" s="24"/>
      <c r="V184" s="24"/>
      <c r="W184" s="24"/>
      <c r="X184" s="24"/>
      <c r="Y184" s="24"/>
      <c r="Z184" s="24"/>
      <c r="AA184" s="3169"/>
      <c r="AB184" s="3169"/>
      <c r="AC184" s="3169"/>
      <c r="AD184" s="3169"/>
      <c r="AE184" s="3169"/>
      <c r="AF184" s="3169"/>
      <c r="AG184" s="3186"/>
      <c r="AH184" s="3186"/>
      <c r="AI184" s="3186"/>
      <c r="AJ184" s="3186"/>
      <c r="AK184" s="3186"/>
      <c r="AL184" s="3186"/>
      <c r="AN184" s="3186"/>
      <c r="AO184" s="3186"/>
      <c r="AP184" s="3169"/>
      <c r="AQ184" s="3169"/>
      <c r="AR184" s="3169"/>
      <c r="AS184" s="3169"/>
      <c r="AT184" s="3169"/>
      <c r="AU184" s="3186"/>
      <c r="AV184" s="3186"/>
    </row>
    <row r="185" spans="1:48">
      <c r="D185" s="74" t="s">
        <v>1712</v>
      </c>
      <c r="M185" s="74" t="s">
        <v>2130</v>
      </c>
      <c r="AA185" s="3169"/>
      <c r="AB185" s="3169"/>
      <c r="AC185" s="3169"/>
      <c r="AD185" s="3169"/>
      <c r="AE185" s="3169"/>
      <c r="AF185" s="3169"/>
      <c r="AG185" s="3169"/>
      <c r="AH185" s="3169"/>
      <c r="AI185" s="3169"/>
      <c r="AJ185" s="3169"/>
      <c r="AK185" s="3169"/>
      <c r="AL185" s="3169"/>
      <c r="AN185" s="3186"/>
      <c r="AO185" s="3186"/>
      <c r="AP185" s="3169"/>
      <c r="AQ185" s="3169"/>
      <c r="AR185" s="3169"/>
      <c r="AS185" s="3169"/>
      <c r="AT185" s="3169"/>
      <c r="AU185" s="3169"/>
      <c r="AV185" s="3169"/>
    </row>
    <row r="186" spans="1:48" s="14" customFormat="1">
      <c r="A186" s="24"/>
      <c r="B186" s="43"/>
      <c r="C186" s="24"/>
      <c r="D186" s="74" t="s">
        <v>1713</v>
      </c>
      <c r="E186" s="24"/>
      <c r="F186" s="24"/>
      <c r="G186" s="24"/>
      <c r="H186" s="24"/>
      <c r="I186" s="24"/>
      <c r="J186" s="2172" t="s">
        <v>0</v>
      </c>
      <c r="K186" s="2518">
        <f>'Earned Inc Calc'!J17</f>
        <v>0</v>
      </c>
      <c r="L186" s="24"/>
      <c r="M186" s="74" t="s">
        <v>2129</v>
      </c>
      <c r="O186" s="24"/>
      <c r="P186" s="24"/>
      <c r="Q186" s="24"/>
      <c r="R186" s="24"/>
      <c r="S186" s="24"/>
      <c r="T186" s="24"/>
      <c r="U186" s="24"/>
      <c r="V186" s="24"/>
      <c r="W186" s="24"/>
      <c r="X186" s="24"/>
      <c r="Y186" s="24"/>
      <c r="Z186" s="24"/>
      <c r="AA186" s="3169"/>
      <c r="AB186" s="3169"/>
      <c r="AC186" s="3169"/>
      <c r="AD186" s="3169"/>
      <c r="AE186" s="3169"/>
      <c r="AF186" s="3169"/>
      <c r="AG186" s="3186"/>
      <c r="AH186" s="3186"/>
      <c r="AI186" s="3186"/>
      <c r="AJ186" s="3186"/>
      <c r="AK186" s="3186"/>
      <c r="AL186" s="3186"/>
      <c r="AN186" s="3186"/>
      <c r="AO186" s="3186"/>
      <c r="AP186" s="3169"/>
      <c r="AQ186" s="3169"/>
      <c r="AR186" s="3169"/>
      <c r="AS186" s="3169"/>
      <c r="AT186" s="3169"/>
      <c r="AU186" s="3186"/>
      <c r="AV186" s="3186"/>
    </row>
    <row r="187" spans="1:48" s="14" customFormat="1">
      <c r="A187" s="24"/>
      <c r="B187" s="43"/>
      <c r="C187" s="24"/>
      <c r="D187" s="24"/>
      <c r="E187" s="24"/>
      <c r="F187" s="24"/>
      <c r="G187" s="24"/>
      <c r="H187" s="24"/>
      <c r="I187" s="24"/>
      <c r="J187" s="24"/>
      <c r="K187" s="24"/>
      <c r="L187" s="24"/>
      <c r="M187" s="74" t="s">
        <v>4396</v>
      </c>
      <c r="O187" s="24"/>
      <c r="P187" s="24"/>
      <c r="Q187" s="24"/>
      <c r="R187" s="24"/>
      <c r="S187" s="24"/>
      <c r="T187" s="24"/>
      <c r="U187" s="24"/>
      <c r="V187" s="24"/>
      <c r="W187" s="24"/>
      <c r="X187" s="24"/>
      <c r="Y187" s="24"/>
      <c r="Z187" s="24"/>
      <c r="AA187" s="3169"/>
      <c r="AB187" s="3169"/>
      <c r="AC187" s="3169"/>
      <c r="AD187" s="3169"/>
      <c r="AE187" s="3169"/>
      <c r="AF187" s="3169"/>
      <c r="AG187" s="3186"/>
      <c r="AH187" s="3186"/>
      <c r="AI187" s="3186"/>
      <c r="AJ187" s="3186"/>
      <c r="AK187" s="3186"/>
      <c r="AL187" s="3186"/>
      <c r="AN187" s="3186"/>
      <c r="AO187" s="3186"/>
      <c r="AP187" s="3169"/>
      <c r="AQ187" s="3169"/>
      <c r="AR187" s="3169"/>
      <c r="AS187" s="3169"/>
      <c r="AT187" s="3169"/>
      <c r="AU187" s="3186"/>
      <c r="AV187" s="3186"/>
    </row>
    <row r="188" spans="1:48">
      <c r="C188" s="2172" t="s">
        <v>1</v>
      </c>
      <c r="D188" s="74" t="s">
        <v>4011</v>
      </c>
      <c r="AA188" s="3169"/>
      <c r="AB188" s="3169"/>
      <c r="AC188" s="3169"/>
      <c r="AD188" s="3169"/>
      <c r="AE188" s="3169"/>
      <c r="AF188" s="3169"/>
      <c r="AG188" s="3169"/>
      <c r="AH188" s="3169"/>
      <c r="AI188" s="3169"/>
      <c r="AJ188" s="3169"/>
      <c r="AK188" s="3169"/>
      <c r="AL188" s="3169"/>
      <c r="AN188" s="3186"/>
      <c r="AO188" s="3186"/>
      <c r="AP188" s="3169"/>
      <c r="AQ188" s="3169"/>
      <c r="AR188" s="3169"/>
      <c r="AS188" s="3169"/>
      <c r="AT188" s="3169"/>
      <c r="AU188" s="3169"/>
      <c r="AV188" s="3169"/>
    </row>
    <row r="189" spans="1:48" s="14" customFormat="1">
      <c r="A189" s="24"/>
      <c r="B189" s="43"/>
      <c r="C189" s="24"/>
      <c r="D189" s="74" t="s">
        <v>1714</v>
      </c>
      <c r="E189" s="24"/>
      <c r="F189" s="24"/>
      <c r="G189" s="24"/>
      <c r="H189" s="24"/>
      <c r="I189" s="24"/>
      <c r="J189" s="24"/>
      <c r="K189" s="24"/>
      <c r="L189" s="24"/>
      <c r="M189" s="24"/>
      <c r="O189" s="24"/>
      <c r="P189" s="24"/>
      <c r="Q189" s="24"/>
      <c r="R189" s="24"/>
      <c r="S189" s="24"/>
      <c r="T189" s="24"/>
      <c r="U189" s="24"/>
      <c r="V189" s="24"/>
      <c r="W189" s="24"/>
      <c r="X189" s="24"/>
      <c r="Y189" s="24"/>
      <c r="Z189" s="24"/>
      <c r="AA189" s="3169"/>
      <c r="AB189" s="3169"/>
      <c r="AC189" s="3169"/>
      <c r="AD189" s="3169"/>
      <c r="AE189" s="3169"/>
      <c r="AF189" s="3169"/>
      <c r="AG189" s="3186"/>
      <c r="AH189" s="3186"/>
      <c r="AI189" s="3186"/>
      <c r="AJ189" s="3186"/>
      <c r="AK189" s="3186"/>
      <c r="AL189" s="3186"/>
      <c r="AN189" s="3186"/>
      <c r="AO189" s="3186"/>
      <c r="AP189" s="3169"/>
      <c r="AQ189" s="3169"/>
      <c r="AR189" s="3169"/>
      <c r="AS189" s="3169"/>
      <c r="AT189" s="3169"/>
      <c r="AU189" s="3186"/>
      <c r="AV189" s="3186"/>
    </row>
    <row r="190" spans="1:48" s="14" customFormat="1">
      <c r="A190" s="24"/>
      <c r="B190" s="43"/>
      <c r="C190" s="24"/>
      <c r="D190" s="74" t="s">
        <v>1715</v>
      </c>
      <c r="E190" s="24"/>
      <c r="F190" s="24"/>
      <c r="G190" s="24"/>
      <c r="H190" s="24"/>
      <c r="I190" s="24"/>
      <c r="J190" s="24"/>
      <c r="K190" s="24"/>
      <c r="L190" s="24"/>
      <c r="M190" s="24"/>
      <c r="O190" s="24"/>
      <c r="P190" s="24"/>
      <c r="Q190" s="24"/>
      <c r="R190" s="24"/>
      <c r="S190" s="24"/>
      <c r="T190" s="24"/>
      <c r="U190" s="24"/>
      <c r="V190" s="24"/>
      <c r="W190" s="24"/>
      <c r="X190" s="24"/>
      <c r="Y190" s="24"/>
      <c r="Z190" s="24"/>
      <c r="AA190" s="3169"/>
      <c r="AB190" s="3169"/>
      <c r="AC190" s="3169"/>
      <c r="AD190" s="3169"/>
      <c r="AE190" s="3169"/>
      <c r="AF190" s="3169"/>
      <c r="AG190" s="3186"/>
      <c r="AH190" s="3186"/>
      <c r="AI190" s="3186"/>
      <c r="AJ190" s="3186"/>
      <c r="AK190" s="3186"/>
      <c r="AL190" s="3186"/>
      <c r="AN190" s="3186"/>
      <c r="AO190" s="3186"/>
      <c r="AP190" s="3169"/>
      <c r="AQ190" s="3169"/>
      <c r="AR190" s="3169"/>
      <c r="AS190" s="3169"/>
      <c r="AT190" s="3169"/>
      <c r="AU190" s="3186"/>
      <c r="AV190" s="3186"/>
    </row>
    <row r="191" spans="1:48">
      <c r="D191" s="74" t="s">
        <v>1716</v>
      </c>
      <c r="AA191" s="3169"/>
      <c r="AB191" s="3169"/>
      <c r="AC191" s="3169"/>
      <c r="AD191" s="3169"/>
      <c r="AE191" s="3169"/>
      <c r="AF191" s="3169"/>
      <c r="AG191" s="3169"/>
      <c r="AH191" s="3169"/>
      <c r="AI191" s="3169"/>
      <c r="AJ191" s="3169"/>
      <c r="AK191" s="3169"/>
      <c r="AL191" s="3169"/>
      <c r="AN191" s="3186"/>
      <c r="AO191" s="3186"/>
      <c r="AP191" s="3169"/>
      <c r="AQ191" s="3169"/>
      <c r="AR191" s="3169"/>
      <c r="AS191" s="3169"/>
      <c r="AT191" s="3169"/>
      <c r="AU191" s="3169"/>
      <c r="AV191" s="3169"/>
    </row>
    <row r="192" spans="1:48" s="14" customFormat="1">
      <c r="A192" s="24"/>
      <c r="B192" s="43"/>
      <c r="C192" s="24"/>
      <c r="D192" s="74" t="s">
        <v>4012</v>
      </c>
      <c r="E192" s="24"/>
      <c r="F192" s="24"/>
      <c r="G192" s="24"/>
      <c r="H192" s="24"/>
      <c r="I192" s="24"/>
      <c r="J192" s="2172" t="s">
        <v>1</v>
      </c>
      <c r="K192" s="2518">
        <f>'Earned Inc Calc'!J23</f>
        <v>0</v>
      </c>
      <c r="L192" s="24"/>
      <c r="M192" s="24"/>
      <c r="O192" s="24"/>
      <c r="P192" s="24"/>
      <c r="Q192" s="24"/>
      <c r="R192" s="24"/>
      <c r="S192" s="24"/>
      <c r="T192" s="24"/>
      <c r="U192" s="24"/>
      <c r="V192" s="24"/>
      <c r="W192" s="24"/>
      <c r="X192" s="24"/>
      <c r="Y192" s="24"/>
      <c r="Z192" s="24"/>
      <c r="AA192" s="3169"/>
      <c r="AB192" s="3169"/>
      <c r="AC192" s="3169"/>
      <c r="AD192" s="3169"/>
      <c r="AE192" s="3169"/>
      <c r="AF192" s="3169"/>
      <c r="AG192" s="3186"/>
      <c r="AH192" s="3186"/>
      <c r="AI192" s="3186"/>
      <c r="AJ192" s="3186"/>
      <c r="AK192" s="3186"/>
      <c r="AL192" s="3186"/>
      <c r="AN192" s="3189"/>
      <c r="AO192" s="3186"/>
      <c r="AP192" s="3169"/>
      <c r="AQ192" s="3169"/>
      <c r="AR192" s="3169"/>
      <c r="AS192" s="3169"/>
      <c r="AT192" s="3169"/>
      <c r="AU192" s="3186"/>
      <c r="AV192" s="3186"/>
    </row>
    <row r="193" spans="1:48" s="14" customFormat="1">
      <c r="A193" s="24"/>
      <c r="B193" s="43"/>
      <c r="C193" s="24"/>
      <c r="D193" s="24"/>
      <c r="E193" s="24"/>
      <c r="F193" s="24"/>
      <c r="G193" s="24"/>
      <c r="H193" s="24"/>
      <c r="I193" s="24"/>
      <c r="J193" s="24"/>
      <c r="K193" s="24"/>
      <c r="L193" s="24"/>
      <c r="M193" s="24"/>
      <c r="O193" s="24"/>
      <c r="P193" s="24"/>
      <c r="Q193" s="24"/>
      <c r="R193" s="24"/>
      <c r="S193" s="24"/>
      <c r="T193" s="24"/>
      <c r="U193" s="24"/>
      <c r="V193" s="24"/>
      <c r="W193" s="24"/>
      <c r="X193" s="24"/>
      <c r="Y193" s="24"/>
      <c r="Z193" s="24"/>
      <c r="AA193" s="3169"/>
      <c r="AB193" s="3169"/>
      <c r="AC193" s="3169"/>
      <c r="AD193" s="3169"/>
      <c r="AE193" s="3169"/>
      <c r="AF193" s="3169"/>
      <c r="AG193" s="3186"/>
      <c r="AH193" s="3186"/>
      <c r="AI193" s="3186"/>
      <c r="AJ193" s="3186"/>
      <c r="AK193" s="3186"/>
      <c r="AL193" s="3186"/>
      <c r="AN193" s="3186"/>
      <c r="AO193" s="3186"/>
      <c r="AP193" s="3169"/>
      <c r="AQ193" s="3169"/>
      <c r="AR193" s="3169"/>
      <c r="AS193" s="3169"/>
      <c r="AT193" s="3169"/>
      <c r="AU193" s="3186"/>
      <c r="AV193" s="3186"/>
    </row>
    <row r="194" spans="1:48" s="14" customFormat="1">
      <c r="A194" s="24"/>
      <c r="B194" s="43"/>
      <c r="C194" s="2172" t="s">
        <v>455</v>
      </c>
      <c r="D194" s="74" t="s">
        <v>4010</v>
      </c>
      <c r="E194" s="24"/>
      <c r="F194" s="24"/>
      <c r="G194" s="24"/>
      <c r="H194" s="24"/>
      <c r="I194" s="24"/>
      <c r="J194" s="24"/>
      <c r="K194" s="24"/>
      <c r="L194" s="24"/>
      <c r="M194" s="24"/>
      <c r="O194" s="24"/>
      <c r="P194" s="24"/>
      <c r="Q194" s="24"/>
      <c r="R194" s="24"/>
      <c r="S194" s="24"/>
      <c r="T194" s="24"/>
      <c r="U194" s="24"/>
      <c r="V194" s="24"/>
      <c r="W194" s="24"/>
      <c r="X194" s="24"/>
      <c r="Y194" s="24"/>
      <c r="Z194" s="24"/>
      <c r="AA194" s="3169"/>
      <c r="AB194" s="3169"/>
      <c r="AC194" s="3169"/>
      <c r="AD194" s="3169"/>
      <c r="AE194" s="3169"/>
      <c r="AF194" s="3169"/>
      <c r="AG194" s="3186"/>
      <c r="AH194" s="3186"/>
      <c r="AI194" s="3186"/>
      <c r="AJ194" s="3186"/>
      <c r="AK194" s="3186"/>
      <c r="AL194" s="3186"/>
      <c r="AN194" s="3186"/>
      <c r="AO194" s="3186"/>
      <c r="AP194" s="3169"/>
      <c r="AQ194" s="3169"/>
      <c r="AR194" s="3169"/>
      <c r="AS194" s="3169"/>
      <c r="AT194" s="3169"/>
      <c r="AU194" s="3186"/>
      <c r="AV194" s="3186"/>
    </row>
    <row r="195" spans="1:48" s="14" customFormat="1">
      <c r="A195" s="24"/>
      <c r="B195" s="43"/>
      <c r="C195" s="24"/>
      <c r="D195" s="24" t="s">
        <v>1717</v>
      </c>
      <c r="E195" s="24"/>
      <c r="F195" s="24"/>
      <c r="G195" s="24"/>
      <c r="H195" s="24"/>
      <c r="I195" s="24"/>
      <c r="J195" s="24"/>
      <c r="K195" s="24"/>
      <c r="L195" s="24"/>
      <c r="M195" s="24"/>
      <c r="O195" s="24"/>
      <c r="P195" s="24"/>
      <c r="Q195" s="24"/>
      <c r="R195" s="24"/>
      <c r="S195" s="24"/>
      <c r="T195" s="24"/>
      <c r="U195" s="24"/>
      <c r="V195" s="24"/>
      <c r="W195" s="24"/>
      <c r="X195" s="24"/>
      <c r="Y195" s="24"/>
      <c r="Z195" s="24"/>
      <c r="AA195" s="3169"/>
      <c r="AB195" s="3169"/>
      <c r="AC195" s="3169"/>
      <c r="AD195" s="3169"/>
      <c r="AE195" s="3169"/>
      <c r="AF195" s="3169"/>
      <c r="AG195" s="3186"/>
      <c r="AH195" s="3186"/>
      <c r="AI195" s="3186"/>
      <c r="AJ195" s="3186"/>
      <c r="AK195" s="3186"/>
      <c r="AL195" s="3186"/>
      <c r="AN195" s="3186"/>
      <c r="AO195" s="3186"/>
      <c r="AP195" s="3169"/>
      <c r="AQ195" s="3169"/>
      <c r="AR195" s="3169"/>
      <c r="AS195" s="3169"/>
      <c r="AT195" s="3169"/>
      <c r="AU195" s="3186"/>
      <c r="AV195" s="3186"/>
    </row>
    <row r="196" spans="1:48" s="14" customFormat="1">
      <c r="A196" s="24"/>
      <c r="B196" s="43"/>
      <c r="C196" s="24"/>
      <c r="D196" s="24" t="s">
        <v>1515</v>
      </c>
      <c r="E196" s="24"/>
      <c r="F196" s="24"/>
      <c r="G196" s="24"/>
      <c r="H196" s="24"/>
      <c r="I196" s="24"/>
      <c r="J196" s="24"/>
      <c r="K196" s="24"/>
      <c r="L196" s="24"/>
      <c r="M196" s="24"/>
      <c r="O196" s="24"/>
      <c r="P196" s="24"/>
      <c r="Q196" s="24"/>
      <c r="R196" s="24"/>
      <c r="S196" s="24"/>
      <c r="T196" s="24"/>
      <c r="U196" s="24"/>
      <c r="V196" s="24"/>
      <c r="W196" s="24"/>
      <c r="X196" s="24"/>
      <c r="Y196" s="24"/>
      <c r="Z196" s="24"/>
      <c r="AA196" s="3169"/>
      <c r="AB196" s="3169"/>
      <c r="AC196" s="3169"/>
      <c r="AD196" s="3169"/>
      <c r="AE196" s="3169"/>
      <c r="AF196" s="3169"/>
      <c r="AG196" s="3186"/>
      <c r="AH196" s="3186"/>
      <c r="AI196" s="3186"/>
      <c r="AJ196" s="3186"/>
      <c r="AK196" s="3186"/>
      <c r="AL196" s="3186"/>
      <c r="AN196" s="3186"/>
      <c r="AO196" s="3186"/>
      <c r="AP196" s="3169"/>
      <c r="AQ196" s="3169"/>
      <c r="AR196" s="3169"/>
      <c r="AS196" s="3169"/>
      <c r="AT196" s="3169"/>
      <c r="AU196" s="3186"/>
      <c r="AV196" s="3186"/>
    </row>
    <row r="197" spans="1:48" s="14" customFormat="1">
      <c r="A197" s="24"/>
      <c r="B197" s="43"/>
      <c r="C197" s="24"/>
      <c r="D197" s="24" t="s">
        <v>1718</v>
      </c>
      <c r="E197" s="24"/>
      <c r="F197" s="24"/>
      <c r="G197" s="24"/>
      <c r="H197" s="24"/>
      <c r="I197" s="24"/>
      <c r="J197" s="24"/>
      <c r="K197" s="24"/>
      <c r="L197" s="24"/>
      <c r="M197" s="24"/>
      <c r="O197" s="24"/>
      <c r="P197" s="24"/>
      <c r="Q197" s="24"/>
      <c r="R197" s="24"/>
      <c r="S197" s="24"/>
      <c r="T197" s="24"/>
      <c r="U197" s="24"/>
      <c r="V197" s="24"/>
      <c r="W197" s="24"/>
      <c r="X197" s="24"/>
      <c r="Y197" s="24"/>
      <c r="Z197" s="24"/>
      <c r="AA197" s="3169"/>
      <c r="AB197" s="3169"/>
      <c r="AC197" s="3169"/>
      <c r="AD197" s="3169"/>
      <c r="AE197" s="3169"/>
      <c r="AF197" s="3169"/>
      <c r="AG197" s="3186"/>
      <c r="AH197" s="3186"/>
      <c r="AI197" s="3186"/>
      <c r="AJ197" s="3186"/>
      <c r="AK197" s="3186"/>
      <c r="AL197" s="3186"/>
      <c r="AN197" s="3186"/>
      <c r="AO197" s="3186"/>
      <c r="AP197" s="3169"/>
      <c r="AQ197" s="3169"/>
      <c r="AR197" s="3169"/>
      <c r="AS197" s="3169"/>
      <c r="AT197" s="3169"/>
      <c r="AU197" s="3186"/>
      <c r="AV197" s="3186"/>
    </row>
    <row r="198" spans="1:48" s="14" customFormat="1">
      <c r="A198" s="24"/>
      <c r="B198" s="43"/>
      <c r="C198" s="24"/>
      <c r="D198" s="24" t="s">
        <v>1719</v>
      </c>
      <c r="E198" s="24"/>
      <c r="F198" s="24"/>
      <c r="G198" s="24"/>
      <c r="H198" s="24"/>
      <c r="I198" s="24"/>
      <c r="J198" s="24"/>
      <c r="K198" s="24"/>
      <c r="L198" s="24"/>
      <c r="M198" s="24"/>
      <c r="O198" s="24"/>
      <c r="P198" s="24"/>
      <c r="Q198" s="24"/>
      <c r="R198" s="24"/>
      <c r="S198" s="24"/>
      <c r="T198" s="24"/>
      <c r="U198" s="24"/>
      <c r="V198" s="24"/>
      <c r="W198" s="24"/>
      <c r="X198" s="24"/>
      <c r="Y198" s="24"/>
      <c r="Z198" s="24"/>
      <c r="AA198" s="3169"/>
      <c r="AB198" s="3169"/>
      <c r="AC198" s="3169"/>
      <c r="AD198" s="3169"/>
      <c r="AE198" s="3169"/>
      <c r="AF198" s="3169"/>
      <c r="AG198" s="3186"/>
      <c r="AH198" s="3186"/>
      <c r="AI198" s="3186"/>
      <c r="AJ198" s="3186"/>
      <c r="AK198" s="3186"/>
      <c r="AL198" s="3186"/>
      <c r="AN198" s="3186"/>
      <c r="AO198" s="3186"/>
      <c r="AP198" s="3169"/>
      <c r="AQ198" s="3169"/>
      <c r="AR198" s="3169"/>
      <c r="AS198" s="3169"/>
      <c r="AT198" s="3169"/>
      <c r="AU198" s="3186"/>
      <c r="AV198" s="3186"/>
    </row>
    <row r="199" spans="1:48" s="14" customFormat="1">
      <c r="A199" s="24"/>
      <c r="B199" s="43"/>
      <c r="C199" s="24"/>
      <c r="D199" s="24" t="s">
        <v>4013</v>
      </c>
      <c r="E199" s="24"/>
      <c r="F199" s="24"/>
      <c r="G199" s="24"/>
      <c r="H199" s="24"/>
      <c r="I199" s="24"/>
      <c r="J199" s="24"/>
      <c r="K199" s="24"/>
      <c r="L199" s="24"/>
      <c r="M199" s="24"/>
      <c r="O199" s="24"/>
      <c r="P199" s="24"/>
      <c r="Q199" s="24"/>
      <c r="R199" s="24"/>
      <c r="S199" s="24"/>
      <c r="T199" s="24"/>
      <c r="U199" s="24"/>
      <c r="V199" s="24"/>
      <c r="W199" s="24"/>
      <c r="X199" s="24"/>
      <c r="Y199" s="24"/>
      <c r="Z199" s="24"/>
      <c r="AA199" s="3169"/>
      <c r="AB199" s="3169"/>
      <c r="AC199" s="3169"/>
      <c r="AD199" s="3169"/>
      <c r="AE199" s="3169"/>
      <c r="AF199" s="3169"/>
      <c r="AG199" s="3186"/>
      <c r="AH199" s="3186"/>
      <c r="AI199" s="3186"/>
      <c r="AJ199" s="3186"/>
      <c r="AK199" s="3186"/>
      <c r="AL199" s="3186"/>
      <c r="AN199" s="3186"/>
      <c r="AO199" s="3186"/>
      <c r="AP199" s="3169"/>
      <c r="AQ199" s="3169"/>
      <c r="AR199" s="3169"/>
      <c r="AS199" s="3169"/>
      <c r="AT199" s="3169"/>
      <c r="AU199" s="3186"/>
      <c r="AV199" s="3186"/>
    </row>
    <row r="200" spans="1:48" s="14" customFormat="1">
      <c r="A200" s="24"/>
      <c r="B200" s="43"/>
      <c r="C200" s="24"/>
      <c r="D200" s="24" t="s">
        <v>1720</v>
      </c>
      <c r="E200" s="24"/>
      <c r="F200" s="24"/>
      <c r="G200" s="24"/>
      <c r="H200" s="24"/>
      <c r="I200" s="24"/>
      <c r="J200" s="24"/>
      <c r="K200" s="24"/>
      <c r="L200" s="24"/>
      <c r="M200" s="24"/>
      <c r="O200" s="24"/>
      <c r="P200" s="24"/>
      <c r="Q200" s="24"/>
      <c r="R200" s="24"/>
      <c r="S200" s="24"/>
      <c r="T200" s="24"/>
      <c r="U200" s="24"/>
      <c r="V200" s="24"/>
      <c r="W200" s="24"/>
      <c r="X200" s="24"/>
      <c r="Y200" s="24"/>
      <c r="Z200" s="24"/>
      <c r="AA200" s="3169"/>
      <c r="AB200" s="3169"/>
      <c r="AC200" s="3169"/>
      <c r="AD200" s="3169"/>
      <c r="AE200" s="3169"/>
      <c r="AF200" s="3169"/>
      <c r="AG200" s="3186"/>
      <c r="AH200" s="3186"/>
      <c r="AI200" s="3186"/>
      <c r="AJ200" s="3186"/>
      <c r="AK200" s="3186"/>
      <c r="AL200" s="3186"/>
      <c r="AN200" s="3186"/>
      <c r="AO200" s="3186"/>
      <c r="AP200" s="3169"/>
      <c r="AQ200" s="3169"/>
      <c r="AR200" s="3169"/>
      <c r="AS200" s="3169"/>
      <c r="AT200" s="3169"/>
      <c r="AU200" s="3186"/>
      <c r="AV200" s="3186"/>
    </row>
    <row r="201" spans="1:48">
      <c r="D201" s="24" t="s">
        <v>1721</v>
      </c>
      <c r="AA201" s="3169"/>
      <c r="AB201" s="3169"/>
      <c r="AC201" s="3169"/>
      <c r="AD201" s="3169"/>
      <c r="AE201" s="3169"/>
      <c r="AF201" s="3169"/>
      <c r="AG201" s="3169"/>
      <c r="AH201" s="3169"/>
      <c r="AI201" s="3169"/>
      <c r="AJ201" s="3169"/>
      <c r="AK201" s="3169"/>
      <c r="AL201" s="3169"/>
      <c r="AN201" s="3186"/>
      <c r="AO201" s="3186"/>
      <c r="AP201" s="3169"/>
      <c r="AQ201" s="3169"/>
      <c r="AR201" s="3169"/>
      <c r="AS201" s="3169"/>
      <c r="AT201" s="3169"/>
      <c r="AU201" s="3169"/>
      <c r="AV201" s="3169"/>
    </row>
    <row r="202" spans="1:48" s="14" customFormat="1">
      <c r="A202" s="24"/>
      <c r="B202" s="43"/>
      <c r="C202" s="24"/>
      <c r="D202" s="74" t="s">
        <v>1722</v>
      </c>
      <c r="E202" s="24"/>
      <c r="F202" s="24"/>
      <c r="G202" s="24"/>
      <c r="H202" s="24"/>
      <c r="I202" s="24"/>
      <c r="J202" s="2172" t="s">
        <v>455</v>
      </c>
      <c r="K202" s="2518">
        <f>'Earned Inc Calc'!J33</f>
        <v>0</v>
      </c>
      <c r="L202" s="24"/>
      <c r="M202" s="24"/>
      <c r="O202" s="24"/>
      <c r="P202" s="24"/>
      <c r="Q202" s="24"/>
      <c r="R202" s="24"/>
      <c r="S202" s="24"/>
      <c r="T202" s="24"/>
      <c r="U202" s="24"/>
      <c r="V202" s="24"/>
      <c r="W202" s="24"/>
      <c r="X202" s="24"/>
      <c r="Y202" s="24"/>
      <c r="Z202" s="24"/>
      <c r="AA202" s="3169"/>
      <c r="AB202" s="3169"/>
      <c r="AC202" s="3169"/>
      <c r="AD202" s="3169"/>
      <c r="AE202" s="3169"/>
      <c r="AF202" s="3169"/>
      <c r="AG202" s="3186"/>
      <c r="AH202" s="3186"/>
      <c r="AI202" s="3186"/>
      <c r="AJ202" s="3186"/>
      <c r="AK202" s="3186"/>
      <c r="AL202" s="3186"/>
      <c r="AN202" s="3189"/>
      <c r="AO202" s="3186"/>
      <c r="AP202" s="3169"/>
      <c r="AQ202" s="3169"/>
      <c r="AR202" s="3169"/>
      <c r="AS202" s="3169"/>
      <c r="AT202" s="3169"/>
      <c r="AU202" s="3186"/>
      <c r="AV202" s="3186"/>
    </row>
    <row r="203" spans="1:48">
      <c r="AA203" s="3169"/>
      <c r="AB203" s="3169"/>
      <c r="AC203" s="3169"/>
      <c r="AD203" s="3169"/>
      <c r="AE203" s="3169"/>
      <c r="AF203" s="3169"/>
      <c r="AG203" s="3169"/>
      <c r="AH203" s="3169"/>
      <c r="AI203" s="3169"/>
      <c r="AJ203" s="3169"/>
      <c r="AK203" s="3169"/>
      <c r="AL203" s="3169"/>
      <c r="AN203" s="3186"/>
      <c r="AO203" s="3186"/>
      <c r="AP203" s="3169"/>
      <c r="AQ203" s="3169"/>
      <c r="AR203" s="3169"/>
      <c r="AS203" s="3169"/>
      <c r="AT203" s="3169"/>
      <c r="AU203" s="3169"/>
      <c r="AV203" s="3169"/>
    </row>
    <row r="204" spans="1:48">
      <c r="C204" s="2172" t="s">
        <v>35</v>
      </c>
      <c r="D204" s="24" t="s">
        <v>1711</v>
      </c>
      <c r="AA204" s="3169"/>
      <c r="AB204" s="3169"/>
      <c r="AC204" s="3169"/>
      <c r="AD204" s="3169"/>
      <c r="AE204" s="3169"/>
      <c r="AF204" s="3169"/>
      <c r="AG204" s="3169"/>
      <c r="AH204" s="3169"/>
      <c r="AI204" s="3169"/>
      <c r="AJ204" s="3169"/>
      <c r="AK204" s="3169"/>
      <c r="AL204" s="3169"/>
      <c r="AN204" s="3186"/>
      <c r="AO204" s="3186"/>
      <c r="AP204" s="3169"/>
      <c r="AQ204" s="3169"/>
      <c r="AR204" s="3169"/>
      <c r="AS204" s="3169"/>
      <c r="AT204" s="3169"/>
      <c r="AU204" s="3169"/>
      <c r="AV204" s="3169"/>
    </row>
    <row r="205" spans="1:48">
      <c r="D205" s="24" t="s">
        <v>1723</v>
      </c>
      <c r="AA205" s="3169"/>
      <c r="AB205" s="3169"/>
      <c r="AC205" s="3169"/>
      <c r="AD205" s="3169"/>
      <c r="AE205" s="3169"/>
      <c r="AF205" s="3169"/>
      <c r="AG205" s="3169"/>
      <c r="AH205" s="3169"/>
      <c r="AI205" s="3169"/>
      <c r="AJ205" s="3169"/>
      <c r="AK205" s="3169"/>
      <c r="AL205" s="3169"/>
      <c r="AN205" s="3186"/>
      <c r="AO205" s="3186"/>
      <c r="AP205" s="3169"/>
      <c r="AQ205" s="3169"/>
      <c r="AR205" s="3169"/>
      <c r="AS205" s="3169"/>
      <c r="AT205" s="3169"/>
      <c r="AU205" s="3169"/>
      <c r="AV205" s="3169"/>
    </row>
    <row r="206" spans="1:48">
      <c r="D206" s="24" t="s">
        <v>1724</v>
      </c>
      <c r="AA206" s="3169"/>
      <c r="AB206" s="3169"/>
      <c r="AC206" s="3169"/>
      <c r="AD206" s="3169"/>
      <c r="AE206" s="3169"/>
      <c r="AF206" s="3169"/>
      <c r="AG206" s="3169"/>
      <c r="AH206" s="3169"/>
      <c r="AI206" s="3169"/>
      <c r="AJ206" s="3169"/>
      <c r="AK206" s="3169"/>
      <c r="AL206" s="3169"/>
      <c r="AN206" s="3186"/>
      <c r="AO206" s="3186"/>
      <c r="AP206" s="3169"/>
      <c r="AQ206" s="3169"/>
      <c r="AR206" s="3169"/>
      <c r="AS206" s="3169"/>
      <c r="AT206" s="3169"/>
      <c r="AU206" s="3169"/>
      <c r="AV206" s="3169"/>
    </row>
    <row r="207" spans="1:48">
      <c r="D207" s="24" t="s">
        <v>1725</v>
      </c>
      <c r="J207" s="2172" t="s">
        <v>35</v>
      </c>
      <c r="K207" s="2518">
        <f>'Earned Inc Calc'!J38</f>
        <v>0</v>
      </c>
      <c r="AA207" s="3169"/>
      <c r="AB207" s="3169"/>
      <c r="AC207" s="3169"/>
      <c r="AD207" s="3169"/>
      <c r="AE207" s="3169"/>
      <c r="AF207" s="3169"/>
      <c r="AG207" s="3169"/>
      <c r="AH207" s="3169"/>
      <c r="AI207" s="3169"/>
      <c r="AJ207" s="3169"/>
      <c r="AK207" s="3169"/>
      <c r="AL207" s="3169"/>
      <c r="AN207" s="3186"/>
      <c r="AO207" s="3186"/>
      <c r="AP207" s="3169"/>
      <c r="AQ207" s="3169"/>
      <c r="AR207" s="3169"/>
      <c r="AS207" s="3169"/>
      <c r="AT207" s="3169"/>
      <c r="AU207" s="3169"/>
      <c r="AV207" s="3169"/>
    </row>
    <row r="208" spans="1:48">
      <c r="V208" s="2171"/>
      <c r="X208" s="2171"/>
      <c r="AA208" s="3169"/>
      <c r="AB208" s="3169"/>
      <c r="AC208" s="3169"/>
      <c r="AD208" s="3169"/>
      <c r="AE208" s="3169"/>
      <c r="AF208" s="3169"/>
      <c r="AG208" s="3169"/>
      <c r="AH208" s="3169"/>
      <c r="AI208" s="3169"/>
      <c r="AJ208" s="3169"/>
      <c r="AK208" s="3169"/>
      <c r="AL208" s="3169"/>
      <c r="AN208" s="3186"/>
      <c r="AO208" s="3186"/>
      <c r="AP208" s="3169"/>
      <c r="AQ208" s="3169"/>
      <c r="AR208" s="3169"/>
      <c r="AS208" s="3169"/>
      <c r="AT208" s="3169"/>
      <c r="AU208" s="3169"/>
      <c r="AV208" s="3169"/>
    </row>
    <row r="209" spans="3:48">
      <c r="C209" s="2172" t="s">
        <v>75</v>
      </c>
      <c r="D209" s="74" t="s">
        <v>1726</v>
      </c>
      <c r="J209" s="2172" t="s">
        <v>75</v>
      </c>
      <c r="K209" s="2518">
        <f>SUM(K186,K192,K202,K207)</f>
        <v>0</v>
      </c>
      <c r="V209" s="2171"/>
      <c r="X209" s="2171"/>
      <c r="AA209" s="3169"/>
      <c r="AB209" s="3169"/>
      <c r="AC209" s="3169"/>
      <c r="AD209" s="3169"/>
      <c r="AE209" s="3169"/>
      <c r="AF209" s="3169"/>
      <c r="AG209" s="3169"/>
      <c r="AH209" s="3169"/>
      <c r="AI209" s="3169"/>
      <c r="AJ209" s="3169"/>
      <c r="AK209" s="3169"/>
      <c r="AL209" s="3169"/>
      <c r="AN209" s="3186"/>
      <c r="AO209" s="3186"/>
      <c r="AP209" s="3169"/>
      <c r="AQ209" s="3169"/>
      <c r="AR209" s="3169"/>
      <c r="AS209" s="3169"/>
      <c r="AT209" s="3169"/>
      <c r="AU209" s="3169"/>
      <c r="AV209" s="3169"/>
    </row>
    <row r="210" spans="3:48">
      <c r="AA210" s="3169"/>
      <c r="AB210" s="3169"/>
      <c r="AC210" s="3169"/>
      <c r="AD210" s="3169"/>
      <c r="AE210" s="3169"/>
      <c r="AF210" s="3169"/>
      <c r="AG210" s="3169"/>
      <c r="AH210" s="3169"/>
      <c r="AI210" s="3169"/>
      <c r="AJ210" s="3169"/>
      <c r="AK210" s="3169"/>
      <c r="AL210" s="3169"/>
      <c r="AN210" s="3186"/>
      <c r="AO210" s="3186"/>
      <c r="AP210" s="3169"/>
      <c r="AQ210" s="3169"/>
      <c r="AR210" s="3169"/>
      <c r="AS210" s="3169"/>
      <c r="AT210" s="3169"/>
      <c r="AU210" s="3169"/>
      <c r="AV210" s="3169"/>
    </row>
    <row r="211" spans="3:48">
      <c r="C211" s="2172" t="s">
        <v>76</v>
      </c>
      <c r="D211" s="74" t="s">
        <v>1736</v>
      </c>
      <c r="J211" s="2172" t="s">
        <v>76</v>
      </c>
      <c r="K211" s="2518">
        <f>SUM(K182,-K209)</f>
        <v>0</v>
      </c>
      <c r="AA211" s="3169"/>
      <c r="AB211" s="3169"/>
      <c r="AC211" s="3169"/>
      <c r="AD211" s="3169"/>
      <c r="AE211" s="3169"/>
      <c r="AF211" s="3169"/>
      <c r="AG211" s="3169"/>
      <c r="AH211" s="3169"/>
      <c r="AI211" s="3169"/>
      <c r="AJ211" s="3169"/>
      <c r="AK211" s="3169"/>
      <c r="AL211" s="3169"/>
      <c r="AN211" s="3186"/>
      <c r="AO211" s="3186"/>
      <c r="AP211" s="3169"/>
      <c r="AQ211" s="3169"/>
      <c r="AR211" s="3169"/>
      <c r="AS211" s="3169"/>
      <c r="AT211" s="3169"/>
      <c r="AU211" s="3169"/>
      <c r="AV211" s="3169"/>
    </row>
    <row r="212" spans="3:48">
      <c r="AA212" s="3169"/>
      <c r="AB212" s="3169"/>
      <c r="AC212" s="3169"/>
      <c r="AD212" s="3169"/>
      <c r="AE212" s="3169"/>
      <c r="AF212" s="3169"/>
      <c r="AG212" s="3169"/>
      <c r="AH212" s="3169"/>
      <c r="AI212" s="3169"/>
      <c r="AJ212" s="3169"/>
      <c r="AK212" s="3169"/>
      <c r="AL212" s="3169"/>
      <c r="AN212" s="3186"/>
      <c r="AO212" s="3186"/>
      <c r="AP212" s="3169"/>
      <c r="AQ212" s="3169"/>
      <c r="AR212" s="3169"/>
      <c r="AS212" s="3169"/>
      <c r="AT212" s="3169"/>
      <c r="AU212" s="3169"/>
      <c r="AV212" s="3169"/>
    </row>
    <row r="213" spans="3:48">
      <c r="C213" s="2172" t="s">
        <v>232</v>
      </c>
      <c r="D213" s="24" t="s">
        <v>1737</v>
      </c>
      <c r="AA213" s="3169"/>
      <c r="AB213" s="3169"/>
      <c r="AC213" s="3169"/>
      <c r="AD213" s="3169"/>
      <c r="AE213" s="3169"/>
      <c r="AF213" s="3169"/>
      <c r="AG213" s="3169"/>
      <c r="AH213" s="3169"/>
      <c r="AI213" s="3169"/>
      <c r="AJ213" s="3169"/>
      <c r="AK213" s="3169"/>
      <c r="AL213" s="3169"/>
      <c r="AN213" s="3186"/>
      <c r="AO213" s="3186"/>
      <c r="AP213" s="3169"/>
      <c r="AQ213" s="3169"/>
      <c r="AR213" s="3169"/>
      <c r="AS213" s="3169"/>
      <c r="AT213" s="3169"/>
      <c r="AU213" s="3169"/>
      <c r="AV213" s="3169"/>
    </row>
    <row r="214" spans="3:48">
      <c r="D214" s="24" t="s">
        <v>1738</v>
      </c>
      <c r="AA214" s="3169"/>
      <c r="AB214" s="3169"/>
      <c r="AC214" s="3169"/>
      <c r="AD214" s="3169"/>
      <c r="AE214" s="3169"/>
      <c r="AF214" s="3169"/>
      <c r="AG214" s="3169"/>
      <c r="AH214" s="3169"/>
      <c r="AI214" s="3169"/>
      <c r="AJ214" s="3169"/>
      <c r="AK214" s="3169"/>
      <c r="AL214" s="3169"/>
      <c r="AN214" s="3186"/>
      <c r="AO214" s="3186"/>
      <c r="AP214" s="3169"/>
      <c r="AQ214" s="3169"/>
      <c r="AR214" s="3169"/>
      <c r="AS214" s="3169"/>
      <c r="AT214" s="3169"/>
      <c r="AU214" s="3169"/>
      <c r="AV214" s="3169"/>
    </row>
    <row r="215" spans="3:48">
      <c r="D215" s="74" t="s">
        <v>4397</v>
      </c>
      <c r="AA215" s="3169"/>
      <c r="AB215" s="3169"/>
      <c r="AC215" s="3169"/>
      <c r="AD215" s="3169"/>
      <c r="AE215" s="3169"/>
      <c r="AF215" s="3169"/>
      <c r="AG215" s="3169"/>
      <c r="AH215" s="3169"/>
      <c r="AI215" s="3169"/>
      <c r="AJ215" s="3169"/>
      <c r="AK215" s="3169"/>
      <c r="AL215" s="3169"/>
      <c r="AN215" s="3186"/>
      <c r="AO215" s="3186"/>
      <c r="AP215" s="3169"/>
      <c r="AQ215" s="3169"/>
      <c r="AR215" s="3169"/>
      <c r="AS215" s="3169"/>
      <c r="AT215" s="3169"/>
      <c r="AU215" s="3169"/>
      <c r="AV215" s="3169"/>
    </row>
    <row r="216" spans="3:48">
      <c r="D216" s="74" t="s">
        <v>4398</v>
      </c>
      <c r="AA216" s="3169"/>
      <c r="AB216" s="3169"/>
      <c r="AC216" s="3169"/>
      <c r="AD216" s="3169"/>
      <c r="AE216" s="3169"/>
      <c r="AF216" s="3169"/>
      <c r="AG216" s="3169"/>
      <c r="AH216" s="3169"/>
      <c r="AI216" s="3169"/>
      <c r="AJ216" s="3169"/>
      <c r="AK216" s="3169"/>
      <c r="AL216" s="3169"/>
      <c r="AN216" s="3186"/>
      <c r="AO216" s="3186"/>
      <c r="AP216" s="3169"/>
      <c r="AQ216" s="3169"/>
      <c r="AR216" s="3169"/>
      <c r="AS216" s="3169"/>
      <c r="AT216" s="3169"/>
      <c r="AU216" s="3169"/>
      <c r="AV216" s="3169"/>
    </row>
    <row r="217" spans="3:48">
      <c r="D217" s="74" t="s">
        <v>4399</v>
      </c>
      <c r="AA217" s="3169"/>
      <c r="AB217" s="3169"/>
      <c r="AC217" s="3169"/>
      <c r="AD217" s="3169"/>
      <c r="AE217" s="3169"/>
      <c r="AF217" s="3169"/>
      <c r="AG217" s="3169"/>
      <c r="AH217" s="3169"/>
      <c r="AI217" s="3169"/>
      <c r="AJ217" s="3169"/>
      <c r="AK217" s="3169"/>
      <c r="AL217" s="3169"/>
      <c r="AN217" s="3186"/>
      <c r="AO217" s="3186"/>
      <c r="AP217" s="3169"/>
      <c r="AQ217" s="3169"/>
      <c r="AR217" s="3169"/>
      <c r="AS217" s="3169"/>
      <c r="AT217" s="3169"/>
      <c r="AU217" s="3169"/>
      <c r="AV217" s="3169"/>
    </row>
    <row r="218" spans="3:48">
      <c r="D218" s="74" t="s">
        <v>4400</v>
      </c>
      <c r="J218" s="2172" t="s">
        <v>232</v>
      </c>
      <c r="K218" s="2518">
        <f>'Earned Inc Calc'!J49</f>
        <v>0</v>
      </c>
      <c r="AA218" s="3169"/>
      <c r="AB218" s="3169"/>
      <c r="AC218" s="3169"/>
      <c r="AD218" s="3169"/>
      <c r="AE218" s="3169"/>
      <c r="AF218" s="3169"/>
      <c r="AG218" s="3169"/>
      <c r="AH218" s="3169"/>
      <c r="AI218" s="3169"/>
      <c r="AJ218" s="3169"/>
      <c r="AK218" s="3169"/>
      <c r="AL218" s="3169"/>
      <c r="AN218" s="3186"/>
      <c r="AO218" s="3186"/>
      <c r="AP218" s="3169"/>
      <c r="AQ218" s="3169"/>
      <c r="AR218" s="3169"/>
      <c r="AS218" s="3169"/>
      <c r="AT218" s="3169"/>
      <c r="AU218" s="3169"/>
      <c r="AV218" s="3169"/>
    </row>
    <row r="219" spans="3:48" ht="15" customHeight="1">
      <c r="D219" s="74"/>
      <c r="J219" s="2172"/>
      <c r="AA219" s="3169"/>
      <c r="AB219" s="3169"/>
      <c r="AC219" s="3169"/>
      <c r="AD219" s="3169"/>
      <c r="AE219" s="3169"/>
      <c r="AF219" s="3169"/>
      <c r="AG219" s="3169"/>
      <c r="AH219" s="3169"/>
      <c r="AI219" s="3169"/>
      <c r="AJ219" s="3169"/>
      <c r="AK219" s="3169"/>
      <c r="AL219" s="3169"/>
      <c r="AN219" s="3186"/>
      <c r="AO219" s="3186"/>
      <c r="AP219" s="3169"/>
      <c r="AQ219" s="3169"/>
      <c r="AR219" s="3169"/>
      <c r="AS219" s="3169"/>
      <c r="AT219" s="3169"/>
      <c r="AU219" s="3169"/>
      <c r="AV219" s="3169"/>
    </row>
    <row r="220" spans="3:48">
      <c r="D220" s="74"/>
      <c r="J220" s="2172"/>
      <c r="AA220" s="3169"/>
      <c r="AB220" s="3169"/>
      <c r="AC220" s="3169"/>
      <c r="AD220" s="3169"/>
      <c r="AE220" s="3169"/>
      <c r="AF220" s="3169"/>
      <c r="AG220" s="3169"/>
      <c r="AH220" s="3169"/>
      <c r="AI220" s="3169"/>
      <c r="AJ220" s="3169"/>
      <c r="AK220" s="3169"/>
      <c r="AL220" s="3169"/>
      <c r="AN220" s="3186"/>
      <c r="AO220" s="3186"/>
      <c r="AP220" s="3169"/>
      <c r="AQ220" s="3169"/>
      <c r="AR220" s="3169"/>
      <c r="AS220" s="3169"/>
      <c r="AT220" s="3169"/>
      <c r="AU220" s="3169"/>
      <c r="AV220" s="3169"/>
    </row>
    <row r="221" spans="3:48">
      <c r="D221" s="74"/>
      <c r="E221" s="2170" t="s">
        <v>1739</v>
      </c>
      <c r="J221" s="2172"/>
      <c r="AA221" s="3169"/>
      <c r="AB221" s="3169"/>
      <c r="AC221" s="3169"/>
      <c r="AD221" s="3169"/>
      <c r="AE221" s="3169"/>
      <c r="AF221" s="3169"/>
      <c r="AG221" s="3169"/>
      <c r="AH221" s="3169"/>
      <c r="AI221" s="3169"/>
      <c r="AJ221" s="3169"/>
      <c r="AK221" s="3169"/>
      <c r="AL221" s="3169"/>
      <c r="AN221" s="3186"/>
      <c r="AO221" s="3186"/>
      <c r="AP221" s="3169"/>
      <c r="AQ221" s="3169"/>
      <c r="AR221" s="3169"/>
      <c r="AS221" s="3169"/>
      <c r="AT221" s="3169"/>
      <c r="AU221" s="3169"/>
      <c r="AV221" s="3169"/>
    </row>
    <row r="222" spans="3:48">
      <c r="D222" s="2170" t="s">
        <v>1740</v>
      </c>
      <c r="J222" s="2172"/>
      <c r="AA222" s="3169"/>
      <c r="AB222" s="3169"/>
      <c r="AC222" s="3169"/>
      <c r="AD222" s="3169"/>
      <c r="AE222" s="3169"/>
      <c r="AF222" s="3169"/>
      <c r="AG222" s="3169"/>
      <c r="AH222" s="3169"/>
      <c r="AI222" s="3169"/>
      <c r="AJ222" s="3169"/>
      <c r="AK222" s="3169"/>
      <c r="AL222" s="3169"/>
      <c r="AN222" s="3186"/>
      <c r="AO222" s="3186"/>
      <c r="AP222" s="3169"/>
      <c r="AQ222" s="3169"/>
      <c r="AR222" s="3169"/>
      <c r="AS222" s="3169"/>
      <c r="AT222" s="3169"/>
      <c r="AU222" s="3169"/>
      <c r="AV222" s="3169"/>
    </row>
    <row r="223" spans="3:48">
      <c r="D223" s="2170" t="s">
        <v>1741</v>
      </c>
      <c r="J223" s="2172"/>
      <c r="AA223" s="3169"/>
      <c r="AB223" s="3169"/>
      <c r="AC223" s="3169"/>
      <c r="AD223" s="3169"/>
      <c r="AE223" s="3169"/>
      <c r="AF223" s="3169"/>
      <c r="AG223" s="3169"/>
      <c r="AH223" s="3169"/>
      <c r="AI223" s="3169"/>
      <c r="AJ223" s="3169"/>
      <c r="AK223" s="3169"/>
      <c r="AL223" s="3169"/>
      <c r="AN223" s="3186"/>
      <c r="AO223" s="3186"/>
      <c r="AP223" s="3169"/>
      <c r="AQ223" s="3169"/>
      <c r="AR223" s="3169"/>
      <c r="AS223" s="3169"/>
      <c r="AT223" s="3169"/>
      <c r="AU223" s="3169"/>
      <c r="AV223" s="3169"/>
    </row>
    <row r="224" spans="3:48">
      <c r="D224" s="2170" t="s">
        <v>1742</v>
      </c>
      <c r="J224" s="2172"/>
      <c r="AA224" s="3169"/>
      <c r="AB224" s="3169"/>
      <c r="AC224" s="3169"/>
      <c r="AD224" s="3169"/>
      <c r="AE224" s="3169"/>
      <c r="AF224" s="3169"/>
      <c r="AG224" s="3169"/>
      <c r="AH224" s="3169"/>
      <c r="AI224" s="3169"/>
      <c r="AJ224" s="3169"/>
      <c r="AK224" s="3169"/>
      <c r="AL224" s="3169"/>
      <c r="AN224" s="3186"/>
      <c r="AO224" s="3186"/>
      <c r="AP224" s="3169"/>
      <c r="AQ224" s="3169"/>
      <c r="AR224" s="3169"/>
      <c r="AS224" s="3169"/>
      <c r="AT224" s="3169"/>
      <c r="AU224" s="3169"/>
      <c r="AV224" s="3169"/>
    </row>
    <row r="225" spans="1:48">
      <c r="D225" s="2170"/>
      <c r="J225" s="2172"/>
      <c r="M225" s="2171" t="s">
        <v>100</v>
      </c>
      <c r="N225" s="24"/>
      <c r="O225" s="2171"/>
      <c r="Q225" s="2171"/>
      <c r="AA225" s="3169"/>
      <c r="AB225" s="3169"/>
      <c r="AC225" s="3169"/>
      <c r="AD225" s="3169"/>
      <c r="AE225" s="3169"/>
      <c r="AF225" s="3169"/>
      <c r="AG225" s="3169"/>
      <c r="AH225" s="3169"/>
      <c r="AI225" s="3169"/>
      <c r="AJ225" s="3169"/>
      <c r="AK225" s="3169"/>
      <c r="AL225" s="3169"/>
      <c r="AN225" s="3186"/>
      <c r="AO225" s="3186"/>
      <c r="AP225" s="3169"/>
      <c r="AQ225" s="3169"/>
      <c r="AR225" s="3169"/>
      <c r="AS225" s="3169"/>
      <c r="AT225" s="3169"/>
      <c r="AU225" s="3169"/>
      <c r="AV225" s="3169"/>
    </row>
    <row r="226" spans="1:48" ht="13.5" thickBot="1">
      <c r="C226" s="2172" t="s">
        <v>233</v>
      </c>
      <c r="D226" s="74" t="s">
        <v>1744</v>
      </c>
      <c r="M226" s="2171" t="s">
        <v>468</v>
      </c>
      <c r="AA226" s="3169"/>
      <c r="AB226" s="3169"/>
      <c r="AC226" s="3169"/>
      <c r="AD226" s="3169"/>
      <c r="AE226" s="3169"/>
      <c r="AF226" s="3169"/>
      <c r="AG226" s="3169"/>
      <c r="AH226" s="3169"/>
      <c r="AI226" s="3169"/>
      <c r="AJ226" s="3169"/>
      <c r="AK226" s="3169"/>
      <c r="AL226" s="3169"/>
      <c r="AN226" s="3186"/>
      <c r="AO226" s="3186"/>
      <c r="AP226" s="3169"/>
      <c r="AQ226" s="3169"/>
      <c r="AR226" s="3169"/>
      <c r="AS226" s="3169"/>
      <c r="AT226" s="3169"/>
      <c r="AU226" s="3169"/>
      <c r="AV226" s="3169"/>
    </row>
    <row r="227" spans="1:48" ht="13.5" thickBot="1">
      <c r="D227" s="25" t="s">
        <v>1743</v>
      </c>
      <c r="J227" s="2172" t="s">
        <v>233</v>
      </c>
      <c r="K227" s="2518">
        <f>IF(M227&lt;&gt;"",M227,SUM(K211,K218))</f>
        <v>0</v>
      </c>
      <c r="M227" s="2184"/>
      <c r="N227" s="24"/>
      <c r="O227" s="2171"/>
      <c r="Q227" s="2171"/>
      <c r="AA227" s="3169"/>
      <c r="AB227" s="3169"/>
      <c r="AC227" s="3169"/>
      <c r="AD227" s="3169"/>
      <c r="AE227" s="3169"/>
      <c r="AF227" s="3169"/>
      <c r="AG227" s="3169"/>
      <c r="AH227" s="3169"/>
      <c r="AI227" s="3169"/>
      <c r="AJ227" s="3169"/>
      <c r="AK227" s="3169"/>
      <c r="AL227" s="3169"/>
      <c r="AN227" s="3186"/>
      <c r="AO227" s="3186"/>
      <c r="AP227" s="3169"/>
      <c r="AQ227" s="3169"/>
      <c r="AR227" s="3169"/>
      <c r="AS227" s="3169"/>
      <c r="AT227" s="3169"/>
      <c r="AU227" s="3169"/>
      <c r="AV227" s="3169"/>
    </row>
    <row r="228" spans="1:48">
      <c r="C228" s="3303"/>
      <c r="D228" s="25"/>
      <c r="J228" s="2172"/>
      <c r="M228" s="901"/>
      <c r="N228" s="24"/>
      <c r="O228" s="2171"/>
      <c r="Q228" s="2171"/>
      <c r="AA228" s="3169"/>
      <c r="AB228" s="3169"/>
      <c r="AC228" s="3169"/>
      <c r="AD228" s="3169"/>
      <c r="AE228" s="3169"/>
      <c r="AF228" s="3169"/>
      <c r="AG228" s="3169"/>
      <c r="AH228" s="3169"/>
      <c r="AI228" s="3169"/>
      <c r="AJ228" s="3169"/>
      <c r="AK228" s="3169"/>
      <c r="AL228" s="3169"/>
      <c r="AN228" s="3186"/>
      <c r="AO228" s="3186"/>
      <c r="AP228" s="3169"/>
      <c r="AQ228" s="3169"/>
      <c r="AR228" s="3169"/>
      <c r="AS228" s="3169"/>
      <c r="AT228" s="3169"/>
      <c r="AU228" s="3169"/>
      <c r="AV228" s="3169"/>
    </row>
    <row r="229" spans="1:48">
      <c r="AA229" s="3169"/>
      <c r="AB229" s="3169"/>
      <c r="AC229" s="3169"/>
      <c r="AD229" s="3169"/>
      <c r="AE229" s="3169"/>
      <c r="AF229" s="3169"/>
      <c r="AG229" s="3169"/>
      <c r="AH229" s="3169"/>
      <c r="AI229" s="3169"/>
      <c r="AJ229" s="3169"/>
      <c r="AK229" s="3169"/>
      <c r="AL229" s="3169"/>
      <c r="AN229" s="3186"/>
      <c r="AO229" s="3186"/>
      <c r="AP229" s="3169"/>
      <c r="AQ229" s="3169"/>
      <c r="AR229" s="3169"/>
      <c r="AS229" s="3169"/>
      <c r="AT229" s="3169"/>
      <c r="AU229" s="3169"/>
      <c r="AV229" s="3169"/>
    </row>
    <row r="230" spans="1:48">
      <c r="A230" s="140" t="s">
        <v>0</v>
      </c>
      <c r="B230" s="24" t="str">
        <f>"Were you self-employed at any time in "&amp;TaxYear&amp;", or are you filing Schedule SE because you were a member of the"</f>
        <v>Were you self-employed at any time in 2018, or are you filing Schedule SE because you were a member of the</v>
      </c>
      <c r="C230" s="2161"/>
      <c r="AA230" s="3169"/>
      <c r="AB230" s="3169"/>
      <c r="AC230" s="3169"/>
      <c r="AD230" s="3169"/>
      <c r="AE230" s="3169"/>
      <c r="AF230" s="3169"/>
      <c r="AG230" s="3169"/>
      <c r="AH230" s="3169"/>
      <c r="AI230" s="3169"/>
      <c r="AJ230" s="3169"/>
      <c r="AK230" s="3169"/>
      <c r="AL230" s="3169"/>
      <c r="AN230" s="3186"/>
      <c r="AO230" s="3186"/>
      <c r="AP230" s="3169"/>
      <c r="AQ230" s="3169"/>
      <c r="AR230" s="3169"/>
      <c r="AS230" s="3169"/>
      <c r="AT230" s="3169"/>
      <c r="AU230" s="3169"/>
      <c r="AV230" s="3169"/>
    </row>
    <row r="231" spans="1:48">
      <c r="A231" s="1586"/>
      <c r="B231" s="24" t="s">
        <v>1611</v>
      </c>
      <c r="C231" s="1586"/>
      <c r="AA231" s="3169"/>
      <c r="AB231" s="3169"/>
      <c r="AC231" s="3169"/>
      <c r="AD231" s="3169"/>
      <c r="AE231" s="3169"/>
      <c r="AF231" s="3169"/>
      <c r="AG231" s="3169"/>
      <c r="AH231" s="3169"/>
      <c r="AI231" s="3169"/>
      <c r="AJ231" s="3169"/>
      <c r="AK231" s="3169"/>
      <c r="AL231" s="3169"/>
      <c r="AN231" s="3186"/>
      <c r="AO231" s="3186"/>
      <c r="AP231" s="3169"/>
      <c r="AQ231" s="3169"/>
      <c r="AR231" s="3169"/>
      <c r="AS231" s="3169"/>
      <c r="AT231" s="3169"/>
      <c r="AU231" s="3169"/>
      <c r="AV231" s="3169"/>
    </row>
    <row r="232" spans="1:48">
      <c r="C232" s="2161"/>
      <c r="AA232" s="3169"/>
      <c r="AB232" s="3169"/>
      <c r="AC232" s="3169"/>
      <c r="AD232" s="3169"/>
      <c r="AE232" s="3169"/>
      <c r="AF232" s="3169"/>
      <c r="AG232" s="3169"/>
      <c r="AH232" s="3169"/>
      <c r="AI232" s="3169"/>
      <c r="AJ232" s="3169"/>
      <c r="AK232" s="3169"/>
      <c r="AL232" s="3169"/>
      <c r="AN232" s="3186"/>
      <c r="AO232" s="3186"/>
      <c r="AP232" s="3169"/>
      <c r="AQ232" s="3169"/>
      <c r="AR232" s="3169"/>
      <c r="AS232" s="3169"/>
      <c r="AT232" s="3169"/>
      <c r="AU232" s="3169"/>
      <c r="AV232" s="3169"/>
    </row>
    <row r="233" spans="1:48">
      <c r="B233" s="1669"/>
      <c r="D233" s="74" t="s">
        <v>4014</v>
      </c>
      <c r="H233" s="1669"/>
      <c r="J233" s="74" t="s">
        <v>4015</v>
      </c>
      <c r="AA233" s="3169"/>
      <c r="AB233" s="3169"/>
      <c r="AC233" s="3169"/>
      <c r="AD233" s="3169"/>
      <c r="AE233" s="3169"/>
      <c r="AF233" s="3169"/>
      <c r="AG233" s="3169"/>
      <c r="AH233" s="3169"/>
      <c r="AI233" s="3169"/>
      <c r="AJ233" s="3169"/>
      <c r="AK233" s="3169"/>
      <c r="AL233" s="3169"/>
      <c r="AN233" s="3186"/>
      <c r="AO233" s="3186"/>
      <c r="AP233" s="3169"/>
      <c r="AQ233" s="3169"/>
      <c r="AR233" s="3169"/>
      <c r="AS233" s="3169"/>
      <c r="AT233" s="3169"/>
      <c r="AU233" s="3169"/>
      <c r="AV233" s="3169"/>
    </row>
    <row r="234" spans="1:48">
      <c r="D234" s="74" t="s">
        <v>1745</v>
      </c>
      <c r="F234" s="2199"/>
      <c r="G234" s="2199" t="str">
        <f>IF(AND(B233&lt;&gt;"",H233&lt;&gt;""),"Check ONLY one.","")</f>
        <v/>
      </c>
      <c r="AA234" s="3169"/>
      <c r="AB234" s="3169"/>
      <c r="AC234" s="3169"/>
      <c r="AD234" s="3169"/>
      <c r="AE234" s="3169"/>
      <c r="AF234" s="3169"/>
      <c r="AG234" s="3169"/>
      <c r="AH234" s="3169"/>
      <c r="AI234" s="3169"/>
      <c r="AJ234" s="3169"/>
      <c r="AK234" s="3169"/>
      <c r="AL234" s="3169"/>
      <c r="AN234" s="3186"/>
      <c r="AO234" s="3186"/>
      <c r="AP234" s="3169"/>
      <c r="AQ234" s="3169"/>
      <c r="AR234" s="3169"/>
      <c r="AS234" s="3169"/>
      <c r="AT234" s="3169"/>
      <c r="AU234" s="3169"/>
      <c r="AV234" s="3169"/>
    </row>
    <row r="235" spans="1:48" ht="12.75" customHeight="1">
      <c r="AA235" s="3169"/>
      <c r="AB235" s="3169"/>
      <c r="AC235" s="3169"/>
      <c r="AD235" s="3169"/>
      <c r="AE235" s="3169"/>
      <c r="AF235" s="3169"/>
      <c r="AG235" s="3169"/>
      <c r="AH235" s="3169"/>
      <c r="AI235" s="3169"/>
      <c r="AJ235" s="3169"/>
      <c r="AK235" s="3169"/>
      <c r="AL235" s="3169"/>
      <c r="AN235" s="3186"/>
      <c r="AO235" s="3186"/>
      <c r="AP235" s="3169"/>
      <c r="AQ235" s="3169"/>
      <c r="AR235" s="3169"/>
      <c r="AS235" s="3169"/>
      <c r="AT235" s="3169"/>
      <c r="AU235" s="3169"/>
      <c r="AV235" s="3169"/>
    </row>
    <row r="236" spans="1:48">
      <c r="A236" s="2172" t="s">
        <v>1</v>
      </c>
      <c r="B236" s="74" t="s">
        <v>1621</v>
      </c>
      <c r="AA236" s="3169"/>
      <c r="AB236" s="3169"/>
      <c r="AC236" s="3169"/>
      <c r="AD236" s="3169"/>
      <c r="AE236" s="3169"/>
      <c r="AF236" s="3169"/>
      <c r="AG236" s="3169"/>
      <c r="AH236" s="3169"/>
      <c r="AI236" s="3169"/>
      <c r="AJ236" s="3169"/>
      <c r="AK236" s="3169"/>
      <c r="AL236" s="3169"/>
      <c r="AN236" s="3186"/>
      <c r="AO236" s="3186"/>
      <c r="AP236" s="3169"/>
      <c r="AQ236" s="3169"/>
      <c r="AR236" s="3169"/>
      <c r="AS236" s="3169"/>
      <c r="AT236" s="3169"/>
      <c r="AU236" s="3169"/>
      <c r="AV236" s="3169"/>
    </row>
    <row r="237" spans="1:48" ht="7.5" customHeight="1">
      <c r="AA237" s="3169"/>
      <c r="AB237" s="3169"/>
      <c r="AC237" s="3169"/>
      <c r="AD237" s="3169"/>
      <c r="AE237" s="3169"/>
      <c r="AF237" s="3169"/>
      <c r="AG237" s="3169"/>
      <c r="AH237" s="3169"/>
      <c r="AI237" s="3169"/>
      <c r="AJ237" s="3169"/>
      <c r="AK237" s="3169"/>
      <c r="AL237" s="3169"/>
      <c r="AN237" s="3186"/>
      <c r="AO237" s="3186"/>
      <c r="AP237" s="3169"/>
      <c r="AQ237" s="3169"/>
      <c r="AR237" s="3169"/>
      <c r="AS237" s="3169"/>
      <c r="AT237" s="3169"/>
      <c r="AU237" s="3169"/>
      <c r="AV237" s="3169"/>
    </row>
    <row r="238" spans="1:48">
      <c r="B238" s="2278" t="str">
        <f>IF(OR(B233="X",H233="",EICNumQualChild&lt;3),"",IF(OR(AND(File_Marr_Joint&lt;&gt;"",EIC_EarnedIncome&lt;O10),EIC_EarnedIncome&lt;N10),"®",""))</f>
        <v/>
      </c>
      <c r="C238" s="140" t="s">
        <v>1600</v>
      </c>
      <c r="D238" s="74" t="s">
        <v>1972</v>
      </c>
      <c r="AA238" s="3169"/>
      <c r="AB238" s="3169"/>
      <c r="AC238" s="3169"/>
      <c r="AD238" s="3169"/>
      <c r="AE238" s="3169"/>
      <c r="AF238" s="3169"/>
      <c r="AG238" s="3169"/>
      <c r="AH238" s="3169"/>
      <c r="AI238" s="3169"/>
      <c r="AJ238" s="3169"/>
      <c r="AK238" s="3169"/>
      <c r="AL238" s="3169"/>
      <c r="AN238" s="3186"/>
      <c r="AO238" s="3186"/>
      <c r="AP238" s="3169"/>
      <c r="AQ238" s="3169"/>
      <c r="AR238" s="3169"/>
      <c r="AS238" s="3169"/>
      <c r="AT238" s="3169"/>
      <c r="AU238" s="3169"/>
      <c r="AV238" s="3169"/>
    </row>
    <row r="239" spans="1:48">
      <c r="B239" s="2162"/>
      <c r="D239" s="24" t="str">
        <f>"Is your earned income less than "&amp;TEXT(N10,"$0,000")&amp;" ("&amp;TEXT(O10,"$0,000")&amp;" if married filing jointly)?"</f>
        <v>Is your earned income less than $49,194 ($54,884 if married filing jointly)?</v>
      </c>
      <c r="L239" s="2199" t="str">
        <f>IF(B238&lt;&gt;"®","",IF(M239,"Yes","No"))</f>
        <v/>
      </c>
      <c r="M239" s="1440" t="b">
        <f>IF(B238&lt;&gt;"®",FALSE,IF(OR(AND(File_Marr_Joint&lt;&gt;"",EIC_EarnedIncome&lt;O10),EIC_EarnedIncome&lt;N10),TRUE,FALSE))</f>
        <v>0</v>
      </c>
      <c r="AA239" s="3169"/>
      <c r="AB239" s="3169"/>
      <c r="AC239" s="3169"/>
      <c r="AD239" s="3169"/>
      <c r="AE239" s="3169"/>
      <c r="AF239" s="3169"/>
      <c r="AG239" s="3169"/>
      <c r="AH239" s="3169"/>
      <c r="AI239" s="3169"/>
      <c r="AJ239" s="3169"/>
      <c r="AK239" s="3169"/>
      <c r="AL239" s="3169"/>
      <c r="AN239" s="3186"/>
      <c r="AO239" s="3186"/>
      <c r="AP239" s="3169"/>
      <c r="AQ239" s="3169"/>
      <c r="AR239" s="3169"/>
      <c r="AS239" s="3169"/>
      <c r="AT239" s="3169"/>
      <c r="AU239" s="3169"/>
      <c r="AV239" s="3169"/>
    </row>
    <row r="240" spans="1:48">
      <c r="B240" s="2162"/>
      <c r="C240" s="43" t="s">
        <v>274</v>
      </c>
      <c r="AA240" s="3169"/>
      <c r="AB240" s="3169"/>
      <c r="AC240" s="3169"/>
      <c r="AD240" s="3169"/>
      <c r="AE240" s="3169"/>
      <c r="AF240" s="3169"/>
      <c r="AG240" s="3169"/>
      <c r="AH240" s="3169"/>
      <c r="AI240" s="3169"/>
      <c r="AJ240" s="3169"/>
      <c r="AK240" s="3169"/>
      <c r="AL240" s="3169"/>
      <c r="AN240" s="3186"/>
      <c r="AO240" s="3186"/>
      <c r="AP240" s="3169"/>
      <c r="AQ240" s="3169"/>
      <c r="AR240" s="3169"/>
      <c r="AS240" s="3169"/>
      <c r="AT240" s="3169"/>
      <c r="AU240" s="3169"/>
      <c r="AV240" s="3169"/>
    </row>
    <row r="241" spans="1:48">
      <c r="B241" s="2278" t="str">
        <f>IF(OR(B233="X",H233=""),"",IF(AND(EICNumQualChild=2,OR(AND(File_Marr_Joint&lt;&gt;"",Adj_Gross_Inc&lt;O13),Adj_Gross_Inc&lt;N13)),"®",""))</f>
        <v/>
      </c>
      <c r="C241" s="140" t="s">
        <v>1600</v>
      </c>
      <c r="D241" s="74" t="s">
        <v>1968</v>
      </c>
      <c r="AA241" s="3169"/>
      <c r="AB241" s="3169"/>
      <c r="AC241" s="3169"/>
      <c r="AD241" s="3169"/>
      <c r="AE241" s="3169"/>
      <c r="AF241" s="3169"/>
      <c r="AG241" s="3169"/>
      <c r="AH241" s="3169"/>
      <c r="AI241" s="3169"/>
      <c r="AJ241" s="3169"/>
      <c r="AK241" s="3169"/>
      <c r="AL241" s="3169"/>
      <c r="AN241" s="3186"/>
      <c r="AO241" s="3186"/>
      <c r="AP241" s="3169"/>
      <c r="AQ241" s="3169"/>
      <c r="AR241" s="3169"/>
      <c r="AS241" s="3169"/>
      <c r="AT241" s="3169"/>
      <c r="AU241" s="3169"/>
      <c r="AV241" s="3169"/>
    </row>
    <row r="242" spans="1:48">
      <c r="B242" s="2162"/>
      <c r="D242" s="24" t="str">
        <f>"Is your earned income less than "&amp;TEXT(N13,"$0,000")&amp;" ("&amp;TEXT(O13,"$0,000")&amp;" if married filing jointly)?"</f>
        <v>Is your earned income less than $45,802 ($51,492 if married filing jointly)?</v>
      </c>
      <c r="L242" s="2199" t="str">
        <f>IF(B241&lt;&gt;"®","",IF(M242,"Yes","No"))</f>
        <v/>
      </c>
      <c r="M242" s="1440" t="b">
        <f>IF(B241&lt;&gt;"®",FALSE,IF(OR(AND(File_Marr_Joint&lt;&gt;"",EIC_EarnedIncome&lt;O13),EIC_EarnedIncome&lt;N13),TRUE,FALSE))</f>
        <v>0</v>
      </c>
      <c r="AA242" s="3169"/>
      <c r="AB242" s="3169"/>
      <c r="AC242" s="3169"/>
      <c r="AD242" s="3169"/>
      <c r="AE242" s="3169"/>
      <c r="AF242" s="3169"/>
      <c r="AG242" s="3169"/>
      <c r="AH242" s="3169"/>
      <c r="AI242" s="3169"/>
      <c r="AJ242" s="3169"/>
      <c r="AK242" s="3169"/>
      <c r="AL242" s="3169"/>
      <c r="AN242" s="3186"/>
      <c r="AO242" s="3186"/>
      <c r="AP242" s="3169"/>
      <c r="AQ242" s="3169"/>
      <c r="AR242" s="3169"/>
      <c r="AS242" s="3169"/>
      <c r="AT242" s="3169"/>
      <c r="AU242" s="3169"/>
      <c r="AV242" s="3169"/>
    </row>
    <row r="243" spans="1:48">
      <c r="B243" s="2162"/>
      <c r="C243" s="43" t="s">
        <v>274</v>
      </c>
      <c r="AA243" s="3169"/>
      <c r="AB243" s="3169"/>
      <c r="AC243" s="3169"/>
      <c r="AD243" s="3169"/>
      <c r="AE243" s="3169"/>
      <c r="AF243" s="3169"/>
      <c r="AG243" s="3169"/>
      <c r="AH243" s="3169"/>
      <c r="AI243" s="3169"/>
      <c r="AJ243" s="3169"/>
      <c r="AK243" s="3169"/>
      <c r="AL243" s="3169"/>
      <c r="AN243" s="3186"/>
      <c r="AO243" s="3186"/>
      <c r="AP243" s="3169"/>
      <c r="AQ243" s="3169"/>
      <c r="AR243" s="3169"/>
      <c r="AS243" s="3169"/>
      <c r="AT243" s="3169"/>
      <c r="AU243" s="3169"/>
      <c r="AV243" s="3169"/>
    </row>
    <row r="244" spans="1:48">
      <c r="B244" s="2278" t="str">
        <f>IF(OR(B233="X",B241="X",H233=""),"",IF(AND(EICNumQualChild=1,OR(AND(File_Marr_Joint&lt;&gt;"",Adj_Gross_Inc&lt;O16),Adj_Gross_Inc&lt;N16)),"®",""))</f>
        <v/>
      </c>
      <c r="C244" s="140" t="s">
        <v>1600</v>
      </c>
      <c r="D244" s="74" t="s">
        <v>1969</v>
      </c>
      <c r="AA244" s="3169"/>
      <c r="AB244" s="3169"/>
      <c r="AC244" s="3169"/>
      <c r="AD244" s="3169"/>
      <c r="AE244" s="3169"/>
      <c r="AF244" s="3169"/>
      <c r="AG244" s="3169"/>
      <c r="AH244" s="3169"/>
      <c r="AI244" s="3169"/>
      <c r="AJ244" s="3169"/>
      <c r="AK244" s="3169"/>
      <c r="AL244" s="3169"/>
      <c r="AN244" s="3186"/>
      <c r="AO244" s="3186"/>
      <c r="AP244" s="3169"/>
      <c r="AQ244" s="3169"/>
      <c r="AR244" s="3169"/>
      <c r="AS244" s="3169"/>
      <c r="AT244" s="3169"/>
      <c r="AU244" s="3169"/>
      <c r="AV244" s="3169"/>
    </row>
    <row r="245" spans="1:48">
      <c r="B245" s="2162"/>
      <c r="D245" s="24" t="str">
        <f>"Is your earned income less than "&amp;TEXT(N16,"$0,000")&amp;" ("&amp;TEXT(O16,"$0,000")&amp;" if married filing jointly)?"</f>
        <v>Is your earned income less than $40,320 ($46,010 if married filing jointly)?</v>
      </c>
      <c r="L245" s="2199" t="str">
        <f>IF(B244&lt;&gt;"®","",IF(M245,"Yes","No"))</f>
        <v/>
      </c>
      <c r="M245" s="1440" t="b">
        <f>IF(B244&lt;&gt;"®",FALSE,IF(OR(AND(File_Marr_Joint&lt;&gt;"",EIC_EarnedIncome&lt;O16),EIC_EarnedIncome&lt;N16),TRUE,FALSE))</f>
        <v>0</v>
      </c>
      <c r="AA245" s="3169"/>
      <c r="AB245" s="3169"/>
      <c r="AC245" s="3169"/>
      <c r="AD245" s="3169"/>
      <c r="AE245" s="3169"/>
      <c r="AF245" s="3169"/>
      <c r="AG245" s="3169"/>
      <c r="AH245" s="3169"/>
      <c r="AI245" s="3169"/>
      <c r="AJ245" s="3169"/>
      <c r="AK245" s="3169"/>
      <c r="AL245" s="3169"/>
      <c r="AN245" s="3186"/>
      <c r="AO245" s="3186"/>
      <c r="AP245" s="3169"/>
      <c r="AQ245" s="3169"/>
      <c r="AR245" s="3169"/>
      <c r="AS245" s="3169"/>
      <c r="AT245" s="3169"/>
      <c r="AU245" s="3169"/>
      <c r="AV245" s="3169"/>
    </row>
    <row r="246" spans="1:48">
      <c r="B246" s="2162"/>
      <c r="C246" s="43" t="s">
        <v>274</v>
      </c>
      <c r="AA246" s="3169"/>
      <c r="AB246" s="3169"/>
      <c r="AC246" s="3169"/>
      <c r="AD246" s="3169"/>
      <c r="AE246" s="3169"/>
      <c r="AF246" s="3169"/>
      <c r="AG246" s="3169"/>
      <c r="AH246" s="3169"/>
      <c r="AI246" s="3169"/>
      <c r="AJ246" s="3169"/>
      <c r="AK246" s="3169"/>
      <c r="AL246" s="3169"/>
      <c r="AN246" s="3186"/>
      <c r="AO246" s="3186"/>
      <c r="AP246" s="3169"/>
      <c r="AQ246" s="3169"/>
      <c r="AR246" s="3169"/>
      <c r="AS246" s="3169"/>
      <c r="AT246" s="3169"/>
      <c r="AU246" s="3169"/>
      <c r="AV246" s="3169"/>
    </row>
    <row r="247" spans="1:48">
      <c r="B247" s="2278" t="str">
        <f>IF(OR(B233="X",B241="X",B244="X",H233=""),"",IF(AND(EICNumQualChild=0,OR(AND(File_Marr_Joint&lt;&gt;"",Adj_Gross_Inc&lt;O19),Adj_Gross_Inc&lt;N19)),"®",""))</f>
        <v/>
      </c>
      <c r="C247" s="140" t="s">
        <v>1600</v>
      </c>
      <c r="D247" s="24" t="s">
        <v>1612</v>
      </c>
      <c r="AA247" s="3169"/>
      <c r="AB247" s="3169"/>
      <c r="AC247" s="3169"/>
      <c r="AD247" s="3169"/>
      <c r="AE247" s="3169"/>
      <c r="AF247" s="3169"/>
      <c r="AG247" s="3169"/>
      <c r="AH247" s="3169"/>
      <c r="AI247" s="3169"/>
      <c r="AJ247" s="3169"/>
      <c r="AK247" s="3169"/>
      <c r="AL247" s="3169"/>
      <c r="AN247" s="3186"/>
      <c r="AO247" s="3186"/>
      <c r="AP247" s="3169"/>
      <c r="AQ247" s="3169"/>
      <c r="AR247" s="3169"/>
      <c r="AS247" s="3169"/>
      <c r="AT247" s="3169"/>
      <c r="AU247" s="3169"/>
      <c r="AV247" s="3169"/>
    </row>
    <row r="248" spans="1:48">
      <c r="D248" s="24" t="str">
        <f>"Is your earned income less than "&amp;TEXT(N19,"$0,000")&amp;" ("&amp;TEXT(O19,"$0,000")&amp;" if married filing jointly)?"</f>
        <v>Is your earned income less than $15,270 ($20,950 if married filing jointly)?</v>
      </c>
      <c r="L248" s="2199" t="str">
        <f>IF(B247&lt;&gt;"®","",IF(M248,"Yes","No"))</f>
        <v/>
      </c>
      <c r="M248" s="1440" t="b">
        <f>IF(B247&lt;&gt;"®",FALSE,IF(OR(AND(File_Marr_Joint&lt;&gt;"",EIC_EarnedIncome&lt;O19),EIC_EarnedIncome&lt;N19),TRUE,FALSE))</f>
        <v>0</v>
      </c>
      <c r="AA248" s="3169"/>
      <c r="AB248" s="3169"/>
      <c r="AC248" s="3169"/>
      <c r="AD248" s="3169"/>
      <c r="AE248" s="3169"/>
      <c r="AF248" s="3169"/>
      <c r="AG248" s="3169"/>
      <c r="AH248" s="3169"/>
      <c r="AI248" s="3169"/>
      <c r="AJ248" s="3169"/>
      <c r="AK248" s="3169"/>
      <c r="AL248" s="3169"/>
      <c r="AN248" s="3186"/>
      <c r="AO248" s="3186"/>
      <c r="AP248" s="3169"/>
      <c r="AQ248" s="3169"/>
      <c r="AR248" s="3169"/>
      <c r="AS248" s="3169"/>
      <c r="AT248" s="3169"/>
      <c r="AU248" s="3169"/>
      <c r="AV248" s="3169"/>
    </row>
    <row r="249" spans="1:48">
      <c r="AA249" s="3169"/>
      <c r="AB249" s="3169"/>
      <c r="AC249" s="3169"/>
      <c r="AD249" s="3169"/>
      <c r="AE249" s="3169"/>
      <c r="AF249" s="3169"/>
      <c r="AG249" s="3169"/>
      <c r="AH249" s="3169"/>
      <c r="AI249" s="3169"/>
      <c r="AJ249" s="3169"/>
      <c r="AK249" s="3169"/>
      <c r="AL249" s="3169"/>
      <c r="AN249" s="3186"/>
      <c r="AO249" s="3186"/>
      <c r="AP249" s="3169"/>
      <c r="AQ249" s="3169"/>
      <c r="AR249" s="3169"/>
      <c r="AS249" s="3169"/>
      <c r="AT249" s="3169"/>
      <c r="AU249" s="3169"/>
      <c r="AV249" s="3169"/>
    </row>
    <row r="250" spans="1:48">
      <c r="B250" s="2527" t="str">
        <f>IF(H233="","",IF(OR(M239,M242,M245,M248),"X",""))</f>
        <v/>
      </c>
      <c r="D250" s="74" t="s">
        <v>4016</v>
      </c>
      <c r="H250" s="2527" t="str">
        <f>IF(H233="","",IF(OR(M239,M242,M245,M248),"","X"))</f>
        <v/>
      </c>
      <c r="J250" s="74" t="s">
        <v>4017</v>
      </c>
      <c r="AA250" s="3169"/>
      <c r="AB250" s="3169"/>
      <c r="AC250" s="3169"/>
      <c r="AD250" s="3169"/>
      <c r="AE250" s="3169"/>
      <c r="AF250" s="3169"/>
      <c r="AG250" s="3169"/>
      <c r="AH250" s="3169"/>
      <c r="AI250" s="3169"/>
      <c r="AJ250" s="3169"/>
      <c r="AK250" s="3169"/>
      <c r="AL250" s="3169"/>
      <c r="AN250" s="3186"/>
      <c r="AO250" s="3186"/>
      <c r="AP250" s="3169"/>
      <c r="AQ250" s="3169"/>
      <c r="AR250" s="3169"/>
      <c r="AS250" s="3169"/>
      <c r="AT250" s="3169"/>
      <c r="AU250" s="3169"/>
      <c r="AV250" s="3169"/>
    </row>
    <row r="251" spans="1:48" ht="7.5" customHeight="1">
      <c r="AA251" s="3169"/>
      <c r="AB251" s="3169"/>
      <c r="AC251" s="3169"/>
      <c r="AD251" s="3169"/>
      <c r="AE251" s="3169"/>
      <c r="AF251" s="3169"/>
      <c r="AG251" s="3169"/>
      <c r="AH251" s="3169"/>
      <c r="AI251" s="3169"/>
      <c r="AJ251" s="3169"/>
      <c r="AK251" s="3169"/>
      <c r="AL251" s="3169"/>
      <c r="AN251" s="3186"/>
      <c r="AO251" s="3186"/>
      <c r="AP251" s="3169"/>
      <c r="AQ251" s="3169"/>
      <c r="AR251" s="3169"/>
      <c r="AS251" s="3169"/>
      <c r="AT251" s="3169"/>
      <c r="AU251" s="3169"/>
      <c r="AV251" s="3169"/>
    </row>
    <row r="252" spans="1:48" s="2164" customFormat="1" ht="7.5" customHeight="1">
      <c r="B252" s="2163"/>
      <c r="N252" s="2165"/>
      <c r="AA252" s="3187"/>
      <c r="AB252" s="3187"/>
      <c r="AC252" s="3187"/>
      <c r="AD252" s="3187"/>
      <c r="AE252" s="3187"/>
      <c r="AF252" s="3187"/>
      <c r="AG252" s="3187"/>
      <c r="AH252" s="3187"/>
      <c r="AI252" s="3187"/>
      <c r="AJ252" s="3187"/>
      <c r="AK252" s="3187"/>
      <c r="AL252" s="3187"/>
      <c r="AN252" s="3188"/>
      <c r="AO252" s="3188"/>
      <c r="AP252" s="3187"/>
      <c r="AQ252" s="3187"/>
      <c r="AR252" s="3187"/>
      <c r="AS252" s="3187"/>
      <c r="AT252" s="3187"/>
      <c r="AU252" s="3187"/>
      <c r="AV252" s="3187"/>
    </row>
    <row r="253" spans="1:48" s="137" customFormat="1" ht="15.75">
      <c r="A253" s="2182" t="s">
        <v>1750</v>
      </c>
      <c r="B253" s="2183" t="s">
        <v>1748</v>
      </c>
      <c r="C253" s="2157"/>
      <c r="G253" s="2200" t="str">
        <f>IF(B233&lt;&gt;"","Skip","")</f>
        <v/>
      </c>
      <c r="N253" s="2158"/>
      <c r="AA253" s="3184"/>
      <c r="AB253" s="3184"/>
      <c r="AC253" s="3184"/>
      <c r="AD253" s="3184"/>
      <c r="AE253" s="3184"/>
      <c r="AF253" s="3184"/>
      <c r="AG253" s="3184"/>
      <c r="AH253" s="3184"/>
      <c r="AI253" s="3184"/>
      <c r="AJ253" s="3184"/>
      <c r="AK253" s="3184"/>
      <c r="AL253" s="3184"/>
      <c r="AN253" s="3185"/>
      <c r="AO253" s="3185"/>
      <c r="AP253" s="3184"/>
      <c r="AQ253" s="3184"/>
      <c r="AR253" s="3184"/>
      <c r="AS253" s="3184"/>
      <c r="AT253" s="3184"/>
      <c r="AU253" s="3184"/>
      <c r="AV253" s="3184"/>
    </row>
    <row r="254" spans="1:48" s="137" customFormat="1" ht="15.75">
      <c r="A254" s="2157"/>
      <c r="B254" s="2157"/>
      <c r="C254" s="2157"/>
      <c r="N254" s="2158"/>
      <c r="AA254" s="3184"/>
      <c r="AB254" s="3184"/>
      <c r="AC254" s="3184"/>
      <c r="AD254" s="3184"/>
      <c r="AE254" s="3184"/>
      <c r="AF254" s="3184"/>
      <c r="AG254" s="3184"/>
      <c r="AH254" s="3184"/>
      <c r="AI254" s="3184"/>
      <c r="AJ254" s="3184"/>
      <c r="AK254" s="3184"/>
      <c r="AL254" s="3184"/>
      <c r="AN254" s="3185"/>
      <c r="AO254" s="3185"/>
      <c r="AP254" s="3184"/>
      <c r="AQ254" s="3184"/>
      <c r="AR254" s="3184"/>
      <c r="AS254" s="3184"/>
      <c r="AT254" s="3184"/>
      <c r="AU254" s="3184"/>
      <c r="AV254" s="3184"/>
    </row>
    <row r="255" spans="1:48" s="137" customFormat="1" ht="15.75">
      <c r="A255" s="2157"/>
      <c r="B255" s="2157"/>
      <c r="C255" s="2161" t="s">
        <v>336</v>
      </c>
      <c r="D255" s="24" t="s">
        <v>1613</v>
      </c>
      <c r="N255" s="2158"/>
      <c r="AA255" s="3184"/>
      <c r="AB255" s="3184"/>
      <c r="AC255" s="3184"/>
      <c r="AD255" s="3184"/>
      <c r="AE255" s="3184"/>
      <c r="AF255" s="3184"/>
      <c r="AG255" s="3184"/>
      <c r="AH255" s="3184"/>
      <c r="AI255" s="3184"/>
      <c r="AJ255" s="3184"/>
      <c r="AK255" s="3184"/>
      <c r="AL255" s="3184"/>
      <c r="AN255" s="3185"/>
      <c r="AO255" s="3185"/>
      <c r="AP255" s="3184"/>
      <c r="AQ255" s="3184"/>
      <c r="AR255" s="3184"/>
      <c r="AS255" s="3184"/>
      <c r="AT255" s="3184"/>
      <c r="AU255" s="3184"/>
      <c r="AV255" s="3184"/>
    </row>
    <row r="256" spans="1:48">
      <c r="AA256" s="3169"/>
      <c r="AB256" s="3169"/>
      <c r="AC256" s="3169"/>
      <c r="AD256" s="3169"/>
      <c r="AE256" s="3169"/>
      <c r="AF256" s="3169"/>
      <c r="AG256" s="3169"/>
      <c r="AH256" s="3169"/>
      <c r="AI256" s="3169"/>
      <c r="AJ256" s="3169"/>
      <c r="AK256" s="3169"/>
      <c r="AL256" s="3169"/>
      <c r="AN256" s="3186"/>
      <c r="AO256" s="3186"/>
      <c r="AP256" s="3169"/>
      <c r="AQ256" s="3169"/>
      <c r="AR256" s="3169"/>
      <c r="AS256" s="3169"/>
      <c r="AT256" s="3169"/>
      <c r="AU256" s="3169"/>
      <c r="AV256" s="3169"/>
    </row>
    <row r="257" spans="1:48">
      <c r="A257" s="1440" t="b">
        <f>IF(OR(H21&lt;&gt;"",H26&lt;&gt;"",B31&lt;&gt;"",B35&lt;&gt;"",AND(B59&lt;&gt;"",H63&lt;&gt;""),AND(H111&lt;&gt;"",H133&lt;&gt;""),B124&lt;&gt;"",H141&lt;&gt;"",H148&lt;&gt;"",B163&lt;&gt;"",B171&lt;&gt;"",H250&lt;&gt;""),TRUE,FALSE)</f>
        <v>0</v>
      </c>
      <c r="B257" s="1669"/>
      <c r="D257" s="74" t="s">
        <v>1747</v>
      </c>
      <c r="H257" s="2527" t="str">
        <f>IF(B233&lt;&gt;"","",IF(NOT(A257),"X",""))</f>
        <v>X</v>
      </c>
      <c r="J257" s="24" t="s">
        <v>1614</v>
      </c>
      <c r="AA257" s="3169"/>
      <c r="AB257" s="3169"/>
      <c r="AC257" s="3169"/>
      <c r="AD257" s="3169"/>
      <c r="AE257" s="3169"/>
      <c r="AF257" s="3169"/>
      <c r="AG257" s="3169"/>
      <c r="AH257" s="3169"/>
      <c r="AI257" s="3169"/>
      <c r="AJ257" s="3169"/>
      <c r="AK257" s="3169"/>
      <c r="AL257" s="3169"/>
      <c r="AN257" s="3186"/>
      <c r="AO257" s="3186"/>
      <c r="AP257" s="3169"/>
      <c r="AQ257" s="3169"/>
      <c r="AR257" s="3169"/>
      <c r="AS257" s="3169"/>
      <c r="AT257" s="3169"/>
      <c r="AU257" s="3169"/>
      <c r="AV257" s="3169"/>
    </row>
    <row r="258" spans="1:48">
      <c r="D258" s="74" t="s">
        <v>1746</v>
      </c>
      <c r="AA258" s="3169"/>
      <c r="AB258" s="3169"/>
      <c r="AC258" s="3169"/>
      <c r="AD258" s="3169"/>
      <c r="AE258" s="3169"/>
      <c r="AF258" s="3169"/>
      <c r="AG258" s="3169"/>
      <c r="AH258" s="3169"/>
      <c r="AI258" s="3169"/>
      <c r="AJ258" s="3169"/>
      <c r="AK258" s="3169"/>
      <c r="AL258" s="3169"/>
      <c r="AN258" s="3186"/>
      <c r="AO258" s="3186"/>
      <c r="AP258" s="3169"/>
      <c r="AQ258" s="3169"/>
      <c r="AR258" s="3169"/>
      <c r="AS258" s="3169"/>
      <c r="AT258" s="3169"/>
      <c r="AU258" s="3169"/>
      <c r="AV258" s="3169"/>
    </row>
    <row r="259" spans="1:48">
      <c r="AA259" s="3169"/>
      <c r="AB259" s="3169"/>
      <c r="AC259" s="3169"/>
      <c r="AD259" s="3169"/>
      <c r="AE259" s="3169"/>
      <c r="AF259" s="3169"/>
      <c r="AG259" s="3169"/>
      <c r="AH259" s="3169"/>
      <c r="AI259" s="3169"/>
      <c r="AJ259" s="3169"/>
      <c r="AK259" s="3169"/>
      <c r="AL259" s="3169"/>
      <c r="AN259" s="3186"/>
      <c r="AO259" s="3186"/>
      <c r="AP259" s="3169"/>
      <c r="AQ259" s="3169"/>
      <c r="AR259" s="3169"/>
      <c r="AS259" s="3169"/>
      <c r="AT259" s="3169"/>
      <c r="AU259" s="3169"/>
      <c r="AV259" s="3169"/>
    </row>
    <row r="260" spans="1:48" s="2164" customFormat="1">
      <c r="B260" s="2163"/>
      <c r="N260" s="2165"/>
      <c r="AA260" s="3187"/>
      <c r="AB260" s="3187"/>
      <c r="AC260" s="3187"/>
      <c r="AD260" s="3187"/>
      <c r="AE260" s="3187"/>
      <c r="AF260" s="3187"/>
      <c r="AG260" s="3187"/>
      <c r="AH260" s="3187"/>
      <c r="AI260" s="3187"/>
      <c r="AJ260" s="3187"/>
      <c r="AK260" s="3187"/>
      <c r="AL260" s="3187"/>
      <c r="AN260" s="3188"/>
      <c r="AO260" s="3188"/>
      <c r="AP260" s="3187"/>
      <c r="AQ260" s="3187"/>
      <c r="AR260" s="3187"/>
      <c r="AS260" s="3187"/>
      <c r="AT260" s="3187"/>
      <c r="AU260" s="3187"/>
      <c r="AV260" s="3187"/>
    </row>
    <row r="261" spans="1:48" s="137" customFormat="1" ht="15.75">
      <c r="A261" s="2157" t="str">
        <f>"Worksheet A  —  "&amp;TaxYear&amp;" EIC  —  Line 17a"</f>
        <v>Worksheet A  —  2018 EIC  —  Line 17a</v>
      </c>
      <c r="B261" s="2157"/>
      <c r="C261" s="2157"/>
      <c r="N261" s="2158"/>
      <c r="AA261" s="3184"/>
      <c r="AB261" s="3184"/>
      <c r="AC261" s="3184"/>
      <c r="AD261" s="3184"/>
      <c r="AE261" s="3184"/>
      <c r="AF261" s="3184"/>
      <c r="AG261" s="3184"/>
      <c r="AH261" s="3184"/>
      <c r="AI261" s="3184"/>
      <c r="AJ261" s="3184"/>
      <c r="AK261" s="3184"/>
      <c r="AL261" s="3184"/>
      <c r="AN261" s="3185"/>
      <c r="AO261" s="3185"/>
      <c r="AP261" s="3184"/>
      <c r="AQ261" s="3184"/>
      <c r="AR261" s="3184"/>
      <c r="AS261" s="3184"/>
      <c r="AT261" s="3184"/>
      <c r="AU261" s="3184"/>
      <c r="AV261" s="3184"/>
    </row>
    <row r="262" spans="1:48" s="137" customFormat="1" ht="15.75">
      <c r="A262" s="2157"/>
      <c r="B262" s="2157"/>
      <c r="C262" s="2157"/>
      <c r="N262" s="2158"/>
      <c r="AA262" s="3184"/>
      <c r="AB262" s="3184"/>
      <c r="AC262" s="3184"/>
      <c r="AD262" s="3184"/>
      <c r="AE262" s="3184"/>
      <c r="AF262" s="3184"/>
      <c r="AG262" s="3184"/>
      <c r="AH262" s="3184"/>
      <c r="AI262" s="3184"/>
      <c r="AJ262" s="3184"/>
      <c r="AK262" s="3184"/>
      <c r="AL262" s="3184"/>
      <c r="AN262" s="3185"/>
      <c r="AO262" s="3185"/>
      <c r="AP262" s="3184"/>
      <c r="AQ262" s="3184"/>
      <c r="AR262" s="3184"/>
      <c r="AS262" s="3184"/>
      <c r="AT262" s="3184"/>
      <c r="AU262" s="3184"/>
      <c r="AV262" s="3184"/>
    </row>
    <row r="263" spans="1:48" s="137" customFormat="1" ht="15.75">
      <c r="A263" s="2182" t="s">
        <v>1752</v>
      </c>
      <c r="B263" s="2157" t="s">
        <v>1751</v>
      </c>
      <c r="C263" s="2157"/>
      <c r="N263" s="2158"/>
      <c r="AA263" s="3184"/>
      <c r="AB263" s="3184"/>
      <c r="AC263" s="3184"/>
      <c r="AD263" s="3184"/>
      <c r="AE263" s="3184"/>
      <c r="AF263" s="3184"/>
      <c r="AG263" s="3184"/>
      <c r="AH263" s="3184"/>
      <c r="AI263" s="3184"/>
      <c r="AJ263" s="3184"/>
      <c r="AK263" s="3184"/>
      <c r="AL263" s="3184"/>
      <c r="AN263" s="3185"/>
      <c r="AO263" s="3185"/>
      <c r="AP263" s="3184"/>
      <c r="AQ263" s="3184"/>
      <c r="AR263" s="3184"/>
      <c r="AS263" s="3184"/>
      <c r="AT263" s="3184"/>
      <c r="AU263" s="3184"/>
      <c r="AV263" s="3184"/>
    </row>
    <row r="264" spans="1:48">
      <c r="AA264" s="3169"/>
      <c r="AB264" s="3169"/>
      <c r="AC264" s="3169"/>
      <c r="AD264" s="3169"/>
      <c r="AE264" s="3169"/>
      <c r="AF264" s="3169"/>
      <c r="AG264" s="3169"/>
      <c r="AH264" s="3169"/>
      <c r="AI264" s="3169"/>
      <c r="AJ264" s="3169"/>
      <c r="AK264" s="3169"/>
      <c r="AL264" s="3169"/>
      <c r="AN264" s="3186"/>
      <c r="AO264" s="3186"/>
      <c r="AP264" s="3169"/>
      <c r="AQ264" s="3169"/>
      <c r="AR264" s="3169"/>
      <c r="AS264" s="3169"/>
      <c r="AT264" s="3169"/>
      <c r="AU264" s="3169"/>
      <c r="AV264" s="3169"/>
    </row>
    <row r="265" spans="1:48">
      <c r="B265" s="2527" t="str">
        <f>IF($H$250="X","",IF(AND($H$233&lt;&gt;"",$H$257&lt;&gt;""),"X",""))</f>
        <v/>
      </c>
      <c r="D265" s="74" t="s">
        <v>4401</v>
      </c>
      <c r="AA265" s="3169"/>
      <c r="AB265" s="3169"/>
      <c r="AC265" s="3169"/>
      <c r="AD265" s="3169"/>
      <c r="AE265" s="3169"/>
      <c r="AF265" s="3169"/>
      <c r="AG265" s="3169"/>
      <c r="AH265" s="3169"/>
      <c r="AI265" s="3169"/>
      <c r="AJ265" s="3169"/>
      <c r="AK265" s="3169"/>
      <c r="AL265" s="3169"/>
      <c r="AN265" s="3186"/>
      <c r="AO265" s="3186"/>
      <c r="AP265" s="3169"/>
      <c r="AQ265" s="3169"/>
      <c r="AR265" s="3169"/>
      <c r="AS265" s="3169"/>
      <c r="AT265" s="3169"/>
      <c r="AU265" s="3169"/>
      <c r="AV265" s="3169"/>
    </row>
    <row r="266" spans="1:48">
      <c r="D266" s="74" t="s">
        <v>1753</v>
      </c>
      <c r="AA266" s="3169"/>
      <c r="AB266" s="3169"/>
      <c r="AC266" s="3169"/>
      <c r="AD266" s="3169"/>
      <c r="AE266" s="3169"/>
      <c r="AF266" s="3169"/>
      <c r="AG266" s="3169"/>
      <c r="AH266" s="3169"/>
      <c r="AI266" s="3169"/>
      <c r="AJ266" s="3169"/>
      <c r="AK266" s="3169"/>
      <c r="AL266" s="3169"/>
      <c r="AN266" s="3186"/>
      <c r="AO266" s="3186"/>
      <c r="AP266" s="3169"/>
      <c r="AQ266" s="3169"/>
      <c r="AR266" s="3169"/>
      <c r="AS266" s="3169"/>
      <c r="AT266" s="3169"/>
      <c r="AU266" s="3169"/>
      <c r="AV266" s="3169"/>
    </row>
    <row r="267" spans="1:48">
      <c r="D267" s="74" t="s">
        <v>1754</v>
      </c>
      <c r="AA267" s="3169"/>
      <c r="AB267" s="3169"/>
      <c r="AC267" s="3169"/>
      <c r="AD267" s="3169"/>
      <c r="AE267" s="3169"/>
      <c r="AF267" s="3169"/>
      <c r="AG267" s="3169"/>
      <c r="AH267" s="3169"/>
      <c r="AI267" s="3169"/>
      <c r="AJ267" s="3169"/>
      <c r="AK267" s="3169"/>
      <c r="AL267" s="3169"/>
      <c r="AN267" s="3186"/>
      <c r="AO267" s="3186"/>
      <c r="AP267" s="3169"/>
      <c r="AQ267" s="3169"/>
      <c r="AR267" s="3169"/>
      <c r="AS267" s="3169"/>
      <c r="AT267" s="3169"/>
      <c r="AU267" s="3169"/>
      <c r="AV267" s="3169"/>
    </row>
    <row r="268" spans="1:48">
      <c r="AA268" s="3169"/>
      <c r="AB268" s="3169"/>
      <c r="AC268" s="3169"/>
      <c r="AD268" s="3169"/>
      <c r="AE268" s="3169"/>
      <c r="AF268" s="3169"/>
      <c r="AG268" s="3169"/>
      <c r="AH268" s="3169"/>
      <c r="AI268" s="3169"/>
      <c r="AJ268" s="3169"/>
      <c r="AK268" s="3169"/>
      <c r="AL268" s="3169"/>
      <c r="AN268" s="3186"/>
      <c r="AO268" s="3186"/>
      <c r="AP268" s="3169"/>
      <c r="AQ268" s="3169"/>
      <c r="AR268" s="3169"/>
      <c r="AS268" s="3169"/>
      <c r="AT268" s="3169"/>
      <c r="AU268" s="3169"/>
      <c r="AV268" s="3169"/>
    </row>
    <row r="269" spans="1:48">
      <c r="C269" s="2161" t="s">
        <v>336</v>
      </c>
      <c r="D269" s="74" t="s">
        <v>1755</v>
      </c>
      <c r="J269" s="2172" t="s">
        <v>336</v>
      </c>
      <c r="K269" s="2518" t="str">
        <f>IF(B265="","",EIC_EarnedIncome)</f>
        <v/>
      </c>
      <c r="AA269" s="3169"/>
      <c r="AB269" s="3169"/>
      <c r="AC269" s="3169"/>
      <c r="AD269" s="3169"/>
      <c r="AE269" s="3169"/>
      <c r="AF269" s="3169"/>
      <c r="AG269" s="3169"/>
      <c r="AH269" s="3169"/>
      <c r="AI269" s="3169"/>
      <c r="AJ269" s="3169"/>
      <c r="AK269" s="3169"/>
      <c r="AL269" s="3169"/>
      <c r="AN269" s="3186"/>
      <c r="AO269" s="3186"/>
      <c r="AP269" s="3169"/>
      <c r="AQ269" s="3169"/>
      <c r="AR269" s="3169"/>
      <c r="AS269" s="3169"/>
      <c r="AT269" s="3169"/>
      <c r="AU269" s="3169"/>
      <c r="AV269" s="3169"/>
    </row>
    <row r="270" spans="1:48" ht="13.5" thickBot="1">
      <c r="AA270" s="3169"/>
      <c r="AB270" s="3169"/>
      <c r="AC270" s="3169"/>
      <c r="AD270" s="3169"/>
      <c r="AE270" s="3169"/>
      <c r="AF270" s="3169"/>
      <c r="AG270" s="3169"/>
      <c r="AH270" s="3169"/>
      <c r="AI270" s="3169"/>
      <c r="AJ270" s="3169"/>
      <c r="AK270" s="3169"/>
      <c r="AL270" s="3169"/>
      <c r="AN270" s="3175" t="s">
        <v>1760</v>
      </c>
      <c r="AO270" s="3186"/>
      <c r="AP270" s="3169"/>
      <c r="AQ270" s="3169"/>
      <c r="AR270" s="3169"/>
      <c r="AS270" s="3169"/>
      <c r="AT270" s="3169"/>
      <c r="AU270" s="3169"/>
      <c r="AV270" s="3169"/>
    </row>
    <row r="271" spans="1:48">
      <c r="C271" s="2161" t="s">
        <v>0</v>
      </c>
      <c r="D271" s="74" t="s">
        <v>1756</v>
      </c>
      <c r="K271" s="2172" t="s">
        <v>0</v>
      </c>
      <c r="L271" s="2518" t="str">
        <f>IF(B265="","",IF(ISERROR(AN275),0,AN275))</f>
        <v/>
      </c>
      <c r="AA271" s="3169"/>
      <c r="AB271" s="3169"/>
      <c r="AC271" s="3169"/>
      <c r="AD271" s="3169"/>
      <c r="AE271" s="3169"/>
      <c r="AF271" s="3169"/>
      <c r="AG271" s="3169"/>
      <c r="AH271" s="3169"/>
      <c r="AI271" s="3169"/>
      <c r="AJ271" s="3169"/>
      <c r="AK271" s="3169"/>
      <c r="AL271" s="3169"/>
      <c r="AN271" s="3190">
        <f>EIC_EarnedIncome</f>
        <v>0</v>
      </c>
      <c r="AO271" s="5824" t="s">
        <v>1615</v>
      </c>
      <c r="AP271" s="5825"/>
      <c r="AQ271" s="5824" t="s">
        <v>1616</v>
      </c>
      <c r="AR271" s="5825"/>
      <c r="AS271" s="5824" t="s">
        <v>1763</v>
      </c>
      <c r="AT271" s="5825"/>
      <c r="AU271" s="5824" t="s">
        <v>1764</v>
      </c>
      <c r="AV271" s="5825"/>
    </row>
    <row r="272" spans="1:48">
      <c r="D272" s="74" t="s">
        <v>1757</v>
      </c>
      <c r="AA272" s="3169"/>
      <c r="AB272" s="3169"/>
      <c r="AC272" s="3169"/>
      <c r="AD272" s="3169"/>
      <c r="AE272" s="3169"/>
      <c r="AF272" s="3169"/>
      <c r="AG272" s="3169"/>
      <c r="AH272" s="3169"/>
      <c r="AI272" s="3169"/>
      <c r="AJ272" s="3169"/>
      <c r="AK272" s="3169"/>
      <c r="AL272" s="3169"/>
      <c r="AN272" s="3191">
        <f>IF(AN271&lt;&gt;"",ROUND(AN271,0),"")</f>
        <v>0</v>
      </c>
      <c r="AO272" s="3192" t="s">
        <v>1427</v>
      </c>
      <c r="AP272" s="3193" t="s">
        <v>1617</v>
      </c>
      <c r="AQ272" s="3192" t="s">
        <v>1427</v>
      </c>
      <c r="AR272" s="3193" t="s">
        <v>1617</v>
      </c>
      <c r="AS272" s="3192" t="s">
        <v>1427</v>
      </c>
      <c r="AT272" s="3194" t="s">
        <v>1617</v>
      </c>
      <c r="AU272" s="3192" t="s">
        <v>1427</v>
      </c>
      <c r="AV272" s="3194" t="s">
        <v>1617</v>
      </c>
    </row>
    <row r="273" spans="1:48">
      <c r="D273" s="74" t="s">
        <v>1758</v>
      </c>
      <c r="AA273" s="3169"/>
      <c r="AB273" s="3169"/>
      <c r="AC273" s="3169"/>
      <c r="AD273" s="3169"/>
      <c r="AE273" s="3169"/>
      <c r="AF273" s="3169"/>
      <c r="AG273" s="3169"/>
      <c r="AH273" s="3169"/>
      <c r="AI273" s="3169"/>
      <c r="AJ273" s="3169"/>
      <c r="AK273" s="3169"/>
      <c r="AL273" s="3169"/>
      <c r="AN273" s="3191"/>
      <c r="AO273" s="3195">
        <f>IF(ISERROR(LOOKUP(AN274,'EIC Table'!$A$3:$A$1099,'EIC Table'!$C$3:$C$1099)),0,LOOKUP(AN274,'EIC Table'!$A$3:$A$1099,'EIC Table'!$C$3:$C$1099))</f>
        <v>0</v>
      </c>
      <c r="AP273" s="3196">
        <f>IF(ISERROR(LOOKUP(AN274,'EIC Table'!$A$3:$A$1099,'EIC Table'!$G$3:$G$1099)),0,LOOKUP(AN274,'EIC Table'!$A$3:$A$1099,'EIC Table'!$G$3:$G$1099))</f>
        <v>0</v>
      </c>
      <c r="AQ273" s="3195">
        <f>IF(ISERROR(LOOKUP(AN274,'EIC Table'!$A$3:$A$1099,'EIC Table'!$D$3:$D$1099)),0,LOOKUP(AN274,'EIC Table'!$A$3:$A$1099,'EIC Table'!$D$3:$D$1099))</f>
        <v>0</v>
      </c>
      <c r="AR273" s="3196">
        <f>IF(ISERROR(LOOKUP(AN274,'EIC Table'!$A$3:$A$1099,'EIC Table'!$H$3:$H$1099)),0,LOOKUP(AN274,'EIC Table'!$A$3:$A$1099,'EIC Table'!$H$3:$H$1099))</f>
        <v>0</v>
      </c>
      <c r="AS273" s="3197">
        <f>IF(ISERROR(LOOKUP(AN274,'EIC Table'!$A$3:$A$1099,'EIC Table'!$E$3:$E$1099)),0,LOOKUP(AN274,'EIC Table'!$A$3:$A$1099,'EIC Table'!$E$3:$E$1099))</f>
        <v>0</v>
      </c>
      <c r="AT273" s="3196">
        <f>IF(ISERROR(LOOKUP(AN274,'EIC Table'!$A$3:$A$1099,'EIC Table'!$I$3:$I$1099)),0,LOOKUP(AN274,'EIC Table'!$A$3:$A$1099,'EIC Table'!$I$3:$I$1099))</f>
        <v>0</v>
      </c>
      <c r="AU273" s="3197">
        <f>IF(ISERROR(LOOKUP(AN274,'EIC Table'!$A$3:$A$1099,'EIC Table'!$F$3:$F$1099)),0,LOOKUP(AN274,'EIC Table'!$A$3:$A$1099,'EIC Table'!$F$3:$F$1099))</f>
        <v>0</v>
      </c>
      <c r="AV273" s="3196">
        <f>IF(ISERROR(LOOKUP(AN274,'EIC Table'!$A$3:$A$1099,'EIC Table'!$J$3:$J$1099)),0,LOOKUP(AN274,'EIC Table'!$A$3:$A$1099,'EIC Table'!$J$3:$J$1099))</f>
        <v>0</v>
      </c>
    </row>
    <row r="274" spans="1:48" ht="13.5" thickBot="1">
      <c r="D274" s="74" t="s">
        <v>1759</v>
      </c>
      <c r="AA274" s="3169"/>
      <c r="AB274" s="3169"/>
      <c r="AC274" s="3169"/>
      <c r="AD274" s="3169"/>
      <c r="AE274" s="3169"/>
      <c r="AF274" s="3169"/>
      <c r="AG274" s="3169"/>
      <c r="AH274" s="3169"/>
      <c r="AI274" s="3169"/>
      <c r="AJ274" s="3169"/>
      <c r="AK274" s="3169"/>
      <c r="AL274" s="3169"/>
      <c r="AN274" s="3191">
        <f>IF(AN272="","",AN272)</f>
        <v>0</v>
      </c>
      <c r="AO274" s="3195"/>
      <c r="AP274" s="3196"/>
      <c r="AQ274" s="3195"/>
      <c r="AR274" s="3196"/>
      <c r="AS274" s="3197"/>
      <c r="AT274" s="3196"/>
      <c r="AU274" s="3197"/>
      <c r="AV274" s="3196"/>
    </row>
    <row r="275" spans="1:48" ht="13.5" thickBot="1">
      <c r="D275" s="74" t="s">
        <v>4018</v>
      </c>
      <c r="L275" s="1440" t="b">
        <f>IF(OR(L271="",L271&lt;&gt;0),FALSE,TRUE)</f>
        <v>0</v>
      </c>
      <c r="AA275" s="3169"/>
      <c r="AB275" s="3169"/>
      <c r="AC275" s="3169"/>
      <c r="AD275" s="3169"/>
      <c r="AE275" s="3169"/>
      <c r="AF275" s="3169"/>
      <c r="AG275" s="3169"/>
      <c r="AH275" s="3169"/>
      <c r="AI275" s="3169"/>
      <c r="AJ275" s="3169"/>
      <c r="AK275" s="3169"/>
      <c r="AL275" s="3169"/>
      <c r="AN275" s="3198">
        <f>IF(EICNumQualChild&gt;2,AV275,IF(EICNumQualChild=2,AT275,IF(EICNumQualChild=1,AR275,AP275)))</f>
        <v>0</v>
      </c>
      <c r="AO275" s="3199"/>
      <c r="AP275" s="3200">
        <f>IF(File_Marr_Joint&lt;&gt;"",AP273,AO273)</f>
        <v>0</v>
      </c>
      <c r="AQ275" s="3199"/>
      <c r="AR275" s="3200">
        <f>IF(File_Marr_Joint&lt;&gt;"",AR273,AQ273)</f>
        <v>0</v>
      </c>
      <c r="AS275" s="3201"/>
      <c r="AT275" s="3200">
        <f>IF(File_Marr_Joint&lt;&gt;"",AT273,AS273)</f>
        <v>0</v>
      </c>
      <c r="AU275" s="3201"/>
      <c r="AV275" s="3200">
        <f>IF(File_Marr_Joint&lt;&gt;"",AV273,AU273)</f>
        <v>0</v>
      </c>
    </row>
    <row r="276" spans="1:48">
      <c r="D276" s="74" t="s">
        <v>4390</v>
      </c>
      <c r="AA276" s="3169"/>
      <c r="AB276" s="3169"/>
      <c r="AC276" s="3169"/>
      <c r="AD276" s="3169"/>
      <c r="AE276" s="3169"/>
      <c r="AF276" s="3169"/>
      <c r="AG276" s="3169"/>
      <c r="AH276" s="3169"/>
      <c r="AI276" s="3169"/>
      <c r="AJ276" s="3169"/>
      <c r="AK276" s="3169"/>
      <c r="AL276" s="3169"/>
      <c r="AN276" s="3186"/>
      <c r="AO276" s="3186"/>
      <c r="AP276" s="3169"/>
      <c r="AQ276" s="3169"/>
      <c r="AR276" s="3169"/>
      <c r="AS276" s="3169"/>
      <c r="AT276" s="3169"/>
      <c r="AU276" s="3169"/>
      <c r="AV276" s="3169"/>
    </row>
    <row r="277" spans="1:48">
      <c r="AA277" s="3169"/>
      <c r="AB277" s="3169"/>
      <c r="AC277" s="3169"/>
      <c r="AD277" s="3169"/>
      <c r="AE277" s="3169"/>
      <c r="AF277" s="3169"/>
      <c r="AG277" s="3169"/>
      <c r="AH277" s="3169"/>
      <c r="AI277" s="3169"/>
      <c r="AJ277" s="3169"/>
      <c r="AK277" s="3169"/>
      <c r="AL277" s="3169"/>
      <c r="AN277" s="3186"/>
      <c r="AO277" s="3186"/>
      <c r="AP277" s="3169"/>
      <c r="AQ277" s="3169"/>
      <c r="AR277" s="3169"/>
      <c r="AS277" s="3169"/>
      <c r="AT277" s="3169"/>
      <c r="AU277" s="3169"/>
      <c r="AV277" s="3169"/>
    </row>
    <row r="278" spans="1:48">
      <c r="C278" s="2161" t="s">
        <v>1</v>
      </c>
      <c r="D278" s="74" t="s">
        <v>4019</v>
      </c>
      <c r="J278" s="2172" t="s">
        <v>1</v>
      </c>
      <c r="K278" s="2518" t="str">
        <f>IF(OR(L271=0,B265=""),"",Adj_Gross_Inc)</f>
        <v/>
      </c>
      <c r="AA278" s="3169"/>
      <c r="AB278" s="3169"/>
      <c r="AC278" s="3169"/>
      <c r="AD278" s="3169"/>
      <c r="AE278" s="3169"/>
      <c r="AF278" s="3169"/>
      <c r="AG278" s="3169"/>
      <c r="AH278" s="3169"/>
      <c r="AI278" s="3169"/>
      <c r="AJ278" s="3169"/>
      <c r="AK278" s="3169"/>
      <c r="AL278" s="3169"/>
      <c r="AN278" s="3186"/>
      <c r="AO278" s="3186"/>
      <c r="AP278" s="3169"/>
      <c r="AQ278" s="3169"/>
      <c r="AR278" s="3169"/>
      <c r="AS278" s="3169"/>
      <c r="AT278" s="3169"/>
      <c r="AU278" s="3169"/>
      <c r="AV278" s="3169"/>
    </row>
    <row r="279" spans="1:48">
      <c r="AA279" s="3169"/>
      <c r="AB279" s="3169"/>
      <c r="AC279" s="3169"/>
      <c r="AD279" s="3169"/>
      <c r="AE279" s="3169"/>
      <c r="AF279" s="3169"/>
      <c r="AG279" s="3169"/>
      <c r="AH279" s="3169"/>
      <c r="AI279" s="3169"/>
      <c r="AJ279" s="3169"/>
      <c r="AK279" s="3169"/>
      <c r="AL279" s="3169"/>
      <c r="AN279" s="3186"/>
      <c r="AO279" s="3186"/>
      <c r="AP279" s="3169"/>
      <c r="AQ279" s="3169"/>
      <c r="AR279" s="3169"/>
      <c r="AS279" s="3169"/>
      <c r="AT279" s="3169"/>
      <c r="AU279" s="3169"/>
      <c r="AV279" s="3169"/>
    </row>
    <row r="280" spans="1:48">
      <c r="C280" s="2161" t="s">
        <v>455</v>
      </c>
      <c r="D280" s="24" t="s">
        <v>1618</v>
      </c>
      <c r="AA280" s="3169"/>
      <c r="AB280" s="3169"/>
      <c r="AC280" s="3169"/>
      <c r="AD280" s="3169"/>
      <c r="AE280" s="3169"/>
      <c r="AF280" s="3169"/>
      <c r="AG280" s="3169"/>
      <c r="AH280" s="3169"/>
      <c r="AI280" s="3169"/>
      <c r="AJ280" s="3169"/>
      <c r="AK280" s="3169"/>
      <c r="AL280" s="3169"/>
      <c r="AN280" s="3186"/>
      <c r="AO280" s="3186"/>
      <c r="AP280" s="3169"/>
      <c r="AQ280" s="3169"/>
      <c r="AR280" s="3169"/>
      <c r="AS280" s="3169"/>
      <c r="AT280" s="3169"/>
      <c r="AU280" s="3169"/>
      <c r="AV280" s="3169"/>
    </row>
    <row r="281" spans="1:48">
      <c r="AA281" s="3169"/>
      <c r="AB281" s="3169"/>
      <c r="AC281" s="3169"/>
      <c r="AD281" s="3169"/>
      <c r="AE281" s="3169"/>
      <c r="AF281" s="3169"/>
      <c r="AG281" s="3169"/>
      <c r="AH281" s="3169"/>
      <c r="AI281" s="3169"/>
      <c r="AJ281" s="3169"/>
      <c r="AK281" s="3169"/>
      <c r="AL281" s="3169"/>
      <c r="AN281" s="3186"/>
      <c r="AO281" s="3186"/>
      <c r="AP281" s="3169"/>
      <c r="AQ281" s="3169"/>
      <c r="AR281" s="3169"/>
      <c r="AS281" s="3169"/>
      <c r="AT281" s="3169"/>
      <c r="AU281" s="3169"/>
      <c r="AV281" s="3169"/>
    </row>
    <row r="282" spans="1:48">
      <c r="B282" s="2527" t="str">
        <f>IF($B$265="","",IF(K278=K269,"X",""))</f>
        <v/>
      </c>
      <c r="D282" s="25" t="s">
        <v>1619</v>
      </c>
      <c r="AA282" s="3169"/>
      <c r="AB282" s="3169"/>
      <c r="AC282" s="3169"/>
      <c r="AD282" s="3169"/>
      <c r="AE282" s="3169"/>
      <c r="AF282" s="3169"/>
      <c r="AG282" s="3169"/>
      <c r="AH282" s="3169"/>
      <c r="AI282" s="3169"/>
      <c r="AJ282" s="3169"/>
      <c r="AK282" s="3169"/>
      <c r="AL282" s="3169"/>
      <c r="AN282" s="3186"/>
      <c r="AO282" s="3186"/>
      <c r="AP282" s="3169"/>
      <c r="AQ282" s="3169"/>
      <c r="AR282" s="3169"/>
      <c r="AS282" s="3169"/>
      <c r="AT282" s="3169"/>
      <c r="AU282" s="3169"/>
      <c r="AV282" s="3169"/>
    </row>
    <row r="283" spans="1:48">
      <c r="AA283" s="3169"/>
      <c r="AB283" s="3169"/>
      <c r="AC283" s="3169"/>
      <c r="AD283" s="3169"/>
      <c r="AE283" s="3169"/>
      <c r="AF283" s="3169"/>
      <c r="AG283" s="3169"/>
      <c r="AH283" s="3169"/>
      <c r="AI283" s="3169"/>
      <c r="AJ283" s="3169"/>
      <c r="AK283" s="3169"/>
      <c r="AL283" s="3169"/>
      <c r="AN283" s="3186"/>
      <c r="AO283" s="3186"/>
      <c r="AP283" s="3169"/>
      <c r="AQ283" s="3169"/>
      <c r="AR283" s="3169"/>
      <c r="AS283" s="3169"/>
      <c r="AT283" s="3169"/>
      <c r="AU283" s="3169"/>
      <c r="AV283" s="3169"/>
    </row>
    <row r="284" spans="1:48">
      <c r="B284" s="2527" t="str">
        <f>IF(OR(L271=0,$B$265=""),"",IF(K278=K269,"","X"))</f>
        <v/>
      </c>
      <c r="D284" s="25" t="s">
        <v>1620</v>
      </c>
      <c r="AA284" s="3169"/>
      <c r="AB284" s="3169"/>
      <c r="AC284" s="3169"/>
      <c r="AD284" s="3169"/>
      <c r="AE284" s="3169"/>
      <c r="AF284" s="3169"/>
      <c r="AG284" s="3169"/>
      <c r="AH284" s="3169"/>
      <c r="AI284" s="3169"/>
      <c r="AJ284" s="3169"/>
      <c r="AK284" s="3169"/>
      <c r="AL284" s="3169"/>
      <c r="AN284" s="3186"/>
      <c r="AO284" s="3186"/>
      <c r="AP284" s="3169"/>
      <c r="AQ284" s="3169"/>
      <c r="AR284" s="3169"/>
      <c r="AS284" s="3169"/>
      <c r="AT284" s="3169"/>
      <c r="AU284" s="3169"/>
      <c r="AV284" s="3169"/>
    </row>
    <row r="285" spans="1:48" ht="7.5" customHeight="1">
      <c r="AA285" s="3169"/>
      <c r="AB285" s="3169"/>
      <c r="AC285" s="3169"/>
      <c r="AD285" s="3169"/>
      <c r="AE285" s="3169"/>
      <c r="AF285" s="3169"/>
      <c r="AG285" s="3169"/>
      <c r="AH285" s="3169"/>
      <c r="AI285" s="3169"/>
      <c r="AJ285" s="3169"/>
      <c r="AK285" s="3169"/>
      <c r="AL285" s="3169"/>
      <c r="AN285" s="3186"/>
      <c r="AO285" s="3186"/>
      <c r="AP285" s="3169"/>
      <c r="AQ285" s="3169"/>
      <c r="AR285" s="3169"/>
      <c r="AS285" s="3169"/>
      <c r="AT285" s="3169"/>
      <c r="AU285" s="3169"/>
      <c r="AV285" s="3169"/>
    </row>
    <row r="286" spans="1:48" s="2164" customFormat="1" ht="7.5" customHeight="1">
      <c r="B286" s="2163"/>
      <c r="N286" s="2165"/>
      <c r="AA286" s="3187"/>
      <c r="AB286" s="3187"/>
      <c r="AC286" s="3187"/>
      <c r="AD286" s="3187"/>
      <c r="AE286" s="3187"/>
      <c r="AF286" s="3187"/>
      <c r="AG286" s="3187"/>
      <c r="AH286" s="3187"/>
      <c r="AI286" s="3187"/>
      <c r="AJ286" s="3187"/>
      <c r="AK286" s="3187"/>
      <c r="AL286" s="3187"/>
      <c r="AN286" s="3188"/>
      <c r="AO286" s="3188"/>
      <c r="AP286" s="3187"/>
      <c r="AQ286" s="3187"/>
      <c r="AR286" s="3187"/>
      <c r="AS286" s="3187"/>
      <c r="AT286" s="3187"/>
      <c r="AU286" s="3187"/>
      <c r="AV286" s="3187"/>
    </row>
    <row r="287" spans="1:48" s="137" customFormat="1" ht="16.5" customHeight="1">
      <c r="A287" s="2182" t="s">
        <v>1766</v>
      </c>
      <c r="B287" s="2198" t="s">
        <v>1765</v>
      </c>
      <c r="C287" s="2157"/>
      <c r="N287" s="2158"/>
      <c r="AA287" s="3184"/>
      <c r="AB287" s="3184"/>
      <c r="AC287" s="3184"/>
      <c r="AD287" s="3184"/>
      <c r="AE287" s="3184"/>
      <c r="AF287" s="3184"/>
      <c r="AG287" s="3184"/>
      <c r="AH287" s="3184"/>
      <c r="AI287" s="3184"/>
      <c r="AJ287" s="3184"/>
      <c r="AK287" s="3184"/>
      <c r="AL287" s="3184"/>
      <c r="AN287" s="3185"/>
      <c r="AO287" s="3185"/>
      <c r="AP287" s="3184"/>
      <c r="AQ287" s="3184"/>
      <c r="AR287" s="3184"/>
      <c r="AS287" s="3184"/>
      <c r="AT287" s="3184"/>
      <c r="AU287" s="3184"/>
      <c r="AV287" s="3184"/>
    </row>
    <row r="288" spans="1:48">
      <c r="AA288" s="3169"/>
      <c r="AB288" s="3169"/>
      <c r="AC288" s="3169"/>
      <c r="AD288" s="3169"/>
      <c r="AE288" s="3169"/>
      <c r="AF288" s="3169"/>
      <c r="AG288" s="3169"/>
      <c r="AH288" s="3169"/>
      <c r="AI288" s="3169"/>
      <c r="AJ288" s="3169"/>
      <c r="AK288" s="3169"/>
      <c r="AL288" s="3169"/>
      <c r="AN288" s="3186"/>
      <c r="AO288" s="3186"/>
      <c r="AP288" s="3169"/>
      <c r="AQ288" s="3169"/>
      <c r="AR288" s="3169"/>
      <c r="AS288" s="3169"/>
      <c r="AT288" s="3169"/>
      <c r="AU288" s="3169"/>
      <c r="AV288" s="3169"/>
    </row>
    <row r="289" spans="2:48">
      <c r="C289" s="2161" t="s">
        <v>35</v>
      </c>
      <c r="D289" s="24" t="s">
        <v>1621</v>
      </c>
      <c r="AA289" s="3169"/>
      <c r="AB289" s="3169"/>
      <c r="AC289" s="3169"/>
      <c r="AD289" s="3169"/>
      <c r="AE289" s="3169"/>
      <c r="AF289" s="3169"/>
      <c r="AG289" s="3169"/>
      <c r="AH289" s="3169"/>
      <c r="AI289" s="3169"/>
      <c r="AJ289" s="3169"/>
      <c r="AK289" s="3169"/>
      <c r="AL289" s="3169"/>
      <c r="AN289" s="3186"/>
      <c r="AO289" s="3186"/>
      <c r="AP289" s="3169"/>
      <c r="AQ289" s="3169"/>
      <c r="AR289" s="3169"/>
      <c r="AS289" s="3169"/>
      <c r="AT289" s="3169"/>
      <c r="AU289" s="3169"/>
      <c r="AV289" s="3169"/>
    </row>
    <row r="290" spans="2:48">
      <c r="B290" s="2278" t="str">
        <f>IF(OR($H$250="X",$B$265="",$B$284=""),"",IF(EICNumQualChild=0,"®",""))</f>
        <v/>
      </c>
      <c r="C290" s="140" t="s">
        <v>1600</v>
      </c>
      <c r="D290" s="74" t="s">
        <v>1612</v>
      </c>
      <c r="L290" s="464"/>
      <c r="N290" s="329">
        <v>8500</v>
      </c>
      <c r="AA290" s="3169"/>
      <c r="AB290" s="3169"/>
      <c r="AC290" s="3169"/>
      <c r="AD290" s="3169"/>
      <c r="AE290" s="3169"/>
      <c r="AF290" s="3169"/>
      <c r="AG290" s="3169"/>
      <c r="AH290" s="3169"/>
      <c r="AI290" s="3169"/>
      <c r="AJ290" s="3169"/>
      <c r="AK290" s="3169"/>
      <c r="AL290" s="3169"/>
      <c r="AN290" s="3186"/>
      <c r="AO290" s="3186"/>
      <c r="AP290" s="3169"/>
      <c r="AQ290" s="3169"/>
      <c r="AR290" s="3169"/>
      <c r="AS290" s="3169"/>
      <c r="AT290" s="3169"/>
      <c r="AU290" s="3169"/>
      <c r="AV290" s="3169"/>
    </row>
    <row r="291" spans="2:48">
      <c r="D291" s="24" t="str">
        <f>"Is the amount on line 3 less than "&amp;TEXT(N290,"$0,000")&amp;" ("&amp;TEXT(N291,"$0,000")&amp;" if married filing jointly)? "</f>
        <v xml:space="preserve">Is the amount on line 3 less than $8,500 ($14,200 if married filing jointly)? </v>
      </c>
      <c r="L291" s="43" t="str">
        <f>IF(B290&lt;&gt;"®","",IF(M291,"Yes","No"))</f>
        <v/>
      </c>
      <c r="M291" s="1440" t="b">
        <f>IF($H$250="X","",IF(OR(AND(File_Marr_Joint="",$K$278&lt;N290),AND(File_Marr_Joint&lt;&gt;"",$K$278&lt;N291)),TRUE,FALSE))</f>
        <v>0</v>
      </c>
      <c r="N291" s="329">
        <v>14200</v>
      </c>
      <c r="AA291" s="3169"/>
      <c r="AB291" s="3169"/>
      <c r="AC291" s="3169"/>
      <c r="AD291" s="3169"/>
      <c r="AE291" s="3169"/>
      <c r="AF291" s="3169"/>
      <c r="AG291" s="3169"/>
      <c r="AH291" s="3169"/>
      <c r="AI291" s="3169"/>
      <c r="AJ291" s="3169"/>
      <c r="AK291" s="3169"/>
      <c r="AL291" s="3169"/>
      <c r="AN291" s="3186"/>
      <c r="AO291" s="3186"/>
      <c r="AP291" s="3169"/>
      <c r="AQ291" s="3169"/>
      <c r="AR291" s="3169"/>
      <c r="AS291" s="3169"/>
      <c r="AT291" s="3169"/>
      <c r="AU291" s="3169"/>
      <c r="AV291" s="3169"/>
    </row>
    <row r="292" spans="2:48">
      <c r="C292" s="43" t="s">
        <v>274</v>
      </c>
      <c r="N292" s="329"/>
      <c r="AA292" s="3169"/>
      <c r="AB292" s="3169"/>
      <c r="AC292" s="3169"/>
      <c r="AD292" s="3169"/>
      <c r="AE292" s="3169"/>
      <c r="AF292" s="3169"/>
      <c r="AG292" s="3169"/>
      <c r="AH292" s="3169"/>
      <c r="AI292" s="3169"/>
      <c r="AJ292" s="3169"/>
      <c r="AK292" s="3169"/>
      <c r="AL292" s="3169"/>
      <c r="AN292" s="3186"/>
      <c r="AO292" s="3186"/>
      <c r="AP292" s="3169"/>
      <c r="AQ292" s="3169"/>
      <c r="AR292" s="3169"/>
      <c r="AS292" s="3169"/>
      <c r="AT292" s="3169"/>
      <c r="AU292" s="3169"/>
      <c r="AV292" s="3169"/>
    </row>
    <row r="293" spans="2:48" ht="14.25" customHeight="1">
      <c r="B293" s="2278" t="str">
        <f>IF(OR($H$250="X",$B$265="",$B$284=""),"",IF(EICNumQualChild&gt;0,"®",""))</f>
        <v/>
      </c>
      <c r="C293" s="140" t="s">
        <v>1600</v>
      </c>
      <c r="D293" s="74" t="s">
        <v>1971</v>
      </c>
      <c r="L293" s="464"/>
      <c r="N293" s="329">
        <v>18700</v>
      </c>
      <c r="AA293" s="3169"/>
      <c r="AB293" s="3169"/>
      <c r="AC293" s="3169"/>
      <c r="AD293" s="3169"/>
      <c r="AE293" s="3169"/>
      <c r="AF293" s="3169"/>
      <c r="AG293" s="3169"/>
      <c r="AH293" s="3169"/>
      <c r="AI293" s="3169"/>
      <c r="AJ293" s="3169"/>
      <c r="AK293" s="3169"/>
      <c r="AL293" s="3169"/>
      <c r="AN293" s="3186"/>
      <c r="AO293" s="3186"/>
      <c r="AP293" s="3169"/>
      <c r="AQ293" s="3169"/>
      <c r="AR293" s="3169"/>
      <c r="AS293" s="3169"/>
      <c r="AT293" s="3169"/>
      <c r="AU293" s="3169"/>
      <c r="AV293" s="3169"/>
    </row>
    <row r="294" spans="2:48">
      <c r="D294" s="24" t="str">
        <f>"Is the amount on line 3 less than "&amp;TEXT(N293,"$0,000")&amp;" ("&amp;TEXT(N294,"$0,000")&amp;" if married filing jointly)?"</f>
        <v>Is the amount on line 3 less than $18,700 ($24,350 if married filing jointly)?</v>
      </c>
      <c r="L294" s="43" t="str">
        <f>IF(B293&lt;&gt;"®","",IF(M294,"Yes","No"))</f>
        <v/>
      </c>
      <c r="M294" s="1440" t="b">
        <f>IF($H$250="X","",IF(OR(AND(File_Marr_Joint="",$K$278&lt;N293),AND(File_Marr_Joint&lt;&gt;"",$K$278&lt;N294)),TRUE,FALSE))</f>
        <v>0</v>
      </c>
      <c r="N294" s="329">
        <v>24350</v>
      </c>
      <c r="AA294" s="3169"/>
      <c r="AB294" s="3169"/>
      <c r="AC294" s="3169"/>
      <c r="AD294" s="3169"/>
      <c r="AE294" s="3169"/>
      <c r="AF294" s="3169"/>
      <c r="AG294" s="3169"/>
      <c r="AH294" s="3169"/>
      <c r="AI294" s="3169"/>
      <c r="AJ294" s="3169"/>
      <c r="AK294" s="3169"/>
      <c r="AL294" s="3169"/>
      <c r="AN294" s="3186"/>
      <c r="AO294" s="3186"/>
      <c r="AP294" s="3169"/>
      <c r="AQ294" s="3169"/>
      <c r="AR294" s="3169"/>
      <c r="AS294" s="3169"/>
      <c r="AT294" s="3169"/>
      <c r="AU294" s="3169"/>
      <c r="AV294" s="3169"/>
    </row>
    <row r="295" spans="2:48">
      <c r="AA295" s="3169"/>
      <c r="AB295" s="3169"/>
      <c r="AC295" s="3169"/>
      <c r="AD295" s="3169"/>
      <c r="AE295" s="3169"/>
      <c r="AF295" s="3169"/>
      <c r="AG295" s="3169"/>
      <c r="AH295" s="3169"/>
      <c r="AI295" s="3169"/>
      <c r="AJ295" s="3169"/>
      <c r="AK295" s="3169"/>
      <c r="AL295" s="3169"/>
      <c r="AN295" s="3186"/>
      <c r="AO295" s="3186"/>
      <c r="AP295" s="3169"/>
      <c r="AQ295" s="3169"/>
      <c r="AR295" s="3169"/>
      <c r="AS295" s="3169"/>
      <c r="AT295" s="3169"/>
      <c r="AU295" s="3169"/>
      <c r="AV295" s="3169"/>
    </row>
    <row r="296" spans="2:48">
      <c r="B296" s="2527" t="str">
        <f>IF(OR($B$265="",$B$284=""),"",IF(OR(AND(B290="®",M291),AND(B293="®",M294)),"X",""))</f>
        <v/>
      </c>
      <c r="D296" s="25" t="s">
        <v>1622</v>
      </c>
      <c r="AA296" s="3169"/>
      <c r="AB296" s="3169"/>
      <c r="AC296" s="3169"/>
      <c r="AD296" s="3169"/>
      <c r="AE296" s="3169"/>
      <c r="AF296" s="3169"/>
      <c r="AG296" s="3169"/>
      <c r="AH296" s="3169"/>
      <c r="AI296" s="3169"/>
      <c r="AJ296" s="3169"/>
      <c r="AK296" s="3169"/>
      <c r="AL296" s="3169"/>
      <c r="AN296" s="3186"/>
      <c r="AO296" s="3186"/>
      <c r="AP296" s="3169"/>
      <c r="AQ296" s="3169"/>
      <c r="AR296" s="3169"/>
      <c r="AS296" s="3169"/>
      <c r="AT296" s="3169"/>
      <c r="AU296" s="3169"/>
      <c r="AV296" s="3169"/>
    </row>
    <row r="297" spans="2:48" ht="13.5" thickBot="1">
      <c r="AA297" s="3169"/>
      <c r="AB297" s="3169"/>
      <c r="AC297" s="3169"/>
      <c r="AD297" s="3169"/>
      <c r="AE297" s="3169"/>
      <c r="AF297" s="3169"/>
      <c r="AG297" s="3169"/>
      <c r="AH297" s="3169"/>
      <c r="AI297" s="3169"/>
      <c r="AJ297" s="3169"/>
      <c r="AK297" s="3169"/>
      <c r="AL297" s="3169"/>
      <c r="AN297" s="3175" t="s">
        <v>1623</v>
      </c>
      <c r="AO297" s="3186"/>
      <c r="AP297" s="3169"/>
      <c r="AQ297" s="3169"/>
      <c r="AR297" s="3169"/>
      <c r="AS297" s="3169"/>
      <c r="AT297" s="3169"/>
      <c r="AU297" s="3169"/>
      <c r="AV297" s="3169"/>
    </row>
    <row r="298" spans="2:48">
      <c r="B298" s="2527" t="str">
        <f>IF(OR($H$250="X",$B$265="",$B$284=""),"",IF(OR(AND(B290="®",M291),AND(B293="®",M294)),"","X"))</f>
        <v/>
      </c>
      <c r="D298" s="25" t="s">
        <v>1769</v>
      </c>
      <c r="K298" s="2172"/>
      <c r="AA298" s="3169"/>
      <c r="AB298" s="3169"/>
      <c r="AC298" s="3169"/>
      <c r="AD298" s="3169"/>
      <c r="AE298" s="3169"/>
      <c r="AF298" s="3169"/>
      <c r="AG298" s="3169"/>
      <c r="AH298" s="3169"/>
      <c r="AI298" s="3169"/>
      <c r="AJ298" s="3169"/>
      <c r="AK298" s="3169"/>
      <c r="AL298" s="3169"/>
      <c r="AN298" s="3190">
        <f>Adj_Gross_Inc</f>
        <v>0</v>
      </c>
      <c r="AO298" s="5824" t="s">
        <v>1615</v>
      </c>
      <c r="AP298" s="5825"/>
      <c r="AQ298" s="5824" t="s">
        <v>1616</v>
      </c>
      <c r="AR298" s="5825"/>
      <c r="AS298" s="5824" t="s">
        <v>1763</v>
      </c>
      <c r="AT298" s="5825"/>
      <c r="AU298" s="5824" t="s">
        <v>1764</v>
      </c>
      <c r="AV298" s="5825"/>
    </row>
    <row r="299" spans="2:48">
      <c r="D299" s="74" t="s">
        <v>2651</v>
      </c>
      <c r="AA299" s="3169"/>
      <c r="AB299" s="3169"/>
      <c r="AC299" s="3169"/>
      <c r="AD299" s="3169"/>
      <c r="AE299" s="3169"/>
      <c r="AF299" s="3169"/>
      <c r="AG299" s="3169"/>
      <c r="AH299" s="3169"/>
      <c r="AI299" s="3169"/>
      <c r="AJ299" s="3169"/>
      <c r="AK299" s="3169"/>
      <c r="AL299" s="3169"/>
      <c r="AN299" s="3191">
        <f>IF(AN298&lt;&gt;"",ROUND(AN298,0),"")</f>
        <v>0</v>
      </c>
      <c r="AO299" s="3192" t="s">
        <v>1427</v>
      </c>
      <c r="AP299" s="3193" t="s">
        <v>1617</v>
      </c>
      <c r="AQ299" s="3192" t="s">
        <v>1427</v>
      </c>
      <c r="AR299" s="3193" t="s">
        <v>1617</v>
      </c>
      <c r="AS299" s="3192" t="s">
        <v>1427</v>
      </c>
      <c r="AT299" s="3194" t="s">
        <v>1617</v>
      </c>
      <c r="AU299" s="3192" t="s">
        <v>1427</v>
      </c>
      <c r="AV299" s="3194" t="s">
        <v>1617</v>
      </c>
    </row>
    <row r="300" spans="2:48">
      <c r="D300" s="74" t="s">
        <v>2653</v>
      </c>
      <c r="K300" s="2172"/>
      <c r="AA300" s="3169"/>
      <c r="AB300" s="3169"/>
      <c r="AC300" s="3169"/>
      <c r="AD300" s="3169"/>
      <c r="AE300" s="3169"/>
      <c r="AF300" s="3169"/>
      <c r="AG300" s="3169"/>
      <c r="AH300" s="3169"/>
      <c r="AI300" s="3169"/>
      <c r="AJ300" s="3169"/>
      <c r="AK300" s="3169"/>
      <c r="AL300" s="3169"/>
      <c r="AN300" s="3191"/>
      <c r="AO300" s="3195" t="e">
        <f>LOOKUP(AN301,'EIC Table'!$A$3:$A$1099,'EIC Table'!$C$3:$C$1099)</f>
        <v>#N/A</v>
      </c>
      <c r="AP300" s="3196" t="e">
        <f>LOOKUP(AN301,'EIC Table'!$A$3:$A$1099,'EIC Table'!$G$3:$G$1099)</f>
        <v>#N/A</v>
      </c>
      <c r="AQ300" s="3195" t="e">
        <f>LOOKUP(AN301,'EIC Table'!$A$3:$A$1099,'EIC Table'!$D$3:$D$1099)</f>
        <v>#N/A</v>
      </c>
      <c r="AR300" s="3196" t="e">
        <f>LOOKUP(AN301,'EIC Table'!$A$3:$A$1099,'EIC Table'!$H$3:$H$1099)</f>
        <v>#N/A</v>
      </c>
      <c r="AS300" s="3197" t="e">
        <f>LOOKUP(AN301,'EIC Table'!$A$3:$A$1099,'EIC Table'!$E$3:$E$1099)</f>
        <v>#N/A</v>
      </c>
      <c r="AT300" s="3196" t="e">
        <f>LOOKUP(AN301,'EIC Table'!$A$3:$A$1099,'EIC Table'!$I$3:$I$1099)</f>
        <v>#N/A</v>
      </c>
      <c r="AU300" s="3197" t="e">
        <f>LOOKUP(AN301,'EIC Table'!$A$3:$A$1099,'EIC Table'!$F$3:$F$1099)</f>
        <v>#N/A</v>
      </c>
      <c r="AV300" s="3196" t="e">
        <f>LOOKUP(AN301,'EIC Table'!$A$3:$A$1099,'EIC Table'!$J$3:$J$1099)</f>
        <v>#N/A</v>
      </c>
    </row>
    <row r="301" spans="2:48" ht="13.5" thickBot="1">
      <c r="D301" s="74" t="s">
        <v>2652</v>
      </c>
      <c r="K301" s="2172" t="s">
        <v>35</v>
      </c>
      <c r="L301" s="2518" t="str">
        <f>IF(B284="","",IF(B296&lt;&gt;"","",AN302))</f>
        <v/>
      </c>
      <c r="AA301" s="3169"/>
      <c r="AB301" s="3169"/>
      <c r="AC301" s="3169"/>
      <c r="AD301" s="3169"/>
      <c r="AE301" s="3169"/>
      <c r="AF301" s="3169"/>
      <c r="AG301" s="3169"/>
      <c r="AH301" s="3169"/>
      <c r="AI301" s="3169"/>
      <c r="AJ301" s="3169"/>
      <c r="AK301" s="3169"/>
      <c r="AL301" s="3169"/>
      <c r="AN301" s="3191">
        <f>IF(AN299="","",AN299)</f>
        <v>0</v>
      </c>
      <c r="AO301" s="3195"/>
      <c r="AP301" s="3196"/>
      <c r="AQ301" s="3195"/>
      <c r="AR301" s="3196"/>
      <c r="AS301" s="3197"/>
      <c r="AT301" s="3196"/>
      <c r="AU301" s="3197"/>
      <c r="AV301" s="3196"/>
    </row>
    <row r="302" spans="2:48" ht="13.5" thickBot="1">
      <c r="D302" s="24" t="s">
        <v>1624</v>
      </c>
      <c r="AA302" s="3169"/>
      <c r="AB302" s="3169"/>
      <c r="AC302" s="3169"/>
      <c r="AD302" s="3169"/>
      <c r="AE302" s="3169"/>
      <c r="AF302" s="3169"/>
      <c r="AG302" s="3169"/>
      <c r="AH302" s="3169"/>
      <c r="AI302" s="3169"/>
      <c r="AJ302" s="3169"/>
      <c r="AK302" s="3169"/>
      <c r="AL302" s="3169"/>
      <c r="AN302" s="3198" t="e">
        <f>IF(EICNumQualChild&gt;2,AV302,IF(EICNumQualChild=2,AT302,IF(EICNumQualChild=1,AR302,AP302)))</f>
        <v>#N/A</v>
      </c>
      <c r="AO302" s="3199"/>
      <c r="AP302" s="3200" t="e">
        <f>IF(File_Marr_Joint&lt;&gt;"",AP300,AO300)</f>
        <v>#N/A</v>
      </c>
      <c r="AQ302" s="3199"/>
      <c r="AR302" s="3200" t="e">
        <f>IF(File_Marr_Joint&lt;&gt;"",AR300,AQ300)</f>
        <v>#N/A</v>
      </c>
      <c r="AS302" s="3201"/>
      <c r="AT302" s="3200" t="e">
        <f>IF(File_Marr_Joint&lt;&gt;"",AT300,AS300)</f>
        <v>#N/A</v>
      </c>
      <c r="AU302" s="3201"/>
      <c r="AV302" s="3200" t="e">
        <f>IF(File_Marr_Joint&lt;&gt;"",AV300,AU300)</f>
        <v>#N/A</v>
      </c>
    </row>
    <row r="303" spans="2:48">
      <c r="D303" s="74" t="s">
        <v>4020</v>
      </c>
      <c r="AA303" s="3169"/>
      <c r="AB303" s="3169"/>
      <c r="AC303" s="3169"/>
      <c r="AD303" s="3169"/>
      <c r="AE303" s="3169"/>
      <c r="AF303" s="3169"/>
      <c r="AG303" s="3169"/>
      <c r="AH303" s="3169"/>
      <c r="AI303" s="3169"/>
      <c r="AJ303" s="3169"/>
      <c r="AK303" s="3169"/>
      <c r="AL303" s="3169"/>
      <c r="AN303" s="3169"/>
      <c r="AO303" s="3169"/>
      <c r="AP303" s="3169"/>
      <c r="AQ303" s="3169"/>
      <c r="AR303" s="3169"/>
      <c r="AS303" s="3169"/>
      <c r="AT303" s="3169"/>
      <c r="AU303" s="3169"/>
      <c r="AV303" s="3169"/>
    </row>
    <row r="304" spans="2:48" ht="7.5" customHeight="1">
      <c r="AA304" s="3169"/>
      <c r="AB304" s="3169"/>
      <c r="AC304" s="3169"/>
      <c r="AD304" s="3169"/>
      <c r="AE304" s="3169"/>
      <c r="AF304" s="3169"/>
      <c r="AG304" s="3169"/>
      <c r="AH304" s="3169"/>
      <c r="AI304" s="3169"/>
      <c r="AJ304" s="3169"/>
      <c r="AK304" s="3169"/>
      <c r="AL304" s="3169"/>
      <c r="AN304" s="3186"/>
      <c r="AO304" s="3186"/>
      <c r="AP304" s="3169"/>
      <c r="AQ304" s="3169"/>
      <c r="AR304" s="3169"/>
      <c r="AS304" s="3169"/>
      <c r="AT304" s="3169"/>
      <c r="AU304" s="3169"/>
      <c r="AV304" s="3169"/>
    </row>
    <row r="305" spans="1:48" s="2164" customFormat="1" ht="7.5" customHeight="1">
      <c r="B305" s="2163"/>
      <c r="N305" s="2165"/>
      <c r="AA305" s="3187"/>
      <c r="AB305" s="3187"/>
      <c r="AC305" s="3187"/>
      <c r="AD305" s="3187"/>
      <c r="AE305" s="3187"/>
      <c r="AF305" s="3187"/>
      <c r="AG305" s="3187"/>
      <c r="AH305" s="3187"/>
      <c r="AI305" s="3187"/>
      <c r="AJ305" s="3187"/>
      <c r="AK305" s="3187"/>
      <c r="AL305" s="3187"/>
      <c r="AN305" s="3188"/>
      <c r="AO305" s="3188"/>
      <c r="AP305" s="3187"/>
      <c r="AQ305" s="3187"/>
      <c r="AR305" s="3187"/>
      <c r="AS305" s="3187"/>
      <c r="AT305" s="3187"/>
      <c r="AU305" s="3187"/>
      <c r="AV305" s="3187"/>
    </row>
    <row r="306" spans="1:48" s="137" customFormat="1" ht="15.75">
      <c r="A306" s="2182" t="s">
        <v>1768</v>
      </c>
      <c r="B306" s="2198" t="s">
        <v>1767</v>
      </c>
      <c r="C306" s="2157"/>
      <c r="N306" s="2158"/>
      <c r="AA306" s="3184"/>
      <c r="AB306" s="3184"/>
      <c r="AC306" s="3184"/>
      <c r="AD306" s="3184"/>
      <c r="AE306" s="3184"/>
      <c r="AF306" s="3184"/>
      <c r="AG306" s="3184"/>
      <c r="AH306" s="3184"/>
      <c r="AI306" s="3184"/>
      <c r="AJ306" s="3184"/>
      <c r="AK306" s="3184"/>
      <c r="AL306" s="3184"/>
      <c r="AN306" s="3185"/>
      <c r="AO306" s="3185"/>
      <c r="AP306" s="3184"/>
      <c r="AQ306" s="3184"/>
      <c r="AR306" s="3184"/>
      <c r="AS306" s="3184"/>
      <c r="AT306" s="3184"/>
      <c r="AU306" s="3184"/>
      <c r="AV306" s="3184"/>
    </row>
    <row r="307" spans="1:48">
      <c r="AA307" s="3169"/>
      <c r="AB307" s="3169"/>
      <c r="AC307" s="3169"/>
      <c r="AD307" s="3169"/>
      <c r="AE307" s="3169"/>
      <c r="AF307" s="3169"/>
      <c r="AG307" s="3169"/>
      <c r="AH307" s="3169"/>
      <c r="AI307" s="3169"/>
      <c r="AJ307" s="3169"/>
      <c r="AK307" s="3169"/>
      <c r="AL307" s="3169"/>
      <c r="AN307" s="3186"/>
      <c r="AO307" s="3186"/>
      <c r="AP307" s="3169"/>
      <c r="AQ307" s="3169"/>
      <c r="AR307" s="3169"/>
      <c r="AS307" s="3169"/>
      <c r="AT307" s="3169"/>
      <c r="AU307" s="3169"/>
      <c r="AV307" s="3169"/>
    </row>
    <row r="308" spans="1:48">
      <c r="C308" s="1127" t="s">
        <v>75</v>
      </c>
      <c r="D308" s="25" t="s">
        <v>1625</v>
      </c>
      <c r="K308" s="2172" t="s">
        <v>75</v>
      </c>
      <c r="L308" s="2518" t="str">
        <f>IF(B265="","",IF(B296&lt;&gt;"",L271,MIN(L271,L301)))</f>
        <v/>
      </c>
      <c r="AA308" s="3169"/>
      <c r="AB308" s="3169"/>
      <c r="AC308" s="3169"/>
      <c r="AD308" s="3169"/>
      <c r="AE308" s="3169"/>
      <c r="AF308" s="3169"/>
      <c r="AG308" s="3169"/>
      <c r="AH308" s="3169"/>
      <c r="AI308" s="3169"/>
      <c r="AJ308" s="3169"/>
      <c r="AK308" s="3169"/>
      <c r="AL308" s="3169"/>
      <c r="AN308" s="3186"/>
      <c r="AO308" s="3186"/>
      <c r="AP308" s="3169"/>
      <c r="AQ308" s="3169"/>
      <c r="AR308" s="3169"/>
      <c r="AS308" s="3169"/>
      <c r="AT308" s="3169"/>
      <c r="AU308" s="3169"/>
      <c r="AV308" s="3169"/>
    </row>
    <row r="309" spans="1:48" ht="21.75" customHeight="1">
      <c r="AA309" s="3169"/>
      <c r="AB309" s="3169"/>
      <c r="AC309" s="3169"/>
      <c r="AD309" s="3169"/>
      <c r="AE309" s="3169"/>
      <c r="AF309" s="3169"/>
      <c r="AG309" s="3169"/>
      <c r="AH309" s="3169"/>
      <c r="AI309" s="3169"/>
      <c r="AJ309" s="3169"/>
      <c r="AK309" s="3169"/>
      <c r="AL309" s="3169"/>
      <c r="AN309" s="3186"/>
      <c r="AO309" s="3186"/>
      <c r="AP309" s="3169"/>
      <c r="AQ309" s="3169"/>
      <c r="AR309" s="3169"/>
      <c r="AS309" s="3169"/>
      <c r="AT309" s="3169"/>
      <c r="AU309" s="3169"/>
      <c r="AV309" s="3169"/>
    </row>
    <row r="310" spans="1:48">
      <c r="C310" s="25" t="s">
        <v>1626</v>
      </c>
      <c r="AA310" s="3169"/>
      <c r="AB310" s="3169"/>
      <c r="AC310" s="3169"/>
      <c r="AD310" s="3169"/>
      <c r="AE310" s="3169"/>
      <c r="AF310" s="3169"/>
      <c r="AG310" s="3169"/>
      <c r="AH310" s="3169"/>
      <c r="AI310" s="3169"/>
      <c r="AJ310" s="3169"/>
      <c r="AK310" s="3169"/>
      <c r="AL310" s="3169"/>
      <c r="AN310" s="3186"/>
      <c r="AO310" s="3186"/>
      <c r="AP310" s="3169"/>
      <c r="AQ310" s="3169"/>
      <c r="AR310" s="3169"/>
      <c r="AS310" s="3169"/>
      <c r="AT310" s="3169"/>
      <c r="AU310" s="3169"/>
      <c r="AV310" s="3169"/>
    </row>
    <row r="311" spans="1:48">
      <c r="C311" s="24" t="s">
        <v>1627</v>
      </c>
      <c r="AA311" s="3169"/>
      <c r="AB311" s="3169"/>
      <c r="AC311" s="3169"/>
      <c r="AD311" s="3169"/>
      <c r="AE311" s="3169"/>
      <c r="AF311" s="3169"/>
      <c r="AG311" s="3169"/>
      <c r="AH311" s="3169"/>
      <c r="AI311" s="3169"/>
      <c r="AJ311" s="3169"/>
      <c r="AK311" s="3169"/>
      <c r="AL311" s="3169"/>
      <c r="AN311" s="3186"/>
      <c r="AO311" s="3186"/>
      <c r="AP311" s="3169"/>
      <c r="AQ311" s="3169"/>
      <c r="AR311" s="3169"/>
      <c r="AS311" s="3169"/>
      <c r="AT311" s="3169"/>
      <c r="AU311" s="3169"/>
      <c r="AV311" s="3169"/>
    </row>
    <row r="312" spans="1:48">
      <c r="C312" s="2308" t="s">
        <v>2022</v>
      </c>
      <c r="D312" s="2308"/>
      <c r="AA312" s="3169"/>
      <c r="AB312" s="3169"/>
      <c r="AC312" s="3169"/>
      <c r="AD312" s="3169"/>
      <c r="AE312" s="3169"/>
      <c r="AF312" s="3169"/>
      <c r="AG312" s="3169"/>
      <c r="AH312" s="3169"/>
      <c r="AI312" s="3169"/>
      <c r="AJ312" s="3169"/>
      <c r="AK312" s="3169"/>
      <c r="AL312" s="3169"/>
      <c r="AN312" s="3186"/>
      <c r="AO312" s="3186"/>
      <c r="AP312" s="3169"/>
      <c r="AQ312" s="3169"/>
      <c r="AR312" s="3169"/>
      <c r="AS312" s="3169"/>
      <c r="AT312" s="3169"/>
      <c r="AU312" s="3169"/>
      <c r="AV312" s="3169"/>
    </row>
    <row r="313" spans="1:48">
      <c r="D313" s="2308"/>
      <c r="AA313" s="3169"/>
      <c r="AB313" s="3169"/>
      <c r="AC313" s="3169"/>
      <c r="AD313" s="3169"/>
      <c r="AE313" s="3169"/>
      <c r="AF313" s="3169"/>
      <c r="AG313" s="3169"/>
      <c r="AH313" s="3169"/>
      <c r="AI313" s="3169"/>
      <c r="AJ313" s="3169"/>
      <c r="AK313" s="3169"/>
      <c r="AL313" s="3169"/>
      <c r="AN313" s="3186"/>
      <c r="AO313" s="3186"/>
      <c r="AP313" s="3169"/>
      <c r="AQ313" s="3169"/>
      <c r="AR313" s="3169"/>
      <c r="AS313" s="3169"/>
      <c r="AT313" s="3169"/>
      <c r="AU313" s="3169"/>
      <c r="AV313" s="3169"/>
    </row>
    <row r="314" spans="1:48">
      <c r="C314" s="58"/>
      <c r="D314" s="4488"/>
      <c r="E314" s="58"/>
      <c r="F314" s="58"/>
      <c r="G314" s="58"/>
      <c r="H314" s="58"/>
      <c r="I314" s="58"/>
      <c r="J314" s="58"/>
      <c r="AA314" s="3169"/>
      <c r="AB314" s="3169"/>
      <c r="AC314" s="3169"/>
      <c r="AD314" s="3169"/>
      <c r="AE314" s="3169"/>
      <c r="AF314" s="3169"/>
      <c r="AG314" s="3169"/>
      <c r="AH314" s="3169"/>
      <c r="AI314" s="3169"/>
      <c r="AJ314" s="3169"/>
      <c r="AK314" s="3169"/>
      <c r="AL314" s="3169"/>
      <c r="AN314" s="3186"/>
      <c r="AO314" s="3186"/>
      <c r="AP314" s="3169"/>
      <c r="AQ314" s="3169"/>
      <c r="AR314" s="3169"/>
      <c r="AS314" s="3169"/>
      <c r="AT314" s="3169"/>
      <c r="AU314" s="3169"/>
      <c r="AV314" s="3169"/>
    </row>
    <row r="315" spans="1:48">
      <c r="C315" s="3303"/>
      <c r="D315" s="3304" t="s">
        <v>1783</v>
      </c>
      <c r="J315" s="2172"/>
      <c r="M315" s="901"/>
      <c r="N315" s="24"/>
      <c r="O315" s="2171"/>
      <c r="Q315" s="2171"/>
      <c r="AA315" s="3169"/>
      <c r="AB315" s="3169"/>
      <c r="AC315" s="3169"/>
      <c r="AD315" s="3169"/>
      <c r="AE315" s="3169"/>
      <c r="AF315" s="3169"/>
      <c r="AG315" s="3169"/>
      <c r="AH315" s="3169"/>
      <c r="AI315" s="3169"/>
      <c r="AJ315" s="3169"/>
      <c r="AK315" s="3169"/>
      <c r="AL315" s="3169"/>
      <c r="AN315" s="3186"/>
      <c r="AO315" s="3186"/>
      <c r="AP315" s="3169"/>
      <c r="AQ315" s="3169"/>
      <c r="AR315" s="3169"/>
      <c r="AS315" s="3169"/>
      <c r="AT315" s="3169"/>
      <c r="AU315" s="3169"/>
      <c r="AV315" s="3169"/>
    </row>
    <row r="316" spans="1:48">
      <c r="C316" s="3303"/>
      <c r="D316" s="3304" t="s">
        <v>4402</v>
      </c>
      <c r="J316" s="2172"/>
      <c r="M316" s="901"/>
      <c r="N316" s="24"/>
      <c r="O316" s="2171"/>
      <c r="Q316" s="2171"/>
      <c r="AA316" s="3169"/>
      <c r="AB316" s="3169"/>
      <c r="AC316" s="3169"/>
      <c r="AD316" s="3169"/>
      <c r="AE316" s="3169"/>
      <c r="AF316" s="3169"/>
      <c r="AG316" s="3169"/>
      <c r="AH316" s="3169"/>
      <c r="AI316" s="3169"/>
      <c r="AJ316" s="3169"/>
      <c r="AK316" s="3169"/>
      <c r="AL316" s="3169"/>
      <c r="AN316" s="3186"/>
      <c r="AO316" s="3186"/>
      <c r="AP316" s="3169"/>
      <c r="AQ316" s="3169"/>
      <c r="AR316" s="3169"/>
      <c r="AS316" s="3169"/>
      <c r="AT316" s="3169"/>
      <c r="AU316" s="3169"/>
      <c r="AV316" s="3169"/>
    </row>
    <row r="317" spans="1:48">
      <c r="C317" s="3303"/>
      <c r="D317" s="3304" t="str">
        <f>"the credit for "&amp;TaxYear&amp;"."</f>
        <v>the credit for 2018.</v>
      </c>
      <c r="J317" s="2172"/>
      <c r="M317" s="901"/>
      <c r="N317" s="24"/>
      <c r="O317" s="2171"/>
      <c r="Q317" s="2171"/>
      <c r="AA317" s="3169"/>
      <c r="AB317" s="3169"/>
      <c r="AC317" s="3169"/>
      <c r="AD317" s="3169"/>
      <c r="AE317" s="3169"/>
      <c r="AF317" s="3169"/>
      <c r="AG317" s="3169"/>
      <c r="AH317" s="3169"/>
      <c r="AI317" s="3169"/>
      <c r="AJ317" s="3169"/>
      <c r="AK317" s="3169"/>
      <c r="AL317" s="3169"/>
      <c r="AN317" s="3186"/>
      <c r="AO317" s="3186"/>
      <c r="AP317" s="3169"/>
      <c r="AQ317" s="3169"/>
      <c r="AR317" s="3169"/>
      <c r="AS317" s="3169"/>
      <c r="AT317" s="3169"/>
      <c r="AU317" s="3169"/>
      <c r="AV317" s="3169"/>
    </row>
    <row r="318" spans="1:48">
      <c r="D318" s="2308"/>
      <c r="AA318" s="3169"/>
      <c r="AB318" s="3169"/>
      <c r="AC318" s="3169"/>
      <c r="AD318" s="3169"/>
      <c r="AE318" s="3169"/>
      <c r="AF318" s="3169"/>
      <c r="AG318" s="3169"/>
      <c r="AH318" s="3169"/>
      <c r="AI318" s="3169"/>
      <c r="AJ318" s="3169"/>
      <c r="AK318" s="3169"/>
      <c r="AL318" s="3169"/>
      <c r="AN318" s="3186"/>
      <c r="AO318" s="3186"/>
      <c r="AP318" s="3169"/>
      <c r="AQ318" s="3169"/>
      <c r="AR318" s="3169"/>
      <c r="AS318" s="3169"/>
      <c r="AT318" s="3169"/>
      <c r="AU318" s="3169"/>
      <c r="AV318" s="3169"/>
    </row>
    <row r="319" spans="1:48">
      <c r="AA319" s="3169"/>
      <c r="AB319" s="3169"/>
      <c r="AC319" s="3169"/>
      <c r="AD319" s="3169"/>
      <c r="AE319" s="3169"/>
      <c r="AF319" s="3169"/>
      <c r="AG319" s="3169"/>
      <c r="AH319" s="3169"/>
      <c r="AI319" s="3169"/>
      <c r="AJ319" s="3169"/>
      <c r="AK319" s="3169"/>
      <c r="AL319" s="3169"/>
      <c r="AN319" s="3186"/>
      <c r="AO319" s="3186"/>
      <c r="AP319" s="3169"/>
      <c r="AQ319" s="3169"/>
      <c r="AR319" s="3169"/>
      <c r="AS319" s="3169"/>
      <c r="AT319" s="3169"/>
      <c r="AU319" s="3169"/>
      <c r="AV319" s="3169"/>
    </row>
    <row r="320" spans="1:48">
      <c r="A320" s="4752"/>
      <c r="B320" s="4753"/>
      <c r="C320" s="4752"/>
      <c r="D320" s="4752"/>
      <c r="E320" s="4752"/>
      <c r="F320" s="4752"/>
      <c r="G320" s="4752"/>
      <c r="H320" s="4752"/>
      <c r="I320" s="4752"/>
      <c r="J320" s="4752"/>
      <c r="K320" s="4752"/>
      <c r="L320" s="4752"/>
      <c r="M320" s="4752"/>
      <c r="N320" s="4754"/>
      <c r="O320" s="4752"/>
      <c r="P320" s="4752"/>
      <c r="Q320" s="4752"/>
      <c r="R320" s="4752"/>
      <c r="S320" s="4752"/>
      <c r="AA320" s="3169"/>
      <c r="AB320" s="3169"/>
      <c r="AC320" s="3169"/>
      <c r="AD320" s="3169"/>
      <c r="AE320" s="3169"/>
      <c r="AF320" s="3169"/>
      <c r="AG320" s="3169"/>
      <c r="AH320" s="3169"/>
      <c r="AI320" s="3169"/>
      <c r="AJ320" s="3169"/>
      <c r="AK320" s="3169"/>
      <c r="AL320" s="3169"/>
      <c r="AN320" s="3186"/>
      <c r="AO320" s="3186"/>
      <c r="AP320" s="3169"/>
      <c r="AQ320" s="3169"/>
      <c r="AR320" s="3169"/>
      <c r="AS320" s="3169"/>
      <c r="AT320" s="3169"/>
      <c r="AU320" s="3169"/>
      <c r="AV320" s="3169"/>
    </row>
    <row r="321" spans="1:48" s="137" customFormat="1" ht="20.25">
      <c r="A321" s="2157" t="s">
        <v>4407</v>
      </c>
      <c r="B321" s="2157"/>
      <c r="C321" s="2157"/>
      <c r="D321" s="2157" t="str">
        <f>"—  "&amp;TaxYear&amp;" EIC  —"</f>
        <v>—  2018 EIC  —</v>
      </c>
      <c r="F321" s="2157" t="s">
        <v>4410</v>
      </c>
      <c r="N321" s="2158"/>
      <c r="O321" s="4751" t="s">
        <v>200</v>
      </c>
      <c r="AA321" s="3169"/>
      <c r="AB321" s="3169"/>
      <c r="AC321" s="3169"/>
      <c r="AD321" s="3169"/>
      <c r="AE321" s="3169"/>
      <c r="AF321" s="3169"/>
      <c r="AG321" s="3169"/>
      <c r="AH321" s="3169"/>
      <c r="AI321" s="3169"/>
      <c r="AJ321" s="3169"/>
      <c r="AK321" s="3169"/>
      <c r="AL321" s="3169"/>
      <c r="AN321" s="2158"/>
      <c r="AO321" s="2158"/>
    </row>
    <row r="322" spans="1:48">
      <c r="AA322" s="3169"/>
      <c r="AB322" s="3169"/>
      <c r="AC322" s="3169"/>
      <c r="AD322" s="3169"/>
      <c r="AE322" s="3169"/>
      <c r="AF322" s="3169"/>
      <c r="AG322" s="3169"/>
      <c r="AH322" s="3169"/>
      <c r="AI322" s="3169"/>
      <c r="AJ322" s="3169"/>
      <c r="AK322" s="3169"/>
      <c r="AL322" s="3169"/>
      <c r="AN322" s="3186"/>
      <c r="AO322" s="3186"/>
      <c r="AP322" s="3169"/>
      <c r="AQ322" s="3169"/>
      <c r="AR322" s="3169"/>
      <c r="AS322" s="3169"/>
      <c r="AT322" s="3169"/>
      <c r="AU322" s="3169"/>
      <c r="AV322" s="3169"/>
    </row>
    <row r="323" spans="1:48">
      <c r="B323" s="2527" t="str">
        <f>IF($B$233&lt;&gt;"","X","")</f>
        <v/>
      </c>
      <c r="D323" s="25" t="s">
        <v>1956</v>
      </c>
      <c r="AA323" s="3169"/>
      <c r="AB323" s="3169"/>
      <c r="AC323" s="3169"/>
      <c r="AD323" s="3169"/>
      <c r="AE323" s="3169"/>
      <c r="AF323" s="3169"/>
      <c r="AG323" s="3169"/>
      <c r="AH323" s="3169"/>
      <c r="AI323" s="3169"/>
      <c r="AJ323" s="3169"/>
      <c r="AK323" s="3169"/>
      <c r="AL323" s="3169"/>
      <c r="AN323" s="3186"/>
      <c r="AO323" s="3186"/>
      <c r="AP323" s="3169"/>
      <c r="AQ323" s="3169"/>
      <c r="AR323" s="3169"/>
      <c r="AS323" s="3169"/>
      <c r="AT323" s="3169"/>
      <c r="AU323" s="3169"/>
      <c r="AV323" s="3169"/>
    </row>
    <row r="324" spans="1:48">
      <c r="AA324" s="3169"/>
      <c r="AB324" s="3169"/>
      <c r="AC324" s="3169"/>
      <c r="AD324" s="3169"/>
      <c r="AE324" s="3169"/>
      <c r="AF324" s="3169"/>
      <c r="AG324" s="3169"/>
      <c r="AH324" s="3169"/>
      <c r="AI324" s="3169"/>
      <c r="AJ324" s="3169"/>
      <c r="AK324" s="3169"/>
      <c r="AL324" s="3169"/>
      <c r="AN324" s="3186"/>
      <c r="AO324" s="3186"/>
      <c r="AP324" s="3169"/>
      <c r="AQ324" s="3169"/>
      <c r="AR324" s="3169"/>
      <c r="AS324" s="3169"/>
      <c r="AT324" s="3169"/>
      <c r="AU324" s="3169"/>
      <c r="AV324" s="3169"/>
    </row>
    <row r="325" spans="1:48">
      <c r="C325" s="759" t="s">
        <v>48</v>
      </c>
      <c r="D325" s="24" t="s">
        <v>1628</v>
      </c>
      <c r="AA325" s="3169"/>
      <c r="AB325" s="3169"/>
      <c r="AC325" s="3169"/>
      <c r="AD325" s="3169"/>
      <c r="AE325" s="3169"/>
      <c r="AF325" s="3169"/>
      <c r="AG325" s="3169"/>
      <c r="AH325" s="3169"/>
      <c r="AI325" s="3169"/>
      <c r="AJ325" s="3169"/>
      <c r="AK325" s="3169"/>
      <c r="AL325" s="3169"/>
      <c r="AN325" s="3186"/>
      <c r="AO325" s="3186"/>
      <c r="AP325" s="3169"/>
      <c r="AQ325" s="3169"/>
      <c r="AR325" s="3169"/>
      <c r="AS325" s="3169"/>
      <c r="AT325" s="3169"/>
      <c r="AU325" s="3169"/>
      <c r="AV325" s="3169"/>
    </row>
    <row r="326" spans="1:48" ht="6" customHeight="1">
      <c r="AA326" s="3169"/>
      <c r="AB326" s="3169"/>
      <c r="AC326" s="3169"/>
      <c r="AD326" s="3169"/>
      <c r="AE326" s="3169"/>
      <c r="AF326" s="3169"/>
      <c r="AG326" s="3169"/>
      <c r="AH326" s="3169"/>
      <c r="AI326" s="3169"/>
      <c r="AJ326" s="3169"/>
      <c r="AK326" s="3169"/>
      <c r="AL326" s="3169"/>
      <c r="AN326" s="3186"/>
      <c r="AO326" s="3186"/>
      <c r="AP326" s="3169"/>
      <c r="AQ326" s="3169"/>
      <c r="AR326" s="3169"/>
      <c r="AS326" s="3169"/>
      <c r="AT326" s="3169"/>
      <c r="AU326" s="3169"/>
      <c r="AV326" s="3169"/>
    </row>
    <row r="327" spans="1:48">
      <c r="C327" s="759" t="s">
        <v>48</v>
      </c>
      <c r="D327" s="60" t="s">
        <v>1629</v>
      </c>
      <c r="AA327" s="3169"/>
      <c r="AB327" s="3169"/>
      <c r="AC327" s="3169"/>
      <c r="AD327" s="3169"/>
      <c r="AE327" s="3169"/>
      <c r="AF327" s="3169"/>
      <c r="AG327" s="3169"/>
      <c r="AH327" s="3169"/>
      <c r="AI327" s="3169"/>
      <c r="AJ327" s="3169"/>
      <c r="AK327" s="3169"/>
      <c r="AL327" s="3169"/>
      <c r="AN327" s="3186"/>
      <c r="AO327" s="3186"/>
      <c r="AP327" s="3169"/>
      <c r="AQ327" s="3169"/>
      <c r="AR327" s="3169"/>
      <c r="AS327" s="3169"/>
      <c r="AT327" s="3169"/>
      <c r="AU327" s="3169"/>
      <c r="AV327" s="3169"/>
    </row>
    <row r="328" spans="1:48" ht="7.5" customHeight="1">
      <c r="AA328" s="3169"/>
      <c r="AB328" s="3169"/>
      <c r="AC328" s="3169"/>
      <c r="AD328" s="3169"/>
      <c r="AE328" s="3169"/>
      <c r="AF328" s="3169"/>
      <c r="AG328" s="3169"/>
      <c r="AH328" s="3169"/>
      <c r="AI328" s="3169"/>
      <c r="AJ328" s="3169"/>
      <c r="AK328" s="3169"/>
      <c r="AL328" s="3169"/>
      <c r="AN328" s="3186"/>
      <c r="AO328" s="3186"/>
      <c r="AP328" s="3169"/>
      <c r="AQ328" s="3169"/>
      <c r="AR328" s="3169"/>
      <c r="AS328" s="3169"/>
      <c r="AT328" s="3169"/>
      <c r="AU328" s="3169"/>
      <c r="AV328" s="3169"/>
    </row>
    <row r="329" spans="1:48" s="2164" customFormat="1" ht="7.5" customHeight="1">
      <c r="B329" s="2163"/>
      <c r="N329" s="2165"/>
      <c r="AA329" s="3187"/>
      <c r="AB329" s="3187"/>
      <c r="AC329" s="3187"/>
      <c r="AD329" s="3187"/>
      <c r="AE329" s="3187"/>
      <c r="AF329" s="3187"/>
      <c r="AG329" s="3187"/>
      <c r="AH329" s="3187"/>
      <c r="AI329" s="3187"/>
      <c r="AJ329" s="3187"/>
      <c r="AK329" s="3187"/>
      <c r="AL329" s="3187"/>
      <c r="AN329" s="3188"/>
      <c r="AO329" s="3188"/>
      <c r="AP329" s="3187"/>
      <c r="AQ329" s="3187"/>
      <c r="AR329" s="3187"/>
      <c r="AS329" s="3187"/>
      <c r="AT329" s="3187"/>
      <c r="AU329" s="3187"/>
      <c r="AV329" s="3187"/>
    </row>
    <row r="330" spans="1:48" s="137" customFormat="1" ht="15.75">
      <c r="A330" s="2182" t="s">
        <v>1752</v>
      </c>
      <c r="B330" s="2202" t="s">
        <v>1771</v>
      </c>
      <c r="C330" s="2157"/>
      <c r="N330" s="2158"/>
      <c r="AA330" s="3184"/>
      <c r="AB330" s="3184"/>
      <c r="AC330" s="3184"/>
      <c r="AD330" s="3184"/>
      <c r="AE330" s="3184"/>
      <c r="AF330" s="3184"/>
      <c r="AG330" s="3184"/>
      <c r="AH330" s="3184"/>
      <c r="AI330" s="3184"/>
      <c r="AJ330" s="3184"/>
      <c r="AK330" s="3184"/>
      <c r="AL330" s="3184"/>
      <c r="AN330" s="3185"/>
      <c r="AO330" s="3185"/>
      <c r="AP330" s="3184"/>
      <c r="AQ330" s="3184"/>
      <c r="AR330" s="3184"/>
      <c r="AS330" s="3184"/>
      <c r="AT330" s="3184"/>
      <c r="AU330" s="3184"/>
      <c r="AV330" s="3184"/>
    </row>
    <row r="331" spans="1:48">
      <c r="AA331" s="3169"/>
      <c r="AB331" s="3169"/>
      <c r="AC331" s="3169"/>
      <c r="AD331" s="3169"/>
      <c r="AE331" s="3169"/>
      <c r="AF331" s="3169"/>
      <c r="AG331" s="3169"/>
      <c r="AH331" s="3169"/>
      <c r="AI331" s="3169"/>
      <c r="AJ331" s="3169"/>
      <c r="AK331" s="3169"/>
      <c r="AL331" s="3169"/>
      <c r="AN331" s="3186"/>
      <c r="AO331" s="3186"/>
      <c r="AP331" s="3169"/>
      <c r="AQ331" s="3169"/>
      <c r="AR331" s="3169"/>
      <c r="AS331" s="3169"/>
      <c r="AT331" s="3169"/>
      <c r="AU331" s="3169"/>
      <c r="AV331" s="3169"/>
    </row>
    <row r="332" spans="1:48">
      <c r="C332" s="2161" t="s">
        <v>15</v>
      </c>
      <c r="D332" s="24" t="s">
        <v>1630</v>
      </c>
      <c r="N332" s="2161" t="s">
        <v>1631</v>
      </c>
      <c r="O332" s="2518">
        <f>IF('Sch. SE'!C34&lt;&gt;"",'Sch. SE'!V48,IF('Sch. SE'!P34&lt;&gt;"",'Sch. SE'!V80,0))</f>
        <v>0</v>
      </c>
      <c r="AA332" s="3169"/>
      <c r="AB332" s="3169"/>
      <c r="AC332" s="3169"/>
      <c r="AD332" s="3169"/>
      <c r="AE332" s="3169"/>
      <c r="AF332" s="3169"/>
      <c r="AG332" s="3169"/>
      <c r="AH332" s="3169"/>
      <c r="AI332" s="3169"/>
      <c r="AJ332" s="3169"/>
      <c r="AK332" s="3169"/>
      <c r="AL332" s="3169"/>
      <c r="AN332" s="3186"/>
      <c r="AO332" s="3186"/>
      <c r="AP332" s="3169"/>
      <c r="AQ332" s="3169"/>
      <c r="AR332" s="3169"/>
      <c r="AS332" s="3169"/>
      <c r="AT332" s="3169"/>
      <c r="AU332" s="3169"/>
      <c r="AV332" s="3169"/>
    </row>
    <row r="333" spans="1:48">
      <c r="AA333" s="3169"/>
      <c r="AB333" s="3169"/>
      <c r="AC333" s="3169"/>
      <c r="AD333" s="3169"/>
      <c r="AE333" s="3169"/>
      <c r="AF333" s="3169"/>
      <c r="AG333" s="3169"/>
      <c r="AH333" s="3169"/>
      <c r="AI333" s="3169"/>
      <c r="AJ333" s="3169"/>
      <c r="AK333" s="3169"/>
      <c r="AL333" s="3169"/>
      <c r="AN333" s="3186"/>
      <c r="AO333" s="3186"/>
      <c r="AP333" s="3169"/>
      <c r="AQ333" s="3169"/>
      <c r="AR333" s="3169"/>
      <c r="AS333" s="3169"/>
      <c r="AT333" s="3169"/>
      <c r="AU333" s="3169"/>
      <c r="AV333" s="3169"/>
    </row>
    <row r="334" spans="1:48">
      <c r="C334" s="2161" t="s">
        <v>702</v>
      </c>
      <c r="D334" s="24" t="s">
        <v>1632</v>
      </c>
      <c r="N334" s="2161" t="s">
        <v>1633</v>
      </c>
      <c r="O334" s="2518">
        <f>SUM('Sch. SE'!V83,'Sch. SE'!Q87)</f>
        <v>0</v>
      </c>
      <c r="AA334" s="3169"/>
      <c r="AB334" s="3169"/>
      <c r="AC334" s="3169"/>
      <c r="AD334" s="3169"/>
      <c r="AE334" s="3169"/>
      <c r="AF334" s="3169"/>
      <c r="AG334" s="3169"/>
      <c r="AH334" s="3169"/>
      <c r="AI334" s="3169"/>
      <c r="AJ334" s="3169"/>
      <c r="AK334" s="3169"/>
      <c r="AL334" s="3169"/>
      <c r="AN334" s="3186"/>
      <c r="AO334" s="3186"/>
      <c r="AP334" s="3169"/>
      <c r="AQ334" s="3169"/>
      <c r="AR334" s="3169"/>
      <c r="AS334" s="3169"/>
      <c r="AT334" s="3169"/>
      <c r="AU334" s="3169"/>
      <c r="AV334" s="3169"/>
    </row>
    <row r="335" spans="1:48">
      <c r="AA335" s="3169"/>
      <c r="AB335" s="3169"/>
      <c r="AC335" s="3169"/>
      <c r="AD335" s="3169"/>
      <c r="AE335" s="3169"/>
      <c r="AF335" s="3169"/>
      <c r="AG335" s="3169"/>
      <c r="AH335" s="3169"/>
      <c r="AI335" s="3169"/>
      <c r="AJ335" s="3169"/>
      <c r="AK335" s="3169"/>
      <c r="AL335" s="3169"/>
      <c r="AN335" s="3186"/>
      <c r="AO335" s="3186"/>
      <c r="AP335" s="3169"/>
      <c r="AQ335" s="3169"/>
      <c r="AR335" s="3169"/>
      <c r="AS335" s="3169"/>
      <c r="AT335" s="3169"/>
      <c r="AU335" s="3169"/>
      <c r="AV335" s="3169"/>
    </row>
    <row r="336" spans="1:48">
      <c r="C336" s="2161" t="s">
        <v>700</v>
      </c>
      <c r="D336" s="24" t="s">
        <v>1634</v>
      </c>
      <c r="N336" s="2161" t="s">
        <v>1635</v>
      </c>
      <c r="O336" s="2518" t="str">
        <f>IF($B$323="","",IF(OR(O332&lt;&gt;"",O334&lt;&gt;""),SUM(O332,O334),""))</f>
        <v/>
      </c>
      <c r="AA336" s="3169"/>
      <c r="AB336" s="3169"/>
      <c r="AC336" s="3169"/>
      <c r="AD336" s="3169"/>
      <c r="AE336" s="3169"/>
      <c r="AF336" s="3169"/>
      <c r="AG336" s="3169"/>
      <c r="AH336" s="3169"/>
      <c r="AI336" s="3169"/>
      <c r="AJ336" s="3169"/>
      <c r="AK336" s="3169"/>
      <c r="AL336" s="3169"/>
      <c r="AN336" s="3186"/>
      <c r="AO336" s="3186"/>
      <c r="AP336" s="3169"/>
      <c r="AQ336" s="3169"/>
      <c r="AR336" s="3169"/>
      <c r="AS336" s="3169"/>
      <c r="AT336" s="3169"/>
      <c r="AU336" s="3169"/>
      <c r="AV336" s="3169"/>
    </row>
    <row r="337" spans="1:48">
      <c r="AA337" s="3169"/>
      <c r="AB337" s="3169"/>
      <c r="AC337" s="3169"/>
      <c r="AD337" s="3169"/>
      <c r="AE337" s="3169"/>
      <c r="AF337" s="3169"/>
      <c r="AG337" s="3169"/>
      <c r="AH337" s="3169"/>
      <c r="AI337" s="3169"/>
      <c r="AJ337" s="3169"/>
      <c r="AK337" s="3169"/>
      <c r="AL337" s="3169"/>
      <c r="AN337" s="3186"/>
      <c r="AO337" s="3186"/>
      <c r="AP337" s="3169"/>
      <c r="AQ337" s="3169"/>
      <c r="AR337" s="3169"/>
      <c r="AS337" s="3169"/>
      <c r="AT337" s="3169"/>
      <c r="AU337" s="3169"/>
      <c r="AV337" s="3169"/>
    </row>
    <row r="338" spans="1:48">
      <c r="C338" s="2161" t="s">
        <v>1636</v>
      </c>
      <c r="D338" s="24" t="s">
        <v>1637</v>
      </c>
      <c r="N338" s="2161" t="s">
        <v>1638</v>
      </c>
      <c r="O338" s="2518">
        <f>SUM(SE_Deduction1,SE_Deduction2)</f>
        <v>0</v>
      </c>
      <c r="R338" s="2171" t="s">
        <v>100</v>
      </c>
      <c r="AA338" s="3169"/>
      <c r="AB338" s="3169"/>
      <c r="AC338" s="3169"/>
      <c r="AD338" s="3169"/>
      <c r="AE338" s="3169"/>
      <c r="AF338" s="3169"/>
      <c r="AG338" s="3169"/>
      <c r="AH338" s="3169"/>
      <c r="AI338" s="3169"/>
      <c r="AJ338" s="3169"/>
      <c r="AK338" s="3169"/>
      <c r="AL338" s="3169"/>
      <c r="AN338" s="3186"/>
      <c r="AO338" s="3186"/>
      <c r="AP338" s="3169"/>
      <c r="AQ338" s="3169"/>
      <c r="AR338" s="3169"/>
      <c r="AS338" s="3169"/>
      <c r="AT338" s="3169"/>
      <c r="AU338" s="3169"/>
      <c r="AV338" s="3169"/>
    </row>
    <row r="339" spans="1:48">
      <c r="R339" s="2171" t="s">
        <v>468</v>
      </c>
      <c r="AA339" s="3169"/>
      <c r="AB339" s="3169"/>
      <c r="AC339" s="3169"/>
      <c r="AD339" s="3169"/>
      <c r="AE339" s="3169"/>
      <c r="AF339" s="3169"/>
      <c r="AG339" s="3169"/>
      <c r="AH339" s="3169"/>
      <c r="AI339" s="3169"/>
      <c r="AJ339" s="3169"/>
      <c r="AK339" s="3169"/>
      <c r="AL339" s="3169"/>
      <c r="AN339" s="3186"/>
      <c r="AO339" s="3186"/>
      <c r="AP339" s="3169"/>
      <c r="AQ339" s="3169"/>
      <c r="AR339" s="3169"/>
      <c r="AS339" s="3169"/>
      <c r="AT339" s="3169"/>
      <c r="AU339" s="3169"/>
      <c r="AV339" s="3169"/>
    </row>
    <row r="340" spans="1:48">
      <c r="C340" s="2161" t="s">
        <v>1639</v>
      </c>
      <c r="D340" s="24" t="s">
        <v>1640</v>
      </c>
      <c r="N340" s="2172" t="s">
        <v>1641</v>
      </c>
      <c r="O340" s="2518" t="str">
        <f>IF(R340&lt;&gt;"",ROUND(R340,0),IF($B$323="","",IF(OR(O338=0,O338=""),O336,SUM(O336,-O338))))</f>
        <v/>
      </c>
      <c r="R340" s="5840"/>
      <c r="S340" s="5841"/>
      <c r="T340" s="5841"/>
      <c r="U340" s="5841"/>
      <c r="V340" s="5841"/>
      <c r="W340" s="5841"/>
      <c r="X340" s="5841"/>
      <c r="AA340" s="3169"/>
      <c r="AB340" s="3169"/>
      <c r="AC340" s="3169"/>
      <c r="AD340" s="3169"/>
      <c r="AE340" s="3169"/>
      <c r="AF340" s="3169"/>
      <c r="AG340" s="3169"/>
      <c r="AH340" s="3169"/>
      <c r="AI340" s="3169"/>
      <c r="AJ340" s="3169"/>
      <c r="AK340" s="3169"/>
      <c r="AL340" s="3169"/>
      <c r="AN340" s="3186"/>
      <c r="AO340" s="3186"/>
      <c r="AP340" s="3169"/>
      <c r="AQ340" s="3169"/>
      <c r="AR340" s="3169"/>
      <c r="AS340" s="3169"/>
      <c r="AT340" s="3169"/>
      <c r="AU340" s="3169"/>
      <c r="AV340" s="3169"/>
    </row>
    <row r="341" spans="1:48" ht="7.5" customHeight="1"/>
    <row r="342" spans="1:48" s="2164" customFormat="1" ht="7.5" customHeight="1">
      <c r="B342" s="2163"/>
      <c r="N342" s="2165"/>
      <c r="AN342" s="2165"/>
      <c r="AO342" s="2165"/>
    </row>
    <row r="343" spans="1:48" s="137" customFormat="1" ht="15.75">
      <c r="A343" s="2182" t="s">
        <v>1766</v>
      </c>
      <c r="B343" s="2198" t="s">
        <v>1772</v>
      </c>
      <c r="C343" s="2157"/>
      <c r="K343" s="2199" t="str">
        <f>IF(B233="","",IF(AND(B323&lt;&gt;"",OR(O351="",R353="",R354="",R355="")),"Enter values for 2a and 2b. If none, enter zero.",""))</f>
        <v/>
      </c>
      <c r="N343" s="2158"/>
      <c r="AN343" s="2158"/>
      <c r="AO343" s="2158"/>
    </row>
    <row r="344" spans="1:48" s="137" customFormat="1" ht="15.75">
      <c r="A344" s="2157"/>
      <c r="B344" s="2157"/>
      <c r="C344" s="2157"/>
      <c r="N344" s="2158"/>
      <c r="AN344" s="2158"/>
      <c r="AO344" s="2158"/>
    </row>
    <row r="345" spans="1:48">
      <c r="D345" s="24" t="s">
        <v>1642</v>
      </c>
    </row>
    <row r="347" spans="1:48">
      <c r="C347" s="2161" t="s">
        <v>0</v>
      </c>
      <c r="D347" s="74" t="s">
        <v>4403</v>
      </c>
    </row>
    <row r="348" spans="1:48">
      <c r="D348" s="74" t="s">
        <v>4405</v>
      </c>
    </row>
    <row r="349" spans="1:48">
      <c r="D349" s="74" t="s">
        <v>4404</v>
      </c>
      <c r="R349" s="2171"/>
      <c r="T349" s="2171"/>
      <c r="U349" s="419"/>
      <c r="V349" s="2171"/>
      <c r="X349" s="2171"/>
    </row>
    <row r="350" spans="1:48">
      <c r="D350" s="74"/>
      <c r="R350" s="2171" t="s">
        <v>100</v>
      </c>
      <c r="T350" s="2171"/>
      <c r="U350" s="419"/>
      <c r="V350" s="2171"/>
      <c r="X350" s="2171"/>
    </row>
    <row r="351" spans="1:48" ht="15">
      <c r="C351" s="2161"/>
      <c r="D351" s="140" t="s">
        <v>701</v>
      </c>
      <c r="E351" s="74" t="s">
        <v>4021</v>
      </c>
      <c r="N351" s="2161" t="s">
        <v>1643</v>
      </c>
      <c r="O351" s="2281"/>
      <c r="R351" s="2171" t="s">
        <v>468</v>
      </c>
      <c r="T351" s="2171"/>
      <c r="U351" s="2173"/>
      <c r="V351" s="2171"/>
      <c r="X351" s="2171"/>
    </row>
    <row r="352" spans="1:48">
      <c r="E352" s="24" t="s">
        <v>1644</v>
      </c>
      <c r="R352" s="5828">
        <f>IF(Business_Profit&gt;400,"&gt;$400",IF(AND(SchC_StatutoryEmp_1&lt;&gt;"",SchC_StatutoryEmp_2&lt;&gt;""),SUM(Business_Profit,-'Sch. C'!T23,-'Sch. C'!T137),IF(SchC_StatutoryEmp_1&lt;&gt;"",SUM(SchC_ProfitLoss1,-'Sch. C'!T23),IF(SchC_StatutoryEmp_2&lt;&gt;"",SUM(SchC_ProfitLoss2,-'Sch. C'!T137),Business_Profit))))</f>
        <v>0</v>
      </c>
      <c r="S352" s="5828"/>
      <c r="T352" s="5828"/>
      <c r="U352" s="5828"/>
      <c r="V352" s="5828"/>
      <c r="W352" s="5828"/>
      <c r="X352" s="5828"/>
      <c r="Y352" s="464"/>
      <c r="Z352" s="464"/>
      <c r="AA352" s="74" t="s">
        <v>1973</v>
      </c>
    </row>
    <row r="353" spans="1:41">
      <c r="N353" s="24"/>
      <c r="R353" s="5818"/>
      <c r="S353" s="5818"/>
      <c r="T353" s="5818"/>
      <c r="U353" s="5818"/>
      <c r="V353" s="5818"/>
      <c r="W353" s="5818"/>
      <c r="X353" s="5818"/>
      <c r="Y353" s="464"/>
      <c r="Z353" s="464"/>
      <c r="AA353" s="24" t="s">
        <v>1645</v>
      </c>
      <c r="AN353" s="24"/>
      <c r="AO353" s="24"/>
    </row>
    <row r="354" spans="1:41">
      <c r="C354" s="2161"/>
      <c r="D354" s="140" t="s">
        <v>702</v>
      </c>
      <c r="E354" s="24" t="s">
        <v>1646</v>
      </c>
      <c r="N354" s="2161" t="s">
        <v>1647</v>
      </c>
      <c r="O354" s="2518">
        <f>ROUND(SUM(R352,R353,R354,R355),0)</f>
        <v>0</v>
      </c>
      <c r="R354" s="5818"/>
      <c r="S354" s="5818"/>
      <c r="T354" s="5818"/>
      <c r="U354" s="5818"/>
      <c r="V354" s="5818"/>
      <c r="W354" s="5818"/>
      <c r="X354" s="5818"/>
      <c r="Y354" s="464"/>
      <c r="Z354" s="464"/>
      <c r="AA354" s="24" t="s">
        <v>1648</v>
      </c>
    </row>
    <row r="355" spans="1:41">
      <c r="E355" s="74" t="s">
        <v>4022</v>
      </c>
      <c r="R355" s="5818"/>
      <c r="S355" s="5818"/>
      <c r="T355" s="5818"/>
      <c r="U355" s="5818"/>
      <c r="V355" s="5818"/>
      <c r="W355" s="5818"/>
      <c r="X355" s="5818"/>
      <c r="Y355" s="464"/>
      <c r="Z355" s="464"/>
      <c r="AA355" s="24" t="s">
        <v>1649</v>
      </c>
    </row>
    <row r="357" spans="1:41">
      <c r="C357" s="2161" t="s">
        <v>700</v>
      </c>
      <c r="D357" s="24" t="s">
        <v>1650</v>
      </c>
      <c r="N357" s="2161" t="s">
        <v>1651</v>
      </c>
      <c r="O357" s="2518" t="str">
        <f>IF($B$323="","",SUM(O351,O354))</f>
        <v/>
      </c>
    </row>
    <row r="359" spans="1:41">
      <c r="D359" s="2170" t="s">
        <v>4023</v>
      </c>
    </row>
    <row r="360" spans="1:41">
      <c r="D360" s="2170" t="s">
        <v>4024</v>
      </c>
    </row>
    <row r="361" spans="1:41">
      <c r="D361" s="2170" t="s">
        <v>1652</v>
      </c>
    </row>
    <row r="363" spans="1:41" s="2164" customFormat="1">
      <c r="B363" s="2163"/>
      <c r="N363" s="2165"/>
      <c r="AN363" s="2165"/>
      <c r="AO363" s="2165"/>
    </row>
    <row r="364" spans="1:41" s="137" customFormat="1" ht="20.25">
      <c r="A364" s="2157" t="s">
        <v>4407</v>
      </c>
      <c r="B364" s="2157"/>
      <c r="C364" s="2157"/>
      <c r="D364" s="2157" t="str">
        <f>"—  "&amp;TaxYear&amp;" EIC  —"</f>
        <v>—  2018 EIC  —</v>
      </c>
      <c r="F364" s="2157" t="s">
        <v>4406</v>
      </c>
      <c r="N364" s="2158"/>
      <c r="O364" s="4751" t="s">
        <v>200</v>
      </c>
      <c r="AN364" s="2158"/>
      <c r="AO364" s="2158"/>
    </row>
    <row r="366" spans="1:41" s="137" customFormat="1" ht="15.75">
      <c r="A366" s="2182" t="s">
        <v>1768</v>
      </c>
      <c r="B366" s="2198" t="s">
        <v>1773</v>
      </c>
      <c r="C366" s="2157"/>
      <c r="N366" s="2158"/>
      <c r="R366" s="2171" t="s">
        <v>100</v>
      </c>
      <c r="S366" s="24"/>
      <c r="T366" s="2171"/>
      <c r="U366" s="24"/>
      <c r="V366" s="2171"/>
      <c r="W366" s="24"/>
      <c r="X366" s="2171"/>
      <c r="AN366" s="2158"/>
      <c r="AO366" s="2158"/>
    </row>
    <row r="367" spans="1:41">
      <c r="R367" s="2171" t="s">
        <v>468</v>
      </c>
      <c r="T367" s="2171"/>
      <c r="V367" s="2171"/>
      <c r="X367" s="2171"/>
    </row>
    <row r="368" spans="1:41">
      <c r="C368" s="2161" t="s">
        <v>1</v>
      </c>
      <c r="D368" s="24" t="s">
        <v>1653</v>
      </c>
      <c r="N368" s="2172" t="s">
        <v>1980</v>
      </c>
      <c r="O368" s="2518" t="str">
        <f>IF(R368&lt;&gt;"",ROUND(R368,0),IF(AND(SchC_StatutoryEmp_1&lt;&gt;"",SchC_StatutoryEmp_2&lt;&gt;""),SUM('Sch. C'!T23,'Sch. C'!T137),IF(SchC_StatutoryEmp_1&lt;&gt;"",'Sch. C'!T23,IF(SchC_StatutoryEmp_2&lt;&gt;"",'Sch. C'!T137,""))))</f>
        <v/>
      </c>
      <c r="Q368" s="419"/>
      <c r="R368" s="5821"/>
      <c r="S368" s="5822"/>
      <c r="T368" s="5822"/>
      <c r="U368" s="5822"/>
      <c r="V368" s="5822"/>
      <c r="W368" s="5822"/>
      <c r="X368" s="5823"/>
    </row>
    <row r="369" spans="1:43">
      <c r="D369" s="24" t="s">
        <v>1654</v>
      </c>
      <c r="O369" s="532"/>
    </row>
    <row r="370" spans="1:43" ht="7.5" customHeight="1"/>
    <row r="371" spans="1:43" s="2164" customFormat="1" ht="7.5" customHeight="1">
      <c r="B371" s="2163"/>
      <c r="N371" s="2165"/>
      <c r="AN371" s="2165"/>
      <c r="AO371" s="2165"/>
    </row>
    <row r="372" spans="1:43" s="137" customFormat="1" ht="15.75">
      <c r="A372" s="2182" t="s">
        <v>1775</v>
      </c>
      <c r="B372" s="2198" t="s">
        <v>1774</v>
      </c>
      <c r="C372" s="2157"/>
      <c r="N372" s="2158"/>
      <c r="AN372" s="2158"/>
      <c r="AO372" s="2158"/>
    </row>
    <row r="373" spans="1:43" ht="15" customHeight="1">
      <c r="D373" s="25" t="s">
        <v>4025</v>
      </c>
    </row>
    <row r="374" spans="1:43">
      <c r="D374" s="24" t="s">
        <v>1655</v>
      </c>
      <c r="R374" s="2171" t="s">
        <v>100</v>
      </c>
      <c r="T374" s="2171"/>
      <c r="V374" s="2171"/>
      <c r="X374" s="2171"/>
      <c r="AA374" s="2171"/>
      <c r="AN374" s="24"/>
      <c r="AO374" s="24"/>
      <c r="AP374" s="14"/>
      <c r="AQ374" s="14"/>
    </row>
    <row r="375" spans="1:43">
      <c r="R375" s="2171" t="s">
        <v>468</v>
      </c>
      <c r="T375" s="2171"/>
      <c r="V375" s="2171"/>
      <c r="X375" s="2171"/>
      <c r="AA375" s="2171"/>
      <c r="AN375" s="24"/>
      <c r="AO375" s="24"/>
      <c r="AP375" s="14"/>
      <c r="AQ375" s="14"/>
    </row>
    <row r="376" spans="1:43">
      <c r="C376" s="2161" t="s">
        <v>1656</v>
      </c>
      <c r="D376" s="74" t="s">
        <v>1755</v>
      </c>
      <c r="N376" s="2172" t="s">
        <v>1978</v>
      </c>
      <c r="O376" s="2518" t="str">
        <f>IF(R376&lt;&gt;"",R376,IF($B$323="","",EIC_EarnedIncome))</f>
        <v/>
      </c>
      <c r="R376" s="5821"/>
      <c r="S376" s="5822"/>
      <c r="T376" s="5822"/>
      <c r="U376" s="5822"/>
      <c r="V376" s="5822"/>
      <c r="W376" s="5822"/>
      <c r="X376" s="5823"/>
    </row>
    <row r="378" spans="1:43">
      <c r="C378" s="2161" t="s">
        <v>702</v>
      </c>
      <c r="D378" s="74" t="s">
        <v>1965</v>
      </c>
      <c r="G378" s="25" t="s">
        <v>1966</v>
      </c>
      <c r="N378" s="2172" t="s">
        <v>1979</v>
      </c>
      <c r="O378" s="2518" t="str">
        <f>IF($B$323="","",SUM(O340,O357,O368,O376))</f>
        <v/>
      </c>
    </row>
    <row r="379" spans="1:43">
      <c r="D379" s="74" t="s">
        <v>4026</v>
      </c>
    </row>
    <row r="380" spans="1:43">
      <c r="D380" s="74" t="s">
        <v>4004</v>
      </c>
    </row>
    <row r="381" spans="1:43">
      <c r="D381" s="58"/>
      <c r="E381" s="58"/>
      <c r="F381" s="58"/>
      <c r="G381" s="58"/>
      <c r="H381" s="58"/>
      <c r="I381" s="58"/>
      <c r="J381" s="58"/>
      <c r="K381" s="58"/>
    </row>
    <row r="382" spans="1:43">
      <c r="C382" s="2161" t="s">
        <v>35</v>
      </c>
      <c r="D382" s="24" t="s">
        <v>1621</v>
      </c>
    </row>
    <row r="383" spans="1:43">
      <c r="B383" s="2278" t="str">
        <f>IF($B$323="","",IF(EICNumQualChild&lt;2,"",IF(OR(AND(File_Marr_Joint&lt;&gt;"",EarnedIncomeWSB&lt;O10),EarnedIncomeWSB&lt;N10),"®","")))</f>
        <v/>
      </c>
      <c r="C383" s="140" t="s">
        <v>1600</v>
      </c>
      <c r="D383" s="74" t="s">
        <v>1967</v>
      </c>
    </row>
    <row r="384" spans="1:43">
      <c r="B384" s="2174"/>
      <c r="D384" s="24" t="str">
        <f>"Is line 4b less than "&amp;TEXT(N10,"$0,000")&amp;" ("&amp;TEXT(O10,"$0,000")&amp;" if married filing jointly)?"</f>
        <v>Is line 4b less than $49,194 ($54,884 if married filing jointly)?</v>
      </c>
    </row>
    <row r="385" spans="2:41">
      <c r="B385" s="2174"/>
      <c r="C385" s="43" t="s">
        <v>274</v>
      </c>
    </row>
    <row r="386" spans="2:41">
      <c r="B386" s="2278" t="str">
        <f>IF($B$323="","",IF(EICNumQualChild&lt;&gt;2,"",IF(OR(AND(File_Marr_Joint&lt;&gt;"",EarnedIncomeWSB&lt;O13),EarnedIncomeWSB&lt;N13),"®","")))</f>
        <v/>
      </c>
      <c r="C386" s="140" t="s">
        <v>1600</v>
      </c>
      <c r="D386" s="74" t="s">
        <v>1968</v>
      </c>
    </row>
    <row r="387" spans="2:41">
      <c r="B387" s="2174"/>
      <c r="D387" s="24" t="str">
        <f>"Is line 4b less than "&amp;TEXT(N13,"$0,000")&amp;" ("&amp;TEXT(O13,"$0,000")&amp;" if married filing jointly)?"</f>
        <v>Is line 4b less than $45,802 ($51,492 if married filing jointly)?</v>
      </c>
    </row>
    <row r="388" spans="2:41">
      <c r="B388" s="2174"/>
      <c r="C388" s="43" t="s">
        <v>274</v>
      </c>
    </row>
    <row r="389" spans="2:41">
      <c r="B389" s="2278" t="str">
        <f>IF($B$323="","",IF(B386="X","",IF(EICNumQualChild&lt;&gt;1,"",IF(OR(AND(File_Marr_Joint&lt;&gt;"",EarnedIncomeWSB&lt;O16),EarnedIncomeWSB&lt;N16),"®",""))))</f>
        <v/>
      </c>
      <c r="C389" s="140" t="s">
        <v>1600</v>
      </c>
      <c r="D389" s="74" t="s">
        <v>1969</v>
      </c>
    </row>
    <row r="390" spans="2:41">
      <c r="B390" s="2174"/>
      <c r="D390" s="24" t="str">
        <f>"Is line 4b less than "&amp;TEXT(N16,"$0,000")&amp;" ("&amp;TEXT(O16,"$0,000")&amp;" if married filing jointly)?"</f>
        <v>Is line 4b less than $40,320 ($46,010 if married filing jointly)?</v>
      </c>
    </row>
    <row r="391" spans="2:41">
      <c r="B391" s="2174"/>
      <c r="C391" s="43" t="s">
        <v>274</v>
      </c>
    </row>
    <row r="392" spans="2:41">
      <c r="B392" s="2278" t="str">
        <f>IF($B$323="","",IF(OR(B386="X",B389="X"),"",IF(EICNumQualChild&lt;&gt;0,"",IF(OR(AND(File_Marr_Joint&lt;&gt;"",EarnedIncomeWSB&lt;O19),EarnedIncomeWSB&lt;N19),"®",""))))</f>
        <v/>
      </c>
      <c r="C392" s="140" t="s">
        <v>1600</v>
      </c>
      <c r="D392" s="24" t="s">
        <v>1612</v>
      </c>
    </row>
    <row r="393" spans="2:41">
      <c r="D393" s="24" t="str">
        <f>"Is line 4b less than "&amp;TEXT(N19,"$0,000")&amp;" ("&amp;TEXT(O19,"$0,000")&amp;" if married filing jointly)?"</f>
        <v>Is line 4b less than $15,270 ($20,950 if married filing jointly)?</v>
      </c>
    </row>
    <row r="395" spans="2:41">
      <c r="B395" s="2527" t="str">
        <f>IF($B$323="","",IF(OR(B383="®",B386="®",B389="®",B392="®"),"X",""))</f>
        <v/>
      </c>
      <c r="D395" s="25" t="s">
        <v>1970</v>
      </c>
    </row>
    <row r="396" spans="2:41">
      <c r="D396" s="74" t="s">
        <v>4408</v>
      </c>
    </row>
    <row r="398" spans="2:41">
      <c r="B398" s="2527" t="str">
        <f>IF($B$323="","",IF(OR(B383="®",B386="®",B389="®",B392="®"),"","X"))</f>
        <v/>
      </c>
      <c r="D398" s="74" t="s">
        <v>4409</v>
      </c>
    </row>
    <row r="399" spans="2:41" ht="7.5" customHeight="1"/>
    <row r="400" spans="2:41" s="2164" customFormat="1" ht="7.5" customHeight="1">
      <c r="B400" s="2163"/>
      <c r="N400" s="2165"/>
      <c r="AN400" s="2165"/>
      <c r="AO400" s="2165"/>
    </row>
    <row r="401" spans="1:48" s="137" customFormat="1" ht="15.75">
      <c r="A401" s="2182" t="s">
        <v>1776</v>
      </c>
      <c r="B401" s="2198" t="s">
        <v>1774</v>
      </c>
      <c r="C401" s="2157"/>
      <c r="N401" s="2158"/>
      <c r="AN401" s="2158"/>
      <c r="AO401" s="2158"/>
    </row>
    <row r="403" spans="1:48" ht="13.5" thickBot="1">
      <c r="C403" s="2161" t="s">
        <v>75</v>
      </c>
      <c r="D403" s="74" t="s">
        <v>1781</v>
      </c>
      <c r="L403" s="2172" t="s">
        <v>1975</v>
      </c>
      <c r="M403" s="2518" t="str">
        <f>IF(OR($B$323="",B398&lt;&gt;""),"",EarnedIncomeWSB)</f>
        <v/>
      </c>
      <c r="AN403" s="74" t="s">
        <v>1657</v>
      </c>
    </row>
    <row r="404" spans="1:48">
      <c r="C404" s="2161"/>
      <c r="N404" s="2161"/>
      <c r="O404" s="464"/>
      <c r="AN404" s="2185" t="str">
        <f>EarnedIncomeWSB</f>
        <v/>
      </c>
      <c r="AO404" s="5819" t="s">
        <v>1615</v>
      </c>
      <c r="AP404" s="5820"/>
      <c r="AQ404" s="5819" t="s">
        <v>1616</v>
      </c>
      <c r="AR404" s="5820"/>
      <c r="AS404" s="5819" t="s">
        <v>1763</v>
      </c>
      <c r="AT404" s="5820"/>
      <c r="AU404" s="5819" t="s">
        <v>1764</v>
      </c>
      <c r="AV404" s="5820"/>
    </row>
    <row r="405" spans="1:48">
      <c r="C405" s="2161" t="s">
        <v>76</v>
      </c>
      <c r="D405" s="74" t="s">
        <v>2119</v>
      </c>
      <c r="N405" s="2161"/>
      <c r="O405" s="464"/>
      <c r="AN405" s="2186" t="str">
        <f>IF(AN404&lt;&gt;"",ROUND(AN404,0),"")</f>
        <v/>
      </c>
      <c r="AO405" s="2187" t="s">
        <v>1427</v>
      </c>
      <c r="AP405" s="2188" t="s">
        <v>1617</v>
      </c>
      <c r="AQ405" s="2187" t="s">
        <v>1427</v>
      </c>
      <c r="AR405" s="2188" t="s">
        <v>1617</v>
      </c>
      <c r="AS405" s="2187" t="s">
        <v>1427</v>
      </c>
      <c r="AT405" s="2189" t="s">
        <v>1617</v>
      </c>
      <c r="AU405" s="2187" t="s">
        <v>1427</v>
      </c>
      <c r="AV405" s="2189" t="s">
        <v>1617</v>
      </c>
    </row>
    <row r="406" spans="1:48">
      <c r="C406" s="2161"/>
      <c r="D406" s="74" t="s">
        <v>2120</v>
      </c>
      <c r="N406" s="2172" t="s">
        <v>1976</v>
      </c>
      <c r="O406" s="2518" t="str">
        <f>IF(M403=0,0,IF(OR($B$323="",B398&lt;&gt;""),"",AN408))</f>
        <v/>
      </c>
      <c r="AN406" s="2190"/>
      <c r="AO406" s="2191" t="e">
        <f>LOOKUP(AN407,'EIC Table'!$A$3:$A$1099,'EIC Table'!$C$3:$C$1099)</f>
        <v>#N/A</v>
      </c>
      <c r="AP406" s="2192" t="e">
        <f>LOOKUP(AN407,'EIC Table'!$A$3:$A$1099,'EIC Table'!$G$3:$G$1099)</f>
        <v>#N/A</v>
      </c>
      <c r="AQ406" s="2191" t="e">
        <f>LOOKUP(AN407,'EIC Table'!$A$3:$A$1099,'EIC Table'!$D$3:$D$1099)</f>
        <v>#N/A</v>
      </c>
      <c r="AR406" s="2192" t="e">
        <f>LOOKUP(AN407,'EIC Table'!$A$3:$A$1099,'EIC Table'!$H$3:$H$1099)</f>
        <v>#N/A</v>
      </c>
      <c r="AS406" s="2193" t="e">
        <f>LOOKUP(AN407,'EIC Table'!$A$3:$A$1099,'EIC Table'!$E$3:$E$1099)</f>
        <v>#N/A</v>
      </c>
      <c r="AT406" s="2192" t="e">
        <f>LOOKUP(AN407,'EIC Table'!$A$3:$A$1099,'EIC Table'!$I$3:$I$1099)</f>
        <v>#N/A</v>
      </c>
      <c r="AU406" s="2193" t="e">
        <f>LOOKUP(AN407,'EIC Table'!$A$3:$A$1099,'EIC Table'!$F$3:$F$1099)</f>
        <v>#N/A</v>
      </c>
      <c r="AV406" s="2192" t="e">
        <f>LOOKUP(AN407,'EIC Table'!$A$3:$A$1099,'EIC Table'!$J$3:$J$1099)</f>
        <v>#N/A</v>
      </c>
    </row>
    <row r="407" spans="1:48" ht="13.5" thickBot="1">
      <c r="C407" s="2161"/>
      <c r="D407" s="74" t="s">
        <v>2121</v>
      </c>
      <c r="N407" s="2161"/>
      <c r="O407" s="464"/>
      <c r="AN407" s="2186" t="str">
        <f>IF(AN405="","",AN405)</f>
        <v/>
      </c>
      <c r="AO407" s="2191"/>
      <c r="AP407" s="2192"/>
      <c r="AQ407" s="2191"/>
      <c r="AR407" s="2192"/>
      <c r="AS407" s="2193"/>
      <c r="AT407" s="2192"/>
      <c r="AU407" s="2193"/>
      <c r="AV407" s="2192"/>
    </row>
    <row r="408" spans="1:48" ht="13.5" thickBot="1">
      <c r="C408" s="2161"/>
      <c r="N408" s="2161"/>
      <c r="O408" s="464"/>
      <c r="AN408" s="2194" t="e">
        <f>IF(EICNumQualChild&gt;2,AV408,IF(EICNumQualChild=2,AT408,IF(EICNumQualChild=1,AR408,AP408)))</f>
        <v>#N/A</v>
      </c>
      <c r="AO408" s="2195"/>
      <c r="AP408" s="2196" t="e">
        <f>IF(File_Marr_Joint&lt;&gt;"",AP406,AO406)</f>
        <v>#N/A</v>
      </c>
      <c r="AQ408" s="2195"/>
      <c r="AR408" s="2196" t="e">
        <f>IF(File_Marr_Joint&lt;&gt;"",AR406,AQ406)</f>
        <v>#N/A</v>
      </c>
      <c r="AS408" s="2197"/>
      <c r="AT408" s="2196" t="e">
        <f>IF(File_Marr_Joint&lt;&gt;"",AT406,AS406)</f>
        <v>#N/A</v>
      </c>
      <c r="AU408" s="2197"/>
      <c r="AV408" s="2196" t="e">
        <f>IF(File_Marr_Joint&lt;&gt;"",AV406,AU406)</f>
        <v>#N/A</v>
      </c>
    </row>
    <row r="409" spans="1:48">
      <c r="C409" s="2161"/>
      <c r="D409" s="74" t="s">
        <v>4027</v>
      </c>
      <c r="N409" s="2161"/>
      <c r="O409" s="464"/>
      <c r="AN409" s="24"/>
      <c r="AO409" s="24"/>
    </row>
    <row r="410" spans="1:48">
      <c r="C410" s="2161"/>
      <c r="D410" s="74" t="s">
        <v>3972</v>
      </c>
      <c r="N410" s="2161"/>
      <c r="O410" s="464"/>
      <c r="AN410" s="24"/>
      <c r="AO410" s="24"/>
    </row>
    <row r="411" spans="1:48">
      <c r="C411" s="2161"/>
      <c r="N411" s="2161"/>
      <c r="O411" s="464"/>
      <c r="AN411" s="24"/>
      <c r="AO411" s="24"/>
    </row>
    <row r="412" spans="1:48">
      <c r="C412" s="2161" t="s">
        <v>232</v>
      </c>
      <c r="D412" s="74" t="s">
        <v>4019</v>
      </c>
      <c r="L412" s="2172" t="s">
        <v>1977</v>
      </c>
      <c r="M412" s="2518" t="str">
        <f>IF(OR($B$323="",B398&lt;&gt;""),"",Adj_Gross_Inc)</f>
        <v/>
      </c>
      <c r="N412" s="2161"/>
      <c r="O412" s="464"/>
      <c r="AN412" s="24"/>
      <c r="AO412" s="24"/>
    </row>
    <row r="413" spans="1:48">
      <c r="C413" s="2161"/>
      <c r="N413" s="2161"/>
      <c r="O413" s="464"/>
      <c r="AN413" s="24"/>
      <c r="AO413" s="24"/>
    </row>
    <row r="414" spans="1:48">
      <c r="C414" s="2161" t="s">
        <v>233</v>
      </c>
      <c r="D414" s="24" t="s">
        <v>1658</v>
      </c>
      <c r="N414" s="2161"/>
      <c r="O414" s="464"/>
      <c r="AN414" s="24"/>
      <c r="AO414" s="24"/>
    </row>
    <row r="415" spans="1:48">
      <c r="C415" s="2161"/>
      <c r="N415" s="2161"/>
      <c r="O415" s="464"/>
      <c r="AN415" s="24"/>
      <c r="AO415" s="24"/>
    </row>
    <row r="416" spans="1:48">
      <c r="B416" s="2527" t="str">
        <f>IF(OR($B$323="",B398&lt;&gt;""),"",IF(M412=M403,"X",""))</f>
        <v/>
      </c>
      <c r="D416" s="74" t="s">
        <v>4028</v>
      </c>
      <c r="AN416" s="24"/>
      <c r="AO416" s="24"/>
    </row>
    <row r="417" spans="1:48">
      <c r="C417" s="2161"/>
      <c r="N417" s="2161"/>
      <c r="O417" s="464"/>
      <c r="AN417" s="24"/>
      <c r="AO417" s="24"/>
    </row>
    <row r="418" spans="1:48">
      <c r="B418" s="2527" t="str">
        <f>IF(OR($B$323="",B398&lt;&gt;""),"",IF(M412=M403,"","X"))</f>
        <v/>
      </c>
      <c r="D418" s="74" t="s">
        <v>4029</v>
      </c>
      <c r="AN418" s="24"/>
      <c r="AO418" s="24"/>
    </row>
    <row r="419" spans="1:48" ht="7.5" customHeight="1"/>
    <row r="420" spans="1:48" s="2164" customFormat="1" ht="7.5" customHeight="1">
      <c r="B420" s="2163"/>
      <c r="N420" s="2165"/>
      <c r="AN420" s="2165"/>
      <c r="AO420" s="2165"/>
    </row>
    <row r="421" spans="1:48" s="137" customFormat="1" ht="15.75">
      <c r="A421" s="2182" t="s">
        <v>1778</v>
      </c>
      <c r="B421" s="2198" t="s">
        <v>1777</v>
      </c>
      <c r="C421" s="2157"/>
      <c r="N421" s="2158"/>
      <c r="AN421" s="2158"/>
      <c r="AO421" s="2158"/>
    </row>
    <row r="423" spans="1:48">
      <c r="C423" s="2161" t="s">
        <v>337</v>
      </c>
      <c r="D423" s="24" t="s">
        <v>1621</v>
      </c>
      <c r="N423" s="24"/>
    </row>
    <row r="424" spans="1:48">
      <c r="C424" s="2161"/>
      <c r="N424" s="24"/>
    </row>
    <row r="425" spans="1:48">
      <c r="B425" s="2278" t="str">
        <f>IF(OR($B$323="",B398&lt;&gt;"",B416&lt;&gt;""),"",IF(AND(File_Marr_Joint,EICNumQualChild=0),"®",IF(EICNumQualChild=0,"®","")))</f>
        <v/>
      </c>
      <c r="C425" s="2161" t="s">
        <v>1659</v>
      </c>
      <c r="D425" s="74" t="s">
        <v>1612</v>
      </c>
      <c r="N425" s="24"/>
    </row>
    <row r="426" spans="1:48">
      <c r="B426" s="2174"/>
      <c r="C426" s="2161"/>
      <c r="D426" s="24" t="str">
        <f>" Is the amount on line 8 less than "&amp;TEXT(N290,"$0,000")&amp;" ("&amp;TEXT(N291,"$0,000")&amp;" if married filing jointly)?"</f>
        <v xml:space="preserve"> Is the amount on line 8 less than $8,500 ($14,200 if married filing jointly)?</v>
      </c>
      <c r="L426" s="43" t="str">
        <f>IF(B425&lt;&gt;"®","",IF(M426,"Yes","No"))</f>
        <v/>
      </c>
      <c r="M426" s="1440" t="b">
        <f>IF(OR(AND(File_Marr_Joint&lt;&gt;"",M412&lt;N291),M412&lt;N290),TRUE,FALSE)</f>
        <v>0</v>
      </c>
      <c r="N426" s="24"/>
    </row>
    <row r="427" spans="1:48">
      <c r="B427" s="2174"/>
      <c r="C427" s="2161"/>
      <c r="N427" s="24"/>
    </row>
    <row r="428" spans="1:48">
      <c r="B428" s="2278" t="str">
        <f>IF(OR($B$323="",B398&lt;&gt;"",B416&lt;&gt;""),"",IF(AND(File_Marr_Joint,EICNumQualChild&gt;0),"®",IF(EICNumQualChild&gt;0,"®","")))</f>
        <v/>
      </c>
      <c r="C428" s="2161" t="s">
        <v>1659</v>
      </c>
      <c r="D428" s="74" t="s">
        <v>1971</v>
      </c>
      <c r="N428" s="24"/>
    </row>
    <row r="429" spans="1:48">
      <c r="C429" s="2161"/>
      <c r="D429" s="24" t="str">
        <f>" Is the amount on line 8 less than "&amp;TEXT(N293,"$0,000")&amp;" ("&amp;TEXT(N294,"$0,000")&amp;" if married filing jointly)?"</f>
        <v xml:space="preserve"> Is the amount on line 8 less than $18,700 ($24,350 if married filing jointly)?</v>
      </c>
      <c r="L429" s="43" t="str">
        <f>IF(B428&lt;&gt;"®","",IF(M429,"Yes","No"))</f>
        <v/>
      </c>
      <c r="M429" s="1440" t="b">
        <f>IF(OR(AND(File_Marr_Joint&lt;&gt;"",M412&lt;N294),M412&lt;N293),TRUE,FALSE)</f>
        <v>0</v>
      </c>
      <c r="N429" s="24"/>
    </row>
    <row r="430" spans="1:48" ht="13.5" thickBot="1">
      <c r="C430" s="2161"/>
      <c r="N430" s="24"/>
      <c r="AN430" s="1127" t="s">
        <v>1770</v>
      </c>
    </row>
    <row r="431" spans="1:48">
      <c r="B431" s="2527" t="str">
        <f>IF(OR($B$323="",$B$398&lt;&gt;"",$B$416&lt;&gt;""),"",IF(OR(AND($B$425="®",$M$426),AND($B$428="®",$M$429)),"X",""))</f>
        <v/>
      </c>
      <c r="C431" s="2161"/>
      <c r="D431" s="74" t="s">
        <v>4031</v>
      </c>
      <c r="N431" s="24"/>
      <c r="AN431" s="2185" t="str">
        <f>M412</f>
        <v/>
      </c>
      <c r="AO431" s="5819" t="s">
        <v>1615</v>
      </c>
      <c r="AP431" s="5820"/>
      <c r="AQ431" s="5819" t="s">
        <v>1616</v>
      </c>
      <c r="AR431" s="5820"/>
      <c r="AS431" s="5819" t="s">
        <v>1763</v>
      </c>
      <c r="AT431" s="5820"/>
      <c r="AU431" s="5819" t="s">
        <v>1764</v>
      </c>
      <c r="AV431" s="5820"/>
    </row>
    <row r="432" spans="1:48">
      <c r="C432" s="2161"/>
      <c r="N432" s="24"/>
      <c r="AN432" s="2186" t="str">
        <f>IF(AN431&lt;&gt;"",ROUND(AN431,0),"")</f>
        <v/>
      </c>
      <c r="AO432" s="2187" t="s">
        <v>1427</v>
      </c>
      <c r="AP432" s="2188" t="s">
        <v>1617</v>
      </c>
      <c r="AQ432" s="2187" t="s">
        <v>1427</v>
      </c>
      <c r="AR432" s="2188" t="s">
        <v>1617</v>
      </c>
      <c r="AS432" s="2187" t="s">
        <v>1427</v>
      </c>
      <c r="AT432" s="2189" t="s">
        <v>1617</v>
      </c>
      <c r="AU432" s="2187" t="s">
        <v>1427</v>
      </c>
      <c r="AV432" s="2189" t="s">
        <v>1617</v>
      </c>
    </row>
    <row r="433" spans="1:48">
      <c r="B433" s="2527" t="str">
        <f>IF(OR($B$323="",$B$398&lt;&gt;"",$B$416&lt;&gt;""),"",IF(OR(AND($B$425="®",$M$426),AND($B$428="®",$M$429)),"","X"))</f>
        <v/>
      </c>
      <c r="C433" s="2161"/>
      <c r="D433" s="74" t="s">
        <v>4030</v>
      </c>
      <c r="N433" s="24"/>
      <c r="AN433" s="2190"/>
      <c r="AO433" s="2191" t="e">
        <f>LOOKUP(AN434,'EIC Table'!$A$3:$A$1099,'EIC Table'!$C$3:$C$1099)</f>
        <v>#N/A</v>
      </c>
      <c r="AP433" s="2192" t="e">
        <f>LOOKUP(AN434,'EIC Table'!$A$3:$A$1099,'EIC Table'!$G$3:$G$1099)</f>
        <v>#N/A</v>
      </c>
      <c r="AQ433" s="2191" t="e">
        <f>LOOKUP(AN434,'EIC Table'!$A$3:$A$1099,'EIC Table'!$D$3:$D$1099)</f>
        <v>#N/A</v>
      </c>
      <c r="AR433" s="2192" t="e">
        <f>LOOKUP(AN434,'EIC Table'!$A$3:$A$1099,'EIC Table'!$H$3:$H$1099)</f>
        <v>#N/A</v>
      </c>
      <c r="AS433" s="2193" t="e">
        <f>LOOKUP(AN434,'EIC Table'!$A$3:$A$1099,'EIC Table'!$E$3:$E$1099)</f>
        <v>#N/A</v>
      </c>
      <c r="AT433" s="2192" t="e">
        <f>LOOKUP(AN434,'EIC Table'!$A$3:$A$1099,'EIC Table'!$I$3:$I$1099)</f>
        <v>#N/A</v>
      </c>
      <c r="AU433" s="2193" t="e">
        <f>LOOKUP(AN434,'EIC Table'!$A$3:$A$1099,'EIC Table'!$F$3:$F$1099)</f>
        <v>#N/A</v>
      </c>
      <c r="AV433" s="2192" t="e">
        <f>LOOKUP(AN434,'EIC Table'!$A$3:$A$1099,'EIC Table'!$J$3:$J$1099)</f>
        <v>#N/A</v>
      </c>
    </row>
    <row r="434" spans="1:48" ht="13.5" thickBot="1">
      <c r="C434" s="2161"/>
      <c r="D434" s="74" t="s">
        <v>1780</v>
      </c>
      <c r="N434" s="24"/>
      <c r="AN434" s="2186" t="str">
        <f>IF(AN432="","",AN432)</f>
        <v/>
      </c>
      <c r="AO434" s="2191"/>
      <c r="AP434" s="2192"/>
      <c r="AQ434" s="2191"/>
      <c r="AR434" s="2192"/>
      <c r="AS434" s="2193"/>
      <c r="AT434" s="2192"/>
      <c r="AU434" s="2193"/>
      <c r="AV434" s="2192"/>
    </row>
    <row r="435" spans="1:48" ht="13.5" thickBot="1">
      <c r="C435" s="2161"/>
      <c r="D435" s="24" t="s">
        <v>1661</v>
      </c>
      <c r="N435" s="24"/>
      <c r="AN435" s="2194" t="e">
        <f>IF(EICNumQualChild&gt;2,AV435,IF(EICNumQualChild=2,AT435,IF(EICNumQualChild=1,AR435,AP435)))</f>
        <v>#N/A</v>
      </c>
      <c r="AO435" s="2195"/>
      <c r="AP435" s="2196" t="e">
        <f>IF(File_Marr_Joint&lt;&gt;"",AP433,AO433)</f>
        <v>#N/A</v>
      </c>
      <c r="AQ435" s="2195"/>
      <c r="AR435" s="2196" t="e">
        <f>IF(File_Marr_Joint&lt;&gt;"",AR433,AQ433)</f>
        <v>#N/A</v>
      </c>
      <c r="AS435" s="2197"/>
      <c r="AT435" s="2196" t="e">
        <f>IF(File_Marr_Joint&lt;&gt;"",AT433,AS433)</f>
        <v>#N/A</v>
      </c>
      <c r="AU435" s="2197"/>
      <c r="AV435" s="2196" t="e">
        <f>IF(File_Marr_Joint&lt;&gt;"",AV433,AU433)</f>
        <v>#N/A</v>
      </c>
    </row>
    <row r="436" spans="1:48">
      <c r="C436" s="2161"/>
      <c r="D436" s="74" t="s">
        <v>4032</v>
      </c>
      <c r="N436" s="2161" t="s">
        <v>1660</v>
      </c>
      <c r="O436" s="2518" t="str">
        <f>IF(OR($B$433="",$B$323=""),"",AN435)</f>
        <v/>
      </c>
    </row>
    <row r="437" spans="1:48">
      <c r="C437" s="2161"/>
      <c r="D437" s="74"/>
      <c r="N437" s="24"/>
    </row>
    <row r="438" spans="1:48">
      <c r="C438" s="2161"/>
      <c r="D438" s="24" t="s">
        <v>1662</v>
      </c>
      <c r="N438" s="24"/>
    </row>
    <row r="439" spans="1:48">
      <c r="C439" s="2161"/>
      <c r="D439" s="74" t="s">
        <v>1782</v>
      </c>
      <c r="N439" s="24"/>
    </row>
    <row r="440" spans="1:48" ht="7.5" customHeight="1"/>
    <row r="441" spans="1:48" s="2164" customFormat="1" ht="7.5" customHeight="1">
      <c r="B441" s="2163"/>
      <c r="N441" s="2165"/>
      <c r="AN441" s="2165"/>
      <c r="AO441" s="2165"/>
    </row>
    <row r="442" spans="1:48" s="137" customFormat="1" ht="15.75">
      <c r="A442" s="2182" t="s">
        <v>1779</v>
      </c>
      <c r="B442" s="2198" t="s">
        <v>1767</v>
      </c>
      <c r="C442" s="2157"/>
      <c r="N442" s="2158"/>
      <c r="AN442" s="2158"/>
      <c r="AO442" s="2158"/>
    </row>
    <row r="443" spans="1:48">
      <c r="N443" s="2161" t="s">
        <v>1663</v>
      </c>
      <c r="O443" s="2518" t="str">
        <f>IF(OR($B$323="",B398&lt;&gt;""),"",IF(O406&lt;O436,O406,O436))</f>
        <v/>
      </c>
    </row>
    <row r="444" spans="1:48">
      <c r="C444" s="3038" t="s">
        <v>338</v>
      </c>
      <c r="D444" s="25" t="s">
        <v>1625</v>
      </c>
      <c r="N444" s="24"/>
    </row>
    <row r="445" spans="1:48">
      <c r="C445" s="2161"/>
      <c r="N445" s="24"/>
      <c r="O445" s="74"/>
    </row>
    <row r="446" spans="1:48">
      <c r="C446" s="2161"/>
      <c r="D446" s="25" t="s">
        <v>4411</v>
      </c>
    </row>
    <row r="447" spans="1:48">
      <c r="C447" s="4755" t="s">
        <v>48</v>
      </c>
      <c r="D447" s="24" t="s">
        <v>1627</v>
      </c>
      <c r="O447" s="1672">
        <f>IF(EIC_WSA_Part3&lt;&gt;"",EIC_WSA_Part3,IF(EIC_WSB_Part7&lt;&gt;"",EIC_WSB_Part7,0))</f>
        <v>0</v>
      </c>
    </row>
    <row r="448" spans="1:48">
      <c r="D448" s="2308" t="s">
        <v>2022</v>
      </c>
    </row>
    <row r="450" spans="4:11">
      <c r="D450" s="58"/>
      <c r="E450" s="58"/>
      <c r="F450" s="58"/>
      <c r="G450" s="58"/>
      <c r="H450" s="58"/>
      <c r="I450" s="58"/>
      <c r="J450" s="58"/>
      <c r="K450" s="58"/>
    </row>
    <row r="451" spans="4:11">
      <c r="E451" s="2170" t="s">
        <v>1783</v>
      </c>
    </row>
    <row r="452" spans="4:11">
      <c r="E452" s="74" t="s">
        <v>4033</v>
      </c>
    </row>
    <row r="453" spans="4:11">
      <c r="E453" s="2170" t="str">
        <f>"8862 to take the credit for "&amp;TaxYear&amp;"."</f>
        <v>8862 to take the credit for 2018.</v>
      </c>
    </row>
  </sheetData>
  <sheetProtection password="F07E" sheet="1" objects="1" scenarios="1"/>
  <mergeCells count="44">
    <mergeCell ref="A61:B61"/>
    <mergeCell ref="A118:B118"/>
    <mergeCell ref="A135:B135"/>
    <mergeCell ref="A143:B143"/>
    <mergeCell ref="A144:B144"/>
    <mergeCell ref="A113:B113"/>
    <mergeCell ref="A119:B119"/>
    <mergeCell ref="A120:B120"/>
    <mergeCell ref="A121:B121"/>
    <mergeCell ref="A122:B122"/>
    <mergeCell ref="R352:X352"/>
    <mergeCell ref="A145:B145"/>
    <mergeCell ref="A146:B146"/>
    <mergeCell ref="A158:B158"/>
    <mergeCell ref="M88:Y93"/>
    <mergeCell ref="M96:Y98"/>
    <mergeCell ref="M101:Y104"/>
    <mergeCell ref="R340:X340"/>
    <mergeCell ref="A157:B157"/>
    <mergeCell ref="AU298:AV298"/>
    <mergeCell ref="A159:B159"/>
    <mergeCell ref="A160:B160"/>
    <mergeCell ref="A161:B161"/>
    <mergeCell ref="AS271:AT271"/>
    <mergeCell ref="AO298:AP298"/>
    <mergeCell ref="AQ298:AR298"/>
    <mergeCell ref="AS298:AT298"/>
    <mergeCell ref="AO271:AP271"/>
    <mergeCell ref="AQ271:AR271"/>
    <mergeCell ref="AU271:AV271"/>
    <mergeCell ref="A168:B168"/>
    <mergeCell ref="R353:X353"/>
    <mergeCell ref="R354:X354"/>
    <mergeCell ref="AU431:AV431"/>
    <mergeCell ref="AS431:AT431"/>
    <mergeCell ref="AQ431:AR431"/>
    <mergeCell ref="AO431:AP431"/>
    <mergeCell ref="AU404:AV404"/>
    <mergeCell ref="AS404:AT404"/>
    <mergeCell ref="AQ404:AR404"/>
    <mergeCell ref="AO404:AP404"/>
    <mergeCell ref="R355:X355"/>
    <mergeCell ref="R376:X376"/>
    <mergeCell ref="R368:X368"/>
  </mergeCells>
  <conditionalFormatting sqref="D21">
    <cfRule type="expression" dxfId="2382" priority="159" stopIfTrue="1">
      <formula>IF($B$21="X",1,0)</formula>
    </cfRule>
  </conditionalFormatting>
  <conditionalFormatting sqref="J21">
    <cfRule type="expression" dxfId="2381" priority="160" stopIfTrue="1">
      <formula>IF(H21="X",1,0)</formula>
    </cfRule>
  </conditionalFormatting>
  <conditionalFormatting sqref="J111">
    <cfRule type="expression" dxfId="2380" priority="168" stopIfTrue="1">
      <formula>IF(B105="",0,IF(AND(H78&lt;&gt;"",EICNumQualChild=0),1,0))</formula>
    </cfRule>
  </conditionalFormatting>
  <conditionalFormatting sqref="J78">
    <cfRule type="expression" dxfId="2379" priority="82">
      <formula>IF($H$78&lt;&gt;"",1,0)</formula>
    </cfRule>
    <cfRule type="expression" dxfId="2378" priority="172">
      <formula>IF(AND($B$68="",$B$70="",$B$73="",$B$76="",N$78="",NOT(NoEICredit)),1,0)</formula>
    </cfRule>
  </conditionalFormatting>
  <conditionalFormatting sqref="D275:D276">
    <cfRule type="expression" dxfId="2377" priority="186" stopIfTrue="1">
      <formula>IF($L$271=0,1,0)</formula>
    </cfRule>
  </conditionalFormatting>
  <conditionalFormatting sqref="D296">
    <cfRule type="expression" dxfId="2376" priority="187" stopIfTrue="1">
      <formula>IF($B$296&lt;&gt;"",1,0)</formula>
    </cfRule>
  </conditionalFormatting>
  <conditionalFormatting sqref="D298:D300">
    <cfRule type="expression" dxfId="2375" priority="188" stopIfTrue="1">
      <formula>IF($B$298&lt;&gt;"",1,0)</formula>
    </cfRule>
  </conditionalFormatting>
  <conditionalFormatting sqref="J257 D418">
    <cfRule type="expression" dxfId="2374" priority="189" stopIfTrue="1">
      <formula>IF(AND($B$233="",$B$250="X",B257&lt;&gt;""),1,0)</formula>
    </cfRule>
  </conditionalFormatting>
  <conditionalFormatting sqref="D257:D258">
    <cfRule type="expression" dxfId="2373" priority="190" stopIfTrue="1">
      <formula>IF(AND($H$257="",$B$257="X"),1,0)</formula>
    </cfRule>
  </conditionalFormatting>
  <conditionalFormatting sqref="D379:D380">
    <cfRule type="expression" dxfId="2372" priority="191" stopIfTrue="1">
      <formula>IF($O$378&lt;=0,1,0)</formula>
    </cfRule>
  </conditionalFormatting>
  <conditionalFormatting sqref="D417 D409:D411 D413 D415">
    <cfRule type="expression" dxfId="2371" priority="192" stopIfTrue="1">
      <formula>IF($O$406&lt;=0,1,0)</formula>
    </cfRule>
  </conditionalFormatting>
  <conditionalFormatting sqref="D398">
    <cfRule type="expression" dxfId="2370" priority="193" stopIfTrue="1">
      <formula>IF(B398&lt;&gt;"",1,0)</formula>
    </cfRule>
  </conditionalFormatting>
  <conditionalFormatting sqref="D416">
    <cfRule type="expression" dxfId="2369" priority="194" stopIfTrue="1">
      <formula>IF($B$416&lt;&gt;"",1,0)</formula>
    </cfRule>
  </conditionalFormatting>
  <conditionalFormatting sqref="D433:D439">
    <cfRule type="expression" dxfId="2368" priority="195" stopIfTrue="1">
      <formula>"IF($B$367&lt;&gt;"""",1,0)"</formula>
    </cfRule>
  </conditionalFormatting>
  <conditionalFormatting sqref="D431">
    <cfRule type="expression" dxfId="2367" priority="196" stopIfTrue="1">
      <formula>IF($B$431&lt;&gt;"",1,0)</formula>
    </cfRule>
  </conditionalFormatting>
  <conditionalFormatting sqref="D105">
    <cfRule type="expression" dxfId="2366" priority="197" stopIfTrue="1">
      <formula>IF($B$105="",1,0)</formula>
    </cfRule>
  </conditionalFormatting>
  <conditionalFormatting sqref="C1">
    <cfRule type="expression" dxfId="2365" priority="198" stopIfTrue="1">
      <formula>IF($A$1=1,1,0)</formula>
    </cfRule>
  </conditionalFormatting>
  <conditionalFormatting sqref="D446:D447">
    <cfRule type="expression" dxfId="2364" priority="200" stopIfTrue="1">
      <formula>IF(AND($B$215&lt;&gt;"",$B$105&gt;0),1,0)</formula>
    </cfRule>
  </conditionalFormatting>
  <conditionalFormatting sqref="D125:D126 D116">
    <cfRule type="expression" dxfId="2363" priority="202" stopIfTrue="1">
      <formula>IF(AND($B$111="X",$B$124="X",$H$108="",$B$31="",$H$26="",$H$21=""),1,0)</formula>
    </cfRule>
  </conditionalFormatting>
  <conditionalFormatting sqref="D23">
    <cfRule type="expression" dxfId="2362" priority="157">
      <formula>IF(AND($B$26="",$H$26="",NOT(NoEICredit)),1,0)</formula>
    </cfRule>
  </conditionalFormatting>
  <conditionalFormatting sqref="D24">
    <cfRule type="expression" dxfId="2361" priority="155">
      <formula>IF(AND($B$26="",$H$26="",NOT(NoEICredit)),1,0)</formula>
    </cfRule>
  </conditionalFormatting>
  <conditionalFormatting sqref="D33">
    <cfRule type="expression" dxfId="2360" priority="154">
      <formula>IF(AND($B$35="",$H$35="",NOT(NoEICredit)),1,0)</formula>
    </cfRule>
  </conditionalFormatting>
  <conditionalFormatting sqref="D37">
    <cfRule type="expression" dxfId="2359" priority="153">
      <formula>IF(AND($B$26&lt;&gt;"",$B$39="",$H$39="",NOT(NoEICredit)),1,0)</formula>
    </cfRule>
  </conditionalFormatting>
  <conditionalFormatting sqref="D66">
    <cfRule type="expression" dxfId="2358" priority="147">
      <formula>IF(AND($B$68="",$B$70="",$B$73="",$B$76="",H$78="",NOT(NoEICredit)),1,0)</formula>
    </cfRule>
  </conditionalFormatting>
  <conditionalFormatting sqref="D133">
    <cfRule type="expression" dxfId="2357" priority="135">
      <formula>IF(AND($B$105=0,$B$133&lt;&gt;""),1,0)</formula>
    </cfRule>
  </conditionalFormatting>
  <conditionalFormatting sqref="D141">
    <cfRule type="expression" dxfId="2356" priority="134">
      <formula>IF(AND($B$105=0,$B$141&lt;&gt;""),1,0)</formula>
    </cfRule>
  </conditionalFormatting>
  <conditionalFormatting sqref="D143:D146">
    <cfRule type="expression" dxfId="2355" priority="1059">
      <formula>IF(AND($B$133="X",$B$141="X",$B$148="",$H$148="",NOT(NoEICredit)),1,0)</formula>
    </cfRule>
  </conditionalFormatting>
  <conditionalFormatting sqref="J148:J150">
    <cfRule type="expression" dxfId="2354" priority="133" stopIfTrue="1">
      <formula>IF(AND($B$133="X",$B$141="X",$H$148&lt;&gt;""),1,0)</formula>
    </cfRule>
  </conditionalFormatting>
  <conditionalFormatting sqref="D148">
    <cfRule type="expression" dxfId="2353" priority="132">
      <formula>IF(AND($B$105=0,$B$133&lt;&gt;"",$B$141&lt;&gt;"",$B$148&lt;&gt;""),1,0)</formula>
    </cfRule>
  </conditionalFormatting>
  <conditionalFormatting sqref="D154:D155">
    <cfRule type="expression" dxfId="2352" priority="131">
      <formula>IF(OR($B$115="X",$H$124&lt;&gt;""),0,IF(File_Marr_Joint&lt;&gt;"",1,0))</formula>
    </cfRule>
  </conditionalFormatting>
  <conditionalFormatting sqref="J172">
    <cfRule type="expression" dxfId="2351" priority="130" stopIfTrue="1">
      <formula>IF(AND(H162="",H171="X"),1,0)</formula>
    </cfRule>
  </conditionalFormatting>
  <conditionalFormatting sqref="J154">
    <cfRule type="expression" dxfId="2350" priority="127">
      <formula>IF(AND($B$105=0,$B$133&lt;&gt;"",$B$141&lt;&gt;"",$B$148&lt;&gt;""),1,0)</formula>
    </cfRule>
  </conditionalFormatting>
  <conditionalFormatting sqref="J163">
    <cfRule type="expression" dxfId="2349" priority="125">
      <formula>IF(AND($B$105=0,$B$133&lt;&gt;"",$B$141&lt;&gt;"",$B$148&lt;&gt;"",$H$154&lt;&gt;"",$H$163&lt;&gt;""),1,0)</formula>
    </cfRule>
  </conditionalFormatting>
  <conditionalFormatting sqref="D233">
    <cfRule type="expression" dxfId="2348" priority="1060" stopIfTrue="1">
      <formula>IF($B$233="X",1,0)</formula>
    </cfRule>
  </conditionalFormatting>
  <conditionalFormatting sqref="D234">
    <cfRule type="expression" dxfId="2347" priority="117" stopIfTrue="1">
      <formula>IF($B$233="X",1,0)</formula>
    </cfRule>
  </conditionalFormatting>
  <conditionalFormatting sqref="J233">
    <cfRule type="expression" dxfId="2346" priority="116" stopIfTrue="1">
      <formula>IF($H$233="X",1,0)</formula>
    </cfRule>
  </conditionalFormatting>
  <conditionalFormatting sqref="J250">
    <cfRule type="expression" dxfId="2345" priority="115" stopIfTrue="1">
      <formula>IF($H$250="X",1,0)</formula>
    </cfRule>
  </conditionalFormatting>
  <conditionalFormatting sqref="D250">
    <cfRule type="expression" dxfId="2344" priority="114" stopIfTrue="1">
      <formula>IF($B$250="X",1,0)</formula>
    </cfRule>
  </conditionalFormatting>
  <conditionalFormatting sqref="G253">
    <cfRule type="expression" dxfId="2343" priority="113" stopIfTrue="1">
      <formula>IF(G253&lt;&gt;"",1,0)</formula>
    </cfRule>
  </conditionalFormatting>
  <conditionalFormatting sqref="J26">
    <cfRule type="expression" dxfId="2342" priority="1121" stopIfTrue="1">
      <formula>IF(AND(H21="",H26="X"),1,0)</formula>
    </cfRule>
  </conditionalFormatting>
  <conditionalFormatting sqref="J27">
    <cfRule type="expression" dxfId="2341" priority="1122" stopIfTrue="1">
      <formula>IF(AND(H21="",H26="X"),1,0)</formula>
    </cfRule>
  </conditionalFormatting>
  <conditionalFormatting sqref="D31">
    <cfRule type="expression" dxfId="2340" priority="1144" stopIfTrue="1">
      <formula>IF(AND(H27="",B31="X"),1,0)</formula>
    </cfRule>
  </conditionalFormatting>
  <conditionalFormatting sqref="D35">
    <cfRule type="expression" dxfId="2339" priority="1150" stopIfTrue="1">
      <formula>IF(AND(B35="X",$B$31="",$H$26="",$H$21=""),1,0)</formula>
    </cfRule>
  </conditionalFormatting>
  <conditionalFormatting sqref="D178">
    <cfRule type="expression" dxfId="2338" priority="1163" stopIfTrue="1">
      <formula>IF(AND($B$178="X",$B$31="",$H$26="",$H$21=""),1,0)</formula>
    </cfRule>
  </conditionalFormatting>
  <conditionalFormatting sqref="D39:D41">
    <cfRule type="expression" dxfId="2337" priority="1170" stopIfTrue="1">
      <formula>IF(AND($B$39="X",$B35="",$B$31="",$H$26="",$H$21=""),1,0)</formula>
    </cfRule>
  </conditionalFormatting>
  <conditionalFormatting sqref="J39 J178">
    <cfRule type="expression" dxfId="2336" priority="1172" stopIfTrue="1">
      <formula>IF(AND(H39="X",$B$35="",$B$31="",$H$26="",$H$21=""),1,0)</formula>
    </cfRule>
  </conditionalFormatting>
  <conditionalFormatting sqref="J179">
    <cfRule type="expression" dxfId="2335" priority="1176" stopIfTrue="1">
      <formula>IF(AND(H178="X",$B$35="",$B$31="",$H$26="",$H$21=""),1,0)</formula>
    </cfRule>
  </conditionalFormatting>
  <conditionalFormatting sqref="D61">
    <cfRule type="expression" dxfId="2334" priority="1195">
      <formula>IF(AND($B$59&lt;&gt;"",$B$63="",H$63="",NOT(NoEICredit)),1,0)</formula>
    </cfRule>
  </conditionalFormatting>
  <conditionalFormatting sqref="J63:J64">
    <cfRule type="expression" dxfId="2333" priority="1196" stopIfTrue="1">
      <formula>IF(AND(H63="X",H59="",$B$31="",$H$26="",$H$21=""),1,0)</formula>
    </cfRule>
  </conditionalFormatting>
  <conditionalFormatting sqref="D63:D64">
    <cfRule type="expression" dxfId="2332" priority="1197" stopIfTrue="1">
      <formula>IF(AND($B$63="X",$H$59="",$B$31="",$H$26="",$H$21=""),1,0)</formula>
    </cfRule>
  </conditionalFormatting>
  <conditionalFormatting sqref="D124">
    <cfRule type="expression" dxfId="2331" priority="1205" stopIfTrue="1">
      <formula>IF(AND($B$111="X",$B$124="X",$H$108="",$B$31="",$H$26="",$H$21=""),1,0)</formula>
    </cfRule>
  </conditionalFormatting>
  <conditionalFormatting sqref="J141">
    <cfRule type="expression" dxfId="2330" priority="1213" stopIfTrue="1">
      <formula>IF(AND(B133&lt;&gt;"",H141="X"),1,0)</formula>
    </cfRule>
  </conditionalFormatting>
  <conditionalFormatting sqref="D163">
    <cfRule type="expression" dxfId="2329" priority="1226">
      <formula>IF(OR($B$115="X",$H$124&lt;&gt;"",$B$154&lt;&gt;""),0,IF($B$163&lt;&gt;"",1,0))</formula>
    </cfRule>
  </conditionalFormatting>
  <conditionalFormatting sqref="J171">
    <cfRule type="expression" dxfId="2328" priority="1227">
      <formula>IF(OR(B115="X",H124&lt;&gt;"",B154&lt;&gt;"",B163&lt;&gt;""),0,IF(OR(DependentYOU&lt;&gt;"",DependentSPOUSE&lt;&gt;""),0,1))</formula>
    </cfRule>
  </conditionalFormatting>
  <conditionalFormatting sqref="D171">
    <cfRule type="expression" dxfId="2327" priority="1228">
      <formula>IF(OR(B123="X",H132&lt;&gt;"",B161&lt;&gt;"",B163&lt;&gt;""),0,IF(OR(DependentYOU&lt;&gt;"",DependentSPOUSE&lt;&gt;""),1,0))</formula>
    </cfRule>
  </conditionalFormatting>
  <conditionalFormatting sqref="D26">
    <cfRule type="expression" dxfId="2326" priority="111" stopIfTrue="1">
      <formula>IF($B$26="X",1,0)</formula>
    </cfRule>
  </conditionalFormatting>
  <conditionalFormatting sqref="J35">
    <cfRule type="expression" dxfId="2325" priority="110" stopIfTrue="1">
      <formula>IF($H$35="X",1,0)</formula>
    </cfRule>
  </conditionalFormatting>
  <conditionalFormatting sqref="D78">
    <cfRule type="expression" dxfId="2324" priority="109">
      <formula>IF(AND($B$78="X",$H$80=""),1,0)</formula>
    </cfRule>
  </conditionalFormatting>
  <conditionalFormatting sqref="G80">
    <cfRule type="expression" dxfId="2323" priority="103">
      <formula>IF(H80&lt;&gt;"",1,0)</formula>
    </cfRule>
    <cfRule type="expression" dxfId="2322" priority="108">
      <formula>IF($B$78="X",1,0)</formula>
    </cfRule>
  </conditionalFormatting>
  <conditionalFormatting sqref="D79">
    <cfRule type="expression" dxfId="2321" priority="107">
      <formula>IF(AND($B$78="X",$H$80=""),1,0)</formula>
    </cfRule>
  </conditionalFormatting>
  <conditionalFormatting sqref="D80">
    <cfRule type="expression" dxfId="2320" priority="106">
      <formula>IF(AND($B$78="X",$H$80=""),1,0)</formula>
    </cfRule>
  </conditionalFormatting>
  <conditionalFormatting sqref="H80">
    <cfRule type="expression" dxfId="2319" priority="12">
      <formula>IF($B$78="",1,0)</formula>
    </cfRule>
    <cfRule type="expression" dxfId="2318" priority="13">
      <formula>IF(OR(NoColor,$B$78=""),1,0)</formula>
    </cfRule>
    <cfRule type="expression" dxfId="2317" priority="104">
      <formula>IF($B$78="X",1,0)</formula>
    </cfRule>
  </conditionalFormatting>
  <conditionalFormatting sqref="J80">
    <cfRule type="expression" dxfId="2316" priority="101">
      <formula>IF(H80&lt;&gt;"",1,0)</formula>
    </cfRule>
    <cfRule type="expression" dxfId="2315" priority="102">
      <formula>IF($B$78="X",1,0)</formula>
    </cfRule>
  </conditionalFormatting>
  <conditionalFormatting sqref="A68">
    <cfRule type="expression" dxfId="2314" priority="99">
      <formula>IF(AND($B$68="",$B$70="",$B$73="",$B$76="",H$78="",NOT(NoEICredit)),1,0)</formula>
    </cfRule>
  </conditionalFormatting>
  <conditionalFormatting sqref="A70">
    <cfRule type="expression" dxfId="2313" priority="86">
      <formula>IF(AND($B$68="",$B$70="",$B$73="",$B$76="",H$78="",NOT(NoEICredit)),1,0)</formula>
    </cfRule>
  </conditionalFormatting>
  <conditionalFormatting sqref="A73">
    <cfRule type="expression" dxfId="2312" priority="85">
      <formula>IF(AND($B$68="",$B$70="",$B$73="",$B$76="",H$78="",NOT(NoEICredit)),1,0)</formula>
    </cfRule>
  </conditionalFormatting>
  <conditionalFormatting sqref="A76">
    <cfRule type="expression" dxfId="2311" priority="84">
      <formula>IF(AND($B$68="",$B$70="",$B$73="",$B$76="",H$78="",NOT(NoEICredit)),1,0)</formula>
    </cfRule>
  </conditionalFormatting>
  <conditionalFormatting sqref="G78">
    <cfRule type="expression" dxfId="2310" priority="71">
      <formula>IF($H$78&lt;&gt;"",1,0)</formula>
    </cfRule>
    <cfRule type="expression" dxfId="2309" priority="83">
      <formula>IF(AND($B$68="",$B$70="",$B$73="",$B$76="",N$78="",NOT(NoEICredit)),1,0)</formula>
    </cfRule>
  </conditionalFormatting>
  <conditionalFormatting sqref="D164:D166">
    <cfRule type="expression" dxfId="2308" priority="81">
      <formula>IF(OR($B$115="X",$H$124&lt;&gt;"",$B$154&lt;&gt;""),0,IF($B$163&lt;&gt;"",1,0))</formula>
    </cfRule>
  </conditionalFormatting>
  <conditionalFormatting sqref="D157:D161">
    <cfRule type="expression" dxfId="2307" priority="80">
      <formula>IF(AND($H$154="X",$B$163="",$H$163=""),1,0)</formula>
    </cfRule>
  </conditionalFormatting>
  <conditionalFormatting sqref="C157">
    <cfRule type="expression" dxfId="2306" priority="79">
      <formula>IF(AND($H$154="X",$B$163="",$H$163=""),1,0)</formula>
    </cfRule>
  </conditionalFormatting>
  <conditionalFormatting sqref="D179:D180">
    <cfRule type="expression" dxfId="2305" priority="78" stopIfTrue="1">
      <formula>IF(AND($B$178="X",$B$31="",$H$26="",$H$21=""),1,0)</formula>
    </cfRule>
  </conditionalFormatting>
  <conditionalFormatting sqref="G378">
    <cfRule type="expression" dxfId="2304" priority="77">
      <formula>IF(AND($B$233&lt;&gt;"",$H$250&lt;&gt;"X",$O$378&gt;0),1,0)</formula>
    </cfRule>
  </conditionalFormatting>
  <conditionalFormatting sqref="D395:D396">
    <cfRule type="expression" dxfId="2303" priority="76">
      <formula>IF($B$395="X",1,0)</formula>
    </cfRule>
  </conditionalFormatting>
  <conditionalFormatting sqref="L242">
    <cfRule type="expression" dxfId="2302" priority="75">
      <formula>IF(M242,1,0)</formula>
    </cfRule>
  </conditionalFormatting>
  <conditionalFormatting sqref="L239">
    <cfRule type="expression" dxfId="2301" priority="74">
      <formula>IF(M239,1,0)</formula>
    </cfRule>
  </conditionalFormatting>
  <conditionalFormatting sqref="L245">
    <cfRule type="expression" dxfId="2300" priority="73">
      <formula>IF(M245,1,0)</formula>
    </cfRule>
  </conditionalFormatting>
  <conditionalFormatting sqref="L248">
    <cfRule type="expression" dxfId="2299" priority="72">
      <formula>IF(M248,1,0)</formula>
    </cfRule>
  </conditionalFormatting>
  <conditionalFormatting sqref="D284">
    <cfRule type="expression" dxfId="2298" priority="70">
      <formula>IF(B284="X",1,0)</formula>
    </cfRule>
  </conditionalFormatting>
  <conditionalFormatting sqref="D282">
    <cfRule type="expression" dxfId="2297" priority="69">
      <formula>IF(B282="X",1,0)</formula>
    </cfRule>
  </conditionalFormatting>
  <conditionalFormatting sqref="L294">
    <cfRule type="expression" dxfId="2296" priority="68">
      <formula>IF(L294="Yes",1,0)</formula>
    </cfRule>
  </conditionalFormatting>
  <conditionalFormatting sqref="L291">
    <cfRule type="expression" dxfId="2295" priority="67">
      <formula>IF(L291="Yes",1,0)</formula>
    </cfRule>
  </conditionalFormatting>
  <conditionalFormatting sqref="D444">
    <cfRule type="expression" dxfId="2294" priority="66">
      <formula>IF($O$443="",0,IF($O$443&gt;0,1,0))</formula>
    </cfRule>
  </conditionalFormatting>
  <conditionalFormatting sqref="O444:O445">
    <cfRule type="expression" dxfId="2293" priority="65">
      <formula>IF($O$443="",0,IF($O$443&gt;0,1,0))</formula>
    </cfRule>
  </conditionalFormatting>
  <conditionalFormatting sqref="M10">
    <cfRule type="expression" dxfId="2292" priority="64">
      <formula>IF(M10="No",1,0)</formula>
    </cfRule>
  </conditionalFormatting>
  <conditionalFormatting sqref="M13">
    <cfRule type="expression" dxfId="2291" priority="63">
      <formula>IF(M13="No",1,0)</formula>
    </cfRule>
  </conditionalFormatting>
  <conditionalFormatting sqref="M16">
    <cfRule type="expression" dxfId="2290" priority="62">
      <formula>IF(M16="No",1,0)</formula>
    </cfRule>
  </conditionalFormatting>
  <conditionalFormatting sqref="M19">
    <cfRule type="expression" dxfId="2289" priority="61">
      <formula>IF(M19="No",1,0)</formula>
    </cfRule>
  </conditionalFormatting>
  <conditionalFormatting sqref="A176:B176">
    <cfRule type="expression" dxfId="2288" priority="59">
      <formula>IF(AND(OR($B$115="X",$H$124="X",$H$171="X"),$B$178="",$H$178=""),1,0)</formula>
    </cfRule>
  </conditionalFormatting>
  <conditionalFormatting sqref="B230">
    <cfRule type="expression" dxfId="2287" priority="57">
      <formula>IF(AND(OR($B$178&lt;&gt;"",$H$178&lt;&gt;""),$B$233="",$H$233=""),1,0)</formula>
    </cfRule>
  </conditionalFormatting>
  <conditionalFormatting sqref="B231">
    <cfRule type="expression" dxfId="2286" priority="50">
      <formula>IF(AND(OR($B$178&lt;&gt;"",$H$178&lt;&gt;""),$B$233="",$H$233=""),1,0)</formula>
    </cfRule>
  </conditionalFormatting>
  <conditionalFormatting sqref="A230">
    <cfRule type="expression" dxfId="2285" priority="49">
      <formula>IF(AND(OR($B$178&lt;&gt;"",$H$178&lt;&gt;""),$B$233="",$H$233=""),1,0)</formula>
    </cfRule>
  </conditionalFormatting>
  <conditionalFormatting sqref="E352 D351:E351">
    <cfRule type="expression" dxfId="2284" priority="45">
      <formula>IF($B$233="",0,IF(AND($B$323&lt;&gt;"",$O$351=""),1,0))</formula>
    </cfRule>
  </conditionalFormatting>
  <conditionalFormatting sqref="E355 D354:E354">
    <cfRule type="expression" dxfId="2283" priority="40">
      <formula>IF($B$233="",0,IF(AND($B$323&lt;&gt;"",OR($R$353="",$R$354="",$R$355="")),1,0))</formula>
    </cfRule>
  </conditionalFormatting>
  <conditionalFormatting sqref="H26">
    <cfRule type="expression" dxfId="2282" priority="36">
      <formula>IF(NoColor,1,0)</formula>
    </cfRule>
  </conditionalFormatting>
  <conditionalFormatting sqref="B178">
    <cfRule type="expression" dxfId="2281" priority="30">
      <formula>IF(NoColor,1,0)</formula>
    </cfRule>
  </conditionalFormatting>
  <conditionalFormatting sqref="H178">
    <cfRule type="expression" dxfId="2280" priority="29">
      <formula>IF(NoColor,1,0)</formula>
    </cfRule>
  </conditionalFormatting>
  <conditionalFormatting sqref="B163">
    <cfRule type="expression" dxfId="2279" priority="28">
      <formula>IF(NoColor,1,0)</formula>
    </cfRule>
  </conditionalFormatting>
  <conditionalFormatting sqref="H163">
    <cfRule type="expression" dxfId="2278" priority="27">
      <formula>IF(NoColor,1,0)</formula>
    </cfRule>
  </conditionalFormatting>
  <conditionalFormatting sqref="B148">
    <cfRule type="expression" dxfId="2277" priority="26">
      <formula>IF(NoColor,1,0)</formula>
    </cfRule>
  </conditionalFormatting>
  <conditionalFormatting sqref="H148">
    <cfRule type="expression" dxfId="2276" priority="25">
      <formula>IF(NoColor,1,0)</formula>
    </cfRule>
  </conditionalFormatting>
  <conditionalFormatting sqref="H78">
    <cfRule type="expression" dxfId="2275" priority="24">
      <formula>IF(NoColor,1,0)</formula>
    </cfRule>
  </conditionalFormatting>
  <conditionalFormatting sqref="H39">
    <cfRule type="expression" dxfId="2274" priority="23">
      <formula>IF(NoColor,1,0)</formula>
    </cfRule>
  </conditionalFormatting>
  <conditionalFormatting sqref="H233">
    <cfRule type="expression" dxfId="2273" priority="21">
      <formula>IF(NoColor,1,0)</formula>
    </cfRule>
  </conditionalFormatting>
  <conditionalFormatting sqref="B257">
    <cfRule type="expression" dxfId="2272" priority="19">
      <formula>IF(NoColor,1,0)</formula>
    </cfRule>
  </conditionalFormatting>
  <conditionalFormatting sqref="B68">
    <cfRule type="expression" dxfId="2271" priority="18">
      <formula>IF(NoColor,1,0)</formula>
    </cfRule>
  </conditionalFormatting>
  <conditionalFormatting sqref="B70">
    <cfRule type="expression" dxfId="2270" priority="17">
      <formula>IF(NoColor,1,0)</formula>
    </cfRule>
  </conditionalFormatting>
  <conditionalFormatting sqref="B73">
    <cfRule type="expression" dxfId="2269" priority="16">
      <formula>IF(NoColor,1,0)</formula>
    </cfRule>
  </conditionalFormatting>
  <conditionalFormatting sqref="B76">
    <cfRule type="expression" dxfId="2268" priority="15">
      <formula>IF(NoColor,1,0)</formula>
    </cfRule>
  </conditionalFormatting>
  <conditionalFormatting sqref="B39">
    <cfRule type="expression" dxfId="2267" priority="10">
      <formula>IF(NoColor,1,0)</formula>
    </cfRule>
  </conditionalFormatting>
  <conditionalFormatting sqref="B63">
    <cfRule type="expression" dxfId="2266" priority="9">
      <formula>IF(NoColor,1,0)</formula>
    </cfRule>
  </conditionalFormatting>
  <conditionalFormatting sqref="B59">
    <cfRule type="expression" dxfId="2265" priority="8">
      <formula>IF(NoColor,1,0)</formula>
    </cfRule>
  </conditionalFormatting>
  <conditionalFormatting sqref="B233">
    <cfRule type="expression" dxfId="2264" priority="7">
      <formula>IF(NoColor,1,0)</formula>
    </cfRule>
  </conditionalFormatting>
  <conditionalFormatting sqref="D310:D314 D448 D318">
    <cfRule type="expression" dxfId="2263" priority="1939" stopIfTrue="1">
      <formula>IF(OR($L$308="",$L$308=0),0,IF(AND($H$257&lt;&gt;"",EICNumQualChild&gt;1),1,0))</formula>
    </cfRule>
  </conditionalFormatting>
  <conditionalFormatting sqref="D308">
    <cfRule type="expression" dxfId="2262" priority="1941">
      <formula>IF(OR($B$233=0,$B$233&lt;&gt;""),0,IF($L$308&gt;0,1,0))</formula>
    </cfRule>
  </conditionalFormatting>
  <conditionalFormatting sqref="C308">
    <cfRule type="expression" dxfId="2261" priority="1942">
      <formula>IF($B$233&lt;&gt;"",0,IF($L$308&gt;0,1,0))</formula>
    </cfRule>
  </conditionalFormatting>
  <conditionalFormatting sqref="M185">
    <cfRule type="expression" dxfId="2260" priority="6">
      <formula>($H$178&lt;&gt;"")</formula>
    </cfRule>
  </conditionalFormatting>
  <conditionalFormatting sqref="M186">
    <cfRule type="expression" dxfId="2259" priority="5">
      <formula>($H$178&lt;&gt;"")</formula>
    </cfRule>
  </conditionalFormatting>
  <conditionalFormatting sqref="M187">
    <cfRule type="expression" dxfId="2258" priority="4">
      <formula>($H$178&lt;&gt;"")</formula>
    </cfRule>
  </conditionalFormatting>
  <conditionalFormatting sqref="J31">
    <cfRule type="expression" dxfId="2257" priority="3" stopIfTrue="1">
      <formula>IF($H$35="X",1,0)</formula>
    </cfRule>
  </conditionalFormatting>
  <conditionalFormatting sqref="C310:C312">
    <cfRule type="expression" dxfId="2256" priority="2" stopIfTrue="1">
      <formula>IF(OR($L$308="",$L$308=0),0,IF(AND($H$257&lt;&gt;"",EICNumQualChild&gt;1),1,0))</formula>
    </cfRule>
  </conditionalFormatting>
  <conditionalFormatting sqref="J124">
    <cfRule type="expression" dxfId="2255" priority="2518" stopIfTrue="1">
      <formula>IF(AND(H124="X",H111="",$B$31="",$H$26="",$H$21=""),1,0)</formula>
    </cfRule>
  </conditionalFormatting>
  <conditionalFormatting sqref="J115">
    <cfRule type="expression" dxfId="2254" priority="2523" stopIfTrue="1">
      <formula>IF(AND(H115="X",H104="",$B$31="",$H$26="",$H$21=""),1,0)</formula>
    </cfRule>
  </conditionalFormatting>
  <conditionalFormatting sqref="D115">
    <cfRule type="expression" dxfId="2253" priority="2524" stopIfTrue="1">
      <formula>IF(AND(B104="X",B115="X",$H$108="",$B$31="",$H$26="",$H$21=""),1,0)</formula>
    </cfRule>
  </conditionalFormatting>
  <conditionalFormatting sqref="J133">
    <cfRule type="expression" dxfId="2252" priority="2525" stopIfTrue="1">
      <formula>IF(AND(H111&lt;&gt;"",H133="X",#REF!="",$B$31="",$H$26="",$H$21=""),1,0)</formula>
    </cfRule>
  </conditionalFormatting>
  <conditionalFormatting sqref="N5">
    <cfRule type="expression" dxfId="2251" priority="1">
      <formula>NoColor</formula>
    </cfRule>
  </conditionalFormatting>
  <hyperlinks>
    <hyperlink ref="D448" r:id="rId1"/>
    <hyperlink ref="C312" r:id="rId2"/>
  </hyperlinks>
  <pageMargins left="0.75" right="0.75" top="0.4" bottom="0.4" header="0.31" footer="0.5"/>
  <pageSetup scale="64" fitToHeight="0" orientation="portrait" horizontalDpi="4294967293" verticalDpi="4294967293" r:id="rId3"/>
  <headerFooter alignWithMargins="0"/>
  <rowBreaks count="5" manualBreakCount="5">
    <brk id="81" max="24" man="1"/>
    <brk id="172" max="24" man="1"/>
    <brk id="259" max="24" man="1"/>
    <brk id="319" max="24" man="1"/>
    <brk id="362" max="24" man="1"/>
  </rowBreaks>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N109"/>
  <sheetViews>
    <sheetView zoomScaleNormal="100" zoomScaleSheetLayoutView="100" workbookViewId="0">
      <selection activeCell="I30" sqref="I30:J30"/>
    </sheetView>
  </sheetViews>
  <sheetFormatPr defaultRowHeight="12.75"/>
  <cols>
    <col min="1" max="1" width="1.7109375" customWidth="1"/>
    <col min="2" max="2" width="3.5703125" customWidth="1"/>
    <col min="3" max="3" width="2.7109375" customWidth="1"/>
    <col min="4" max="4" width="5.28515625" customWidth="1"/>
    <col min="5" max="5" width="7" customWidth="1"/>
    <col min="6" max="6" width="6.28515625" customWidth="1"/>
    <col min="7" max="7" width="40.28515625" customWidth="1"/>
    <col min="8" max="8" width="9" customWidth="1"/>
    <col min="9" max="9" width="7.85546875" customWidth="1"/>
    <col min="10" max="10" width="9.28515625" customWidth="1"/>
    <col min="11" max="11" width="4" customWidth="1"/>
    <col min="12" max="12" width="8" customWidth="1"/>
    <col min="13" max="13" width="3.28515625" customWidth="1"/>
    <col min="14" max="14" width="4.5703125" customWidth="1"/>
    <col min="15" max="15" width="1.5703125" customWidth="1"/>
    <col min="16" max="16" width="3.28515625" customWidth="1"/>
    <col min="17" max="17" width="6.28515625" customWidth="1"/>
    <col min="18" max="18" width="3" customWidth="1"/>
    <col min="19" max="19" width="4.42578125" customWidth="1"/>
    <col min="20" max="20" width="2" customWidth="1"/>
    <col min="21" max="21" width="1.85546875" customWidth="1"/>
    <col min="22" max="22" width="1.42578125" customWidth="1"/>
    <col min="23" max="23" width="3.140625" customWidth="1"/>
    <col min="24" max="24" width="12.85546875" customWidth="1"/>
    <col min="25" max="25" width="3.85546875" customWidth="1"/>
    <col min="26" max="26" width="2.140625" customWidth="1"/>
    <col min="27" max="27" width="13.28515625" customWidth="1"/>
    <col min="28" max="28" width="4.28515625" customWidth="1"/>
    <col min="29" max="29" width="18.5703125" customWidth="1"/>
    <col min="30" max="40" width="9.140625" style="3169"/>
  </cols>
  <sheetData>
    <row r="1" spans="1:40" ht="9.75" customHeight="1">
      <c r="A1" s="805"/>
      <c r="B1" s="805"/>
      <c r="C1" s="805"/>
      <c r="D1" s="805"/>
      <c r="E1" s="806"/>
      <c r="F1" s="806"/>
      <c r="G1" s="806"/>
      <c r="H1" s="805"/>
      <c r="I1" s="807"/>
      <c r="J1" s="807"/>
      <c r="K1" s="805"/>
      <c r="L1" s="808"/>
      <c r="M1" s="808"/>
      <c r="N1" s="808"/>
      <c r="O1" s="808"/>
      <c r="P1" s="808"/>
      <c r="Q1" s="808"/>
      <c r="R1" s="808"/>
      <c r="S1" s="808"/>
      <c r="T1" s="808"/>
      <c r="U1" s="808"/>
      <c r="V1" s="26"/>
      <c r="W1" s="26"/>
      <c r="X1" s="990"/>
      <c r="Y1" s="290"/>
      <c r="Z1" s="290"/>
      <c r="AA1" s="290"/>
      <c r="AB1" s="290"/>
      <c r="AC1" s="290"/>
    </row>
    <row r="2" spans="1:40" ht="35.25" customHeight="1">
      <c r="A2" s="635"/>
      <c r="B2" s="4327" t="s">
        <v>4422</v>
      </c>
      <c r="C2" s="28"/>
      <c r="D2" s="28"/>
      <c r="E2" s="28"/>
      <c r="F2" s="28"/>
      <c r="G2" s="28"/>
      <c r="H2" s="28"/>
      <c r="I2" s="28"/>
      <c r="J2" s="28"/>
      <c r="K2" s="28"/>
      <c r="L2" s="28"/>
      <c r="M2" s="28"/>
      <c r="N2" s="28"/>
      <c r="O2" s="28"/>
      <c r="P2" s="1575" t="s">
        <v>200</v>
      </c>
      <c r="Q2" s="369"/>
      <c r="R2" s="369"/>
      <c r="S2" s="369"/>
      <c r="T2" s="369"/>
      <c r="U2" s="809"/>
      <c r="V2" s="26"/>
      <c r="W2" s="26"/>
      <c r="X2" s="990"/>
      <c r="Y2" s="290"/>
      <c r="Z2" s="290"/>
      <c r="AA2" s="290"/>
      <c r="AB2" s="290"/>
      <c r="AC2" s="290"/>
      <c r="AD2" s="3178" t="s">
        <v>2552</v>
      </c>
    </row>
    <row r="3" spans="1:40" ht="18" customHeight="1">
      <c r="A3" s="805"/>
      <c r="B3" s="950"/>
      <c r="C3" s="950"/>
      <c r="D3" s="950"/>
      <c r="E3" s="1106" t="str">
        <f>"If you were age 70½ or older at the end of "&amp;TaxYear&amp;", you cannot deduct any contributions made to your traditional IRA or treat them"</f>
        <v>If you were age 70½ or older at the end of 2018, you cannot deduct any contributions made to your traditional IRA or treat them</v>
      </c>
      <c r="F3" s="953"/>
      <c r="G3" s="28"/>
      <c r="H3" s="950"/>
      <c r="I3" s="951"/>
      <c r="J3" s="951"/>
      <c r="K3" s="950"/>
      <c r="L3" s="952"/>
      <c r="M3" s="952"/>
      <c r="N3" s="952"/>
      <c r="O3" s="952"/>
      <c r="P3" s="952"/>
      <c r="Q3" s="952"/>
      <c r="R3" s="952"/>
      <c r="S3" s="952"/>
      <c r="T3" s="952"/>
      <c r="U3" s="808"/>
      <c r="V3" s="26"/>
      <c r="W3" s="26"/>
      <c r="X3" s="990"/>
      <c r="Y3" s="290"/>
      <c r="Z3" s="290"/>
      <c r="AA3" s="290"/>
      <c r="AB3" s="290"/>
      <c r="AC3" s="290"/>
    </row>
    <row r="4" spans="1:40" ht="15" customHeight="1">
      <c r="A4" s="805"/>
      <c r="B4" s="950"/>
      <c r="C4" s="950"/>
      <c r="D4" s="950"/>
      <c r="E4" s="1884" t="s">
        <v>2648</v>
      </c>
      <c r="F4" s="953"/>
      <c r="G4" s="28"/>
      <c r="H4" s="950"/>
      <c r="I4" s="951"/>
      <c r="J4" s="951"/>
      <c r="K4" s="950"/>
      <c r="L4" s="952"/>
      <c r="M4" s="1106" t="str">
        <f>TEXT(TaxYear,"0000")&amp;". If you"</f>
        <v>2018. If you</v>
      </c>
      <c r="N4" s="952"/>
      <c r="O4" s="952"/>
      <c r="P4" s="952"/>
      <c r="Q4" s="952"/>
      <c r="R4" s="952"/>
      <c r="S4" s="952"/>
      <c r="T4" s="952"/>
      <c r="U4" s="808"/>
      <c r="V4" s="26"/>
      <c r="W4" s="26"/>
      <c r="X4" s="990"/>
      <c r="Y4" s="290"/>
      <c r="Z4" s="290"/>
      <c r="AA4" s="290"/>
      <c r="AB4" s="290"/>
      <c r="AC4" s="290"/>
    </row>
    <row r="5" spans="1:40" ht="15" customHeight="1">
      <c r="A5" s="805"/>
      <c r="B5" s="950"/>
      <c r="C5" s="950"/>
      <c r="D5" s="950"/>
      <c r="E5" s="1106" t="str">
        <f>"are married filing jointly and only one spouse was under age 70½ at the end of "&amp;TaxYear&amp;", complete this worksheet only for that spouse."</f>
        <v>are married filing jointly and only one spouse was under age 70½ at the end of 2018, complete this worksheet only for that spouse.</v>
      </c>
      <c r="F5" s="953"/>
      <c r="G5" s="28"/>
      <c r="H5" s="950"/>
      <c r="I5" s="951"/>
      <c r="J5" s="951"/>
      <c r="K5" s="950"/>
      <c r="L5" s="952"/>
      <c r="M5" s="952"/>
      <c r="N5" s="952"/>
      <c r="O5" s="952"/>
      <c r="P5" s="952"/>
      <c r="Q5" s="952"/>
      <c r="R5" s="952"/>
      <c r="S5" s="952"/>
      <c r="T5" s="952"/>
      <c r="U5" s="808"/>
      <c r="V5" s="26"/>
      <c r="W5" s="26"/>
      <c r="X5" s="990"/>
      <c r="Y5" s="290"/>
      <c r="Z5" s="290"/>
      <c r="AA5" s="290"/>
      <c r="AB5" s="290"/>
      <c r="AC5" s="290"/>
    </row>
    <row r="6" spans="1:40" ht="12" customHeight="1" thickBot="1">
      <c r="A6" s="635"/>
      <c r="B6" s="314"/>
      <c r="C6" s="27"/>
      <c r="D6" s="27"/>
      <c r="E6" s="27"/>
      <c r="F6" s="27"/>
      <c r="G6" s="27"/>
      <c r="H6" s="27"/>
      <c r="I6" s="27"/>
      <c r="J6" s="27"/>
      <c r="K6" s="27"/>
      <c r="L6" s="27"/>
      <c r="M6" s="27"/>
      <c r="N6" s="27"/>
      <c r="O6" s="27"/>
      <c r="P6" s="793"/>
      <c r="Q6" s="793"/>
      <c r="R6" s="793"/>
      <c r="S6" s="793"/>
      <c r="T6" s="793"/>
      <c r="U6" s="809"/>
      <c r="V6" s="26"/>
      <c r="W6" s="26"/>
      <c r="X6" s="990"/>
      <c r="Y6" s="290"/>
      <c r="Z6" s="290"/>
      <c r="AA6" s="290"/>
      <c r="AB6" s="290"/>
      <c r="AC6" s="290"/>
    </row>
    <row r="7" spans="1:40" ht="15.75" customHeight="1">
      <c r="A7" s="635"/>
      <c r="B7" s="511" t="s">
        <v>242</v>
      </c>
      <c r="C7" s="905"/>
      <c r="D7" s="905"/>
      <c r="E7" s="905"/>
      <c r="F7" s="1018" t="s">
        <v>48</v>
      </c>
      <c r="G7" s="1107" t="s">
        <v>1317</v>
      </c>
      <c r="H7" s="905"/>
      <c r="I7" s="905"/>
      <c r="J7" s="28"/>
      <c r="K7" s="28"/>
      <c r="L7" s="28"/>
      <c r="M7" s="28"/>
      <c r="N7" s="28"/>
      <c r="O7" s="28"/>
      <c r="P7" s="28"/>
      <c r="Q7" s="28"/>
      <c r="R7" s="28"/>
      <c r="S7" s="28"/>
      <c r="T7" s="311"/>
      <c r="U7" s="811"/>
      <c r="V7" s="26"/>
      <c r="W7" s="26"/>
      <c r="X7" s="990"/>
      <c r="Y7" s="290"/>
      <c r="Z7" s="290"/>
      <c r="AA7" s="290"/>
      <c r="AB7" s="290"/>
      <c r="AC7" s="290"/>
    </row>
    <row r="8" spans="1:40" ht="12.75" customHeight="1">
      <c r="A8" s="635"/>
      <c r="B8" s="512"/>
      <c r="C8" s="28"/>
      <c r="D8" s="28"/>
      <c r="E8" s="28"/>
      <c r="F8" s="1020" t="s">
        <v>48</v>
      </c>
      <c r="G8" s="1233" t="s">
        <v>4415</v>
      </c>
      <c r="H8" s="28"/>
      <c r="I8" s="28"/>
      <c r="J8" s="904"/>
      <c r="K8" s="28"/>
      <c r="L8" s="28"/>
      <c r="M8" s="28"/>
      <c r="N8" s="28"/>
      <c r="O8" s="28"/>
      <c r="P8" s="28"/>
      <c r="Q8" s="28"/>
      <c r="R8" s="28"/>
      <c r="S8" s="28"/>
      <c r="T8" s="311"/>
      <c r="U8" s="811"/>
      <c r="V8" s="26"/>
      <c r="W8" s="26"/>
      <c r="X8" s="990"/>
      <c r="Y8" s="290"/>
      <c r="Z8" s="290"/>
      <c r="AA8" s="290"/>
      <c r="AB8" s="290"/>
      <c r="AC8" s="290"/>
    </row>
    <row r="9" spans="1:40" ht="12.75" customHeight="1">
      <c r="A9" s="635"/>
      <c r="B9" s="512"/>
      <c r="C9" s="28"/>
      <c r="D9" s="28"/>
      <c r="E9" s="28"/>
      <c r="F9" s="1020" t="s">
        <v>48</v>
      </c>
      <c r="G9" s="1019" t="str">
        <f>"If you are married filing separately and you lived apart from your spouse for all of "&amp;TaxYear&amp;", enter “D” on the dotted"</f>
        <v>If you are married filing separately and you lived apart from your spouse for all of 2018, enter “D” on the dotted</v>
      </c>
      <c r="H9" s="28"/>
      <c r="I9" s="28"/>
      <c r="J9" s="904"/>
      <c r="K9" s="28"/>
      <c r="L9" s="28"/>
      <c r="M9" s="28"/>
      <c r="N9" s="28"/>
      <c r="O9" s="28"/>
      <c r="P9" s="28"/>
      <c r="Q9" s="28"/>
      <c r="R9" s="28"/>
      <c r="S9" s="28"/>
      <c r="T9" s="311"/>
      <c r="U9" s="811"/>
      <c r="V9" s="26"/>
      <c r="W9" s="26"/>
      <c r="X9" s="990"/>
      <c r="Y9" s="290"/>
      <c r="Z9" s="290"/>
      <c r="AA9" s="290"/>
      <c r="AB9" s="290"/>
      <c r="AC9" s="290"/>
    </row>
    <row r="10" spans="1:40" ht="16.5" customHeight="1">
      <c r="A10" s="685"/>
      <c r="B10" s="513"/>
      <c r="C10" s="125"/>
      <c r="D10" s="125"/>
      <c r="E10" s="125"/>
      <c r="F10" s="125"/>
      <c r="G10" s="4762" t="s">
        <v>4416</v>
      </c>
      <c r="H10" s="126"/>
      <c r="I10" s="126"/>
      <c r="J10" s="126"/>
      <c r="K10" s="126"/>
      <c r="L10" s="126"/>
      <c r="M10" s="126"/>
      <c r="N10" s="126"/>
      <c r="O10" s="126"/>
      <c r="P10" s="126"/>
      <c r="Q10" s="126"/>
      <c r="R10" s="126"/>
      <c r="S10" s="126"/>
      <c r="T10" s="310"/>
      <c r="U10" s="810"/>
      <c r="V10" s="26"/>
      <c r="W10" s="26"/>
      <c r="X10" s="990"/>
      <c r="Y10" s="290"/>
      <c r="Z10" s="290"/>
      <c r="AA10" s="290"/>
      <c r="AB10" s="290"/>
      <c r="AC10" s="290"/>
    </row>
    <row r="11" spans="1:40" s="661" customFormat="1" ht="21.75" customHeight="1">
      <c r="A11" s="685"/>
      <c r="B11" s="816"/>
      <c r="C11" s="373"/>
      <c r="D11" s="4328"/>
      <c r="E11" s="373"/>
      <c r="F11" s="373"/>
      <c r="G11" s="374"/>
      <c r="H11" s="372"/>
      <c r="I11" s="372"/>
      <c r="J11" s="819"/>
      <c r="K11" s="817"/>
      <c r="L11" s="820" t="s">
        <v>281</v>
      </c>
      <c r="M11" s="817"/>
      <c r="N11" s="821" t="s">
        <v>25</v>
      </c>
      <c r="O11" s="821"/>
      <c r="P11" s="817"/>
      <c r="Q11" s="817"/>
      <c r="R11" s="817"/>
      <c r="S11" s="817"/>
      <c r="T11" s="370"/>
      <c r="U11" s="810"/>
      <c r="V11" s="822"/>
      <c r="W11" s="822"/>
      <c r="X11" s="991"/>
      <c r="Y11" s="823"/>
      <c r="Z11" s="823"/>
      <c r="AA11" s="823"/>
      <c r="AB11" s="823"/>
      <c r="AC11" s="823"/>
      <c r="AD11" s="3176"/>
      <c r="AE11" s="3176"/>
      <c r="AF11" s="3176"/>
      <c r="AG11" s="3176"/>
      <c r="AH11" s="3176"/>
      <c r="AI11" s="3176"/>
      <c r="AJ11" s="3176"/>
      <c r="AK11" s="3176"/>
      <c r="AL11" s="3176"/>
      <c r="AM11" s="3176"/>
      <c r="AN11" s="3176"/>
    </row>
    <row r="12" spans="1:40" ht="13.5" thickBot="1">
      <c r="A12" s="635"/>
      <c r="B12" s="507" t="s">
        <v>14</v>
      </c>
      <c r="C12" s="74" t="s">
        <v>2165</v>
      </c>
      <c r="D12" s="24"/>
      <c r="E12" s="63"/>
      <c r="F12" s="63"/>
      <c r="G12" s="63"/>
      <c r="H12" s="68"/>
      <c r="I12" s="75"/>
      <c r="J12" s="75"/>
      <c r="K12" s="75"/>
      <c r="L12" s="75"/>
      <c r="M12" s="75"/>
      <c r="N12" s="72"/>
      <c r="O12" s="72"/>
      <c r="P12" s="815"/>
      <c r="Q12" s="63"/>
      <c r="R12" s="63"/>
      <c r="S12" s="63"/>
      <c r="T12" s="70"/>
      <c r="U12" s="754"/>
      <c r="V12" s="26"/>
      <c r="W12" s="26"/>
      <c r="X12" s="886">
        <v>5500</v>
      </c>
      <c r="Y12" s="290"/>
      <c r="Z12" s="290"/>
      <c r="AA12" s="290"/>
      <c r="AB12" s="290"/>
      <c r="AC12" s="290"/>
    </row>
    <row r="13" spans="1:40" ht="13.5" thickBot="1">
      <c r="A13" s="635"/>
      <c r="B13" s="507"/>
      <c r="C13" s="74" t="s">
        <v>1318</v>
      </c>
      <c r="D13" s="24"/>
      <c r="E13" s="63"/>
      <c r="F13" s="63"/>
      <c r="G13" s="63"/>
      <c r="H13" s="68"/>
      <c r="I13" s="73" t="s">
        <v>1319</v>
      </c>
      <c r="J13" s="75" t="s">
        <v>15</v>
      </c>
      <c r="K13" s="1713"/>
      <c r="L13" s="72" t="s">
        <v>307</v>
      </c>
      <c r="M13" s="1712" t="str">
        <f>IF(AND(Yourself,K13=""),"X","")</f>
        <v/>
      </c>
      <c r="N13" s="72" t="s">
        <v>308</v>
      </c>
      <c r="O13" s="72"/>
      <c r="P13" s="815"/>
      <c r="Q13" s="63"/>
      <c r="R13" s="63"/>
      <c r="S13" s="63"/>
      <c r="T13" s="70"/>
      <c r="U13" s="754"/>
      <c r="V13" s="26"/>
      <c r="W13" s="26"/>
      <c r="X13" s="886"/>
      <c r="Y13" s="290"/>
      <c r="Z13" s="290"/>
      <c r="AA13" s="290"/>
      <c r="AB13" s="290"/>
      <c r="AC13" s="290"/>
    </row>
    <row r="14" spans="1:40" ht="13.5" thickBot="1">
      <c r="A14" s="635"/>
      <c r="B14" s="507" t="s">
        <v>17</v>
      </c>
      <c r="C14" s="24" t="s">
        <v>235</v>
      </c>
      <c r="D14" s="24"/>
      <c r="E14" s="63"/>
      <c r="F14" s="63"/>
      <c r="G14" s="63"/>
      <c r="H14" s="68"/>
      <c r="I14" s="63"/>
      <c r="J14" s="75"/>
      <c r="K14" s="73"/>
      <c r="L14" s="73"/>
      <c r="M14" s="760" t="s">
        <v>776</v>
      </c>
      <c r="N14" s="73"/>
      <c r="O14" s="73" t="s">
        <v>16</v>
      </c>
      <c r="P14" s="1713"/>
      <c r="Q14" s="72" t="s">
        <v>307</v>
      </c>
      <c r="R14" s="1712" t="str">
        <f>IF(AND(Spouse,P14=""),"X","")</f>
        <v/>
      </c>
      <c r="S14" s="72" t="s">
        <v>308</v>
      </c>
      <c r="T14" s="70"/>
      <c r="U14" s="754"/>
      <c r="V14" s="26"/>
      <c r="W14" s="26"/>
      <c r="X14" s="886">
        <v>6500</v>
      </c>
      <c r="Y14" s="290"/>
      <c r="Z14" s="290"/>
      <c r="AA14" s="290"/>
      <c r="AB14" s="290"/>
      <c r="AC14" s="290"/>
    </row>
    <row r="15" spans="1:40" ht="18.75" customHeight="1">
      <c r="A15" s="635"/>
      <c r="B15" s="507"/>
      <c r="C15" s="41" t="s">
        <v>4</v>
      </c>
      <c r="D15" s="41"/>
      <c r="E15" s="63"/>
      <c r="F15" s="63"/>
      <c r="G15" s="63"/>
      <c r="H15" s="68"/>
      <c r="I15" s="73"/>
      <c r="J15" s="73"/>
      <c r="K15" s="73"/>
      <c r="L15" s="73"/>
      <c r="M15" s="72"/>
      <c r="N15" s="129"/>
      <c r="O15" s="129"/>
      <c r="P15" s="818"/>
      <c r="Q15" s="72"/>
      <c r="R15" s="128"/>
      <c r="S15" s="72"/>
      <c r="T15" s="130"/>
      <c r="U15" s="812"/>
      <c r="V15" s="26"/>
      <c r="W15" s="26"/>
      <c r="X15" s="886"/>
      <c r="Y15" s="290"/>
      <c r="Z15" s="290"/>
      <c r="AA15" s="290"/>
      <c r="AB15" s="290"/>
      <c r="AC15" s="290"/>
    </row>
    <row r="16" spans="1:40">
      <c r="A16" s="635"/>
      <c r="B16" s="507"/>
      <c r="C16" s="131" t="s">
        <v>777</v>
      </c>
      <c r="D16" s="131"/>
      <c r="E16" s="63"/>
      <c r="F16" s="63"/>
      <c r="G16" s="63"/>
      <c r="H16" s="68"/>
      <c r="I16" s="63"/>
      <c r="J16" s="63"/>
      <c r="K16" s="129"/>
      <c r="L16" s="72"/>
      <c r="M16" s="72"/>
      <c r="N16" s="72"/>
      <c r="O16" s="72"/>
      <c r="P16" s="72"/>
      <c r="Q16" s="72"/>
      <c r="R16" s="72"/>
      <c r="S16" s="2330" t="str">
        <f>IF(AND(K13="",P14=""),"",IF(OR(Q18,(AND(BadBirthdate_Yours,BadBirthdate_Spouse))),"Check birthdate entries on '1040' sheet.",IF(AND(File_Marr_Joint&lt;&gt;"",BadBirthdate_Spouse),"Check birthdate entry for spouse on '1040' sheet.",IF(BadBirthdate_Yours,"Check your birthdate entry on '1040' sheet.",""))))</f>
        <v/>
      </c>
      <c r="T16" s="130"/>
      <c r="U16" s="812"/>
      <c r="V16" s="26"/>
      <c r="W16" s="1108" t="str">
        <f>IF(OR(AND(File_Marr_Joint="",DependentYOU="",K13=""),AND(File_Marr_Joint&lt;&gt;"",DependentYOU="",DependentSPOUSE="",K13="",P14="")),"No","Yes")</f>
        <v>No</v>
      </c>
      <c r="X16" s="886"/>
      <c r="Y16" s="290"/>
      <c r="Z16" s="290"/>
      <c r="AA16" s="290"/>
      <c r="AB16" s="290"/>
      <c r="AC16" s="290"/>
    </row>
    <row r="17" spans="1:29">
      <c r="A17" s="635"/>
      <c r="B17" s="507"/>
      <c r="C17" s="131" t="s">
        <v>778</v>
      </c>
      <c r="D17" s="131"/>
      <c r="E17" s="63"/>
      <c r="F17" s="63"/>
      <c r="G17" s="63"/>
      <c r="H17" s="68"/>
      <c r="I17" s="63"/>
      <c r="J17" s="63"/>
      <c r="K17" s="129"/>
      <c r="L17" s="72"/>
      <c r="M17" s="72"/>
      <c r="N17" s="72"/>
      <c r="O17" s="72"/>
      <c r="P17" s="72"/>
      <c r="Q17" s="72"/>
      <c r="R17" s="72"/>
      <c r="S17" s="72"/>
      <c r="T17" s="130"/>
      <c r="U17" s="812"/>
      <c r="V17" s="26"/>
      <c r="W17" s="588"/>
      <c r="X17" s="886"/>
      <c r="Y17" s="290"/>
      <c r="Z17" s="290"/>
      <c r="AA17" s="290"/>
      <c r="AB17" s="290"/>
      <c r="AC17" s="290"/>
    </row>
    <row r="18" spans="1:29">
      <c r="A18" s="635"/>
      <c r="B18" s="507"/>
      <c r="C18" s="955" t="s">
        <v>480</v>
      </c>
      <c r="D18" s="63" t="str">
        <f>TEXT(X12,"$0,000")&amp;", if under age 50 at the end of "&amp;TaxYear&amp;"."</f>
        <v>$5,500, if under age 50 at the end of 2018.</v>
      </c>
      <c r="E18" s="63"/>
      <c r="F18" s="63"/>
      <c r="G18" s="63"/>
      <c r="H18" s="24"/>
      <c r="I18" s="24"/>
      <c r="J18" s="24"/>
      <c r="K18" s="68"/>
      <c r="L18" s="63"/>
      <c r="M18" s="63"/>
      <c r="N18" s="63"/>
      <c r="O18" s="63"/>
      <c r="P18" s="530"/>
      <c r="Q18" s="5844" t="b">
        <f>IF(AND(File_Marr_Joint&lt;&gt;"",OR(BadBirthdate_Yours,BadBirthdate_Spouse)),TRUE,IF(BadBirthdate_Yours,TRUE,FALSE))</f>
        <v>1</v>
      </c>
      <c r="R18" s="5738"/>
      <c r="S18" s="63"/>
      <c r="T18" s="70"/>
      <c r="U18" s="754"/>
      <c r="V18" s="822"/>
      <c r="W18" s="822"/>
      <c r="X18" s="954">
        <v>73000</v>
      </c>
      <c r="Y18" s="823"/>
      <c r="Z18" s="823"/>
      <c r="AA18" s="290"/>
      <c r="AB18" s="290"/>
      <c r="AC18" s="290"/>
    </row>
    <row r="19" spans="1:29">
      <c r="A19" s="635"/>
      <c r="B19" s="507"/>
      <c r="C19" s="955" t="s">
        <v>480</v>
      </c>
      <c r="D19" s="63" t="str">
        <f>TEXT(X14,"$0,000")&amp;", if age 50 or older but under age 70½ at the end of "&amp;TaxYear&amp;"."</f>
        <v>$6,500, if age 50 or older but under age 70½ at the end of 2018.</v>
      </c>
      <c r="E19" s="63"/>
      <c r="F19" s="63"/>
      <c r="G19" s="63"/>
      <c r="H19" s="24"/>
      <c r="I19" s="24"/>
      <c r="J19" s="24"/>
      <c r="K19" s="68"/>
      <c r="L19" s="1017" t="str">
        <f>IF('1040'!AX57="?","",IF('1040'!AY54,"",IF('1040'!BB55,"See above CAUTION.","")))</f>
        <v/>
      </c>
      <c r="M19" s="63"/>
      <c r="N19" s="63"/>
      <c r="O19" s="63"/>
      <c r="P19" s="530"/>
      <c r="Q19" s="1017" t="str">
        <f>IF(OR('1040'!AY69,Birthday_Needed&lt;&gt;""),"",IF(R20,"See above CAUTION.",""))</f>
        <v/>
      </c>
      <c r="R19" s="2366"/>
      <c r="S19" s="63"/>
      <c r="T19" s="70"/>
      <c r="U19" s="754"/>
      <c r="V19" s="822"/>
      <c r="W19" s="822"/>
      <c r="X19" s="954">
        <v>121000</v>
      </c>
      <c r="Y19" s="823"/>
      <c r="Z19" s="823"/>
      <c r="AA19" s="290"/>
      <c r="AB19" s="290"/>
      <c r="AC19" s="290"/>
    </row>
    <row r="20" spans="1:29">
      <c r="A20" s="635"/>
      <c r="B20" s="507"/>
      <c r="C20" s="131" t="s">
        <v>5</v>
      </c>
      <c r="D20" s="131"/>
      <c r="E20" s="63"/>
      <c r="F20" s="63"/>
      <c r="G20" s="63"/>
      <c r="H20" s="68"/>
      <c r="I20" s="63"/>
      <c r="J20" s="63"/>
      <c r="K20" s="129"/>
      <c r="L20" s="72"/>
      <c r="M20" s="72"/>
      <c r="N20" s="72"/>
      <c r="O20" s="72"/>
      <c r="P20" s="777"/>
      <c r="Q20" s="777" t="str">
        <f>IF(AND(File_Marr_Joint="",P14&lt;&gt;""),"Your filing status must be","")</f>
        <v/>
      </c>
      <c r="R20" s="5844" t="b">
        <f>IF(Q18,FALSE,IF(SpouseIs70Half,TRUE,FALSE))</f>
        <v>0</v>
      </c>
      <c r="S20" s="5738"/>
      <c r="T20" s="5852"/>
      <c r="U20" s="812"/>
      <c r="V20" s="26"/>
      <c r="W20" s="588"/>
      <c r="X20" s="886">
        <v>199000</v>
      </c>
      <c r="Y20" s="290"/>
      <c r="Z20" s="290"/>
      <c r="AA20" s="290"/>
      <c r="AB20" s="290"/>
      <c r="AC20" s="290"/>
    </row>
    <row r="21" spans="1:29" ht="20.25" customHeight="1" thickBot="1">
      <c r="A21" s="635"/>
      <c r="B21" s="507">
        <v>2</v>
      </c>
      <c r="C21" s="24" t="s">
        <v>374</v>
      </c>
      <c r="D21" s="24"/>
      <c r="E21" s="63"/>
      <c r="F21" s="63"/>
      <c r="G21" s="63"/>
      <c r="H21" s="24"/>
      <c r="I21" s="24"/>
      <c r="J21" s="24"/>
      <c r="K21" s="68"/>
      <c r="L21" s="63"/>
      <c r="M21" s="63"/>
      <c r="N21" s="63"/>
      <c r="O21" s="63"/>
      <c r="P21" s="530" t="str">
        <f>IF(AND(File_Marr_Joint="",P14&lt;&gt;""),"Married Filing Jointly","")</f>
        <v/>
      </c>
      <c r="Q21" s="63"/>
      <c r="R21" s="63"/>
      <c r="S21" s="63"/>
      <c r="T21" s="70"/>
      <c r="U21" s="754"/>
      <c r="V21" s="26"/>
      <c r="W21" s="26"/>
      <c r="X21" s="886">
        <v>10000</v>
      </c>
      <c r="Y21" s="290"/>
      <c r="Z21" s="290"/>
      <c r="AA21" s="290"/>
      <c r="AB21" s="290"/>
      <c r="AC21" s="290"/>
    </row>
    <row r="22" spans="1:29">
      <c r="A22" s="635"/>
      <c r="B22" s="507"/>
      <c r="C22" s="955" t="s">
        <v>480</v>
      </c>
      <c r="D22" s="63" t="s">
        <v>375</v>
      </c>
      <c r="E22" s="63"/>
      <c r="F22" s="63"/>
      <c r="G22" s="63"/>
      <c r="H22" s="24"/>
      <c r="I22" s="24"/>
      <c r="J22" s="24"/>
      <c r="K22" s="68"/>
      <c r="L22" s="63"/>
      <c r="M22" s="63"/>
      <c r="N22" s="63"/>
      <c r="O22" s="63"/>
      <c r="P22" s="530" t="str">
        <f>IF(AND(File_Marr_Joint="",P14&lt;&gt;""),"to use the 'b' column.","")</f>
        <v/>
      </c>
      <c r="Q22" s="63"/>
      <c r="R22" s="63"/>
      <c r="S22" s="63"/>
      <c r="T22" s="70"/>
      <c r="U22" s="754"/>
      <c r="V22" s="92"/>
      <c r="W22" s="33"/>
      <c r="X22" s="33"/>
      <c r="Y22" s="302"/>
      <c r="Z22" s="290"/>
      <c r="AA22" s="956"/>
      <c r="AB22" s="290"/>
      <c r="AC22" s="290"/>
    </row>
    <row r="23" spans="1:29">
      <c r="A23" s="635"/>
      <c r="B23" s="507"/>
      <c r="C23" s="24"/>
      <c r="D23" s="368" t="str">
        <f>"from your spouse for all of "&amp;TaxYear&amp;", enter "&amp;TEXT(X18,"$0,000")</f>
        <v>from your spouse for all of 2018, enter $73,000</v>
      </c>
      <c r="E23" s="368"/>
      <c r="F23" s="368"/>
      <c r="G23" s="72"/>
      <c r="H23" s="24"/>
      <c r="I23" s="24"/>
      <c r="J23" s="24"/>
      <c r="K23" s="68"/>
      <c r="L23" s="63"/>
      <c r="M23" s="63"/>
      <c r="N23" s="63"/>
      <c r="O23" s="63"/>
      <c r="P23" s="530"/>
      <c r="Q23" s="63"/>
      <c r="R23" s="63"/>
      <c r="S23" s="63"/>
      <c r="T23" s="70"/>
      <c r="U23" s="754"/>
      <c r="V23" s="59"/>
      <c r="W23" s="4067" t="str">
        <f>IF(File_Marr_Sep="","",IF(LivedApartAnswered,"You have indicated","Be sure to indicate"))</f>
        <v/>
      </c>
      <c r="X23" s="796"/>
      <c r="Y23" s="303"/>
      <c r="Z23" s="290"/>
      <c r="AA23" s="956" t="str">
        <f>IF(File_Marr_Sep="","","Married persons filing separately.")</f>
        <v/>
      </c>
      <c r="AB23" s="290"/>
      <c r="AC23" s="290"/>
    </row>
    <row r="24" spans="1:29">
      <c r="A24" s="635"/>
      <c r="B24" s="507"/>
      <c r="C24" s="955" t="s">
        <v>480</v>
      </c>
      <c r="D24" s="24" t="str">
        <f>"Qualifying widow(er), enter "&amp;TEXT(X19,"$0,000")</f>
        <v>Qualifying widow(er), enter $121,000</v>
      </c>
      <c r="E24" s="24"/>
      <c r="F24" s="24"/>
      <c r="G24" s="72"/>
      <c r="H24" s="24"/>
      <c r="I24" s="24"/>
      <c r="J24" s="24"/>
      <c r="K24" s="68"/>
      <c r="L24" s="63"/>
      <c r="M24" s="63"/>
      <c r="N24" s="63"/>
      <c r="O24" s="63"/>
      <c r="P24" s="63"/>
      <c r="Q24" s="63"/>
      <c r="R24" s="63"/>
      <c r="S24" s="63"/>
      <c r="T24" s="70"/>
      <c r="U24" s="754"/>
      <c r="V24" s="59"/>
      <c r="W24" s="4067" t="str">
        <f>IF(File_Marr_Sep="","","on Sheet '1040' as to")</f>
        <v/>
      </c>
      <c r="X24" s="24"/>
      <c r="Y24" s="303"/>
      <c r="Z24" s="290"/>
      <c r="AA24" s="290" t="str">
        <f>IF(File_Marr_Sep="","","If you were not covered by a retirement plan but")</f>
        <v/>
      </c>
      <c r="AB24" s="290"/>
      <c r="AC24" s="290"/>
    </row>
    <row r="25" spans="1:29">
      <c r="A25" s="635"/>
      <c r="B25" s="507"/>
      <c r="C25" s="955" t="s">
        <v>480</v>
      </c>
      <c r="D25" s="131" t="str">
        <f>"Married filing jointly, enter "&amp;TEXT(X19,"$0,000")&amp;" in both columns. But if you checked"</f>
        <v>Married filing jointly, enter $121,000 in both columns. But if you checked</v>
      </c>
      <c r="E25" s="131"/>
      <c r="F25" s="131"/>
      <c r="G25" s="131"/>
      <c r="H25" s="24"/>
      <c r="I25" s="24"/>
      <c r="J25" s="24"/>
      <c r="K25" s="75" t="s">
        <v>386</v>
      </c>
      <c r="L25" s="5850" t="str">
        <f>IF(OR(NOT(Yourself),Q18,BadBirthdate_Yours,NumFileStatusBoxes=0),"",L26)</f>
        <v/>
      </c>
      <c r="M25" s="5851"/>
      <c r="N25" s="5851"/>
      <c r="O25" s="931"/>
      <c r="P25" s="73" t="s">
        <v>387</v>
      </c>
      <c r="Q25" s="5850" t="str">
        <f>IF(File_Marr_Joint="","",IF(Q18,"",IF(AND(File_Marr_Joint&lt;&gt;"",K13&lt;&gt;"",P14&lt;&gt;""),X19,IF(R20,"Age &gt; 70½    ",Q26))))</f>
        <v/>
      </c>
      <c r="R25" s="5851"/>
      <c r="S25" s="5851"/>
      <c r="T25" s="306"/>
      <c r="U25" s="813"/>
      <c r="V25" s="59"/>
      <c r="W25" s="4067" t="str">
        <f>IF(File_Marr_Sep="","","whether or not you")</f>
        <v/>
      </c>
      <c r="X25" s="796"/>
      <c r="Y25" s="303"/>
      <c r="Z25" s="290"/>
      <c r="AA25" s="290" t="str">
        <f>IF(File_Marr_Sep="","","your spouse was, you are considered covered")</f>
        <v/>
      </c>
      <c r="AB25" s="290"/>
      <c r="AC25" s="290"/>
    </row>
    <row r="26" spans="1:29">
      <c r="A26" s="635"/>
      <c r="B26" s="507"/>
      <c r="C26" s="24"/>
      <c r="D26" s="131" t="str">
        <f>"'No' on either line 1a or 1b, enter "&amp;TEXT(X20,"$0,000")&amp;" for the person who was not"</f>
        <v>'No' on either line 1a or 1b, enter $199,000 for the person who was not</v>
      </c>
      <c r="E26" s="131"/>
      <c r="F26" s="131"/>
      <c r="G26" s="131"/>
      <c r="H26" s="24"/>
      <c r="I26" s="24"/>
      <c r="J26" s="24"/>
      <c r="K26" s="68"/>
      <c r="L26" s="5845" t="str">
        <f>IF(AND(YourAge&lt;&gt;"",YouR70Half),"Age &gt; 70½    ",IF(W16="No","",IF(OR(File_Single&lt;&gt;"",File_Head&lt;&gt;"",AND(File_Marr_Sep&lt;&gt;"",LivedApart)),X18,IF(File_Qual_Widow&lt;&gt;"",X19,IF(AND(File_Marr_Joint&lt;&gt;"",K13&lt;&gt;""),X19,IF(AND(File_Marr_Joint&lt;&gt;"",K13=""),X20,IF(AND(File_Marr_Sep&lt;&gt;"",NOT(LivedApart)),X21,0)))))))</f>
        <v/>
      </c>
      <c r="M26" s="5845"/>
      <c r="N26" s="5845"/>
      <c r="O26" s="63"/>
      <c r="P26" s="63"/>
      <c r="Q26" s="5846" t="str">
        <f>IF(AND(SpouseAge&lt;&gt;"",SpouseIs70Half),"Age &gt; 70½   ",IF(OR(File_Marr_Joint="",W16="No"),"",IF(P14&lt;&gt;"",X19,IF(P14="",X20,0))))</f>
        <v/>
      </c>
      <c r="R26" s="5847"/>
      <c r="S26" s="5847"/>
      <c r="T26" s="70"/>
      <c r="U26" s="754"/>
      <c r="V26" s="59"/>
      <c r="W26" s="4067" t="str">
        <f>IF(File_Marr_Sep="","","lived apart from your")</f>
        <v/>
      </c>
      <c r="X26" s="24"/>
      <c r="Y26" s="303"/>
      <c r="Z26" s="290"/>
      <c r="AA26" s="290" t="str">
        <f>IF(File_Marr_Sep="","","by a plan unless you lived apart from")</f>
        <v/>
      </c>
      <c r="AB26" s="290"/>
      <c r="AC26" s="290"/>
    </row>
    <row r="27" spans="1:29">
      <c r="A27" s="635"/>
      <c r="B27" s="507"/>
      <c r="C27" s="24"/>
      <c r="D27" s="63" t="s">
        <v>376</v>
      </c>
      <c r="E27" s="63"/>
      <c r="F27" s="63"/>
      <c r="G27" s="63"/>
      <c r="H27" s="24"/>
      <c r="I27" s="24"/>
      <c r="J27" s="24"/>
      <c r="K27" s="68"/>
      <c r="L27" s="63"/>
      <c r="M27" s="63"/>
      <c r="N27" s="63"/>
      <c r="O27" s="63"/>
      <c r="P27" s="63"/>
      <c r="Q27" s="63"/>
      <c r="R27" s="63"/>
      <c r="S27" s="63"/>
      <c r="T27" s="70"/>
      <c r="U27" s="754"/>
      <c r="V27" s="59"/>
      <c r="W27" s="4067" t="str">
        <f>IF(File_Marr_Sep="","","spouse for ALL of "&amp;TaxYear&amp;".")</f>
        <v/>
      </c>
      <c r="X27" s="24"/>
      <c r="Y27" s="303"/>
      <c r="Z27" s="290"/>
      <c r="AA27" s="290" t="str">
        <f>IF(File_Marr_Sep="","","your spouse for all of "&amp;TaxYear&amp;".")</f>
        <v/>
      </c>
      <c r="AB27" s="290"/>
      <c r="AC27" s="290"/>
    </row>
    <row r="28" spans="1:29">
      <c r="A28" s="635"/>
      <c r="B28" s="507"/>
      <c r="C28" s="955" t="s">
        <v>480</v>
      </c>
      <c r="D28" s="131" t="str">
        <f>"Married filing separately and you lived with your spouse at any time in "&amp;TaxYear&amp;","</f>
        <v>Married filing separately and you lived with your spouse at any time in 2018,</v>
      </c>
      <c r="E28" s="131"/>
      <c r="F28" s="131"/>
      <c r="G28" s="131"/>
      <c r="H28" s="24"/>
      <c r="I28" s="24"/>
      <c r="J28" s="24"/>
      <c r="K28" s="68"/>
      <c r="L28" s="63"/>
      <c r="M28" s="63"/>
      <c r="N28" s="63"/>
      <c r="O28" s="63"/>
      <c r="P28" s="63"/>
      <c r="Q28" s="63"/>
      <c r="R28" s="63"/>
      <c r="S28" s="63"/>
      <c r="T28" s="70"/>
      <c r="U28" s="754"/>
      <c r="V28" s="59"/>
      <c r="W28" s="4068" t="str">
        <f>IF(File_Marr_Sep&lt;&gt;"","-","")</f>
        <v/>
      </c>
      <c r="X28" s="4070" t="str">
        <f>IF(File_Marr_Sep="","",IF(LivedApartAnswered,"ANSWERED","NOT ANSWERED"))</f>
        <v/>
      </c>
      <c r="Y28" s="4069" t="str">
        <f>IF(File_Marr_Sep&lt;&gt;"","-","")</f>
        <v/>
      </c>
      <c r="Z28" s="290"/>
      <c r="AA28" s="290"/>
      <c r="AB28" s="290"/>
      <c r="AC28" s="290"/>
    </row>
    <row r="29" spans="1:29" ht="13.5" thickBot="1">
      <c r="A29" s="635"/>
      <c r="B29" s="507"/>
      <c r="C29" s="24"/>
      <c r="D29" s="131" t="str">
        <f>"enter "&amp;TEXT(X21,"$0,000")&amp;"."</f>
        <v>enter $10,000.</v>
      </c>
      <c r="E29" s="131"/>
      <c r="F29" s="131"/>
      <c r="G29" s="958" t="str">
        <f>IF(File_Marr_Sep="","",IF(AND(K13="",W25&lt;&gt;"",R14&lt;&gt;"X",NOT(LivedApart)),"See NOTE in Column AA and check box 1a 'Yes' if spouse was covered by a retirement plan or check box 1b 'No'.",""))</f>
        <v/>
      </c>
      <c r="H29" s="24"/>
      <c r="I29" s="24"/>
      <c r="J29" s="24"/>
      <c r="K29" s="68"/>
      <c r="L29" s="63"/>
      <c r="M29" s="63"/>
      <c r="N29" s="63"/>
      <c r="O29" s="63"/>
      <c r="P29" s="63"/>
      <c r="Q29" s="63"/>
      <c r="R29" s="63"/>
      <c r="S29" s="63"/>
      <c r="T29" s="70"/>
      <c r="U29" s="754"/>
      <c r="V29" s="93"/>
      <c r="W29" s="39"/>
      <c r="X29" s="39"/>
      <c r="Y29" s="629"/>
      <c r="Z29" s="290"/>
      <c r="AA29" s="290"/>
      <c r="AB29" s="290"/>
      <c r="AC29" s="290"/>
    </row>
    <row r="30" spans="1:29">
      <c r="A30" s="635"/>
      <c r="B30" s="507">
        <v>3</v>
      </c>
      <c r="C30" s="74" t="s">
        <v>4417</v>
      </c>
      <c r="D30" s="24"/>
      <c r="E30" s="24"/>
      <c r="F30" s="24"/>
      <c r="G30" s="24"/>
      <c r="H30" s="132">
        <v>3</v>
      </c>
      <c r="I30" s="5853"/>
      <c r="J30" s="5853"/>
      <c r="K30" s="68"/>
      <c r="L30" s="419" t="str">
        <f>IF(OR(I30&lt;&gt;"",AND(K13="",P14=""),Q18),"",IF(Total_Income&gt;=1000,"Manually enter "&amp;TEXT(Total_Income,"$0,000")&amp;" on this line.","Manually enter "&amp;TEXT(Total_Income,"$0")&amp;" on this line."))</f>
        <v/>
      </c>
      <c r="M30" s="246"/>
      <c r="N30" s="246"/>
      <c r="O30" s="246"/>
      <c r="P30" s="63"/>
      <c r="Q30" s="63"/>
      <c r="R30" s="63"/>
      <c r="S30" s="63"/>
      <c r="T30" s="70"/>
      <c r="U30" s="754"/>
      <c r="V30" s="24"/>
      <c r="W30" s="25" t="s">
        <v>100</v>
      </c>
      <c r="X30" s="25"/>
      <c r="Y30" s="290"/>
      <c r="Z30" s="290"/>
      <c r="AA30" s="290"/>
      <c r="AB30" s="290"/>
      <c r="AC30" s="290"/>
    </row>
    <row r="31" spans="1:29">
      <c r="A31" s="635"/>
      <c r="B31" s="507">
        <v>4</v>
      </c>
      <c r="C31" s="74" t="s">
        <v>4418</v>
      </c>
      <c r="D31" s="275"/>
      <c r="E31" s="533"/>
      <c r="F31" s="533"/>
      <c r="G31" s="24"/>
      <c r="H31" s="68"/>
      <c r="I31" s="24"/>
      <c r="J31" s="24"/>
      <c r="K31" s="68"/>
      <c r="L31" s="63"/>
      <c r="M31" s="63"/>
      <c r="N31" s="63"/>
      <c r="O31" s="63"/>
      <c r="P31" s="63"/>
      <c r="Q31" s="63"/>
      <c r="R31" s="63"/>
      <c r="S31" s="63"/>
      <c r="T31" s="70"/>
      <c r="U31" s="754"/>
      <c r="V31" s="24"/>
      <c r="W31" s="5842" t="s">
        <v>101</v>
      </c>
      <c r="X31" s="5843"/>
      <c r="Y31" s="5843"/>
      <c r="Z31" s="940"/>
      <c r="AA31" s="290"/>
      <c r="AB31" s="290"/>
      <c r="AC31" s="290"/>
    </row>
    <row r="32" spans="1:29">
      <c r="A32" s="635"/>
      <c r="B32" s="507"/>
      <c r="C32" s="74" t="s">
        <v>4419</v>
      </c>
      <c r="D32" s="275"/>
      <c r="E32" s="533"/>
      <c r="F32" s="533"/>
      <c r="G32" s="24"/>
      <c r="H32" s="68"/>
      <c r="I32" s="24"/>
      <c r="J32" s="24"/>
      <c r="K32" s="68"/>
      <c r="L32" s="63"/>
      <c r="M32" s="63"/>
      <c r="N32" s="63"/>
      <c r="O32" s="63"/>
      <c r="P32" s="63"/>
      <c r="Q32" s="63"/>
      <c r="R32" s="63"/>
      <c r="S32" s="63"/>
      <c r="T32" s="70"/>
      <c r="U32" s="754"/>
      <c r="V32" s="24"/>
      <c r="W32" s="82"/>
      <c r="X32" s="727"/>
      <c r="Y32" s="635"/>
      <c r="Z32" s="635"/>
      <c r="AA32" s="635"/>
      <c r="AB32" s="635"/>
      <c r="AC32" s="290"/>
    </row>
    <row r="33" spans="1:40">
      <c r="A33" s="635"/>
      <c r="B33" s="507"/>
      <c r="C33" s="74" t="s">
        <v>4420</v>
      </c>
      <c r="D33" s="275"/>
      <c r="E33" s="533"/>
      <c r="F33" s="533"/>
      <c r="G33" s="24"/>
      <c r="H33" s="132">
        <v>4</v>
      </c>
      <c r="I33" s="5703" t="str">
        <f>IF(X33&lt;&gt;"",X33,IF(AND(K13="",P14=""),"",SUM(EducatorExpenses,CertainBusinessExp,HSA_Deduct,MovExp_ArmedForces,SE_Deduct,SEP_Plan_Deduct,SEHealthInsDeduct,PenaltyEarlyWithdraw,AlimonyPaid,Dotted_Line36,-DPAD)))</f>
        <v/>
      </c>
      <c r="J33" s="5861"/>
      <c r="K33" s="68"/>
      <c r="L33" s="63"/>
      <c r="M33" s="63"/>
      <c r="N33" s="63"/>
      <c r="O33" s="63"/>
      <c r="P33" s="63"/>
      <c r="Q33" s="63"/>
      <c r="R33" s="63"/>
      <c r="S33" s="63"/>
      <c r="T33" s="70"/>
      <c r="U33" s="754"/>
      <c r="V33" s="24"/>
      <c r="W33" s="81">
        <v>4</v>
      </c>
      <c r="X33" s="4764"/>
      <c r="Y33" s="635"/>
      <c r="Z33" s="635"/>
      <c r="AA33" s="635"/>
      <c r="AB33" s="635"/>
      <c r="AC33" s="290"/>
    </row>
    <row r="34" spans="1:40" ht="15.75" customHeight="1">
      <c r="A34" s="635"/>
      <c r="B34" s="507">
        <v>5</v>
      </c>
      <c r="C34" s="74" t="s">
        <v>779</v>
      </c>
      <c r="D34" s="24"/>
      <c r="E34" s="24"/>
      <c r="F34" s="24"/>
      <c r="G34" s="24"/>
      <c r="H34" s="68"/>
      <c r="I34" s="24"/>
      <c r="J34" s="42" t="s">
        <v>780</v>
      </c>
      <c r="K34" s="75" t="s">
        <v>417</v>
      </c>
      <c r="L34" s="5850" t="str">
        <f>IF(X34&lt;&gt;"",ROUND(X34,0),IF(OR(NOT(Yourself),Q18,W16="No",YouR70Half,I30=""),"",SUM(I30,-I33)))</f>
        <v/>
      </c>
      <c r="M34" s="5851"/>
      <c r="N34" s="5851"/>
      <c r="O34" s="931"/>
      <c r="P34" s="73" t="s">
        <v>418</v>
      </c>
      <c r="Q34" s="5850" t="str">
        <f>IF(AA34&lt;&gt;"",ROUND(AA34,0),IF(OR(Q18,File_Marr_Joint="",R20,W16="No",I30=""),"",(I30-I33)))</f>
        <v/>
      </c>
      <c r="R34" s="5851"/>
      <c r="S34" s="5851"/>
      <c r="T34" s="306"/>
      <c r="U34" s="813"/>
      <c r="V34" s="24"/>
      <c r="W34" s="81" t="s">
        <v>497</v>
      </c>
      <c r="X34" s="4764"/>
      <c r="Y34" s="81" t="s">
        <v>1173</v>
      </c>
      <c r="Z34" s="84"/>
      <c r="AA34" s="4764"/>
      <c r="AB34" s="635"/>
      <c r="AC34" s="290"/>
    </row>
    <row r="35" spans="1:40" ht="15.75" customHeight="1">
      <c r="A35" s="635"/>
      <c r="B35" s="507">
        <v>6</v>
      </c>
      <c r="C35" s="24" t="s">
        <v>344</v>
      </c>
      <c r="D35" s="24"/>
      <c r="E35" s="24"/>
      <c r="F35" s="24"/>
      <c r="G35" s="24"/>
      <c r="H35" s="24"/>
      <c r="I35" s="24"/>
      <c r="J35" s="24"/>
      <c r="K35" s="68"/>
      <c r="L35" s="63"/>
      <c r="M35" s="63"/>
      <c r="N35" s="63"/>
      <c r="O35" s="63"/>
      <c r="P35" s="63"/>
      <c r="Q35" s="63"/>
      <c r="R35" s="63"/>
      <c r="S35" s="63"/>
      <c r="T35" s="70"/>
      <c r="U35" s="754"/>
      <c r="V35" s="24"/>
      <c r="W35" s="82"/>
      <c r="X35" s="727"/>
      <c r="Y35" s="82"/>
      <c r="Z35" s="82"/>
      <c r="AA35" s="727"/>
      <c r="AB35" s="635"/>
      <c r="AC35" s="290"/>
    </row>
    <row r="36" spans="1:40" ht="6" customHeight="1" thickBot="1">
      <c r="A36" s="635"/>
      <c r="B36" s="507"/>
      <c r="C36" s="24"/>
      <c r="D36" s="24"/>
      <c r="E36" s="24"/>
      <c r="F36" s="24"/>
      <c r="G36" s="24"/>
      <c r="H36" s="24"/>
      <c r="I36" s="24"/>
      <c r="J36" s="24"/>
      <c r="K36" s="68"/>
      <c r="L36" s="63"/>
      <c r="M36" s="63"/>
      <c r="N36" s="63"/>
      <c r="O36" s="63"/>
      <c r="P36" s="63"/>
      <c r="Q36" s="63"/>
      <c r="R36" s="63"/>
      <c r="S36" s="63"/>
      <c r="T36" s="70"/>
      <c r="U36" s="754"/>
      <c r="V36" s="24"/>
      <c r="W36" s="24"/>
      <c r="X36" s="533"/>
      <c r="Y36" s="290"/>
      <c r="Z36" s="290"/>
      <c r="AA36" s="290"/>
      <c r="AB36" s="290"/>
      <c r="AC36" s="290"/>
    </row>
    <row r="37" spans="1:40" ht="12.75" customHeight="1" thickBot="1">
      <c r="A37" s="635"/>
      <c r="B37" s="507"/>
      <c r="C37" s="122" t="str">
        <f>IF(W16="No","",IF(OR(LEFT(L37,2)="No",LEFT(Q37,2)="No"),"X",""))</f>
        <v/>
      </c>
      <c r="D37" s="43"/>
      <c r="E37" s="41" t="s">
        <v>645</v>
      </c>
      <c r="F37" s="25"/>
      <c r="G37" s="24" t="s">
        <v>646</v>
      </c>
      <c r="H37" s="24"/>
      <c r="I37" s="68"/>
      <c r="J37" s="68"/>
      <c r="K37" s="63"/>
      <c r="L37" s="2597" t="str">
        <f>IF(OR(I30="",AND(K13="",P14="")),"",IF(L34&lt;L25,"Yes","No.  Stop."))</f>
        <v/>
      </c>
      <c r="M37" s="532"/>
      <c r="N37" s="532"/>
      <c r="O37" s="532"/>
      <c r="P37" s="533"/>
      <c r="Q37" s="2597" t="str">
        <f>IF(OR(I30="",File_Marr_Joint="",W16="No"),"",IF(Q34&lt;Q25,"Yes","No.  Stop."))</f>
        <v/>
      </c>
      <c r="R37" s="532"/>
      <c r="S37" s="532"/>
      <c r="T37" s="318"/>
      <c r="U37" s="338"/>
      <c r="V37" s="24"/>
      <c r="W37" s="24"/>
      <c r="X37" s="533"/>
      <c r="Y37" s="290"/>
      <c r="Z37" s="290"/>
      <c r="AA37" s="290"/>
      <c r="AB37" s="290"/>
      <c r="AC37" s="290"/>
    </row>
    <row r="38" spans="1:40" ht="12" customHeight="1" thickBot="1">
      <c r="A38" s="635"/>
      <c r="B38" s="507"/>
      <c r="C38" s="43"/>
      <c r="D38" s="43"/>
      <c r="E38" s="25"/>
      <c r="F38" s="25"/>
      <c r="G38" s="24" t="s">
        <v>470</v>
      </c>
      <c r="H38" s="24"/>
      <c r="I38" s="68"/>
      <c r="J38" s="68"/>
      <c r="K38" s="63"/>
      <c r="L38" s="533"/>
      <c r="M38" s="533"/>
      <c r="N38" s="533"/>
      <c r="O38" s="533"/>
      <c r="P38" s="533"/>
      <c r="R38" s="531"/>
      <c r="S38" s="531"/>
      <c r="T38" s="70"/>
      <c r="U38" s="754"/>
      <c r="V38" s="24"/>
      <c r="W38" s="24"/>
      <c r="X38" s="533"/>
      <c r="Y38" s="290"/>
      <c r="Z38" s="290"/>
      <c r="AA38" s="290"/>
      <c r="AB38" s="290"/>
      <c r="AC38" s="290"/>
    </row>
    <row r="39" spans="1:40" ht="12.75" customHeight="1" thickBot="1">
      <c r="A39" s="635"/>
      <c r="B39" s="507"/>
      <c r="C39" s="122" t="str">
        <f>IF(W16="No","",IF(OR(LEFT(L37,3)="Yes",LEFT(Q37,3)="Yes"),"X",""))</f>
        <v/>
      </c>
      <c r="D39" s="43"/>
      <c r="E39" s="25" t="s">
        <v>474</v>
      </c>
      <c r="F39" s="25"/>
      <c r="G39" s="24" t="s">
        <v>7</v>
      </c>
      <c r="H39" s="41"/>
      <c r="I39" s="68"/>
      <c r="J39" s="68"/>
      <c r="K39" s="63"/>
      <c r="L39" s="533"/>
      <c r="M39" s="533"/>
      <c r="N39" s="533"/>
      <c r="O39" s="533"/>
      <c r="P39" s="533"/>
      <c r="Q39" s="531"/>
      <c r="R39" s="531"/>
      <c r="S39" s="531"/>
      <c r="T39" s="70"/>
      <c r="U39" s="754"/>
      <c r="V39" s="24"/>
      <c r="W39" s="24"/>
      <c r="X39" s="14"/>
      <c r="Y39" s="290"/>
      <c r="Z39" s="290"/>
      <c r="AA39" s="290"/>
      <c r="AB39" s="290"/>
      <c r="AC39" s="290"/>
    </row>
    <row r="40" spans="1:40" ht="10.5" customHeight="1">
      <c r="A40" s="635"/>
      <c r="B40" s="507"/>
      <c r="C40" s="25"/>
      <c r="D40" s="25"/>
      <c r="E40" s="41"/>
      <c r="F40" s="41"/>
      <c r="G40" s="421" t="s">
        <v>6</v>
      </c>
      <c r="H40" s="24"/>
      <c r="I40" s="68"/>
      <c r="J40" s="68"/>
      <c r="K40" s="63"/>
      <c r="L40" s="533"/>
      <c r="M40" s="533"/>
      <c r="N40" s="533"/>
      <c r="O40" s="533"/>
      <c r="P40" s="533"/>
      <c r="Q40" s="531"/>
      <c r="R40" s="531"/>
      <c r="S40" s="531"/>
      <c r="T40" s="70"/>
      <c r="U40" s="754"/>
      <c r="V40" s="24"/>
      <c r="W40" s="24"/>
      <c r="X40" s="14"/>
      <c r="Y40" s="290"/>
      <c r="Z40" s="290"/>
      <c r="AA40" s="290"/>
      <c r="AB40" s="290"/>
      <c r="AC40" s="290"/>
    </row>
    <row r="41" spans="1:40" ht="12" customHeight="1">
      <c r="A41" s="635"/>
      <c r="B41" s="507"/>
      <c r="C41" s="25"/>
      <c r="D41" s="955" t="s">
        <v>480</v>
      </c>
      <c r="E41" s="275" t="s">
        <v>8</v>
      </c>
      <c r="F41" s="275"/>
      <c r="G41" s="24"/>
      <c r="H41" s="24"/>
      <c r="I41" s="68"/>
      <c r="J41" s="68"/>
      <c r="K41" s="63"/>
      <c r="L41" s="533"/>
      <c r="M41" s="531"/>
      <c r="N41" s="533"/>
      <c r="O41" s="533"/>
      <c r="P41" s="533"/>
      <c r="Q41" s="531"/>
      <c r="R41" s="531"/>
      <c r="S41" s="531"/>
      <c r="T41" s="70"/>
      <c r="U41" s="754"/>
      <c r="V41" s="24"/>
      <c r="W41" s="24"/>
      <c r="X41" s="14"/>
      <c r="Y41" s="290"/>
      <c r="Z41" s="290"/>
      <c r="AA41" s="290"/>
      <c r="AB41" s="290"/>
      <c r="AC41" s="290"/>
    </row>
    <row r="42" spans="1:40" ht="12" customHeight="1">
      <c r="A42" s="635"/>
      <c r="B42" s="507"/>
      <c r="C42" s="25"/>
      <c r="D42" s="25"/>
      <c r="E42" s="275" t="str">
        <f>"result is "&amp;TEXT(X21,"$0,000")&amp;" or more, enter the applicable amount below on"</f>
        <v>result is $10,000 or more, enter the applicable amount below on</v>
      </c>
      <c r="F42" s="275"/>
      <c r="G42" s="24"/>
      <c r="H42" s="24"/>
      <c r="I42" s="68"/>
      <c r="J42" s="68"/>
      <c r="K42" s="63"/>
      <c r="L42" s="533"/>
      <c r="M42" s="533"/>
      <c r="N42" s="533"/>
      <c r="O42" s="533"/>
      <c r="P42" s="533"/>
      <c r="Q42" s="531"/>
      <c r="R42" s="531"/>
      <c r="S42" s="531"/>
      <c r="T42" s="70"/>
      <c r="U42" s="754"/>
      <c r="V42" s="24"/>
      <c r="W42" s="24"/>
      <c r="X42" s="14"/>
      <c r="Y42" s="290"/>
      <c r="Z42" s="290"/>
      <c r="AA42" s="290"/>
      <c r="AB42" s="290"/>
      <c r="AC42" s="290"/>
    </row>
    <row r="43" spans="1:40" ht="12" customHeight="1">
      <c r="A43" s="635"/>
      <c r="B43" s="507"/>
      <c r="C43" s="25"/>
      <c r="D43" s="25"/>
      <c r="E43" s="275" t="s">
        <v>9</v>
      </c>
      <c r="F43" s="275"/>
      <c r="G43" s="24"/>
      <c r="H43" s="24"/>
      <c r="I43" s="68"/>
      <c r="J43" s="68"/>
      <c r="K43" s="63"/>
      <c r="L43" s="533"/>
      <c r="M43" s="533"/>
      <c r="N43" s="533"/>
      <c r="O43" s="533"/>
      <c r="P43" s="533"/>
      <c r="Q43" s="531"/>
      <c r="R43" s="531"/>
      <c r="S43" s="531"/>
      <c r="T43" s="70"/>
      <c r="U43" s="754"/>
      <c r="V43" s="24"/>
      <c r="W43" s="24"/>
      <c r="X43" s="14"/>
      <c r="Y43" s="290"/>
      <c r="Z43" s="290"/>
      <c r="AA43" s="290"/>
      <c r="AB43" s="290"/>
      <c r="AC43" s="290"/>
    </row>
    <row r="44" spans="1:40" ht="12" customHeight="1">
      <c r="A44" s="635"/>
      <c r="B44" s="507"/>
      <c r="C44" s="25"/>
      <c r="D44" s="25"/>
      <c r="E44" s="275"/>
      <c r="F44" s="275"/>
      <c r="G44" s="24" t="str">
        <f>"i. "&amp;TEXT($X$12,"$0,000")&amp;", if under age 50 at the end of "&amp;TaxYear&amp;"."</f>
        <v>i. $5,500, if under age 50 at the end of 2018.</v>
      </c>
      <c r="H44" s="24"/>
      <c r="I44" s="68"/>
      <c r="J44" s="68"/>
      <c r="K44" s="63"/>
      <c r="L44" s="533"/>
      <c r="M44" s="533"/>
      <c r="N44" s="533"/>
      <c r="O44" s="533"/>
      <c r="P44" s="533"/>
      <c r="Q44" s="531"/>
      <c r="R44" s="531"/>
      <c r="S44" s="531"/>
      <c r="T44" s="70"/>
      <c r="U44" s="754"/>
      <c r="V44" s="24"/>
      <c r="W44" s="25" t="s">
        <v>100</v>
      </c>
      <c r="X44" s="25"/>
      <c r="Y44" s="290"/>
      <c r="Z44" s="290"/>
      <c r="AA44" s="290"/>
      <c r="AB44" s="290"/>
      <c r="AC44" s="290"/>
    </row>
    <row r="45" spans="1:40" s="244" customFormat="1" ht="12" customHeight="1">
      <c r="A45" s="245"/>
      <c r="B45" s="957"/>
      <c r="C45" s="25"/>
      <c r="D45" s="275"/>
      <c r="E45" s="275"/>
      <c r="F45" s="275"/>
      <c r="G45" s="275" t="str">
        <f>"ii. "&amp;TEXT($X$14,"$0,000")&amp;", if age 50 or older but under age 70½ at the"</f>
        <v>ii. $6,500, if age 50 or older but under age 70½ at the</v>
      </c>
      <c r="H45" s="275"/>
      <c r="I45" s="309"/>
      <c r="J45" s="309"/>
      <c r="K45" s="368"/>
      <c r="L45" s="533"/>
      <c r="M45" s="533"/>
      <c r="N45" s="533"/>
      <c r="O45" s="533"/>
      <c r="P45" s="533"/>
      <c r="Q45" s="531"/>
      <c r="R45" s="531"/>
      <c r="S45" s="531"/>
      <c r="T45" s="121"/>
      <c r="U45" s="753"/>
      <c r="V45" s="275"/>
      <c r="W45" s="5842" t="s">
        <v>101</v>
      </c>
      <c r="X45" s="5843"/>
      <c r="Y45" s="5843"/>
      <c r="Z45" s="330"/>
      <c r="AA45" s="330"/>
      <c r="AB45" s="330"/>
      <c r="AC45" s="330"/>
      <c r="AD45" s="3177"/>
      <c r="AE45" s="3177"/>
      <c r="AF45" s="3177"/>
      <c r="AG45" s="3177"/>
      <c r="AH45" s="3177"/>
      <c r="AI45" s="3177"/>
      <c r="AJ45" s="3177"/>
      <c r="AK45" s="3177"/>
      <c r="AL45" s="3177"/>
      <c r="AM45" s="3177"/>
      <c r="AN45" s="3177"/>
    </row>
    <row r="46" spans="1:40" s="244" customFormat="1" ht="12" customHeight="1">
      <c r="A46" s="245"/>
      <c r="B46" s="957"/>
      <c r="C46" s="25"/>
      <c r="D46" s="275"/>
      <c r="E46" s="275"/>
      <c r="F46" s="275"/>
      <c r="G46" s="275" t="str">
        <f>"   end of "&amp;TaxYear&amp;"."</f>
        <v xml:space="preserve">   end of 2018.</v>
      </c>
      <c r="H46" s="275"/>
      <c r="I46" s="309"/>
      <c r="J46" s="309"/>
      <c r="K46" s="368"/>
      <c r="L46" s="533"/>
      <c r="M46" s="533"/>
      <c r="N46" s="533"/>
      <c r="O46" s="533"/>
      <c r="P46" s="533"/>
      <c r="Q46" s="531"/>
      <c r="R46" s="531"/>
      <c r="S46" s="531"/>
      <c r="T46" s="121"/>
      <c r="U46" s="753"/>
      <c r="V46" s="275"/>
      <c r="W46" s="82"/>
      <c r="X46" s="727"/>
      <c r="Y46" s="82"/>
      <c r="Z46" s="82"/>
      <c r="AA46" s="727"/>
      <c r="AB46" s="635"/>
      <c r="AC46" s="330"/>
      <c r="AD46" s="3177"/>
      <c r="AE46" s="3177"/>
      <c r="AF46" s="3177"/>
      <c r="AG46" s="3177"/>
      <c r="AH46" s="3177"/>
      <c r="AI46" s="3177"/>
      <c r="AJ46" s="3177"/>
      <c r="AK46" s="3177"/>
      <c r="AL46" s="3177"/>
      <c r="AM46" s="3177"/>
      <c r="AN46" s="3177"/>
    </row>
    <row r="47" spans="1:40" ht="12" customHeight="1">
      <c r="A47" s="635"/>
      <c r="B47" s="507"/>
      <c r="C47" s="25"/>
      <c r="D47" s="43"/>
      <c r="E47" s="74" t="str">
        <f>"If the result is less than "&amp;TEXT(X21,"$0,000")&amp;", go to line 7."</f>
        <v>If the result is less than $10,000, go to line 7.</v>
      </c>
      <c r="F47" s="275"/>
      <c r="G47" s="24"/>
      <c r="H47" s="24"/>
      <c r="I47" s="68"/>
      <c r="J47" s="68"/>
      <c r="K47" s="75" t="s">
        <v>269</v>
      </c>
      <c r="L47" s="5850" t="str">
        <f>IF(X47&lt;&gt;"",ROUND(X47,0),IF(OR(BadBirthdate_Yours,L25="",$W$16="No",YouR70Half,I30=""),"",IF(LEFT(L37,2)="No","",L25-L34)))</f>
        <v/>
      </c>
      <c r="M47" s="5851"/>
      <c r="N47" s="5851"/>
      <c r="O47" s="931"/>
      <c r="P47" s="75" t="s">
        <v>465</v>
      </c>
      <c r="Q47" s="5850" t="str">
        <f>IF(AA47&lt;&gt;"",ROUND(AA47,0),IF(OR(Q18,R20,File_Marr_Joint="",I30=""),"",IF(OR(AND(File_Marr_Sep&lt;&gt;"",LivedApart),Q25="",$W$16="No"),"",IF(LEFT(Q37,2)="No","",Q25-Q34))))</f>
        <v/>
      </c>
      <c r="R47" s="5851"/>
      <c r="S47" s="5851"/>
      <c r="T47" s="498"/>
      <c r="U47" s="801"/>
      <c r="V47" s="24"/>
      <c r="W47" s="81" t="s">
        <v>497</v>
      </c>
      <c r="X47" s="4765"/>
      <c r="Y47" s="81" t="s">
        <v>1173</v>
      </c>
      <c r="Z47" s="84"/>
      <c r="AA47" s="4765"/>
      <c r="AB47" s="635"/>
      <c r="AC47" s="290"/>
    </row>
    <row r="48" spans="1:40" ht="12" customHeight="1">
      <c r="A48" s="635"/>
      <c r="B48" s="507"/>
      <c r="C48" s="25"/>
      <c r="D48" s="955" t="s">
        <v>480</v>
      </c>
      <c r="E48" s="275" t="s">
        <v>525</v>
      </c>
      <c r="F48" s="275"/>
      <c r="G48" s="24"/>
      <c r="H48" s="24"/>
      <c r="I48" s="68"/>
      <c r="J48" s="68"/>
      <c r="K48" s="63"/>
      <c r="L48" s="5848"/>
      <c r="M48" s="5849"/>
      <c r="N48" s="5849"/>
      <c r="O48" s="533"/>
      <c r="P48" s="533"/>
      <c r="Q48" s="5858" t="str">
        <f>IF(OR(File_Marr_Joint="",W16="No"),"",IF(OR(LivedApart,AND(File_Marr_Joint="",File_Marr_Sep="")),"",IF(LEFT(Q37,2)="No","",Q25-Q34)))</f>
        <v/>
      </c>
      <c r="R48" s="5858"/>
      <c r="S48" s="5858"/>
      <c r="T48" s="70"/>
      <c r="U48" s="754"/>
      <c r="V48" s="24"/>
      <c r="W48" s="82"/>
      <c r="X48" s="727"/>
      <c r="Y48" s="82"/>
      <c r="Z48" s="82"/>
      <c r="AA48" s="727"/>
      <c r="AB48" s="635"/>
      <c r="AC48" s="290"/>
    </row>
    <row r="49" spans="1:40" ht="12" customHeight="1">
      <c r="A49" s="635"/>
      <c r="B49" s="507"/>
      <c r="C49" s="25"/>
      <c r="D49" s="25"/>
      <c r="E49" s="275" t="str">
        <f>TEXT(2*X21,"$0,000")&amp;" or more ("&amp;TEXT(X21,"$0,000")&amp;" or more in the column for the IRA of"</f>
        <v>$20,000 or more ($10,000 or more in the column for the IRA of</v>
      </c>
      <c r="F49" s="275"/>
      <c r="G49" s="24"/>
      <c r="H49" s="24"/>
      <c r="I49" s="68"/>
      <c r="J49" s="68"/>
      <c r="K49" s="63"/>
      <c r="L49" s="5858">
        <f>IF(K13&lt;&gt;"",2*$X$21,$X$21)</f>
        <v>10000</v>
      </c>
      <c r="M49" s="5858"/>
      <c r="N49" s="5858"/>
      <c r="O49" s="533"/>
      <c r="P49" s="533"/>
      <c r="Q49" s="5858">
        <f>IF(P14&lt;&gt;"",2*$X$21,$X$21)</f>
        <v>10000</v>
      </c>
      <c r="R49" s="5858"/>
      <c r="S49" s="5858"/>
      <c r="T49" s="70"/>
      <c r="U49" s="754"/>
      <c r="V49" s="24"/>
      <c r="W49" s="24"/>
      <c r="X49" s="14"/>
      <c r="Y49" s="290"/>
      <c r="Z49" s="290"/>
      <c r="AA49" s="290"/>
      <c r="AB49" s="290"/>
      <c r="AC49" s="290"/>
    </row>
    <row r="50" spans="1:40" ht="12" customHeight="1">
      <c r="A50" s="635"/>
      <c r="B50" s="507"/>
      <c r="C50" s="25"/>
      <c r="D50" s="25"/>
      <c r="E50" s="275" t="s">
        <v>526</v>
      </c>
      <c r="F50" s="275"/>
      <c r="G50" s="24"/>
      <c r="H50" s="24"/>
      <c r="I50" s="68"/>
      <c r="J50" s="68"/>
      <c r="K50" s="63"/>
      <c r="L50" s="533"/>
      <c r="M50" s="533"/>
      <c r="N50" s="533"/>
      <c r="O50" s="533"/>
      <c r="P50" s="533"/>
      <c r="Q50" s="5858"/>
      <c r="R50" s="5858"/>
      <c r="S50" s="5858"/>
      <c r="T50" s="70"/>
      <c r="U50" s="754"/>
      <c r="V50" s="24"/>
      <c r="W50" s="24"/>
      <c r="X50" s="14"/>
      <c r="Y50" s="290"/>
      <c r="Z50" s="290"/>
      <c r="AA50" s="290"/>
      <c r="AB50" s="290"/>
      <c r="AC50" s="290"/>
    </row>
    <row r="51" spans="1:40" ht="12" customHeight="1">
      <c r="A51" s="635"/>
      <c r="B51" s="507"/>
      <c r="C51" s="25"/>
      <c r="D51" s="25"/>
      <c r="E51" s="275" t="s">
        <v>527</v>
      </c>
      <c r="F51" s="275"/>
      <c r="G51" s="24"/>
      <c r="H51" s="24"/>
      <c r="I51" s="68"/>
      <c r="J51" s="68"/>
      <c r="K51" s="63"/>
      <c r="L51" s="533"/>
      <c r="M51" s="533"/>
      <c r="N51" s="533"/>
      <c r="O51" s="533"/>
      <c r="P51" s="533"/>
      <c r="Q51" s="531"/>
      <c r="R51" s="531"/>
      <c r="S51" s="531"/>
      <c r="T51" s="70"/>
      <c r="U51" s="754"/>
      <c r="V51" s="24"/>
      <c r="W51" s="24"/>
      <c r="X51" s="14"/>
      <c r="Y51" s="290"/>
      <c r="Z51" s="290"/>
      <c r="AA51" s="290"/>
      <c r="AB51" s="290"/>
      <c r="AC51" s="290"/>
    </row>
    <row r="52" spans="1:40" ht="12" customHeight="1">
      <c r="A52" s="635"/>
      <c r="B52" s="507"/>
      <c r="C52" s="25"/>
      <c r="D52" s="25"/>
      <c r="E52" s="275" t="s">
        <v>528</v>
      </c>
      <c r="F52" s="275"/>
      <c r="G52" s="24"/>
      <c r="H52" s="24"/>
      <c r="I52" s="68"/>
      <c r="J52" s="68"/>
      <c r="K52" s="63"/>
      <c r="L52" s="533"/>
      <c r="M52" s="533"/>
      <c r="N52" s="533"/>
      <c r="O52" s="533"/>
      <c r="P52" s="533"/>
      <c r="Q52" s="531"/>
      <c r="R52" s="531"/>
      <c r="S52" s="531"/>
      <c r="T52" s="70"/>
      <c r="U52" s="754"/>
      <c r="V52" s="24"/>
      <c r="W52" s="24"/>
      <c r="X52" s="14"/>
      <c r="Y52" s="290"/>
      <c r="Z52" s="290"/>
      <c r="AA52" s="290"/>
      <c r="AB52" s="290"/>
      <c r="AC52" s="290"/>
    </row>
    <row r="53" spans="1:40" ht="12" customHeight="1">
      <c r="A53" s="635"/>
      <c r="B53" s="507"/>
      <c r="C53" s="25"/>
      <c r="D53" s="25"/>
      <c r="E53" s="275"/>
      <c r="F53" s="275"/>
      <c r="G53" s="24" t="str">
        <f>"i. "&amp;TEXT($X$12,"$0,000")&amp;", if under age 50 at the end of "&amp;TaxYear&amp;"."</f>
        <v>i. $5,500, if under age 50 at the end of 2018.</v>
      </c>
      <c r="H53" s="24"/>
      <c r="I53" s="68"/>
      <c r="J53" s="68"/>
      <c r="K53" s="63"/>
      <c r="L53" s="533"/>
      <c r="M53" s="533"/>
      <c r="N53" s="533"/>
      <c r="O53" s="533"/>
      <c r="P53" s="533"/>
      <c r="Q53" s="531"/>
      <c r="R53" s="531"/>
      <c r="S53" s="531"/>
      <c r="T53" s="70"/>
      <c r="U53" s="754"/>
      <c r="V53" s="24"/>
      <c r="W53" s="24"/>
      <c r="X53" s="14"/>
      <c r="Y53" s="290"/>
      <c r="Z53" s="290"/>
      <c r="AA53" s="290"/>
      <c r="AB53" s="290"/>
      <c r="AC53" s="290"/>
    </row>
    <row r="54" spans="1:40" s="244" customFormat="1" ht="12" customHeight="1">
      <c r="A54" s="245"/>
      <c r="B54" s="957"/>
      <c r="C54" s="25"/>
      <c r="D54" s="275"/>
      <c r="E54" s="275"/>
      <c r="F54" s="275"/>
      <c r="G54" s="275" t="str">
        <f>"ii. "&amp;TEXT($X$14,"$0,000")&amp;", if age 50 or older but under age 70½ at the"</f>
        <v>ii. $6,500, if age 50 or older but under age 70½ at the</v>
      </c>
      <c r="H54" s="275"/>
      <c r="I54" s="309"/>
      <c r="J54" s="309"/>
      <c r="K54" s="368"/>
      <c r="L54" s="533"/>
      <c r="M54" s="533"/>
      <c r="N54" s="533"/>
      <c r="O54" s="533"/>
      <c r="P54" s="533"/>
      <c r="Q54" s="531"/>
      <c r="R54" s="531"/>
      <c r="S54" s="531"/>
      <c r="T54" s="121"/>
      <c r="U54" s="753"/>
      <c r="V54" s="275"/>
      <c r="W54" s="275"/>
      <c r="X54" s="14"/>
      <c r="Y54" s="330"/>
      <c r="Z54" s="330"/>
      <c r="AA54" s="330"/>
      <c r="AB54" s="330"/>
      <c r="AC54" s="330"/>
      <c r="AD54" s="3177"/>
      <c r="AE54" s="3177"/>
      <c r="AF54" s="3177"/>
      <c r="AG54" s="3177"/>
      <c r="AH54" s="3177"/>
      <c r="AI54" s="3177"/>
      <c r="AJ54" s="3177"/>
      <c r="AK54" s="3177"/>
      <c r="AL54" s="3177"/>
      <c r="AM54" s="3177"/>
      <c r="AN54" s="3177"/>
    </row>
    <row r="55" spans="1:40" s="244" customFormat="1" ht="12" customHeight="1">
      <c r="A55" s="245"/>
      <c r="B55" s="957"/>
      <c r="C55" s="25"/>
      <c r="D55" s="275"/>
      <c r="E55" s="275"/>
      <c r="F55" s="275"/>
      <c r="G55" s="275" t="str">
        <f>"   end of "&amp;TaxYear&amp;"."</f>
        <v xml:space="preserve">   end of 2018.</v>
      </c>
      <c r="H55" s="275"/>
      <c r="I55" s="309"/>
      <c r="J55" s="309"/>
      <c r="K55" s="368"/>
      <c r="L55" s="533"/>
      <c r="M55" s="533"/>
      <c r="N55" s="533"/>
      <c r="O55" s="533"/>
      <c r="P55" s="533"/>
      <c r="Q55" s="531"/>
      <c r="R55" s="531"/>
      <c r="S55" s="531"/>
      <c r="T55" s="121"/>
      <c r="U55" s="753"/>
      <c r="V55" s="275"/>
      <c r="W55" s="275"/>
      <c r="X55" s="14"/>
      <c r="Y55" s="330"/>
      <c r="Z55" s="330"/>
      <c r="AA55" s="330"/>
      <c r="AB55" s="330"/>
      <c r="AC55" s="330"/>
      <c r="AD55" s="3177"/>
      <c r="AE55" s="3177"/>
      <c r="AF55" s="3177"/>
      <c r="AG55" s="3177"/>
      <c r="AH55" s="3177"/>
      <c r="AI55" s="3177"/>
      <c r="AJ55" s="3177"/>
      <c r="AK55" s="3177"/>
      <c r="AL55" s="3177"/>
      <c r="AM55" s="3177"/>
      <c r="AN55" s="3177"/>
    </row>
    <row r="56" spans="1:40" ht="12" customHeight="1">
      <c r="A56" s="635"/>
      <c r="B56" s="507"/>
      <c r="C56" s="25"/>
      <c r="D56" s="43"/>
      <c r="E56" s="74" t="s">
        <v>781</v>
      </c>
      <c r="F56" s="275"/>
      <c r="G56" s="24"/>
      <c r="H56" s="24"/>
      <c r="I56" s="309"/>
      <c r="J56" s="309"/>
      <c r="K56" s="368"/>
      <c r="L56" s="533"/>
      <c r="M56" s="533"/>
      <c r="N56" s="533"/>
      <c r="O56" s="533"/>
      <c r="P56" s="533"/>
      <c r="Q56" s="531"/>
      <c r="R56" s="531"/>
      <c r="S56" s="531"/>
      <c r="T56" s="121"/>
      <c r="U56" s="801"/>
      <c r="V56" s="24"/>
      <c r="W56" s="24"/>
      <c r="X56" s="14"/>
      <c r="Y56" s="290"/>
      <c r="Z56" s="290"/>
      <c r="AA56" s="290"/>
      <c r="AB56" s="290"/>
      <c r="AC56" s="290"/>
    </row>
    <row r="57" spans="1:40" ht="12" customHeight="1" thickBot="1">
      <c r="A57" s="635"/>
      <c r="B57" s="961"/>
      <c r="C57" s="962"/>
      <c r="D57" s="962"/>
      <c r="E57" s="963"/>
      <c r="F57" s="963"/>
      <c r="G57" s="39"/>
      <c r="H57" s="39"/>
      <c r="I57" s="326"/>
      <c r="J57" s="326"/>
      <c r="K57" s="964"/>
      <c r="L57" s="965"/>
      <c r="M57" s="966"/>
      <c r="N57" s="966"/>
      <c r="O57" s="326"/>
      <c r="P57" s="326"/>
      <c r="Q57" s="965"/>
      <c r="R57" s="966"/>
      <c r="S57" s="966"/>
      <c r="T57" s="967"/>
      <c r="U57" s="801"/>
      <c r="V57" s="24"/>
      <c r="W57" s="24"/>
      <c r="X57" s="14"/>
      <c r="Y57" s="290"/>
      <c r="Z57" s="290"/>
      <c r="AA57" s="290"/>
      <c r="AB57" s="290"/>
      <c r="AC57" s="290"/>
    </row>
    <row r="58" spans="1:40" ht="1.5" customHeight="1">
      <c r="A58" s="635"/>
      <c r="B58" s="968"/>
      <c r="C58" s="969"/>
      <c r="D58" s="969"/>
      <c r="E58" s="970"/>
      <c r="F58" s="970"/>
      <c r="G58" s="971"/>
      <c r="H58" s="971"/>
      <c r="I58" s="972"/>
      <c r="J58" s="972"/>
      <c r="K58" s="973"/>
      <c r="L58" s="974"/>
      <c r="M58" s="975"/>
      <c r="N58" s="975"/>
      <c r="O58" s="972"/>
      <c r="P58" s="972"/>
      <c r="Q58" s="974"/>
      <c r="R58" s="975"/>
      <c r="S58" s="975"/>
      <c r="T58" s="976"/>
      <c r="U58" s="801"/>
      <c r="V58" s="24"/>
      <c r="W58" s="24"/>
      <c r="X58" s="14"/>
      <c r="Y58" s="290"/>
      <c r="Z58" s="290"/>
      <c r="AA58" s="290"/>
      <c r="AB58" s="290"/>
      <c r="AC58" s="290"/>
    </row>
    <row r="59" spans="1:40" ht="22.5" customHeight="1">
      <c r="A59" s="635"/>
      <c r="B59" s="4763" t="s">
        <v>4421</v>
      </c>
      <c r="C59" s="28"/>
      <c r="D59" s="28"/>
      <c r="E59" s="28"/>
      <c r="F59" s="28"/>
      <c r="G59" s="28"/>
      <c r="H59" s="28"/>
      <c r="I59" s="28"/>
      <c r="J59" s="28"/>
      <c r="K59" s="28"/>
      <c r="L59" s="28"/>
      <c r="M59" s="28"/>
      <c r="N59" s="28"/>
      <c r="O59" s="28"/>
      <c r="P59" s="369"/>
      <c r="Q59" s="369"/>
      <c r="R59" s="369"/>
      <c r="S59" s="978" t="s">
        <v>287</v>
      </c>
      <c r="T59" s="960"/>
      <c r="U59" s="809"/>
      <c r="V59" s="26"/>
      <c r="W59" s="26"/>
      <c r="X59" s="26"/>
      <c r="Y59" s="290"/>
      <c r="Z59" s="290"/>
      <c r="AA59" s="290"/>
      <c r="AB59" s="290"/>
      <c r="AC59" s="290"/>
    </row>
    <row r="60" spans="1:40" s="661" customFormat="1" ht="21.75" customHeight="1">
      <c r="A60" s="685"/>
      <c r="B60" s="816"/>
      <c r="C60" s="373"/>
      <c r="D60" s="373"/>
      <c r="E60" s="373"/>
      <c r="F60" s="373"/>
      <c r="G60" s="374"/>
      <c r="H60" s="372"/>
      <c r="I60" s="372"/>
      <c r="J60" s="819"/>
      <c r="K60" s="817"/>
      <c r="L60" s="820" t="s">
        <v>281</v>
      </c>
      <c r="M60" s="817"/>
      <c r="N60" s="821" t="s">
        <v>25</v>
      </c>
      <c r="O60" s="821"/>
      <c r="P60" s="817"/>
      <c r="Q60" s="817"/>
      <c r="R60" s="817"/>
      <c r="S60" s="817"/>
      <c r="T60" s="370"/>
      <c r="U60" s="810"/>
      <c r="V60" s="822"/>
      <c r="W60" s="822"/>
      <c r="X60" s="822"/>
      <c r="Y60" s="823"/>
      <c r="Z60" s="823"/>
      <c r="AA60" s="823"/>
      <c r="AB60" s="823"/>
      <c r="AC60" s="823"/>
      <c r="AD60" s="3176"/>
      <c r="AE60" s="3176"/>
      <c r="AF60" s="3169"/>
      <c r="AG60" s="3169"/>
      <c r="AH60" s="3169"/>
      <c r="AI60" s="3176"/>
      <c r="AJ60" s="3176"/>
      <c r="AK60" s="3176"/>
      <c r="AL60" s="3176"/>
      <c r="AM60" s="3176"/>
      <c r="AN60" s="3176"/>
    </row>
    <row r="61" spans="1:40" ht="12" customHeight="1">
      <c r="A61" s="635"/>
      <c r="B61" s="507">
        <v>7</v>
      </c>
      <c r="C61" s="53" t="s">
        <v>210</v>
      </c>
      <c r="D61" s="53"/>
      <c r="E61" s="24"/>
      <c r="F61" s="24"/>
      <c r="G61" s="24"/>
      <c r="H61" s="24"/>
      <c r="I61" s="1040"/>
      <c r="J61" s="524"/>
      <c r="K61" s="525" t="s">
        <v>413</v>
      </c>
      <c r="L61" s="5859">
        <f>IF(AND(L47&gt;$X$21,YourAge&lt;50),$X$12,IF(L47&gt;$X$21,$X$14,IF(YourAge&lt;50,ROUNDUP($AA$62*L47,-1),ROUNDUP($AA$63*L47,-1))))</f>
        <v>6500</v>
      </c>
      <c r="M61" s="5860"/>
      <c r="N61" s="5860"/>
      <c r="O61" s="524"/>
      <c r="P61" s="524"/>
      <c r="Q61" s="5859">
        <f>IF(L61&lt;$AA$61,$AA$61,L61)</f>
        <v>6500</v>
      </c>
      <c r="R61" s="5860"/>
      <c r="S61" s="5860"/>
      <c r="T61" s="984"/>
      <c r="U61" s="985"/>
      <c r="V61" s="986"/>
      <c r="W61" s="986"/>
      <c r="X61" s="986"/>
      <c r="Y61" s="986"/>
      <c r="Z61" s="986"/>
      <c r="AA61" s="1440">
        <v>200</v>
      </c>
      <c r="AB61" s="290"/>
      <c r="AC61" s="290"/>
    </row>
    <row r="62" spans="1:40">
      <c r="A62" s="635"/>
      <c r="B62" s="507"/>
      <c r="C62" s="275" t="s">
        <v>211</v>
      </c>
      <c r="D62" s="275"/>
      <c r="E62" s="112"/>
      <c r="F62" s="112"/>
      <c r="G62" s="112"/>
      <c r="H62" s="68"/>
      <c r="I62" s="533"/>
      <c r="J62" s="14"/>
      <c r="K62" s="525" t="s">
        <v>414</v>
      </c>
      <c r="L62" s="5859" t="str">
        <f>IF(YourAge="?","",IF(YouR70Half,0,IF(AND(L47&gt;L49,YourAge&lt;50),$X$12,IF(L47&gt;L49,$X$14,IF(ROUNDUP(L64*L47,-1)&lt;$AA$61,$AA$61,ROUNDUP(L64*L47,-1))))))</f>
        <v/>
      </c>
      <c r="M62" s="5860"/>
      <c r="N62" s="5860"/>
      <c r="O62" s="959"/>
      <c r="P62" s="525"/>
      <c r="Q62" s="5859">
        <f>IF(SpouseAge="®","",IF(SpouseIs70Half,0,IF(AND(Q47&gt;Q49,SpouseAge&lt;50),$X$12,IF(AND(Q47&gt;Q49),$X$14,IF(ROUNDUP(Q64*Q47,-1)&lt;$AA$61,$AA$61,ROUNDUP(Q64*Q47,-1))))))</f>
        <v>6500</v>
      </c>
      <c r="R62" s="5860"/>
      <c r="S62" s="5860"/>
      <c r="T62" s="987"/>
      <c r="U62" s="985"/>
      <c r="V62" s="533"/>
      <c r="W62" s="533"/>
      <c r="X62" s="533"/>
      <c r="Y62" s="533"/>
      <c r="Z62" s="533"/>
      <c r="AA62" s="14">
        <v>0.55000000000000004</v>
      </c>
      <c r="AB62" s="290"/>
      <c r="AC62" s="290"/>
    </row>
    <row r="63" spans="1:40">
      <c r="A63" s="635"/>
      <c r="B63" s="507"/>
      <c r="C63" s="275" t="str">
        <f>"example, increase $490.30 to $500). If the result is "&amp;TEXT(AA61,"$0")&amp;", or more, enter the"</f>
        <v>example, increase $490.30 to $500). If the result is $200, or more, enter the</v>
      </c>
      <c r="D63" s="275"/>
      <c r="E63" s="112"/>
      <c r="F63" s="112"/>
      <c r="G63" s="112"/>
      <c r="H63" s="68"/>
      <c r="I63" s="988"/>
      <c r="J63" s="988"/>
      <c r="K63" s="988"/>
      <c r="L63" s="988"/>
      <c r="M63" s="988"/>
      <c r="N63" s="988"/>
      <c r="O63" s="988"/>
      <c r="P63" s="988"/>
      <c r="Q63" s="988"/>
      <c r="R63" s="988"/>
      <c r="S63" s="988"/>
      <c r="T63" s="987"/>
      <c r="U63" s="985"/>
      <c r="V63" s="533"/>
      <c r="W63" s="533"/>
      <c r="X63" s="533"/>
      <c r="Y63" s="533"/>
      <c r="Z63" s="533"/>
      <c r="AA63" s="14">
        <v>0.65</v>
      </c>
      <c r="AB63" s="290"/>
      <c r="AC63" s="290"/>
    </row>
    <row r="64" spans="1:40">
      <c r="A64" s="635"/>
      <c r="B64" s="507"/>
      <c r="C64" s="275" t="str">
        <f>"result. But if it is less than "&amp;TEXT(AA61,"$0")&amp;", enter "&amp;TEXT(AA61,"$0")&amp;"."</f>
        <v>result. But if it is less than $200, enter $200.</v>
      </c>
      <c r="D64" s="275"/>
      <c r="E64" s="112"/>
      <c r="F64" s="112"/>
      <c r="G64" s="112"/>
      <c r="H64" s="68"/>
      <c r="I64" s="988"/>
      <c r="J64" s="988"/>
      <c r="K64" s="988"/>
      <c r="L64" s="1787">
        <f>IF(AND(K13&lt;&gt;"",YourAge&lt;50),AA64,IF(K13&lt;&gt;"",AA65,IF(YourAge&lt;50,AA62,AA63)))</f>
        <v>0.65</v>
      </c>
      <c r="M64" s="988"/>
      <c r="N64" s="988"/>
      <c r="O64" s="988"/>
      <c r="P64" s="988"/>
      <c r="Q64" s="1787">
        <f>IF(AND(P14&lt;&gt;"",SpouseAge&lt;50),AA64,IF(P14&lt;&gt;"",AA65,IF(SpouseAge&lt;50,AA62,AA63)))</f>
        <v>0.65</v>
      </c>
      <c r="R64" s="988"/>
      <c r="S64" s="988"/>
      <c r="T64" s="987"/>
      <c r="U64" s="985"/>
      <c r="V64" s="533"/>
      <c r="W64" s="25" t="s">
        <v>100</v>
      </c>
      <c r="X64" s="25"/>
      <c r="Y64" s="290"/>
      <c r="Z64" s="533"/>
      <c r="AA64" s="14">
        <v>0.27500000000000002</v>
      </c>
      <c r="AB64" s="290"/>
      <c r="AC64" s="290"/>
    </row>
    <row r="65" spans="1:29">
      <c r="A65" s="635"/>
      <c r="B65" s="507"/>
      <c r="C65" s="955" t="s">
        <v>480</v>
      </c>
      <c r="D65" s="275" t="str">
        <f>"Single, head of household, or married filing separately, multiply by "&amp;TEXT(AA62,"0%")</f>
        <v>Single, head of household, or married filing separately, multiply by 55%</v>
      </c>
      <c r="E65" s="112"/>
      <c r="F65" s="112"/>
      <c r="G65" s="112"/>
      <c r="H65" s="68"/>
      <c r="I65" s="988"/>
      <c r="J65" s="1041"/>
      <c r="K65" s="983"/>
      <c r="L65" s="246"/>
      <c r="M65" s="246"/>
      <c r="N65" s="246"/>
      <c r="O65" s="246"/>
      <c r="P65" s="246"/>
      <c r="Q65" s="246"/>
      <c r="R65" s="988"/>
      <c r="S65" s="977" t="str">
        <f>IF(AND(K13&lt;&gt;"",File_Marr_Joint="",YourAge="®"),"Birthdate information needed on 'Form 1040', Row 73.",IF(AND(P14&lt;&gt;"",File_Marr_Joint&lt;&gt;"",SpouseAge=""),"Birthdate information needed on 'Form 1040', Rows 73 &amp; 75.",""))</f>
        <v/>
      </c>
      <c r="T65" s="987"/>
      <c r="U65" s="985"/>
      <c r="V65" s="533"/>
      <c r="W65" s="5842" t="s">
        <v>101</v>
      </c>
      <c r="X65" s="5843"/>
      <c r="Y65" s="5843"/>
      <c r="Z65" s="533"/>
      <c r="AA65" s="14">
        <v>0.32500000000000001</v>
      </c>
      <c r="AB65" s="290"/>
      <c r="AC65" s="290"/>
    </row>
    <row r="66" spans="1:29">
      <c r="A66" s="635"/>
      <c r="B66" s="507"/>
      <c r="C66" s="275"/>
      <c r="D66" s="275" t="str">
        <f>"("&amp;TEXT(AA62,"0.00")&amp;")(or by "&amp;TEXT(AA63,"0%")&amp;" ("&amp;TEXT(AA63,"0.00")&amp;") in the column for the IRA of a person who is age"</f>
        <v>(0.55)(or by 65% (0.65) in the column for the IRA of a person who is age</v>
      </c>
      <c r="E66" s="112"/>
      <c r="F66" s="112"/>
      <c r="G66" s="112"/>
      <c r="H66" s="68"/>
      <c r="I66" s="63"/>
      <c r="J66" s="63"/>
      <c r="K66" s="68"/>
      <c r="L66" s="246"/>
      <c r="M66" s="246"/>
      <c r="N66" s="1025"/>
      <c r="O66" s="246"/>
      <c r="P66" s="531"/>
      <c r="Q66" s="531"/>
      <c r="R66" s="531"/>
      <c r="S66" s="977" t="str">
        <f>IF(AND(K13&lt;&gt;"",DependentYOU="",YourAge="®"),"Your birthdate is needed on Form 1040, Column AF.","")</f>
        <v/>
      </c>
      <c r="T66" s="70"/>
      <c r="U66" s="754"/>
      <c r="V66" s="24"/>
      <c r="W66" s="82"/>
      <c r="X66" s="727"/>
      <c r="Y66" s="82"/>
      <c r="Z66" s="82"/>
      <c r="AA66" s="727"/>
      <c r="AB66" s="635"/>
      <c r="AC66" s="290"/>
    </row>
    <row r="67" spans="1:29">
      <c r="A67" s="635"/>
      <c r="B67" s="507"/>
      <c r="C67" s="24"/>
      <c r="D67" s="24" t="str">
        <f>"50 or older at the end of "&amp;TaxYear&amp;")"</f>
        <v>50 or older at the end of 2018)</v>
      </c>
      <c r="E67" s="63"/>
      <c r="F67" s="63"/>
      <c r="G67" s="63"/>
      <c r="H67" s="68"/>
      <c r="I67" s="63"/>
      <c r="J67" s="760" t="s">
        <v>104</v>
      </c>
      <c r="K67" s="75" t="s">
        <v>568</v>
      </c>
      <c r="L67" s="5850" t="str">
        <f>IF(X67&lt;&gt;"",X67,IF(OR(NOT(Yourself),Q18,BadBirthdate_Yours,YouR70Half,LEFT(L37,3)="No."),"",IF(AND(K13="",YourAge&lt;50),$X$12,IF(AND(K13="",YourAge&gt;=50),$X$14,IF(OR(File_Single&lt;&gt;"",File_Head&lt;&gt;"",File_Marr_Sep&lt;&gt;""),Q61,IF(OR(File_Marr_Joint&lt;&gt;"",File_Qual_Widow&lt;&gt;""),L62,""))))))</f>
        <v/>
      </c>
      <c r="M67" s="5851"/>
      <c r="N67" s="5851"/>
      <c r="O67" s="931"/>
      <c r="P67" s="75" t="s">
        <v>569</v>
      </c>
      <c r="Q67" s="5850" t="str">
        <f>IF(AA67&lt;&gt;"",AA67,IF(OR(R20,Q18,File_Marr_Joint="",SpouseAge="",LEFT(Q37,3)="No."),"",IF(SpouseIs70Half,0,IF(AND(K13="",P14="",SpouseAge&lt;50),$X$12,IF(AND(K13="",P14="",SpouseAge&gt;=50),$X$14,Q62)))))</f>
        <v/>
      </c>
      <c r="R67" s="5851"/>
      <c r="S67" s="5851"/>
      <c r="T67" s="498"/>
      <c r="U67" s="801"/>
      <c r="V67" s="24"/>
      <c r="W67" s="84" t="s">
        <v>300</v>
      </c>
      <c r="X67" s="4764"/>
      <c r="Y67" s="84" t="s">
        <v>45</v>
      </c>
      <c r="Z67" s="84"/>
      <c r="AA67" s="4764"/>
      <c r="AB67" s="635"/>
      <c r="AC67" s="290"/>
    </row>
    <row r="68" spans="1:29">
      <c r="A68" s="635"/>
      <c r="B68" s="507"/>
      <c r="C68" s="955" t="s">
        <v>480</v>
      </c>
      <c r="D68" s="275" t="str">
        <f>"Married filing jointly or qualifying widow(er), multiply by "&amp;TEXT(AA64,"0.0%")&amp;" ("&amp;TEXT(AA64,"0.000")&amp;")"</f>
        <v>Married filing jointly or qualifying widow(er), multiply by 27.5% (0.275)</v>
      </c>
      <c r="E68" s="112"/>
      <c r="F68" s="112"/>
      <c r="G68" s="112"/>
      <c r="H68" s="68"/>
      <c r="I68" s="63"/>
      <c r="J68" s="63"/>
      <c r="K68" s="68"/>
      <c r="L68" s="246"/>
      <c r="M68" s="246"/>
      <c r="N68" s="246"/>
      <c r="O68" s="246"/>
      <c r="P68" s="531"/>
      <c r="Q68" s="531"/>
      <c r="R68" s="531"/>
      <c r="S68" s="531"/>
      <c r="T68" s="70"/>
      <c r="U68" s="754"/>
      <c r="V68" s="24"/>
      <c r="W68" s="82"/>
      <c r="X68" s="727"/>
      <c r="Y68" s="82"/>
      <c r="Z68" s="82"/>
      <c r="AA68" s="727"/>
      <c r="AB68" s="635"/>
      <c r="AC68" s="290"/>
    </row>
    <row r="69" spans="1:29">
      <c r="A69" s="635"/>
      <c r="B69" s="507"/>
      <c r="C69" s="275"/>
      <c r="D69" s="275" t="str">
        <f>"(or by "&amp;TEXT(AA65,"0.0%")&amp;" ("&amp;TEXT(AA65,"0.000")&amp;") in the column for the IRA of a person who is age 50 or"</f>
        <v>(or by 32.5% (0.325) in the column for the IRA of a person who is age 50 or</v>
      </c>
      <c r="E69" s="112"/>
      <c r="F69" s="112"/>
      <c r="G69" s="112"/>
      <c r="H69" s="68"/>
      <c r="I69" s="63"/>
      <c r="J69" s="63"/>
      <c r="K69" s="68"/>
      <c r="L69" s="246"/>
      <c r="M69" s="246"/>
      <c r="N69" s="246"/>
      <c r="O69" s="246"/>
      <c r="P69" s="531"/>
      <c r="Q69" s="531"/>
      <c r="R69" s="531"/>
      <c r="S69" s="531"/>
      <c r="T69" s="70"/>
      <c r="U69" s="754"/>
      <c r="V69" s="24"/>
      <c r="W69" s="82"/>
      <c r="X69" s="727"/>
      <c r="Y69" s="82"/>
      <c r="Z69" s="82"/>
      <c r="AA69" s="727"/>
      <c r="AB69" s="635"/>
      <c r="AC69" s="290"/>
    </row>
    <row r="70" spans="1:29">
      <c r="A70" s="635"/>
      <c r="B70" s="507"/>
      <c r="C70" s="275"/>
      <c r="D70" s="275" t="str">
        <f>"older at the end of "&amp;TaxYear&amp;"). But if you checked “No” on either line 1a"</f>
        <v>older at the end of 2018). But if you checked “No” on either line 1a</v>
      </c>
      <c r="E70" s="112"/>
      <c r="F70" s="112"/>
      <c r="G70" s="112"/>
      <c r="H70" s="68"/>
      <c r="I70" s="63"/>
      <c r="J70" s="63"/>
      <c r="K70" s="68"/>
      <c r="L70" s="246"/>
      <c r="M70" s="246"/>
      <c r="N70" s="246"/>
      <c r="O70" s="246"/>
      <c r="P70" s="531"/>
      <c r="Q70" s="531"/>
      <c r="R70" s="531"/>
      <c r="S70" s="531"/>
      <c r="T70" s="70"/>
      <c r="U70" s="754"/>
      <c r="V70" s="24"/>
      <c r="W70" s="82"/>
      <c r="X70" s="727"/>
      <c r="Y70" s="82"/>
      <c r="Z70" s="82"/>
      <c r="AA70" s="727"/>
      <c r="AB70" s="635"/>
      <c r="AC70" s="290"/>
    </row>
    <row r="71" spans="1:29">
      <c r="A71" s="635"/>
      <c r="B71" s="507"/>
      <c r="C71" s="275"/>
      <c r="D71" s="74" t="s">
        <v>3754</v>
      </c>
      <c r="E71" s="112"/>
      <c r="F71" s="112"/>
      <c r="G71" s="112"/>
      <c r="H71" s="68"/>
      <c r="I71" s="63"/>
      <c r="J71" s="63"/>
      <c r="K71" s="68"/>
      <c r="L71" s="246"/>
      <c r="M71" s="246"/>
      <c r="N71" s="246"/>
      <c r="O71" s="246"/>
      <c r="P71" s="531"/>
      <c r="Q71" s="531"/>
      <c r="R71" s="531"/>
      <c r="S71" s="531"/>
      <c r="T71" s="70"/>
      <c r="U71" s="754"/>
      <c r="V71" s="24"/>
      <c r="W71" s="82"/>
      <c r="X71" s="727"/>
      <c r="Y71" s="82"/>
      <c r="Z71" s="82"/>
      <c r="AA71" s="727"/>
      <c r="AB71" s="635"/>
      <c r="AC71" s="290"/>
    </row>
    <row r="72" spans="1:29">
      <c r="A72" s="635"/>
      <c r="B72" s="507"/>
      <c r="C72" s="275"/>
      <c r="D72" s="275" t="str">
        <f>"retirement plan, multiply by "&amp;TEXT(AA62,"0%")&amp;" ("&amp;TEXT(AA62,"0.00")&amp;") (or by "&amp;TEXT(AA63,"0%")&amp;" ("&amp;TEXT(AA63,"0.00")&amp;") if age 50 or"</f>
        <v>retirement plan, multiply by 55% (0.55) (or by 65% (0.65) if age 50 or</v>
      </c>
      <c r="E72" s="112"/>
      <c r="F72" s="112"/>
      <c r="G72" s="112"/>
      <c r="H72" s="68"/>
      <c r="I72" s="63"/>
      <c r="J72" s="63"/>
      <c r="K72" s="68"/>
      <c r="L72" s="246"/>
      <c r="M72" s="246"/>
      <c r="N72" s="246"/>
      <c r="O72" s="246"/>
      <c r="P72" s="531"/>
      <c r="Q72" s="531"/>
      <c r="R72" s="531"/>
      <c r="S72" s="531"/>
      <c r="T72" s="70"/>
      <c r="U72" s="754"/>
      <c r="V72" s="24"/>
      <c r="W72" s="82"/>
      <c r="X72" s="727"/>
      <c r="Y72" s="82"/>
      <c r="Z72" s="82"/>
      <c r="AA72" s="727"/>
      <c r="AB72" s="635"/>
      <c r="AC72" s="290"/>
    </row>
    <row r="73" spans="1:29">
      <c r="A73" s="635"/>
      <c r="B73" s="507"/>
      <c r="C73" s="275"/>
      <c r="D73" s="275" t="str">
        <f>"older at the end of "&amp;TaxYear&amp;")."</f>
        <v>older at the end of 2018).</v>
      </c>
      <c r="E73" s="112"/>
      <c r="F73" s="112"/>
      <c r="G73" s="112"/>
      <c r="H73" s="68"/>
      <c r="I73" s="63"/>
      <c r="J73" s="63"/>
      <c r="K73" s="68"/>
      <c r="L73" s="246"/>
      <c r="M73" s="246"/>
      <c r="N73" s="246"/>
      <c r="O73" s="246"/>
      <c r="P73" s="531"/>
      <c r="Q73" s="531"/>
      <c r="R73" s="531"/>
      <c r="S73" s="531"/>
      <c r="T73" s="70"/>
      <c r="U73" s="754"/>
      <c r="V73" s="24"/>
      <c r="W73" s="82"/>
      <c r="X73" s="727"/>
      <c r="Y73" s="82"/>
      <c r="Z73" s="82"/>
      <c r="AA73" s="727"/>
      <c r="AB73" s="635"/>
      <c r="AC73" s="290"/>
    </row>
    <row r="74" spans="1:29" ht="12.75" customHeight="1">
      <c r="A74" s="635"/>
      <c r="B74" s="507">
        <v>8</v>
      </c>
      <c r="C74" s="24" t="s">
        <v>302</v>
      </c>
      <c r="D74" s="24"/>
      <c r="E74" s="63"/>
      <c r="F74" s="63"/>
      <c r="G74" s="63"/>
      <c r="H74" s="68"/>
      <c r="I74" s="63"/>
      <c r="J74" s="63"/>
      <c r="K74" s="75"/>
      <c r="L74" s="906"/>
      <c r="M74" s="933"/>
      <c r="N74" s="321"/>
      <c r="O74" s="140"/>
      <c r="P74" s="75"/>
      <c r="Q74" s="312"/>
      <c r="R74" s="24"/>
      <c r="S74" s="427"/>
      <c r="T74" s="498"/>
      <c r="U74" s="801"/>
      <c r="V74" s="24"/>
      <c r="W74" s="82"/>
      <c r="X74" s="727"/>
      <c r="Y74" s="82"/>
      <c r="Z74" s="82"/>
      <c r="AA74" s="727"/>
      <c r="AB74" s="635"/>
      <c r="AC74" s="290"/>
    </row>
    <row r="75" spans="1:29" ht="12.75" customHeight="1">
      <c r="A75" s="635"/>
      <c r="B75" s="507"/>
      <c r="C75" s="955" t="s">
        <v>480</v>
      </c>
      <c r="D75" s="131" t="s">
        <v>782</v>
      </c>
      <c r="E75" s="63"/>
      <c r="F75" s="63"/>
      <c r="G75" s="63"/>
      <c r="H75" s="68"/>
      <c r="I75" s="63"/>
      <c r="J75" s="63"/>
      <c r="K75" s="75"/>
      <c r="L75" s="906"/>
      <c r="M75" s="140"/>
      <c r="N75" s="140"/>
      <c r="O75" s="140"/>
      <c r="P75" s="75"/>
      <c r="Q75" s="312"/>
      <c r="R75" s="24"/>
      <c r="S75" s="24"/>
      <c r="T75" s="498"/>
      <c r="U75" s="801"/>
      <c r="V75" s="24"/>
      <c r="W75" s="25" t="s">
        <v>100</v>
      </c>
      <c r="X75" s="25"/>
      <c r="Y75" s="290"/>
      <c r="Z75" s="290"/>
      <c r="AA75" s="290"/>
      <c r="AB75" s="290"/>
      <c r="AC75" s="290"/>
    </row>
    <row r="76" spans="1:29" ht="12.75" customHeight="1">
      <c r="A76" s="635"/>
      <c r="B76" s="507"/>
      <c r="C76" s="24"/>
      <c r="D76" s="131" t="s">
        <v>783</v>
      </c>
      <c r="E76" s="131"/>
      <c r="F76" s="63"/>
      <c r="G76" s="63"/>
      <c r="H76" s="68"/>
      <c r="I76" s="63"/>
      <c r="J76" s="63"/>
      <c r="K76" s="75"/>
      <c r="L76" s="906"/>
      <c r="M76" s="140"/>
      <c r="N76" s="140"/>
      <c r="O76" s="140"/>
      <c r="P76" s="75"/>
      <c r="Q76" s="312"/>
      <c r="R76" s="24"/>
      <c r="S76" s="24"/>
      <c r="T76" s="498"/>
      <c r="U76" s="801"/>
      <c r="V76" s="24"/>
      <c r="W76" s="5842" t="s">
        <v>101</v>
      </c>
      <c r="X76" s="5843"/>
      <c r="Y76" s="5843"/>
      <c r="Z76" s="290"/>
      <c r="AA76" s="290"/>
      <c r="AB76" s="290"/>
      <c r="AC76" s="290"/>
    </row>
    <row r="77" spans="1:29" ht="12.75" customHeight="1">
      <c r="A77" s="635"/>
      <c r="B77" s="507"/>
      <c r="C77" s="24"/>
      <c r="D77" s="131" t="s">
        <v>3756</v>
      </c>
      <c r="E77" s="131"/>
      <c r="F77" s="63"/>
      <c r="G77" s="63"/>
      <c r="H77" s="68"/>
      <c r="I77" s="63"/>
      <c r="J77" s="63"/>
      <c r="K77" s="75"/>
      <c r="L77" s="906"/>
      <c r="M77" s="140"/>
      <c r="N77" s="140"/>
      <c r="O77" s="140"/>
      <c r="P77" s="75"/>
      <c r="Q77" s="312"/>
      <c r="R77" s="24"/>
      <c r="S77" s="24"/>
      <c r="T77" s="498"/>
      <c r="U77" s="801"/>
      <c r="V77" s="24"/>
      <c r="W77" s="82"/>
      <c r="X77" s="727"/>
      <c r="Y77" s="635"/>
      <c r="Z77" s="635"/>
      <c r="AA77" s="290"/>
      <c r="AB77" s="290"/>
      <c r="AC77" s="290"/>
    </row>
    <row r="78" spans="1:29" ht="12.75" customHeight="1">
      <c r="A78" s="635"/>
      <c r="B78" s="507"/>
      <c r="C78" s="955" t="s">
        <v>480</v>
      </c>
      <c r="D78" s="131" t="s">
        <v>923</v>
      </c>
      <c r="E78" s="63"/>
      <c r="F78" s="63"/>
      <c r="G78" s="63"/>
      <c r="H78" s="68">
        <f>B74</f>
        <v>8</v>
      </c>
      <c r="I78" s="5703">
        <f>IF(X78&lt;&gt;"",X78,ROUND(SUM(W2_Wages,AlimonyRcvd,X82),2))</f>
        <v>0</v>
      </c>
      <c r="J78" s="5703"/>
      <c r="K78" s="75"/>
      <c r="L78" s="906"/>
      <c r="M78" s="140"/>
      <c r="N78" s="140"/>
      <c r="O78" s="140"/>
      <c r="P78" s="75"/>
      <c r="Q78" s="312"/>
      <c r="R78" s="24"/>
      <c r="S78" s="24"/>
      <c r="T78" s="498"/>
      <c r="U78" s="801"/>
      <c r="V78" s="24"/>
      <c r="W78" s="912" t="s">
        <v>114</v>
      </c>
      <c r="X78" s="4764"/>
      <c r="Y78" s="635"/>
      <c r="Z78" s="635"/>
      <c r="AA78" s="290"/>
      <c r="AB78" s="290"/>
      <c r="AC78" s="290"/>
    </row>
    <row r="79" spans="1:29" ht="12.75" customHeight="1">
      <c r="A79" s="635"/>
      <c r="B79" s="507"/>
      <c r="C79" s="24"/>
      <c r="D79" s="131" t="s">
        <v>3755</v>
      </c>
      <c r="E79" s="63"/>
      <c r="F79" s="63"/>
      <c r="G79" s="63"/>
      <c r="H79" s="68"/>
      <c r="I79" s="63"/>
      <c r="J79" s="63"/>
      <c r="K79" s="75"/>
      <c r="L79" s="906"/>
      <c r="M79" s="140"/>
      <c r="N79" s="140"/>
      <c r="O79" s="140"/>
      <c r="P79" s="75"/>
      <c r="Q79" s="312"/>
      <c r="R79" s="24"/>
      <c r="S79" s="24"/>
      <c r="T79" s="498"/>
      <c r="U79" s="801"/>
      <c r="V79" s="24"/>
      <c r="W79" s="82"/>
      <c r="X79" s="727"/>
      <c r="Y79" s="635"/>
      <c r="Z79" s="635"/>
      <c r="AA79" s="290"/>
      <c r="AB79" s="290"/>
      <c r="AC79" s="290"/>
    </row>
    <row r="80" spans="1:29" ht="12.75" customHeight="1">
      <c r="A80" s="635"/>
      <c r="B80" s="507"/>
      <c r="C80" s="955" t="s">
        <v>480</v>
      </c>
      <c r="D80" s="131" t="s">
        <v>647</v>
      </c>
      <c r="E80" s="131"/>
      <c r="F80" s="63"/>
      <c r="G80" s="63"/>
      <c r="H80" s="68"/>
      <c r="I80" s="63"/>
      <c r="J80" s="63"/>
      <c r="K80" s="75"/>
      <c r="L80" s="906"/>
      <c r="M80" s="140"/>
      <c r="N80" s="140"/>
      <c r="O80" s="140"/>
      <c r="P80" s="75"/>
      <c r="Q80" s="312"/>
      <c r="R80" s="24"/>
      <c r="S80" s="24"/>
      <c r="T80" s="498"/>
      <c r="U80" s="801"/>
      <c r="V80" s="24"/>
      <c r="W80" s="24"/>
      <c r="X80" s="14"/>
      <c r="Y80" s="290"/>
      <c r="Z80" s="290"/>
      <c r="AA80" s="290"/>
      <c r="AB80" s="290"/>
      <c r="AC80" s="290"/>
    </row>
    <row r="81" spans="1:40">
      <c r="A81" s="635"/>
      <c r="B81" s="507"/>
      <c r="C81" s="24"/>
      <c r="D81" s="131" t="s">
        <v>648</v>
      </c>
      <c r="E81" s="131"/>
      <c r="F81" s="63"/>
      <c r="G81" s="63"/>
      <c r="H81" s="68"/>
      <c r="I81" s="63"/>
      <c r="J81" s="63"/>
      <c r="K81" s="75"/>
      <c r="L81" s="906"/>
      <c r="M81" s="140"/>
      <c r="N81" s="140"/>
      <c r="O81" s="140"/>
      <c r="P81" s="75"/>
      <c r="Q81" s="312"/>
      <c r="R81" s="24"/>
      <c r="S81" s="24"/>
      <c r="T81" s="498"/>
      <c r="U81" s="801"/>
      <c r="V81" s="63"/>
      <c r="W81" s="82"/>
      <c r="X81" s="911" t="s">
        <v>451</v>
      </c>
      <c r="Y81" s="914" t="s">
        <v>557</v>
      </c>
      <c r="Z81" s="914"/>
      <c r="AA81" s="290"/>
      <c r="AB81" s="290"/>
      <c r="AC81" s="290"/>
    </row>
    <row r="82" spans="1:40" ht="13.5" customHeight="1">
      <c r="A82" s="635"/>
      <c r="B82" s="507">
        <v>9</v>
      </c>
      <c r="C82" s="24" t="s">
        <v>236</v>
      </c>
      <c r="D82" s="24"/>
      <c r="E82" s="63"/>
      <c r="F82" s="63"/>
      <c r="G82" s="63"/>
      <c r="H82" s="68"/>
      <c r="I82" s="63"/>
      <c r="J82" s="63"/>
      <c r="K82" s="75"/>
      <c r="L82" s="906"/>
      <c r="M82" s="140"/>
      <c r="N82" s="140"/>
      <c r="O82" s="140"/>
      <c r="P82" s="75"/>
      <c r="Q82" s="312"/>
      <c r="R82" s="24"/>
      <c r="S82" s="24"/>
      <c r="T82" s="498"/>
      <c r="U82" s="801"/>
      <c r="V82" s="63"/>
      <c r="W82" s="912" t="s">
        <v>248</v>
      </c>
      <c r="X82" s="4766"/>
      <c r="Y82" s="913" t="s">
        <v>558</v>
      </c>
      <c r="Z82" s="913"/>
      <c r="AA82" s="290"/>
      <c r="AB82" s="290"/>
      <c r="AC82" s="290"/>
    </row>
    <row r="83" spans="1:40" ht="13.5" customHeight="1">
      <c r="A83" s="635"/>
      <c r="B83" s="507"/>
      <c r="C83" s="24" t="s">
        <v>237</v>
      </c>
      <c r="D83" s="24"/>
      <c r="E83" s="63"/>
      <c r="F83" s="63"/>
      <c r="G83" s="63"/>
      <c r="H83" s="68"/>
      <c r="I83" s="63"/>
      <c r="J83" s="63"/>
      <c r="K83" s="75"/>
      <c r="L83" s="906"/>
      <c r="M83" s="140"/>
      <c r="N83" s="140"/>
      <c r="O83" s="140"/>
      <c r="P83" s="75"/>
      <c r="Q83" s="312"/>
      <c r="R83" s="24"/>
      <c r="S83" s="24"/>
      <c r="T83" s="498"/>
      <c r="U83" s="801"/>
      <c r="V83" s="63"/>
      <c r="W83" s="82"/>
      <c r="X83" s="910" t="s">
        <v>84</v>
      </c>
      <c r="Y83" s="635"/>
      <c r="Z83" s="635"/>
      <c r="AA83" s="290"/>
      <c r="AB83" s="290"/>
      <c r="AC83" s="290"/>
    </row>
    <row r="84" spans="1:40" ht="13.5" customHeight="1">
      <c r="A84" s="635"/>
      <c r="B84" s="507"/>
      <c r="C84" s="24" t="s">
        <v>163</v>
      </c>
      <c r="D84" s="24"/>
      <c r="E84" s="63"/>
      <c r="F84" s="63"/>
      <c r="G84" s="63"/>
      <c r="H84" s="68"/>
      <c r="I84" s="63"/>
      <c r="J84" s="63"/>
      <c r="K84" s="75"/>
      <c r="L84" s="906"/>
      <c r="M84" s="140"/>
      <c r="N84" s="140"/>
      <c r="O84" s="140"/>
      <c r="P84" s="75"/>
      <c r="Q84" s="312"/>
      <c r="R84" s="24"/>
      <c r="S84" s="24"/>
      <c r="T84" s="498"/>
      <c r="U84" s="801"/>
      <c r="V84" s="24"/>
      <c r="W84" s="24"/>
      <c r="X84" s="24"/>
      <c r="Y84" s="290"/>
      <c r="Z84" s="290"/>
      <c r="AA84" s="290"/>
      <c r="AB84" s="290"/>
      <c r="AC84" s="290"/>
    </row>
    <row r="85" spans="1:40" ht="13.5" customHeight="1">
      <c r="A85" s="635"/>
      <c r="B85" s="507"/>
      <c r="C85" s="24" t="s">
        <v>332</v>
      </c>
      <c r="D85" s="24"/>
      <c r="E85" s="63"/>
      <c r="F85" s="63"/>
      <c r="G85" s="63"/>
      <c r="H85" s="68"/>
      <c r="I85" s="63"/>
      <c r="J85" s="63"/>
      <c r="K85" s="75"/>
      <c r="L85" s="906"/>
      <c r="M85" s="140"/>
      <c r="N85" s="140"/>
      <c r="O85" s="140"/>
      <c r="P85" s="75"/>
      <c r="Q85" s="312"/>
      <c r="R85" s="24"/>
      <c r="S85" s="24"/>
      <c r="T85" s="498"/>
      <c r="U85" s="801"/>
      <c r="V85" s="24"/>
      <c r="W85" s="25"/>
      <c r="X85" s="25"/>
      <c r="Y85" s="290"/>
      <c r="Z85" s="290"/>
      <c r="AA85" s="290"/>
      <c r="AB85" s="290"/>
      <c r="AC85" s="290"/>
    </row>
    <row r="86" spans="1:40" ht="13.5" customHeight="1">
      <c r="A86" s="635"/>
      <c r="B86" s="507"/>
      <c r="C86" s="74" t="s">
        <v>3757</v>
      </c>
      <c r="D86" s="24"/>
      <c r="E86" s="63"/>
      <c r="F86" s="63"/>
      <c r="G86" s="63"/>
      <c r="H86" s="68"/>
      <c r="I86" s="63"/>
      <c r="J86" s="63"/>
      <c r="K86" s="75"/>
      <c r="L86" s="906"/>
      <c r="M86" s="140"/>
      <c r="N86" s="140"/>
      <c r="O86" s="140"/>
      <c r="P86" s="75"/>
      <c r="Q86" s="312"/>
      <c r="R86" s="24"/>
      <c r="S86" s="24"/>
      <c r="T86" s="498"/>
      <c r="U86" s="801"/>
      <c r="V86" s="24"/>
      <c r="W86" s="5842"/>
      <c r="X86" s="5843"/>
      <c r="Y86" s="5843"/>
      <c r="Z86" s="290"/>
      <c r="AA86" s="290"/>
      <c r="AB86" s="290"/>
      <c r="AC86" s="290"/>
    </row>
    <row r="87" spans="1:40" ht="13.5" customHeight="1">
      <c r="A87" s="635"/>
      <c r="B87" s="507"/>
      <c r="C87" s="74" t="s">
        <v>3758</v>
      </c>
      <c r="D87" s="24"/>
      <c r="E87" s="63"/>
      <c r="F87" s="131" t="s">
        <v>3759</v>
      </c>
      <c r="G87" s="63"/>
      <c r="H87" s="68"/>
      <c r="I87" s="63"/>
      <c r="J87" s="63"/>
      <c r="K87" s="75"/>
      <c r="L87" s="906"/>
      <c r="M87" s="140"/>
      <c r="N87" s="140"/>
      <c r="O87" s="140"/>
      <c r="P87" s="75"/>
      <c r="Q87" s="312"/>
      <c r="R87" s="24"/>
      <c r="S87" s="24"/>
      <c r="T87" s="498"/>
      <c r="U87" s="801"/>
      <c r="V87" s="24"/>
      <c r="W87" s="5842"/>
      <c r="X87" s="5843"/>
      <c r="Y87" s="5843"/>
      <c r="Z87" s="290"/>
      <c r="AA87" s="290"/>
      <c r="AB87" s="290"/>
      <c r="AC87" s="290"/>
    </row>
    <row r="88" spans="1:40" ht="15.75" customHeight="1">
      <c r="A88" s="635"/>
      <c r="B88" s="507"/>
      <c r="C88" s="74" t="s">
        <v>1959</v>
      </c>
      <c r="D88" s="24"/>
      <c r="E88" s="63"/>
      <c r="F88" s="63"/>
      <c r="G88" s="63"/>
      <c r="H88" s="68">
        <f>B82</f>
        <v>9</v>
      </c>
      <c r="I88" s="5853"/>
      <c r="J88" s="5853"/>
      <c r="K88" s="75"/>
      <c r="L88" s="906"/>
      <c r="M88" s="140"/>
      <c r="N88" s="140"/>
      <c r="O88" s="140"/>
      <c r="P88" s="75"/>
      <c r="Q88" s="312"/>
      <c r="R88" s="24"/>
      <c r="S88" s="24"/>
      <c r="T88" s="498"/>
      <c r="U88" s="801"/>
      <c r="V88" s="24"/>
      <c r="W88" s="5842"/>
      <c r="X88" s="5843"/>
      <c r="Y88" s="5843"/>
      <c r="Z88" s="290"/>
      <c r="AA88" s="290"/>
      <c r="AB88" s="290"/>
      <c r="AC88" s="290"/>
    </row>
    <row r="89" spans="1:40" s="922" customFormat="1" ht="18" customHeight="1">
      <c r="A89" s="915"/>
      <c r="B89" s="507">
        <v>10</v>
      </c>
      <c r="C89" s="489" t="s">
        <v>317</v>
      </c>
      <c r="D89" s="489"/>
      <c r="E89" s="489"/>
      <c r="F89" s="489"/>
      <c r="G89" s="73" t="s">
        <v>924</v>
      </c>
      <c r="H89" s="916">
        <f>B89</f>
        <v>10</v>
      </c>
      <c r="I89" s="5703">
        <f>ROUND(SUM(I78,I88),2)</f>
        <v>0</v>
      </c>
      <c r="J89" s="5703"/>
      <c r="K89" s="917"/>
      <c r="L89" s="918"/>
      <c r="M89" s="919"/>
      <c r="N89" s="919"/>
      <c r="O89" s="919"/>
      <c r="P89" s="917"/>
      <c r="Q89" s="489"/>
      <c r="R89" s="489"/>
      <c r="S89" s="489"/>
      <c r="T89" s="920"/>
      <c r="U89" s="921"/>
      <c r="V89" s="489"/>
      <c r="W89" s="5842"/>
      <c r="X89" s="5843"/>
      <c r="Y89" s="5843"/>
      <c r="Z89" s="290"/>
      <c r="AA89" s="489"/>
      <c r="AB89" s="489"/>
      <c r="AC89" s="489"/>
      <c r="AD89" s="3169"/>
      <c r="AE89" s="3169"/>
      <c r="AF89" s="3169"/>
      <c r="AG89" s="3169"/>
      <c r="AH89" s="3169"/>
      <c r="AI89" s="3169"/>
      <c r="AJ89" s="3169"/>
      <c r="AK89" s="3169"/>
      <c r="AL89" s="3169"/>
      <c r="AM89" s="3169"/>
      <c r="AN89" s="3169"/>
    </row>
    <row r="90" spans="1:40" ht="6.75" customHeight="1" thickBot="1">
      <c r="A90" s="635"/>
      <c r="B90" s="507"/>
      <c r="C90" s="24"/>
      <c r="D90" s="24"/>
      <c r="E90" s="134"/>
      <c r="F90" s="134"/>
      <c r="G90" s="134"/>
      <c r="H90" s="68"/>
      <c r="I90" s="312"/>
      <c r="J90" s="312"/>
      <c r="K90" s="68"/>
      <c r="L90" s="63"/>
      <c r="M90" s="63"/>
      <c r="N90" s="63"/>
      <c r="O90" s="63"/>
      <c r="P90" s="63"/>
      <c r="Q90" s="63"/>
      <c r="R90" s="63"/>
      <c r="S90" s="63"/>
      <c r="T90" s="70"/>
      <c r="U90" s="754"/>
      <c r="V90" s="24"/>
      <c r="W90" s="5842"/>
      <c r="X90" s="5843"/>
      <c r="Y90" s="5843"/>
      <c r="Z90" s="290"/>
      <c r="AA90" s="290"/>
      <c r="AB90" s="290"/>
      <c r="AC90" s="290"/>
    </row>
    <row r="91" spans="1:40" ht="13.5" customHeight="1">
      <c r="A91" s="635"/>
      <c r="B91" s="507"/>
      <c r="C91" s="301"/>
      <c r="D91" s="301"/>
      <c r="E91" s="526"/>
      <c r="F91" s="526"/>
      <c r="G91" s="528" t="str">
        <f>"If married filing jointly and line "&amp;B89&amp;" is less than "&amp;TEXT(X91,"$0,000")&amp;" ("&amp;TEXT(X92,"$0,000")&amp;" if one"</f>
        <v>If married filing jointly and line 10 is less than $11,000 ($12,000 if one</v>
      </c>
      <c r="H91" s="65"/>
      <c r="I91" s="65"/>
      <c r="J91" s="65"/>
      <c r="K91" s="64"/>
      <c r="L91" s="63"/>
      <c r="M91" s="63"/>
      <c r="N91" s="63"/>
      <c r="O91" s="63"/>
      <c r="P91" s="68"/>
      <c r="Q91" s="63"/>
      <c r="R91" s="63"/>
      <c r="S91" s="63"/>
      <c r="T91" s="70"/>
      <c r="U91" s="754"/>
      <c r="V91" s="24"/>
      <c r="W91" s="24"/>
      <c r="X91" s="14">
        <v>11000</v>
      </c>
      <c r="Y91" s="290"/>
      <c r="Z91" s="290"/>
      <c r="AA91" s="290"/>
      <c r="AB91" s="290"/>
      <c r="AC91" s="290"/>
    </row>
    <row r="92" spans="1:40" ht="13.5" customHeight="1">
      <c r="A92" s="635"/>
      <c r="B92" s="507"/>
      <c r="C92" s="290"/>
      <c r="D92" s="290"/>
      <c r="E92" s="132"/>
      <c r="F92" s="132"/>
      <c r="G92" s="322" t="str">
        <f>"spouse is age 50 or older at the end of "&amp;TaxYear&amp;"; "&amp;TEXT(X93,"$0,000")&amp;" if both "</f>
        <v xml:space="preserve">spouse is age 50 or older at the end of 2018; $13,000 if both </v>
      </c>
      <c r="H92" s="107"/>
      <c r="I92" s="107"/>
      <c r="J92" s="107"/>
      <c r="K92" s="68"/>
      <c r="L92" s="305"/>
      <c r="M92" s="305"/>
      <c r="N92" s="305"/>
      <c r="O92" s="305"/>
      <c r="P92" s="68"/>
      <c r="Q92" s="63"/>
      <c r="R92" s="63"/>
      <c r="S92" s="63"/>
      <c r="T92" s="70"/>
      <c r="U92" s="754"/>
      <c r="V92" s="24"/>
      <c r="W92" s="24"/>
      <c r="X92" s="14">
        <v>12000</v>
      </c>
      <c r="Y92" s="290"/>
      <c r="Z92" s="290"/>
      <c r="AA92" s="290"/>
      <c r="AB92" s="290"/>
      <c r="AC92" s="290"/>
    </row>
    <row r="93" spans="1:40" ht="13.5" customHeight="1">
      <c r="A93" s="635"/>
      <c r="B93" s="507"/>
      <c r="C93" s="290"/>
      <c r="D93" s="290"/>
      <c r="E93" s="132"/>
      <c r="F93" s="132"/>
      <c r="G93" s="322" t="str">
        <f>"spouses are age 50 or older at the end of "&amp;TaxYear&amp;"), "</f>
        <v xml:space="preserve">spouses are age 50 or older at the end of 2018), </v>
      </c>
      <c r="H93" s="824" t="s">
        <v>318</v>
      </c>
      <c r="I93" s="824"/>
      <c r="J93" s="106"/>
      <c r="K93" s="68"/>
      <c r="L93" s="72"/>
      <c r="M93" s="72"/>
      <c r="N93" s="72"/>
      <c r="O93" s="72"/>
      <c r="P93" s="68"/>
      <c r="Q93" s="63"/>
      <c r="R93" s="63"/>
      <c r="S93" s="63"/>
      <c r="T93" s="70"/>
      <c r="U93" s="754"/>
      <c r="V93" s="24"/>
      <c r="W93" s="24"/>
      <c r="X93" s="14">
        <v>13000</v>
      </c>
      <c r="Y93" s="290"/>
      <c r="Z93" s="290"/>
      <c r="AA93" s="290"/>
      <c r="AB93" s="290"/>
      <c r="AC93" s="290"/>
    </row>
    <row r="94" spans="1:40" ht="13.5" customHeight="1">
      <c r="A94" s="635"/>
      <c r="B94" s="507"/>
      <c r="C94" s="290"/>
      <c r="D94" s="290"/>
      <c r="E94" s="132"/>
      <c r="F94" s="132"/>
      <c r="G94" s="2170" t="s">
        <v>1960</v>
      </c>
      <c r="H94" s="106"/>
      <c r="I94" s="487"/>
      <c r="J94" s="487"/>
      <c r="K94" s="325"/>
      <c r="L94" s="325">
        <f>IF(AND(YourAge&gt;=50,SpouseAge&gt;=50),X93,IF(OR(YourAge&gt;=50,SpouseAge&gt;=50),X92,X91))</f>
        <v>13000</v>
      </c>
      <c r="M94" s="325"/>
      <c r="N94" s="325"/>
      <c r="O94" s="325"/>
      <c r="P94" s="68"/>
      <c r="Q94" s="63"/>
      <c r="R94" s="63"/>
      <c r="S94" s="63"/>
      <c r="T94" s="70"/>
      <c r="U94" s="754"/>
      <c r="V94" s="24"/>
      <c r="W94" s="24"/>
      <c r="X94" s="1440" t="str">
        <f>"April 15, "&amp;TaxYear+1</f>
        <v>April 15, 2019</v>
      </c>
      <c r="Y94" s="2270">
        <f>WEEKDAY(X94)</f>
        <v>2</v>
      </c>
      <c r="Z94" s="290"/>
      <c r="AA94" s="290"/>
      <c r="AB94" s="290"/>
      <c r="AC94" s="290"/>
    </row>
    <row r="95" spans="1:40" ht="13.5" customHeight="1" thickBot="1">
      <c r="A95" s="635"/>
      <c r="B95" s="507"/>
      <c r="C95" s="304"/>
      <c r="D95" s="304"/>
      <c r="E95" s="136"/>
      <c r="F95" s="136"/>
      <c r="G95" s="527" t="str">
        <f>IF(AND(L67="",Q67=""),"",IF(AND(File_Marr_Joint&lt;&gt;"",I89&lt;L94),"STOP HERE and see Publication 590 to figure your IRA deduction.",""))</f>
        <v/>
      </c>
      <c r="H95" s="313"/>
      <c r="I95" s="313"/>
      <c r="J95" s="313"/>
      <c r="K95" s="79"/>
      <c r="L95" s="72"/>
      <c r="M95" s="72"/>
      <c r="N95" s="72"/>
      <c r="O95" s="72"/>
      <c r="P95" s="68"/>
      <c r="Q95" s="72" t="str">
        <f>IF(AND(File_Marr_Joint&lt;&gt;"",I88&lt;4000,),"See Pub. 590 (below)","")</f>
        <v/>
      </c>
      <c r="R95" s="72"/>
      <c r="S95" s="72"/>
      <c r="T95" s="130"/>
      <c r="U95" s="812"/>
      <c r="V95" s="24"/>
      <c r="W95" s="24"/>
      <c r="X95" s="1440"/>
      <c r="Y95" s="2270"/>
      <c r="Z95" s="290"/>
      <c r="AA95" s="290"/>
      <c r="AB95" s="290"/>
      <c r="AC95" s="290"/>
    </row>
    <row r="96" spans="1:40">
      <c r="A96" s="635"/>
      <c r="B96" s="507">
        <v>11</v>
      </c>
      <c r="C96" s="134" t="s">
        <v>3760</v>
      </c>
      <c r="D96" s="112"/>
      <c r="E96" s="112"/>
      <c r="F96" s="112"/>
      <c r="G96" s="112"/>
      <c r="H96" s="112"/>
      <c r="I96" s="112"/>
      <c r="J96" s="112"/>
      <c r="K96" s="68"/>
      <c r="L96" s="72"/>
      <c r="M96" s="72"/>
      <c r="N96" s="72"/>
      <c r="O96" s="72"/>
      <c r="P96" s="68"/>
      <c r="Q96" s="63"/>
      <c r="R96" s="63"/>
      <c r="S96" s="63"/>
      <c r="T96" s="70"/>
      <c r="U96" s="754"/>
      <c r="V96" s="24"/>
      <c r="W96" s="24"/>
      <c r="X96" s="2271" t="str">
        <f>IF(Y94=6,X94+3,IF(TaxYear=2016,X94+3,IF(Y94=7,X94+2,IF(Y94=1,X94+1,X94))))</f>
        <v>April 15, 2019</v>
      </c>
      <c r="Y96" s="2270"/>
      <c r="Z96" s="290"/>
      <c r="AA96" s="290"/>
      <c r="AB96" s="290"/>
      <c r="AC96" s="290"/>
    </row>
    <row r="97" spans="1:40">
      <c r="A97" s="635"/>
      <c r="B97" s="507"/>
      <c r="C97" s="134" t="str">
        <f>"of your "&amp;TaxYear&amp;" return not counting extensions ("&amp;TEXT(TaxDay,"mmmm dd, yyyy")&amp;" for most people),"</f>
        <v>of your 2018 return not counting extensions (April 15, 2019 for most people),</v>
      </c>
      <c r="D97" s="112"/>
      <c r="E97" s="112"/>
      <c r="F97" s="112"/>
      <c r="G97" s="112"/>
      <c r="H97" s="112"/>
      <c r="I97" s="112"/>
      <c r="J97" s="112"/>
      <c r="K97" s="68"/>
      <c r="L97" s="72"/>
      <c r="M97" s="72"/>
      <c r="N97" s="72"/>
      <c r="O97" s="72"/>
      <c r="P97" s="68"/>
      <c r="Q97" s="63"/>
      <c r="R97" s="63"/>
      <c r="S97" s="63"/>
      <c r="T97" s="70"/>
      <c r="U97" s="754"/>
      <c r="V97" s="24"/>
      <c r="W97" s="24"/>
      <c r="X97" s="24"/>
      <c r="Y97" s="290"/>
      <c r="Z97" s="290"/>
      <c r="AA97" s="290"/>
      <c r="AB97" s="290"/>
      <c r="AC97" s="290"/>
    </row>
    <row r="98" spans="1:40" ht="15.75" customHeight="1">
      <c r="A98" s="635"/>
      <c r="B98" s="507"/>
      <c r="C98" s="134" t="str">
        <f>"for "&amp;TaxYear&amp;" to your IRA on line 11a and to your spouse's IRA on line 11b"</f>
        <v>for 2018 to your IRA on line 11a and to your spouse's IRA on line 11b</v>
      </c>
      <c r="D98" s="112"/>
      <c r="E98" s="112"/>
      <c r="F98" s="112"/>
      <c r="G98" s="112"/>
      <c r="H98" s="112"/>
      <c r="I98" s="112"/>
      <c r="J98" s="73" t="s">
        <v>3762</v>
      </c>
      <c r="K98" s="75" t="s">
        <v>80</v>
      </c>
      <c r="L98" s="5853"/>
      <c r="M98" s="5853"/>
      <c r="N98" s="5857"/>
      <c r="O98" s="932"/>
      <c r="P98" s="75" t="s">
        <v>81</v>
      </c>
      <c r="Q98" s="5853"/>
      <c r="R98" s="5853"/>
      <c r="S98" s="5857"/>
      <c r="T98" s="529"/>
      <c r="U98" s="814"/>
      <c r="V98" s="24"/>
      <c r="W98" s="24"/>
      <c r="X98" s="24"/>
      <c r="Y98" s="290"/>
      <c r="Z98" s="290"/>
      <c r="AA98" s="290"/>
      <c r="AB98" s="290"/>
      <c r="AC98" s="290"/>
    </row>
    <row r="99" spans="1:40" s="46" customFormat="1" ht="17.25" customHeight="1">
      <c r="A99" s="82"/>
      <c r="B99" s="507">
        <v>12</v>
      </c>
      <c r="C99" s="74" t="s">
        <v>1962</v>
      </c>
      <c r="D99" s="24"/>
      <c r="E99" s="112"/>
      <c r="F99" s="112"/>
      <c r="G99" s="112"/>
      <c r="H99" s="112"/>
      <c r="I99" s="112"/>
      <c r="J99" s="112"/>
      <c r="K99" s="68"/>
      <c r="L99" s="907">
        <f>IF(L98="",0,L98)</f>
        <v>0</v>
      </c>
      <c r="M99" s="907"/>
      <c r="N99" s="907"/>
      <c r="O99" s="907"/>
      <c r="P99" s="68"/>
      <c r="Q99" s="907">
        <f>IF(Q98="",0,Q98)</f>
        <v>0</v>
      </c>
      <c r="R99" s="907"/>
      <c r="S99" s="907"/>
      <c r="T99" s="908"/>
      <c r="U99" s="909"/>
      <c r="V99" s="24"/>
      <c r="W99" s="25" t="s">
        <v>100</v>
      </c>
      <c r="X99" s="25"/>
      <c r="Y99" s="290"/>
      <c r="Z99" s="290"/>
      <c r="AA99" s="290"/>
      <c r="AB99" s="290"/>
      <c r="AC99" s="24"/>
      <c r="AD99" s="3169"/>
      <c r="AE99" s="3169"/>
      <c r="AF99" s="3169"/>
      <c r="AG99" s="3169"/>
      <c r="AH99" s="3169"/>
      <c r="AI99" s="3169"/>
      <c r="AJ99" s="3169"/>
      <c r="AK99" s="3169"/>
      <c r="AL99" s="3169"/>
      <c r="AM99" s="3169"/>
      <c r="AN99" s="3169"/>
    </row>
    <row r="100" spans="1:40" ht="12.75" customHeight="1">
      <c r="A100" s="635"/>
      <c r="B100" s="67"/>
      <c r="C100" s="74" t="s">
        <v>1961</v>
      </c>
      <c r="D100" s="24"/>
      <c r="E100" s="112"/>
      <c r="F100" s="112"/>
      <c r="G100" s="112"/>
      <c r="H100" s="112"/>
      <c r="I100" s="112"/>
      <c r="J100" s="112"/>
      <c r="K100" s="135"/>
      <c r="L100" s="72"/>
      <c r="M100" s="72"/>
      <c r="N100" s="72"/>
      <c r="O100" s="72"/>
      <c r="P100" s="68"/>
      <c r="Q100" s="63"/>
      <c r="R100" s="63"/>
      <c r="S100" s="63"/>
      <c r="T100" s="70"/>
      <c r="U100" s="754"/>
      <c r="V100" s="24"/>
      <c r="W100" s="5842" t="s">
        <v>101</v>
      </c>
      <c r="X100" s="5843"/>
      <c r="Y100" s="5843"/>
      <c r="Z100" s="290"/>
      <c r="AA100" s="290"/>
      <c r="AB100" s="290"/>
      <c r="AC100" s="290"/>
    </row>
    <row r="101" spans="1:40">
      <c r="A101" s="635"/>
      <c r="B101" s="67"/>
      <c r="C101" s="74" t="s">
        <v>3764</v>
      </c>
      <c r="D101" s="24"/>
      <c r="E101" s="112"/>
      <c r="F101" s="112"/>
      <c r="G101" s="112"/>
      <c r="H101" s="112"/>
      <c r="I101" s="112"/>
      <c r="J101" s="112"/>
      <c r="K101" s="135"/>
      <c r="L101" s="72"/>
      <c r="M101" s="72"/>
      <c r="N101" s="72"/>
      <c r="O101" s="72"/>
      <c r="P101" s="68"/>
      <c r="Q101" s="63"/>
      <c r="R101" s="63"/>
      <c r="S101" s="63"/>
      <c r="T101" s="70"/>
      <c r="U101" s="754"/>
      <c r="V101" s="24"/>
      <c r="W101" s="82"/>
      <c r="X101" s="727"/>
      <c r="Y101" s="82"/>
      <c r="Z101" s="82"/>
      <c r="AA101" s="727"/>
      <c r="AB101" s="635"/>
      <c r="AC101" s="290"/>
    </row>
    <row r="102" spans="1:40">
      <c r="A102" s="635"/>
      <c r="B102" s="67"/>
      <c r="C102" s="74" t="s">
        <v>3763</v>
      </c>
      <c r="D102" s="24"/>
      <c r="E102" s="106"/>
      <c r="F102" s="106"/>
      <c r="G102" s="106"/>
      <c r="H102" s="106"/>
      <c r="I102" s="106"/>
      <c r="J102" s="73" t="s">
        <v>373</v>
      </c>
      <c r="K102" s="75" t="s">
        <v>82</v>
      </c>
      <c r="L102" s="5850" t="str">
        <f>IF(X102&lt;&gt;"",X102,IF(OR(NOT(Yourself),Q18,BadBirthdate_Yours,LEFT(G95,4)="STOP",LEFT(L37,2)="No",YouR70Half),"",MIN(L67,I89,L99)))</f>
        <v/>
      </c>
      <c r="M102" s="5851"/>
      <c r="N102" s="5851"/>
      <c r="O102" s="46"/>
      <c r="P102" s="75" t="s">
        <v>83</v>
      </c>
      <c r="Q102" s="5850" t="str">
        <f>IF(AA102&lt;&gt;"",AA102,IF(OR(LEFT(G95,4)="STOP",Q67=""),"",IF(LEFT(Q37,2)="No","",MIN(Q67,I89,Q99))))</f>
        <v/>
      </c>
      <c r="R102" s="5851"/>
      <c r="S102" s="5851"/>
      <c r="T102" s="306"/>
      <c r="U102" s="813"/>
      <c r="V102" s="24"/>
      <c r="W102" s="82"/>
      <c r="X102" s="887"/>
      <c r="Y102" s="82"/>
      <c r="Z102" s="82"/>
      <c r="AA102" s="887"/>
      <c r="AB102" s="635"/>
      <c r="AC102" s="290"/>
    </row>
    <row r="103" spans="1:40" ht="13.5" thickBot="1">
      <c r="A103" s="635"/>
      <c r="B103" s="77"/>
      <c r="C103" s="39"/>
      <c r="D103" s="39"/>
      <c r="E103" s="78"/>
      <c r="F103" s="78"/>
      <c r="G103" s="78"/>
      <c r="H103" s="78"/>
      <c r="I103" s="78"/>
      <c r="J103" s="78"/>
      <c r="K103" s="79"/>
      <c r="L103" s="78"/>
      <c r="M103" s="78"/>
      <c r="N103" s="78"/>
      <c r="O103" s="78"/>
      <c r="P103" s="79"/>
      <c r="Q103" s="78"/>
      <c r="R103" s="78"/>
      <c r="S103" s="78"/>
      <c r="T103" s="80"/>
      <c r="U103" s="754"/>
      <c r="V103" s="24"/>
      <c r="W103" s="82"/>
      <c r="X103" s="727"/>
      <c r="Y103" s="82"/>
      <c r="Z103" s="82"/>
      <c r="AA103" s="727"/>
      <c r="AB103" s="635"/>
      <c r="AC103" s="290"/>
    </row>
    <row r="104" spans="1:40">
      <c r="A104" s="635"/>
      <c r="B104" s="508"/>
      <c r="C104" s="132"/>
      <c r="D104" s="132"/>
      <c r="E104" s="89"/>
      <c r="F104" s="89"/>
      <c r="G104" s="89"/>
      <c r="H104" s="68"/>
      <c r="I104" s="63"/>
      <c r="J104" s="63"/>
      <c r="K104" s="68"/>
      <c r="L104" s="63"/>
      <c r="M104" s="63"/>
      <c r="N104" s="63"/>
      <c r="O104" s="63"/>
      <c r="P104" s="63"/>
      <c r="Q104" s="63"/>
      <c r="R104" s="63"/>
      <c r="S104" s="63"/>
      <c r="T104" s="70"/>
      <c r="U104" s="754"/>
      <c r="V104" s="24"/>
      <c r="W104" s="24"/>
      <c r="X104" s="24"/>
      <c r="Y104" s="290"/>
      <c r="Z104" s="290"/>
      <c r="AA104" s="290"/>
      <c r="AB104" s="290"/>
      <c r="AC104" s="290"/>
    </row>
    <row r="105" spans="1:40" ht="15.75">
      <c r="A105" s="635"/>
      <c r="B105" s="509"/>
      <c r="C105" s="132"/>
      <c r="D105" s="132"/>
      <c r="E105" s="89"/>
      <c r="F105" s="89"/>
      <c r="G105" s="89"/>
      <c r="H105" s="68"/>
      <c r="I105" s="63"/>
      <c r="J105" s="63"/>
      <c r="K105" s="4222" t="s">
        <v>3765</v>
      </c>
      <c r="L105" s="5854" t="str">
        <f>IF(AND(L102="",Q102=""),"",IF(Q102="",SUM(L102),SUM(L102,Q102)))</f>
        <v/>
      </c>
      <c r="M105" s="5855"/>
      <c r="N105" s="5856"/>
      <c r="O105" s="46"/>
      <c r="P105" s="63"/>
      <c r="Q105" s="63"/>
      <c r="R105" s="63"/>
      <c r="S105" s="63"/>
      <c r="T105" s="70"/>
      <c r="U105" s="754"/>
      <c r="V105" s="24"/>
      <c r="W105" s="24"/>
      <c r="X105" s="290"/>
      <c r="Y105" s="290"/>
      <c r="Z105" s="290"/>
      <c r="AA105" s="290"/>
      <c r="AB105" s="290"/>
      <c r="AC105" s="290"/>
    </row>
    <row r="106" spans="1:40" ht="16.5" thickBot="1">
      <c r="A106" s="635"/>
      <c r="B106" s="510"/>
      <c r="C106" s="136"/>
      <c r="D106" s="136"/>
      <c r="E106" s="116"/>
      <c r="F106" s="116"/>
      <c r="G106" s="116"/>
      <c r="H106" s="79"/>
      <c r="I106" s="78"/>
      <c r="J106" s="78"/>
      <c r="K106" s="315"/>
      <c r="L106" s="316"/>
      <c r="M106" s="316"/>
      <c r="N106" s="316"/>
      <c r="O106" s="316"/>
      <c r="P106" s="78"/>
      <c r="Q106" s="78"/>
      <c r="R106" s="78"/>
      <c r="S106" s="78"/>
      <c r="T106" s="80"/>
      <c r="U106" s="754"/>
      <c r="V106" s="24"/>
      <c r="W106" s="24"/>
      <c r="X106" s="290"/>
      <c r="Y106" s="290"/>
      <c r="Z106" s="290"/>
      <c r="AA106" s="290"/>
      <c r="AB106" s="290"/>
      <c r="AC106" s="290"/>
    </row>
    <row r="107" spans="1:40">
      <c r="A107" s="635"/>
      <c r="B107" s="635"/>
      <c r="C107" s="635"/>
      <c r="D107" s="635"/>
      <c r="E107" s="635"/>
      <c r="F107" s="635"/>
      <c r="G107" s="635"/>
      <c r="H107" s="635"/>
      <c r="I107" s="635"/>
      <c r="J107" s="635"/>
      <c r="K107" s="635"/>
      <c r="L107" s="635"/>
      <c r="M107" s="635"/>
      <c r="N107" s="635"/>
      <c r="O107" s="635"/>
      <c r="P107" s="635"/>
      <c r="Q107" s="635"/>
      <c r="R107" s="635"/>
      <c r="S107" s="635"/>
      <c r="T107" s="635"/>
      <c r="U107" s="635"/>
      <c r="V107" s="290"/>
      <c r="W107" s="290"/>
      <c r="X107" s="290"/>
      <c r="Y107" s="290"/>
      <c r="Z107" s="290"/>
      <c r="AA107" s="290"/>
      <c r="AB107" s="290"/>
      <c r="AC107" s="290"/>
    </row>
    <row r="108" spans="1:40">
      <c r="A108" s="290"/>
      <c r="B108" s="290"/>
      <c r="C108" s="290"/>
      <c r="D108" s="290"/>
      <c r="E108" s="290"/>
      <c r="F108" s="290"/>
      <c r="G108" s="290"/>
      <c r="H108" s="290"/>
      <c r="I108" s="290"/>
      <c r="J108" s="290"/>
      <c r="K108" s="290"/>
      <c r="L108" s="290"/>
      <c r="M108" s="290"/>
      <c r="N108" s="290"/>
      <c r="O108" s="290"/>
      <c r="P108" s="290"/>
      <c r="Q108" s="290"/>
      <c r="R108" s="290"/>
      <c r="S108" s="290"/>
      <c r="T108" s="290"/>
      <c r="U108" s="290"/>
      <c r="V108" s="290"/>
      <c r="W108" s="290"/>
      <c r="X108" s="290"/>
      <c r="Y108" s="290"/>
      <c r="Z108" s="290"/>
      <c r="AA108" s="290"/>
      <c r="AB108" s="290"/>
      <c r="AC108" s="290"/>
    </row>
    <row r="109" spans="1:40">
      <c r="A109" s="290"/>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c r="AC109" s="290"/>
    </row>
  </sheetData>
  <sheetProtection password="F07E" sheet="1" objects="1" scenarios="1"/>
  <mergeCells count="41">
    <mergeCell ref="L62:N62"/>
    <mergeCell ref="L47:N47"/>
    <mergeCell ref="I30:J30"/>
    <mergeCell ref="I33:J33"/>
    <mergeCell ref="Q61:S61"/>
    <mergeCell ref="Q62:S62"/>
    <mergeCell ref="Q50:S50"/>
    <mergeCell ref="Q48:S48"/>
    <mergeCell ref="L49:N49"/>
    <mergeCell ref="I89:J89"/>
    <mergeCell ref="I88:J88"/>
    <mergeCell ref="W31:Y31"/>
    <mergeCell ref="L105:N105"/>
    <mergeCell ref="L98:N98"/>
    <mergeCell ref="Q98:S98"/>
    <mergeCell ref="Q102:S102"/>
    <mergeCell ref="L102:N102"/>
    <mergeCell ref="L67:N67"/>
    <mergeCell ref="I78:J78"/>
    <mergeCell ref="Q34:S34"/>
    <mergeCell ref="Q47:S47"/>
    <mergeCell ref="Q67:S67"/>
    <mergeCell ref="Q49:S49"/>
    <mergeCell ref="L34:N34"/>
    <mergeCell ref="L61:N61"/>
    <mergeCell ref="Q18:R18"/>
    <mergeCell ref="L26:N26"/>
    <mergeCell ref="Q26:S26"/>
    <mergeCell ref="L48:N48"/>
    <mergeCell ref="Q25:S25"/>
    <mergeCell ref="L25:N25"/>
    <mergeCell ref="R20:T20"/>
    <mergeCell ref="W76:Y76"/>
    <mergeCell ref="W100:Y100"/>
    <mergeCell ref="W45:Y45"/>
    <mergeCell ref="W65:Y65"/>
    <mergeCell ref="W86:Y86"/>
    <mergeCell ref="W87:Y87"/>
    <mergeCell ref="W88:Y88"/>
    <mergeCell ref="W89:Y89"/>
    <mergeCell ref="W90:Y90"/>
  </mergeCells>
  <phoneticPr fontId="12" type="noConversion"/>
  <conditionalFormatting sqref="F3:F5">
    <cfRule type="expression" dxfId="2250" priority="38" stopIfTrue="1">
      <formula>IF(OR(YourAgeDecimal&gt;70.5,SpouseAgeDecimal&gt;70.5),1,0)</formula>
    </cfRule>
  </conditionalFormatting>
  <conditionalFormatting sqref="E3:E5">
    <cfRule type="expression" dxfId="2249" priority="39" stopIfTrue="1">
      <formula>IF(OR(YouR70Half,SpouseIs70Half),1,0)</formula>
    </cfRule>
  </conditionalFormatting>
  <conditionalFormatting sqref="P14">
    <cfRule type="expression" dxfId="2248" priority="34">
      <formula>IF(NoColor,1,0)</formula>
    </cfRule>
  </conditionalFormatting>
  <conditionalFormatting sqref="L98:M98">
    <cfRule type="expression" dxfId="2247" priority="31">
      <formula>IF(NoColor,1,0)</formula>
    </cfRule>
  </conditionalFormatting>
  <conditionalFormatting sqref="Q98:R98">
    <cfRule type="expression" dxfId="2246" priority="30">
      <formula>IF(NoColor,1,0)</formula>
    </cfRule>
  </conditionalFormatting>
  <conditionalFormatting sqref="R14">
    <cfRule type="expression" dxfId="2245" priority="28">
      <formula>IF(NoColor,1,0)</formula>
    </cfRule>
  </conditionalFormatting>
  <conditionalFormatting sqref="L25:N25">
    <cfRule type="expression" dxfId="2244" priority="27">
      <formula>IF(NoColor,1,0)</formula>
    </cfRule>
  </conditionalFormatting>
  <conditionalFormatting sqref="L34:N34">
    <cfRule type="expression" dxfId="2243" priority="26">
      <formula>IF(NoColor,1,0)</formula>
    </cfRule>
  </conditionalFormatting>
  <conditionalFormatting sqref="L47:N47">
    <cfRule type="expression" dxfId="2242" priority="25">
      <formula>IF(NoColor,1,0)</formula>
    </cfRule>
  </conditionalFormatting>
  <conditionalFormatting sqref="I33:J33">
    <cfRule type="expression" dxfId="2241" priority="24">
      <formula>IF(NoColor,1,0)</formula>
    </cfRule>
  </conditionalFormatting>
  <conditionalFormatting sqref="Q34:S34">
    <cfRule type="expression" dxfId="2240" priority="22">
      <formula>IF(NoColor,1,0)</formula>
    </cfRule>
  </conditionalFormatting>
  <conditionalFormatting sqref="Q47:S47">
    <cfRule type="expression" dxfId="2239" priority="21">
      <formula>IF(NoColor,1,0)</formula>
    </cfRule>
  </conditionalFormatting>
  <conditionalFormatting sqref="Q67:S67">
    <cfRule type="expression" dxfId="2238" priority="20">
      <formula>IF(NoColor,1,0)</formula>
    </cfRule>
  </conditionalFormatting>
  <conditionalFormatting sqref="Q102:S102">
    <cfRule type="expression" dxfId="2237" priority="19">
      <formula>IF(NoColor,1,0)</formula>
    </cfRule>
  </conditionalFormatting>
  <conditionalFormatting sqref="L67:N67">
    <cfRule type="expression" dxfId="2236" priority="18">
      <formula>IF(NoColor,1,0)</formula>
    </cfRule>
  </conditionalFormatting>
  <conditionalFormatting sqref="L102:N102">
    <cfRule type="expression" dxfId="2235" priority="17">
      <formula>IF(NoColor,1,0)</formula>
    </cfRule>
  </conditionalFormatting>
  <conditionalFormatting sqref="L105:N105">
    <cfRule type="expression" dxfId="2234" priority="16">
      <formula>IF(NoColor,1,0)</formula>
    </cfRule>
  </conditionalFormatting>
  <conditionalFormatting sqref="I78:J78">
    <cfRule type="expression" dxfId="2233" priority="15">
      <formula>IF(NoColor,1,0)</formula>
    </cfRule>
  </conditionalFormatting>
  <conditionalFormatting sqref="I89:J89">
    <cfRule type="expression" dxfId="2232" priority="14">
      <formula>IF(NoColor,1,0)</formula>
    </cfRule>
  </conditionalFormatting>
  <conditionalFormatting sqref="K13">
    <cfRule type="expression" dxfId="2231" priority="13">
      <formula>IF(NoColor,1,0)</formula>
    </cfRule>
  </conditionalFormatting>
  <conditionalFormatting sqref="M13">
    <cfRule type="expression" dxfId="2230" priority="12">
      <formula>IF(NoColor,1,0)</formula>
    </cfRule>
  </conditionalFormatting>
  <conditionalFormatting sqref="M4">
    <cfRule type="expression" dxfId="2229" priority="10" stopIfTrue="1">
      <formula>IF(OR(YouR70Half,SpouseIs70Half),1,0)</formula>
    </cfRule>
  </conditionalFormatting>
  <conditionalFormatting sqref="I88:J88">
    <cfRule type="expression" dxfId="2228" priority="9">
      <formula>IF(NoColor,1,0)</formula>
    </cfRule>
  </conditionalFormatting>
  <conditionalFormatting sqref="W23:W28">
    <cfRule type="expression" dxfId="2227" priority="8">
      <formula>LivedApartAnswered</formula>
    </cfRule>
  </conditionalFormatting>
  <conditionalFormatting sqref="X28">
    <cfRule type="expression" dxfId="2226" priority="7">
      <formula>LivedApartAnswered</formula>
    </cfRule>
  </conditionalFormatting>
  <conditionalFormatting sqref="Y28">
    <cfRule type="expression" dxfId="2225" priority="6">
      <formula>LivedApartAnswered</formula>
    </cfRule>
  </conditionalFormatting>
  <conditionalFormatting sqref="V22:Y29">
    <cfRule type="expression" dxfId="2224" priority="5">
      <formula>File_Marr_Sep=""</formula>
    </cfRule>
  </conditionalFormatting>
  <conditionalFormatting sqref="F87">
    <cfRule type="expression" dxfId="2223" priority="4">
      <formula>$I$88&lt;0</formula>
    </cfRule>
  </conditionalFormatting>
  <conditionalFormatting sqref="I30:J30">
    <cfRule type="expression" dxfId="2222" priority="3">
      <formula>IF(NoColor,1,0)</formula>
    </cfRule>
  </conditionalFormatting>
  <conditionalFormatting sqref="Q25:S25">
    <cfRule type="expression" dxfId="2221" priority="2">
      <formula>IF(NoColor,1,0)</formula>
    </cfRule>
  </conditionalFormatting>
  <pageMargins left="0.39" right="0" top="0.43" bottom="0" header="0.31" footer="0"/>
  <pageSetup scale="78" fitToHeight="0" orientation="portrait" horizontalDpi="300" verticalDpi="300" r:id="rId1"/>
  <headerFooter alignWithMargins="0"/>
  <rowBreaks count="1" manualBreakCount="1">
    <brk id="57" min="1" max="19"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40"/>
  <sheetViews>
    <sheetView zoomScaleNormal="100" zoomScaleSheetLayoutView="100" workbookViewId="0">
      <selection activeCell="O28" sqref="O28"/>
    </sheetView>
  </sheetViews>
  <sheetFormatPr defaultRowHeight="12.75"/>
  <cols>
    <col min="1" max="1" width="3.140625" customWidth="1"/>
    <col min="2" max="2" width="8.140625" style="46" customWidth="1"/>
    <col min="3" max="3" width="2.7109375" style="46" customWidth="1"/>
    <col min="4" max="4" width="8.85546875" style="46" customWidth="1"/>
    <col min="5" max="5" width="20.42578125" style="46" customWidth="1"/>
    <col min="6" max="6" width="10.140625" style="46" customWidth="1"/>
    <col min="7" max="7" width="15.28515625" style="46" customWidth="1"/>
    <col min="8" max="8" width="17.140625" style="46" customWidth="1"/>
    <col min="9" max="9" width="3.28515625" style="46" customWidth="1"/>
    <col min="10" max="10" width="12.85546875" style="46" customWidth="1"/>
    <col min="11" max="11" width="7.140625" style="46" customWidth="1"/>
    <col min="12" max="12" width="11.28515625" style="46" customWidth="1"/>
    <col min="13" max="13" width="2.7109375" style="46" customWidth="1"/>
    <col min="14" max="14" width="3.5703125" customWidth="1"/>
    <col min="15" max="15" width="10.7109375" style="4767" customWidth="1"/>
    <col min="16" max="26" width="10.7109375" style="4351" customWidth="1"/>
    <col min="27" max="28" width="10.7109375" customWidth="1"/>
  </cols>
  <sheetData>
    <row r="1" spans="1:26" ht="16.5" customHeight="1" thickBot="1">
      <c r="A1" s="1443"/>
      <c r="B1" s="1443"/>
      <c r="C1" s="1443"/>
      <c r="D1" s="1443"/>
      <c r="E1" s="1443"/>
      <c r="F1" s="1443"/>
      <c r="G1" s="1443"/>
      <c r="H1" s="1443"/>
      <c r="I1" s="1443"/>
      <c r="J1" s="1443"/>
      <c r="K1" s="1443"/>
      <c r="L1" s="1443"/>
      <c r="M1" s="1443"/>
      <c r="N1" s="1408"/>
      <c r="O1" s="4768" t="s">
        <v>2552</v>
      </c>
      <c r="P1" s="3169"/>
      <c r="Q1" s="3169"/>
      <c r="R1" s="3169"/>
      <c r="S1" s="3169"/>
      <c r="T1" s="3169"/>
      <c r="U1" s="3169"/>
      <c r="V1" s="3169"/>
      <c r="W1" s="3169"/>
      <c r="X1" s="3169"/>
      <c r="Y1" s="3169"/>
      <c r="Z1" s="3169"/>
    </row>
    <row r="2" spans="1:26" ht="18.75" customHeight="1">
      <c r="A2" s="1443"/>
      <c r="B2" s="997"/>
      <c r="C2" s="1050"/>
      <c r="D2" s="4454"/>
      <c r="E2" s="993"/>
      <c r="F2" s="993"/>
      <c r="G2" s="993"/>
      <c r="H2" s="993"/>
      <c r="I2" s="993"/>
      <c r="J2" s="998"/>
      <c r="K2" s="4062" t="s">
        <v>200</v>
      </c>
      <c r="L2" s="993"/>
      <c r="M2" s="100"/>
      <c r="N2" s="1408"/>
      <c r="O2" s="4769" t="s">
        <v>4089</v>
      </c>
      <c r="P2" s="3169"/>
      <c r="Q2" s="3169"/>
      <c r="R2" s="3169"/>
      <c r="S2" s="3169"/>
      <c r="T2" s="3169"/>
      <c r="U2" s="3169"/>
      <c r="V2" s="3169"/>
      <c r="W2" s="3169"/>
      <c r="X2" s="3169"/>
      <c r="Y2" s="3169"/>
      <c r="Z2" s="3169"/>
    </row>
    <row r="3" spans="1:26" ht="14.25" customHeight="1">
      <c r="A3" s="1408"/>
      <c r="B3" s="1074" t="s">
        <v>3312</v>
      </c>
      <c r="C3" s="332"/>
      <c r="D3" s="275"/>
      <c r="E3" s="275"/>
      <c r="F3" s="275"/>
      <c r="G3" s="275"/>
      <c r="H3" s="275"/>
      <c r="I3" s="275"/>
      <c r="J3" s="1140"/>
      <c r="K3" s="2297"/>
      <c r="L3" s="275"/>
      <c r="M3" s="101"/>
      <c r="N3" s="1408"/>
      <c r="O3" s="4399"/>
      <c r="P3" s="3169"/>
      <c r="Q3" s="3169"/>
      <c r="R3" s="3169"/>
      <c r="S3" s="3169"/>
      <c r="T3" s="3169"/>
      <c r="U3" s="3169"/>
      <c r="V3" s="3169"/>
      <c r="W3" s="3169"/>
      <c r="X3" s="3169"/>
      <c r="Y3" s="3169"/>
      <c r="Z3" s="3169"/>
    </row>
    <row r="4" spans="1:26" ht="14.25" customHeight="1">
      <c r="A4" s="1443"/>
      <c r="B4" s="1054"/>
      <c r="C4" s="25" t="s">
        <v>242</v>
      </c>
      <c r="D4" s="41"/>
      <c r="E4" s="275"/>
      <c r="F4" s="994"/>
      <c r="G4" s="996"/>
      <c r="H4" s="1141"/>
      <c r="I4" s="1142"/>
      <c r="J4" s="1142"/>
      <c r="K4" s="1142"/>
      <c r="L4" s="1143"/>
      <c r="M4" s="101"/>
      <c r="N4" s="1408"/>
      <c r="O4" s="4399"/>
      <c r="P4" s="3169"/>
      <c r="Q4" s="3169"/>
      <c r="R4" s="3169"/>
      <c r="S4" s="3169"/>
      <c r="T4" s="3169"/>
      <c r="U4" s="3169"/>
      <c r="V4" s="3169"/>
      <c r="W4" s="3169"/>
      <c r="X4" s="3169"/>
      <c r="Y4" s="3169"/>
      <c r="Z4" s="3169"/>
    </row>
    <row r="5" spans="1:26" ht="14.25" customHeight="1">
      <c r="A5" s="1443"/>
      <c r="B5" s="2309" t="s">
        <v>48</v>
      </c>
      <c r="C5" s="74" t="s">
        <v>3892</v>
      </c>
      <c r="D5" s="41"/>
      <c r="E5" s="275"/>
      <c r="F5" s="994"/>
      <c r="G5" s="996"/>
      <c r="H5" s="1141"/>
      <c r="I5" s="1142"/>
      <c r="J5" s="1142"/>
      <c r="K5" s="1142"/>
      <c r="L5" s="1143"/>
      <c r="M5" s="101"/>
      <c r="N5" s="1408"/>
      <c r="O5" s="4399"/>
      <c r="P5" s="3169"/>
      <c r="Q5" s="3169"/>
      <c r="R5" s="3169"/>
      <c r="S5" s="3169"/>
      <c r="T5" s="3169"/>
      <c r="U5" s="3169"/>
      <c r="V5" s="3169"/>
      <c r="W5" s="3169"/>
      <c r="X5" s="3169"/>
      <c r="Y5" s="3169"/>
      <c r="Z5" s="3169"/>
    </row>
    <row r="6" spans="1:26" ht="14.25" customHeight="1">
      <c r="A6" s="1443"/>
      <c r="B6" s="2309"/>
      <c r="C6" s="74" t="s">
        <v>3891</v>
      </c>
      <c r="D6" s="41"/>
      <c r="E6" s="275"/>
      <c r="F6" s="994"/>
      <c r="G6" s="996"/>
      <c r="H6" s="1141"/>
      <c r="I6" s="1142"/>
      <c r="J6" s="1142"/>
      <c r="K6" s="1142"/>
      <c r="L6" s="1143"/>
      <c r="M6" s="101"/>
      <c r="N6" s="1408"/>
      <c r="O6" s="4399"/>
      <c r="P6" s="3169"/>
      <c r="Q6" s="3169"/>
      <c r="R6" s="3169"/>
      <c r="S6" s="3169"/>
      <c r="T6" s="3169"/>
      <c r="U6" s="3169"/>
      <c r="V6" s="3169"/>
      <c r="W6" s="3169"/>
      <c r="X6" s="3169"/>
      <c r="Y6" s="3169"/>
      <c r="Z6" s="3169"/>
    </row>
    <row r="7" spans="1:26" ht="14.25" customHeight="1">
      <c r="A7" s="1443"/>
      <c r="B7" s="2309" t="s">
        <v>48</v>
      </c>
      <c r="C7" s="74" t="s">
        <v>3893</v>
      </c>
      <c r="D7" s="41"/>
      <c r="E7" s="275"/>
      <c r="F7" s="994"/>
      <c r="G7" s="996"/>
      <c r="H7" s="1141"/>
      <c r="I7" s="1142"/>
      <c r="J7" s="1142"/>
      <c r="K7" s="1142"/>
      <c r="L7" s="1143"/>
      <c r="M7" s="101"/>
      <c r="N7" s="1408"/>
      <c r="O7" s="4399"/>
      <c r="P7" s="3169"/>
      <c r="Q7" s="3169"/>
      <c r="R7" s="3169"/>
      <c r="S7" s="3169"/>
      <c r="T7" s="3169"/>
      <c r="U7" s="3169"/>
      <c r="V7" s="3169"/>
      <c r="W7" s="3169"/>
      <c r="X7" s="3169"/>
      <c r="Y7" s="3169"/>
      <c r="Z7" s="3169"/>
    </row>
    <row r="8" spans="1:26" ht="14.25" customHeight="1">
      <c r="A8" s="1443"/>
      <c r="B8" s="2310"/>
      <c r="C8" s="1544" t="s">
        <v>2023</v>
      </c>
      <c r="D8" s="2311"/>
      <c r="E8" s="320"/>
      <c r="F8" s="2312"/>
      <c r="G8" s="2321"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2313"/>
      <c r="I8" s="2314"/>
      <c r="J8" s="2314"/>
      <c r="K8" s="2314"/>
      <c r="L8" s="2315"/>
      <c r="M8" s="2316"/>
      <c r="N8" s="1408"/>
      <c r="O8" s="4399"/>
      <c r="P8" s="3169"/>
      <c r="Q8" s="3169"/>
      <c r="R8" s="3169"/>
      <c r="S8" s="3169"/>
      <c r="T8" s="3169"/>
      <c r="U8" s="3169"/>
      <c r="V8" s="3169"/>
      <c r="W8" s="3169"/>
      <c r="X8" s="3169"/>
      <c r="Y8" s="3169"/>
      <c r="Z8" s="3169"/>
    </row>
    <row r="9" spans="1:26" ht="14.25" customHeight="1">
      <c r="A9" s="1443"/>
      <c r="B9" s="1054"/>
      <c r="C9" s="275"/>
      <c r="D9" s="41"/>
      <c r="E9" s="275"/>
      <c r="F9" s="994"/>
      <c r="G9" s="996"/>
      <c r="H9" s="1141"/>
      <c r="I9" s="1142"/>
      <c r="J9" s="1142"/>
      <c r="K9" s="1142"/>
      <c r="L9" s="1143" t="b">
        <f>OR(L11="",NumFileStatusBoxes&lt;&gt;1,File_Marr_Sep&lt;&gt;"",Form2555_Used,DependentYOU&lt;&gt;"",DependentSPOUSE&lt;&gt;"")</f>
        <v>1</v>
      </c>
      <c r="M9" s="101"/>
      <c r="N9" s="1408"/>
      <c r="O9" s="4399"/>
      <c r="P9" s="3169"/>
      <c r="Q9" s="3169"/>
      <c r="R9" s="3169"/>
      <c r="S9" s="3169"/>
      <c r="T9" s="3169"/>
      <c r="U9" s="3169"/>
      <c r="V9" s="3169"/>
      <c r="W9" s="3169"/>
      <c r="X9" s="3169"/>
      <c r="Y9" s="3169"/>
      <c r="Z9" s="3169"/>
    </row>
    <row r="10" spans="1:26" ht="14.25" customHeight="1">
      <c r="A10" s="1443"/>
      <c r="B10" s="1053" t="s">
        <v>336</v>
      </c>
      <c r="C10" s="1051"/>
      <c r="D10" s="74" t="str">
        <f>"Enter the total interest you paid in "&amp;TaxYear&amp;" on qualified student loans (see the instructions for line 33). "</f>
        <v xml:space="preserve">Enter the total interest you paid in 2018 on qualified student loans (see the instructions for line 33). </v>
      </c>
      <c r="E10" s="275"/>
      <c r="F10" s="275"/>
      <c r="G10" s="996"/>
      <c r="H10" s="1142"/>
      <c r="I10" s="1142"/>
      <c r="J10" s="1143"/>
      <c r="K10" s="1143"/>
      <c r="L10" s="1143"/>
      <c r="M10" s="101"/>
      <c r="N10" s="1408"/>
      <c r="O10" s="4399"/>
      <c r="P10" s="3169"/>
      <c r="Q10" s="3169"/>
      <c r="R10" s="3169"/>
      <c r="S10" s="3169"/>
      <c r="T10" s="3169"/>
      <c r="U10" s="3169"/>
      <c r="V10" s="3169"/>
      <c r="W10" s="3169"/>
      <c r="X10" s="3169"/>
      <c r="Y10" s="3169"/>
      <c r="Z10" s="3169"/>
    </row>
    <row r="11" spans="1:26" ht="14.25" customHeight="1">
      <c r="A11" s="1443"/>
      <c r="B11" s="1053"/>
      <c r="C11" s="1051"/>
      <c r="D11" s="74" t="str">
        <f>"Don't enter more than "&amp;TEXT(L12,"$0,000")</f>
        <v>Don't enter more than $2,500</v>
      </c>
      <c r="E11" s="275"/>
      <c r="F11" s="275"/>
      <c r="G11" s="996"/>
      <c r="H11" s="329"/>
      <c r="I11" s="329"/>
      <c r="J11" s="14"/>
      <c r="K11" s="1129" t="str">
        <f>".   .   .   .   .   .   .   .   .   .   .   .   .   .   .   .   .   .   .   .   .   .   .   .   .   1."</f>
        <v>.   .   .   .   .   .   .   .   .   .   .   .   .   .   .   .   .   .   .   .   .   .   .   .   .   1.</v>
      </c>
      <c r="L11" s="2323"/>
      <c r="M11" s="101"/>
      <c r="N11" s="1408"/>
      <c r="O11" s="4399"/>
      <c r="P11" s="3169"/>
      <c r="Q11" s="3169"/>
      <c r="R11" s="3169"/>
      <c r="S11" s="3169"/>
      <c r="T11" s="3169"/>
      <c r="U11" s="3169"/>
      <c r="V11" s="3169"/>
      <c r="W11" s="3169"/>
      <c r="X11" s="3169"/>
      <c r="Y11" s="3169"/>
      <c r="Z11" s="3169"/>
    </row>
    <row r="12" spans="1:26" ht="14.25" customHeight="1">
      <c r="A12" s="1443"/>
      <c r="B12" s="1053"/>
      <c r="C12" s="25"/>
      <c r="D12" s="25"/>
      <c r="E12" s="24"/>
      <c r="F12" s="24"/>
      <c r="G12" s="24"/>
      <c r="H12" s="1142"/>
      <c r="I12" s="1142"/>
      <c r="J12" s="1143"/>
      <c r="K12" s="1143" t="b">
        <f>IF(L11&gt;L12,TRUE,FALSE)</f>
        <v>0</v>
      </c>
      <c r="L12" s="1143">
        <v>2500</v>
      </c>
      <c r="M12" s="101"/>
      <c r="N12" s="1408"/>
      <c r="O12" s="4399"/>
      <c r="P12" s="3169"/>
      <c r="Q12" s="3169"/>
      <c r="R12" s="3169"/>
      <c r="S12" s="3169"/>
      <c r="T12" s="3169"/>
      <c r="U12" s="3169"/>
      <c r="V12" s="3169"/>
      <c r="W12" s="3169"/>
      <c r="X12" s="3169"/>
      <c r="Y12" s="3169"/>
      <c r="Z12" s="3169"/>
    </row>
    <row r="13" spans="1:26" ht="14.25" customHeight="1">
      <c r="A13" s="1443"/>
      <c r="B13" s="1671" t="s">
        <v>0</v>
      </c>
      <c r="C13" s="1051"/>
      <c r="D13" s="74" t="s">
        <v>3894</v>
      </c>
      <c r="E13" s="275"/>
      <c r="F13" s="275"/>
      <c r="G13" s="996"/>
      <c r="H13" s="329"/>
      <c r="I13" s="1129" t="str">
        <f>" .   .   .   .   .   .   .   .   .   .   .   .   2."</f>
        <v xml:space="preserve"> .   .   .   .   .   .   .   .   .   .   .   .   2.</v>
      </c>
      <c r="J13" s="2303" t="str">
        <f>IF(OR(K12,Line33_NOT),"",Total_Income)</f>
        <v/>
      </c>
      <c r="K13" s="1129"/>
      <c r="L13" s="464"/>
      <c r="M13" s="101"/>
      <c r="N13" s="1408"/>
      <c r="O13" s="4399"/>
      <c r="P13" s="3169"/>
      <c r="Q13" s="3169"/>
      <c r="R13" s="3169"/>
      <c r="S13" s="3169"/>
      <c r="T13" s="3169"/>
      <c r="U13" s="3169"/>
      <c r="V13" s="3169"/>
      <c r="W13" s="3169"/>
      <c r="X13" s="3169"/>
      <c r="Y13" s="3169"/>
      <c r="Z13" s="3169"/>
    </row>
    <row r="14" spans="1:26" ht="14.25" customHeight="1">
      <c r="A14" s="1443"/>
      <c r="B14" s="1053"/>
      <c r="C14" s="25"/>
      <c r="D14" s="25"/>
      <c r="E14" s="24"/>
      <c r="F14" s="24"/>
      <c r="G14" s="24"/>
      <c r="H14" s="1142"/>
      <c r="I14" s="1142"/>
      <c r="J14" s="1143"/>
      <c r="K14" s="1143"/>
      <c r="L14" s="1143"/>
      <c r="M14" s="101"/>
      <c r="N14" s="1408"/>
      <c r="O14" s="4399"/>
      <c r="P14" s="3169"/>
      <c r="Q14" s="3169"/>
      <c r="R14" s="3169"/>
      <c r="S14" s="3169"/>
      <c r="T14" s="3169"/>
      <c r="U14" s="3169"/>
      <c r="V14" s="3169"/>
      <c r="W14" s="3169"/>
      <c r="X14" s="3169"/>
      <c r="Y14" s="3169"/>
      <c r="Z14" s="3169"/>
    </row>
    <row r="15" spans="1:26" ht="14.25" customHeight="1">
      <c r="A15" s="1443"/>
      <c r="B15" s="1671" t="s">
        <v>1</v>
      </c>
      <c r="C15" s="25"/>
      <c r="D15" s="74" t="s">
        <v>3895</v>
      </c>
      <c r="E15" s="24"/>
      <c r="F15" s="24"/>
      <c r="G15" s="24"/>
      <c r="H15" s="1142"/>
      <c r="I15" s="1142"/>
      <c r="J15" s="1143"/>
      <c r="K15" s="1143"/>
      <c r="L15" s="1143"/>
      <c r="M15" s="101"/>
      <c r="N15" s="1408"/>
      <c r="O15" s="4399"/>
      <c r="P15" s="3169"/>
      <c r="Q15" s="3169"/>
      <c r="R15" s="3169"/>
      <c r="S15" s="3169"/>
      <c r="T15" s="3169"/>
      <c r="U15" s="3169"/>
      <c r="V15" s="3169"/>
      <c r="W15" s="3169"/>
      <c r="X15" s="3169"/>
      <c r="Y15" s="3169"/>
      <c r="Z15" s="3169"/>
    </row>
    <row r="16" spans="1:26" ht="14.25" customHeight="1">
      <c r="A16" s="1443"/>
      <c r="B16" s="1671"/>
      <c r="C16" s="25"/>
      <c r="D16" s="74" t="s">
        <v>4424</v>
      </c>
      <c r="E16" s="24"/>
      <c r="F16" s="24"/>
      <c r="G16" s="24"/>
      <c r="H16" s="1142"/>
      <c r="I16" s="1142"/>
      <c r="J16" s="1143"/>
      <c r="K16" s="1143"/>
      <c r="L16" s="1143"/>
      <c r="M16" s="101"/>
      <c r="N16" s="1408"/>
      <c r="O16" s="4399"/>
      <c r="P16" s="3169"/>
      <c r="Q16" s="3169"/>
      <c r="R16" s="3169"/>
      <c r="S16" s="3169"/>
      <c r="T16" s="3169"/>
      <c r="U16" s="3169"/>
      <c r="V16" s="3169"/>
      <c r="W16" s="3169"/>
      <c r="X16" s="3169"/>
      <c r="Y16" s="3169"/>
      <c r="Z16" s="3169"/>
    </row>
    <row r="17" spans="1:26" ht="14.25" customHeight="1">
      <c r="A17" s="1443"/>
      <c r="B17" s="1053"/>
      <c r="C17" s="25"/>
      <c r="D17" s="74" t="s">
        <v>4423</v>
      </c>
      <c r="E17" s="24"/>
      <c r="F17" s="24"/>
      <c r="G17" s="24"/>
      <c r="H17" s="3298" t="s">
        <v>679</v>
      </c>
      <c r="I17" s="1129" t="str">
        <f>"3."</f>
        <v>3.</v>
      </c>
      <c r="J17" s="2303" t="str">
        <f>IF(OR(K12,Line33_NOT),"",SUM(EducatorExpenses,CertainBusinessExp,HSA_Deduct,MovExp_ArmedForces,SE_Deduct,SEP_Plan_Deduct,SEHealthInsDeduct,PenaltyEarlyWithdraw,AlimonyPaid,IRADeduct,-DPAD))</f>
        <v/>
      </c>
      <c r="K17" s="1143"/>
      <c r="L17" s="1143"/>
      <c r="M17" s="101"/>
      <c r="N17" s="1408"/>
      <c r="O17" s="4399"/>
      <c r="P17" s="3169"/>
      <c r="Q17" s="3169"/>
      <c r="R17" s="3169"/>
      <c r="S17" s="3169"/>
      <c r="T17" s="3169"/>
      <c r="U17" s="3169"/>
      <c r="V17" s="3169"/>
      <c r="W17" s="3169"/>
      <c r="X17" s="3169"/>
      <c r="Y17" s="3169"/>
      <c r="Z17" s="3169"/>
    </row>
    <row r="18" spans="1:26" ht="14.25" customHeight="1">
      <c r="A18" s="1443"/>
      <c r="B18" s="1053"/>
      <c r="C18" s="25"/>
      <c r="D18" s="25"/>
      <c r="E18" s="24"/>
      <c r="F18" s="24"/>
      <c r="G18" s="24"/>
      <c r="H18" s="1142"/>
      <c r="I18" s="1142"/>
      <c r="J18" s="1143"/>
      <c r="K18" s="1143"/>
      <c r="L18" s="1143"/>
      <c r="M18" s="101"/>
      <c r="N18" s="1408"/>
      <c r="O18" s="4399"/>
      <c r="P18" s="3169"/>
      <c r="Q18" s="3169"/>
      <c r="R18" s="3169"/>
      <c r="S18" s="3169"/>
      <c r="T18" s="3169"/>
      <c r="U18" s="3169"/>
      <c r="V18" s="3169"/>
      <c r="W18" s="3169"/>
      <c r="X18" s="3169"/>
      <c r="Y18" s="3169"/>
      <c r="Z18" s="3169"/>
    </row>
    <row r="19" spans="1:26" ht="14.25" customHeight="1">
      <c r="A19" s="1443"/>
      <c r="B19" s="1671" t="s">
        <v>455</v>
      </c>
      <c r="C19" s="1051"/>
      <c r="D19" s="74" t="s">
        <v>2024</v>
      </c>
      <c r="E19" s="275"/>
      <c r="F19" s="275"/>
      <c r="G19" s="996"/>
      <c r="H19" s="3298" t="s">
        <v>676</v>
      </c>
      <c r="I19" s="1129" t="str">
        <f>"4."</f>
        <v>4.</v>
      </c>
      <c r="J19" s="2303" t="str">
        <f>IF(OR(K12,Line33_NOT),"",SUM(J13,-J17))</f>
        <v/>
      </c>
      <c r="K19" s="1129"/>
      <c r="L19" s="464"/>
      <c r="M19" s="101"/>
      <c r="N19" s="1408"/>
      <c r="O19" s="4399"/>
      <c r="P19" s="3169"/>
      <c r="Q19" s="3169"/>
      <c r="R19" s="3169"/>
      <c r="S19" s="3169"/>
      <c r="T19" s="3169"/>
      <c r="U19" s="3169"/>
      <c r="V19" s="3169"/>
      <c r="W19" s="3169"/>
      <c r="X19" s="3169"/>
      <c r="Y19" s="3169"/>
      <c r="Z19" s="3169"/>
    </row>
    <row r="20" spans="1:26" ht="14.25" customHeight="1">
      <c r="A20" s="1443"/>
      <c r="B20" s="1053"/>
      <c r="C20" s="25"/>
      <c r="D20" s="25"/>
      <c r="E20" s="24"/>
      <c r="F20" s="24"/>
      <c r="G20" s="24"/>
      <c r="H20" s="1142"/>
      <c r="I20" s="1142"/>
      <c r="J20" s="1143"/>
      <c r="K20" s="1143"/>
      <c r="L20" s="1143"/>
      <c r="M20" s="101"/>
      <c r="N20" s="1408"/>
      <c r="O20" s="4399"/>
      <c r="P20" s="3169"/>
      <c r="Q20" s="3169"/>
      <c r="R20" s="3169"/>
      <c r="S20" s="3169"/>
      <c r="T20" s="3169"/>
      <c r="U20" s="3169"/>
      <c r="V20" s="3169"/>
      <c r="W20" s="3169"/>
      <c r="X20" s="3169"/>
      <c r="Y20" s="3169"/>
      <c r="Z20" s="3169"/>
    </row>
    <row r="21" spans="1:26" ht="14.25" customHeight="1">
      <c r="A21" s="1443"/>
      <c r="B21" s="1671" t="s">
        <v>35</v>
      </c>
      <c r="C21" s="25"/>
      <c r="D21" s="74" t="s">
        <v>214</v>
      </c>
      <c r="E21" s="24"/>
      <c r="F21" s="24"/>
      <c r="G21" s="24"/>
      <c r="H21" s="1142"/>
      <c r="I21" s="1142"/>
      <c r="J21" s="1143"/>
      <c r="K21" s="1143"/>
      <c r="L21" s="1143"/>
      <c r="M21" s="101"/>
      <c r="N21" s="1408"/>
      <c r="O21" s="4399"/>
      <c r="P21" s="3169"/>
      <c r="Q21" s="3169"/>
      <c r="R21" s="3169"/>
      <c r="S21" s="3169"/>
      <c r="T21" s="3169"/>
      <c r="U21" s="3169"/>
      <c r="V21" s="3169"/>
      <c r="W21" s="3169"/>
      <c r="X21" s="3169"/>
      <c r="Y21" s="3169"/>
      <c r="Z21" s="3169"/>
    </row>
    <row r="22" spans="1:26" ht="14.25" customHeight="1">
      <c r="A22" s="1443"/>
      <c r="B22" s="1053"/>
      <c r="C22" s="25"/>
      <c r="D22" s="74" t="str">
        <f>"Single, head of household, or qualifying widow(er) — "&amp;TEXT(L22,"$0,000")</f>
        <v>Single, head of household, or qualifying widow(er) — $65,000</v>
      </c>
      <c r="E22" s="24"/>
      <c r="F22" s="24"/>
      <c r="G22" s="24"/>
      <c r="H22" s="53"/>
      <c r="I22" s="1129" t="str">
        <f>".   .   .   .   5."</f>
        <v>.   .   .   .   5.</v>
      </c>
      <c r="J22" s="2303" t="str">
        <f>IF(Line33_NOT,"",IF(NumFileStatusBoxes&lt;&gt;1,"Filing status?",IF(OR(K12,Line33_NOT),"",IF(File_Marr_Joint&lt;&gt;"",L23,IF(OR(File_Single&lt;&gt;"",File_Head&lt;&gt;"",File_Qual_Widow&lt;&gt;""),L22,IF(File_Marr_Sep&lt;&gt;"","","Filing status?"))))))</f>
        <v/>
      </c>
      <c r="K22" s="1143"/>
      <c r="L22" s="1143">
        <v>65000</v>
      </c>
      <c r="M22" s="101"/>
      <c r="N22" s="1408"/>
      <c r="O22" s="4399"/>
      <c r="P22" s="3169"/>
      <c r="Q22" s="3169"/>
      <c r="R22" s="3169"/>
      <c r="S22" s="3169"/>
      <c r="T22" s="3169"/>
      <c r="U22" s="3169"/>
      <c r="V22" s="3169"/>
      <c r="W22" s="3169"/>
      <c r="X22" s="3169"/>
      <c r="Y22" s="3169"/>
      <c r="Z22" s="3169"/>
    </row>
    <row r="23" spans="1:26" ht="14.25" customHeight="1">
      <c r="A23" s="1443"/>
      <c r="B23" s="1053"/>
      <c r="C23" s="25"/>
      <c r="D23" s="1093" t="str">
        <f>"Married filing jointly — "&amp;TEXT(L23,"$0,000")</f>
        <v>Married filing jointly — $135,000</v>
      </c>
      <c r="E23" s="24"/>
      <c r="F23" s="1093"/>
      <c r="G23" s="24"/>
      <c r="H23" s="1093"/>
      <c r="I23" s="1142"/>
      <c r="J23" s="1143"/>
      <c r="K23" s="1143"/>
      <c r="L23" s="2317">
        <v>135000</v>
      </c>
      <c r="M23" s="101"/>
      <c r="N23" s="1408"/>
      <c r="O23" s="4399"/>
      <c r="P23" s="3169"/>
      <c r="Q23" s="3169"/>
      <c r="R23" s="3169"/>
      <c r="S23" s="3169"/>
      <c r="T23" s="3169"/>
      <c r="U23" s="3169"/>
      <c r="V23" s="3169"/>
      <c r="W23" s="3169"/>
      <c r="X23" s="3169"/>
      <c r="Y23" s="3169"/>
      <c r="Z23" s="3169"/>
    </row>
    <row r="24" spans="1:26" ht="25.5" customHeight="1">
      <c r="A24" s="1443"/>
      <c r="B24" s="1671" t="s">
        <v>75</v>
      </c>
      <c r="C24" s="25"/>
      <c r="D24" s="74" t="s">
        <v>795</v>
      </c>
      <c r="E24" s="24"/>
      <c r="F24" s="24"/>
      <c r="G24" s="24"/>
      <c r="H24" s="1142"/>
      <c r="I24" s="1142"/>
      <c r="J24" s="1143" t="b">
        <f>J19&gt;J22</f>
        <v>0</v>
      </c>
      <c r="K24" s="1143"/>
      <c r="L24" s="1143"/>
      <c r="M24" s="101"/>
      <c r="N24" s="1408"/>
      <c r="O24" s="4399"/>
      <c r="P24" s="3169"/>
      <c r="Q24" s="3169"/>
      <c r="R24" s="3169"/>
      <c r="S24" s="3169"/>
      <c r="T24" s="3169"/>
      <c r="U24" s="3169"/>
      <c r="V24" s="3169"/>
      <c r="W24" s="3169"/>
      <c r="X24" s="3169"/>
      <c r="Y24" s="3169"/>
      <c r="Z24" s="3169"/>
    </row>
    <row r="25" spans="1:26" ht="14.25" customHeight="1">
      <c r="A25" s="1443"/>
      <c r="B25" s="1053"/>
      <c r="C25" s="25"/>
      <c r="D25" s="25"/>
      <c r="E25" s="24"/>
      <c r="F25" s="24"/>
      <c r="G25" s="24"/>
      <c r="H25" s="1142"/>
      <c r="I25" s="1142"/>
      <c r="J25" s="1143"/>
      <c r="K25" s="1143"/>
      <c r="L25" s="1143"/>
      <c r="M25" s="101"/>
      <c r="N25" s="1408"/>
      <c r="O25" s="4399"/>
      <c r="P25" s="3169"/>
      <c r="Q25" s="3169"/>
      <c r="R25" s="3169"/>
      <c r="S25" s="3169"/>
      <c r="T25" s="3169"/>
      <c r="U25" s="3169"/>
      <c r="V25" s="3169"/>
      <c r="W25" s="3169"/>
      <c r="X25" s="3169"/>
      <c r="Y25" s="3169"/>
      <c r="Z25" s="3169"/>
    </row>
    <row r="26" spans="1:26" ht="14.25" customHeight="1">
      <c r="A26" s="1443"/>
      <c r="B26" s="1053"/>
      <c r="C26" s="2304" t="str">
        <f>IF(OR(NumFileStatusBoxes&lt;&gt;1,K12,Line33_NOT),"",IF(J24,"","X"))</f>
        <v/>
      </c>
      <c r="D26" s="43" t="s">
        <v>973</v>
      </c>
      <c r="E26" s="74" t="s">
        <v>2025</v>
      </c>
      <c r="F26" s="24"/>
      <c r="G26" s="24"/>
      <c r="H26" s="1142"/>
      <c r="I26" s="1142"/>
      <c r="J26" s="1143"/>
      <c r="K26" s="1143"/>
      <c r="L26" s="1143"/>
      <c r="M26" s="101"/>
      <c r="N26" s="1408"/>
      <c r="O26" s="4399"/>
      <c r="P26" s="3169"/>
      <c r="Q26" s="3169"/>
      <c r="R26" s="3169"/>
      <c r="S26" s="3169"/>
      <c r="T26" s="3169"/>
      <c r="U26" s="3169"/>
      <c r="V26" s="3169"/>
      <c r="W26" s="3169"/>
      <c r="X26" s="3169"/>
      <c r="Y26" s="3169"/>
      <c r="Z26" s="3169"/>
    </row>
    <row r="27" spans="1:26" ht="14.25" customHeight="1">
      <c r="A27" s="1443"/>
      <c r="B27" s="1053"/>
      <c r="C27" s="25"/>
      <c r="D27" s="25"/>
      <c r="E27" s="24"/>
      <c r="F27" s="24"/>
      <c r="G27" s="24"/>
      <c r="H27" s="1142"/>
      <c r="I27" s="1142"/>
      <c r="J27" s="1143"/>
      <c r="K27" s="1143"/>
      <c r="L27" s="1143"/>
      <c r="M27" s="101"/>
      <c r="N27" s="1408"/>
      <c r="O27" s="4399"/>
      <c r="P27" s="3169"/>
      <c r="Q27" s="3169"/>
      <c r="R27" s="3169"/>
      <c r="S27" s="3169"/>
      <c r="T27" s="3169"/>
      <c r="U27" s="3169"/>
      <c r="V27" s="3169"/>
      <c r="W27" s="3169"/>
      <c r="X27" s="3169"/>
      <c r="Y27" s="3169"/>
      <c r="Z27" s="3169"/>
    </row>
    <row r="28" spans="1:26" ht="14.25" customHeight="1">
      <c r="A28" s="1443"/>
      <c r="B28" s="1053"/>
      <c r="C28" s="2304" t="str">
        <f>IF(OR(NumFileStatusBoxes&lt;&gt;1,K12,Line33_NOT),"",IF(J24,"X",""))</f>
        <v/>
      </c>
      <c r="D28" s="43" t="s">
        <v>474</v>
      </c>
      <c r="E28" s="74" t="s">
        <v>2026</v>
      </c>
      <c r="F28" s="24"/>
      <c r="G28" s="24"/>
      <c r="H28" s="572"/>
      <c r="I28" s="1129" t="str">
        <f>" .   .   .   .   .   .   .   .   .   .   .   .   6."</f>
        <v xml:space="preserve"> .   .   .   .   .   .   .   .   .   .   .   .   6.</v>
      </c>
      <c r="J28" s="2322" t="str">
        <f>IF(OR(NumFileStatusBoxes&lt;&gt;1,K12,Line33_NOT,C26="X"),"",SUM(J19,-J22))</f>
        <v/>
      </c>
      <c r="K28" s="1129"/>
      <c r="L28" s="1670"/>
      <c r="M28" s="101"/>
      <c r="N28" s="1408"/>
      <c r="O28" s="4399"/>
      <c r="P28" s="3169"/>
      <c r="Q28" s="3169"/>
      <c r="R28" s="3169"/>
      <c r="S28" s="3169"/>
      <c r="T28" s="3169"/>
      <c r="U28" s="3169"/>
      <c r="V28" s="3169"/>
      <c r="W28" s="3169"/>
      <c r="X28" s="3169"/>
      <c r="Y28" s="3169"/>
      <c r="Z28" s="3169"/>
    </row>
    <row r="29" spans="1:26" ht="14.25" customHeight="1">
      <c r="A29" s="1443"/>
      <c r="B29" s="1053"/>
      <c r="C29" s="1051"/>
      <c r="D29" s="275"/>
      <c r="E29" s="275"/>
      <c r="F29" s="275"/>
      <c r="G29" s="996"/>
      <c r="H29" s="329"/>
      <c r="I29" s="329"/>
      <c r="J29" s="14"/>
      <c r="K29" s="24"/>
      <c r="L29" s="14">
        <v>15000</v>
      </c>
      <c r="M29" s="101"/>
      <c r="N29" s="1408"/>
      <c r="O29" s="4399"/>
      <c r="P29" s="3169"/>
      <c r="Q29" s="3169"/>
      <c r="R29" s="3169"/>
      <c r="S29" s="3169"/>
      <c r="T29" s="3169"/>
      <c r="U29" s="3169"/>
      <c r="V29" s="3169"/>
      <c r="W29" s="3169"/>
      <c r="X29" s="3169"/>
      <c r="Y29" s="3169"/>
      <c r="Z29" s="3169"/>
    </row>
    <row r="30" spans="1:26" ht="14.25" customHeight="1">
      <c r="A30" s="1443"/>
      <c r="B30" s="1671" t="s">
        <v>76</v>
      </c>
      <c r="C30" s="25"/>
      <c r="D30" s="74" t="str">
        <f>"Divide line 6 by "&amp;TEXT(L29,"$0,000")&amp;" ("&amp;TEXT(L30,"$0,000")&amp;" if married filing jointly). Enter the result as a decimal"</f>
        <v>Divide line 6 by $15,000 ($30,000 if married filing jointly). Enter the result as a decimal</v>
      </c>
      <c r="E30" s="74"/>
      <c r="F30" s="24"/>
      <c r="G30" s="24"/>
      <c r="H30" s="1142"/>
      <c r="I30" s="1142"/>
      <c r="J30" s="1143"/>
      <c r="K30" s="1143"/>
      <c r="L30" s="1143">
        <v>30000</v>
      </c>
      <c r="M30" s="101"/>
      <c r="N30" s="1408"/>
      <c r="O30" s="4399"/>
      <c r="P30" s="3169"/>
      <c r="Q30" s="3169"/>
      <c r="R30" s="3169"/>
      <c r="S30" s="3169"/>
      <c r="T30" s="3169"/>
      <c r="U30" s="3169"/>
      <c r="V30" s="3169"/>
      <c r="W30" s="3169"/>
      <c r="X30" s="3169"/>
      <c r="Y30" s="3169"/>
      <c r="Z30" s="3169"/>
    </row>
    <row r="31" spans="1:26" ht="14.25" customHeight="1">
      <c r="A31" s="1443"/>
      <c r="B31" s="1053"/>
      <c r="C31" s="1051"/>
      <c r="D31" s="74" t="s">
        <v>2027</v>
      </c>
      <c r="E31" s="275"/>
      <c r="F31" s="275"/>
      <c r="G31" s="996"/>
      <c r="H31" s="329"/>
      <c r="I31" s="329"/>
      <c r="J31" s="14"/>
      <c r="K31" s="1129" t="str">
        <f>".   .   .   .   .   .   .   .   7."</f>
        <v>.   .   .   .   .   .   .   .   7.</v>
      </c>
      <c r="L31" s="2324" t="str">
        <f>IF(OR(NumFileStatusBoxes&lt;&gt;1,K12,Line33_NOT,C26="X"),"",IF(File_Marr_Joint&lt;&gt;"",H32,G32))</f>
        <v/>
      </c>
      <c r="M31" s="101"/>
      <c r="N31" s="1408"/>
      <c r="O31" s="4399"/>
      <c r="P31" s="3169"/>
      <c r="Q31" s="3169"/>
      <c r="R31" s="3169"/>
      <c r="S31" s="3169"/>
      <c r="T31" s="3169"/>
      <c r="U31" s="3169"/>
      <c r="V31" s="3169"/>
      <c r="W31" s="3169"/>
      <c r="X31" s="3169"/>
      <c r="Y31" s="3169"/>
      <c r="Z31" s="3169"/>
    </row>
    <row r="32" spans="1:26" ht="14.25" customHeight="1">
      <c r="A32" s="1443"/>
      <c r="B32" s="1053"/>
      <c r="C32" s="1051"/>
      <c r="D32" s="275"/>
      <c r="E32" s="275"/>
      <c r="F32" s="275"/>
      <c r="G32" s="2325" t="str">
        <f>IF(J28="","",IF(ROUND(J28/L29,3)&gt;1,1,ROUND(J28/L29,3)))</f>
        <v/>
      </c>
      <c r="H32" s="2325" t="str">
        <f>IF(J28="","",IF(ROUND(J28/L30,3)&gt;1,1,ROUND(J28/L30,3)))</f>
        <v/>
      </c>
      <c r="I32" s="329"/>
      <c r="J32" s="14"/>
      <c r="K32" s="24"/>
      <c r="L32" s="14"/>
      <c r="M32" s="101"/>
      <c r="N32" s="1408"/>
      <c r="O32" s="4399"/>
      <c r="P32" s="3169"/>
      <c r="Q32" s="3169"/>
      <c r="R32" s="3169"/>
      <c r="S32" s="3169"/>
      <c r="T32" s="3169"/>
      <c r="U32" s="3169"/>
      <c r="V32" s="3169"/>
      <c r="W32" s="3169"/>
      <c r="X32" s="3169"/>
      <c r="Y32" s="3169"/>
      <c r="Z32" s="3169"/>
    </row>
    <row r="33" spans="1:26" ht="14.25" customHeight="1">
      <c r="A33" s="1443"/>
      <c r="B33" s="1671" t="s">
        <v>232</v>
      </c>
      <c r="C33" s="25"/>
      <c r="D33" s="74" t="s">
        <v>2028</v>
      </c>
      <c r="E33" s="24"/>
      <c r="F33" s="24"/>
      <c r="G33" s="24"/>
      <c r="H33" s="1142"/>
      <c r="I33" s="1142"/>
      <c r="J33" s="1143"/>
      <c r="K33" s="1129" t="str">
        <f>".   .   .   .   .   .   .   .   .   .   .   .   .   .   .   .   .   .   .   .   .   .   .   .   .   .   .   .   .   8."</f>
        <v>.   .   .   .   .   .   .   .   .   .   .   .   .   .   .   .   .   .   .   .   .   .   .   .   .   .   .   .   .   8.</v>
      </c>
      <c r="L33" s="2303" t="str">
        <f>IF(OR(NumFileStatusBoxes&lt;&gt;1,K12,Line33_NOT),"",IF(C26="X",0,ROUND(L11*L31,0)))</f>
        <v/>
      </c>
      <c r="M33" s="101"/>
      <c r="N33" s="1408"/>
      <c r="O33" s="4399"/>
      <c r="P33" s="3169"/>
      <c r="Q33" s="3169"/>
      <c r="R33" s="3169"/>
      <c r="S33" s="3169"/>
      <c r="T33" s="3169"/>
      <c r="U33" s="3169"/>
      <c r="V33" s="3169"/>
      <c r="W33" s="3169"/>
      <c r="X33" s="3169"/>
      <c r="Y33" s="3169"/>
      <c r="Z33" s="3169"/>
    </row>
    <row r="34" spans="1:26" ht="14.25" customHeight="1">
      <c r="A34" s="1443"/>
      <c r="B34" s="1053"/>
      <c r="C34" s="1051"/>
      <c r="D34" s="275"/>
      <c r="E34" s="275"/>
      <c r="F34" s="275"/>
      <c r="G34" s="996"/>
      <c r="H34" s="329"/>
      <c r="I34" s="329"/>
      <c r="J34" s="14"/>
      <c r="K34" s="24"/>
      <c r="L34" s="14"/>
      <c r="M34" s="101"/>
      <c r="N34" s="1408"/>
      <c r="O34" s="4399"/>
      <c r="P34" s="3169"/>
      <c r="Q34" s="3169"/>
      <c r="R34" s="3169"/>
      <c r="S34" s="3169"/>
      <c r="T34" s="3169"/>
      <c r="U34" s="3169"/>
      <c r="V34" s="3169"/>
      <c r="W34" s="3169"/>
      <c r="X34" s="3169"/>
      <c r="Y34" s="3169"/>
      <c r="Z34" s="3169"/>
    </row>
    <row r="35" spans="1:26" ht="14.25" customHeight="1">
      <c r="A35" s="1443"/>
      <c r="B35" s="1671" t="s">
        <v>233</v>
      </c>
      <c r="C35" s="1051"/>
      <c r="D35" s="74" t="s">
        <v>4425</v>
      </c>
      <c r="E35" s="275"/>
      <c r="F35" s="275"/>
      <c r="G35" s="996"/>
      <c r="H35" s="329"/>
      <c r="I35" s="329"/>
      <c r="J35" s="14"/>
      <c r="K35" s="24"/>
      <c r="L35" s="14"/>
      <c r="M35" s="101"/>
      <c r="N35" s="1408"/>
      <c r="O35" s="4399"/>
      <c r="P35" s="3169"/>
      <c r="Q35" s="3169"/>
      <c r="R35" s="3169"/>
      <c r="S35" s="3169"/>
      <c r="T35" s="3169"/>
      <c r="U35" s="3169"/>
      <c r="V35" s="3169"/>
      <c r="W35" s="3169"/>
      <c r="X35" s="3169"/>
      <c r="Y35" s="3169"/>
      <c r="Z35" s="3169"/>
    </row>
    <row r="36" spans="1:26" ht="14.25" customHeight="1">
      <c r="A36" s="2260"/>
      <c r="B36" s="1053"/>
      <c r="C36" s="1051"/>
      <c r="D36" s="74" t="s">
        <v>4426</v>
      </c>
      <c r="E36" s="275"/>
      <c r="F36" s="275"/>
      <c r="G36" s="996"/>
      <c r="H36" s="329"/>
      <c r="I36" s="329"/>
      <c r="J36" s="14"/>
      <c r="K36" s="1129" t="str">
        <f>".   .   9."</f>
        <v>.   .   9.</v>
      </c>
      <c r="L36" s="2303" t="str">
        <f>IF(OR(NumFileStatusBoxes&lt;&gt;1,K12,Line33_NOT),"",SUM(L11,-L33))</f>
        <v/>
      </c>
      <c r="M36" s="101"/>
      <c r="N36" s="1408"/>
      <c r="O36" s="4399"/>
      <c r="P36" s="3169"/>
      <c r="Q36" s="3169"/>
      <c r="R36" s="3169"/>
      <c r="S36" s="3169"/>
      <c r="T36" s="3169"/>
      <c r="U36" s="3169"/>
      <c r="V36" s="3169"/>
      <c r="W36" s="3169"/>
      <c r="X36" s="3169"/>
      <c r="Y36" s="3169"/>
      <c r="Z36" s="3169"/>
    </row>
    <row r="37" spans="1:26" ht="13.5" customHeight="1" thickBot="1">
      <c r="A37" s="1443"/>
      <c r="B37" s="2298"/>
      <c r="C37" s="2318"/>
      <c r="D37" s="963"/>
      <c r="E37" s="963"/>
      <c r="F37" s="963"/>
      <c r="G37" s="2300"/>
      <c r="H37" s="2319"/>
      <c r="I37" s="2319"/>
      <c r="J37" s="2320"/>
      <c r="K37" s="39"/>
      <c r="L37" s="2320"/>
      <c r="M37" s="102"/>
      <c r="N37" s="1408"/>
      <c r="O37" s="4399"/>
      <c r="P37" s="3169"/>
      <c r="Q37" s="3169"/>
      <c r="R37" s="3169"/>
      <c r="S37" s="3169"/>
      <c r="T37" s="3169"/>
      <c r="U37" s="3169"/>
      <c r="V37" s="3169"/>
      <c r="W37" s="3169"/>
      <c r="X37" s="3169"/>
      <c r="Y37" s="3169"/>
      <c r="Z37" s="3169"/>
    </row>
    <row r="38" spans="1:26" ht="19.5" customHeight="1">
      <c r="A38" s="4379"/>
      <c r="B38" s="1443"/>
      <c r="C38" s="1443"/>
      <c r="D38" s="1443"/>
      <c r="E38" s="1443"/>
      <c r="F38" s="1443"/>
      <c r="G38" s="1443"/>
      <c r="H38" s="1443"/>
      <c r="I38" s="1443"/>
      <c r="J38" s="1443"/>
      <c r="K38" s="1443"/>
      <c r="L38" s="1443"/>
      <c r="M38" s="1443"/>
      <c r="N38" s="1408"/>
      <c r="O38" s="4399"/>
      <c r="P38" s="3169"/>
      <c r="Q38" s="3169"/>
      <c r="R38" s="3169"/>
      <c r="S38" s="3169"/>
      <c r="T38" s="3169"/>
      <c r="U38" s="3169"/>
      <c r="V38" s="3169"/>
      <c r="W38" s="3169"/>
      <c r="X38" s="3169"/>
      <c r="Y38" s="3169"/>
      <c r="Z38" s="3169"/>
    </row>
    <row r="40" spans="1:26" ht="13.5" customHeight="1"/>
  </sheetData>
  <sheetProtection password="F07E" sheet="1" objects="1" scenarios="1"/>
  <conditionalFormatting sqref="C26">
    <cfRule type="expression" dxfId="2220" priority="16">
      <formula>IF(NoColor,1,0)</formula>
    </cfRule>
  </conditionalFormatting>
  <conditionalFormatting sqref="C28">
    <cfRule type="expression" dxfId="2219" priority="15">
      <formula>IF(NoColor,1,0)</formula>
    </cfRule>
  </conditionalFormatting>
  <conditionalFormatting sqref="L31">
    <cfRule type="expression" dxfId="2218" priority="14">
      <formula>IF(NoColor,1,0)</formula>
    </cfRule>
  </conditionalFormatting>
  <conditionalFormatting sqref="J13">
    <cfRule type="expression" dxfId="2217" priority="13">
      <formula>IF(NoColor,1,0)</formula>
    </cfRule>
  </conditionalFormatting>
  <conditionalFormatting sqref="L11">
    <cfRule type="expression" dxfId="2216" priority="12">
      <formula>IF(NoColor,1,0)</formula>
    </cfRule>
  </conditionalFormatting>
  <conditionalFormatting sqref="J17">
    <cfRule type="expression" dxfId="2215" priority="11">
      <formula>IF(NoColor,1,0)</formula>
    </cfRule>
  </conditionalFormatting>
  <conditionalFormatting sqref="J19">
    <cfRule type="expression" dxfId="2214" priority="10">
      <formula>IF(NoColor,1,0)</formula>
    </cfRule>
  </conditionalFormatting>
  <conditionalFormatting sqref="J22">
    <cfRule type="expression" dxfId="2213" priority="9">
      <formula>IF(NoColor,1,0)</formula>
    </cfRule>
  </conditionalFormatting>
  <conditionalFormatting sqref="J28">
    <cfRule type="expression" dxfId="2212" priority="8">
      <formula>IF(NoColor,1,0)</formula>
    </cfRule>
  </conditionalFormatting>
  <conditionalFormatting sqref="L33">
    <cfRule type="expression" dxfId="2211" priority="7">
      <formula>IF(NoColor,1,0)</formula>
    </cfRule>
  </conditionalFormatting>
  <conditionalFormatting sqref="L36">
    <cfRule type="expression" dxfId="2210" priority="6">
      <formula>IF(NoColor,1,0)</formula>
    </cfRule>
  </conditionalFormatting>
  <conditionalFormatting sqref="D11">
    <cfRule type="expression" dxfId="2209" priority="5">
      <formula>IF($K$12,1,0)</formula>
    </cfRule>
  </conditionalFormatting>
  <printOptions horizontalCentered="1"/>
  <pageMargins left="0.3" right="0.42" top="0.39" bottom="0.56000000000000005" header="0" footer="0"/>
  <pageSetup scale="84" fitToHeight="0" orientation="portrait" horizontalDpi="4294967293" verticalDpi="4294967293"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T119"/>
  <sheetViews>
    <sheetView topLeftCell="A13" zoomScaleNormal="100" zoomScaleSheetLayoutView="100" workbookViewId="0">
      <selection activeCell="M49" sqref="M49"/>
    </sheetView>
  </sheetViews>
  <sheetFormatPr defaultRowHeight="12.75"/>
  <cols>
    <col min="1" max="1" width="1.85546875" customWidth="1"/>
    <col min="2" max="2" width="15.140625" customWidth="1"/>
    <col min="3" max="3" width="3.85546875" customWidth="1"/>
    <col min="4" max="4" width="2.140625" customWidth="1"/>
    <col min="5" max="5" width="3.85546875" customWidth="1"/>
    <col min="6" max="6" width="11" customWidth="1"/>
    <col min="7" max="7" width="2.7109375" customWidth="1"/>
    <col min="8" max="8" width="14.42578125" customWidth="1"/>
    <col min="9" max="9" width="3.7109375" customWidth="1"/>
    <col min="10" max="10" width="11.5703125" customWidth="1"/>
    <col min="11" max="12" width="4.28515625" customWidth="1"/>
    <col min="13" max="13" width="15.5703125" customWidth="1"/>
    <col min="14" max="14" width="3.5703125" style="277" customWidth="1"/>
    <col min="15" max="15" width="18.140625" customWidth="1"/>
    <col min="16" max="16" width="2.28515625" customWidth="1"/>
    <col min="17" max="17" width="11.42578125" style="1056" customWidth="1"/>
    <col min="18" max="18" width="3.7109375" customWidth="1"/>
    <col min="19" max="19" width="18.7109375" customWidth="1"/>
    <col min="20" max="20" width="3.5703125" customWidth="1"/>
    <col min="21" max="21" width="4.5703125" style="1730" customWidth="1"/>
    <col min="22" max="22" width="3.5703125" style="46" customWidth="1"/>
    <col min="23" max="23" width="5.42578125" style="46" customWidth="1"/>
    <col min="24" max="24" width="9.85546875" style="46" customWidth="1"/>
    <col min="25" max="26" width="10.42578125" style="46" customWidth="1"/>
    <col min="27" max="27" width="11.85546875" style="46" customWidth="1"/>
    <col min="28" max="29" width="10.42578125" style="46" customWidth="1"/>
    <col min="30" max="30" width="13.42578125" style="46" customWidth="1"/>
    <col min="31" max="31" width="3.28515625" style="46" customWidth="1"/>
    <col min="32" max="32" width="3.5703125" style="46" customWidth="1"/>
    <col min="33" max="33" width="11.42578125" style="46" customWidth="1"/>
    <col min="34" max="34" width="3.5703125" style="46" customWidth="1"/>
    <col min="35" max="35" width="5.85546875" customWidth="1"/>
    <col min="36" max="46" width="10.7109375" style="3169" customWidth="1"/>
  </cols>
  <sheetData>
    <row r="1" spans="1:36" ht="16.5" customHeight="1" thickBot="1">
      <c r="A1" s="635"/>
      <c r="B1" s="635"/>
      <c r="C1" s="635"/>
      <c r="D1" s="635"/>
      <c r="E1" s="635"/>
      <c r="F1" s="635"/>
      <c r="G1" s="635"/>
      <c r="H1" s="635"/>
      <c r="I1" s="635"/>
      <c r="J1" s="635"/>
      <c r="K1" s="635"/>
      <c r="L1" s="635"/>
      <c r="M1" s="635"/>
      <c r="N1" s="635"/>
      <c r="O1" s="635"/>
      <c r="P1" s="635"/>
      <c r="Q1" s="4426"/>
      <c r="AJ1" s="3168" t="s">
        <v>2552</v>
      </c>
    </row>
    <row r="2" spans="1:36" ht="14.25" customHeight="1" thickBot="1">
      <c r="A2" s="635"/>
      <c r="B2" s="635"/>
      <c r="C2" s="635"/>
      <c r="D2" s="635"/>
      <c r="E2" s="635"/>
      <c r="F2" s="635"/>
      <c r="G2" s="635"/>
      <c r="H2" s="635"/>
      <c r="I2" s="635"/>
      <c r="J2" s="635"/>
      <c r="K2" s="635"/>
      <c r="L2" s="635"/>
      <c r="M2" s="635"/>
      <c r="N2" s="635"/>
      <c r="O2" s="635"/>
      <c r="P2" s="635"/>
      <c r="U2" s="4908" t="s">
        <v>3829</v>
      </c>
      <c r="V2" s="1605"/>
      <c r="W2" s="1605"/>
      <c r="X2" s="1605"/>
      <c r="Y2" s="1605"/>
      <c r="Z2" s="1605"/>
      <c r="AA2" s="1605"/>
      <c r="AB2" s="1605"/>
      <c r="AC2" s="2601" t="s">
        <v>2164</v>
      </c>
      <c r="AD2" s="1605"/>
      <c r="AE2" s="1605"/>
      <c r="AF2" s="1605"/>
      <c r="AG2" s="1605"/>
      <c r="AH2" s="4411">
        <v>0</v>
      </c>
      <c r="AI2" s="1601">
        <v>420</v>
      </c>
    </row>
    <row r="3" spans="1:36" ht="15.75" customHeight="1">
      <c r="A3" s="635"/>
      <c r="B3" s="2385"/>
      <c r="C3" s="1731"/>
      <c r="D3" s="1873"/>
      <c r="E3" s="1873"/>
      <c r="F3" s="1873"/>
      <c r="G3" s="1873"/>
      <c r="H3" s="1873"/>
      <c r="I3" s="1873"/>
      <c r="J3" s="1873"/>
      <c r="K3" s="1873"/>
      <c r="L3" s="1874"/>
      <c r="M3" s="635"/>
      <c r="N3" s="2385"/>
      <c r="O3" s="1874"/>
      <c r="P3" s="635"/>
      <c r="U3" s="4220" t="s">
        <v>3834</v>
      </c>
      <c r="V3" s="1443"/>
      <c r="W3" s="1443"/>
      <c r="X3" s="1443"/>
      <c r="Y3" s="1443"/>
      <c r="Z3" s="1443"/>
      <c r="AA3" s="1443"/>
      <c r="AB3" s="1450" t="str">
        <f>TEXT(O19,"0.0%")&amp;" of the amount of your adjusted gross income on Form 1040, line 7."</f>
        <v>7.5% of the amount of your adjusted gross income on Form 1040, line 7.</v>
      </c>
      <c r="AC3" s="1443"/>
      <c r="AD3" s="1443"/>
      <c r="AE3" s="1443"/>
      <c r="AF3" s="1443"/>
      <c r="AG3" s="1443"/>
      <c r="AH3" s="4412">
        <v>41</v>
      </c>
      <c r="AI3" s="1601">
        <v>780</v>
      </c>
    </row>
    <row r="4" spans="1:36" ht="12" customHeight="1">
      <c r="A4" s="635"/>
      <c r="B4" s="2386" t="s">
        <v>3225</v>
      </c>
      <c r="C4" s="2377"/>
      <c r="D4" s="1408"/>
      <c r="E4" s="1408"/>
      <c r="F4" s="1408"/>
      <c r="G4" s="1408"/>
      <c r="H4" s="1408"/>
      <c r="I4" s="1408"/>
      <c r="J4" s="1408"/>
      <c r="K4" s="1408"/>
      <c r="L4" s="1877"/>
      <c r="M4" s="635"/>
      <c r="N4" s="4427" t="s">
        <v>2130</v>
      </c>
      <c r="O4" s="1877"/>
      <c r="P4" s="635"/>
      <c r="U4" s="3220" t="s">
        <v>3835</v>
      </c>
      <c r="V4" s="4428"/>
      <c r="W4" s="4428"/>
      <c r="X4" s="4428"/>
      <c r="Y4" s="4428"/>
      <c r="Z4" s="4428"/>
      <c r="AA4" s="4428"/>
      <c r="AB4" s="4428"/>
      <c r="AC4" s="4428"/>
      <c r="AD4" s="4428"/>
      <c r="AE4" s="4428"/>
      <c r="AF4" s="1450" t="str">
        <f>"end of "&amp;TaxYear&amp;","</f>
        <v>end of 2018,</v>
      </c>
      <c r="AG4" s="4428"/>
      <c r="AH4" s="4412"/>
      <c r="AI4" s="1601"/>
    </row>
    <row r="5" spans="1:36" ht="13.5" customHeight="1" thickBot="1">
      <c r="A5" s="635"/>
      <c r="B5" s="2384" t="s">
        <v>3226</v>
      </c>
      <c r="C5" s="2377"/>
      <c r="D5" s="1408"/>
      <c r="E5" s="1408"/>
      <c r="F5" s="1408"/>
      <c r="G5" s="1408"/>
      <c r="H5" s="1408"/>
      <c r="I5" s="1408"/>
      <c r="J5" s="1408"/>
      <c r="K5" s="1408"/>
      <c r="L5" s="1877"/>
      <c r="M5" s="635"/>
      <c r="N5" s="2384" t="s">
        <v>3831</v>
      </c>
      <c r="O5" s="1877"/>
      <c r="P5" s="635"/>
      <c r="U5" s="5889" t="s">
        <v>3836</v>
      </c>
      <c r="V5" s="5890"/>
      <c r="W5" s="5890"/>
      <c r="X5" s="5890"/>
      <c r="Y5" s="5890"/>
      <c r="Z5" s="5890"/>
      <c r="AA5" s="5890"/>
      <c r="AB5" s="5890"/>
      <c r="AC5" s="5890"/>
      <c r="AD5" s="5890"/>
      <c r="AE5" s="5890"/>
      <c r="AF5" s="5890"/>
      <c r="AG5" s="5890"/>
      <c r="AH5" s="4413">
        <v>51</v>
      </c>
      <c r="AI5" s="1601">
        <v>1560</v>
      </c>
    </row>
    <row r="6" spans="1:36">
      <c r="A6" s="635"/>
      <c r="B6" s="2384" t="str">
        <f>"If you paid additional state and local income taxes during "&amp;TaxYear&amp;", see worksheet at the right."</f>
        <v>If you paid additional state and local income taxes during 2018, see worksheet at the right.</v>
      </c>
      <c r="C6" s="1732"/>
      <c r="D6" s="1408"/>
      <c r="E6" s="1408"/>
      <c r="F6" s="1408"/>
      <c r="G6" s="1408"/>
      <c r="H6" s="1408"/>
      <c r="I6" s="1408"/>
      <c r="J6" s="1408"/>
      <c r="K6" s="1408"/>
      <c r="L6" s="1877"/>
      <c r="M6" s="635"/>
      <c r="N6" s="2384" t="s">
        <v>3832</v>
      </c>
      <c r="O6" s="1877"/>
      <c r="P6" s="635"/>
      <c r="U6" s="4414"/>
      <c r="V6" s="4415"/>
      <c r="W6" s="4416"/>
      <c r="X6" s="4416"/>
      <c r="Y6" s="4416"/>
      <c r="Z6" s="4416"/>
      <c r="AA6" s="4416"/>
      <c r="AB6" s="4417"/>
      <c r="AC6" s="4418"/>
      <c r="AD6" s="4425" t="str">
        <f>IF(File_Marr_Joint="","","You")</f>
        <v/>
      </c>
      <c r="AE6" s="4416"/>
      <c r="AF6" s="4422"/>
      <c r="AG6" s="4425" t="str">
        <f>IF(File_Marr_Joint="","","Spouse")</f>
        <v/>
      </c>
      <c r="AH6" s="4423">
        <v>61</v>
      </c>
      <c r="AI6" s="1601">
        <v>4160</v>
      </c>
    </row>
    <row r="7" spans="1:36">
      <c r="A7" s="635"/>
      <c r="B7" s="2384" t="s">
        <v>3224</v>
      </c>
      <c r="C7" s="1732"/>
      <c r="D7" s="1408"/>
      <c r="E7" s="1408"/>
      <c r="F7" s="1408"/>
      <c r="G7" s="1408"/>
      <c r="H7" s="1408"/>
      <c r="I7" s="1408"/>
      <c r="J7" s="1408"/>
      <c r="K7" s="1408"/>
      <c r="L7" s="1877"/>
      <c r="M7" s="635"/>
      <c r="N7" s="2384" t="s">
        <v>3833</v>
      </c>
      <c r="O7" s="1877"/>
      <c r="P7" s="635"/>
      <c r="U7" s="1737"/>
      <c r="V7" s="1563"/>
      <c r="W7" s="1563"/>
      <c r="X7" s="1563"/>
      <c r="Y7" s="1563"/>
      <c r="Z7" s="1563"/>
      <c r="AA7" s="1563"/>
      <c r="AB7" s="1563"/>
      <c r="AC7" s="1563"/>
      <c r="AD7" s="1563"/>
      <c r="AE7" s="1563"/>
      <c r="AF7" s="1563"/>
      <c r="AG7" s="1563"/>
      <c r="AH7" s="4424">
        <v>71</v>
      </c>
      <c r="AI7" s="1601">
        <v>5200</v>
      </c>
    </row>
    <row r="8" spans="1:36" ht="12.75" customHeight="1" thickBot="1">
      <c r="A8" s="635"/>
      <c r="B8" s="2093"/>
      <c r="C8" s="1612"/>
      <c r="D8" s="1882"/>
      <c r="E8" s="1882"/>
      <c r="F8" s="1882"/>
      <c r="G8" s="1882"/>
      <c r="H8" s="1882"/>
      <c r="I8" s="1882"/>
      <c r="J8" s="1882"/>
      <c r="K8" s="1882"/>
      <c r="L8" s="1883"/>
      <c r="M8" s="635"/>
      <c r="N8" s="2093"/>
      <c r="O8" s="1883"/>
      <c r="P8" s="635"/>
      <c r="U8" s="2600" t="s">
        <v>336</v>
      </c>
      <c r="V8" s="1918" t="s">
        <v>3826</v>
      </c>
      <c r="W8" s="1563"/>
      <c r="X8" s="1563"/>
      <c r="Y8" s="1563"/>
      <c r="Z8" s="1563"/>
      <c r="AA8" s="1563"/>
      <c r="AB8" s="1563"/>
      <c r="AC8" s="4419" t="str">
        <f>IF(File_Marr_Joint="","1.","1a.")</f>
        <v>1.</v>
      </c>
      <c r="AD8" s="4409"/>
      <c r="AE8" s="1563"/>
      <c r="AF8" s="4419" t="str">
        <f>IF(File_Marr_Joint="","","1b.")</f>
        <v/>
      </c>
      <c r="AG8" s="4409"/>
      <c r="AH8" s="1564"/>
    </row>
    <row r="9" spans="1:36" ht="13.5" customHeight="1">
      <c r="A9" s="635"/>
      <c r="B9" s="635"/>
      <c r="C9" s="635"/>
      <c r="D9" s="635"/>
      <c r="E9" s="635"/>
      <c r="F9" s="635"/>
      <c r="G9" s="635"/>
      <c r="H9" s="635"/>
      <c r="I9" s="635"/>
      <c r="J9" s="635"/>
      <c r="K9" s="635"/>
      <c r="L9" s="635"/>
      <c r="M9" s="635"/>
      <c r="N9" s="693"/>
      <c r="O9" s="635"/>
      <c r="P9" s="635"/>
      <c r="U9" s="1737"/>
      <c r="V9" s="1563"/>
      <c r="W9" s="1563"/>
      <c r="X9" s="1563"/>
      <c r="Y9" s="1563"/>
      <c r="Z9" s="1563"/>
      <c r="AA9" s="1563"/>
      <c r="AB9" s="1563"/>
      <c r="AC9" s="1563"/>
      <c r="AD9" s="1563"/>
      <c r="AE9" s="1563"/>
      <c r="AF9" s="1563"/>
      <c r="AG9" s="1563"/>
      <c r="AH9" s="1564"/>
    </row>
    <row r="10" spans="1:36" ht="16.5" customHeight="1">
      <c r="A10" s="635"/>
      <c r="B10" s="344" t="s">
        <v>431</v>
      </c>
      <c r="C10" s="25"/>
      <c r="D10" s="3995"/>
      <c r="E10" s="3996"/>
      <c r="F10" s="3994"/>
      <c r="G10" s="3994"/>
      <c r="H10" s="3994"/>
      <c r="I10" s="3961" t="s">
        <v>430</v>
      </c>
      <c r="J10" s="3994"/>
      <c r="K10" s="3994"/>
      <c r="L10" s="3996"/>
      <c r="M10" s="3996"/>
      <c r="N10" s="5865" t="s">
        <v>169</v>
      </c>
      <c r="O10" s="5866"/>
      <c r="P10" s="693"/>
      <c r="Q10" s="1070" t="b">
        <f>IF(OR(ItemizeAnyway,AND(Tot_Item_Deduct&lt;&gt;0,Tot_Item_Deduct&gt;Standard)),TRUE,FALSE)</f>
        <v>0</v>
      </c>
      <c r="R10" s="277"/>
      <c r="U10" s="2600" t="s">
        <v>0</v>
      </c>
      <c r="V10" s="1918" t="s">
        <v>3827</v>
      </c>
      <c r="W10" s="1563"/>
      <c r="X10" s="1563"/>
      <c r="Y10" s="1563"/>
      <c r="Z10" s="1563"/>
      <c r="AA10" s="1563"/>
      <c r="AB10" s="1563"/>
      <c r="AC10" s="4419" t="str">
        <f>IF(File_Marr_Joint="","2.","2a.")</f>
        <v>2.</v>
      </c>
      <c r="AD10" s="4410" t="str">
        <f>IF(YourAge="?","Birthdate needed.",LOOKUP(YourAge,AH2:AH7,AI2:AI7))</f>
        <v>Birthdate needed.</v>
      </c>
      <c r="AE10" s="1563"/>
      <c r="AF10" s="4419" t="str">
        <f>IF(File_Marr_Joint="","","2b.")</f>
        <v/>
      </c>
      <c r="AG10" s="4410" t="str">
        <f>IF(File_Marr_Joint="","",IF(SpouseAge="?","Birthdate needed.",LOOKUP(SpouseAge,AH2:AH7,AI2:AI7)))</f>
        <v/>
      </c>
      <c r="AH10" s="1564"/>
    </row>
    <row r="11" spans="1:36" ht="18.75" customHeight="1">
      <c r="A11" s="635"/>
      <c r="B11" s="3317" t="s">
        <v>201</v>
      </c>
      <c r="C11" s="23"/>
      <c r="D11" s="5873" t="s">
        <v>3183</v>
      </c>
      <c r="E11" s="5874"/>
      <c r="F11" s="5874"/>
      <c r="G11" s="5874"/>
      <c r="H11" s="5874"/>
      <c r="I11" s="5874"/>
      <c r="J11" s="5874"/>
      <c r="K11" s="5874"/>
      <c r="L11" s="5874"/>
      <c r="M11" s="5875"/>
      <c r="N11" s="5871">
        <f>TaxYear</f>
        <v>2018</v>
      </c>
      <c r="O11" s="5872"/>
      <c r="P11" s="693"/>
      <c r="Q11" s="1057"/>
      <c r="R11" s="277"/>
      <c r="U11" s="1737"/>
      <c r="V11" s="1563"/>
      <c r="W11" s="1563"/>
      <c r="X11" s="1563"/>
      <c r="Y11" s="1563"/>
      <c r="Z11" s="1563"/>
      <c r="AA11" s="1563"/>
      <c r="AB11" s="1563"/>
      <c r="AC11" s="1563"/>
      <c r="AD11" s="1563"/>
      <c r="AE11" s="1563"/>
      <c r="AF11" s="1563"/>
      <c r="AG11" s="1563"/>
      <c r="AH11" s="1564"/>
    </row>
    <row r="12" spans="1:36" ht="10.5" customHeight="1">
      <c r="A12" s="635"/>
      <c r="B12" s="143" t="s">
        <v>202</v>
      </c>
      <c r="C12" s="3322"/>
      <c r="D12" s="5876" t="s">
        <v>2658</v>
      </c>
      <c r="E12" s="5877"/>
      <c r="F12" s="5877"/>
      <c r="G12" s="5877"/>
      <c r="H12" s="5877"/>
      <c r="I12" s="5877"/>
      <c r="J12" s="5877"/>
      <c r="K12" s="5877"/>
      <c r="L12" s="5877"/>
      <c r="M12" s="5878"/>
      <c r="N12" s="3318"/>
      <c r="O12" s="144" t="s">
        <v>203</v>
      </c>
      <c r="P12" s="693"/>
      <c r="Q12" s="1057"/>
      <c r="R12" s="277"/>
      <c r="U12" s="2600" t="s">
        <v>1</v>
      </c>
      <c r="V12" s="1918" t="str">
        <f>IF(File_Marr_Joint="","Enter the smaller of line 1 or line 2","Enter the smaller of 1.a or 2.a (and of 1.b or 2.b)")</f>
        <v>Enter the smaller of line 1 or line 2</v>
      </c>
      <c r="W12" s="4420"/>
      <c r="X12" s="4420"/>
      <c r="Y12" s="4420"/>
      <c r="Z12" s="4420"/>
      <c r="AA12" s="4420"/>
      <c r="AB12" s="4420"/>
      <c r="AC12" s="4419" t="str">
        <f>IF(File_Marr_Joint="","3.","3a.")</f>
        <v>3.</v>
      </c>
      <c r="AD12" s="4410">
        <f>IF(AD8="",0,MIN(AD8,AD10))</f>
        <v>0</v>
      </c>
      <c r="AE12" s="1563"/>
      <c r="AF12" s="4419" t="str">
        <f>IF(File_Marr_Joint="","","3b.")</f>
        <v/>
      </c>
      <c r="AG12" s="4410" t="str">
        <f>IF(File_Marr_Joint="","",IF(AG8="",0,MIN(AG8,AG10)))</f>
        <v/>
      </c>
      <c r="AH12" s="1564"/>
    </row>
    <row r="13" spans="1:36" ht="13.5" customHeight="1" thickBot="1">
      <c r="A13" s="635"/>
      <c r="B13" s="3319" t="s">
        <v>257</v>
      </c>
      <c r="C13" s="3323"/>
      <c r="D13" s="5879" t="s">
        <v>3184</v>
      </c>
      <c r="E13" s="5880"/>
      <c r="F13" s="5880"/>
      <c r="G13" s="5880"/>
      <c r="H13" s="5880"/>
      <c r="I13" s="5880"/>
      <c r="J13" s="5880"/>
      <c r="K13" s="5880"/>
      <c r="L13" s="5880"/>
      <c r="M13" s="5881"/>
      <c r="N13" s="3320"/>
      <c r="O13" s="3321" t="s">
        <v>97</v>
      </c>
      <c r="P13" s="693"/>
      <c r="Q13" s="1058" t="s">
        <v>100</v>
      </c>
      <c r="R13" s="277"/>
      <c r="U13" s="1737"/>
      <c r="V13" s="1563"/>
      <c r="W13" s="1563"/>
      <c r="X13" s="1563"/>
      <c r="Y13" s="1563"/>
      <c r="Z13" s="1563"/>
      <c r="AA13" s="1563"/>
      <c r="AB13" s="1563"/>
      <c r="AC13" s="1563"/>
      <c r="AD13" s="1563"/>
      <c r="AE13" s="1563"/>
      <c r="AF13" s="1563"/>
      <c r="AG13" s="1563"/>
      <c r="AH13" s="1564"/>
    </row>
    <row r="14" spans="1:36" ht="11.25" customHeight="1">
      <c r="A14" s="635"/>
      <c r="B14" s="21" t="s">
        <v>98</v>
      </c>
      <c r="C14" s="23"/>
      <c r="D14" s="146"/>
      <c r="E14" s="146"/>
      <c r="F14" s="146"/>
      <c r="G14" s="146"/>
      <c r="H14" s="146"/>
      <c r="I14" s="141"/>
      <c r="J14" s="141"/>
      <c r="K14" s="141"/>
      <c r="L14" s="141"/>
      <c r="M14" s="142"/>
      <c r="N14" s="5869" t="s">
        <v>99</v>
      </c>
      <c r="O14" s="5870"/>
      <c r="P14" s="693"/>
      <c r="Q14" s="1058" t="s">
        <v>101</v>
      </c>
      <c r="R14" s="277"/>
      <c r="U14" s="2600" t="s">
        <v>455</v>
      </c>
      <c r="V14" s="1918" t="str">
        <f>IF(File_Marr_Joint="","Enter amount from line 3.","Add lines 3a and 3b.")</f>
        <v>Enter amount from line 3.</v>
      </c>
      <c r="W14" s="1563"/>
      <c r="X14" s="1563"/>
      <c r="Y14" s="1563"/>
      <c r="Z14" s="1563"/>
      <c r="AA14" s="1563"/>
      <c r="AB14" s="1563"/>
      <c r="AC14" s="4419"/>
      <c r="AD14" s="4420"/>
      <c r="AE14" s="1563"/>
      <c r="AF14" s="4419" t="s">
        <v>455</v>
      </c>
      <c r="AG14" s="4410">
        <f>IF(AND(ISERROR(SUM(AD12,AG12)),File_Marr_Joint&lt;&gt;""),"",IF(File_Marr_Joint&lt;&gt;"",SUM(AD12,AG12),AD12))</f>
        <v>0</v>
      </c>
      <c r="AH14" s="1564"/>
      <c r="AJ14" s="3175"/>
    </row>
    <row r="15" spans="1:36" ht="14.25" customHeight="1">
      <c r="A15" s="635"/>
      <c r="B15" s="5882" t="str">
        <f>Names</f>
        <v/>
      </c>
      <c r="C15" s="5882"/>
      <c r="D15" s="5882"/>
      <c r="E15" s="5882"/>
      <c r="F15" s="5882"/>
      <c r="G15" s="5882"/>
      <c r="H15" s="5882"/>
      <c r="I15" s="5882"/>
      <c r="J15" s="5882"/>
      <c r="K15" s="5882"/>
      <c r="L15" s="5882"/>
      <c r="M15" s="5883"/>
      <c r="N15" s="5867">
        <f>IF(NoSSN,"",SS_Yours)</f>
        <v>0</v>
      </c>
      <c r="O15" s="5868"/>
      <c r="P15" s="693"/>
      <c r="Q15" s="1058" t="s">
        <v>103</v>
      </c>
      <c r="R15" s="277"/>
      <c r="U15" s="1737"/>
      <c r="V15" s="1563"/>
      <c r="W15" s="1563"/>
      <c r="X15" s="1563"/>
      <c r="Y15" s="1563"/>
      <c r="Z15" s="1563"/>
      <c r="AA15" s="1563"/>
      <c r="AB15" s="1563"/>
      <c r="AC15" s="1563"/>
      <c r="AD15" s="1563"/>
      <c r="AE15" s="1563"/>
      <c r="AF15" s="1563"/>
      <c r="AG15" s="1563"/>
      <c r="AH15" s="1564"/>
      <c r="AJ15" s="3175"/>
    </row>
    <row r="16" spans="1:36" ht="15.75" thickBot="1">
      <c r="A16" s="635"/>
      <c r="B16" s="344" t="s">
        <v>134</v>
      </c>
      <c r="C16" s="23"/>
      <c r="D16" s="168" t="s">
        <v>298</v>
      </c>
      <c r="E16" s="168"/>
      <c r="F16" s="168"/>
      <c r="G16" s="168"/>
      <c r="H16" s="168"/>
      <c r="I16" s="141"/>
      <c r="J16" s="141"/>
      <c r="K16" s="3965"/>
      <c r="L16" s="3974"/>
      <c r="M16" s="142"/>
      <c r="N16" s="3974"/>
      <c r="O16" s="148"/>
      <c r="P16" s="693"/>
      <c r="Q16" s="1059"/>
      <c r="R16" s="277"/>
      <c r="U16" s="2600" t="s">
        <v>35</v>
      </c>
      <c r="V16" s="1918" t="s">
        <v>3830</v>
      </c>
      <c r="W16" s="1563"/>
      <c r="X16" s="1563"/>
      <c r="Y16" s="1563"/>
      <c r="Z16" s="1563"/>
      <c r="AA16" s="1563"/>
      <c r="AB16" s="1563"/>
      <c r="AC16" s="4419"/>
      <c r="AD16" s="4420"/>
      <c r="AE16" s="1563"/>
      <c r="AF16" s="4419" t="s">
        <v>35</v>
      </c>
      <c r="AG16" s="4409"/>
      <c r="AH16" s="1564"/>
      <c r="AJ16" s="3175"/>
    </row>
    <row r="17" spans="1:37" ht="15.75" thickBot="1">
      <c r="A17" s="635"/>
      <c r="B17" s="344" t="s">
        <v>299</v>
      </c>
      <c r="C17" s="23">
        <v>1</v>
      </c>
      <c r="D17" s="171" t="s">
        <v>606</v>
      </c>
      <c r="E17" s="171"/>
      <c r="F17" s="171"/>
      <c r="G17" s="171"/>
      <c r="H17" s="171"/>
      <c r="I17" s="23"/>
      <c r="J17" s="614"/>
      <c r="K17" s="614" t="s">
        <v>448</v>
      </c>
      <c r="L17" s="343">
        <v>1</v>
      </c>
      <c r="M17" s="1742">
        <f>IF(Q17&lt;&gt;"",ROUND(Q17,0),AG18)</f>
        <v>0</v>
      </c>
      <c r="N17" s="3975"/>
      <c r="O17" s="3983">
        <v>5000</v>
      </c>
      <c r="P17" s="693"/>
      <c r="Q17" s="1060"/>
      <c r="R17" s="277"/>
      <c r="U17" s="1737"/>
      <c r="V17" s="1563"/>
      <c r="W17" s="1563"/>
      <c r="X17" s="1563"/>
      <c r="Y17" s="1563"/>
      <c r="Z17" s="1563"/>
      <c r="AA17" s="1563"/>
      <c r="AB17" s="1563"/>
      <c r="AC17" s="1563"/>
      <c r="AD17" s="1563"/>
      <c r="AE17" s="1563"/>
      <c r="AF17" s="1563"/>
      <c r="AG17" s="1563"/>
      <c r="AH17" s="1564"/>
      <c r="AJ17" s="3175"/>
    </row>
    <row r="18" spans="1:37" ht="14.25" customHeight="1">
      <c r="A18" s="635"/>
      <c r="B18" s="344" t="s">
        <v>139</v>
      </c>
      <c r="C18" s="23">
        <v>2</v>
      </c>
      <c r="D18" s="171" t="str">
        <f>"Enter amount from Form 1040, line 7"</f>
        <v>Enter amount from Form 1040, line 7</v>
      </c>
      <c r="E18" s="279"/>
      <c r="F18" s="279"/>
      <c r="G18" s="279"/>
      <c r="H18" s="279"/>
      <c r="I18" s="149">
        <v>2</v>
      </c>
      <c r="J18" s="5884">
        <f>Adj_Gross_Inc</f>
        <v>0</v>
      </c>
      <c r="K18" s="5885"/>
      <c r="L18" s="3974"/>
      <c r="M18" s="19"/>
      <c r="N18" s="3985"/>
      <c r="O18" s="3983">
        <v>10000</v>
      </c>
      <c r="P18" s="693"/>
      <c r="Q18" s="1059"/>
      <c r="R18" s="277"/>
      <c r="S18" s="1642"/>
      <c r="U18" s="2600" t="s">
        <v>75</v>
      </c>
      <c r="V18" s="1918" t="s">
        <v>3828</v>
      </c>
      <c r="W18" s="1563"/>
      <c r="X18" s="1563"/>
      <c r="Y18" s="1563"/>
      <c r="Z18" s="1563"/>
      <c r="AA18" s="1563"/>
      <c r="AB18" s="1563"/>
      <c r="AC18" s="4419"/>
      <c r="AD18" s="4420"/>
      <c r="AE18" s="1563"/>
      <c r="AF18" s="4419" t="s">
        <v>75</v>
      </c>
      <c r="AG18" s="4410">
        <f>ROUND(SUM(AG14,AG16),0)</f>
        <v>0</v>
      </c>
      <c r="AH18" s="1564"/>
      <c r="AJ18" s="3175"/>
    </row>
    <row r="19" spans="1:37" ht="15.75" thickBot="1">
      <c r="A19" s="635"/>
      <c r="B19" s="344" t="s">
        <v>44</v>
      </c>
      <c r="C19" s="23">
        <v>3</v>
      </c>
      <c r="D19" s="171" t="str">
        <f>"Multiply line 2 above by "&amp;TEXT(O19,"0.0%")&amp;" ("&amp;TEXT(O19,"0.000")&amp;")"</f>
        <v>Multiply line 2 above by 7.5% (0.075)</v>
      </c>
      <c r="E19" s="171"/>
      <c r="F19" s="171"/>
      <c r="G19" s="171"/>
      <c r="H19" s="171"/>
      <c r="I19" s="23"/>
      <c r="J19" s="614"/>
      <c r="K19" s="614" t="s">
        <v>681</v>
      </c>
      <c r="L19" s="343">
        <v>3</v>
      </c>
      <c r="M19" s="1742" t="str">
        <f>IF(AND(J18&lt;&gt;0,J18&lt;&gt;""),J18*O19,"")</f>
        <v/>
      </c>
      <c r="N19" s="3975"/>
      <c r="O19" s="3984">
        <v>7.4999999999999997E-2</v>
      </c>
      <c r="P19" s="693"/>
      <c r="Q19" s="1059"/>
      <c r="R19" s="277"/>
      <c r="U19" s="4421"/>
      <c r="V19" s="1574"/>
      <c r="W19" s="1574"/>
      <c r="X19" s="1574"/>
      <c r="Y19" s="1574"/>
      <c r="Z19" s="1574"/>
      <c r="AA19" s="1574"/>
      <c r="AB19" s="1574"/>
      <c r="AC19" s="1574"/>
      <c r="AD19" s="1574"/>
      <c r="AE19" s="1574"/>
      <c r="AF19" s="1574"/>
      <c r="AG19" s="1574"/>
      <c r="AH19" s="1741"/>
    </row>
    <row r="20" spans="1:37" ht="13.5" thickBot="1">
      <c r="A20" s="635"/>
      <c r="B20" s="16"/>
      <c r="C20" s="16">
        <v>4</v>
      </c>
      <c r="D20" s="257" t="s">
        <v>2659</v>
      </c>
      <c r="E20" s="257"/>
      <c r="F20" s="257"/>
      <c r="G20" s="257"/>
      <c r="H20" s="257"/>
      <c r="I20" s="17"/>
      <c r="J20" s="17"/>
      <c r="K20" s="3972"/>
      <c r="L20" s="17"/>
      <c r="M20" s="989" t="s">
        <v>681</v>
      </c>
      <c r="N20" s="342">
        <v>4</v>
      </c>
      <c r="O20" s="1677" t="str">
        <f>IF(Q20&lt;&gt;"",Q20,IF(OR(J18=0,J18=""),"",IF(M19&lt;0, M17,IF(M19&gt;M17,0,ROUND(M17-M19,0)))))</f>
        <v/>
      </c>
      <c r="P20" s="693"/>
      <c r="Q20" s="1060"/>
      <c r="R20" s="277"/>
    </row>
    <row r="21" spans="1:37" ht="15" customHeight="1">
      <c r="A21" s="635"/>
      <c r="B21" s="344" t="s">
        <v>19</v>
      </c>
      <c r="C21" s="23">
        <v>5</v>
      </c>
      <c r="D21" s="171" t="s">
        <v>3185</v>
      </c>
      <c r="E21" s="171"/>
      <c r="F21" s="171"/>
      <c r="G21" s="171"/>
      <c r="H21" s="171"/>
      <c r="I21" s="23"/>
      <c r="J21" s="925"/>
      <c r="K21" s="3967"/>
      <c r="L21" s="693"/>
      <c r="M21" s="3973"/>
      <c r="N21" s="693"/>
      <c r="O21" s="5151">
        <f>ROUND(SUM(StateTaxW2,LocalTaxW2,StateTax_INT,StateTax_DIV,StateTaxIRA,LocalTaxIRA,StateTaxPA,LocalTaxPA),0)</f>
        <v>0</v>
      </c>
      <c r="P21" s="693"/>
      <c r="Q21" s="1059"/>
      <c r="R21" s="277"/>
      <c r="U21" s="1734"/>
      <c r="V21" s="2601" t="s">
        <v>2164</v>
      </c>
      <c r="W21" s="1605"/>
      <c r="X21" s="1605"/>
      <c r="Y21" s="1605"/>
      <c r="Z21" s="1605"/>
      <c r="AA21" s="1605"/>
      <c r="AB21" s="1605"/>
      <c r="AC21" s="1605"/>
      <c r="AD21" s="5898" t="s">
        <v>200</v>
      </c>
      <c r="AE21" s="5898"/>
      <c r="AF21" s="5898"/>
      <c r="AG21" s="5898"/>
      <c r="AH21" s="1606"/>
    </row>
    <row r="22" spans="1:37" ht="12.75" customHeight="1" thickBot="1">
      <c r="A22" s="635"/>
      <c r="B22" s="638" t="s">
        <v>301</v>
      </c>
      <c r="C22" s="23"/>
      <c r="D22" s="253" t="s">
        <v>38</v>
      </c>
      <c r="E22" s="280" t="s">
        <v>3186</v>
      </c>
      <c r="F22" s="2269"/>
      <c r="G22" s="171"/>
      <c r="H22" s="171"/>
      <c r="I22" s="23"/>
      <c r="J22" s="499"/>
      <c r="K22" s="3968"/>
      <c r="L22" s="3975"/>
      <c r="M22" s="3973"/>
      <c r="N22" s="3975"/>
      <c r="O22" s="5152">
        <f>IF(File_Marr_Sep&lt;&gt;"",$O$17,$O$18)</f>
        <v>10000</v>
      </c>
      <c r="P22" s="693"/>
      <c r="Q22" s="1112" t="s">
        <v>673</v>
      </c>
      <c r="R22" s="277"/>
      <c r="U22" s="4909" t="s">
        <v>2162</v>
      </c>
      <c r="V22" s="1443"/>
      <c r="W22" s="1443"/>
      <c r="X22" s="1443"/>
      <c r="Y22" s="1443"/>
      <c r="Z22" s="1443"/>
      <c r="AA22" s="1443"/>
      <c r="AB22" s="1443"/>
      <c r="AC22" s="1443"/>
      <c r="AD22" s="5899"/>
      <c r="AE22" s="5899"/>
      <c r="AF22" s="5899"/>
      <c r="AG22" s="5899"/>
      <c r="AH22" s="1554"/>
    </row>
    <row r="23" spans="1:37" ht="12.75" customHeight="1" thickBot="1">
      <c r="A23" s="635"/>
      <c r="B23" s="638"/>
      <c r="C23" s="23"/>
      <c r="D23" s="23"/>
      <c r="E23" s="171" t="s">
        <v>3187</v>
      </c>
      <c r="F23" s="168"/>
      <c r="G23" s="168"/>
      <c r="H23" s="168"/>
      <c r="I23" s="23"/>
      <c r="J23" s="614"/>
      <c r="K23" s="3968"/>
      <c r="L23" s="3975"/>
      <c r="M23" s="3973"/>
      <c r="N23" s="3975"/>
      <c r="O23" s="3324"/>
      <c r="P23" s="693"/>
      <c r="Q23" s="1060"/>
      <c r="R23" s="277"/>
      <c r="U23" s="1733"/>
      <c r="V23" s="1612"/>
      <c r="W23" s="1612"/>
      <c r="X23" s="1612"/>
      <c r="Y23" s="1612"/>
      <c r="Z23" s="1612"/>
      <c r="AA23" s="1612"/>
      <c r="AB23" s="1612"/>
      <c r="AC23" s="1612"/>
      <c r="AD23" s="1612"/>
      <c r="AE23" s="1612"/>
      <c r="AF23" s="1612"/>
      <c r="AG23" s="1612"/>
      <c r="AH23" s="1613"/>
    </row>
    <row r="24" spans="1:37" ht="12.75" customHeight="1" thickBot="1">
      <c r="A24" s="635"/>
      <c r="B24" s="638"/>
      <c r="C24" s="23"/>
      <c r="D24" s="23"/>
      <c r="E24" s="171" t="s">
        <v>3188</v>
      </c>
      <c r="F24" s="168"/>
      <c r="G24" s="168"/>
      <c r="H24" s="168"/>
      <c r="I24" s="23"/>
      <c r="J24" s="614"/>
      <c r="K24" s="3968"/>
      <c r="L24" s="3976"/>
      <c r="M24" s="3973"/>
      <c r="N24" s="3975"/>
      <c r="O24" s="3628"/>
      <c r="P24" s="693"/>
      <c r="Q24" s="1059"/>
      <c r="R24" s="277"/>
      <c r="U24" s="1737"/>
      <c r="V24" s="1563"/>
      <c r="W24" s="1563"/>
      <c r="X24" s="1563"/>
      <c r="Y24" s="1563"/>
      <c r="Z24" s="1563"/>
      <c r="AA24" s="1563"/>
      <c r="AB24" s="1563"/>
      <c r="AC24" s="1563"/>
      <c r="AD24" s="1738"/>
      <c r="AE24" s="1738"/>
      <c r="AF24" s="1563"/>
      <c r="AG24" s="1563"/>
      <c r="AH24" s="1564"/>
    </row>
    <row r="25" spans="1:37" ht="12.75" customHeight="1" thickBot="1">
      <c r="A25" s="635"/>
      <c r="B25" s="21"/>
      <c r="C25" s="23"/>
      <c r="D25" s="23"/>
      <c r="E25" s="171" t="s">
        <v>3201</v>
      </c>
      <c r="F25" s="2269"/>
      <c r="G25" s="171"/>
      <c r="H25" s="171"/>
      <c r="I25" s="23"/>
      <c r="J25" s="614" t="s">
        <v>2426</v>
      </c>
      <c r="K25" s="1669"/>
      <c r="L25" s="342" t="s">
        <v>417</v>
      </c>
      <c r="M25" s="3960" t="str">
        <f>IF(AND(O25,Q23&lt;&gt;""),Q23,IF(O25,SUM(O21,AG38),IF(K25="X",Q25,"")))</f>
        <v/>
      </c>
      <c r="N25" s="3975"/>
      <c r="O25" s="3977" t="b">
        <f>IF(K25&lt;&gt;"",FALSE,IF(OR(O21&lt;&gt;0,Q23&lt;&gt;"",AG38&gt;0),TRUE,FALSE))</f>
        <v>0</v>
      </c>
      <c r="P25" s="693"/>
      <c r="Q25" s="1060"/>
      <c r="R25" s="277"/>
      <c r="S25" s="5147">
        <f>IF(Q23&lt;&gt;"",ROUND(Q23,0),SUM(O21,AG38))</f>
        <v>0</v>
      </c>
      <c r="U25" s="1737" t="s">
        <v>336</v>
      </c>
      <c r="V25" s="1918" t="str">
        <f>"Enter State and local income taxes paid in "&amp;TaxYear&amp;" for a prior year, such as taxes paid with your "&amp;TaxYear-1&amp;" state or"</f>
        <v>Enter State and local income taxes paid in 2018 for a prior year, such as taxes paid with your 2017 state or</v>
      </c>
      <c r="W25" s="1563"/>
      <c r="X25" s="1563"/>
      <c r="Y25" s="1563"/>
      <c r="Z25" s="1563"/>
      <c r="AA25" s="1563"/>
      <c r="AB25" s="1563"/>
      <c r="AC25" s="1563"/>
      <c r="AD25" s="1738"/>
      <c r="AE25" s="1738"/>
      <c r="AF25" s="1563"/>
      <c r="AG25" s="1563"/>
      <c r="AH25" s="1564"/>
    </row>
    <row r="26" spans="1:37" ht="13.5" customHeight="1">
      <c r="A26" s="635"/>
      <c r="B26" s="21"/>
      <c r="C26" s="23"/>
      <c r="D26" s="253" t="s">
        <v>54</v>
      </c>
      <c r="E26" s="171" t="s">
        <v>3189</v>
      </c>
      <c r="F26" s="171"/>
      <c r="G26" s="171"/>
      <c r="H26" s="171"/>
      <c r="I26" s="23"/>
      <c r="J26" s="614"/>
      <c r="K26" s="614" t="s">
        <v>3235</v>
      </c>
      <c r="L26" s="342" t="s">
        <v>418</v>
      </c>
      <c r="M26" s="1499"/>
      <c r="N26" s="3975"/>
      <c r="O26" s="5153">
        <f>IF(M25="",0,ROUND(M25,0))</f>
        <v>0</v>
      </c>
      <c r="P26" s="693"/>
      <c r="Q26" s="1552" t="s">
        <v>929</v>
      </c>
      <c r="R26" s="277"/>
      <c r="U26" s="1737"/>
      <c r="V26" s="1918" t="s">
        <v>2163</v>
      </c>
      <c r="W26" s="1563"/>
      <c r="X26" s="1563"/>
      <c r="Y26" s="1563"/>
      <c r="Z26" s="1563"/>
      <c r="AA26" s="1563"/>
      <c r="AB26" s="1563"/>
      <c r="AC26" s="1563"/>
      <c r="AD26" s="1738"/>
      <c r="AE26" s="1738"/>
      <c r="AF26" s="1563"/>
      <c r="AG26" s="2602"/>
      <c r="AH26" s="1564"/>
      <c r="AK26" s="3175"/>
    </row>
    <row r="27" spans="1:37" ht="12.75" customHeight="1">
      <c r="A27" s="635"/>
      <c r="B27" s="21"/>
      <c r="C27" s="23"/>
      <c r="D27" s="253" t="s">
        <v>55</v>
      </c>
      <c r="E27" s="171" t="s">
        <v>3190</v>
      </c>
      <c r="F27" s="171"/>
      <c r="G27" s="171"/>
      <c r="H27" s="171"/>
      <c r="I27" s="23"/>
      <c r="J27" s="23"/>
      <c r="K27" s="614" t="s">
        <v>3239</v>
      </c>
      <c r="L27" s="342" t="s">
        <v>1177</v>
      </c>
      <c r="M27" s="1499"/>
      <c r="N27" s="3975"/>
      <c r="O27" s="5153">
        <f>ROUND(M26,0)</f>
        <v>0</v>
      </c>
      <c r="P27" s="693"/>
      <c r="Q27" s="1059"/>
      <c r="R27" s="277"/>
      <c r="U27" s="1737"/>
      <c r="V27" s="1563"/>
      <c r="W27" s="1563"/>
      <c r="X27" s="1563"/>
      <c r="Y27" s="1563"/>
      <c r="Z27" s="1563"/>
      <c r="AA27" s="1563"/>
      <c r="AB27" s="1563"/>
      <c r="AC27" s="1563"/>
      <c r="AD27" s="1738"/>
      <c r="AE27" s="1738"/>
      <c r="AF27" s="1563"/>
      <c r="AG27" s="1563"/>
      <c r="AH27" s="1564"/>
    </row>
    <row r="28" spans="1:37" ht="12.75" customHeight="1">
      <c r="A28" s="635"/>
      <c r="B28" s="21"/>
      <c r="C28" s="23"/>
      <c r="D28" s="253" t="s">
        <v>102</v>
      </c>
      <c r="E28" s="171" t="s">
        <v>3191</v>
      </c>
      <c r="F28" s="171"/>
      <c r="G28" s="171"/>
      <c r="H28" s="171"/>
      <c r="I28" s="23"/>
      <c r="J28" s="23"/>
      <c r="K28" s="614" t="s">
        <v>4143</v>
      </c>
      <c r="L28" s="342" t="s">
        <v>1097</v>
      </c>
      <c r="M28" s="3978">
        <f>SUM(O26:O28)</f>
        <v>0</v>
      </c>
      <c r="N28" s="3975"/>
      <c r="O28" s="5153">
        <f>ROUND(M27,0)</f>
        <v>0</v>
      </c>
      <c r="P28" s="693"/>
      <c r="Q28" s="1059"/>
      <c r="R28" s="277"/>
      <c r="U28" s="1565" t="s">
        <v>0</v>
      </c>
      <c r="V28" s="1918" t="str">
        <f>"State and local estimated tax payments made during "&amp;TaxYear&amp;", including any part of a prior year refund that you"</f>
        <v>State and local estimated tax payments made during 2018, including any part of a prior year refund that you</v>
      </c>
      <c r="W28" s="1563"/>
      <c r="X28" s="1563"/>
      <c r="Y28" s="1563"/>
      <c r="Z28" s="1563"/>
      <c r="AA28" s="1563"/>
      <c r="AB28" s="1563"/>
      <c r="AC28" s="1563"/>
      <c r="AD28" s="1738"/>
      <c r="AE28" s="1738"/>
      <c r="AF28" s="1563"/>
      <c r="AG28" s="1563"/>
      <c r="AH28" s="1564"/>
    </row>
    <row r="29" spans="1:37" ht="12.75" customHeight="1" thickBot="1">
      <c r="A29" s="635"/>
      <c r="B29" s="21"/>
      <c r="C29" s="23"/>
      <c r="D29" s="253" t="s">
        <v>1201</v>
      </c>
      <c r="E29" s="171" t="str">
        <f>"Enter the smaller of line 5d or "&amp;TEXT($O$18,"$0,000")&amp;" ("&amp;TEXT(O17,"$0,000")&amp;" if married filing"</f>
        <v>Enter the smaller of line 5d or $10,000 ($5,000 if married filing</v>
      </c>
      <c r="F29" s="171"/>
      <c r="G29" s="171"/>
      <c r="H29" s="171"/>
      <c r="I29" s="23"/>
      <c r="J29" s="23"/>
      <c r="K29" s="614"/>
      <c r="L29" s="3976"/>
      <c r="M29" s="278"/>
      <c r="N29" s="3975"/>
      <c r="O29" s="3629"/>
      <c r="P29" s="693"/>
      <c r="Q29" s="1059"/>
      <c r="R29" s="277"/>
      <c r="U29" s="1737"/>
      <c r="V29" s="1918" t="str">
        <f>"chose to have credited to your "&amp;TaxYear&amp;" state or local income taxes."</f>
        <v>chose to have credited to your 2018 state or local income taxes.</v>
      </c>
      <c r="W29" s="1563"/>
      <c r="X29" s="1563"/>
      <c r="Y29" s="1563"/>
      <c r="Z29" s="1563"/>
      <c r="AA29" s="1563"/>
      <c r="AB29" s="1563"/>
      <c r="AC29" s="1563"/>
      <c r="AD29" s="1738"/>
      <c r="AE29" s="1738"/>
      <c r="AF29" s="1563"/>
      <c r="AG29" s="2602"/>
      <c r="AH29" s="1564"/>
    </row>
    <row r="30" spans="1:37" ht="12.75" customHeight="1" thickBot="1">
      <c r="A30" s="635"/>
      <c r="B30" s="21"/>
      <c r="C30" s="23"/>
      <c r="D30" s="253"/>
      <c r="E30" s="171" t="s">
        <v>3192</v>
      </c>
      <c r="F30" s="171"/>
      <c r="G30" s="171"/>
      <c r="H30" s="171"/>
      <c r="I30" s="23"/>
      <c r="J30" s="23"/>
      <c r="K30" s="614" t="s">
        <v>717</v>
      </c>
      <c r="L30" s="342" t="s">
        <v>3193</v>
      </c>
      <c r="M30" s="3960">
        <f>IF(Q30&lt;&gt;"",ROUND(Q30,0),MIN(M28,O22))</f>
        <v>0</v>
      </c>
      <c r="N30" s="3975"/>
      <c r="O30" s="3629"/>
      <c r="P30" s="693"/>
      <c r="Q30" s="1060"/>
      <c r="R30" s="277"/>
      <c r="S30" s="1701"/>
      <c r="U30" s="1737"/>
      <c r="V30" s="1563"/>
      <c r="W30" s="1563"/>
      <c r="X30" s="1563"/>
      <c r="Y30" s="1563"/>
      <c r="Z30" s="1563"/>
      <c r="AA30" s="1563"/>
      <c r="AB30" s="1563"/>
      <c r="AC30" s="1563"/>
      <c r="AD30" s="1738"/>
      <c r="AE30" s="1738"/>
      <c r="AF30" s="1563"/>
      <c r="AG30" s="1563"/>
      <c r="AH30" s="1564"/>
    </row>
    <row r="31" spans="1:37" ht="13.5" customHeight="1" thickBot="1">
      <c r="A31" s="635"/>
      <c r="B31" s="21"/>
      <c r="C31" s="23">
        <v>6</v>
      </c>
      <c r="D31" s="171" t="s">
        <v>2660</v>
      </c>
      <c r="E31" s="171"/>
      <c r="F31" s="171"/>
      <c r="G31" s="171"/>
      <c r="H31" s="171"/>
      <c r="I31" s="5886"/>
      <c r="J31" s="5887"/>
      <c r="K31" s="3967"/>
      <c r="L31" s="693"/>
      <c r="M31" s="278"/>
      <c r="N31" s="3975"/>
      <c r="O31" s="3629"/>
      <c r="P31" s="693"/>
      <c r="Q31" s="1059"/>
      <c r="R31" s="277"/>
      <c r="U31" s="2600" t="s">
        <v>1</v>
      </c>
      <c r="V31" s="1918" t="s">
        <v>4583</v>
      </c>
      <c r="W31" s="1563"/>
      <c r="X31" s="1563"/>
      <c r="Y31" s="1563"/>
      <c r="Z31" s="1563"/>
      <c r="AA31" s="1563"/>
      <c r="AB31" s="1563"/>
      <c r="AC31" s="1563"/>
      <c r="AD31" s="1738"/>
      <c r="AE31" s="1738"/>
      <c r="AF31" s="1563"/>
      <c r="AG31" s="1563"/>
      <c r="AH31" s="1564"/>
    </row>
    <row r="32" spans="1:37" ht="13.5" thickBot="1">
      <c r="A32" s="635"/>
      <c r="B32" s="21"/>
      <c r="C32" s="23"/>
      <c r="D32" s="5888"/>
      <c r="E32" s="5886"/>
      <c r="F32" s="5886"/>
      <c r="G32" s="5886"/>
      <c r="H32" s="5886"/>
      <c r="I32" s="5886"/>
      <c r="J32" s="5887"/>
      <c r="K32" s="3966"/>
      <c r="L32" s="342">
        <v>6</v>
      </c>
      <c r="M32" s="1499"/>
      <c r="N32" s="3975"/>
      <c r="O32" s="1676"/>
      <c r="P32" s="693"/>
      <c r="Q32" s="1060"/>
      <c r="R32" s="277"/>
      <c r="U32" s="2600"/>
      <c r="V32" s="1918" t="s">
        <v>2476</v>
      </c>
      <c r="W32" s="1563"/>
      <c r="X32" s="1563"/>
      <c r="Y32" s="1563"/>
      <c r="Z32" s="1563"/>
      <c r="AA32" s="1563"/>
      <c r="AB32" s="1563"/>
      <c r="AC32" s="1563"/>
      <c r="AD32" s="1738"/>
      <c r="AE32" s="1738"/>
      <c r="AF32" s="1563"/>
      <c r="AG32" s="2602"/>
      <c r="AH32" s="1564"/>
    </row>
    <row r="33" spans="1:34" ht="13.5" thickBot="1">
      <c r="A33" s="635"/>
      <c r="B33" s="16"/>
      <c r="C33" s="16">
        <v>7</v>
      </c>
      <c r="D33" s="257" t="s">
        <v>3195</v>
      </c>
      <c r="E33" s="257"/>
      <c r="F33" s="257"/>
      <c r="G33" s="257"/>
      <c r="H33" s="257"/>
      <c r="I33" s="17"/>
      <c r="J33" s="17"/>
      <c r="K33" s="3969"/>
      <c r="L33" s="17"/>
      <c r="M33" s="989" t="s">
        <v>628</v>
      </c>
      <c r="N33" s="343">
        <v>7</v>
      </c>
      <c r="O33" s="1677">
        <f>IF(Q33&lt;&gt;"",ROUND(Q33,0),SUM(M30,M32))</f>
        <v>0</v>
      </c>
      <c r="P33" s="693"/>
      <c r="Q33" s="1060"/>
      <c r="R33" s="277"/>
      <c r="U33" s="1737"/>
      <c r="V33" s="1563"/>
      <c r="W33" s="1563"/>
      <c r="X33" s="1563"/>
      <c r="Y33" s="1563"/>
      <c r="Z33" s="1563"/>
      <c r="AA33" s="1563"/>
      <c r="AB33" s="1563"/>
      <c r="AC33" s="1563"/>
      <c r="AD33" s="1738"/>
      <c r="AE33" s="1738"/>
      <c r="AF33" s="1563"/>
      <c r="AG33" s="1563"/>
      <c r="AH33" s="1564"/>
    </row>
    <row r="34" spans="1:34" ht="15">
      <c r="A34" s="635"/>
      <c r="B34" s="344" t="s">
        <v>3203</v>
      </c>
      <c r="C34" s="23">
        <v>8</v>
      </c>
      <c r="D34" s="225"/>
      <c r="E34" s="171" t="s">
        <v>3197</v>
      </c>
      <c r="F34" s="171"/>
      <c r="G34" s="171"/>
      <c r="H34" s="171"/>
      <c r="I34" s="23"/>
      <c r="J34" s="23"/>
      <c r="K34" s="3971"/>
      <c r="L34" s="693"/>
      <c r="M34" s="3982"/>
      <c r="N34" s="693"/>
      <c r="O34" s="20"/>
      <c r="P34" s="693"/>
      <c r="Q34" s="1059"/>
      <c r="R34" s="277"/>
      <c r="U34" s="2600" t="s">
        <v>455</v>
      </c>
      <c r="V34" s="1918" t="s">
        <v>4893</v>
      </c>
      <c r="W34" s="1563"/>
      <c r="X34" s="1563"/>
      <c r="Y34" s="1563"/>
      <c r="Z34" s="1563"/>
      <c r="AA34" s="1563"/>
      <c r="AB34" s="1563"/>
      <c r="AC34" s="1563"/>
      <c r="AD34" s="1738"/>
      <c r="AE34" s="1738"/>
      <c r="AF34" s="1563"/>
      <c r="AG34" s="1563"/>
      <c r="AH34" s="1564"/>
    </row>
    <row r="35" spans="1:34" ht="12.75" customHeight="1">
      <c r="A35" s="635"/>
      <c r="B35" s="344" t="s">
        <v>301</v>
      </c>
      <c r="C35" s="23"/>
      <c r="D35" s="171"/>
      <c r="E35" s="171" t="s">
        <v>3198</v>
      </c>
      <c r="F35" s="171"/>
      <c r="G35" s="171"/>
      <c r="H35" s="171"/>
      <c r="I35" s="23"/>
      <c r="J35" s="23"/>
      <c r="K35" s="3967"/>
      <c r="L35" s="3975"/>
      <c r="M35" s="1676"/>
      <c r="N35" s="3975"/>
      <c r="O35" s="5123"/>
      <c r="P35" s="693"/>
      <c r="Q35" s="1059"/>
      <c r="R35" s="277"/>
      <c r="S35" s="2069">
        <v>750000</v>
      </c>
      <c r="U35" s="2600"/>
      <c r="V35" s="1918" t="s">
        <v>4892</v>
      </c>
      <c r="W35" s="1563"/>
      <c r="X35" s="1563"/>
      <c r="Y35" s="1563"/>
      <c r="Z35" s="1563"/>
      <c r="AA35" s="1563"/>
      <c r="AB35" s="1563"/>
      <c r="AC35" s="1563"/>
      <c r="AD35" s="1738"/>
      <c r="AE35" s="1738"/>
      <c r="AF35" s="1563"/>
      <c r="AG35" s="5139">
        <f>F1099G_StateTaxWH</f>
        <v>0</v>
      </c>
      <c r="AH35" s="1564"/>
    </row>
    <row r="36" spans="1:34" ht="12.75" customHeight="1">
      <c r="A36" s="635"/>
      <c r="B36" s="21" t="s">
        <v>3208</v>
      </c>
      <c r="C36" s="23"/>
      <c r="D36" s="171"/>
      <c r="E36" s="171" t="s">
        <v>3199</v>
      </c>
      <c r="F36" s="171"/>
      <c r="G36" s="171"/>
      <c r="H36" s="171"/>
      <c r="I36" s="23"/>
      <c r="J36" s="614" t="s">
        <v>3530</v>
      </c>
      <c r="K36" s="1669"/>
      <c r="L36" s="3975"/>
      <c r="M36" s="1676"/>
      <c r="N36" s="3975"/>
      <c r="O36" s="5123"/>
      <c r="P36" s="693"/>
      <c r="Q36" s="1059"/>
      <c r="R36" s="277"/>
      <c r="S36" s="2069">
        <v>375000</v>
      </c>
      <c r="U36" s="1737"/>
      <c r="V36" s="1729"/>
      <c r="W36" s="1563"/>
      <c r="X36" s="1563"/>
      <c r="Y36" s="1563"/>
      <c r="Z36" s="1563"/>
      <c r="AA36" s="1563"/>
      <c r="AB36" s="1563"/>
      <c r="AC36" s="1563"/>
      <c r="AD36" s="1738"/>
      <c r="AE36" s="1738"/>
      <c r="AF36" s="1738"/>
      <c r="AG36" s="1738"/>
      <c r="AH36" s="1564"/>
    </row>
    <row r="37" spans="1:34" ht="12.75" customHeight="1">
      <c r="A37" s="635"/>
      <c r="B37" s="21" t="s">
        <v>3204</v>
      </c>
      <c r="C37" s="23"/>
      <c r="D37" s="253" t="s">
        <v>38</v>
      </c>
      <c r="E37" s="171" t="s">
        <v>3202</v>
      </c>
      <c r="F37" s="171"/>
      <c r="G37" s="171"/>
      <c r="H37" s="171"/>
      <c r="I37" s="23"/>
      <c r="J37" s="23"/>
      <c r="K37" s="3967"/>
      <c r="L37" s="3975"/>
      <c r="M37" s="1676"/>
      <c r="N37" s="3975"/>
      <c r="O37" s="5123"/>
      <c r="P37" s="693"/>
      <c r="Q37" s="1059"/>
      <c r="R37" s="277"/>
      <c r="S37" s="2069">
        <v>1000000</v>
      </c>
      <c r="U37" s="2600" t="s">
        <v>35</v>
      </c>
      <c r="V37" s="1918" t="s">
        <v>4894</v>
      </c>
      <c r="W37" s="1563"/>
      <c r="X37" s="1563"/>
      <c r="Y37" s="1563"/>
      <c r="Z37" s="1563"/>
      <c r="AA37" s="1563"/>
      <c r="AB37" s="1563"/>
      <c r="AC37" s="1563"/>
      <c r="AD37" s="1738"/>
      <c r="AE37" s="1738"/>
      <c r="AF37" s="1563"/>
      <c r="AG37" s="1563"/>
      <c r="AH37" s="1564"/>
    </row>
    <row r="38" spans="1:34" ht="13.5" thickBot="1">
      <c r="A38" s="635"/>
      <c r="B38" s="3986" t="s">
        <v>3205</v>
      </c>
      <c r="C38" s="3630"/>
      <c r="D38" s="3979"/>
      <c r="E38" s="3980" t="str">
        <f>"1098"</f>
        <v>1098</v>
      </c>
      <c r="F38" s="3980"/>
      <c r="G38" s="3980"/>
      <c r="H38" s="3980"/>
      <c r="I38" s="3980"/>
      <c r="J38" s="3980"/>
      <c r="K38" s="614" t="s">
        <v>988</v>
      </c>
      <c r="L38" s="342" t="s">
        <v>39</v>
      </c>
      <c r="M38" s="1499"/>
      <c r="N38" s="3975"/>
      <c r="O38" s="5123"/>
      <c r="P38" s="693"/>
      <c r="Q38" s="1059"/>
      <c r="R38" s="277"/>
      <c r="S38" s="2069">
        <v>500000</v>
      </c>
      <c r="U38" s="1737"/>
      <c r="V38" s="1918" t="s">
        <v>3196</v>
      </c>
      <c r="W38" s="1563"/>
      <c r="X38" s="1563"/>
      <c r="Y38" s="1563"/>
      <c r="Z38" s="1563"/>
      <c r="AA38" s="1563"/>
      <c r="AB38" s="1563"/>
      <c r="AC38" s="1563"/>
      <c r="AD38" s="1738"/>
      <c r="AE38" s="1738"/>
      <c r="AF38" s="1563"/>
      <c r="AG38" s="1742">
        <f>ROUND(SUM(AG26,AG29,AG32,AG35),0)</f>
        <v>0</v>
      </c>
      <c r="AH38" s="1564"/>
    </row>
    <row r="39" spans="1:34" ht="13.5" thickBot="1">
      <c r="A39" s="635"/>
      <c r="B39" s="3987" t="s">
        <v>3206</v>
      </c>
      <c r="C39" s="23"/>
      <c r="D39" s="253" t="s">
        <v>54</v>
      </c>
      <c r="E39" s="3980" t="s">
        <v>3209</v>
      </c>
      <c r="F39" s="3980"/>
      <c r="G39" s="3980"/>
      <c r="H39" s="3980"/>
      <c r="I39" s="3980"/>
      <c r="J39" s="3980"/>
      <c r="K39" s="3968"/>
      <c r="L39" s="3975"/>
      <c r="M39" s="20"/>
      <c r="N39" s="3975"/>
      <c r="O39" s="20"/>
      <c r="P39" s="693"/>
      <c r="Q39" s="1059"/>
      <c r="R39" s="277"/>
      <c r="S39" s="5126"/>
      <c r="U39" s="1740"/>
      <c r="V39" s="1574"/>
      <c r="W39" s="1574"/>
      <c r="X39" s="1574"/>
      <c r="Y39" s="1574"/>
      <c r="Z39" s="1574"/>
      <c r="AA39" s="1574"/>
      <c r="AB39" s="1574"/>
      <c r="AC39" s="1574"/>
      <c r="AD39" s="2599"/>
      <c r="AE39" s="2599"/>
      <c r="AF39" s="1574"/>
      <c r="AG39" s="1574"/>
      <c r="AH39" s="1741"/>
    </row>
    <row r="40" spans="1:34" ht="13.5" thickBot="1">
      <c r="A40" s="635"/>
      <c r="B40" s="3987" t="s">
        <v>3207</v>
      </c>
      <c r="C40" s="23"/>
      <c r="D40" s="3981"/>
      <c r="E40" s="3980" t="s">
        <v>3210</v>
      </c>
      <c r="F40" s="3980"/>
      <c r="G40" s="3980"/>
      <c r="H40" s="3980"/>
      <c r="I40" s="3980"/>
      <c r="J40" s="3980"/>
      <c r="K40" s="3968"/>
      <c r="L40" s="3975"/>
      <c r="M40" s="20"/>
      <c r="N40" s="3975"/>
      <c r="O40" s="20"/>
      <c r="P40" s="693"/>
      <c r="Q40" s="1059"/>
      <c r="R40" s="277"/>
      <c r="S40" s="5124" t="s">
        <v>4866</v>
      </c>
    </row>
    <row r="41" spans="1:34">
      <c r="A41" s="635"/>
      <c r="B41" s="3987"/>
      <c r="C41" s="23"/>
      <c r="D41" s="3981"/>
      <c r="E41" s="3980" t="s">
        <v>3211</v>
      </c>
      <c r="F41" s="3980"/>
      <c r="G41" s="3980"/>
      <c r="H41" s="3980"/>
      <c r="I41" s="3980"/>
      <c r="J41" s="3980"/>
      <c r="K41" s="3968"/>
      <c r="L41" s="3975"/>
      <c r="M41" s="20"/>
      <c r="N41" s="3975"/>
      <c r="O41" s="20"/>
      <c r="P41" s="693"/>
      <c r="Q41" s="1059"/>
      <c r="R41" s="277"/>
      <c r="S41" s="5125" t="s">
        <v>4867</v>
      </c>
      <c r="U41" s="1734"/>
      <c r="V41" s="1605"/>
      <c r="W41" s="1605"/>
      <c r="X41" s="1605"/>
      <c r="Y41" s="1605"/>
      <c r="Z41" s="1605"/>
      <c r="AA41" s="1605"/>
      <c r="AB41" s="1605"/>
      <c r="AC41" s="1605"/>
      <c r="AD41" s="1605"/>
      <c r="AE41" s="1605"/>
      <c r="AF41" s="1605"/>
      <c r="AG41" s="1605"/>
      <c r="AH41" s="1606"/>
    </row>
    <row r="42" spans="1:34" ht="16.5" thickBot="1">
      <c r="A42" s="635"/>
      <c r="B42" s="3987"/>
      <c r="C42" s="23"/>
      <c r="D42" s="3981"/>
      <c r="E42" s="3980" t="s">
        <v>3212</v>
      </c>
      <c r="F42" s="3980"/>
      <c r="G42" s="5897"/>
      <c r="H42" s="5897"/>
      <c r="I42" s="5897"/>
      <c r="J42" s="5897"/>
      <c r="K42" s="3968"/>
      <c r="L42" s="3975"/>
      <c r="M42" s="20"/>
      <c r="N42" s="3975"/>
      <c r="O42" s="20"/>
      <c r="P42" s="693"/>
      <c r="Q42" s="1059"/>
      <c r="R42" s="277"/>
      <c r="U42" s="1735" t="s">
        <v>5104</v>
      </c>
      <c r="V42" s="1443"/>
      <c r="W42" s="1443"/>
      <c r="X42" s="1443"/>
      <c r="Y42" s="1443"/>
      <c r="Z42" s="1443"/>
      <c r="AA42" s="1615"/>
      <c r="AB42" s="1615"/>
      <c r="AC42" s="1443"/>
      <c r="AD42" s="1443"/>
      <c r="AE42" s="1443"/>
      <c r="AF42" s="1443"/>
      <c r="AG42" s="1443"/>
      <c r="AH42" s="1554"/>
    </row>
    <row r="43" spans="1:34" ht="13.5" thickBot="1">
      <c r="A43" s="635"/>
      <c r="B43" s="3987"/>
      <c r="C43" s="23"/>
      <c r="D43" s="3981"/>
      <c r="E43" s="3988"/>
      <c r="F43" s="3988"/>
      <c r="G43" s="3988"/>
      <c r="H43" s="3988"/>
      <c r="I43" s="3988"/>
      <c r="J43" s="3988"/>
      <c r="K43" s="3968"/>
      <c r="L43" s="342" t="s">
        <v>40</v>
      </c>
      <c r="M43" s="1499"/>
      <c r="N43" s="3975"/>
      <c r="O43" s="20"/>
      <c r="P43" s="693"/>
      <c r="Q43" s="1059"/>
      <c r="R43" s="277"/>
      <c r="S43" s="5129" t="str">
        <f>IF(S39="","Enter Date of Loan.",IF(AND(S47,File_Marr_Sep&lt;&gt;""),S36,IF(S47,S35,IF(File_Marr_Sep&lt;&gt;"",S38,S37))))</f>
        <v>Enter Date of Loan.</v>
      </c>
      <c r="U43" s="1733"/>
      <c r="V43" s="2123"/>
      <c r="W43" s="2123"/>
      <c r="X43" s="2346"/>
      <c r="Y43" s="2347"/>
      <c r="Z43" s="2347"/>
      <c r="AA43" s="2347"/>
      <c r="AB43" s="2347"/>
      <c r="AC43" s="2347"/>
      <c r="AD43" s="2347"/>
      <c r="AE43" s="2123"/>
      <c r="AF43" s="2123"/>
      <c r="AG43" s="2123"/>
      <c r="AH43" s="3057"/>
    </row>
    <row r="44" spans="1:34">
      <c r="A44" s="635"/>
      <c r="B44" s="3987"/>
      <c r="C44" s="23"/>
      <c r="D44" s="253" t="s">
        <v>55</v>
      </c>
      <c r="E44" s="171" t="s">
        <v>4144</v>
      </c>
      <c r="F44" s="3980"/>
      <c r="G44" s="3980"/>
      <c r="H44" s="3980"/>
      <c r="I44" s="3980"/>
      <c r="J44" s="3980"/>
      <c r="K44" s="3968"/>
      <c r="L44" s="3975"/>
      <c r="M44" s="20"/>
      <c r="N44" s="3975"/>
      <c r="O44" s="20"/>
      <c r="P44" s="693"/>
      <c r="Q44" s="1059"/>
      <c r="R44" s="277"/>
      <c r="S44" s="5124" t="s">
        <v>4870</v>
      </c>
      <c r="U44" s="2529"/>
      <c r="V44" s="1558" t="s">
        <v>4863</v>
      </c>
      <c r="W44" s="1558"/>
      <c r="X44" s="1558"/>
      <c r="Y44" s="1558"/>
      <c r="Z44" s="1558"/>
      <c r="AA44" s="1558"/>
      <c r="AB44" s="1558"/>
      <c r="AC44" s="1558"/>
      <c r="AD44" s="1558"/>
      <c r="AE44" s="1558"/>
      <c r="AF44" s="1558"/>
      <c r="AG44" s="1558"/>
      <c r="AH44" s="1559"/>
    </row>
    <row r="45" spans="1:34">
      <c r="A45" s="635"/>
      <c r="B45" s="2097"/>
      <c r="C45" s="23"/>
      <c r="D45" s="3981"/>
      <c r="E45" s="171" t="s">
        <v>4145</v>
      </c>
      <c r="F45" s="3980"/>
      <c r="G45" s="3980"/>
      <c r="H45" s="3980"/>
      <c r="I45" s="3980"/>
      <c r="J45" s="3980"/>
      <c r="K45" s="614" t="s">
        <v>2541</v>
      </c>
      <c r="L45" s="342" t="s">
        <v>107</v>
      </c>
      <c r="M45" s="1499"/>
      <c r="N45" s="3975"/>
      <c r="O45" s="20"/>
      <c r="P45" s="693"/>
      <c r="Q45" s="1059"/>
      <c r="R45" s="277"/>
      <c r="U45" s="5121" t="str">
        <f>"•"</f>
        <v>•</v>
      </c>
      <c r="V45" s="1900" t="str">
        <f>"On or before December 15, 2017:  Interest on up to "&amp;TEXT(S37,"$0,000")&amp;" ("&amp;TEXT(S38,"$0,000")&amp;" if you are married filing separately) of that debt."</f>
        <v>On or before December 15, 2017:  Interest on up to $1,000,000 ($500,000 if you are married filing separately) of that debt.</v>
      </c>
      <c r="W45" s="1563"/>
      <c r="X45" s="1563"/>
      <c r="Y45" s="1563"/>
      <c r="Z45" s="1563"/>
      <c r="AA45" s="1563"/>
      <c r="AB45" s="1563"/>
      <c r="AC45" s="1563"/>
      <c r="AD45" s="1563"/>
      <c r="AE45" s="1563"/>
      <c r="AF45" s="1563"/>
      <c r="AG45" s="1563"/>
      <c r="AH45" s="1564"/>
    </row>
    <row r="46" spans="1:34">
      <c r="A46" s="635"/>
      <c r="B46" s="2097"/>
      <c r="C46" s="23"/>
      <c r="D46" s="253" t="s">
        <v>102</v>
      </c>
      <c r="E46" s="171" t="s">
        <v>3008</v>
      </c>
      <c r="F46" s="171"/>
      <c r="G46" s="171"/>
      <c r="H46" s="171"/>
      <c r="I46" s="23"/>
      <c r="J46" s="23"/>
      <c r="K46" s="614" t="s">
        <v>717</v>
      </c>
      <c r="L46" s="342" t="s">
        <v>427</v>
      </c>
      <c r="M46" s="3989"/>
      <c r="N46" s="3975"/>
      <c r="O46" s="20"/>
      <c r="P46" s="693"/>
      <c r="Q46" s="1059"/>
      <c r="R46" s="277"/>
      <c r="S46" s="5122">
        <v>43084</v>
      </c>
      <c r="U46" s="2345"/>
      <c r="V46" s="1900"/>
      <c r="W46" s="1563" t="s">
        <v>4864</v>
      </c>
      <c r="X46" s="1563"/>
      <c r="Y46" s="1563"/>
      <c r="Z46" s="1563"/>
      <c r="AA46" s="1563"/>
      <c r="AB46" s="1563"/>
      <c r="AC46" s="1563"/>
      <c r="AD46" s="1563"/>
      <c r="AE46" s="1563"/>
      <c r="AF46" s="1563"/>
      <c r="AG46" s="1563"/>
      <c r="AH46" s="1564"/>
    </row>
    <row r="47" spans="1:34">
      <c r="A47" s="635"/>
      <c r="B47" s="2097"/>
      <c r="C47" s="23"/>
      <c r="D47" s="253" t="s">
        <v>1201</v>
      </c>
      <c r="E47" s="171" t="s">
        <v>3213</v>
      </c>
      <c r="F47" s="171"/>
      <c r="G47" s="171"/>
      <c r="H47" s="171"/>
      <c r="I47" s="23"/>
      <c r="J47" s="23"/>
      <c r="K47" s="614" t="s">
        <v>4143</v>
      </c>
      <c r="L47" s="342" t="s">
        <v>3214</v>
      </c>
      <c r="M47" s="3978">
        <f>SUM(ROUND(M38,0),ROUND(M43,0),ROUND(M45,0))</f>
        <v>0</v>
      </c>
      <c r="N47" s="3975"/>
      <c r="O47" s="20"/>
      <c r="P47" s="693"/>
      <c r="Q47" s="1059"/>
      <c r="R47" s="277"/>
      <c r="S47" s="1601" t="b">
        <f>S39&gt;S46</f>
        <v>0</v>
      </c>
      <c r="U47" s="5121" t="str">
        <f>"•"</f>
        <v>•</v>
      </c>
      <c r="V47" s="1900" t="str">
        <f>"After December 15, 2017:  Interest on up to "&amp;TEXT(S35,"$0,000")&amp;" ("&amp;TEXT(S36,"$0,000")&amp;" if you are married filing separately) of that debt."</f>
        <v>After December 15, 2017:  Interest on up to $750,000 ($375,000 if you are married filing separately) of that debt.</v>
      </c>
      <c r="W47" s="1563"/>
      <c r="X47" s="1563"/>
      <c r="Y47" s="1563"/>
      <c r="Z47" s="1563"/>
      <c r="AA47" s="1563"/>
      <c r="AB47" s="1563"/>
      <c r="AC47" s="1563"/>
      <c r="AD47" s="1563"/>
      <c r="AE47" s="1563"/>
      <c r="AF47" s="1563"/>
      <c r="AG47" s="1563"/>
      <c r="AH47" s="1564"/>
    </row>
    <row r="48" spans="1:34">
      <c r="A48" s="635"/>
      <c r="B48" s="2097"/>
      <c r="C48" s="23">
        <v>9</v>
      </c>
      <c r="D48" s="23"/>
      <c r="E48" s="171" t="s">
        <v>3216</v>
      </c>
      <c r="F48" s="171"/>
      <c r="G48" s="171"/>
      <c r="H48" s="171"/>
      <c r="I48" s="23"/>
      <c r="J48" s="614"/>
      <c r="K48" s="3968"/>
      <c r="L48" s="3975"/>
      <c r="M48" s="20"/>
      <c r="N48" s="3975"/>
      <c r="O48" s="20"/>
      <c r="P48" s="693"/>
      <c r="Q48" s="1059"/>
      <c r="R48" s="277"/>
      <c r="S48" s="5127"/>
      <c r="U48" s="2345"/>
      <c r="V48" s="1900"/>
      <c r="W48" s="1918" t="s">
        <v>4865</v>
      </c>
      <c r="X48" s="1563"/>
      <c r="Y48" s="1563"/>
      <c r="Z48" s="1563"/>
      <c r="AA48" s="1563"/>
      <c r="AB48" s="1563"/>
      <c r="AC48" s="1563"/>
      <c r="AD48" s="1563"/>
      <c r="AE48" s="1563"/>
      <c r="AF48" s="1563"/>
      <c r="AG48" s="1563"/>
      <c r="AH48" s="1564"/>
    </row>
    <row r="49" spans="1:46" ht="13.5" thickBot="1">
      <c r="A49" s="635"/>
      <c r="B49" s="21"/>
      <c r="C49" s="23"/>
      <c r="D49" s="171"/>
      <c r="E49" s="171" t="s">
        <v>3215</v>
      </c>
      <c r="F49" s="171"/>
      <c r="G49" s="171"/>
      <c r="H49" s="171"/>
      <c r="I49" s="23"/>
      <c r="J49" s="23"/>
      <c r="K49" s="614" t="s">
        <v>717</v>
      </c>
      <c r="L49" s="342">
        <v>9</v>
      </c>
      <c r="M49" s="1499"/>
      <c r="N49" s="3975"/>
      <c r="O49" s="20"/>
      <c r="P49" s="693"/>
      <c r="Q49" s="1059"/>
      <c r="R49" s="277"/>
      <c r="S49" s="5128"/>
      <c r="U49" s="1740"/>
      <c r="V49" s="2341"/>
      <c r="W49" s="1574"/>
      <c r="X49" s="1574"/>
      <c r="Y49" s="1574"/>
      <c r="Z49" s="1574"/>
      <c r="AA49" s="1574"/>
      <c r="AB49" s="1574"/>
      <c r="AC49" s="1574"/>
      <c r="AD49" s="1574"/>
      <c r="AE49" s="1574"/>
      <c r="AF49" s="1574"/>
      <c r="AG49" s="1574"/>
      <c r="AH49" s="1741"/>
    </row>
    <row r="50" spans="1:46" ht="13.5" thickBot="1">
      <c r="A50" s="635"/>
      <c r="B50" s="16"/>
      <c r="C50" s="16">
        <v>10</v>
      </c>
      <c r="D50" s="257"/>
      <c r="E50" s="257" t="str">
        <f>"Add lines "&amp;L47&amp;" and "&amp;L49</f>
        <v>Add lines 8e and 9</v>
      </c>
      <c r="F50" s="257"/>
      <c r="G50" s="257"/>
      <c r="H50" s="257"/>
      <c r="I50" s="17"/>
      <c r="J50" s="17"/>
      <c r="K50" s="17"/>
      <c r="L50" s="17"/>
      <c r="M50" s="989" t="s">
        <v>4146</v>
      </c>
      <c r="N50" s="342">
        <f>C50</f>
        <v>10</v>
      </c>
      <c r="O50" s="1677">
        <f>IF(Q50&lt;&gt;"",ROUND(Q50,0),SUM(M47,M49))</f>
        <v>0</v>
      </c>
      <c r="P50" s="693"/>
      <c r="Q50" s="1060"/>
      <c r="R50" s="323"/>
    </row>
    <row r="51" spans="1:46" ht="15">
      <c r="A51" s="635"/>
      <c r="B51" s="344" t="s">
        <v>378</v>
      </c>
      <c r="C51" s="23">
        <v>11</v>
      </c>
      <c r="D51" s="171" t="s">
        <v>607</v>
      </c>
      <c r="E51" s="171"/>
      <c r="F51" s="171"/>
      <c r="G51" s="171"/>
      <c r="H51" s="171"/>
      <c r="I51" s="23"/>
      <c r="J51" s="23"/>
      <c r="K51" s="3970"/>
      <c r="L51" s="693"/>
      <c r="M51" s="20"/>
      <c r="N51" s="3974"/>
      <c r="O51" s="2342" t="str">
        <f>IF(AND($AD$53,$P$55=""),"Your charitable","")</f>
        <v/>
      </c>
      <c r="P51" s="693"/>
      <c r="Q51" s="1059"/>
      <c r="R51" s="323"/>
      <c r="U51" s="1734"/>
      <c r="V51" s="1605"/>
      <c r="W51" s="1605"/>
      <c r="X51" s="1605"/>
      <c r="Y51" s="1605"/>
      <c r="Z51" s="1605"/>
      <c r="AA51" s="1605"/>
      <c r="AB51" s="1605"/>
      <c r="AC51" s="1605"/>
      <c r="AD51" s="1605"/>
      <c r="AE51" s="1605"/>
      <c r="AF51" s="1605"/>
      <c r="AG51" s="1605"/>
      <c r="AH51" s="1606"/>
    </row>
    <row r="52" spans="1:46" ht="13.5" customHeight="1">
      <c r="A52" s="635"/>
      <c r="B52" s="344" t="s">
        <v>379</v>
      </c>
      <c r="C52" s="23"/>
      <c r="D52" s="280" t="s">
        <v>608</v>
      </c>
      <c r="E52" s="280"/>
      <c r="F52" s="280"/>
      <c r="G52" s="280"/>
      <c r="H52" s="280"/>
      <c r="I52" s="23"/>
      <c r="J52" s="23"/>
      <c r="K52" s="3968"/>
      <c r="L52" s="342">
        <f>C51</f>
        <v>11</v>
      </c>
      <c r="M52" s="1499"/>
      <c r="N52" s="3975"/>
      <c r="O52" s="2342" t="str">
        <f>IF(AND($AD$53,$P$55=""),"contribution","")</f>
        <v/>
      </c>
      <c r="P52" s="693"/>
      <c r="Q52" s="1059"/>
      <c r="R52" s="323"/>
      <c r="U52" s="1735" t="s">
        <v>3223</v>
      </c>
      <c r="V52" s="1443"/>
      <c r="W52" s="1443"/>
      <c r="X52" s="1443"/>
      <c r="Y52" s="1443"/>
      <c r="Z52" s="1443"/>
      <c r="AA52" s="1615" t="s">
        <v>2034</v>
      </c>
      <c r="AB52" s="1615" t="s">
        <v>2035</v>
      </c>
      <c r="AC52" s="1443"/>
      <c r="AD52" s="1443"/>
      <c r="AE52" s="1443"/>
      <c r="AF52" s="1443"/>
      <c r="AG52" s="1443"/>
      <c r="AH52" s="1554"/>
    </row>
    <row r="53" spans="1:46" ht="14.25" customHeight="1" thickBot="1">
      <c r="A53" s="635"/>
      <c r="B53" s="5862" t="s">
        <v>2661</v>
      </c>
      <c r="C53" s="23">
        <v>12</v>
      </c>
      <c r="D53" s="600" t="s">
        <v>609</v>
      </c>
      <c r="E53" s="600"/>
      <c r="F53" s="600"/>
      <c r="G53" s="600"/>
      <c r="H53" s="600"/>
      <c r="I53" s="23"/>
      <c r="J53" s="23"/>
      <c r="K53" s="3968"/>
      <c r="L53" s="347"/>
      <c r="M53" s="20"/>
      <c r="N53" s="3975"/>
      <c r="O53" s="2342" t="str">
        <f>IF(AND($AD$53,$P$55=""),"may be limited.","")</f>
        <v/>
      </c>
      <c r="P53" s="693"/>
      <c r="Q53" s="1059"/>
      <c r="R53" s="323"/>
      <c r="U53" s="1733"/>
      <c r="V53" s="2123"/>
      <c r="W53" s="2123"/>
      <c r="X53" s="2346" t="str">
        <f>IF(File_Marr_Sep&lt;&gt;"",X58,IF(File_Single&lt;&gt;"",X59,IF(File_Head&lt;&gt;"",X60,IF(OR(File_Marr_Joint&lt;&gt;"",File_Qual_Widow&lt;&gt;""),X61,""))))</f>
        <v/>
      </c>
      <c r="Y53" s="2347" t="b">
        <f>IF(AND(O56&gt;0,Adj_Gross_Inc&gt;X53),TRUE,FALSE)</f>
        <v>0</v>
      </c>
      <c r="Z53" s="2347" t="b">
        <f>IF(O56&gt;AB53*Adj_Gross_Inc,TRUE,FALSE)</f>
        <v>0</v>
      </c>
      <c r="AA53" s="2347" t="b">
        <f>IF(O56&gt;AC53*Adj_Gross_Inc,TRUE,FALSE)</f>
        <v>0</v>
      </c>
      <c r="AB53" s="2347">
        <v>0.6</v>
      </c>
      <c r="AC53" s="2347">
        <v>0.2</v>
      </c>
      <c r="AD53" s="2347" t="b">
        <f>OR(AND(Y53,AA53),Z53)</f>
        <v>0</v>
      </c>
      <c r="AE53" s="2123"/>
      <c r="AF53" s="2123"/>
      <c r="AG53" s="2123"/>
      <c r="AH53" s="3057"/>
    </row>
    <row r="54" spans="1:46" ht="11.25" customHeight="1">
      <c r="A54" s="635"/>
      <c r="B54" s="5863"/>
      <c r="C54" s="23"/>
      <c r="D54" s="386" t="s">
        <v>610</v>
      </c>
      <c r="E54" s="386"/>
      <c r="F54" s="386"/>
      <c r="G54" s="386"/>
      <c r="H54" s="386"/>
      <c r="I54" s="23"/>
      <c r="J54" s="23"/>
      <c r="K54" s="3968"/>
      <c r="L54" s="343">
        <f>C53</f>
        <v>12</v>
      </c>
      <c r="M54" s="1499"/>
      <c r="N54" s="3975"/>
      <c r="O54" s="2342" t="str">
        <f>IF(AND($AD$53,$P$55=""),"See 'Limits on","")</f>
        <v/>
      </c>
      <c r="P54" s="693"/>
      <c r="Q54" s="1059"/>
      <c r="R54" s="323"/>
      <c r="U54" s="2529"/>
      <c r="V54" s="1558"/>
      <c r="W54" s="1558"/>
      <c r="X54" s="1558"/>
      <c r="Y54" s="1558"/>
      <c r="Z54" s="1558"/>
      <c r="AA54" s="1558"/>
      <c r="AB54" s="1558"/>
      <c r="AC54" s="1558"/>
      <c r="AD54" s="1558"/>
      <c r="AE54" s="1558"/>
      <c r="AF54" s="1558"/>
      <c r="AG54" s="1558"/>
      <c r="AH54" s="1559"/>
    </row>
    <row r="55" spans="1:46" ht="12.75" customHeight="1" thickBot="1">
      <c r="A55" s="635"/>
      <c r="B55" s="5863"/>
      <c r="C55" s="23">
        <v>13</v>
      </c>
      <c r="D55" s="171" t="s">
        <v>126</v>
      </c>
      <c r="E55" s="171"/>
      <c r="F55" s="171"/>
      <c r="G55" s="171"/>
      <c r="H55" s="171"/>
      <c r="I55" s="23"/>
      <c r="J55" s="23"/>
      <c r="K55" s="3968"/>
      <c r="L55" s="342">
        <f>C55</f>
        <v>13</v>
      </c>
      <c r="M55" s="1499"/>
      <c r="N55" s="3975"/>
      <c r="O55" s="2342" t="str">
        <f>IF(AND($AD$53,$P$55=""),"Deductions-Line 14'","")</f>
        <v/>
      </c>
      <c r="P55" s="2343"/>
      <c r="Q55" s="2344" t="str">
        <f>IF($AD$53,"Hide note.","")</f>
        <v/>
      </c>
      <c r="R55" s="323"/>
      <c r="U55" s="2345" t="s">
        <v>336</v>
      </c>
      <c r="V55" s="1900" t="str">
        <f>"For "&amp;TaxYear&amp;", the total of your charitable contributions deduction and certain other itemized deductions may be limited if"</f>
        <v>For 2018, the total of your charitable contributions deduction and certain other itemized deductions may be limited if</v>
      </c>
      <c r="W55" s="1563"/>
      <c r="X55" s="1563"/>
      <c r="Y55" s="1563"/>
      <c r="Z55" s="1563"/>
      <c r="AA55" s="1563"/>
      <c r="AB55" s="1563"/>
      <c r="AC55" s="1563"/>
      <c r="AD55" s="1563"/>
      <c r="AE55" s="1563"/>
      <c r="AF55" s="1563"/>
      <c r="AG55" s="1563"/>
      <c r="AH55" s="1564"/>
    </row>
    <row r="56" spans="1:46" ht="13.5" thickBot="1">
      <c r="A56" s="635"/>
      <c r="B56" s="5864"/>
      <c r="C56" s="16">
        <v>14</v>
      </c>
      <c r="D56" s="257" t="str">
        <f>"Add lines "&amp;C51&amp;" through "&amp;C55</f>
        <v>Add lines 11 through 13</v>
      </c>
      <c r="E56" s="257"/>
      <c r="F56" s="257"/>
      <c r="G56" s="257"/>
      <c r="H56" s="257"/>
      <c r="I56" s="16"/>
      <c r="J56" s="16"/>
      <c r="K56" s="16"/>
      <c r="L56" s="16"/>
      <c r="M56" s="989" t="s">
        <v>737</v>
      </c>
      <c r="N56" s="342">
        <f>C56</f>
        <v>14</v>
      </c>
      <c r="O56" s="1677">
        <f>IF(Q56&lt;&gt;"",ROUND(Q56,0),ROUND(SUM(M52,M54,M55),0))</f>
        <v>0</v>
      </c>
      <c r="P56" s="693"/>
      <c r="Q56" s="1060"/>
      <c r="R56" s="277"/>
      <c r="U56" s="1737"/>
      <c r="V56" s="1900" t="s">
        <v>2033</v>
      </c>
      <c r="W56" s="1563"/>
      <c r="X56" s="1563"/>
      <c r="Y56" s="1563"/>
      <c r="Z56" s="1563"/>
      <c r="AA56" s="1563"/>
      <c r="AB56" s="1900" t="s">
        <v>2040</v>
      </c>
      <c r="AC56" s="1563"/>
      <c r="AD56" s="1563"/>
      <c r="AE56" s="1563"/>
      <c r="AF56" s="1563"/>
      <c r="AG56" s="1563"/>
      <c r="AH56" s="1564"/>
    </row>
    <row r="57" spans="1:46" ht="15" customHeight="1">
      <c r="A57" s="635"/>
      <c r="B57" s="3990" t="s">
        <v>354</v>
      </c>
      <c r="C57" s="158">
        <v>15</v>
      </c>
      <c r="D57" s="3315" t="s">
        <v>3218</v>
      </c>
      <c r="E57" s="3315"/>
      <c r="F57" s="3315"/>
      <c r="G57" s="3315"/>
      <c r="H57" s="3315"/>
      <c r="I57" s="3315"/>
      <c r="J57" s="3315"/>
      <c r="K57" s="3315"/>
      <c r="L57" s="3315"/>
      <c r="M57" s="3316"/>
      <c r="N57" s="3974"/>
      <c r="O57" s="20"/>
      <c r="P57" s="693"/>
      <c r="Q57" s="1059"/>
      <c r="R57" s="277"/>
      <c r="U57" s="1737"/>
      <c r="V57" s="1729"/>
      <c r="W57" s="1563"/>
      <c r="X57" s="1563"/>
      <c r="Y57" s="1563"/>
      <c r="Z57" s="1563"/>
      <c r="AA57" s="1563"/>
      <c r="AB57" s="1563"/>
      <c r="AC57" s="1563"/>
      <c r="AD57" s="1563"/>
      <c r="AE57" s="1563"/>
      <c r="AF57" s="1563"/>
      <c r="AG57" s="1563"/>
      <c r="AH57" s="1564"/>
    </row>
    <row r="58" spans="1:46" ht="15" customHeight="1">
      <c r="A58" s="635"/>
      <c r="B58" s="3990" t="s">
        <v>293</v>
      </c>
      <c r="C58" s="23"/>
      <c r="D58" s="1592" t="s">
        <v>3219</v>
      </c>
      <c r="E58" s="1592"/>
      <c r="F58" s="1592"/>
      <c r="G58" s="1592"/>
      <c r="H58" s="1592"/>
      <c r="I58" s="1592"/>
      <c r="J58" s="1592"/>
      <c r="K58" s="1592"/>
      <c r="L58" s="1592"/>
      <c r="M58" s="1592"/>
      <c r="N58" s="3975"/>
      <c r="O58" s="20"/>
      <c r="P58" s="693"/>
      <c r="Q58" s="1059"/>
      <c r="R58" s="277"/>
      <c r="U58" s="1737"/>
      <c r="V58" s="1729"/>
      <c r="W58" s="2340" t="str">
        <f>"•"</f>
        <v>•</v>
      </c>
      <c r="X58" s="3325">
        <v>160000</v>
      </c>
      <c r="Y58" s="1900" t="s">
        <v>2036</v>
      </c>
      <c r="Z58" s="1563"/>
      <c r="AA58" s="1563"/>
      <c r="AB58" s="1918"/>
      <c r="AC58" s="1563"/>
      <c r="AD58" s="1563"/>
      <c r="AE58" s="1563"/>
      <c r="AF58" s="1563"/>
      <c r="AG58" s="1563"/>
      <c r="AH58" s="1564"/>
    </row>
    <row r="59" spans="1:46" s="3511" customFormat="1" ht="15.75">
      <c r="A59" s="3507"/>
      <c r="B59" s="230"/>
      <c r="C59" s="3508"/>
      <c r="D59" s="257" t="s">
        <v>3215</v>
      </c>
      <c r="E59" s="3508"/>
      <c r="F59" s="3508"/>
      <c r="G59" s="3508"/>
      <c r="H59" s="3508"/>
      <c r="I59" s="3508"/>
      <c r="J59" s="3508"/>
      <c r="K59" s="3508"/>
      <c r="L59" s="3508"/>
      <c r="M59" s="989" t="s">
        <v>4124</v>
      </c>
      <c r="N59" s="342">
        <f>C57</f>
        <v>15</v>
      </c>
      <c r="O59" s="4139"/>
      <c r="P59" s="693"/>
      <c r="Q59" s="3509"/>
      <c r="R59" s="3510"/>
      <c r="T59"/>
      <c r="U59" s="1737"/>
      <c r="V59" s="1729"/>
      <c r="W59" s="2340" t="str">
        <f>"•"</f>
        <v>•</v>
      </c>
      <c r="X59" s="3325">
        <v>266700</v>
      </c>
      <c r="Y59" s="1900" t="s">
        <v>2037</v>
      </c>
      <c r="Z59" s="1918"/>
      <c r="AA59" s="1563"/>
      <c r="AB59" s="1918"/>
      <c r="AC59" s="1563"/>
      <c r="AD59" s="1563"/>
      <c r="AE59" s="1563"/>
      <c r="AF59" s="1563"/>
      <c r="AG59" s="1563"/>
      <c r="AH59" s="1564"/>
      <c r="AI59"/>
      <c r="AJ59" s="3512"/>
      <c r="AK59" s="3512"/>
      <c r="AL59" s="3512"/>
      <c r="AM59" s="3512"/>
      <c r="AN59" s="3512"/>
      <c r="AO59" s="3512"/>
      <c r="AP59" s="3512"/>
      <c r="AQ59" s="3512"/>
      <c r="AR59" s="3512"/>
      <c r="AS59" s="3512"/>
      <c r="AT59" s="3512"/>
    </row>
    <row r="60" spans="1:46" ht="15">
      <c r="A60" s="635"/>
      <c r="B60" s="23" t="s">
        <v>458</v>
      </c>
      <c r="C60" s="23">
        <v>16</v>
      </c>
      <c r="D60" s="171" t="s">
        <v>2662</v>
      </c>
      <c r="E60" s="171"/>
      <c r="F60" s="171"/>
      <c r="G60" s="171"/>
      <c r="H60" s="171"/>
      <c r="I60" s="21"/>
      <c r="J60" s="21"/>
      <c r="K60" s="22"/>
      <c r="L60" s="22"/>
      <c r="M60" s="345" t="s">
        <v>2663</v>
      </c>
      <c r="N60" s="3974"/>
      <c r="O60" s="1576"/>
      <c r="P60" s="693"/>
      <c r="Q60" s="1059"/>
      <c r="R60" s="277"/>
      <c r="U60" s="1737"/>
      <c r="V60" s="1729"/>
      <c r="W60" s="2340" t="str">
        <f>"•"</f>
        <v>•</v>
      </c>
      <c r="X60" s="3325">
        <v>293350</v>
      </c>
      <c r="Y60" s="1900" t="s">
        <v>2038</v>
      </c>
      <c r="Z60" s="1563"/>
      <c r="AA60" s="1918"/>
      <c r="AB60" s="1918"/>
      <c r="AC60" s="1563"/>
      <c r="AD60" s="1563"/>
      <c r="AE60" s="1563"/>
      <c r="AF60" s="1563"/>
      <c r="AG60" s="1563"/>
      <c r="AH60" s="1564"/>
    </row>
    <row r="61" spans="1:46" ht="15">
      <c r="A61" s="635"/>
      <c r="B61" s="23" t="s">
        <v>530</v>
      </c>
      <c r="C61" s="23"/>
      <c r="D61" s="5893"/>
      <c r="E61" s="5893"/>
      <c r="F61" s="5893"/>
      <c r="G61" s="5893"/>
      <c r="H61" s="5893"/>
      <c r="I61" s="5893"/>
      <c r="J61" s="5893"/>
      <c r="K61" s="5893"/>
      <c r="L61" s="5893"/>
      <c r="M61" s="5894"/>
      <c r="N61" s="3975"/>
      <c r="O61" s="20"/>
      <c r="P61" s="693"/>
      <c r="Q61" s="1059"/>
      <c r="R61" s="277"/>
      <c r="U61" s="1737"/>
      <c r="V61" s="1729"/>
      <c r="W61" s="2340" t="str">
        <f>"•"</f>
        <v>•</v>
      </c>
      <c r="X61" s="3325">
        <v>320000</v>
      </c>
      <c r="Y61" s="1900" t="s">
        <v>2039</v>
      </c>
      <c r="Z61" s="1563"/>
      <c r="AA61" s="1563"/>
      <c r="AB61" s="1918"/>
      <c r="AC61" s="1563"/>
      <c r="AD61" s="1563"/>
      <c r="AE61" s="1563"/>
      <c r="AF61" s="1563"/>
      <c r="AG61" s="1563"/>
      <c r="AH61" s="1564"/>
    </row>
    <row r="62" spans="1:46">
      <c r="A62" s="635"/>
      <c r="B62" s="16" t="s">
        <v>501</v>
      </c>
      <c r="C62" s="16"/>
      <c r="D62" s="5895"/>
      <c r="E62" s="5895"/>
      <c r="F62" s="5895"/>
      <c r="G62" s="5895"/>
      <c r="H62" s="5895"/>
      <c r="I62" s="5895"/>
      <c r="J62" s="5895"/>
      <c r="K62" s="5895"/>
      <c r="L62" s="5895"/>
      <c r="M62" s="5896"/>
      <c r="N62" s="342">
        <f>C60</f>
        <v>16</v>
      </c>
      <c r="O62" s="1499"/>
      <c r="P62" s="693"/>
      <c r="Q62" s="1059"/>
      <c r="R62" s="277"/>
      <c r="U62" s="1737"/>
      <c r="V62" s="1729"/>
      <c r="W62" s="1563"/>
      <c r="X62" s="1563"/>
      <c r="Y62" s="1563"/>
      <c r="Z62" s="1563"/>
      <c r="AA62" s="1563"/>
      <c r="AB62" s="1563"/>
      <c r="AC62" s="1563"/>
      <c r="AD62" s="1563"/>
      <c r="AE62" s="1563"/>
      <c r="AF62" s="1563"/>
      <c r="AG62" s="1563"/>
      <c r="AH62" s="1564"/>
    </row>
    <row r="63" spans="1:46" ht="16.5" thickBot="1">
      <c r="A63" s="635"/>
      <c r="B63" s="344" t="s">
        <v>230</v>
      </c>
      <c r="C63" s="23">
        <v>17</v>
      </c>
      <c r="D63" s="171" t="s">
        <v>3220</v>
      </c>
      <c r="E63" s="171"/>
      <c r="F63" s="171"/>
      <c r="G63" s="171"/>
      <c r="H63" s="171"/>
      <c r="I63" s="23"/>
      <c r="J63" s="23"/>
      <c r="K63" s="23"/>
      <c r="L63" s="23"/>
      <c r="M63" s="152"/>
      <c r="N63" s="3974"/>
      <c r="O63" s="20"/>
      <c r="P63" s="693"/>
      <c r="Q63" s="1059"/>
      <c r="R63" s="277"/>
      <c r="U63" s="2345" t="s">
        <v>0</v>
      </c>
      <c r="V63" s="1900" t="str">
        <f>"If your total contributions for the year are "&amp;TEXT(AC53,"0%")&amp;" or less of your adjusted gross income, the limits discussed in this section"</f>
        <v>If your total contributions for the year are 20% or less of your adjusted gross income, the limits discussed in this section</v>
      </c>
      <c r="W63" s="2340"/>
      <c r="X63" s="2339"/>
      <c r="Y63" s="1900"/>
      <c r="Z63" s="1563"/>
      <c r="AA63" s="1563"/>
      <c r="AB63" s="1563"/>
      <c r="AC63" s="1563"/>
      <c r="AD63" s="1563"/>
      <c r="AE63" s="1563"/>
      <c r="AF63" s="1563"/>
      <c r="AG63" s="1563"/>
      <c r="AH63" s="1564"/>
    </row>
    <row r="64" spans="1:46" ht="16.5" thickBot="1">
      <c r="A64" s="635"/>
      <c r="B64" s="344" t="s">
        <v>530</v>
      </c>
      <c r="C64" s="23"/>
      <c r="D64" s="171" t="s">
        <v>3221</v>
      </c>
      <c r="E64" s="171"/>
      <c r="F64" s="171"/>
      <c r="G64" s="171"/>
      <c r="H64" s="171"/>
      <c r="I64" s="23"/>
      <c r="J64" s="23"/>
      <c r="K64" s="23"/>
      <c r="L64" s="23"/>
      <c r="M64" s="152"/>
      <c r="N64" s="342">
        <f>C63</f>
        <v>17</v>
      </c>
      <c r="O64" s="1677">
        <f>IF(Q64&lt;&gt;"",ROUND(Q64,0),SUM(O20,O33,O50,O56,O59,O60,O62))</f>
        <v>0</v>
      </c>
      <c r="P64" s="693"/>
      <c r="Q64" s="1060"/>
      <c r="R64" s="277"/>
      <c r="U64" s="2345"/>
      <c r="V64" s="1900" t="s">
        <v>2054</v>
      </c>
      <c r="W64" s="2340"/>
      <c r="X64" s="2339"/>
      <c r="Y64" s="1900"/>
      <c r="Z64" s="1563"/>
      <c r="AA64" s="1563"/>
      <c r="AB64" s="1563"/>
      <c r="AC64" s="1563"/>
      <c r="AD64" s="1563"/>
      <c r="AE64" s="1563"/>
      <c r="AF64" s="1563"/>
      <c r="AG64" s="1563"/>
      <c r="AH64" s="1564"/>
    </row>
    <row r="65" spans="1:34" ht="12" customHeight="1" thickBot="1">
      <c r="A65" s="635"/>
      <c r="B65" s="344" t="s">
        <v>501</v>
      </c>
      <c r="C65" s="23">
        <v>18</v>
      </c>
      <c r="D65" s="600" t="s">
        <v>496</v>
      </c>
      <c r="E65" s="171"/>
      <c r="F65" s="171"/>
      <c r="G65" s="171"/>
      <c r="H65" s="171"/>
      <c r="I65" s="23"/>
      <c r="J65" s="23"/>
      <c r="K65" s="23"/>
      <c r="L65" s="23"/>
      <c r="M65" s="1501"/>
      <c r="N65" s="3975"/>
      <c r="O65" s="3991"/>
      <c r="P65" s="693"/>
      <c r="Q65" s="1059"/>
      <c r="R65" s="277"/>
      <c r="U65" s="1737"/>
      <c r="V65" s="1729"/>
      <c r="W65" s="1563"/>
      <c r="X65" s="1563"/>
      <c r="Y65" s="1563"/>
      <c r="Z65" s="1563"/>
      <c r="AA65" s="1563"/>
      <c r="AB65" s="1563"/>
      <c r="AC65" s="1563"/>
      <c r="AD65" s="1563"/>
      <c r="AE65" s="1563"/>
      <c r="AF65" s="1563"/>
      <c r="AG65" s="1563"/>
      <c r="AH65" s="1564"/>
    </row>
    <row r="66" spans="1:34" ht="12.75" customHeight="1" thickBot="1">
      <c r="A66" s="635"/>
      <c r="B66" s="3992" t="b">
        <f>IF(N66&lt;&gt;"",TRUE,FALSE)</f>
        <v>0</v>
      </c>
      <c r="C66" s="861"/>
      <c r="D66" s="1073" t="s">
        <v>2</v>
      </c>
      <c r="E66" s="163"/>
      <c r="F66" s="255"/>
      <c r="G66" s="255"/>
      <c r="H66" s="255"/>
      <c r="I66" s="163"/>
      <c r="J66" s="163"/>
      <c r="K66" s="163"/>
      <c r="L66" s="163"/>
      <c r="M66" s="1149" t="s">
        <v>661</v>
      </c>
      <c r="N66" s="1500"/>
      <c r="O66" s="3993"/>
      <c r="P66" s="693"/>
      <c r="Q66" s="1059"/>
      <c r="R66" s="277"/>
      <c r="U66" s="2375" t="s">
        <v>1</v>
      </c>
      <c r="V66" s="1900" t="str">
        <f>"The amount you can deduct for charitable contributions can't be more than "&amp;TEXT(AB53,"0%")&amp;" of your adjusted gross income."</f>
        <v>The amount you can deduct for charitable contributions can't be more than 60% of your adjusted gross income.</v>
      </c>
      <c r="W66" s="1563"/>
      <c r="X66" s="1563"/>
      <c r="Y66" s="1563"/>
      <c r="Z66" s="1563"/>
      <c r="AA66" s="1563"/>
      <c r="AB66" s="1563"/>
      <c r="AC66" s="1563"/>
      <c r="AD66" s="1563"/>
      <c r="AE66" s="1563"/>
      <c r="AF66" s="1563"/>
      <c r="AG66" s="1563"/>
      <c r="AH66" s="1564"/>
    </row>
    <row r="67" spans="1:34" ht="12.75" customHeight="1">
      <c r="A67" s="635"/>
      <c r="B67" s="1150" t="s">
        <v>3222</v>
      </c>
      <c r="C67" s="1144"/>
      <c r="D67" s="1144"/>
      <c r="E67" s="1144"/>
      <c r="F67" s="1144"/>
      <c r="G67" s="1144"/>
      <c r="H67" s="1144"/>
      <c r="I67" s="1144"/>
      <c r="J67" s="1144"/>
      <c r="K67" s="1148"/>
      <c r="L67" s="1148" t="s">
        <v>704</v>
      </c>
      <c r="M67" s="1145"/>
      <c r="N67" s="1146"/>
      <c r="O67" s="1147" t="str">
        <f>"Schedule A (Form 1040) "&amp;TaxYear</f>
        <v>Schedule A (Form 1040) 2018</v>
      </c>
      <c r="P67" s="693"/>
      <c r="Q67" s="1059"/>
      <c r="R67" s="277"/>
      <c r="U67" s="1737"/>
      <c r="V67" s="1561" t="s">
        <v>2142</v>
      </c>
      <c r="W67" s="1563"/>
      <c r="X67" s="1563"/>
      <c r="Y67" s="1563"/>
      <c r="Z67" s="1563"/>
      <c r="AA67" s="1563"/>
      <c r="AB67" s="1563"/>
      <c r="AC67" s="1563"/>
      <c r="AD67" s="1563"/>
      <c r="AE67" s="1563"/>
      <c r="AF67" s="1563"/>
      <c r="AG67" s="1563"/>
      <c r="AH67" s="1564"/>
    </row>
    <row r="68" spans="1:34" ht="13.5" customHeight="1">
      <c r="A68" s="1524"/>
      <c r="B68" s="2568"/>
      <c r="C68" s="2568"/>
      <c r="D68" s="2568"/>
      <c r="E68" s="2568"/>
      <c r="F68" s="2568"/>
      <c r="G68" s="2568"/>
      <c r="H68" s="2568"/>
      <c r="I68" s="2569"/>
      <c r="J68" s="2569"/>
      <c r="K68" s="2569"/>
      <c r="L68" s="2569"/>
      <c r="M68" s="2570"/>
      <c r="N68" s="2571"/>
      <c r="O68" s="2570"/>
      <c r="P68" s="2570"/>
      <c r="Q68" s="1059"/>
      <c r="U68" s="1737"/>
      <c r="V68" s="1561" t="s">
        <v>2167</v>
      </c>
      <c r="W68" s="1563"/>
      <c r="X68" s="1563"/>
      <c r="Y68" s="1563"/>
      <c r="Z68" s="1563"/>
      <c r="AA68" s="1563"/>
      <c r="AB68" s="1563"/>
      <c r="AC68" s="1563"/>
      <c r="AD68" s="1563"/>
      <c r="AE68" s="1563"/>
      <c r="AF68" s="1563"/>
      <c r="AG68" s="1563"/>
      <c r="AH68" s="1564"/>
    </row>
    <row r="69" spans="1:34" ht="13.5" thickBot="1">
      <c r="B69" s="1"/>
      <c r="C69" s="1"/>
      <c r="D69" s="3"/>
      <c r="E69" s="3"/>
      <c r="F69" s="3"/>
      <c r="G69" s="3"/>
      <c r="H69" s="3"/>
      <c r="I69" s="1"/>
      <c r="J69" s="1"/>
      <c r="K69" s="1"/>
      <c r="L69" s="1"/>
      <c r="M69" s="2"/>
      <c r="N69" s="860"/>
      <c r="O69" s="2"/>
      <c r="P69" s="2"/>
      <c r="Q69" s="1061"/>
      <c r="U69" s="1737"/>
      <c r="V69" s="1561" t="s">
        <v>2168</v>
      </c>
      <c r="W69" s="1563"/>
      <c r="X69" s="1563"/>
      <c r="Y69" s="1563"/>
      <c r="Z69" s="1563"/>
      <c r="AA69" s="1563"/>
      <c r="AB69" s="1563"/>
      <c r="AC69" s="1563"/>
      <c r="AD69" s="1563"/>
      <c r="AE69" s="1563"/>
      <c r="AF69" s="1563"/>
      <c r="AG69" s="1563"/>
      <c r="AH69" s="1564"/>
    </row>
    <row r="70" spans="1:34" ht="14.25" thickTop="1" thickBot="1">
      <c r="B70" s="1"/>
      <c r="C70" s="5490" t="s">
        <v>440</v>
      </c>
      <c r="D70" s="5891"/>
      <c r="E70" s="5891"/>
      <c r="F70" s="5891"/>
      <c r="G70" s="5891"/>
      <c r="H70" s="5891"/>
      <c r="I70" s="5891"/>
      <c r="J70" s="5892"/>
      <c r="K70" s="1"/>
      <c r="L70" s="1"/>
      <c r="M70" s="2"/>
      <c r="N70" s="860"/>
      <c r="O70" s="2"/>
      <c r="P70" s="277"/>
      <c r="Q70" s="1062" t="s">
        <v>813</v>
      </c>
      <c r="U70" s="1740"/>
      <c r="V70" s="2341"/>
      <c r="W70" s="1574"/>
      <c r="X70" s="1574"/>
      <c r="Y70" s="1574"/>
      <c r="Z70" s="1574"/>
      <c r="AA70" s="1574"/>
      <c r="AB70" s="1574"/>
      <c r="AC70" s="1574"/>
      <c r="AD70" s="1574"/>
      <c r="AE70" s="1574"/>
      <c r="AF70" s="1574"/>
      <c r="AG70" s="1574"/>
      <c r="AH70" s="1741"/>
    </row>
    <row r="71" spans="1:34" ht="14.25" thickTop="1" thickBot="1">
      <c r="B71" s="1"/>
      <c r="C71" s="1"/>
      <c r="D71" s="3"/>
      <c r="E71" s="3"/>
      <c r="F71" s="3"/>
      <c r="G71" s="3"/>
      <c r="H71" s="3"/>
      <c r="I71" s="1"/>
      <c r="J71" s="1"/>
      <c r="K71" s="1"/>
      <c r="L71" s="1"/>
      <c r="M71" s="2"/>
      <c r="N71" s="860"/>
      <c r="O71" s="2"/>
      <c r="P71" s="277"/>
      <c r="Q71" s="1062"/>
      <c r="T71" s="6"/>
      <c r="U71"/>
      <c r="V71"/>
      <c r="W71"/>
      <c r="X71"/>
      <c r="Y71"/>
      <c r="Z71"/>
      <c r="AA71"/>
      <c r="AB71"/>
      <c r="AC71"/>
      <c r="AD71"/>
      <c r="AE71"/>
      <c r="AF71"/>
      <c r="AG71"/>
      <c r="AH71"/>
    </row>
    <row r="72" spans="1:34" ht="14.25" thickTop="1" thickBot="1">
      <c r="B72" s="1"/>
      <c r="C72" s="5490" t="s">
        <v>441</v>
      </c>
      <c r="D72" s="5891"/>
      <c r="E72" s="5891"/>
      <c r="F72" s="5891"/>
      <c r="G72" s="5891"/>
      <c r="H72" s="5891"/>
      <c r="I72" s="5891"/>
      <c r="J72" s="5892"/>
      <c r="K72" s="1"/>
      <c r="L72" s="1"/>
      <c r="M72" s="2"/>
      <c r="N72" s="860"/>
      <c r="O72" s="2"/>
      <c r="P72" s="277"/>
      <c r="Q72" s="1057"/>
      <c r="U72"/>
      <c r="V72"/>
      <c r="W72"/>
      <c r="X72"/>
      <c r="Y72"/>
      <c r="Z72"/>
      <c r="AA72"/>
      <c r="AB72"/>
      <c r="AC72"/>
      <c r="AD72"/>
      <c r="AE72"/>
      <c r="AF72"/>
      <c r="AG72"/>
      <c r="AH72"/>
    </row>
    <row r="73" spans="1:34" ht="13.5" thickTop="1">
      <c r="Q73" s="1057"/>
      <c r="U73"/>
      <c r="V73"/>
      <c r="W73"/>
      <c r="X73"/>
      <c r="Y73"/>
      <c r="Z73"/>
      <c r="AA73"/>
      <c r="AB73"/>
      <c r="AC73"/>
      <c r="AD73"/>
      <c r="AE73"/>
      <c r="AF73"/>
      <c r="AG73"/>
      <c r="AH73"/>
    </row>
    <row r="74" spans="1:34">
      <c r="U74"/>
      <c r="V74"/>
      <c r="W74"/>
      <c r="X74"/>
      <c r="Y74"/>
      <c r="Z74"/>
      <c r="AA74"/>
      <c r="AB74"/>
      <c r="AC74"/>
      <c r="AD74"/>
      <c r="AE74"/>
      <c r="AF74"/>
      <c r="AG74"/>
      <c r="AH74"/>
    </row>
    <row r="75" spans="1:34">
      <c r="F75" s="857"/>
      <c r="G75" s="857"/>
      <c r="H75" s="857"/>
      <c r="U75"/>
      <c r="V75"/>
      <c r="W75"/>
      <c r="X75"/>
      <c r="Y75"/>
      <c r="Z75"/>
      <c r="AA75"/>
      <c r="AB75"/>
      <c r="AC75"/>
      <c r="AD75"/>
      <c r="AE75"/>
      <c r="AF75"/>
      <c r="AG75"/>
      <c r="AH75"/>
    </row>
    <row r="76" spans="1:34" ht="12.75" customHeight="1">
      <c r="B76" s="1"/>
      <c r="C76" s="1"/>
      <c r="D76" s="3"/>
      <c r="E76" s="3"/>
      <c r="F76" s="3"/>
      <c r="G76" s="3"/>
      <c r="H76" s="3"/>
      <c r="I76" s="1"/>
      <c r="J76" s="1"/>
      <c r="K76" s="1"/>
      <c r="L76" s="1"/>
      <c r="M76" s="2"/>
      <c r="N76" s="860"/>
      <c r="O76" s="2"/>
      <c r="P76" s="2"/>
      <c r="Q76" s="1061"/>
      <c r="U76"/>
      <c r="V76"/>
      <c r="W76"/>
      <c r="X76"/>
      <c r="Y76"/>
      <c r="Z76"/>
      <c r="AA76"/>
      <c r="AB76"/>
      <c r="AC76"/>
      <c r="AD76"/>
      <c r="AE76"/>
      <c r="AF76"/>
      <c r="AG76"/>
      <c r="AH76"/>
    </row>
    <row r="77" spans="1:34" ht="12.75" customHeight="1">
      <c r="U77"/>
      <c r="V77"/>
      <c r="W77"/>
      <c r="X77"/>
      <c r="Y77"/>
      <c r="Z77"/>
      <c r="AA77"/>
      <c r="AB77"/>
      <c r="AC77"/>
      <c r="AD77"/>
      <c r="AE77"/>
      <c r="AF77"/>
      <c r="AG77"/>
      <c r="AH77"/>
    </row>
    <row r="78" spans="1:34" ht="12.75" customHeight="1">
      <c r="U78"/>
      <c r="V78"/>
      <c r="W78"/>
      <c r="X78"/>
      <c r="Y78"/>
      <c r="Z78"/>
      <c r="AA78"/>
      <c r="AB78"/>
      <c r="AC78"/>
      <c r="AD78"/>
      <c r="AE78"/>
      <c r="AF78"/>
      <c r="AG78"/>
      <c r="AH78"/>
    </row>
    <row r="79" spans="1:34" ht="12.75" customHeight="1">
      <c r="U79"/>
      <c r="V79"/>
      <c r="W79"/>
      <c r="X79"/>
      <c r="Y79"/>
      <c r="Z79"/>
      <c r="AA79"/>
      <c r="AB79"/>
      <c r="AC79"/>
      <c r="AD79"/>
      <c r="AE79"/>
      <c r="AF79"/>
      <c r="AG79"/>
      <c r="AH79"/>
    </row>
    <row r="80" spans="1:34" ht="11.25" customHeight="1">
      <c r="U80"/>
      <c r="V80"/>
      <c r="W80"/>
      <c r="X80"/>
      <c r="Y80"/>
      <c r="Z80"/>
      <c r="AA80"/>
      <c r="AB80"/>
      <c r="AC80"/>
      <c r="AD80"/>
      <c r="AE80"/>
      <c r="AF80"/>
      <c r="AG80"/>
      <c r="AH80"/>
    </row>
    <row r="81" spans="21:34" ht="12.75" customHeight="1">
      <c r="U81"/>
      <c r="V81"/>
      <c r="W81"/>
      <c r="X81"/>
      <c r="Y81"/>
      <c r="Z81"/>
      <c r="AA81"/>
      <c r="AB81"/>
      <c r="AC81"/>
      <c r="AD81"/>
      <c r="AE81"/>
      <c r="AF81"/>
      <c r="AG81"/>
      <c r="AH81"/>
    </row>
    <row r="82" spans="21:34" ht="14.25" customHeight="1">
      <c r="U82"/>
      <c r="V82"/>
      <c r="W82"/>
      <c r="X82"/>
      <c r="Y82"/>
      <c r="Z82"/>
      <c r="AA82"/>
      <c r="AB82"/>
      <c r="AC82"/>
      <c r="AD82"/>
      <c r="AE82"/>
      <c r="AF82"/>
      <c r="AG82"/>
      <c r="AH82"/>
    </row>
    <row r="83" spans="21:34" ht="12.75" customHeight="1">
      <c r="U83"/>
      <c r="V83"/>
      <c r="W83"/>
      <c r="X83"/>
      <c r="Y83"/>
      <c r="Z83"/>
      <c r="AA83"/>
      <c r="AB83"/>
      <c r="AC83"/>
      <c r="AD83"/>
      <c r="AE83"/>
      <c r="AF83"/>
      <c r="AG83"/>
      <c r="AH83"/>
    </row>
    <row r="84" spans="21:34" ht="12.75" customHeight="1">
      <c r="U84"/>
      <c r="V84"/>
      <c r="W84"/>
      <c r="X84"/>
      <c r="Y84"/>
      <c r="Z84"/>
      <c r="AA84"/>
      <c r="AB84"/>
      <c r="AC84"/>
      <c r="AD84"/>
      <c r="AE84"/>
      <c r="AF84"/>
      <c r="AG84"/>
      <c r="AH84"/>
    </row>
    <row r="85" spans="21:34" ht="12.75" customHeight="1">
      <c r="U85"/>
      <c r="V85"/>
      <c r="W85"/>
      <c r="X85"/>
      <c r="Y85"/>
      <c r="Z85"/>
      <c r="AA85"/>
      <c r="AB85"/>
      <c r="AC85"/>
      <c r="AD85"/>
      <c r="AE85"/>
      <c r="AF85"/>
      <c r="AG85"/>
      <c r="AH85"/>
    </row>
    <row r="86" spans="21:34" ht="12.75" customHeight="1">
      <c r="U86"/>
      <c r="V86"/>
      <c r="W86"/>
      <c r="X86"/>
      <c r="Y86"/>
      <c r="Z86"/>
      <c r="AA86"/>
      <c r="AB86"/>
      <c r="AC86"/>
      <c r="AD86"/>
      <c r="AE86"/>
      <c r="AF86"/>
      <c r="AG86"/>
      <c r="AH86"/>
    </row>
    <row r="87" spans="21:34" ht="12.75" customHeight="1">
      <c r="U87"/>
      <c r="V87"/>
      <c r="W87"/>
      <c r="X87"/>
      <c r="Y87"/>
      <c r="Z87"/>
      <c r="AA87"/>
      <c r="AB87"/>
      <c r="AC87"/>
      <c r="AD87"/>
      <c r="AE87"/>
      <c r="AF87"/>
      <c r="AG87"/>
      <c r="AH87"/>
    </row>
    <row r="88" spans="21:34" ht="12.75" customHeight="1">
      <c r="U88"/>
      <c r="V88"/>
      <c r="W88"/>
      <c r="X88"/>
      <c r="Y88"/>
      <c r="Z88"/>
      <c r="AA88"/>
      <c r="AB88"/>
      <c r="AC88"/>
      <c r="AD88"/>
      <c r="AE88"/>
      <c r="AF88"/>
      <c r="AG88"/>
      <c r="AH88"/>
    </row>
    <row r="89" spans="21:34" ht="12.75" customHeight="1">
      <c r="U89"/>
      <c r="V89"/>
      <c r="W89"/>
      <c r="X89"/>
      <c r="Y89"/>
      <c r="Z89"/>
      <c r="AA89"/>
      <c r="AB89"/>
      <c r="AC89"/>
      <c r="AD89"/>
      <c r="AE89"/>
      <c r="AF89"/>
      <c r="AG89"/>
      <c r="AH89"/>
    </row>
    <row r="90" spans="21:34" ht="12.75" customHeight="1">
      <c r="U90"/>
      <c r="V90"/>
      <c r="W90"/>
      <c r="X90"/>
      <c r="Y90"/>
      <c r="Z90"/>
      <c r="AA90"/>
      <c r="AB90"/>
      <c r="AC90"/>
      <c r="AD90"/>
      <c r="AE90"/>
      <c r="AF90"/>
      <c r="AG90"/>
      <c r="AH90"/>
    </row>
    <row r="91" spans="21:34" ht="12.75" customHeight="1">
      <c r="U91"/>
      <c r="V91"/>
      <c r="W91"/>
      <c r="X91"/>
      <c r="Y91"/>
      <c r="Z91"/>
      <c r="AA91"/>
      <c r="AB91"/>
      <c r="AC91"/>
      <c r="AD91"/>
      <c r="AE91"/>
      <c r="AF91"/>
      <c r="AG91"/>
      <c r="AH91"/>
    </row>
    <row r="92" spans="21:34" ht="12.75" customHeight="1">
      <c r="U92"/>
      <c r="V92"/>
      <c r="W92"/>
      <c r="X92"/>
      <c r="Y92"/>
      <c r="Z92"/>
      <c r="AA92"/>
      <c r="AB92"/>
      <c r="AC92"/>
      <c r="AD92"/>
      <c r="AE92"/>
      <c r="AF92"/>
      <c r="AG92"/>
      <c r="AH92"/>
    </row>
    <row r="93" spans="21:34" ht="12.75" customHeight="1">
      <c r="U93"/>
      <c r="V93"/>
      <c r="W93"/>
      <c r="X93"/>
      <c r="Y93"/>
      <c r="Z93"/>
      <c r="AA93"/>
      <c r="AB93"/>
      <c r="AC93"/>
      <c r="AD93"/>
      <c r="AE93"/>
      <c r="AF93"/>
      <c r="AG93"/>
      <c r="AH93"/>
    </row>
    <row r="94" spans="21:34" ht="12.75" customHeight="1">
      <c r="U94"/>
      <c r="V94"/>
      <c r="W94"/>
      <c r="X94"/>
      <c r="Y94"/>
      <c r="Z94"/>
      <c r="AA94"/>
      <c r="AB94"/>
      <c r="AC94"/>
      <c r="AD94"/>
      <c r="AE94"/>
      <c r="AF94"/>
      <c r="AG94"/>
      <c r="AH94"/>
    </row>
    <row r="95" spans="21:34" ht="12.75" customHeight="1">
      <c r="U95"/>
      <c r="V95"/>
      <c r="W95"/>
      <c r="X95"/>
      <c r="Y95"/>
      <c r="Z95"/>
      <c r="AA95"/>
      <c r="AB95"/>
      <c r="AC95"/>
      <c r="AD95"/>
      <c r="AE95"/>
      <c r="AF95"/>
      <c r="AG95"/>
      <c r="AH95"/>
    </row>
    <row r="96" spans="21:34" ht="16.5" customHeight="1">
      <c r="U96"/>
      <c r="V96"/>
      <c r="W96"/>
      <c r="X96"/>
      <c r="Y96"/>
      <c r="Z96"/>
      <c r="AA96"/>
      <c r="AB96"/>
      <c r="AC96"/>
      <c r="AD96"/>
      <c r="AE96"/>
      <c r="AF96"/>
      <c r="AG96"/>
      <c r="AH96"/>
    </row>
    <row r="97" spans="21:34">
      <c r="U97"/>
      <c r="V97"/>
      <c r="W97"/>
      <c r="X97"/>
      <c r="Y97"/>
      <c r="Z97"/>
      <c r="AA97"/>
      <c r="AB97"/>
      <c r="AC97"/>
      <c r="AD97"/>
      <c r="AE97"/>
      <c r="AF97"/>
      <c r="AG97"/>
      <c r="AH97"/>
    </row>
    <row r="98" spans="21:34">
      <c r="U98"/>
      <c r="V98"/>
      <c r="W98"/>
      <c r="X98"/>
      <c r="Y98"/>
      <c r="Z98"/>
      <c r="AA98"/>
      <c r="AB98"/>
      <c r="AC98"/>
      <c r="AD98"/>
      <c r="AE98"/>
      <c r="AF98"/>
      <c r="AG98"/>
      <c r="AH98"/>
    </row>
    <row r="99" spans="21:34">
      <c r="U99"/>
      <c r="V99"/>
      <c r="W99"/>
      <c r="X99"/>
      <c r="Y99"/>
      <c r="Z99"/>
      <c r="AA99"/>
      <c r="AB99"/>
      <c r="AC99"/>
      <c r="AD99"/>
      <c r="AE99"/>
      <c r="AF99"/>
      <c r="AG99"/>
      <c r="AH99"/>
    </row>
    <row r="100" spans="21:34" ht="15" customHeight="1">
      <c r="U100"/>
      <c r="V100"/>
      <c r="W100"/>
      <c r="X100"/>
      <c r="Y100"/>
      <c r="Z100"/>
      <c r="AA100"/>
      <c r="AB100"/>
      <c r="AC100"/>
      <c r="AD100"/>
      <c r="AE100"/>
      <c r="AF100"/>
      <c r="AG100"/>
      <c r="AH100"/>
    </row>
    <row r="101" spans="21:34">
      <c r="U101"/>
      <c r="V101"/>
      <c r="W101"/>
      <c r="X101"/>
      <c r="Y101"/>
      <c r="Z101"/>
      <c r="AA101"/>
      <c r="AB101"/>
      <c r="AC101"/>
      <c r="AD101"/>
      <c r="AE101"/>
      <c r="AF101"/>
      <c r="AG101"/>
      <c r="AH101"/>
    </row>
    <row r="102" spans="21:34">
      <c r="U102"/>
      <c r="V102"/>
      <c r="W102"/>
      <c r="X102"/>
      <c r="Y102"/>
      <c r="Z102"/>
      <c r="AA102"/>
      <c r="AB102"/>
      <c r="AC102"/>
      <c r="AD102"/>
      <c r="AE102"/>
      <c r="AF102"/>
      <c r="AG102"/>
      <c r="AH102"/>
    </row>
    <row r="103" spans="21:34">
      <c r="U103"/>
      <c r="V103"/>
      <c r="W103"/>
      <c r="X103"/>
      <c r="Y103"/>
      <c r="Z103"/>
      <c r="AA103"/>
      <c r="AB103"/>
      <c r="AC103"/>
      <c r="AD103"/>
      <c r="AE103"/>
      <c r="AF103"/>
      <c r="AG103"/>
      <c r="AH103"/>
    </row>
    <row r="104" spans="21:34">
      <c r="U104"/>
      <c r="V104"/>
      <c r="W104"/>
      <c r="X104"/>
      <c r="Y104"/>
      <c r="Z104"/>
      <c r="AA104"/>
      <c r="AB104"/>
      <c r="AC104"/>
      <c r="AD104"/>
      <c r="AE104"/>
      <c r="AF104"/>
      <c r="AG104"/>
      <c r="AH104"/>
    </row>
    <row r="105" spans="21:34">
      <c r="U105"/>
      <c r="V105"/>
      <c r="W105"/>
      <c r="X105"/>
      <c r="Y105"/>
      <c r="Z105"/>
      <c r="AA105"/>
      <c r="AB105"/>
      <c r="AC105"/>
      <c r="AD105"/>
      <c r="AE105"/>
      <c r="AF105"/>
      <c r="AG105"/>
      <c r="AH105"/>
    </row>
    <row r="106" spans="21:34">
      <c r="U106"/>
      <c r="V106"/>
      <c r="W106"/>
      <c r="X106"/>
      <c r="Y106"/>
      <c r="Z106"/>
      <c r="AA106"/>
      <c r="AB106"/>
      <c r="AC106"/>
      <c r="AD106"/>
      <c r="AE106"/>
      <c r="AF106"/>
      <c r="AG106"/>
      <c r="AH106"/>
    </row>
    <row r="107" spans="21:34">
      <c r="U107"/>
      <c r="V107"/>
      <c r="W107"/>
      <c r="X107"/>
      <c r="Y107"/>
      <c r="Z107"/>
      <c r="AA107"/>
      <c r="AB107"/>
      <c r="AC107"/>
      <c r="AD107"/>
      <c r="AE107"/>
      <c r="AF107"/>
      <c r="AG107"/>
      <c r="AH107"/>
    </row>
    <row r="108" spans="21:34">
      <c r="U108"/>
      <c r="V108"/>
      <c r="W108"/>
      <c r="X108"/>
      <c r="Y108"/>
      <c r="Z108"/>
      <c r="AA108"/>
      <c r="AB108"/>
      <c r="AC108"/>
      <c r="AD108"/>
      <c r="AE108"/>
      <c r="AF108"/>
      <c r="AG108"/>
      <c r="AH108"/>
    </row>
    <row r="109" spans="21:34">
      <c r="U109"/>
      <c r="V109"/>
      <c r="W109"/>
      <c r="X109"/>
      <c r="Y109"/>
      <c r="Z109"/>
      <c r="AA109"/>
      <c r="AB109"/>
      <c r="AC109"/>
      <c r="AD109"/>
      <c r="AE109"/>
      <c r="AF109"/>
      <c r="AG109"/>
      <c r="AH109"/>
    </row>
    <row r="110" spans="21:34">
      <c r="U110"/>
      <c r="V110"/>
      <c r="W110"/>
      <c r="X110"/>
      <c r="Y110"/>
      <c r="Z110"/>
      <c r="AA110"/>
      <c r="AB110"/>
      <c r="AC110"/>
      <c r="AD110"/>
      <c r="AE110"/>
      <c r="AF110"/>
      <c r="AG110"/>
      <c r="AH110"/>
    </row>
    <row r="111" spans="21:34">
      <c r="U111"/>
      <c r="V111"/>
      <c r="W111"/>
      <c r="X111"/>
      <c r="Y111"/>
      <c r="Z111"/>
      <c r="AA111"/>
      <c r="AB111"/>
      <c r="AC111"/>
      <c r="AD111"/>
      <c r="AE111"/>
      <c r="AF111"/>
      <c r="AG111"/>
      <c r="AH111"/>
    </row>
    <row r="112" spans="21:34">
      <c r="U112"/>
      <c r="V112"/>
      <c r="W112"/>
      <c r="X112"/>
      <c r="Y112"/>
      <c r="Z112"/>
      <c r="AA112"/>
      <c r="AB112"/>
      <c r="AC112"/>
      <c r="AD112"/>
      <c r="AE112"/>
      <c r="AF112"/>
      <c r="AG112"/>
      <c r="AH112"/>
    </row>
    <row r="113" spans="21:34">
      <c r="U113"/>
      <c r="V113"/>
      <c r="W113"/>
      <c r="X113"/>
      <c r="Y113"/>
      <c r="Z113"/>
      <c r="AA113"/>
      <c r="AB113"/>
      <c r="AC113"/>
      <c r="AD113"/>
      <c r="AE113"/>
      <c r="AF113"/>
      <c r="AG113"/>
      <c r="AH113"/>
    </row>
    <row r="114" spans="21:34">
      <c r="U114"/>
      <c r="V114"/>
      <c r="W114"/>
      <c r="X114"/>
      <c r="Y114"/>
      <c r="Z114"/>
      <c r="AA114"/>
      <c r="AB114"/>
      <c r="AC114"/>
      <c r="AD114"/>
      <c r="AE114"/>
      <c r="AF114"/>
      <c r="AG114"/>
      <c r="AH114"/>
    </row>
    <row r="115" spans="21:34">
      <c r="U115"/>
      <c r="V115"/>
      <c r="W115"/>
      <c r="X115"/>
      <c r="Y115"/>
      <c r="Z115"/>
      <c r="AA115"/>
      <c r="AB115"/>
      <c r="AC115"/>
      <c r="AD115"/>
      <c r="AE115"/>
      <c r="AF115"/>
      <c r="AG115"/>
      <c r="AH115"/>
    </row>
    <row r="116" spans="21:34">
      <c r="U116"/>
      <c r="V116"/>
      <c r="W116"/>
      <c r="X116"/>
      <c r="Y116"/>
      <c r="Z116"/>
      <c r="AA116"/>
      <c r="AB116"/>
      <c r="AC116"/>
      <c r="AD116"/>
      <c r="AE116"/>
      <c r="AF116"/>
      <c r="AG116"/>
      <c r="AH116"/>
    </row>
    <row r="117" spans="21:34">
      <c r="U117"/>
      <c r="V117"/>
      <c r="W117"/>
      <c r="X117"/>
      <c r="Y117"/>
      <c r="Z117"/>
      <c r="AA117"/>
      <c r="AB117"/>
      <c r="AC117"/>
      <c r="AD117"/>
      <c r="AE117"/>
      <c r="AF117"/>
      <c r="AG117"/>
      <c r="AH117"/>
    </row>
    <row r="118" spans="21:34">
      <c r="U118"/>
      <c r="V118"/>
      <c r="W118"/>
      <c r="X118"/>
      <c r="Y118"/>
      <c r="Z118"/>
      <c r="AA118"/>
      <c r="AB118"/>
      <c r="AC118"/>
      <c r="AD118"/>
      <c r="AE118"/>
      <c r="AF118"/>
      <c r="AG118"/>
      <c r="AH118"/>
    </row>
    <row r="119" spans="21:34">
      <c r="U119"/>
      <c r="V119"/>
      <c r="W119"/>
      <c r="X119"/>
      <c r="Y119"/>
      <c r="Z119"/>
      <c r="AA119"/>
      <c r="AB119"/>
      <c r="AC119"/>
      <c r="AD119"/>
      <c r="AE119"/>
      <c r="AF119"/>
      <c r="AG119"/>
      <c r="AH119"/>
    </row>
  </sheetData>
  <sheetProtection password="F07E" sheet="1" objects="1" scenarios="1"/>
  <mergeCells count="19">
    <mergeCell ref="U5:AG5"/>
    <mergeCell ref="C72:J72"/>
    <mergeCell ref="C70:J70"/>
    <mergeCell ref="D61:M61"/>
    <mergeCell ref="D62:M62"/>
    <mergeCell ref="G42:J42"/>
    <mergeCell ref="AD21:AG22"/>
    <mergeCell ref="B53:B56"/>
    <mergeCell ref="N10:O10"/>
    <mergeCell ref="N15:O15"/>
    <mergeCell ref="N14:O14"/>
    <mergeCell ref="N11:O11"/>
    <mergeCell ref="D11:M11"/>
    <mergeCell ref="D12:M12"/>
    <mergeCell ref="D13:M13"/>
    <mergeCell ref="B15:M15"/>
    <mergeCell ref="J18:K18"/>
    <mergeCell ref="I31:J31"/>
    <mergeCell ref="D32:J32"/>
  </mergeCells>
  <phoneticPr fontId="12" type="noConversion"/>
  <conditionalFormatting sqref="B15">
    <cfRule type="expression" dxfId="2208" priority="200">
      <formula>IF(NoColor,1,0)</formula>
    </cfRule>
  </conditionalFormatting>
  <conditionalFormatting sqref="N15:O15">
    <cfRule type="expression" dxfId="2207" priority="199">
      <formula>IF(NoColor,1,0)</formula>
    </cfRule>
  </conditionalFormatting>
  <conditionalFormatting sqref="J18">
    <cfRule type="expression" dxfId="2206" priority="197">
      <formula>IF(NoColor,1,0)</formula>
    </cfRule>
  </conditionalFormatting>
  <conditionalFormatting sqref="M26">
    <cfRule type="expression" dxfId="2205" priority="195">
      <formula>IF(NoColor,1,0)</formula>
    </cfRule>
  </conditionalFormatting>
  <conditionalFormatting sqref="M27">
    <cfRule type="expression" dxfId="2204" priority="194">
      <formula>IF(NoColor,1,0)</formula>
    </cfRule>
  </conditionalFormatting>
  <conditionalFormatting sqref="M22:M24">
    <cfRule type="expression" dxfId="2203" priority="193">
      <formula>IF(NoColor,1,0)</formula>
    </cfRule>
  </conditionalFormatting>
  <conditionalFormatting sqref="I31:J31">
    <cfRule type="expression" dxfId="2202" priority="191">
      <formula>IF(NoColor,1,0)</formula>
    </cfRule>
  </conditionalFormatting>
  <conditionalFormatting sqref="D32:J32">
    <cfRule type="expression" dxfId="2201" priority="190">
      <formula>IF(NoColor,1,0)</formula>
    </cfRule>
  </conditionalFormatting>
  <conditionalFormatting sqref="M32">
    <cfRule type="expression" dxfId="2200" priority="189">
      <formula>IF(NoColor,1,0)</formula>
    </cfRule>
  </conditionalFormatting>
  <conditionalFormatting sqref="D38:J38 E39:J39">
    <cfRule type="expression" dxfId="2199" priority="184">
      <formula>IF(NoColor,1,0)</formula>
    </cfRule>
  </conditionalFormatting>
  <conditionalFormatting sqref="M34">
    <cfRule type="expression" dxfId="2198" priority="188">
      <formula>IF(NoColor,1,0)</formula>
    </cfRule>
  </conditionalFormatting>
  <conditionalFormatting sqref="M52">
    <cfRule type="expression" dxfId="2197" priority="183">
      <formula>IF(NoColor,1,0)</formula>
    </cfRule>
  </conditionalFormatting>
  <conditionalFormatting sqref="O59">
    <cfRule type="expression" dxfId="2196" priority="179">
      <formula>IF(NoColor,1,0)</formula>
    </cfRule>
  </conditionalFormatting>
  <conditionalFormatting sqref="M54">
    <cfRule type="expression" dxfId="2195" priority="182">
      <formula>IF(NoColor,1,0)</formula>
    </cfRule>
  </conditionalFormatting>
  <conditionalFormatting sqref="M55">
    <cfRule type="expression" dxfId="2194" priority="181">
      <formula>IF(NoColor,1,0)</formula>
    </cfRule>
  </conditionalFormatting>
  <conditionalFormatting sqref="D61:D62">
    <cfRule type="expression" dxfId="2193" priority="172">
      <formula>IF(NoColor,1,0)</formula>
    </cfRule>
  </conditionalFormatting>
  <conditionalFormatting sqref="N66">
    <cfRule type="expression" dxfId="2192" priority="169">
      <formula>IF(NoColor,1,0)</formula>
    </cfRule>
  </conditionalFormatting>
  <conditionalFormatting sqref="O62">
    <cfRule type="expression" dxfId="2191" priority="171">
      <formula>IF(NoColor,1,0)</formula>
    </cfRule>
  </conditionalFormatting>
  <conditionalFormatting sqref="O60">
    <cfRule type="expression" dxfId="2190" priority="162">
      <formula>IF(NoColor,1,0)</formula>
    </cfRule>
  </conditionalFormatting>
  <conditionalFormatting sqref="M19">
    <cfRule type="expression" dxfId="2189" priority="160">
      <formula>IF(NoColor,1,0)</formula>
    </cfRule>
  </conditionalFormatting>
  <conditionalFormatting sqref="O20">
    <cfRule type="expression" dxfId="2188" priority="158">
      <formula>IF(NoColor,1,0)</formula>
    </cfRule>
  </conditionalFormatting>
  <conditionalFormatting sqref="O33">
    <cfRule type="expression" dxfId="2187" priority="156">
      <formula>IF(NoColor,1,0)</formula>
    </cfRule>
  </conditionalFormatting>
  <conditionalFormatting sqref="O50">
    <cfRule type="expression" dxfId="2186" priority="154">
      <formula>IF(NoColor,1,0)</formula>
    </cfRule>
  </conditionalFormatting>
  <conditionalFormatting sqref="O56">
    <cfRule type="expression" dxfId="2185" priority="152">
      <formula>IF(NoColor,1,0)</formula>
    </cfRule>
  </conditionalFormatting>
  <conditionalFormatting sqref="Q55">
    <cfRule type="expression" dxfId="2184" priority="92">
      <formula>IF($AD$53,1,0)</formula>
    </cfRule>
  </conditionalFormatting>
  <conditionalFormatting sqref="P55">
    <cfRule type="expression" dxfId="2183" priority="91">
      <formula>IF($AD$53,1,0)</formula>
    </cfRule>
  </conditionalFormatting>
  <conditionalFormatting sqref="V55 U48">
    <cfRule type="expression" dxfId="2182" priority="60" stopIfTrue="1">
      <formula>IF(AND($Y$53,NOT($AA$53)),1,0)</formula>
    </cfRule>
    <cfRule type="expression" dxfId="2181" priority="90">
      <formula>IF($Y$53,1,0)</formula>
    </cfRule>
  </conditionalFormatting>
  <conditionalFormatting sqref="U64">
    <cfRule type="expression" dxfId="2180" priority="82">
      <formula>IF($Z$53,1,0)</formula>
    </cfRule>
  </conditionalFormatting>
  <conditionalFormatting sqref="U55">
    <cfRule type="expression" dxfId="2179" priority="61" stopIfTrue="1">
      <formula>IF(AND($Y$53,NOT($AA$53)),1,0)</formula>
    </cfRule>
    <cfRule type="expression" dxfId="2178" priority="84">
      <formula>IF($Y$53,1,0)</formula>
    </cfRule>
  </conditionalFormatting>
  <conditionalFormatting sqref="V67">
    <cfRule type="expression" dxfId="2177" priority="75">
      <formula>IF($Z$53,1,0)</formula>
    </cfRule>
  </conditionalFormatting>
  <conditionalFormatting sqref="V63">
    <cfRule type="expression" dxfId="2176" priority="79">
      <formula>IF(AND($Y$53,NOT($AA$53)),1,0)</formula>
    </cfRule>
  </conditionalFormatting>
  <conditionalFormatting sqref="U63">
    <cfRule type="expression" dxfId="2175" priority="77">
      <formula>IF(AND($Y$53,NOT($AA$53)),1,0)</formula>
    </cfRule>
  </conditionalFormatting>
  <conditionalFormatting sqref="V68">
    <cfRule type="expression" dxfId="2174" priority="72">
      <formula>IF($Z$53,1,0)</formula>
    </cfRule>
  </conditionalFormatting>
  <conditionalFormatting sqref="V66">
    <cfRule type="expression" dxfId="2173" priority="76">
      <formula>IF($Z$53,1,0)</formula>
    </cfRule>
  </conditionalFormatting>
  <conditionalFormatting sqref="U66">
    <cfRule type="expression" dxfId="2172" priority="74">
      <formula>IF($Z$53,1,0)</formula>
    </cfRule>
  </conditionalFormatting>
  <conditionalFormatting sqref="V69">
    <cfRule type="expression" dxfId="2171" priority="73">
      <formula>IF($Z$53,1,0)</formula>
    </cfRule>
  </conditionalFormatting>
  <conditionalFormatting sqref="AG26">
    <cfRule type="expression" dxfId="2170" priority="69">
      <formula>IF(NoColor,1,0)</formula>
    </cfRule>
  </conditionalFormatting>
  <conditionalFormatting sqref="AG38">
    <cfRule type="expression" dxfId="2169" priority="66">
      <formula>IF(NoColor,1,0)</formula>
    </cfRule>
  </conditionalFormatting>
  <conditionalFormatting sqref="AG29">
    <cfRule type="expression" dxfId="2168" priority="65">
      <formula>IF(NoColor,1,0)</formula>
    </cfRule>
  </conditionalFormatting>
  <conditionalFormatting sqref="V56">
    <cfRule type="expression" dxfId="2167" priority="58" stopIfTrue="1">
      <formula>IF(AND($Y$53,NOT($AA$53)),1,0)</formula>
    </cfRule>
    <cfRule type="expression" dxfId="2166" priority="59">
      <formula>IF($Y$53,1,0)</formula>
    </cfRule>
  </conditionalFormatting>
  <conditionalFormatting sqref="AB56">
    <cfRule type="expression" dxfId="2165" priority="56" stopIfTrue="1">
      <formula>IF(AND($Y$53,NOT($AA$53)),1,0)</formula>
    </cfRule>
    <cfRule type="expression" dxfId="2164" priority="57">
      <formula>IF($Y$53,1,0)</formula>
    </cfRule>
  </conditionalFormatting>
  <conditionalFormatting sqref="V64">
    <cfRule type="expression" dxfId="2163" priority="55">
      <formula>IF(AND($Y$53,NOT($AA$53)),1,0)</formula>
    </cfRule>
  </conditionalFormatting>
  <conditionalFormatting sqref="M25">
    <cfRule type="expression" dxfId="2162" priority="50">
      <formula>IF(NoColor,1,0)</formula>
    </cfRule>
  </conditionalFormatting>
  <conditionalFormatting sqref="M28">
    <cfRule type="expression" dxfId="2161" priority="49">
      <formula>IF(NoColor,1,0)</formula>
    </cfRule>
  </conditionalFormatting>
  <conditionalFormatting sqref="M30">
    <cfRule type="expression" dxfId="2160" priority="46">
      <formula>IF(NoColor,1,0)</formula>
    </cfRule>
  </conditionalFormatting>
  <conditionalFormatting sqref="M21">
    <cfRule type="expression" dxfId="2159" priority="45">
      <formula>IF(NoColor,1,0)</formula>
    </cfRule>
  </conditionalFormatting>
  <conditionalFormatting sqref="M38">
    <cfRule type="expression" dxfId="2158" priority="44">
      <formula>IF(NoColor,1,0)</formula>
    </cfRule>
  </conditionalFormatting>
  <conditionalFormatting sqref="D45 F45:J45">
    <cfRule type="expression" dxfId="2157" priority="43">
      <formula>IF(NoColor,1,0)</formula>
    </cfRule>
  </conditionalFormatting>
  <conditionalFormatting sqref="D40:J41 D43:J43 D42:G42 F44:J44">
    <cfRule type="expression" dxfId="2156" priority="42">
      <formula>IF(NoColor,1,0)</formula>
    </cfRule>
  </conditionalFormatting>
  <conditionalFormatting sqref="M43">
    <cfRule type="expression" dxfId="2155" priority="41">
      <formula>IF(NoColor,1,0)</formula>
    </cfRule>
  </conditionalFormatting>
  <conditionalFormatting sqref="M45">
    <cfRule type="expression" dxfId="2154" priority="40">
      <formula>IF(NoColor,1,0)</formula>
    </cfRule>
  </conditionalFormatting>
  <conditionalFormatting sqref="M46">
    <cfRule type="expression" dxfId="2153" priority="39">
      <formula>IF(NoColor,1,0)</formula>
    </cfRule>
  </conditionalFormatting>
  <conditionalFormatting sqref="M47">
    <cfRule type="expression" dxfId="2152" priority="38">
      <formula>IF(NoColor,1,0)</formula>
    </cfRule>
  </conditionalFormatting>
  <conditionalFormatting sqref="M49">
    <cfRule type="expression" dxfId="2151" priority="37">
      <formula>IF(NoColor,1,0)</formula>
    </cfRule>
  </conditionalFormatting>
  <conditionalFormatting sqref="O64">
    <cfRule type="expression" dxfId="2150" priority="36">
      <formula>IF(NoColor,1,0)</formula>
    </cfRule>
  </conditionalFormatting>
  <conditionalFormatting sqref="K36">
    <cfRule type="expression" dxfId="2149" priority="35">
      <formula>NoColor</formula>
    </cfRule>
  </conditionalFormatting>
  <conditionalFormatting sqref="E10">
    <cfRule type="expression" dxfId="2148" priority="34">
      <formula>NOT(Draft)</formula>
    </cfRule>
  </conditionalFormatting>
  <conditionalFormatting sqref="M10">
    <cfRule type="expression" dxfId="2147" priority="33">
      <formula>NOT(Draft)</formula>
    </cfRule>
  </conditionalFormatting>
  <conditionalFormatting sqref="M17">
    <cfRule type="expression" dxfId="2146" priority="32">
      <formula>IF(NoColor,1,0)</formula>
    </cfRule>
  </conditionalFormatting>
  <conditionalFormatting sqref="AG8:AG12">
    <cfRule type="expression" dxfId="2145" priority="31">
      <formula>(File_Marr_Joint="")</formula>
    </cfRule>
  </conditionalFormatting>
  <conditionalFormatting sqref="AG6">
    <cfRule type="expression" dxfId="2144" priority="30">
      <formula>(File_Marr_Joint="")</formula>
    </cfRule>
  </conditionalFormatting>
  <conditionalFormatting sqref="AD6">
    <cfRule type="expression" dxfId="2143" priority="29">
      <formula>(File_Marr_Joint="")</formula>
    </cfRule>
  </conditionalFormatting>
  <conditionalFormatting sqref="K25">
    <cfRule type="expression" dxfId="2142" priority="28">
      <formula>NoColor</formula>
    </cfRule>
  </conditionalFormatting>
  <conditionalFormatting sqref="AG32">
    <cfRule type="expression" dxfId="2141" priority="27">
      <formula>IF(NoColor,1,0)</formula>
    </cfRule>
  </conditionalFormatting>
  <conditionalFormatting sqref="AD8">
    <cfRule type="expression" dxfId="2140" priority="26">
      <formula>NoColor</formula>
    </cfRule>
  </conditionalFormatting>
  <conditionalFormatting sqref="AG16">
    <cfRule type="expression" dxfId="2139" priority="25">
      <formula>NoColor</formula>
    </cfRule>
  </conditionalFormatting>
  <conditionalFormatting sqref="AD10">
    <cfRule type="expression" dxfId="2138" priority="24">
      <formula>NoColor</formula>
    </cfRule>
  </conditionalFormatting>
  <conditionalFormatting sqref="AD12">
    <cfRule type="expression" dxfId="2137" priority="23">
      <formula>NoColor</formula>
    </cfRule>
  </conditionalFormatting>
  <conditionalFormatting sqref="AG14">
    <cfRule type="expression" dxfId="2136" priority="22">
      <formula>NoColor</formula>
    </cfRule>
  </conditionalFormatting>
  <conditionalFormatting sqref="AG18">
    <cfRule type="expression" dxfId="2135" priority="21">
      <formula>NoColor</formula>
    </cfRule>
  </conditionalFormatting>
  <conditionalFormatting sqref="V45:V48">
    <cfRule type="expression" dxfId="2134" priority="17" stopIfTrue="1">
      <formula>IF(AND($Y$53,NOT($AA$53)),1,0)</formula>
    </cfRule>
    <cfRule type="expression" dxfId="2133" priority="20">
      <formula>IF($Y$53,1,0)</formula>
    </cfRule>
  </conditionalFormatting>
  <conditionalFormatting sqref="U46">
    <cfRule type="expression" dxfId="2132" priority="18" stopIfTrue="1">
      <formula>IF(AND($Y$53,NOT($AA$53)),1,0)</formula>
    </cfRule>
    <cfRule type="expression" dxfId="2131" priority="19">
      <formula>IF($Y$53,1,0)</formula>
    </cfRule>
  </conditionalFormatting>
  <conditionalFormatting sqref="S39">
    <cfRule type="expression" dxfId="2130" priority="8">
      <formula>$M$47=0</formula>
    </cfRule>
  </conditionalFormatting>
  <conditionalFormatting sqref="S40">
    <cfRule type="expression" dxfId="2129" priority="7">
      <formula>$M$47=0</formula>
    </cfRule>
  </conditionalFormatting>
  <conditionalFormatting sqref="S41">
    <cfRule type="expression" dxfId="2128" priority="6">
      <formula>$M$47=0</formula>
    </cfRule>
  </conditionalFormatting>
  <conditionalFormatting sqref="S44">
    <cfRule type="expression" dxfId="2127" priority="3">
      <formula>$M$47=0</formula>
    </cfRule>
  </conditionalFormatting>
  <conditionalFormatting sqref="S43">
    <cfRule type="expression" dxfId="2126" priority="2">
      <formula>$M$47=0</formula>
    </cfRule>
  </conditionalFormatting>
  <conditionalFormatting sqref="AG35">
    <cfRule type="expression" dxfId="2125" priority="1">
      <formula>IF(NoColor,1,0)</formula>
    </cfRule>
  </conditionalFormatting>
  <hyperlinks>
    <hyperlink ref="C70:J70" r:id="rId1" display="Download Form 1040 Schedules A&amp;B"/>
    <hyperlink ref="C72:J72" r:id="rId2" display="Download Form 1040 Schedule A&amp;B Instructions"/>
  </hyperlinks>
  <printOptions horizontalCentered="1" verticalCentered="1"/>
  <pageMargins left="0.37" right="0.25" top="0.19" bottom="0.2" header="0.25" footer="0.21"/>
  <pageSetup scale="89" fitToHeight="0" orientation="portrait" horizontalDpi="120" verticalDpi="144" r:id="rId3"/>
  <headerFooter alignWithMargins="0"/>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E77"/>
  <sheetViews>
    <sheetView zoomScaleNormal="100" zoomScaleSheetLayoutView="100" workbookViewId="0">
      <selection activeCell="H9" sqref="H9:O9"/>
    </sheetView>
  </sheetViews>
  <sheetFormatPr defaultRowHeight="12.75"/>
  <cols>
    <col min="1" max="1" width="1.85546875" style="46" customWidth="1"/>
    <col min="2" max="2" width="14.28515625" customWidth="1"/>
    <col min="3" max="3" width="2.7109375" customWidth="1"/>
    <col min="4" max="4" width="19.85546875" customWidth="1"/>
    <col min="5" max="5" width="19" customWidth="1"/>
    <col min="6" max="6" width="9.140625" customWidth="1"/>
    <col min="7" max="7" width="20" customWidth="1"/>
    <col min="8" max="8" width="3.140625" customWidth="1"/>
    <col min="9" max="9" width="3.42578125" customWidth="1"/>
    <col min="10" max="14" width="1.5703125" customWidth="1"/>
    <col min="15" max="15" width="3.42578125" customWidth="1"/>
    <col min="16" max="16" width="1.85546875" customWidth="1"/>
    <col min="17" max="17" width="2.5703125" customWidth="1"/>
    <col min="18" max="18" width="4.42578125" style="277" customWidth="1"/>
    <col min="19" max="29" width="10.7109375" style="3169" customWidth="1"/>
    <col min="30" max="31" width="4.42578125" style="277" customWidth="1"/>
  </cols>
  <sheetData>
    <row r="1" spans="1:31" s="46" customFormat="1" ht="15.75" customHeight="1">
      <c r="A1" s="82"/>
      <c r="B1" s="82"/>
      <c r="C1" s="82"/>
      <c r="D1" s="82"/>
      <c r="E1" s="82"/>
      <c r="F1" s="82"/>
      <c r="G1" s="82"/>
      <c r="H1" s="82"/>
      <c r="I1" s="82"/>
      <c r="J1" s="82"/>
      <c r="K1" s="82"/>
      <c r="L1" s="82"/>
      <c r="M1" s="82"/>
      <c r="N1" s="82"/>
      <c r="O1" s="82"/>
      <c r="P1" s="82"/>
      <c r="R1" s="323"/>
      <c r="S1" s="3168" t="s">
        <v>2552</v>
      </c>
      <c r="T1" s="3169"/>
      <c r="U1" s="3169"/>
      <c r="V1" s="3169"/>
      <c r="W1" s="3169"/>
      <c r="X1" s="3169"/>
      <c r="Y1" s="3169"/>
      <c r="Z1" s="3169"/>
      <c r="AA1" s="3169"/>
      <c r="AB1" s="3169"/>
      <c r="AC1" s="3169"/>
      <c r="AD1" s="323"/>
      <c r="AE1" s="323"/>
    </row>
    <row r="2" spans="1:31" s="46" customFormat="1" ht="8.25" customHeight="1">
      <c r="A2" s="82"/>
      <c r="B2" s="32"/>
      <c r="C2" s="274"/>
      <c r="D2" s="32"/>
      <c r="E2" s="32"/>
      <c r="F2" s="32"/>
      <c r="G2" s="32"/>
      <c r="H2" s="32"/>
      <c r="I2" s="5945" t="s">
        <v>169</v>
      </c>
      <c r="J2" s="5946"/>
      <c r="K2" s="5946"/>
      <c r="L2" s="5946"/>
      <c r="M2" s="5946"/>
      <c r="N2" s="5946"/>
      <c r="O2" s="5946"/>
      <c r="P2" s="82"/>
      <c r="R2" s="323"/>
      <c r="S2" s="3169"/>
      <c r="T2" s="3169"/>
      <c r="U2" s="3169"/>
      <c r="V2" s="3169"/>
      <c r="W2" s="3169"/>
      <c r="X2" s="3169"/>
      <c r="Y2" s="3169"/>
      <c r="Z2" s="3169"/>
      <c r="AA2" s="3169"/>
      <c r="AB2" s="3169"/>
      <c r="AC2" s="3169"/>
      <c r="AD2" s="323"/>
      <c r="AE2" s="323"/>
    </row>
    <row r="3" spans="1:31" s="46" customFormat="1" ht="12.75" customHeight="1">
      <c r="A3" s="82"/>
      <c r="B3" s="355" t="s">
        <v>282</v>
      </c>
      <c r="C3" s="274"/>
      <c r="D3" s="4001"/>
      <c r="E3" s="3998"/>
      <c r="F3" s="3998"/>
      <c r="G3" s="3998"/>
      <c r="H3" s="3999"/>
      <c r="I3" s="5947"/>
      <c r="J3" s="5948"/>
      <c r="K3" s="5948"/>
      <c r="L3" s="5948"/>
      <c r="M3" s="5948"/>
      <c r="N3" s="5948"/>
      <c r="O3" s="5948"/>
      <c r="P3" s="82"/>
      <c r="R3" s="323"/>
      <c r="S3" s="3169"/>
      <c r="T3" s="3169"/>
      <c r="U3" s="3169"/>
      <c r="V3" s="3169"/>
      <c r="W3" s="3169"/>
      <c r="X3" s="3169"/>
      <c r="Y3" s="3169"/>
      <c r="Z3" s="3169"/>
      <c r="AA3" s="3169"/>
      <c r="AB3" s="3169"/>
      <c r="AC3" s="3169"/>
      <c r="AD3" s="323"/>
      <c r="AE3" s="323"/>
    </row>
    <row r="4" spans="1:31" s="46" customFormat="1" ht="16.5" customHeight="1">
      <c r="A4" s="82"/>
      <c r="B4" s="1219" t="s">
        <v>201</v>
      </c>
      <c r="C4" s="274"/>
      <c r="D4" s="5906" t="s">
        <v>283</v>
      </c>
      <c r="E4" s="5907"/>
      <c r="F4" s="5907"/>
      <c r="G4" s="5907"/>
      <c r="H4" s="5908"/>
      <c r="I4" s="5949">
        <f>TaxYear</f>
        <v>2018</v>
      </c>
      <c r="J4" s="5950"/>
      <c r="K4" s="5950"/>
      <c r="L4" s="5950"/>
      <c r="M4" s="5950"/>
      <c r="N4" s="5950"/>
      <c r="O4" s="5950"/>
      <c r="P4" s="82"/>
      <c r="R4" s="323"/>
      <c r="S4" s="3169"/>
      <c r="T4" s="3169"/>
      <c r="U4" s="3169"/>
      <c r="V4" s="3169"/>
      <c r="W4" s="3169"/>
      <c r="X4" s="3169"/>
      <c r="Y4" s="3169"/>
      <c r="Z4" s="3169"/>
      <c r="AA4" s="3169"/>
      <c r="AB4" s="3169"/>
      <c r="AC4" s="3169"/>
      <c r="AD4" s="323"/>
      <c r="AE4" s="323"/>
    </row>
    <row r="5" spans="1:31" s="46" customFormat="1" ht="12" customHeight="1">
      <c r="A5" s="82"/>
      <c r="B5" s="4000"/>
      <c r="C5" s="274"/>
      <c r="D5" s="5873" t="s">
        <v>3227</v>
      </c>
      <c r="E5" s="5874"/>
      <c r="F5" s="5874"/>
      <c r="G5" s="5874"/>
      <c r="H5" s="5875"/>
      <c r="I5" s="5951"/>
      <c r="J5" s="5952"/>
      <c r="K5" s="5952"/>
      <c r="L5" s="5952"/>
      <c r="M5" s="5952"/>
      <c r="N5" s="5952"/>
      <c r="O5" s="5952"/>
      <c r="P5" s="82"/>
      <c r="R5" s="323"/>
      <c r="S5" s="3169"/>
      <c r="T5" s="3169"/>
      <c r="U5" s="3169"/>
      <c r="V5" s="3169"/>
      <c r="W5" s="3169"/>
      <c r="X5" s="3169"/>
      <c r="Y5" s="3169"/>
      <c r="Z5" s="3169"/>
      <c r="AA5" s="3169"/>
      <c r="AB5" s="3169"/>
      <c r="AC5" s="3169"/>
      <c r="AD5" s="323"/>
      <c r="AE5" s="323"/>
    </row>
    <row r="6" spans="1:31" s="46" customFormat="1" ht="10.5" customHeight="1">
      <c r="A6" s="82"/>
      <c r="B6" s="1063" t="s">
        <v>202</v>
      </c>
      <c r="C6" s="274"/>
      <c r="D6" s="5912" t="s">
        <v>871</v>
      </c>
      <c r="E6" s="5913"/>
      <c r="F6" s="5913"/>
      <c r="G6" s="5913"/>
      <c r="H6" s="5914"/>
      <c r="I6" s="4770" t="s">
        <v>4431</v>
      </c>
      <c r="J6" s="349"/>
      <c r="K6" s="349"/>
      <c r="L6" s="349"/>
      <c r="M6" s="349"/>
      <c r="N6" s="349"/>
      <c r="O6" s="32"/>
      <c r="P6" s="82"/>
      <c r="R6" s="323"/>
      <c r="S6" s="3169"/>
      <c r="T6" s="3169"/>
      <c r="U6" s="3169"/>
      <c r="V6" s="3169"/>
      <c r="W6" s="3169"/>
      <c r="X6" s="3169"/>
      <c r="Y6" s="3169"/>
      <c r="Z6" s="3169"/>
      <c r="AA6" s="3169"/>
      <c r="AB6" s="3169"/>
      <c r="AC6" s="3169"/>
      <c r="AD6" s="323"/>
      <c r="AE6" s="323"/>
    </row>
    <row r="7" spans="1:31" ht="11.25" customHeight="1" thickBot="1">
      <c r="A7" s="82"/>
      <c r="B7" s="1063" t="s">
        <v>257</v>
      </c>
      <c r="C7" s="947"/>
      <c r="D7" s="1502"/>
      <c r="E7" s="31"/>
      <c r="F7" s="31"/>
      <c r="G7" s="31"/>
      <c r="H7" s="31"/>
      <c r="I7" s="3997" t="s">
        <v>4430</v>
      </c>
      <c r="J7" s="1151"/>
      <c r="K7" s="1151"/>
      <c r="L7" s="1151"/>
      <c r="M7" s="1151"/>
      <c r="N7" s="1151"/>
      <c r="O7" s="31"/>
      <c r="P7" s="635"/>
    </row>
    <row r="8" spans="1:31" ht="11.25" customHeight="1">
      <c r="A8" s="82"/>
      <c r="B8" s="589" t="s">
        <v>63</v>
      </c>
      <c r="C8" s="167"/>
      <c r="D8" s="590"/>
      <c r="E8" s="590"/>
      <c r="F8" s="590"/>
      <c r="G8" s="591"/>
      <c r="H8" s="5915" t="s">
        <v>99</v>
      </c>
      <c r="I8" s="5916"/>
      <c r="J8" s="5916"/>
      <c r="K8" s="5916"/>
      <c r="L8" s="5916"/>
      <c r="M8" s="5916"/>
      <c r="N8" s="5916"/>
      <c r="O8" s="5916"/>
      <c r="P8" s="635"/>
    </row>
    <row r="9" spans="1:31" ht="17.25" customHeight="1">
      <c r="A9" s="82"/>
      <c r="B9" s="1632" t="str">
        <f>Names</f>
        <v/>
      </c>
      <c r="C9" s="1633"/>
      <c r="D9" s="1634"/>
      <c r="E9" s="1634"/>
      <c r="F9" s="1634"/>
      <c r="G9" s="1634"/>
      <c r="H9" s="5917">
        <f>IF(NoSSN,"",SS_Yours)</f>
        <v>0</v>
      </c>
      <c r="I9" s="5918"/>
      <c r="J9" s="5918"/>
      <c r="K9" s="5918"/>
      <c r="L9" s="5918"/>
      <c r="M9" s="5918"/>
      <c r="N9" s="5918"/>
      <c r="O9" s="5918"/>
      <c r="P9" s="635"/>
    </row>
    <row r="10" spans="1:31" ht="13.5" customHeight="1">
      <c r="A10" s="82"/>
      <c r="B10" s="23" t="s">
        <v>58</v>
      </c>
      <c r="C10" s="23">
        <v>1</v>
      </c>
      <c r="D10" s="171" t="s">
        <v>64</v>
      </c>
      <c r="E10" s="21"/>
      <c r="F10" s="21"/>
      <c r="G10" s="21"/>
      <c r="H10" s="346"/>
      <c r="I10" s="5919" t="s">
        <v>42</v>
      </c>
      <c r="J10" s="5920"/>
      <c r="K10" s="5920"/>
      <c r="L10" s="5920"/>
      <c r="M10" s="5920"/>
      <c r="N10" s="5920"/>
      <c r="O10" s="5920"/>
      <c r="P10" s="635"/>
    </row>
    <row r="11" spans="1:31" ht="12" customHeight="1">
      <c r="A11" s="82"/>
      <c r="B11" s="23" t="s">
        <v>443</v>
      </c>
      <c r="C11" s="23"/>
      <c r="D11" s="171" t="s">
        <v>2478</v>
      </c>
      <c r="E11" s="21"/>
      <c r="F11" s="21"/>
      <c r="G11" s="21"/>
      <c r="H11" s="347"/>
      <c r="I11" s="5921"/>
      <c r="J11" s="5922"/>
      <c r="K11" s="5922"/>
      <c r="L11" s="5922"/>
      <c r="M11" s="5922"/>
      <c r="N11" s="5922"/>
      <c r="O11" s="5922"/>
      <c r="P11" s="635"/>
    </row>
    <row r="12" spans="1:31" ht="12.75" customHeight="1">
      <c r="A12" s="82"/>
      <c r="B12" s="21"/>
      <c r="C12" s="23"/>
      <c r="D12" s="171" t="s">
        <v>2479</v>
      </c>
      <c r="E12" s="21"/>
      <c r="F12" s="21"/>
      <c r="G12" s="259"/>
      <c r="H12" s="347"/>
      <c r="I12" s="5903"/>
      <c r="J12" s="5904"/>
      <c r="K12" s="5904"/>
      <c r="L12" s="5904"/>
      <c r="M12" s="5904"/>
      <c r="N12" s="5904"/>
      <c r="O12" s="5905"/>
      <c r="P12" s="635"/>
      <c r="T12" s="3175"/>
    </row>
    <row r="13" spans="1:31" ht="12.75" customHeight="1">
      <c r="A13" s="82"/>
      <c r="B13" s="171" t="s">
        <v>65</v>
      </c>
      <c r="C13" s="23"/>
      <c r="D13" s="5900" t="str">
        <f>IF('1099-INT'!D30="","Use sheet '1099-INT' to enter interest amounts.",'1099-INT'!D30)</f>
        <v>Use sheet '1099-INT' to enter interest amounts.</v>
      </c>
      <c r="E13" s="5901"/>
      <c r="F13" s="5901"/>
      <c r="G13" s="5902"/>
      <c r="H13" s="347"/>
      <c r="I13" s="5909" t="str">
        <f>IF(AND('1099-INT'!D6="",'1099-INT'!D26="",'1099-INT'!D17=""),"",ROUND(SUM('1099-INT'!D6,'1099-INT'!D17,'1099-INT'!D26),2))</f>
        <v/>
      </c>
      <c r="J13" s="5910"/>
      <c r="K13" s="5910"/>
      <c r="L13" s="5910"/>
      <c r="M13" s="5910"/>
      <c r="N13" s="5910"/>
      <c r="O13" s="5911"/>
      <c r="P13" s="635"/>
      <c r="R13" s="1642"/>
      <c r="S13" s="3175" t="s">
        <v>2130</v>
      </c>
      <c r="AD13" s="1642"/>
      <c r="AE13" s="1642"/>
    </row>
    <row r="14" spans="1:31" ht="12.75" customHeight="1">
      <c r="A14" s="82"/>
      <c r="B14" s="171" t="s">
        <v>2480</v>
      </c>
      <c r="C14" s="23"/>
      <c r="D14" s="5900" t="str">
        <f>IF('1099-INT'!E30="","",'1099-INT'!E30)</f>
        <v/>
      </c>
      <c r="E14" s="5901"/>
      <c r="F14" s="5901"/>
      <c r="G14" s="5902"/>
      <c r="H14" s="347"/>
      <c r="I14" s="5909" t="str">
        <f>IF(AND('1099-INT'!E6="",'1099-INT'!E26="",'1099-INT'!E17=""),"",ROUND(SUM('1099-INT'!E6,'1099-INT'!E17,'1099-INT'!E26),2))</f>
        <v/>
      </c>
      <c r="J14" s="5910"/>
      <c r="K14" s="5910"/>
      <c r="L14" s="5910"/>
      <c r="M14" s="5910"/>
      <c r="N14" s="5910"/>
      <c r="O14" s="5911"/>
      <c r="P14" s="635"/>
      <c r="R14" s="1642"/>
      <c r="S14" s="3175" t="s">
        <v>2838</v>
      </c>
      <c r="AD14" s="1642"/>
      <c r="AE14" s="1642"/>
    </row>
    <row r="15" spans="1:31" ht="12.75" customHeight="1">
      <c r="A15" s="82"/>
      <c r="B15" s="171" t="s">
        <v>518</v>
      </c>
      <c r="C15" s="23"/>
      <c r="D15" s="5900" t="str">
        <f>IF('1099-INT'!F27="","",'1099-INT'!F30)</f>
        <v/>
      </c>
      <c r="E15" s="5901"/>
      <c r="F15" s="5901"/>
      <c r="G15" s="5902"/>
      <c r="H15" s="347"/>
      <c r="I15" s="5909" t="str">
        <f>IF(AND('1099-INT'!F6="",'1099-INT'!F26="",'1099-INT'!F17=""),"",ROUND(SUM('1099-INT'!F6,'1099-INT'!F$17,'1099-INT'!F$26),2))</f>
        <v/>
      </c>
      <c r="J15" s="5910"/>
      <c r="K15" s="5910"/>
      <c r="L15" s="5910"/>
      <c r="M15" s="5910"/>
      <c r="N15" s="5910"/>
      <c r="O15" s="5911"/>
      <c r="P15" s="635"/>
      <c r="R15" s="1642"/>
      <c r="AD15" s="1642"/>
      <c r="AE15" s="1642"/>
    </row>
    <row r="16" spans="1:31" ht="12.75" customHeight="1">
      <c r="A16" s="82"/>
      <c r="B16" s="171" t="s">
        <v>519</v>
      </c>
      <c r="C16" s="23"/>
      <c r="D16" s="5900" t="str">
        <f>IF('1099-INT'!G27="","",'1099-INT'!G30)</f>
        <v/>
      </c>
      <c r="E16" s="5901"/>
      <c r="F16" s="5901"/>
      <c r="G16" s="5902"/>
      <c r="H16" s="347"/>
      <c r="I16" s="5909" t="str">
        <f>IF(AND('1099-INT'!G6="",'1099-INT'!G26="",'1099-INT'!G17=""),"",ROUND(SUM('1099-INT'!G6,'1099-INT'!G$17,'1099-INT'!G$26),2))</f>
        <v/>
      </c>
      <c r="J16" s="5910"/>
      <c r="K16" s="5910"/>
      <c r="L16" s="5910"/>
      <c r="M16" s="5910"/>
      <c r="N16" s="5910"/>
      <c r="O16" s="5911"/>
      <c r="P16" s="635"/>
      <c r="R16" s="1642"/>
      <c r="S16" s="3169" t="s">
        <v>2553</v>
      </c>
      <c r="AD16" s="1642"/>
      <c r="AE16" s="1642"/>
    </row>
    <row r="17" spans="1:31" ht="12.75" customHeight="1">
      <c r="A17" s="82"/>
      <c r="B17" s="171" t="s">
        <v>3228</v>
      </c>
      <c r="C17" s="23"/>
      <c r="D17" s="5900" t="str">
        <f>IF('1099-INT'!H27="","",'1099-INT'!H30)</f>
        <v/>
      </c>
      <c r="E17" s="5901"/>
      <c r="F17" s="5901"/>
      <c r="G17" s="5902"/>
      <c r="H17" s="347"/>
      <c r="I17" s="5909" t="str">
        <f>IF(AND('1099-INT'!H6="",'1099-INT'!H26="",'1099-INT'!H17=""),"",ROUND(SUM('1099-INT'!H6,'1099-INT'!H$17,'1099-INT'!H$26),2))</f>
        <v/>
      </c>
      <c r="J17" s="5910"/>
      <c r="K17" s="5910"/>
      <c r="L17" s="5910"/>
      <c r="M17" s="5910"/>
      <c r="N17" s="5910"/>
      <c r="O17" s="5911"/>
      <c r="P17" s="635"/>
      <c r="R17" s="1642"/>
      <c r="AD17" s="1642"/>
      <c r="AE17" s="1642"/>
    </row>
    <row r="18" spans="1:31" ht="12.75" customHeight="1">
      <c r="A18" s="82"/>
      <c r="B18" s="171"/>
      <c r="C18" s="23"/>
      <c r="D18" s="5900" t="str">
        <f>IF('1099-INT'!D56="","",'1099-INT'!D59)</f>
        <v/>
      </c>
      <c r="E18" s="5901"/>
      <c r="F18" s="5901"/>
      <c r="G18" s="5902"/>
      <c r="H18" s="347"/>
      <c r="I18" s="5909" t="str">
        <f>IF(AND('1099-INT'!D35="",'1099-INT'!D55="",'1099-INT'!D46=""),"",ROUND(SUM('1099-INT'!D$35,'1099-INT'!D$46,'1099-INT'!D$55),2))</f>
        <v/>
      </c>
      <c r="J18" s="5910"/>
      <c r="K18" s="5910"/>
      <c r="L18" s="5910"/>
      <c r="M18" s="5910"/>
      <c r="N18" s="5910"/>
      <c r="O18" s="5911"/>
      <c r="P18" s="635"/>
      <c r="R18" s="1642"/>
      <c r="S18" s="3175" t="s">
        <v>2849</v>
      </c>
      <c r="AD18" s="1642"/>
      <c r="AE18" s="1642"/>
    </row>
    <row r="19" spans="1:31" ht="12.75" customHeight="1">
      <c r="A19" s="82"/>
      <c r="B19" s="156"/>
      <c r="C19" s="23"/>
      <c r="D19" s="5900" t="str">
        <f>IF('1099-INT'!E56="","",'1099-INT'!E59)</f>
        <v/>
      </c>
      <c r="E19" s="5901"/>
      <c r="F19" s="5901"/>
      <c r="G19" s="5902"/>
      <c r="H19" s="347"/>
      <c r="I19" s="5909" t="str">
        <f>IF(AND('1099-INT'!E35="",'1099-INT'!E55="",'1099-INT'!E46=""),"",ROUND(SUM('1099-INT'!E$35,'1099-INT'!E$46,'1099-INT'!E$55),2))</f>
        <v/>
      </c>
      <c r="J19" s="5910"/>
      <c r="K19" s="5910"/>
      <c r="L19" s="5910"/>
      <c r="M19" s="5910"/>
      <c r="N19" s="5910"/>
      <c r="O19" s="5911"/>
      <c r="P19" s="635"/>
      <c r="R19" s="1642"/>
      <c r="AD19" s="1642"/>
      <c r="AE19" s="1642"/>
    </row>
    <row r="20" spans="1:31" ht="12.75" customHeight="1">
      <c r="A20" s="82"/>
      <c r="B20" s="147" t="s">
        <v>3229</v>
      </c>
      <c r="C20" s="23"/>
      <c r="D20" s="5900" t="str">
        <f>IF('1099-INT'!F56="","",'1099-INT'!F59)</f>
        <v/>
      </c>
      <c r="E20" s="5901"/>
      <c r="F20" s="5901"/>
      <c r="G20" s="5902"/>
      <c r="H20" s="347"/>
      <c r="I20" s="5909" t="str">
        <f>IF(AND('1099-INT'!F35="",'1099-INT'!F55="",'1099-INT'!F46=""),"",ROUND(SUM('1099-INT'!F$35,'1099-INT'!F$46,'1099-INT'!F$55),2))</f>
        <v/>
      </c>
      <c r="J20" s="5910"/>
      <c r="K20" s="5910"/>
      <c r="L20" s="5910"/>
      <c r="M20" s="5910"/>
      <c r="N20" s="5910"/>
      <c r="O20" s="5911"/>
      <c r="P20" s="635"/>
      <c r="R20" s="1642"/>
      <c r="AD20" s="1642"/>
      <c r="AE20" s="1642"/>
    </row>
    <row r="21" spans="1:31" ht="12.75" customHeight="1">
      <c r="A21" s="82"/>
      <c r="B21" s="5862" t="s">
        <v>872</v>
      </c>
      <c r="C21" s="23"/>
      <c r="D21" s="5900" t="str">
        <f>IF('1099-INT'!G56="","",'1099-INT'!G59)</f>
        <v/>
      </c>
      <c r="E21" s="5901"/>
      <c r="F21" s="5901"/>
      <c r="G21" s="5902"/>
      <c r="H21" s="347">
        <v>1</v>
      </c>
      <c r="I21" s="5909" t="str">
        <f>IF(AND('1099-INT'!G35="",'1099-INT'!G55="",'1099-INT'!G46=""),"",ROUND(SUM('1099-INT'!G$35,'1099-INT'!G$46,'1099-INT'!G$55),2))</f>
        <v/>
      </c>
      <c r="J21" s="5910"/>
      <c r="K21" s="5910"/>
      <c r="L21" s="5910"/>
      <c r="M21" s="5910"/>
      <c r="N21" s="5910"/>
      <c r="O21" s="5911"/>
      <c r="P21" s="635"/>
      <c r="R21" s="1642"/>
      <c r="AD21" s="1642"/>
      <c r="AE21" s="1642"/>
    </row>
    <row r="22" spans="1:31" ht="12.75" customHeight="1">
      <c r="A22" s="82"/>
      <c r="B22" s="5862"/>
      <c r="C22" s="23"/>
      <c r="D22" s="5900" t="str">
        <f>IF('1099-INT'!H56="","",'1099-INT'!H59)</f>
        <v/>
      </c>
      <c r="E22" s="5901"/>
      <c r="F22" s="5901"/>
      <c r="G22" s="5902"/>
      <c r="H22" s="347"/>
      <c r="I22" s="5909" t="str">
        <f>IF(AND('1099-INT'!H35="",'1099-INT'!H55="",'1099-INT'!H46=""),"",ROUND(SUM('1099-INT'!H$35,'1099-INT'!H$46,'1099-INT'!H$55),2))</f>
        <v/>
      </c>
      <c r="J22" s="5910"/>
      <c r="K22" s="5910"/>
      <c r="L22" s="5910"/>
      <c r="M22" s="5910"/>
      <c r="N22" s="5910"/>
      <c r="O22" s="5911"/>
      <c r="P22" s="635"/>
      <c r="R22" s="1642"/>
      <c r="AD22" s="1642"/>
      <c r="AE22" s="1642"/>
    </row>
    <row r="23" spans="1:31" ht="12.75" customHeight="1">
      <c r="A23" s="82"/>
      <c r="B23" s="5862"/>
      <c r="C23" s="23"/>
      <c r="D23" s="5900" t="str">
        <f>IF('1099-INT'!D86="","",'1099-INT'!D89)</f>
        <v/>
      </c>
      <c r="E23" s="5901"/>
      <c r="F23" s="5901"/>
      <c r="G23" s="5902"/>
      <c r="H23" s="347"/>
      <c r="I23" s="5938" t="str">
        <f>IF(AND('1099-INT'!D65="",'1099-INT'!D85="",'1099-INT'!D76=""),"",ROUND(SUM('1099-INT'!D65,'1099-INT'!D76,'1099-INT'!D85),2))</f>
        <v/>
      </c>
      <c r="J23" s="5939"/>
      <c r="K23" s="5939"/>
      <c r="L23" s="5939"/>
      <c r="M23" s="5939"/>
      <c r="N23" s="5939"/>
      <c r="O23" s="5940"/>
      <c r="P23" s="635"/>
      <c r="R23" s="1642"/>
      <c r="AD23" s="1642"/>
      <c r="AE23" s="1642"/>
    </row>
    <row r="24" spans="1:31" ht="12.75" customHeight="1">
      <c r="A24" s="82"/>
      <c r="B24" s="5862"/>
      <c r="C24" s="23"/>
      <c r="D24" s="5900" t="str">
        <f>IF('1099-INT'!E86="","",'1099-INT'!E89)</f>
        <v/>
      </c>
      <c r="E24" s="5901"/>
      <c r="F24" s="5901"/>
      <c r="G24" s="5902"/>
      <c r="H24" s="347"/>
      <c r="I24" s="5938" t="str">
        <f>IF(AND('1099-INT'!E65="",'1099-INT'!E85="",'1099-INT'!E76=""),"",ROUND(SUM('1099-INT'!E65,'1099-INT'!E76,'1099-INT'!E85),2))</f>
        <v/>
      </c>
      <c r="J24" s="5939"/>
      <c r="K24" s="5939"/>
      <c r="L24" s="5939"/>
      <c r="M24" s="5939"/>
      <c r="N24" s="5939"/>
      <c r="O24" s="5940"/>
      <c r="P24" s="635"/>
      <c r="R24" s="1642"/>
      <c r="AD24" s="1642"/>
      <c r="AE24" s="1642"/>
    </row>
    <row r="25" spans="1:31" ht="12.75" customHeight="1">
      <c r="A25" s="82"/>
      <c r="B25" s="5862"/>
      <c r="C25" s="23"/>
      <c r="D25" s="5900" t="str">
        <f>IF('1099-INT'!F86="","",'1099-INT'!F89)</f>
        <v/>
      </c>
      <c r="E25" s="5901"/>
      <c r="F25" s="5901"/>
      <c r="G25" s="5902"/>
      <c r="H25" s="347"/>
      <c r="I25" s="5938" t="str">
        <f>IF(AND('1099-INT'!F65="",'1099-INT'!F85="",'1099-INT'!F76=""),"",ROUND(SUM('1099-INT'!F65,'1099-INT'!F76,'1099-INT'!F85),2))</f>
        <v/>
      </c>
      <c r="J25" s="5939"/>
      <c r="K25" s="5939"/>
      <c r="L25" s="5939"/>
      <c r="M25" s="5939"/>
      <c r="N25" s="5939"/>
      <c r="O25" s="5940"/>
      <c r="P25" s="635"/>
      <c r="R25" s="1642"/>
      <c r="AD25" s="1642"/>
      <c r="AE25" s="1642"/>
    </row>
    <row r="26" spans="1:31" ht="12.75" customHeight="1">
      <c r="A26" s="82"/>
      <c r="B26" s="5862"/>
      <c r="C26" s="23"/>
      <c r="D26" s="5900" t="str">
        <f>IF('1099-INT'!G86="","",'1099-INT'!G89)</f>
        <v/>
      </c>
      <c r="E26" s="5901"/>
      <c r="F26" s="5901"/>
      <c r="G26" s="5902"/>
      <c r="H26" s="347"/>
      <c r="I26" s="5938" t="str">
        <f>IF(AND('1099-INT'!G65="",'1099-INT'!G85="",'1099-INT'!G76=""),"",ROUND(SUM('1099-INT'!G65,'1099-INT'!G76,'1099-INT'!G85),2))</f>
        <v/>
      </c>
      <c r="J26" s="5939"/>
      <c r="K26" s="5939"/>
      <c r="L26" s="5939"/>
      <c r="M26" s="5939"/>
      <c r="N26" s="5939"/>
      <c r="O26" s="5940"/>
      <c r="P26" s="635"/>
      <c r="R26" s="1642"/>
      <c r="AD26" s="1642"/>
      <c r="AE26" s="1642"/>
    </row>
    <row r="27" spans="1:31" ht="12.75" customHeight="1">
      <c r="A27" s="82"/>
      <c r="B27" s="5862"/>
      <c r="C27" s="23"/>
      <c r="D27" s="5900" t="str">
        <f>IF('1099-INT'!H86="","",'1099-INT'!H89)</f>
        <v/>
      </c>
      <c r="E27" s="5901"/>
      <c r="F27" s="5901"/>
      <c r="G27" s="5902"/>
      <c r="H27" s="343"/>
      <c r="I27" s="5938" t="str">
        <f>IF(AND('1099-INT'!H65="",'1099-INT'!H85="",'1099-INT'!H76=""),"",ROUND(SUM('1099-INT'!H65,'1099-INT'!H76,'1099-INT'!H85),2))</f>
        <v/>
      </c>
      <c r="J27" s="5939"/>
      <c r="K27" s="5939"/>
      <c r="L27" s="5939"/>
      <c r="M27" s="5939"/>
      <c r="N27" s="5939"/>
      <c r="O27" s="5940"/>
      <c r="P27" s="635"/>
      <c r="R27" s="1642"/>
      <c r="AD27" s="1642"/>
      <c r="AE27" s="1642"/>
    </row>
    <row r="28" spans="1:31" ht="12.75" customHeight="1">
      <c r="A28" s="82"/>
      <c r="B28" s="5862"/>
      <c r="C28" s="23">
        <v>2</v>
      </c>
      <c r="D28" s="171" t="s">
        <v>43</v>
      </c>
      <c r="E28" s="21"/>
      <c r="F28" s="21"/>
      <c r="G28" s="21"/>
      <c r="H28" s="348">
        <v>2</v>
      </c>
      <c r="I28" s="5927">
        <f>ROUND(SUM(I13:I27),0)</f>
        <v>0</v>
      </c>
      <c r="J28" s="5928"/>
      <c r="K28" s="5928"/>
      <c r="L28" s="5928"/>
      <c r="M28" s="5928"/>
      <c r="N28" s="5928"/>
      <c r="O28" s="5928"/>
      <c r="P28" s="635"/>
      <c r="R28" s="1642"/>
      <c r="AD28" s="1642"/>
      <c r="AE28" s="1642"/>
    </row>
    <row r="29" spans="1:31" ht="12.75" customHeight="1">
      <c r="A29" s="82"/>
      <c r="B29" s="5862"/>
      <c r="C29" s="23">
        <v>3</v>
      </c>
      <c r="D29" s="171" t="s">
        <v>285</v>
      </c>
      <c r="E29" s="21"/>
      <c r="F29" s="21"/>
      <c r="G29" s="21"/>
      <c r="H29" s="346"/>
      <c r="I29" s="160"/>
      <c r="J29" s="160"/>
      <c r="K29" s="160"/>
      <c r="L29" s="160"/>
      <c r="M29" s="160"/>
      <c r="N29" s="160"/>
      <c r="O29" s="160"/>
      <c r="P29" s="635"/>
    </row>
    <row r="30" spans="1:31" ht="12.75" customHeight="1">
      <c r="A30" s="82"/>
      <c r="B30" s="5862"/>
      <c r="C30" s="23"/>
      <c r="D30" s="171" t="s">
        <v>66</v>
      </c>
      <c r="E30" s="21"/>
      <c r="F30" s="21"/>
      <c r="G30" s="1064" t="s">
        <v>275</v>
      </c>
      <c r="H30" s="343">
        <v>3</v>
      </c>
      <c r="I30" s="5943"/>
      <c r="J30" s="5944"/>
      <c r="K30" s="5944"/>
      <c r="L30" s="5944"/>
      <c r="M30" s="5944"/>
      <c r="N30" s="5944"/>
      <c r="O30" s="5944"/>
      <c r="P30" s="635"/>
    </row>
    <row r="31" spans="1:31" ht="12.75" customHeight="1">
      <c r="A31" s="82"/>
      <c r="B31" s="5862"/>
      <c r="C31" s="23">
        <v>4</v>
      </c>
      <c r="D31" s="171" t="s">
        <v>4432</v>
      </c>
      <c r="E31" s="21"/>
      <c r="F31" s="21"/>
      <c r="G31" s="1152"/>
      <c r="H31" s="343">
        <f>C31</f>
        <v>4</v>
      </c>
      <c r="I31" s="5941">
        <f>(I28)-ROUND(I30,0)</f>
        <v>0</v>
      </c>
      <c r="J31" s="5942"/>
      <c r="K31" s="5942"/>
      <c r="L31" s="5942"/>
      <c r="M31" s="5942"/>
      <c r="N31" s="5942"/>
      <c r="O31" s="5942"/>
      <c r="P31" s="635"/>
    </row>
    <row r="32" spans="1:31">
      <c r="A32" s="82"/>
      <c r="B32" s="16"/>
      <c r="C32" s="1117" t="s">
        <v>30</v>
      </c>
      <c r="D32" s="1071" t="str">
        <f>"If line 4 is over "&amp;TEXT(H32,"$0,000")&amp;", you must complete Part III."</f>
        <v>If line 4 is over $1,500, you must complete Part III.</v>
      </c>
      <c r="E32" s="159"/>
      <c r="F32" s="159"/>
      <c r="G32" s="1438" t="b">
        <f>AND($I$31&gt;$H$32,OR(AND(K60="",N60=""),AND(N60="",K64="",N64=""),AND(K69="",N69="")))</f>
        <v>0</v>
      </c>
      <c r="H32" s="1116">
        <v>1500</v>
      </c>
      <c r="I32" s="5919" t="s">
        <v>42</v>
      </c>
      <c r="J32" s="5920"/>
      <c r="K32" s="5920"/>
      <c r="L32" s="5920"/>
      <c r="M32" s="5920"/>
      <c r="N32" s="5920"/>
      <c r="O32" s="5920"/>
      <c r="P32" s="635"/>
    </row>
    <row r="33" spans="1:31" ht="12.75" customHeight="1">
      <c r="A33" s="82"/>
      <c r="B33" s="158" t="s">
        <v>130</v>
      </c>
      <c r="C33" s="23">
        <v>5</v>
      </c>
      <c r="D33" s="1503" t="s">
        <v>52</v>
      </c>
      <c r="E33" s="5954"/>
      <c r="F33" s="5955"/>
      <c r="G33" s="5955"/>
      <c r="H33" s="347"/>
      <c r="I33" s="5938"/>
      <c r="J33" s="5939"/>
      <c r="K33" s="5939"/>
      <c r="L33" s="5939"/>
      <c r="M33" s="5939"/>
      <c r="N33" s="5939"/>
      <c r="O33" s="5940"/>
      <c r="P33" s="635"/>
      <c r="R33" s="1642"/>
      <c r="S33" s="3175" t="s">
        <v>2130</v>
      </c>
      <c r="T33" s="3175"/>
      <c r="AD33" s="1642"/>
      <c r="AE33" s="1642"/>
    </row>
    <row r="34" spans="1:31" ht="12.75" customHeight="1">
      <c r="A34" s="82"/>
      <c r="B34" s="23" t="s">
        <v>404</v>
      </c>
      <c r="C34" s="23"/>
      <c r="D34" s="5900" t="str">
        <f>IF('1099-DIV'!D6="","Use sheet '1099-DIV' to enter dividend amounts.",'1099-DIV'!D29)</f>
        <v>Use sheet '1099-DIV' to enter dividend amounts.</v>
      </c>
      <c r="E34" s="5901"/>
      <c r="F34" s="5901"/>
      <c r="G34" s="5902"/>
      <c r="H34" s="347"/>
      <c r="I34" s="5938" t="str">
        <f>IF('1099-DIV'!D6="","",ROUND('1099-DIV'!D6,2))</f>
        <v/>
      </c>
      <c r="J34" s="5939"/>
      <c r="K34" s="5939"/>
      <c r="L34" s="5939"/>
      <c r="M34" s="5939"/>
      <c r="N34" s="5939"/>
      <c r="O34" s="5940"/>
      <c r="P34" s="635"/>
      <c r="R34" s="1642"/>
      <c r="S34" s="3175" t="s">
        <v>2839</v>
      </c>
      <c r="AD34" s="1642"/>
      <c r="AE34" s="1642"/>
    </row>
    <row r="35" spans="1:31" ht="12.75" customHeight="1">
      <c r="A35" s="82"/>
      <c r="B35" s="23" t="s">
        <v>405</v>
      </c>
      <c r="C35" s="23"/>
      <c r="D35" s="5900" t="str">
        <f>IF('1099-DIV'!E6="","",'1099-DIV'!E29)</f>
        <v/>
      </c>
      <c r="E35" s="5901"/>
      <c r="F35" s="5901"/>
      <c r="G35" s="5902"/>
      <c r="H35" s="347"/>
      <c r="I35" s="5938" t="str">
        <f>IF('1099-DIV'!E6="","",ROUND('1099-DIV'!E6,2))</f>
        <v/>
      </c>
      <c r="J35" s="5939"/>
      <c r="K35" s="5939"/>
      <c r="L35" s="5939"/>
      <c r="M35" s="5939"/>
      <c r="N35" s="5939"/>
      <c r="O35" s="5940"/>
      <c r="P35" s="635"/>
      <c r="R35" s="1642"/>
      <c r="AD35" s="1642"/>
      <c r="AE35" s="1642"/>
    </row>
    <row r="36" spans="1:31" ht="12.75" customHeight="1">
      <c r="A36" s="82"/>
      <c r="B36" s="23"/>
      <c r="C36" s="23"/>
      <c r="D36" s="5900" t="str">
        <f>IF('1099-DIV'!F6="","",'1099-DIV'!F29)</f>
        <v/>
      </c>
      <c r="E36" s="5901"/>
      <c r="F36" s="5901"/>
      <c r="G36" s="5902"/>
      <c r="H36" s="347"/>
      <c r="I36" s="5938" t="str">
        <f>IF('1099-DIV'!F6="","",ROUND('1099-DIV'!F6,2))</f>
        <v/>
      </c>
      <c r="J36" s="5939"/>
      <c r="K36" s="5939"/>
      <c r="L36" s="5939"/>
      <c r="M36" s="5939"/>
      <c r="N36" s="5939"/>
      <c r="O36" s="5940"/>
      <c r="P36" s="635"/>
      <c r="R36" s="1642"/>
      <c r="S36" s="3169" t="s">
        <v>2553</v>
      </c>
      <c r="AD36" s="1642"/>
      <c r="AE36" s="1642"/>
    </row>
    <row r="37" spans="1:31" ht="12.75" customHeight="1">
      <c r="A37" s="82"/>
      <c r="B37" s="21" t="s">
        <v>65</v>
      </c>
      <c r="C37" s="23"/>
      <c r="D37" s="5900" t="str">
        <f>IF('1099-DIV'!G6="","",'1099-DIV'!G29)</f>
        <v/>
      </c>
      <c r="E37" s="5901"/>
      <c r="F37" s="5901"/>
      <c r="G37" s="5902"/>
      <c r="H37" s="347"/>
      <c r="I37" s="5938" t="str">
        <f>IF('1099-DIV'!G6="","",ROUND('1099-DIV'!G6,2))</f>
        <v/>
      </c>
      <c r="J37" s="5939"/>
      <c r="K37" s="5939"/>
      <c r="L37" s="5939"/>
      <c r="M37" s="5939"/>
      <c r="N37" s="5939"/>
      <c r="O37" s="5940"/>
      <c r="P37" s="635"/>
      <c r="R37" s="1642"/>
      <c r="AD37" s="1642"/>
      <c r="AE37" s="1642"/>
    </row>
    <row r="38" spans="1:31" ht="12.75" customHeight="1">
      <c r="A38" s="82"/>
      <c r="B38" s="21" t="s">
        <v>2480</v>
      </c>
      <c r="C38" s="23"/>
      <c r="D38" s="5900" t="str">
        <f>IF('1099-DIV'!H6="","",'1099-DIV'!H29)</f>
        <v/>
      </c>
      <c r="E38" s="5901"/>
      <c r="F38" s="5901"/>
      <c r="G38" s="5902"/>
      <c r="H38" s="347"/>
      <c r="I38" s="5938" t="str">
        <f>IF('1099-DIV'!H6="","",ROUND('1099-DIV'!H6,2))</f>
        <v/>
      </c>
      <c r="J38" s="5939"/>
      <c r="K38" s="5939"/>
      <c r="L38" s="5939"/>
      <c r="M38" s="5939"/>
      <c r="N38" s="5939"/>
      <c r="O38" s="5940"/>
      <c r="P38" s="635"/>
      <c r="R38" s="1642"/>
      <c r="S38" s="3175" t="s">
        <v>2850</v>
      </c>
      <c r="AD38" s="1642"/>
      <c r="AE38" s="1642"/>
    </row>
    <row r="39" spans="1:31" ht="12.75" customHeight="1">
      <c r="A39" s="82"/>
      <c r="B39" s="21" t="s">
        <v>518</v>
      </c>
      <c r="C39" s="23"/>
      <c r="D39" s="5900" t="str">
        <f>IF('1099-DIV'!D34="","",'1099-DIV'!D57)</f>
        <v/>
      </c>
      <c r="E39" s="5901"/>
      <c r="F39" s="5901"/>
      <c r="G39" s="5902"/>
      <c r="H39" s="347"/>
      <c r="I39" s="5938" t="str">
        <f>IF('1099-DIV'!D34="","",ROUND('1099-DIV'!D34,2))</f>
        <v/>
      </c>
      <c r="J39" s="5939"/>
      <c r="K39" s="5939"/>
      <c r="L39" s="5939"/>
      <c r="M39" s="5939"/>
      <c r="N39" s="5939"/>
      <c r="O39" s="5940"/>
      <c r="P39" s="635"/>
      <c r="R39" s="1642"/>
      <c r="AD39" s="1642"/>
      <c r="AE39" s="1642"/>
    </row>
    <row r="40" spans="1:31" ht="12.75" customHeight="1">
      <c r="A40" s="82"/>
      <c r="B40" s="21" t="s">
        <v>3230</v>
      </c>
      <c r="C40" s="23"/>
      <c r="D40" s="5900" t="str">
        <f>IF('1099-DIV'!E34="","",'1099-DIV'!E57)</f>
        <v/>
      </c>
      <c r="E40" s="5901"/>
      <c r="F40" s="5901"/>
      <c r="G40" s="5902"/>
      <c r="H40" s="347"/>
      <c r="I40" s="5938" t="str">
        <f>IF('1099-DIV'!E34="","",ROUND('1099-DIV'!E34,2))</f>
        <v/>
      </c>
      <c r="J40" s="5939"/>
      <c r="K40" s="5939"/>
      <c r="L40" s="5939"/>
      <c r="M40" s="5939"/>
      <c r="N40" s="5939"/>
      <c r="O40" s="5940"/>
      <c r="P40" s="635"/>
      <c r="R40" s="1642"/>
      <c r="AD40" s="1642"/>
      <c r="AE40" s="1642"/>
    </row>
    <row r="41" spans="1:31" ht="12.75" customHeight="1">
      <c r="A41" s="82"/>
      <c r="B41" s="171"/>
      <c r="C41" s="23"/>
      <c r="D41" s="5900" t="str">
        <f>IF('1099-DIV'!F34="","",'1099-DIV'!F57)</f>
        <v/>
      </c>
      <c r="E41" s="5901"/>
      <c r="F41" s="5901"/>
      <c r="G41" s="5902"/>
      <c r="H41" s="347">
        <v>5</v>
      </c>
      <c r="I41" s="5938" t="str">
        <f>IF('1099-DIV'!F34="","",ROUND('1099-DIV'!F34,2))</f>
        <v/>
      </c>
      <c r="J41" s="5939"/>
      <c r="K41" s="5939"/>
      <c r="L41" s="5939"/>
      <c r="M41" s="5939"/>
      <c r="N41" s="5939"/>
      <c r="O41" s="5940"/>
      <c r="P41" s="635"/>
      <c r="R41" s="1642"/>
      <c r="AD41" s="1642"/>
      <c r="AE41" s="1642"/>
    </row>
    <row r="42" spans="1:31" ht="12.75" customHeight="1">
      <c r="A42" s="82"/>
      <c r="B42" s="156"/>
      <c r="C42" s="23"/>
      <c r="D42" s="5900" t="str">
        <f>IF('1099-DIV'!G34="","",'1099-DIV'!G57)</f>
        <v/>
      </c>
      <c r="E42" s="5901"/>
      <c r="F42" s="5901"/>
      <c r="G42" s="5902"/>
      <c r="H42" s="347"/>
      <c r="I42" s="5938" t="str">
        <f>IF('1099-DIV'!G34="","",ROUND('1099-DIV'!G34,2))</f>
        <v/>
      </c>
      <c r="J42" s="5939"/>
      <c r="K42" s="5939"/>
      <c r="L42" s="5939"/>
      <c r="M42" s="5939"/>
      <c r="N42" s="5939"/>
      <c r="O42" s="5940"/>
      <c r="P42" s="635"/>
      <c r="R42" s="1642"/>
      <c r="AD42" s="1642"/>
      <c r="AE42" s="1642"/>
    </row>
    <row r="43" spans="1:31" ht="12.75" customHeight="1">
      <c r="A43" s="82"/>
      <c r="B43" s="147" t="s">
        <v>3231</v>
      </c>
      <c r="C43" s="23"/>
      <c r="D43" s="5900" t="str">
        <f>IF('1099-DIV'!H34="","",'1099-DIV'!H57)</f>
        <v/>
      </c>
      <c r="E43" s="5901"/>
      <c r="F43" s="5901"/>
      <c r="G43" s="5902"/>
      <c r="H43" s="347"/>
      <c r="I43" s="5938" t="str">
        <f>IF('1099-DIV'!H34="","",ROUND('1099-DIV'!H34,2))</f>
        <v/>
      </c>
      <c r="J43" s="5939"/>
      <c r="K43" s="5939"/>
      <c r="L43" s="5939"/>
      <c r="M43" s="5939"/>
      <c r="N43" s="5939"/>
      <c r="O43" s="5940"/>
      <c r="P43" s="635"/>
      <c r="R43" s="1642"/>
      <c r="AD43" s="1642"/>
      <c r="AE43" s="1642"/>
    </row>
    <row r="44" spans="1:31" ht="12.75" customHeight="1">
      <c r="A44" s="82"/>
      <c r="B44" s="21" t="s">
        <v>520</v>
      </c>
      <c r="C44" s="23"/>
      <c r="D44" s="5900" t="str">
        <f>IF('1099-DIV'!D62="","",'1099-DIV'!D85)</f>
        <v/>
      </c>
      <c r="E44" s="5901"/>
      <c r="F44" s="5901"/>
      <c r="G44" s="5902"/>
      <c r="H44" s="347"/>
      <c r="I44" s="5938" t="str">
        <f>IF('1099-DIV'!D62="","",ROUND('1099-DIV'!D62,2))</f>
        <v/>
      </c>
      <c r="J44" s="5939"/>
      <c r="K44" s="5939"/>
      <c r="L44" s="5939"/>
      <c r="M44" s="5939"/>
      <c r="N44" s="5939"/>
      <c r="O44" s="5940"/>
      <c r="P44" s="635"/>
      <c r="R44" s="1642"/>
      <c r="AD44" s="1642"/>
      <c r="AE44" s="1642"/>
    </row>
    <row r="45" spans="1:31" ht="12.75" customHeight="1">
      <c r="A45" s="82"/>
      <c r="B45" s="21" t="s">
        <v>10</v>
      </c>
      <c r="C45" s="23"/>
      <c r="D45" s="5900" t="str">
        <f>IF('1099-DIV'!E62="","",'1099-DIV'!E85)</f>
        <v/>
      </c>
      <c r="E45" s="5901"/>
      <c r="F45" s="5901"/>
      <c r="G45" s="5902"/>
      <c r="H45" s="347"/>
      <c r="I45" s="5938" t="str">
        <f>IF('1099-DIV'!E62="","",ROUND('1099-DIV'!E62,2))</f>
        <v/>
      </c>
      <c r="J45" s="5939"/>
      <c r="K45" s="5939"/>
      <c r="L45" s="5939"/>
      <c r="M45" s="5939"/>
      <c r="N45" s="5939"/>
      <c r="O45" s="5940"/>
      <c r="P45" s="635"/>
      <c r="R45" s="1642"/>
      <c r="AD45" s="1642"/>
      <c r="AE45" s="1642"/>
    </row>
    <row r="46" spans="1:31" ht="12.75" customHeight="1">
      <c r="A46" s="82"/>
      <c r="B46" s="21" t="s">
        <v>521</v>
      </c>
      <c r="C46" s="23"/>
      <c r="D46" s="5900" t="str">
        <f>IF('1099-DIV'!F62="","",'1099-DIV'!F85)</f>
        <v/>
      </c>
      <c r="E46" s="5901"/>
      <c r="F46" s="5901"/>
      <c r="G46" s="5902"/>
      <c r="H46" s="347"/>
      <c r="I46" s="5938" t="str">
        <f>IF('1099-DIV'!F62="","",ROUND('1099-DIV'!F62,2))</f>
        <v/>
      </c>
      <c r="J46" s="5939"/>
      <c r="K46" s="5939"/>
      <c r="L46" s="5939"/>
      <c r="M46" s="5939"/>
      <c r="N46" s="5939"/>
      <c r="O46" s="5940"/>
      <c r="P46" s="635"/>
      <c r="R46" s="1642"/>
      <c r="AD46" s="1642"/>
      <c r="AE46" s="1642"/>
    </row>
    <row r="47" spans="1:31" ht="12.75" customHeight="1">
      <c r="A47" s="82"/>
      <c r="B47" s="21" t="s">
        <v>522</v>
      </c>
      <c r="C47" s="23"/>
      <c r="D47" s="5900" t="str">
        <f>IF('1099-DIV'!G62="","",'1099-DIV'!G85)</f>
        <v/>
      </c>
      <c r="E47" s="5901"/>
      <c r="F47" s="5901"/>
      <c r="G47" s="5902"/>
      <c r="H47" s="347"/>
      <c r="I47" s="5938" t="str">
        <f>IF('1099-DIV'!G62="","",ROUND('1099-DIV'!G62,2))</f>
        <v/>
      </c>
      <c r="J47" s="5939"/>
      <c r="K47" s="5939"/>
      <c r="L47" s="5939"/>
      <c r="M47" s="5939"/>
      <c r="N47" s="5939"/>
      <c r="O47" s="5940"/>
      <c r="P47" s="635"/>
      <c r="R47" s="1642"/>
      <c r="AD47" s="1642"/>
      <c r="AE47" s="1642"/>
    </row>
    <row r="48" spans="1:31" ht="12.75" customHeight="1">
      <c r="A48" s="82"/>
      <c r="B48" s="21" t="s">
        <v>523</v>
      </c>
      <c r="C48" s="23"/>
      <c r="D48" s="5900" t="str">
        <f>IF('1099-DIV'!H62="","",'1099-DIV'!H85)</f>
        <v/>
      </c>
      <c r="E48" s="5901"/>
      <c r="F48" s="5901"/>
      <c r="G48" s="5902"/>
      <c r="H48" s="347"/>
      <c r="I48" s="5938" t="str">
        <f>IF('1099-DIV'!H62="","",ROUND('1099-DIV'!H62,2))</f>
        <v/>
      </c>
      <c r="J48" s="5939"/>
      <c r="K48" s="5939"/>
      <c r="L48" s="5939"/>
      <c r="M48" s="5939"/>
      <c r="N48" s="5939"/>
      <c r="O48" s="5940"/>
      <c r="P48" s="635"/>
      <c r="R48" s="1642"/>
      <c r="AD48" s="1642"/>
      <c r="AE48" s="1642"/>
    </row>
    <row r="49" spans="1:31" ht="12.75" customHeight="1">
      <c r="A49" s="82"/>
      <c r="B49" s="21" t="s">
        <v>249</v>
      </c>
      <c r="C49" s="23"/>
      <c r="D49" s="5900" t="str">
        <f>IF('1099-DIV'!D90="","",'1099-DIV'!D113)</f>
        <v/>
      </c>
      <c r="E49" s="5901"/>
      <c r="F49" s="5901"/>
      <c r="G49" s="5902"/>
      <c r="H49" s="347"/>
      <c r="I49" s="5938" t="str">
        <f>IF('1099-DIV'!D90="","",ROUND('1099-DIV'!D90,2))</f>
        <v/>
      </c>
      <c r="J49" s="5939"/>
      <c r="K49" s="5939"/>
      <c r="L49" s="5939"/>
      <c r="M49" s="5939"/>
      <c r="N49" s="5939"/>
      <c r="O49" s="5940"/>
      <c r="P49" s="635"/>
      <c r="R49" s="1642"/>
      <c r="AD49" s="1642"/>
      <c r="AE49" s="1642"/>
    </row>
    <row r="50" spans="1:31" ht="12.75" customHeight="1">
      <c r="A50" s="82"/>
      <c r="B50" s="21" t="s">
        <v>239</v>
      </c>
      <c r="C50" s="23"/>
      <c r="D50" s="5900" t="str">
        <f>IF('1099-DIV'!E90="","",'1099-DIV'!E113)</f>
        <v/>
      </c>
      <c r="E50" s="5901"/>
      <c r="F50" s="5901"/>
      <c r="G50" s="5902"/>
      <c r="H50" s="347"/>
      <c r="I50" s="5938" t="str">
        <f>IF('1099-DIV'!E90="","",ROUND('1099-DIV'!E90,2))</f>
        <v/>
      </c>
      <c r="J50" s="5939"/>
      <c r="K50" s="5939"/>
      <c r="L50" s="5939"/>
      <c r="M50" s="5939"/>
      <c r="N50" s="5939"/>
      <c r="O50" s="5940"/>
      <c r="P50" s="635"/>
      <c r="R50" s="1642"/>
      <c r="AD50" s="1642"/>
      <c r="AE50" s="1642"/>
    </row>
    <row r="51" spans="1:31" ht="12.75" customHeight="1">
      <c r="A51" s="82"/>
      <c r="B51" s="21" t="s">
        <v>74</v>
      </c>
      <c r="C51" s="23"/>
      <c r="D51" s="5900" t="str">
        <f>IF('1099-DIV'!F90="","",'1099-DIV'!F113)</f>
        <v/>
      </c>
      <c r="E51" s="5901"/>
      <c r="F51" s="5901"/>
      <c r="G51" s="5902"/>
      <c r="H51" s="347"/>
      <c r="I51" s="5938" t="str">
        <f>IF('1099-DIV'!F90="","",ROUND('1099-DIV'!F90,2))</f>
        <v/>
      </c>
      <c r="J51" s="5939"/>
      <c r="K51" s="5939"/>
      <c r="L51" s="5939"/>
      <c r="M51" s="5939"/>
      <c r="N51" s="5939"/>
      <c r="O51" s="5940"/>
      <c r="P51" s="635"/>
      <c r="R51" s="1642"/>
      <c r="AD51" s="1642"/>
      <c r="AE51" s="1642"/>
    </row>
    <row r="52" spans="1:31" ht="12.75" customHeight="1">
      <c r="A52" s="82"/>
      <c r="B52" s="21" t="s">
        <v>240</v>
      </c>
      <c r="C52" s="23"/>
      <c r="D52" s="5900" t="str">
        <f>IF('1099-DIV'!G90="","",'1099-DIV'!G113)</f>
        <v/>
      </c>
      <c r="E52" s="5901"/>
      <c r="F52" s="5901"/>
      <c r="G52" s="5902"/>
      <c r="H52" s="347"/>
      <c r="I52" s="5938" t="str">
        <f>IF('1099-DIV'!G90="","",ROUND('1099-DIV'!G90,2))</f>
        <v/>
      </c>
      <c r="J52" s="5939"/>
      <c r="K52" s="5939"/>
      <c r="L52" s="5939"/>
      <c r="M52" s="5939"/>
      <c r="N52" s="5939"/>
      <c r="O52" s="5940"/>
      <c r="P52" s="635"/>
      <c r="R52" s="1642"/>
      <c r="AD52" s="1642"/>
      <c r="AE52" s="1642"/>
    </row>
    <row r="53" spans="1:31" ht="12.75" customHeight="1">
      <c r="A53" s="82"/>
      <c r="B53" s="21" t="s">
        <v>33</v>
      </c>
      <c r="C53" s="23"/>
      <c r="D53" s="5900"/>
      <c r="E53" s="5901"/>
      <c r="F53" s="5901"/>
      <c r="G53" s="5902"/>
      <c r="H53" s="343"/>
      <c r="I53" s="5929"/>
      <c r="J53" s="5930"/>
      <c r="K53" s="5930"/>
      <c r="L53" s="5930"/>
      <c r="M53" s="5930"/>
      <c r="N53" s="5930"/>
      <c r="O53" s="5930"/>
      <c r="P53" s="635"/>
      <c r="R53" s="1642"/>
      <c r="AD53" s="1642"/>
      <c r="AE53" s="1642"/>
    </row>
    <row r="54" spans="1:31" ht="12.75" customHeight="1">
      <c r="A54" s="82"/>
      <c r="B54" s="21" t="s">
        <v>34</v>
      </c>
      <c r="C54" s="23">
        <v>6</v>
      </c>
      <c r="D54" s="171" t="s">
        <v>3232</v>
      </c>
      <c r="E54" s="21"/>
      <c r="F54" s="21"/>
      <c r="G54" s="1064"/>
      <c r="H54" s="343">
        <v>6</v>
      </c>
      <c r="I54" s="5927">
        <f>ROUND(SUM(I33:I52),0)</f>
        <v>0</v>
      </c>
      <c r="J54" s="5928"/>
      <c r="K54" s="5928"/>
      <c r="L54" s="5928"/>
      <c r="M54" s="5928"/>
      <c r="N54" s="5928"/>
      <c r="O54" s="5928"/>
      <c r="P54" s="635"/>
      <c r="R54" s="1642"/>
      <c r="AD54" s="1642"/>
      <c r="AE54" s="1642"/>
    </row>
    <row r="55" spans="1:31" ht="12.75" customHeight="1" thickBot="1">
      <c r="A55" s="82"/>
      <c r="B55" s="163"/>
      <c r="C55" s="1156" t="s">
        <v>30</v>
      </c>
      <c r="D55" s="1157" t="str">
        <f>"If line 6 is over "&amp;TEXT(H32,"$0,000")&amp;", you must complete Part III."</f>
        <v>If line 6 is over $1,500, you must complete Part III.</v>
      </c>
      <c r="E55" s="1158"/>
      <c r="F55" s="1158"/>
      <c r="G55" s="1439" t="b">
        <f>AND($I$54&gt;$H$32,OR(AND(K60="",N60=""),AND(N60="",K64="",N64=""),AND(K69="",N69="")))</f>
        <v>0</v>
      </c>
      <c r="H55" s="1159"/>
      <c r="I55" s="1160"/>
      <c r="J55" s="1160"/>
      <c r="K55" s="1160"/>
      <c r="L55" s="1160"/>
      <c r="M55" s="1160"/>
      <c r="N55" s="1160"/>
      <c r="O55" s="1160"/>
      <c r="P55" s="635"/>
    </row>
    <row r="56" spans="1:31" ht="11.25" customHeight="1">
      <c r="A56" s="82"/>
      <c r="B56" s="638" t="s">
        <v>363</v>
      </c>
      <c r="C56" s="171" t="str">
        <f>"You must complete this part if you (a) had over "&amp;TEXT(H32,"$0,000")&amp;" of interest or dividends; (b) had a foreign"</f>
        <v>You must complete this part if you (a) had over $1,500 of interest or dividends; (b) had a foreign</v>
      </c>
      <c r="D56" s="21"/>
      <c r="E56" s="21"/>
      <c r="F56" s="21"/>
      <c r="G56" s="21"/>
      <c r="H56" s="23"/>
      <c r="I56" s="142"/>
      <c r="J56" s="5923" t="s">
        <v>307</v>
      </c>
      <c r="K56" s="5924"/>
      <c r="L56" s="5925"/>
      <c r="M56" s="5923" t="s">
        <v>308</v>
      </c>
      <c r="N56" s="5924"/>
      <c r="O56" s="5924"/>
      <c r="P56" s="635"/>
    </row>
    <row r="57" spans="1:31" ht="11.25" customHeight="1">
      <c r="A57" s="82"/>
      <c r="B57" s="284"/>
      <c r="C57" s="257" t="s">
        <v>710</v>
      </c>
      <c r="D57" s="150"/>
      <c r="E57" s="150"/>
      <c r="F57" s="150"/>
      <c r="G57" s="150"/>
      <c r="H57" s="16"/>
      <c r="I57" s="592"/>
      <c r="J57" s="5926"/>
      <c r="K57" s="5924"/>
      <c r="L57" s="5925"/>
      <c r="M57" s="5926"/>
      <c r="N57" s="5924"/>
      <c r="O57" s="5924"/>
      <c r="P57" s="635"/>
    </row>
    <row r="58" spans="1:31" ht="11.25" customHeight="1">
      <c r="A58" s="82"/>
      <c r="B58" s="5953" t="s">
        <v>3233</v>
      </c>
      <c r="C58" s="161" t="s">
        <v>300</v>
      </c>
      <c r="D58" s="21" t="str">
        <f>"At any time during "&amp;TaxYear&amp;", did you have interest in or a signature or other authority over a financial"</f>
        <v>At any time during 2018, did you have interest in or a signature or other authority over a financial</v>
      </c>
      <c r="E58" s="21"/>
      <c r="F58" s="21"/>
      <c r="G58" s="21"/>
      <c r="H58" s="23"/>
      <c r="I58" s="175"/>
      <c r="J58" s="4002"/>
      <c r="K58" s="635"/>
      <c r="L58" s="4003"/>
      <c r="M58" s="635"/>
      <c r="N58" s="635"/>
      <c r="O58" s="635"/>
      <c r="P58" s="635"/>
    </row>
    <row r="59" spans="1:31" ht="9.75" customHeight="1">
      <c r="A59" s="82"/>
      <c r="B59" s="5953"/>
      <c r="C59" s="141"/>
      <c r="D59" s="21" t="s">
        <v>705</v>
      </c>
      <c r="E59" s="21"/>
      <c r="F59" s="21"/>
      <c r="G59" s="21"/>
      <c r="H59" s="23"/>
      <c r="I59" s="175"/>
      <c r="J59" s="1153"/>
      <c r="K59" s="142"/>
      <c r="L59" s="175"/>
      <c r="M59" s="1153"/>
      <c r="N59" s="142"/>
      <c r="O59" s="142"/>
      <c r="P59" s="635"/>
    </row>
    <row r="60" spans="1:31" ht="9.75" customHeight="1">
      <c r="A60" s="82"/>
      <c r="B60" s="5953"/>
      <c r="C60" s="141"/>
      <c r="D60" s="21" t="s">
        <v>706</v>
      </c>
      <c r="E60" s="21"/>
      <c r="F60" s="21"/>
      <c r="G60" s="21"/>
      <c r="H60" s="23"/>
      <c r="I60" s="1152" t="s">
        <v>707</v>
      </c>
      <c r="J60" s="1153"/>
      <c r="K60" s="1757"/>
      <c r="L60" s="175"/>
      <c r="M60" s="1153"/>
      <c r="N60" s="1757"/>
      <c r="O60" s="142"/>
      <c r="P60" s="635"/>
    </row>
    <row r="61" spans="1:31" ht="3.75" customHeight="1">
      <c r="A61" s="82"/>
      <c r="B61" s="5953"/>
      <c r="C61" s="141"/>
      <c r="D61" s="21"/>
      <c r="E61" s="21"/>
      <c r="F61" s="21"/>
      <c r="G61" s="21"/>
      <c r="H61" s="23"/>
      <c r="I61" s="1152"/>
      <c r="J61" s="4005"/>
      <c r="K61" s="4006"/>
      <c r="L61" s="592"/>
      <c r="M61" s="4005"/>
      <c r="N61" s="4006"/>
      <c r="O61" s="18"/>
      <c r="P61" s="635"/>
    </row>
    <row r="62" spans="1:31" ht="10.5" customHeight="1">
      <c r="A62" s="82"/>
      <c r="B62" s="5953"/>
      <c r="C62" s="141"/>
      <c r="D62" s="21" t="s">
        <v>959</v>
      </c>
      <c r="E62" s="21"/>
      <c r="F62" s="21"/>
      <c r="G62" s="21"/>
      <c r="H62" s="23"/>
      <c r="I62" s="1152"/>
      <c r="J62" s="4002"/>
      <c r="K62" s="635"/>
      <c r="L62" s="4003"/>
      <c r="M62" s="635"/>
      <c r="N62" s="635"/>
      <c r="O62" s="635"/>
      <c r="P62" s="635"/>
    </row>
    <row r="63" spans="1:31" ht="9.75" customHeight="1">
      <c r="A63" s="82"/>
      <c r="B63" s="21"/>
      <c r="C63" s="141"/>
      <c r="D63" s="21" t="s">
        <v>1298</v>
      </c>
      <c r="E63" s="21"/>
      <c r="F63" s="21"/>
      <c r="G63" s="21"/>
      <c r="H63" s="23"/>
      <c r="I63" s="1152"/>
      <c r="J63" s="1153"/>
      <c r="K63" s="142"/>
      <c r="L63" s="175"/>
      <c r="M63" s="1153"/>
      <c r="N63" s="142"/>
      <c r="O63" s="142"/>
      <c r="P63" s="635"/>
    </row>
    <row r="64" spans="1:31" ht="9.75" customHeight="1">
      <c r="A64" s="82"/>
      <c r="B64" s="21" t="s">
        <v>2476</v>
      </c>
      <c r="C64" s="141"/>
      <c r="D64" s="21" t="s">
        <v>1299</v>
      </c>
      <c r="E64" s="21"/>
      <c r="F64" s="21"/>
      <c r="G64" s="21"/>
      <c r="H64" s="23"/>
      <c r="I64" s="1152" t="s">
        <v>4434</v>
      </c>
      <c r="J64" s="1153"/>
      <c r="K64" s="1757"/>
      <c r="L64" s="175"/>
      <c r="M64" s="1153"/>
      <c r="N64" s="1757"/>
      <c r="O64" s="142"/>
      <c r="P64" s="635"/>
    </row>
    <row r="65" spans="1:16" ht="3" customHeight="1">
      <c r="A65" s="82"/>
      <c r="B65" s="21" t="s">
        <v>278</v>
      </c>
      <c r="C65" s="141"/>
      <c r="D65" s="21"/>
      <c r="E65" s="21"/>
      <c r="F65" s="21"/>
      <c r="G65" s="21"/>
      <c r="H65" s="23"/>
      <c r="I65" s="1152"/>
      <c r="J65" s="4005"/>
      <c r="K65" s="4006"/>
      <c r="L65" s="592"/>
      <c r="M65" s="4005"/>
      <c r="N65" s="4006"/>
      <c r="O65" s="18"/>
      <c r="P65" s="635"/>
    </row>
    <row r="66" spans="1:16" ht="12.75" customHeight="1">
      <c r="A66" s="82"/>
      <c r="B66" s="21"/>
      <c r="C66" s="162" t="s">
        <v>54</v>
      </c>
      <c r="D66" s="21" t="s">
        <v>960</v>
      </c>
      <c r="E66" s="21"/>
      <c r="F66" s="21"/>
      <c r="G66" s="21"/>
      <c r="H66" s="23"/>
      <c r="I66" s="1152"/>
      <c r="J66" s="4002"/>
      <c r="K66" s="635"/>
      <c r="L66" s="4003"/>
      <c r="M66" s="635"/>
      <c r="N66" s="635"/>
      <c r="O66" s="635"/>
      <c r="P66" s="635"/>
    </row>
    <row r="67" spans="1:16" ht="12" customHeight="1">
      <c r="A67" s="82"/>
      <c r="B67" s="21"/>
      <c r="C67" s="162"/>
      <c r="D67" s="1154" t="s">
        <v>708</v>
      </c>
      <c r="E67" s="5935"/>
      <c r="F67" s="5935"/>
      <c r="G67" s="5936"/>
      <c r="H67" s="5936"/>
      <c r="I67" s="5937"/>
      <c r="J67" s="4002"/>
      <c r="K67" s="635"/>
      <c r="L67" s="4003"/>
      <c r="M67" s="635"/>
      <c r="N67" s="635"/>
      <c r="O67" s="635"/>
      <c r="P67" s="635"/>
    </row>
    <row r="68" spans="1:16" ht="9" customHeight="1">
      <c r="A68" s="82"/>
      <c r="B68" s="21"/>
      <c r="C68" s="5933">
        <v>8</v>
      </c>
      <c r="D68" s="21" t="str">
        <f>"During "&amp;TaxYear&amp;", did you receive a distribution from, or were you the grantor of, or transferor to, a"</f>
        <v>During 2018, did you receive a distribution from, or were you the grantor of, or transferor to, a</v>
      </c>
      <c r="E68" s="21"/>
      <c r="F68" s="21"/>
      <c r="G68" s="21"/>
      <c r="H68" s="23"/>
      <c r="I68" s="175"/>
      <c r="J68" s="1434"/>
      <c r="K68" s="1435"/>
      <c r="L68" s="1436"/>
      <c r="M68" s="1434"/>
      <c r="N68" s="1435"/>
      <c r="O68" s="1435"/>
      <c r="P68" s="635"/>
    </row>
    <row r="69" spans="1:16" ht="9.75" customHeight="1">
      <c r="A69" s="82"/>
      <c r="B69" s="21"/>
      <c r="C69" s="5934"/>
      <c r="D69" s="21" t="s">
        <v>2477</v>
      </c>
      <c r="E69" s="21"/>
      <c r="F69" s="21"/>
      <c r="G69" s="21"/>
      <c r="H69" s="23"/>
      <c r="I69" s="1152" t="s">
        <v>4433</v>
      </c>
      <c r="J69" s="1153"/>
      <c r="K69" s="1757"/>
      <c r="L69" s="175"/>
      <c r="M69" s="1153"/>
      <c r="N69" s="1757"/>
      <c r="O69" s="142"/>
      <c r="P69" s="635"/>
    </row>
    <row r="70" spans="1:16" ht="4.5" customHeight="1" thickBot="1">
      <c r="A70" s="82"/>
      <c r="B70" s="165"/>
      <c r="C70" s="1430"/>
      <c r="D70" s="165"/>
      <c r="E70" s="165"/>
      <c r="F70" s="165"/>
      <c r="G70" s="165"/>
      <c r="H70" s="163"/>
      <c r="I70" s="1431"/>
      <c r="J70" s="1432"/>
      <c r="K70" s="1433"/>
      <c r="L70" s="1437"/>
      <c r="M70" s="1432"/>
      <c r="N70" s="1429"/>
      <c r="O70" s="4004"/>
      <c r="P70" s="635"/>
    </row>
    <row r="71" spans="1:16" ht="13.5" customHeight="1">
      <c r="A71" s="82"/>
      <c r="B71" s="272" t="s">
        <v>564</v>
      </c>
      <c r="C71" s="167"/>
      <c r="D71" s="167"/>
      <c r="E71" s="167"/>
      <c r="F71" s="1161" t="s">
        <v>709</v>
      </c>
      <c r="G71" s="167"/>
      <c r="H71" s="167"/>
      <c r="I71" s="281"/>
      <c r="J71" s="401"/>
      <c r="K71" s="614"/>
      <c r="L71" s="401"/>
      <c r="M71" s="401"/>
      <c r="N71" s="401"/>
      <c r="O71" s="1155" t="str">
        <f>"Schedule B (Form 1040)  "&amp;TaxYear</f>
        <v>Schedule B (Form 1040)  2018</v>
      </c>
      <c r="P71" s="635"/>
    </row>
    <row r="72" spans="1:16" ht="9.75" customHeight="1">
      <c r="A72" s="82"/>
      <c r="B72" s="690"/>
      <c r="C72" s="690"/>
      <c r="D72" s="691"/>
      <c r="E72" s="691"/>
      <c r="F72" s="691"/>
      <c r="G72" s="691"/>
      <c r="H72" s="690"/>
      <c r="I72" s="692"/>
      <c r="J72" s="692"/>
      <c r="K72" s="692"/>
      <c r="L72" s="692"/>
      <c r="M72" s="692"/>
      <c r="N72" s="692"/>
      <c r="O72" s="692"/>
      <c r="P72" s="635"/>
    </row>
    <row r="73" spans="1:16" ht="15" customHeight="1">
      <c r="A73" s="1"/>
      <c r="B73" s="1"/>
      <c r="C73" s="1"/>
      <c r="D73" s="3"/>
      <c r="E73" s="3"/>
      <c r="F73" s="3"/>
      <c r="G73" s="3"/>
      <c r="H73" s="1"/>
      <c r="I73" s="4"/>
      <c r="J73" s="4"/>
      <c r="K73" s="4"/>
      <c r="L73" s="4"/>
      <c r="M73" s="4"/>
      <c r="N73" s="4"/>
      <c r="O73" s="4"/>
    </row>
    <row r="74" spans="1:16">
      <c r="C74" s="1"/>
      <c r="D74" s="3"/>
      <c r="E74" s="3"/>
      <c r="F74" s="3"/>
      <c r="G74" s="3"/>
      <c r="H74" s="1"/>
      <c r="I74" s="4"/>
      <c r="J74" s="4"/>
      <c r="K74" s="4"/>
      <c r="L74" s="4"/>
      <c r="M74" s="4"/>
      <c r="N74" s="4"/>
      <c r="O74" s="4"/>
    </row>
    <row r="75" spans="1:16" ht="13.5" thickBot="1">
      <c r="B75" s="1"/>
      <c r="C75" s="1"/>
      <c r="D75" s="3"/>
      <c r="E75" s="3"/>
      <c r="F75" s="3"/>
      <c r="G75" s="3"/>
      <c r="H75" s="1"/>
      <c r="I75" s="4"/>
      <c r="J75" s="4"/>
      <c r="K75" s="4"/>
      <c r="L75" s="4"/>
      <c r="M75" s="4"/>
      <c r="N75" s="4"/>
      <c r="O75" s="4"/>
    </row>
    <row r="76" spans="1:16" ht="14.25" thickTop="1" thickBot="1">
      <c r="B76" s="1"/>
      <c r="C76" s="5490" t="s">
        <v>174</v>
      </c>
      <c r="D76" s="5931"/>
      <c r="E76" s="5931"/>
      <c r="F76" s="5931"/>
      <c r="G76" s="5932"/>
      <c r="H76" s="1"/>
      <c r="I76" s="4"/>
      <c r="J76" s="4"/>
      <c r="K76" s="4"/>
      <c r="L76" s="4"/>
      <c r="M76" s="4"/>
      <c r="N76" s="4"/>
      <c r="O76" s="4"/>
    </row>
    <row r="77" spans="1:16" ht="13.5" thickTop="1">
      <c r="B77" s="1"/>
      <c r="C77" s="1"/>
      <c r="D77" s="3"/>
      <c r="E77" s="3"/>
      <c r="F77" s="3"/>
      <c r="G77" s="3"/>
      <c r="H77" s="1"/>
      <c r="I77" s="4"/>
      <c r="J77" s="4"/>
      <c r="K77" s="4"/>
      <c r="L77" s="4"/>
      <c r="M77" s="4"/>
      <c r="N77" s="4"/>
      <c r="O77" s="4"/>
    </row>
  </sheetData>
  <sheetProtection password="F07E" sheet="1" objects="1" scenarios="1"/>
  <mergeCells count="94">
    <mergeCell ref="B58:B62"/>
    <mergeCell ref="E33:G33"/>
    <mergeCell ref="D38:G38"/>
    <mergeCell ref="D43:G43"/>
    <mergeCell ref="D40:G40"/>
    <mergeCell ref="D42:G42"/>
    <mergeCell ref="D41:G41"/>
    <mergeCell ref="D52:G52"/>
    <mergeCell ref="D46:G46"/>
    <mergeCell ref="D48:G48"/>
    <mergeCell ref="D49:G49"/>
    <mergeCell ref="D47:G47"/>
    <mergeCell ref="D51:G51"/>
    <mergeCell ref="D50:G50"/>
    <mergeCell ref="D35:G35"/>
    <mergeCell ref="D24:G24"/>
    <mergeCell ref="D25:G25"/>
    <mergeCell ref="I23:O23"/>
    <mergeCell ref="I24:O24"/>
    <mergeCell ref="I2:O3"/>
    <mergeCell ref="I14:O14"/>
    <mergeCell ref="I15:O15"/>
    <mergeCell ref="I22:O22"/>
    <mergeCell ref="D19:G19"/>
    <mergeCell ref="I18:O18"/>
    <mergeCell ref="I19:O19"/>
    <mergeCell ref="I20:O20"/>
    <mergeCell ref="I21:O21"/>
    <mergeCell ref="I4:O5"/>
    <mergeCell ref="D13:G13"/>
    <mergeCell ref="I13:O13"/>
    <mergeCell ref="I31:O31"/>
    <mergeCell ref="I25:O25"/>
    <mergeCell ref="I30:O30"/>
    <mergeCell ref="I26:O26"/>
    <mergeCell ref="I27:O27"/>
    <mergeCell ref="I28:O28"/>
    <mergeCell ref="I44:O44"/>
    <mergeCell ref="I39:O39"/>
    <mergeCell ref="I32:O32"/>
    <mergeCell ref="I33:O33"/>
    <mergeCell ref="I34:O34"/>
    <mergeCell ref="I36:O36"/>
    <mergeCell ref="I35:O35"/>
    <mergeCell ref="I37:O37"/>
    <mergeCell ref="I38:O38"/>
    <mergeCell ref="I43:O43"/>
    <mergeCell ref="I41:O41"/>
    <mergeCell ref="I40:O40"/>
    <mergeCell ref="I42:O42"/>
    <mergeCell ref="I45:O45"/>
    <mergeCell ref="I46:O46"/>
    <mergeCell ref="I51:O51"/>
    <mergeCell ref="I52:O52"/>
    <mergeCell ref="I47:O47"/>
    <mergeCell ref="I48:O48"/>
    <mergeCell ref="I49:O49"/>
    <mergeCell ref="I50:O50"/>
    <mergeCell ref="J56:L57"/>
    <mergeCell ref="M56:O57"/>
    <mergeCell ref="I54:O54"/>
    <mergeCell ref="I53:O53"/>
    <mergeCell ref="C76:G76"/>
    <mergeCell ref="C68:C69"/>
    <mergeCell ref="E67:I67"/>
    <mergeCell ref="D53:G53"/>
    <mergeCell ref="I12:O12"/>
    <mergeCell ref="D5:H5"/>
    <mergeCell ref="D4:H4"/>
    <mergeCell ref="D15:G15"/>
    <mergeCell ref="D21:G21"/>
    <mergeCell ref="I16:O16"/>
    <mergeCell ref="I17:O17"/>
    <mergeCell ref="D6:H6"/>
    <mergeCell ref="H8:O8"/>
    <mergeCell ref="H9:O9"/>
    <mergeCell ref="I10:O10"/>
    <mergeCell ref="I11:O11"/>
    <mergeCell ref="B21:B31"/>
    <mergeCell ref="D14:G14"/>
    <mergeCell ref="D44:G44"/>
    <mergeCell ref="D45:G45"/>
    <mergeCell ref="D39:G39"/>
    <mergeCell ref="D16:G16"/>
    <mergeCell ref="D17:G17"/>
    <mergeCell ref="D18:G18"/>
    <mergeCell ref="D20:G20"/>
    <mergeCell ref="D22:G22"/>
    <mergeCell ref="D23:G23"/>
    <mergeCell ref="D26:G26"/>
    <mergeCell ref="D27:G27"/>
    <mergeCell ref="D34:G34"/>
    <mergeCell ref="D36:G36"/>
    <mergeCell ref="D37:G37"/>
  </mergeCells>
  <phoneticPr fontId="12" type="noConversion"/>
  <conditionalFormatting sqref="C32">
    <cfRule type="expression" dxfId="2124" priority="64" stopIfTrue="1">
      <formula>$G$32</formula>
    </cfRule>
  </conditionalFormatting>
  <conditionalFormatting sqref="D32">
    <cfRule type="expression" dxfId="2123" priority="63" stopIfTrue="1">
      <formula>IF($G$32,TRUE,FALSE)</formula>
    </cfRule>
  </conditionalFormatting>
  <conditionalFormatting sqref="C55">
    <cfRule type="expression" dxfId="2122" priority="62" stopIfTrue="1">
      <formula>IF($G$55,1,0)</formula>
    </cfRule>
  </conditionalFormatting>
  <conditionalFormatting sqref="D55">
    <cfRule type="expression" dxfId="2121" priority="61" stopIfTrue="1">
      <formula>IF($G$55,1,0)</formula>
    </cfRule>
  </conditionalFormatting>
  <conditionalFormatting sqref="B9:O9 I28:O28">
    <cfRule type="expression" dxfId="2120" priority="60">
      <formula>IF(NoColor,1,0)</formula>
    </cfRule>
  </conditionalFormatting>
  <conditionalFormatting sqref="I31:O31">
    <cfRule type="expression" dxfId="2119" priority="57">
      <formula>IF(NoColor,1,0)</formula>
    </cfRule>
  </conditionalFormatting>
  <conditionalFormatting sqref="I30:O30">
    <cfRule type="expression" dxfId="2118" priority="56">
      <formula>IF(NoColor,1,0)</formula>
    </cfRule>
  </conditionalFormatting>
  <conditionalFormatting sqref="E33:G33">
    <cfRule type="expression" dxfId="2117" priority="54">
      <formula>IF(NoColor,1,0)</formula>
    </cfRule>
  </conditionalFormatting>
  <conditionalFormatting sqref="I33:O52">
    <cfRule type="expression" dxfId="2116" priority="53">
      <formula>IF(NoColor,1,0)</formula>
    </cfRule>
  </conditionalFormatting>
  <conditionalFormatting sqref="I54:O54">
    <cfRule type="expression" dxfId="2115" priority="52">
      <formula>IF(NoColor,1,0)</formula>
    </cfRule>
  </conditionalFormatting>
  <conditionalFormatting sqref="E67:I67">
    <cfRule type="expression" dxfId="2114" priority="45">
      <formula>IF(NoColor,1,0)</formula>
    </cfRule>
  </conditionalFormatting>
  <conditionalFormatting sqref="K60">
    <cfRule type="expression" dxfId="2113" priority="51">
      <formula>IF(NoColor,1,0)</formula>
    </cfRule>
  </conditionalFormatting>
  <conditionalFormatting sqref="N60">
    <cfRule type="expression" dxfId="2112" priority="50">
      <formula>IF(NoColor,1,0)</formula>
    </cfRule>
  </conditionalFormatting>
  <conditionalFormatting sqref="K64">
    <cfRule type="expression" dxfId="2111" priority="49">
      <formula>IF(NoColor,1,0)</formula>
    </cfRule>
  </conditionalFormatting>
  <conditionalFormatting sqref="N64">
    <cfRule type="expression" dxfId="2110" priority="48">
      <formula>IF(NoColor,1,0)</formula>
    </cfRule>
  </conditionalFormatting>
  <conditionalFormatting sqref="K69">
    <cfRule type="expression" dxfId="2109" priority="47">
      <formula>IF(NoColor,1,0)</formula>
    </cfRule>
  </conditionalFormatting>
  <conditionalFormatting sqref="N69">
    <cfRule type="expression" dxfId="2108" priority="46">
      <formula>IF(NoColor,1,0)</formula>
    </cfRule>
  </conditionalFormatting>
  <conditionalFormatting sqref="D13:G13">
    <cfRule type="expression" dxfId="2107" priority="44">
      <formula>IF(NoColor,1,0)</formula>
    </cfRule>
  </conditionalFormatting>
  <conditionalFormatting sqref="I13:I18 I23:I27">
    <cfRule type="expression" dxfId="2106" priority="41">
      <formula>IF(R13&lt;&gt;0,TRUE,FALSE)</formula>
    </cfRule>
    <cfRule type="expression" dxfId="2105" priority="43">
      <formula>IF(NoColor,1,0)</formula>
    </cfRule>
  </conditionalFormatting>
  <conditionalFormatting sqref="I33:I52">
    <cfRule type="expression" dxfId="2104" priority="34">
      <formula>IF(R33&lt;&gt;0,1,0)</formula>
    </cfRule>
  </conditionalFormatting>
  <conditionalFormatting sqref="D14:G14">
    <cfRule type="expression" dxfId="2103" priority="32">
      <formula>IF(NoColor,1,0)</formula>
    </cfRule>
  </conditionalFormatting>
  <conditionalFormatting sqref="D18:G27">
    <cfRule type="expression" dxfId="2102" priority="24">
      <formula>IF(NoColor,1,0)</formula>
    </cfRule>
  </conditionalFormatting>
  <conditionalFormatting sqref="D34:G52">
    <cfRule type="expression" dxfId="2101" priority="23">
      <formula>IF(NoColor,1,0)</formula>
    </cfRule>
  </conditionalFormatting>
  <conditionalFormatting sqref="J13:O18 J23:O27">
    <cfRule type="expression" dxfId="2100" priority="1925">
      <formula>IF(#REF!&lt;&gt;0,TRUE,FALSE)</formula>
    </cfRule>
    <cfRule type="expression" dxfId="2099" priority="1926">
      <formula>IF(NoColor,1,0)</formula>
    </cfRule>
  </conditionalFormatting>
  <conditionalFormatting sqref="J33:O52">
    <cfRule type="expression" dxfId="2098" priority="1927">
      <formula>IF(#REF!&lt;&gt;0,1,0)</formula>
    </cfRule>
  </conditionalFormatting>
  <conditionalFormatting sqref="D15:G15">
    <cfRule type="expression" dxfId="2097" priority="22">
      <formula>IF(NoColor,1,0)</formula>
    </cfRule>
  </conditionalFormatting>
  <conditionalFormatting sqref="D16:G16">
    <cfRule type="expression" dxfId="2096" priority="21">
      <formula>IF(NoColor,1,0)</formula>
    </cfRule>
  </conditionalFormatting>
  <conditionalFormatting sqref="D17:G17">
    <cfRule type="expression" dxfId="2095" priority="20">
      <formula>IF(NoColor,1,0)</formula>
    </cfRule>
  </conditionalFormatting>
  <conditionalFormatting sqref="I19">
    <cfRule type="expression" dxfId="2094" priority="16">
      <formula>IF(R19&lt;&gt;0,TRUE,FALSE)</formula>
    </cfRule>
    <cfRule type="expression" dxfId="2093" priority="17">
      <formula>IF(NoColor,1,0)</formula>
    </cfRule>
  </conditionalFormatting>
  <conditionalFormatting sqref="J19:O19">
    <cfRule type="expression" dxfId="2092" priority="18">
      <formula>IF(#REF!&lt;&gt;0,TRUE,FALSE)</formula>
    </cfRule>
    <cfRule type="expression" dxfId="2091" priority="19">
      <formula>IF(NoColor,1,0)</formula>
    </cfRule>
  </conditionalFormatting>
  <conditionalFormatting sqref="I20">
    <cfRule type="expression" dxfId="2090" priority="12">
      <formula>IF(R20&lt;&gt;0,TRUE,FALSE)</formula>
    </cfRule>
    <cfRule type="expression" dxfId="2089" priority="13">
      <formula>IF(NoColor,1,0)</formula>
    </cfRule>
  </conditionalFormatting>
  <conditionalFormatting sqref="J20:O20">
    <cfRule type="expression" dxfId="2088" priority="14">
      <formula>IF(#REF!&lt;&gt;0,TRUE,FALSE)</formula>
    </cfRule>
    <cfRule type="expression" dxfId="2087" priority="15">
      <formula>IF(NoColor,1,0)</formula>
    </cfRule>
  </conditionalFormatting>
  <conditionalFormatting sqref="I21">
    <cfRule type="expression" dxfId="2086" priority="8">
      <formula>IF(R21&lt;&gt;0,TRUE,FALSE)</formula>
    </cfRule>
    <cfRule type="expression" dxfId="2085" priority="9">
      <formula>IF(NoColor,1,0)</formula>
    </cfRule>
  </conditionalFormatting>
  <conditionalFormatting sqref="J21:O21">
    <cfRule type="expression" dxfId="2084" priority="10">
      <formula>IF(#REF!&lt;&gt;0,TRUE,FALSE)</formula>
    </cfRule>
    <cfRule type="expression" dxfId="2083" priority="11">
      <formula>IF(NoColor,1,0)</formula>
    </cfRule>
  </conditionalFormatting>
  <conditionalFormatting sqref="I22">
    <cfRule type="expression" dxfId="2082" priority="4">
      <formula>IF(R22&lt;&gt;0,TRUE,FALSE)</formula>
    </cfRule>
    <cfRule type="expression" dxfId="2081" priority="5">
      <formula>IF(NoColor,1,0)</formula>
    </cfRule>
  </conditionalFormatting>
  <conditionalFormatting sqref="J22:O22">
    <cfRule type="expression" dxfId="2080" priority="6">
      <formula>IF(#REF!&lt;&gt;0,TRUE,FALSE)</formula>
    </cfRule>
    <cfRule type="expression" dxfId="2079" priority="7">
      <formula>IF(NoColor,1,0)</formula>
    </cfRule>
  </conditionalFormatting>
  <conditionalFormatting sqref="D53:G53">
    <cfRule type="expression" dxfId="2078" priority="3">
      <formula>IF(NoColor,1,0)</formula>
    </cfRule>
  </conditionalFormatting>
  <conditionalFormatting sqref="B5">
    <cfRule type="expression" dxfId="2077" priority="2">
      <formula>NOT(Draft)</formula>
    </cfRule>
  </conditionalFormatting>
  <conditionalFormatting sqref="D3">
    <cfRule type="expression" dxfId="2076" priority="1">
      <formula>NOT(Draft)</formula>
    </cfRule>
  </conditionalFormatting>
  <hyperlinks>
    <hyperlink ref="C76:G76" r:id="rId1" display="Download Form 1040 Schedules A&amp;B"/>
  </hyperlinks>
  <printOptions horizontalCentered="1"/>
  <pageMargins left="0.48" right="0.25" top="0.33" bottom="0.2" header="0.25" footer="0.2"/>
  <pageSetup scale="92" orientation="portrait" horizontalDpi="120" verticalDpi="144" r:id="rId2"/>
  <headerFooter alignWithMargins="0"/>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J236"/>
  <sheetViews>
    <sheetView zoomScaleNormal="100" zoomScaleSheetLayoutView="100" workbookViewId="0">
      <selection activeCell="T23" sqref="T23:U23"/>
    </sheetView>
  </sheetViews>
  <sheetFormatPr defaultRowHeight="12.75"/>
  <cols>
    <col min="1" max="1" width="2" customWidth="1"/>
    <col min="2" max="2" width="6.140625" customWidth="1"/>
    <col min="3" max="3" width="12.7109375" customWidth="1"/>
    <col min="4" max="4" width="11.42578125" customWidth="1"/>
    <col min="5" max="5" width="3" customWidth="1"/>
    <col min="6" max="6" width="6.28515625" customWidth="1"/>
    <col min="7" max="7" width="3.5703125" customWidth="1"/>
    <col min="8" max="8" width="4" customWidth="1"/>
    <col min="9" max="9" width="10.7109375" customWidth="1"/>
    <col min="10" max="10" width="3" customWidth="1"/>
    <col min="11" max="11" width="2.42578125" customWidth="1"/>
    <col min="12" max="12" width="10.28515625" customWidth="1"/>
    <col min="13" max="19" width="4.5703125" customWidth="1"/>
    <col min="20" max="20" width="4.42578125" customWidth="1"/>
    <col min="21" max="21" width="7" customWidth="1"/>
    <col min="22" max="22" width="1.7109375" customWidth="1"/>
    <col min="23" max="23" width="11.5703125" style="46" customWidth="1"/>
    <col min="24" max="24" width="1.7109375" customWidth="1"/>
    <col min="25" max="25" width="9.140625" customWidth="1"/>
    <col min="26" max="36" width="10.7109375" style="3169" customWidth="1"/>
    <col min="37" max="38" width="10.7109375" customWidth="1"/>
  </cols>
  <sheetData>
    <row r="1" spans="1:26" ht="21.75" customHeight="1">
      <c r="A1" s="82"/>
      <c r="B1" s="82"/>
      <c r="C1" s="82"/>
      <c r="D1" s="82"/>
      <c r="E1" s="82"/>
      <c r="F1" s="4495" t="s">
        <v>4077</v>
      </c>
      <c r="G1" s="82"/>
      <c r="H1" s="82"/>
      <c r="I1" s="82"/>
      <c r="J1" s="82"/>
      <c r="K1" s="82"/>
      <c r="L1" s="82"/>
      <c r="M1" s="82"/>
      <c r="N1" s="82"/>
      <c r="O1" s="82"/>
      <c r="P1" s="82"/>
      <c r="Q1" s="82"/>
      <c r="R1" s="82"/>
      <c r="S1" s="82"/>
      <c r="T1" s="82"/>
      <c r="U1" s="82"/>
      <c r="V1" s="635"/>
      <c r="W1" s="396"/>
      <c r="X1" s="635"/>
      <c r="Z1" s="3168" t="s">
        <v>2552</v>
      </c>
    </row>
    <row r="2" spans="1:26" ht="20.25" customHeight="1">
      <c r="A2" s="635"/>
      <c r="B2" s="344" t="s">
        <v>409</v>
      </c>
      <c r="C2" s="892"/>
      <c r="D2" s="4009"/>
      <c r="E2" s="168"/>
      <c r="F2" s="640" t="s">
        <v>410</v>
      </c>
      <c r="G2" s="282"/>
      <c r="H2" s="282"/>
      <c r="I2" s="142"/>
      <c r="J2" s="142"/>
      <c r="K2" s="142"/>
      <c r="L2" s="23"/>
      <c r="M2" s="142"/>
      <c r="N2" s="282"/>
      <c r="O2" s="282"/>
      <c r="P2" s="172"/>
      <c r="Q2" s="4008"/>
      <c r="R2" s="6024" t="s">
        <v>169</v>
      </c>
      <c r="S2" s="5577"/>
      <c r="T2" s="5577"/>
      <c r="U2" s="5577"/>
      <c r="V2" s="635"/>
      <c r="W2" s="396"/>
      <c r="X2" s="635"/>
    </row>
    <row r="3" spans="1:26" ht="18.75" customHeight="1">
      <c r="A3" s="635"/>
      <c r="B3" s="3326" t="s">
        <v>201</v>
      </c>
      <c r="C3" s="892"/>
      <c r="D3" s="4007"/>
      <c r="E3" s="168"/>
      <c r="F3" s="168"/>
      <c r="G3" s="168"/>
      <c r="H3" s="169"/>
      <c r="I3" s="1065" t="s">
        <v>411</v>
      </c>
      <c r="J3" s="170"/>
      <c r="K3" s="170"/>
      <c r="L3" s="168"/>
      <c r="M3" s="171"/>
      <c r="N3" s="169"/>
      <c r="O3" s="169"/>
      <c r="P3" s="172"/>
      <c r="Q3" s="168"/>
      <c r="R3" s="6025">
        <f>TaxYear</f>
        <v>2018</v>
      </c>
      <c r="S3" s="6026"/>
      <c r="T3" s="6027"/>
      <c r="U3" s="5582"/>
      <c r="V3" s="635"/>
      <c r="W3" s="396"/>
      <c r="X3" s="635"/>
    </row>
    <row r="4" spans="1:26" ht="12" customHeight="1">
      <c r="A4" s="635"/>
      <c r="B4" s="6028" t="s">
        <v>1154</v>
      </c>
      <c r="C4" s="6029"/>
      <c r="D4" s="6032" t="s">
        <v>2481</v>
      </c>
      <c r="E4" s="5601"/>
      <c r="F4" s="5601"/>
      <c r="G4" s="5601"/>
      <c r="H4" s="5601"/>
      <c r="I4" s="5601"/>
      <c r="J4" s="5601"/>
      <c r="K4" s="5601"/>
      <c r="L4" s="5601"/>
      <c r="M4" s="5601"/>
      <c r="N4" s="5601"/>
      <c r="O4" s="5601"/>
      <c r="P4" s="5601"/>
      <c r="Q4" s="6033"/>
      <c r="R4" s="6012" t="s">
        <v>4038</v>
      </c>
      <c r="S4" s="6013"/>
      <c r="T4" s="6013"/>
      <c r="U4" s="6016" t="s">
        <v>4039</v>
      </c>
      <c r="V4" s="635"/>
      <c r="W4" s="396"/>
      <c r="X4" s="635"/>
    </row>
    <row r="5" spans="1:26" ht="11.25" customHeight="1">
      <c r="A5" s="635"/>
      <c r="B5" s="6030"/>
      <c r="C5" s="6031"/>
      <c r="D5" s="6034" t="s">
        <v>711</v>
      </c>
      <c r="E5" s="6035"/>
      <c r="F5" s="6035"/>
      <c r="G5" s="6035"/>
      <c r="H5" s="6035"/>
      <c r="I5" s="6035"/>
      <c r="J5" s="6035"/>
      <c r="K5" s="6035"/>
      <c r="L5" s="6035"/>
      <c r="M5" s="6035"/>
      <c r="N5" s="6035"/>
      <c r="O5" s="6035"/>
      <c r="P5" s="6035"/>
      <c r="Q5" s="6036"/>
      <c r="R5" s="6014"/>
      <c r="S5" s="6015"/>
      <c r="T5" s="6015"/>
      <c r="U5" s="6017"/>
      <c r="V5" s="635"/>
      <c r="W5" s="396"/>
      <c r="X5" s="635"/>
    </row>
    <row r="6" spans="1:26" ht="12" customHeight="1">
      <c r="A6" s="635"/>
      <c r="B6" s="171" t="s">
        <v>412</v>
      </c>
      <c r="C6" s="168"/>
      <c r="D6" s="168"/>
      <c r="E6" s="168"/>
      <c r="F6" s="141"/>
      <c r="G6" s="141"/>
      <c r="H6" s="142"/>
      <c r="I6" s="151"/>
      <c r="J6" s="151"/>
      <c r="K6" s="151"/>
      <c r="L6" s="175"/>
      <c r="M6" s="177" t="s">
        <v>158</v>
      </c>
      <c r="N6" s="142"/>
      <c r="O6" s="142"/>
      <c r="P6" s="142"/>
      <c r="Q6" s="141"/>
      <c r="R6" s="141"/>
      <c r="S6" s="141"/>
      <c r="T6" s="141"/>
      <c r="U6" s="141"/>
      <c r="V6" s="635"/>
      <c r="W6" s="396"/>
      <c r="X6" s="635"/>
    </row>
    <row r="7" spans="1:26" ht="14.25" customHeight="1" thickBot="1">
      <c r="A7" s="635"/>
      <c r="B7" s="6037"/>
      <c r="C7" s="6038"/>
      <c r="D7" s="6038"/>
      <c r="E7" s="6038"/>
      <c r="F7" s="6038"/>
      <c r="G7" s="6038"/>
      <c r="H7" s="6038"/>
      <c r="I7" s="6038"/>
      <c r="J7" s="6038"/>
      <c r="K7" s="6038"/>
      <c r="L7" s="6039"/>
      <c r="M7" s="6040"/>
      <c r="N7" s="6041"/>
      <c r="O7" s="6041"/>
      <c r="P7" s="6041"/>
      <c r="Q7" s="6041"/>
      <c r="R7" s="6041"/>
      <c r="S7" s="6041"/>
      <c r="T7" s="6041"/>
      <c r="U7" s="1506"/>
      <c r="V7" s="635"/>
      <c r="W7" s="396"/>
      <c r="X7" s="635"/>
    </row>
    <row r="8" spans="1:26" ht="12.75" customHeight="1" thickTop="1">
      <c r="A8" s="635"/>
      <c r="B8" s="146" t="s">
        <v>159</v>
      </c>
      <c r="C8" s="171" t="s">
        <v>1287</v>
      </c>
      <c r="D8" s="176"/>
      <c r="E8" s="168"/>
      <c r="F8" s="141"/>
      <c r="G8" s="141"/>
      <c r="H8" s="142"/>
      <c r="I8" s="151"/>
      <c r="J8" s="151"/>
      <c r="K8" s="151"/>
      <c r="L8" s="142"/>
      <c r="M8" s="1077" t="s">
        <v>712</v>
      </c>
      <c r="N8" s="61"/>
      <c r="O8" s="61"/>
      <c r="P8" s="61"/>
      <c r="Q8" s="62"/>
      <c r="R8" s="62"/>
      <c r="S8" s="62"/>
      <c r="T8" s="62"/>
      <c r="U8" s="381"/>
      <c r="V8" s="635"/>
      <c r="W8" s="396"/>
      <c r="X8" s="635"/>
    </row>
    <row r="9" spans="1:26" ht="12.75" customHeight="1" thickBot="1">
      <c r="A9" s="635"/>
      <c r="B9" s="6042"/>
      <c r="C9" s="6043"/>
      <c r="D9" s="6043"/>
      <c r="E9" s="6043"/>
      <c r="F9" s="6043"/>
      <c r="G9" s="6043"/>
      <c r="H9" s="6043"/>
      <c r="I9" s="6043"/>
      <c r="J9" s="6043"/>
      <c r="K9" s="6043"/>
      <c r="L9" s="6044"/>
      <c r="M9" s="1078"/>
      <c r="N9" s="981"/>
      <c r="O9" s="980"/>
      <c r="P9" s="1504"/>
      <c r="Q9" s="1504"/>
      <c r="R9" s="1504"/>
      <c r="S9" s="1504"/>
      <c r="T9" s="1504"/>
      <c r="U9" s="1505"/>
      <c r="V9" s="635"/>
      <c r="W9" s="396"/>
      <c r="X9" s="635"/>
    </row>
    <row r="10" spans="1:26" ht="12" customHeight="1" thickTop="1">
      <c r="A10" s="635"/>
      <c r="B10" s="146" t="s">
        <v>160</v>
      </c>
      <c r="C10" s="171" t="s">
        <v>391</v>
      </c>
      <c r="D10" s="171"/>
      <c r="E10" s="168"/>
      <c r="F10" s="141"/>
      <c r="G10" s="141"/>
      <c r="H10" s="142"/>
      <c r="I10" s="151"/>
      <c r="J10" s="151"/>
      <c r="K10" s="151"/>
      <c r="L10" s="175"/>
      <c r="M10" s="177" t="s">
        <v>3234</v>
      </c>
      <c r="N10" s="142"/>
      <c r="O10" s="142"/>
      <c r="P10" s="142"/>
      <c r="Q10" s="141"/>
      <c r="R10" s="141"/>
      <c r="S10" s="141"/>
      <c r="T10" s="141"/>
      <c r="U10" s="141"/>
      <c r="V10" s="635"/>
      <c r="W10" s="396"/>
      <c r="X10" s="635"/>
    </row>
    <row r="11" spans="1:26" ht="14.25" customHeight="1">
      <c r="A11" s="635"/>
      <c r="B11" s="6042"/>
      <c r="C11" s="6043"/>
      <c r="D11" s="6043"/>
      <c r="E11" s="6043"/>
      <c r="F11" s="6043"/>
      <c r="G11" s="6043"/>
      <c r="H11" s="6043"/>
      <c r="I11" s="6043"/>
      <c r="J11" s="6043"/>
      <c r="K11" s="6043"/>
      <c r="L11" s="6043"/>
      <c r="M11" s="1507"/>
      <c r="N11" s="1508"/>
      <c r="O11" s="1509"/>
      <c r="P11" s="1507"/>
      <c r="Q11" s="1507"/>
      <c r="R11" s="1507"/>
      <c r="S11" s="1507"/>
      <c r="T11" s="1510"/>
      <c r="U11" s="1510"/>
      <c r="V11" s="635"/>
      <c r="W11" s="396"/>
      <c r="X11" s="635"/>
    </row>
    <row r="12" spans="1:26" ht="11.25" customHeight="1">
      <c r="A12" s="635"/>
      <c r="B12" s="146" t="s">
        <v>419</v>
      </c>
      <c r="C12" s="171" t="s">
        <v>4040</v>
      </c>
      <c r="D12" s="176"/>
      <c r="E12" s="168"/>
      <c r="F12" s="141"/>
      <c r="G12" s="141"/>
      <c r="H12" s="4490"/>
      <c r="I12" s="6005"/>
      <c r="J12" s="6006"/>
      <c r="K12" s="6006"/>
      <c r="L12" s="6006"/>
      <c r="M12" s="6006"/>
      <c r="N12" s="6006"/>
      <c r="O12" s="6006"/>
      <c r="P12" s="6006"/>
      <c r="Q12" s="6006"/>
      <c r="R12" s="6006"/>
      <c r="S12" s="6006"/>
      <c r="T12" s="6006"/>
      <c r="U12" s="6006"/>
      <c r="V12" s="635"/>
      <c r="W12" s="396"/>
      <c r="X12" s="635"/>
    </row>
    <row r="13" spans="1:26" ht="11.25" customHeight="1">
      <c r="A13" s="635"/>
      <c r="B13" s="549"/>
      <c r="C13" s="178" t="s">
        <v>420</v>
      </c>
      <c r="D13" s="178"/>
      <c r="E13" s="155"/>
      <c r="F13" s="17"/>
      <c r="G13" s="17"/>
      <c r="H13" s="17"/>
      <c r="I13" s="6007"/>
      <c r="J13" s="6008"/>
      <c r="K13" s="6009"/>
      <c r="L13" s="6008"/>
      <c r="M13" s="6008"/>
      <c r="N13" s="6008"/>
      <c r="O13" s="6008"/>
      <c r="P13" s="6008"/>
      <c r="Q13" s="6008"/>
      <c r="R13" s="6008"/>
      <c r="S13" s="6008"/>
      <c r="T13" s="6008"/>
      <c r="U13" s="6008"/>
      <c r="V13" s="635"/>
      <c r="W13" s="396"/>
      <c r="X13" s="635"/>
    </row>
    <row r="14" spans="1:26" ht="3" customHeight="1" thickBot="1">
      <c r="A14" s="635"/>
      <c r="B14" s="1162"/>
      <c r="C14" s="176"/>
      <c r="D14" s="176"/>
      <c r="E14" s="168"/>
      <c r="F14" s="141"/>
      <c r="G14" s="141"/>
      <c r="H14" s="141"/>
      <c r="I14" s="1163"/>
      <c r="J14" s="1164"/>
      <c r="K14" s="1166"/>
      <c r="L14" s="1167"/>
      <c r="M14" s="1167"/>
      <c r="N14" s="1167"/>
      <c r="O14" s="1167"/>
      <c r="P14" s="1167"/>
      <c r="Q14" s="1167"/>
      <c r="R14" s="1167"/>
      <c r="S14" s="1167"/>
      <c r="T14" s="1167"/>
      <c r="U14" s="1167"/>
      <c r="V14" s="635"/>
      <c r="W14" s="396"/>
      <c r="X14" s="635"/>
    </row>
    <row r="15" spans="1:26" ht="14.25" customHeight="1" thickBot="1">
      <c r="A15" s="635"/>
      <c r="B15" s="146" t="s">
        <v>421</v>
      </c>
      <c r="C15" s="171" t="s">
        <v>4041</v>
      </c>
      <c r="D15" s="176"/>
      <c r="E15" s="1500"/>
      <c r="F15" s="1165" t="s">
        <v>145</v>
      </c>
      <c r="G15" s="161" t="str">
        <f>"(2) "</f>
        <v xml:space="preserve">(2) </v>
      </c>
      <c r="H15" s="1511"/>
      <c r="I15" s="176" t="s">
        <v>146</v>
      </c>
      <c r="J15" s="161" t="str">
        <f>"(3)"</f>
        <v>(3)</v>
      </c>
      <c r="K15" s="1511"/>
      <c r="L15" s="171" t="s">
        <v>713</v>
      </c>
      <c r="M15" s="176"/>
      <c r="N15" s="6010"/>
      <c r="O15" s="6011"/>
      <c r="P15" s="6011"/>
      <c r="Q15" s="6011"/>
      <c r="R15" s="6011"/>
      <c r="S15" s="6011"/>
      <c r="T15" s="6011"/>
      <c r="U15" s="6011"/>
      <c r="V15" s="635"/>
      <c r="W15" s="396"/>
      <c r="X15" s="635"/>
    </row>
    <row r="16" spans="1:26" ht="3.75" customHeight="1" thickBot="1">
      <c r="A16" s="635"/>
      <c r="B16" s="146"/>
      <c r="C16" s="176"/>
      <c r="D16" s="176"/>
      <c r="E16" s="862"/>
      <c r="F16" s="141"/>
      <c r="G16" s="161"/>
      <c r="H16" s="863"/>
      <c r="I16" s="176"/>
      <c r="J16" s="179"/>
      <c r="K16" s="863"/>
      <c r="L16" s="176"/>
      <c r="M16" s="176"/>
      <c r="N16" s="641"/>
      <c r="O16" s="864"/>
      <c r="P16" s="864"/>
      <c r="Q16" s="864"/>
      <c r="R16" s="864"/>
      <c r="S16" s="864"/>
      <c r="T16" s="864"/>
      <c r="U16" s="864"/>
      <c r="V16" s="635"/>
      <c r="W16" s="396"/>
      <c r="X16" s="635"/>
    </row>
    <row r="17" spans="1:25" ht="12.75" customHeight="1" thickBot="1">
      <c r="A17" s="635"/>
      <c r="B17" s="146" t="s">
        <v>147</v>
      </c>
      <c r="C17" s="171" t="str">
        <f>"Did you 'materially participate' in the operation of this business during "&amp;TaxYear&amp;"? If 'No,' see instructions for loss limits."</f>
        <v>Did you 'materially participate' in the operation of this business during 2018? If 'No,' see instructions for loss limits.</v>
      </c>
      <c r="D17" s="21"/>
      <c r="E17" s="141"/>
      <c r="F17" s="141"/>
      <c r="G17" s="161"/>
      <c r="H17" s="141"/>
      <c r="I17" s="176"/>
      <c r="J17" s="179"/>
      <c r="K17" s="179"/>
      <c r="L17" s="141"/>
      <c r="M17" s="176"/>
      <c r="N17" s="141"/>
      <c r="O17" s="141"/>
      <c r="P17" s="141"/>
      <c r="Q17" s="141"/>
      <c r="R17" s="1500"/>
      <c r="S17" s="170" t="s">
        <v>307</v>
      </c>
      <c r="T17" s="1500"/>
      <c r="U17" s="170" t="s">
        <v>308</v>
      </c>
      <c r="V17" s="635"/>
      <c r="W17" s="396"/>
      <c r="X17" s="635"/>
    </row>
    <row r="18" spans="1:25" ht="12.75" customHeight="1" thickBot="1">
      <c r="A18" s="635"/>
      <c r="B18" s="146" t="s">
        <v>67</v>
      </c>
      <c r="C18" s="176" t="str">
        <f>"If you started or acquired this business during "&amp;TaxYear&amp;", check here"</f>
        <v>If you started or acquired this business during 2018, check here</v>
      </c>
      <c r="D18" s="176"/>
      <c r="E18" s="168"/>
      <c r="F18" s="141"/>
      <c r="G18" s="141"/>
      <c r="H18" s="641"/>
      <c r="I18" s="1168"/>
      <c r="J18" s="1168"/>
      <c r="K18" s="1168"/>
      <c r="L18" s="641"/>
      <c r="M18" s="1168"/>
      <c r="N18" s="641"/>
      <c r="O18" s="641"/>
      <c r="P18" s="641"/>
      <c r="Q18" s="614" t="s">
        <v>2541</v>
      </c>
      <c r="R18" s="1511"/>
      <c r="S18" s="614"/>
      <c r="T18" s="1169"/>
      <c r="U18" s="141"/>
      <c r="V18" s="635"/>
      <c r="W18" s="396"/>
      <c r="X18" s="635"/>
    </row>
    <row r="19" spans="1:25" ht="12.75" customHeight="1" thickBot="1">
      <c r="A19" s="635"/>
      <c r="B19" s="170" t="s">
        <v>714</v>
      </c>
      <c r="C19" s="171" t="str">
        <f>"Did you make any payments in "&amp;TaxYear&amp;" that would require you to file Form(s) 1099? (see instructions) "</f>
        <v xml:space="preserve">Did you make any payments in 2018 that would require you to file Form(s) 1099? (see instructions) </v>
      </c>
      <c r="D19" s="21"/>
      <c r="E19" s="141"/>
      <c r="F19" s="141"/>
      <c r="G19" s="161"/>
      <c r="H19" s="141"/>
      <c r="I19" s="176"/>
      <c r="J19" s="179"/>
      <c r="K19" s="179"/>
      <c r="L19" s="141"/>
      <c r="M19" s="176"/>
      <c r="N19" s="141"/>
      <c r="O19" s="141"/>
      <c r="P19" s="141"/>
      <c r="Q19" s="614" t="s">
        <v>3235</v>
      </c>
      <c r="R19" s="1500"/>
      <c r="S19" s="170" t="s">
        <v>307</v>
      </c>
      <c r="T19" s="1500"/>
      <c r="U19" s="170" t="s">
        <v>308</v>
      </c>
      <c r="V19" s="635"/>
      <c r="W19" s="396"/>
      <c r="X19" s="635"/>
    </row>
    <row r="20" spans="1:25" ht="12.75" customHeight="1" thickBot="1">
      <c r="A20" s="635"/>
      <c r="B20" s="170" t="s">
        <v>715</v>
      </c>
      <c r="C20" s="171" t="s">
        <v>716</v>
      </c>
      <c r="D20" s="21"/>
      <c r="E20" s="141"/>
      <c r="F20" s="141"/>
      <c r="G20" s="161"/>
      <c r="H20" s="141"/>
      <c r="I20" s="176"/>
      <c r="J20" s="179"/>
      <c r="K20" s="179"/>
      <c r="L20" s="141"/>
      <c r="M20" s="176"/>
      <c r="N20" s="141"/>
      <c r="O20" s="141"/>
      <c r="P20" s="141"/>
      <c r="Q20" s="614" t="s">
        <v>3236</v>
      </c>
      <c r="R20" s="1511"/>
      <c r="S20" s="170" t="s">
        <v>307</v>
      </c>
      <c r="T20" s="1511"/>
      <c r="U20" s="170" t="s">
        <v>308</v>
      </c>
      <c r="V20" s="635"/>
      <c r="W20" s="243" t="s">
        <v>100</v>
      </c>
      <c r="X20" s="635"/>
    </row>
    <row r="21" spans="1:25" ht="15" customHeight="1">
      <c r="A21" s="635"/>
      <c r="B21" s="2875" t="s">
        <v>58</v>
      </c>
      <c r="C21" s="180" t="s">
        <v>335</v>
      </c>
      <c r="D21" s="180"/>
      <c r="E21" s="181"/>
      <c r="F21" s="182"/>
      <c r="G21" s="182"/>
      <c r="H21" s="182"/>
      <c r="I21" s="183"/>
      <c r="J21" s="183"/>
      <c r="K21" s="183"/>
      <c r="L21" s="183"/>
      <c r="M21" s="183"/>
      <c r="N21" s="182"/>
      <c r="O21" s="182"/>
      <c r="P21" s="184"/>
      <c r="Q21" s="182"/>
      <c r="R21" s="182"/>
      <c r="S21" s="182"/>
      <c r="T21" s="182"/>
      <c r="U21" s="182"/>
      <c r="V21" s="635"/>
      <c r="W21" s="154" t="s">
        <v>468</v>
      </c>
      <c r="X21" s="635"/>
    </row>
    <row r="22" spans="1:25" ht="13.5" customHeight="1" thickBot="1">
      <c r="A22" s="635"/>
      <c r="B22" s="169">
        <v>1</v>
      </c>
      <c r="C22" s="280" t="s">
        <v>873</v>
      </c>
      <c r="D22" s="280"/>
      <c r="E22" s="186"/>
      <c r="F22" s="186"/>
      <c r="G22" s="186"/>
      <c r="H22" s="186"/>
      <c r="I22" s="187"/>
      <c r="J22" s="187"/>
      <c r="K22" s="187"/>
      <c r="L22" s="187"/>
      <c r="M22" s="614"/>
      <c r="N22" s="186"/>
      <c r="O22" s="186"/>
      <c r="P22" s="186"/>
      <c r="Q22" s="539"/>
      <c r="R22" s="614"/>
      <c r="S22" s="1001"/>
      <c r="T22" s="1000"/>
      <c r="U22" s="1000"/>
      <c r="V22" s="635"/>
      <c r="W22" s="396"/>
      <c r="X22" s="635"/>
      <c r="Y22" s="1601" t="b">
        <f>(M7=SS_Spouse)</f>
        <v>1</v>
      </c>
    </row>
    <row r="23" spans="1:25" ht="12" customHeight="1" thickBot="1">
      <c r="A23" s="635"/>
      <c r="B23" s="169"/>
      <c r="C23" s="280" t="s">
        <v>874</v>
      </c>
      <c r="D23" s="280"/>
      <c r="E23" s="186"/>
      <c r="F23" s="186"/>
      <c r="G23" s="186"/>
      <c r="H23" s="186"/>
      <c r="I23" s="187"/>
      <c r="J23" s="187"/>
      <c r="K23" s="187"/>
      <c r="L23" s="187"/>
      <c r="M23" s="614"/>
      <c r="N23" s="186"/>
      <c r="O23" s="614" t="s">
        <v>964</v>
      </c>
      <c r="P23" s="186"/>
      <c r="Q23" s="1500"/>
      <c r="R23" s="614"/>
      <c r="S23" s="1170">
        <v>1</v>
      </c>
      <c r="T23" s="6004"/>
      <c r="U23" s="5997"/>
      <c r="V23" s="635"/>
      <c r="W23" s="396"/>
      <c r="X23" s="635"/>
      <c r="Y23" s="1601">
        <f>IF(AND(Y22,SchC_StatutoryEmp_1&lt;&gt;""),T23,0)</f>
        <v>0</v>
      </c>
    </row>
    <row r="24" spans="1:25" ht="12" customHeight="1">
      <c r="A24" s="635"/>
      <c r="B24" s="205">
        <v>2</v>
      </c>
      <c r="C24" s="280" t="s">
        <v>965</v>
      </c>
      <c r="D24" s="190"/>
      <c r="E24" s="186"/>
      <c r="F24" s="186"/>
      <c r="G24" s="186"/>
      <c r="H24" s="186"/>
      <c r="I24" s="187"/>
      <c r="J24" s="187"/>
      <c r="K24" s="187"/>
      <c r="L24" s="187"/>
      <c r="M24" s="187"/>
      <c r="N24" s="186"/>
      <c r="O24" s="186"/>
      <c r="P24" s="188"/>
      <c r="Q24" s="186"/>
      <c r="R24" s="644" t="s">
        <v>3237</v>
      </c>
      <c r="S24" s="382">
        <v>2</v>
      </c>
      <c r="T24" s="5977"/>
      <c r="U24" s="5978"/>
      <c r="V24" s="635"/>
      <c r="W24" s="396"/>
      <c r="X24" s="635"/>
    </row>
    <row r="25" spans="1:25" ht="12" customHeight="1">
      <c r="A25" s="635"/>
      <c r="B25" s="205">
        <v>3</v>
      </c>
      <c r="C25" s="1079" t="s">
        <v>875</v>
      </c>
      <c r="D25" s="191"/>
      <c r="E25" s="191"/>
      <c r="F25" s="188"/>
      <c r="G25" s="188"/>
      <c r="H25" s="188"/>
      <c r="I25" s="191"/>
      <c r="J25" s="191"/>
      <c r="K25" s="191"/>
      <c r="L25" s="191"/>
      <c r="M25" s="191"/>
      <c r="N25" s="188"/>
      <c r="O25" s="188"/>
      <c r="P25" s="191"/>
      <c r="Q25" s="188"/>
      <c r="R25" s="644" t="s">
        <v>3237</v>
      </c>
      <c r="S25" s="189">
        <v>3</v>
      </c>
      <c r="T25" s="5983">
        <f>SUM(T23,-T24)</f>
        <v>0</v>
      </c>
      <c r="U25" s="5984"/>
      <c r="V25" s="635"/>
      <c r="W25" s="396"/>
      <c r="X25" s="635"/>
    </row>
    <row r="26" spans="1:25" ht="12" customHeight="1">
      <c r="A26" s="635"/>
      <c r="B26" s="205">
        <v>4</v>
      </c>
      <c r="C26" s="1079" t="s">
        <v>718</v>
      </c>
      <c r="D26" s="191"/>
      <c r="E26" s="191"/>
      <c r="F26" s="188"/>
      <c r="G26" s="188"/>
      <c r="H26" s="188"/>
      <c r="I26" s="191"/>
      <c r="J26" s="191"/>
      <c r="K26" s="191"/>
      <c r="L26" s="191"/>
      <c r="M26" s="191"/>
      <c r="N26" s="188"/>
      <c r="O26" s="188"/>
      <c r="P26" s="191"/>
      <c r="Q26" s="188"/>
      <c r="R26" s="644" t="s">
        <v>3238</v>
      </c>
      <c r="S26" s="189">
        <v>4</v>
      </c>
      <c r="T26" s="5983">
        <f>IF(W26&lt;&gt;"",W26,T86)</f>
        <v>0</v>
      </c>
      <c r="U26" s="5984"/>
      <c r="V26" s="635"/>
      <c r="W26" s="624"/>
      <c r="X26" s="635"/>
    </row>
    <row r="27" spans="1:25" ht="12" customHeight="1">
      <c r="A27" s="635"/>
      <c r="B27" s="205">
        <v>5</v>
      </c>
      <c r="C27" s="1168" t="s">
        <v>1974</v>
      </c>
      <c r="D27" s="193"/>
      <c r="E27" s="191"/>
      <c r="F27" s="188"/>
      <c r="G27" s="188"/>
      <c r="H27" s="188"/>
      <c r="I27" s="191"/>
      <c r="J27" s="191"/>
      <c r="K27" s="191"/>
      <c r="L27" s="191"/>
      <c r="M27" s="191"/>
      <c r="N27" s="188"/>
      <c r="O27" s="188"/>
      <c r="P27" s="191"/>
      <c r="Q27" s="188"/>
      <c r="R27" s="644" t="s">
        <v>1291</v>
      </c>
      <c r="S27" s="189">
        <v>5</v>
      </c>
      <c r="T27" s="5983">
        <f>T25-T26</f>
        <v>0</v>
      </c>
      <c r="U27" s="5984"/>
      <c r="V27" s="635"/>
      <c r="W27" s="396"/>
      <c r="X27" s="635"/>
    </row>
    <row r="28" spans="1:25" ht="12" customHeight="1">
      <c r="A28" s="635"/>
      <c r="B28" s="205">
        <v>6</v>
      </c>
      <c r="C28" s="1079" t="s">
        <v>2664</v>
      </c>
      <c r="D28" s="191"/>
      <c r="E28" s="191"/>
      <c r="F28" s="188"/>
      <c r="G28" s="188"/>
      <c r="H28" s="188"/>
      <c r="I28" s="191"/>
      <c r="J28" s="191"/>
      <c r="K28" s="191"/>
      <c r="L28" s="191"/>
      <c r="M28" s="191"/>
      <c r="N28" s="188"/>
      <c r="O28" s="188"/>
      <c r="P28" s="191"/>
      <c r="Q28" s="188"/>
      <c r="R28" s="644" t="s">
        <v>3239</v>
      </c>
      <c r="S28" s="189">
        <v>6</v>
      </c>
      <c r="T28" s="6004"/>
      <c r="U28" s="5997"/>
      <c r="V28" s="635"/>
      <c r="W28" s="396"/>
      <c r="X28" s="635"/>
    </row>
    <row r="29" spans="1:25" ht="12" customHeight="1">
      <c r="A29" s="635"/>
      <c r="B29" s="205">
        <v>7</v>
      </c>
      <c r="C29" s="168" t="s">
        <v>2483</v>
      </c>
      <c r="D29" s="197"/>
      <c r="E29" s="176"/>
      <c r="F29" s="186"/>
      <c r="G29" s="186"/>
      <c r="H29" s="194"/>
      <c r="I29" s="191"/>
      <c r="J29" s="191"/>
      <c r="K29" s="191"/>
      <c r="L29" s="195"/>
      <c r="M29" s="191"/>
      <c r="N29" s="194"/>
      <c r="O29" s="194"/>
      <c r="P29" s="191"/>
      <c r="Q29" s="186"/>
      <c r="R29" s="1817" t="s">
        <v>3217</v>
      </c>
      <c r="S29" s="189">
        <v>7</v>
      </c>
      <c r="T29" s="5983">
        <f>SUM(T27,T28)</f>
        <v>0</v>
      </c>
      <c r="U29" s="5984"/>
      <c r="V29" s="635"/>
      <c r="W29" s="396"/>
      <c r="X29" s="635"/>
    </row>
    <row r="30" spans="1:25" ht="15">
      <c r="A30" s="635"/>
      <c r="B30" s="2875" t="s">
        <v>130</v>
      </c>
      <c r="C30" s="182" t="s">
        <v>4042</v>
      </c>
      <c r="D30" s="1811" t="s">
        <v>1288</v>
      </c>
      <c r="E30" s="182"/>
      <c r="F30" s="182"/>
      <c r="G30" s="182"/>
      <c r="H30" s="181"/>
      <c r="I30" s="182"/>
      <c r="J30" s="182"/>
      <c r="K30" s="182"/>
      <c r="L30" s="182"/>
      <c r="M30" s="182"/>
      <c r="N30" s="182"/>
      <c r="O30" s="182"/>
      <c r="P30" s="182"/>
      <c r="Q30" s="182"/>
      <c r="R30" s="182"/>
      <c r="S30" s="182"/>
      <c r="T30" s="394"/>
      <c r="U30" s="394"/>
      <c r="V30" s="635"/>
      <c r="W30" s="396"/>
      <c r="X30" s="635"/>
    </row>
    <row r="31" spans="1:25" ht="12" customHeight="1">
      <c r="A31" s="635"/>
      <c r="B31" s="205">
        <v>8</v>
      </c>
      <c r="C31" s="198" t="s">
        <v>53</v>
      </c>
      <c r="D31" s="198"/>
      <c r="E31" s="186"/>
      <c r="F31" s="186"/>
      <c r="G31" s="194"/>
      <c r="H31" s="382">
        <f>B31</f>
        <v>8</v>
      </c>
      <c r="I31" s="3536"/>
      <c r="J31" s="179">
        <v>18</v>
      </c>
      <c r="K31" s="336"/>
      <c r="L31" s="403" t="s">
        <v>2671</v>
      </c>
      <c r="M31" s="336"/>
      <c r="N31" s="336"/>
      <c r="O31" s="336"/>
      <c r="P31" s="336"/>
      <c r="Q31" s="336"/>
      <c r="R31" s="614" t="s">
        <v>878</v>
      </c>
      <c r="S31" s="189">
        <f>J31</f>
        <v>18</v>
      </c>
      <c r="T31" s="5988"/>
      <c r="U31" s="5989"/>
      <c r="V31" s="635"/>
      <c r="W31" s="396"/>
      <c r="X31" s="635"/>
    </row>
    <row r="32" spans="1:25" ht="12" customHeight="1">
      <c r="A32" s="635"/>
      <c r="B32" s="205">
        <v>9</v>
      </c>
      <c r="C32" s="198" t="s">
        <v>357</v>
      </c>
      <c r="D32" s="198"/>
      <c r="E32" s="186"/>
      <c r="F32" s="186"/>
      <c r="G32" s="194"/>
      <c r="H32" s="383"/>
      <c r="I32" s="1398"/>
      <c r="J32" s="179">
        <v>19</v>
      </c>
      <c r="K32" s="146"/>
      <c r="L32" s="1171" t="s">
        <v>1194</v>
      </c>
      <c r="M32" s="200"/>
      <c r="N32" s="198"/>
      <c r="O32" s="198"/>
      <c r="P32" s="201"/>
      <c r="Q32" s="202"/>
      <c r="R32" s="614" t="s">
        <v>878</v>
      </c>
      <c r="S32" s="189">
        <f>J32</f>
        <v>19</v>
      </c>
      <c r="T32" s="5988"/>
      <c r="U32" s="5989"/>
      <c r="V32" s="635"/>
      <c r="W32" s="396"/>
      <c r="X32" s="635"/>
    </row>
    <row r="33" spans="1:24" ht="12" customHeight="1">
      <c r="A33" s="635"/>
      <c r="B33" s="205"/>
      <c r="C33" s="1115" t="s">
        <v>877</v>
      </c>
      <c r="D33" s="198"/>
      <c r="E33" s="186"/>
      <c r="F33" s="186"/>
      <c r="G33" s="194"/>
      <c r="H33" s="382">
        <f>B32</f>
        <v>9</v>
      </c>
      <c r="I33" s="3537"/>
      <c r="J33" s="179">
        <v>20</v>
      </c>
      <c r="K33" s="146"/>
      <c r="L33" s="1171" t="s">
        <v>721</v>
      </c>
      <c r="M33" s="200"/>
      <c r="N33" s="203"/>
      <c r="O33" s="203"/>
      <c r="P33" s="201"/>
      <c r="Q33" s="202"/>
      <c r="R33" s="202"/>
      <c r="S33" s="384"/>
      <c r="T33" s="1393"/>
      <c r="U33" s="1400"/>
      <c r="V33" s="635"/>
      <c r="W33" s="396"/>
      <c r="X33" s="635"/>
    </row>
    <row r="34" spans="1:24" ht="12" customHeight="1">
      <c r="A34" s="635"/>
      <c r="B34" s="205">
        <v>10</v>
      </c>
      <c r="C34" s="1115" t="s">
        <v>2666</v>
      </c>
      <c r="D34" s="198"/>
      <c r="E34" s="186"/>
      <c r="F34" s="186"/>
      <c r="G34" s="614" t="s">
        <v>2667</v>
      </c>
      <c r="H34" s="540">
        <f>B34</f>
        <v>10</v>
      </c>
      <c r="I34" s="3536"/>
      <c r="J34" s="179"/>
      <c r="K34" s="146" t="s">
        <v>38</v>
      </c>
      <c r="L34" s="199" t="s">
        <v>361</v>
      </c>
      <c r="M34" s="200"/>
      <c r="N34" s="198"/>
      <c r="O34" s="198"/>
      <c r="P34" s="201"/>
      <c r="Q34" s="202"/>
      <c r="R34" s="614" t="s">
        <v>856</v>
      </c>
      <c r="S34" s="189" t="s">
        <v>246</v>
      </c>
      <c r="T34" s="5996"/>
      <c r="U34" s="5997"/>
      <c r="V34" s="635"/>
      <c r="W34" s="396"/>
      <c r="X34" s="635"/>
    </row>
    <row r="35" spans="1:24" ht="12" customHeight="1">
      <c r="A35" s="635"/>
      <c r="B35" s="205">
        <v>11</v>
      </c>
      <c r="C35" s="1115" t="s">
        <v>726</v>
      </c>
      <c r="D35" s="198"/>
      <c r="E35" s="186"/>
      <c r="F35" s="186"/>
      <c r="G35" s="614" t="s">
        <v>2665</v>
      </c>
      <c r="H35" s="382">
        <f>B35</f>
        <v>11</v>
      </c>
      <c r="I35" s="3537"/>
      <c r="J35" s="179"/>
      <c r="K35" s="146" t="s">
        <v>54</v>
      </c>
      <c r="L35" s="185" t="s">
        <v>358</v>
      </c>
      <c r="M35" s="201"/>
      <c r="N35" s="198"/>
      <c r="O35" s="198"/>
      <c r="P35" s="201"/>
      <c r="Q35" s="202"/>
      <c r="R35" s="614" t="s">
        <v>879</v>
      </c>
      <c r="S35" s="189" t="s">
        <v>247</v>
      </c>
      <c r="T35" s="5988"/>
      <c r="U35" s="5989"/>
      <c r="V35" s="635"/>
      <c r="W35" s="396"/>
      <c r="X35" s="635"/>
    </row>
    <row r="36" spans="1:24" ht="12" customHeight="1">
      <c r="A36" s="635"/>
      <c r="B36" s="205">
        <v>12</v>
      </c>
      <c r="C36" s="198" t="s">
        <v>571</v>
      </c>
      <c r="D36" s="198"/>
      <c r="E36" s="186"/>
      <c r="F36" s="186"/>
      <c r="G36" s="194"/>
      <c r="H36" s="382">
        <f>B36</f>
        <v>12</v>
      </c>
      <c r="I36" s="3536"/>
      <c r="J36" s="179">
        <v>21</v>
      </c>
      <c r="K36" s="146"/>
      <c r="L36" s="185" t="s">
        <v>26</v>
      </c>
      <c r="M36" s="185"/>
      <c r="N36" s="185"/>
      <c r="O36" s="185"/>
      <c r="P36" s="185"/>
      <c r="Q36" s="185"/>
      <c r="R36" s="614" t="s">
        <v>636</v>
      </c>
      <c r="S36" s="189">
        <f>J36</f>
        <v>21</v>
      </c>
      <c r="T36" s="5988"/>
      <c r="U36" s="5989"/>
      <c r="V36" s="635"/>
      <c r="W36" s="396"/>
      <c r="X36" s="635"/>
    </row>
    <row r="37" spans="1:24" ht="12" customHeight="1">
      <c r="A37" s="635"/>
      <c r="B37" s="205">
        <v>13</v>
      </c>
      <c r="C37" s="1115" t="s">
        <v>2668</v>
      </c>
      <c r="D37" s="198"/>
      <c r="E37" s="186"/>
      <c r="F37" s="186"/>
      <c r="G37" s="194"/>
      <c r="H37" s="383"/>
      <c r="I37" s="1398"/>
      <c r="J37" s="179">
        <v>22</v>
      </c>
      <c r="K37" s="146"/>
      <c r="L37" s="185" t="s">
        <v>222</v>
      </c>
      <c r="M37" s="185"/>
      <c r="N37" s="185"/>
      <c r="O37" s="185"/>
      <c r="P37" s="185"/>
      <c r="Q37" s="185"/>
      <c r="R37" s="614" t="s">
        <v>878</v>
      </c>
      <c r="S37" s="189">
        <v>22</v>
      </c>
      <c r="T37" s="5988"/>
      <c r="U37" s="5989"/>
      <c r="V37" s="635"/>
      <c r="W37" s="396"/>
      <c r="X37" s="635"/>
    </row>
    <row r="38" spans="1:24" ht="12" customHeight="1">
      <c r="A38" s="635"/>
      <c r="B38" s="205"/>
      <c r="C38" s="1115" t="s">
        <v>2669</v>
      </c>
      <c r="D38" s="198"/>
      <c r="E38" s="186"/>
      <c r="F38" s="186"/>
      <c r="G38" s="194"/>
      <c r="H38" s="383"/>
      <c r="I38" s="1399"/>
      <c r="J38" s="179">
        <v>23</v>
      </c>
      <c r="K38" s="146"/>
      <c r="L38" s="185" t="s">
        <v>572</v>
      </c>
      <c r="M38" s="185"/>
      <c r="N38" s="185"/>
      <c r="O38" s="185"/>
      <c r="P38" s="185"/>
      <c r="Q38" s="185"/>
      <c r="R38" s="614" t="s">
        <v>857</v>
      </c>
      <c r="S38" s="189">
        <v>23</v>
      </c>
      <c r="T38" s="5988"/>
      <c r="U38" s="5989"/>
      <c r="V38" s="635"/>
      <c r="W38" s="396"/>
      <c r="X38" s="635"/>
    </row>
    <row r="39" spans="1:24" ht="12" customHeight="1">
      <c r="A39" s="635"/>
      <c r="B39" s="205"/>
      <c r="C39" s="1115" t="s">
        <v>2271</v>
      </c>
      <c r="D39" s="198"/>
      <c r="E39" s="186"/>
      <c r="F39" s="186"/>
      <c r="G39" s="614" t="s">
        <v>2426</v>
      </c>
      <c r="H39" s="382">
        <f>B37</f>
        <v>13</v>
      </c>
      <c r="I39" s="3537"/>
      <c r="J39" s="179">
        <v>24</v>
      </c>
      <c r="K39" s="146"/>
      <c r="L39" s="403" t="s">
        <v>3240</v>
      </c>
      <c r="M39" s="185"/>
      <c r="N39" s="185"/>
      <c r="O39" s="185"/>
      <c r="P39" s="185"/>
      <c r="Q39" s="185"/>
      <c r="R39" s="185"/>
      <c r="S39" s="384"/>
      <c r="T39" s="1393"/>
      <c r="U39" s="1400"/>
      <c r="V39" s="635"/>
      <c r="W39" s="396"/>
      <c r="X39" s="635"/>
    </row>
    <row r="40" spans="1:24" ht="12" customHeight="1">
      <c r="A40" s="635"/>
      <c r="B40" s="205">
        <v>14</v>
      </c>
      <c r="C40" s="198" t="s">
        <v>290</v>
      </c>
      <c r="D40" s="198"/>
      <c r="E40" s="186"/>
      <c r="F40" s="186"/>
      <c r="G40" s="194"/>
      <c r="H40" s="383"/>
      <c r="I40" s="1398"/>
      <c r="J40" s="179"/>
      <c r="K40" s="146" t="s">
        <v>38</v>
      </c>
      <c r="L40" s="403" t="s">
        <v>880</v>
      </c>
      <c r="M40" s="185"/>
      <c r="N40" s="185"/>
      <c r="O40" s="185"/>
      <c r="P40" s="185"/>
      <c r="Q40" s="185"/>
      <c r="R40" s="614" t="s">
        <v>422</v>
      </c>
      <c r="S40" s="189" t="s">
        <v>196</v>
      </c>
      <c r="T40" s="5996"/>
      <c r="U40" s="5997"/>
      <c r="V40" s="635"/>
      <c r="W40" s="396"/>
      <c r="X40" s="635"/>
    </row>
    <row r="41" spans="1:24" ht="12" customHeight="1">
      <c r="A41" s="635"/>
      <c r="B41" s="205"/>
      <c r="C41" s="1115" t="s">
        <v>4043</v>
      </c>
      <c r="D41" s="198"/>
      <c r="E41" s="186"/>
      <c r="F41" s="186"/>
      <c r="G41" s="614" t="s">
        <v>3533</v>
      </c>
      <c r="H41" s="382">
        <f>B40</f>
        <v>14</v>
      </c>
      <c r="I41" s="3537"/>
      <c r="J41" s="179"/>
      <c r="K41" s="146" t="s">
        <v>54</v>
      </c>
      <c r="L41" s="403" t="s">
        <v>3241</v>
      </c>
      <c r="M41" s="185"/>
      <c r="N41" s="185"/>
      <c r="O41" s="185"/>
      <c r="P41" s="185"/>
      <c r="Q41" s="185"/>
      <c r="R41" s="866"/>
      <c r="S41" s="192"/>
      <c r="T41" s="1393"/>
      <c r="U41" s="1400"/>
      <c r="V41" s="635"/>
      <c r="W41" s="396"/>
      <c r="X41" s="635"/>
    </row>
    <row r="42" spans="1:24" ht="12" customHeight="1">
      <c r="A42" s="635"/>
      <c r="B42" s="205">
        <v>15</v>
      </c>
      <c r="C42" s="1115" t="s">
        <v>1190</v>
      </c>
      <c r="D42" s="198"/>
      <c r="E42" s="186"/>
      <c r="F42" s="186"/>
      <c r="G42" s="614" t="s">
        <v>3235</v>
      </c>
      <c r="H42" s="382">
        <f>B42</f>
        <v>15</v>
      </c>
      <c r="I42" s="3536"/>
      <c r="J42" s="179"/>
      <c r="K42" s="146"/>
      <c r="L42" s="4010" t="s">
        <v>1121</v>
      </c>
      <c r="M42" s="1408"/>
      <c r="N42" s="1408"/>
      <c r="O42" s="1408"/>
      <c r="P42" s="1408"/>
      <c r="Q42" s="1408"/>
      <c r="R42" s="614" t="s">
        <v>312</v>
      </c>
      <c r="S42" s="189" t="s">
        <v>68</v>
      </c>
      <c r="T42" s="5996"/>
      <c r="U42" s="5997"/>
      <c r="V42" s="635"/>
      <c r="W42" s="396"/>
      <c r="X42" s="635"/>
    </row>
    <row r="43" spans="1:24" ht="12" customHeight="1">
      <c r="A43" s="635"/>
      <c r="B43" s="205">
        <v>16</v>
      </c>
      <c r="C43" s="198" t="s">
        <v>294</v>
      </c>
      <c r="D43" s="198"/>
      <c r="E43" s="186"/>
      <c r="F43" s="186"/>
      <c r="G43" s="194"/>
      <c r="H43" s="384"/>
      <c r="I43" s="1398"/>
      <c r="J43" s="179">
        <v>25</v>
      </c>
      <c r="K43" s="146"/>
      <c r="L43" s="403" t="s">
        <v>834</v>
      </c>
      <c r="M43" s="185"/>
      <c r="N43" s="185"/>
      <c r="O43" s="185"/>
      <c r="P43" s="185"/>
      <c r="Q43" s="185"/>
      <c r="R43" s="614" t="s">
        <v>422</v>
      </c>
      <c r="S43" s="189">
        <v>25</v>
      </c>
      <c r="T43" s="5988"/>
      <c r="U43" s="5989"/>
      <c r="V43" s="635"/>
      <c r="W43" s="396"/>
      <c r="X43" s="635"/>
    </row>
    <row r="44" spans="1:24" ht="12" customHeight="1">
      <c r="A44" s="635"/>
      <c r="B44" s="179" t="s">
        <v>38</v>
      </c>
      <c r="C44" s="198" t="s">
        <v>403</v>
      </c>
      <c r="D44" s="198"/>
      <c r="E44" s="186"/>
      <c r="F44" s="186"/>
      <c r="G44" s="194"/>
      <c r="H44" s="382" t="s">
        <v>244</v>
      </c>
      <c r="I44" s="3537"/>
      <c r="J44" s="179">
        <v>26</v>
      </c>
      <c r="K44" s="146"/>
      <c r="L44" s="403" t="s">
        <v>4064</v>
      </c>
      <c r="M44" s="185"/>
      <c r="N44" s="185"/>
      <c r="O44" s="185"/>
      <c r="P44" s="185"/>
      <c r="Q44" s="185"/>
      <c r="R44" s="614" t="s">
        <v>878</v>
      </c>
      <c r="S44" s="189">
        <v>26</v>
      </c>
      <c r="T44" s="5988"/>
      <c r="U44" s="5989"/>
      <c r="V44" s="635"/>
      <c r="W44" s="396"/>
      <c r="X44" s="635"/>
    </row>
    <row r="45" spans="1:24" ht="12" customHeight="1">
      <c r="A45" s="635"/>
      <c r="B45" s="179" t="s">
        <v>54</v>
      </c>
      <c r="C45" s="198" t="s">
        <v>57</v>
      </c>
      <c r="D45" s="198"/>
      <c r="E45" s="186"/>
      <c r="F45" s="186"/>
      <c r="G45" s="194"/>
      <c r="H45" s="382" t="s">
        <v>245</v>
      </c>
      <c r="I45" s="3538"/>
      <c r="J45" s="865">
        <v>27</v>
      </c>
      <c r="K45" s="170" t="s">
        <v>38</v>
      </c>
      <c r="L45" s="403" t="s">
        <v>722</v>
      </c>
      <c r="M45" s="185"/>
      <c r="N45" s="185"/>
      <c r="O45" s="185"/>
      <c r="P45" s="185"/>
      <c r="Q45" s="185"/>
      <c r="R45" s="866"/>
      <c r="S45" s="1172" t="s">
        <v>724</v>
      </c>
      <c r="T45" s="5990">
        <f>IF(W45&lt;&gt;"",W45,T114)</f>
        <v>0</v>
      </c>
      <c r="U45" s="5991"/>
      <c r="V45" s="635"/>
      <c r="W45" s="624"/>
      <c r="X45" s="635"/>
    </row>
    <row r="46" spans="1:24" ht="12" customHeight="1" thickBot="1">
      <c r="A46" s="635"/>
      <c r="B46" s="214">
        <v>17</v>
      </c>
      <c r="C46" s="1173" t="s">
        <v>719</v>
      </c>
      <c r="D46" s="648"/>
      <c r="E46" s="210"/>
      <c r="F46" s="210"/>
      <c r="G46" s="1174"/>
      <c r="H46" s="229">
        <v>17</v>
      </c>
      <c r="I46" s="3539"/>
      <c r="J46" s="1175"/>
      <c r="K46" s="1176" t="s">
        <v>54</v>
      </c>
      <c r="L46" s="649" t="s">
        <v>723</v>
      </c>
      <c r="M46" s="648"/>
      <c r="N46" s="648"/>
      <c r="O46" s="648"/>
      <c r="P46" s="648"/>
      <c r="Q46" s="648"/>
      <c r="R46" s="1512" t="s">
        <v>636</v>
      </c>
      <c r="S46" s="1177" t="s">
        <v>725</v>
      </c>
      <c r="T46" s="5992"/>
      <c r="U46" s="5993"/>
      <c r="V46" s="635"/>
      <c r="W46" s="396"/>
      <c r="X46" s="635"/>
    </row>
    <row r="47" spans="1:24" ht="15" customHeight="1">
      <c r="A47" s="635"/>
      <c r="B47" s="205">
        <v>28</v>
      </c>
      <c r="C47" s="1168" t="s">
        <v>1289</v>
      </c>
      <c r="D47" s="193"/>
      <c r="E47" s="191"/>
      <c r="F47" s="188"/>
      <c r="G47" s="188"/>
      <c r="H47" s="188"/>
      <c r="I47" s="191"/>
      <c r="J47" s="191"/>
      <c r="K47" s="191"/>
      <c r="L47" s="191"/>
      <c r="M47" s="191"/>
      <c r="N47" s="188"/>
      <c r="O47" s="188"/>
      <c r="P47" s="191"/>
      <c r="Q47" s="188"/>
      <c r="R47" s="644" t="s">
        <v>4044</v>
      </c>
      <c r="S47" s="189">
        <v>28</v>
      </c>
      <c r="T47" s="5983">
        <f>IF(W47&lt;&gt;"",W47,ROUND(SUM(I31:I46,T31:T46),0))</f>
        <v>0</v>
      </c>
      <c r="U47" s="5984"/>
      <c r="V47" s="635"/>
      <c r="W47" s="624"/>
      <c r="X47" s="635"/>
    </row>
    <row r="48" spans="1:24" ht="12.75" customHeight="1">
      <c r="A48" s="635"/>
      <c r="B48" s="205">
        <v>29</v>
      </c>
      <c r="C48" s="1079" t="s">
        <v>1290</v>
      </c>
      <c r="D48" s="191"/>
      <c r="E48" s="191"/>
      <c r="F48" s="188"/>
      <c r="G48" s="188"/>
      <c r="H48" s="188"/>
      <c r="I48" s="191"/>
      <c r="J48" s="191"/>
      <c r="K48" s="191"/>
      <c r="L48" s="191"/>
      <c r="M48" s="191"/>
      <c r="N48" s="188"/>
      <c r="O48" s="188"/>
      <c r="P48" s="191"/>
      <c r="Q48" s="188"/>
      <c r="R48" s="644" t="s">
        <v>3242</v>
      </c>
      <c r="S48" s="189">
        <v>29</v>
      </c>
      <c r="T48" s="5983">
        <f>SUM(T29,-T47)</f>
        <v>0</v>
      </c>
      <c r="U48" s="5984"/>
      <c r="V48" s="635"/>
      <c r="W48" s="396"/>
      <c r="X48" s="635"/>
    </row>
    <row r="49" spans="1:25" ht="14.25" customHeight="1">
      <c r="A49" s="635"/>
      <c r="B49" s="205">
        <v>30</v>
      </c>
      <c r="C49" s="1663" t="s">
        <v>966</v>
      </c>
      <c r="D49" s="191"/>
      <c r="E49" s="191"/>
      <c r="F49" s="188"/>
      <c r="G49" s="188"/>
      <c r="H49" s="188"/>
      <c r="I49" s="191"/>
      <c r="J49" s="191"/>
      <c r="K49" s="191"/>
      <c r="L49" s="191"/>
      <c r="M49" s="191"/>
      <c r="N49" s="188"/>
      <c r="O49" s="188"/>
      <c r="P49" s="191"/>
      <c r="Q49" s="188"/>
      <c r="R49" s="188"/>
      <c r="S49" s="1661"/>
      <c r="T49" s="5998"/>
      <c r="U49" s="5999"/>
      <c r="V49" s="635"/>
      <c r="W49" s="396"/>
      <c r="X49" s="635"/>
    </row>
    <row r="50" spans="1:25" ht="14.25" customHeight="1">
      <c r="A50" s="635"/>
      <c r="B50" s="205"/>
      <c r="C50" s="1663" t="s">
        <v>967</v>
      </c>
      <c r="D50" s="191"/>
      <c r="E50" s="191"/>
      <c r="F50" s="188"/>
      <c r="G50" s="188"/>
      <c r="H50" s="188"/>
      <c r="I50" s="191"/>
      <c r="J50" s="191"/>
      <c r="K50" s="191"/>
      <c r="L50" s="191"/>
      <c r="M50" s="191"/>
      <c r="N50" s="188"/>
      <c r="O50" s="188"/>
      <c r="P50" s="191"/>
      <c r="Q50" s="188"/>
      <c r="R50" s="188"/>
      <c r="S50" s="1662"/>
      <c r="T50" s="6000"/>
      <c r="U50" s="6001"/>
      <c r="V50" s="635"/>
      <c r="W50" s="396"/>
      <c r="X50" s="635"/>
    </row>
    <row r="51" spans="1:25" ht="14.25" customHeight="1">
      <c r="A51" s="635"/>
      <c r="B51" s="205"/>
      <c r="C51" s="1663" t="s">
        <v>969</v>
      </c>
      <c r="D51" s="191"/>
      <c r="E51" s="191"/>
      <c r="F51" s="188"/>
      <c r="G51" s="188"/>
      <c r="H51" s="188"/>
      <c r="I51" s="191"/>
      <c r="J51" s="191"/>
      <c r="K51" s="191"/>
      <c r="L51" s="191"/>
      <c r="M51" s="6002"/>
      <c r="N51" s="6003"/>
      <c r="O51" s="6003"/>
      <c r="P51" s="6003"/>
      <c r="Q51" s="6003"/>
      <c r="R51" s="188"/>
      <c r="S51" s="1662"/>
      <c r="T51" s="1792"/>
      <c r="U51" s="1793"/>
      <c r="V51" s="635"/>
      <c r="W51" s="396"/>
      <c r="X51" s="635"/>
    </row>
    <row r="52" spans="1:25" ht="14.25" customHeight="1">
      <c r="A52" s="635"/>
      <c r="B52" s="205"/>
      <c r="C52" s="1079" t="s">
        <v>968</v>
      </c>
      <c r="D52" s="191"/>
      <c r="E52" s="191"/>
      <c r="F52" s="188"/>
      <c r="G52" s="188"/>
      <c r="H52" s="188"/>
      <c r="I52" s="5985"/>
      <c r="J52" s="5985"/>
      <c r="K52" s="5985"/>
      <c r="L52" s="5985"/>
      <c r="M52" s="191"/>
      <c r="N52" s="188"/>
      <c r="O52" s="188"/>
      <c r="P52" s="191"/>
      <c r="Q52" s="188"/>
      <c r="R52" s="188"/>
      <c r="S52" s="1662"/>
      <c r="T52" s="1792"/>
      <c r="U52" s="1793"/>
      <c r="V52" s="635"/>
      <c r="W52" s="396"/>
      <c r="X52" s="635"/>
    </row>
    <row r="53" spans="1:25" ht="14.25" customHeight="1">
      <c r="A53" s="635"/>
      <c r="B53" s="205"/>
      <c r="C53" s="1663" t="s">
        <v>970</v>
      </c>
      <c r="D53" s="191"/>
      <c r="E53" s="191"/>
      <c r="F53" s="188"/>
      <c r="G53" s="188"/>
      <c r="H53" s="188"/>
      <c r="I53" s="191"/>
      <c r="J53" s="191"/>
      <c r="K53" s="191"/>
      <c r="L53" s="191"/>
      <c r="M53" s="191"/>
      <c r="N53" s="188"/>
      <c r="O53" s="188"/>
      <c r="P53" s="191"/>
      <c r="Q53" s="188"/>
      <c r="R53" s="1862" t="s">
        <v>636</v>
      </c>
      <c r="S53" s="189">
        <v>30</v>
      </c>
      <c r="T53" s="5986"/>
      <c r="U53" s="5987"/>
      <c r="V53" s="635"/>
      <c r="W53" s="396"/>
      <c r="X53" s="635"/>
    </row>
    <row r="54" spans="1:25" ht="12.75" customHeight="1">
      <c r="A54" s="635"/>
      <c r="B54" s="205">
        <v>31</v>
      </c>
      <c r="C54" s="197" t="s">
        <v>224</v>
      </c>
      <c r="D54" s="197"/>
      <c r="E54" s="176"/>
      <c r="F54" s="186"/>
      <c r="G54" s="186"/>
      <c r="H54" s="194"/>
      <c r="I54" s="195"/>
      <c r="J54" s="195"/>
      <c r="K54" s="195"/>
      <c r="L54" s="195"/>
      <c r="M54" s="195"/>
      <c r="N54" s="194"/>
      <c r="O54" s="194"/>
      <c r="P54" s="191"/>
      <c r="Q54" s="186"/>
      <c r="R54" s="186"/>
      <c r="S54" s="196"/>
      <c r="T54" s="1394"/>
      <c r="U54" s="1395"/>
      <c r="V54" s="635"/>
      <c r="W54" s="396"/>
      <c r="X54" s="635"/>
    </row>
    <row r="55" spans="1:25" ht="12.75" customHeight="1">
      <c r="A55" s="635"/>
      <c r="B55" s="205"/>
      <c r="C55" s="171" t="s">
        <v>3243</v>
      </c>
      <c r="D55" s="204"/>
      <c r="E55" s="176"/>
      <c r="F55" s="186"/>
      <c r="G55" s="186"/>
      <c r="H55" s="194"/>
      <c r="I55" s="191"/>
      <c r="J55" s="191"/>
      <c r="K55" s="191"/>
      <c r="L55" s="195"/>
      <c r="M55" s="191"/>
      <c r="N55" s="194"/>
      <c r="O55" s="194"/>
      <c r="P55" s="191"/>
      <c r="Q55" s="186"/>
      <c r="R55" s="186"/>
      <c r="S55" s="192"/>
      <c r="T55" s="1396"/>
      <c r="U55" s="1397"/>
      <c r="V55" s="635"/>
      <c r="W55" s="396"/>
      <c r="X55" s="635"/>
    </row>
    <row r="56" spans="1:25" ht="12.75" customHeight="1">
      <c r="A56" s="635"/>
      <c r="B56" s="179"/>
      <c r="C56" s="171" t="s">
        <v>1292</v>
      </c>
      <c r="D56" s="176"/>
      <c r="E56" s="176"/>
      <c r="F56" s="186"/>
      <c r="G56" s="186"/>
      <c r="H56" s="186"/>
      <c r="I56" s="176"/>
      <c r="J56" s="176"/>
      <c r="K56" s="176"/>
      <c r="L56" s="195"/>
      <c r="M56" s="176"/>
      <c r="N56" s="186"/>
      <c r="O56" s="186"/>
      <c r="P56" s="191"/>
      <c r="Q56" s="186"/>
      <c r="R56" s="186"/>
      <c r="S56" s="189">
        <v>31</v>
      </c>
      <c r="T56" s="5983">
        <f>IF(W56&lt;&gt;"",W56,ROUND(SUM(T48,-T53),0))</f>
        <v>0</v>
      </c>
      <c r="U56" s="5984"/>
      <c r="V56" s="635"/>
      <c r="W56" s="1665"/>
      <c r="X56" s="635"/>
      <c r="Y56" s="4152">
        <f>SUM(SchC_ProfitLoss1,SchC_ProfitLoss2)</f>
        <v>0</v>
      </c>
    </row>
    <row r="57" spans="1:25" ht="12.75" customHeight="1">
      <c r="A57" s="635"/>
      <c r="B57" s="179"/>
      <c r="C57" s="171" t="s">
        <v>1294</v>
      </c>
      <c r="D57" s="204"/>
      <c r="E57" s="176"/>
      <c r="F57" s="186"/>
      <c r="G57" s="186"/>
      <c r="H57" s="186"/>
      <c r="I57" s="176"/>
      <c r="J57" s="176"/>
      <c r="K57" s="176"/>
      <c r="L57" s="195"/>
      <c r="M57" s="176"/>
      <c r="N57" s="186"/>
      <c r="O57" s="186"/>
      <c r="P57" s="191"/>
      <c r="Q57" s="186"/>
      <c r="R57" s="1664"/>
      <c r="S57" s="205"/>
      <c r="T57" s="375"/>
      <c r="U57" s="375"/>
      <c r="V57" s="635"/>
      <c r="W57" s="396"/>
      <c r="X57" s="635"/>
      <c r="Y57" s="1601" t="b">
        <f>IF(AND(R59&lt;&gt;"",R60&lt;&gt;""),FALSE,IF(AND(T56&gt;=0,OR(R59&lt;&gt;"",R60&lt;&gt;"")),TRUE,FALSE))</f>
        <v>0</v>
      </c>
    </row>
    <row r="58" spans="1:25" ht="12.75" customHeight="1" thickBot="1">
      <c r="A58" s="635"/>
      <c r="B58" s="205">
        <v>32</v>
      </c>
      <c r="C58" s="198" t="s">
        <v>615</v>
      </c>
      <c r="D58" s="198"/>
      <c r="E58" s="198"/>
      <c r="F58" s="202"/>
      <c r="G58" s="202"/>
      <c r="H58" s="202"/>
      <c r="I58" s="198"/>
      <c r="J58" s="198"/>
      <c r="K58" s="198"/>
      <c r="L58" s="200"/>
      <c r="M58" s="198"/>
      <c r="N58" s="202"/>
      <c r="O58" s="202"/>
      <c r="P58" s="191"/>
      <c r="Q58" s="186"/>
      <c r="R58" s="1664"/>
      <c r="S58" s="205"/>
      <c r="T58" s="375"/>
      <c r="U58" s="375"/>
      <c r="V58" s="635"/>
      <c r="W58" s="3060" t="str">
        <f>IF($Y$57,"Check only",IF($Y$59,"Check ONLY",""))</f>
        <v/>
      </c>
      <c r="X58" s="635"/>
      <c r="Y58" s="1601" t="b">
        <f>OR(Y57,Y59)</f>
        <v>0</v>
      </c>
    </row>
    <row r="59" spans="1:25" ht="12.75" customHeight="1" thickBot="1">
      <c r="A59" s="635"/>
      <c r="B59" s="179"/>
      <c r="C59" s="171" t="s">
        <v>3244</v>
      </c>
      <c r="D59" s="204"/>
      <c r="E59" s="176"/>
      <c r="F59" s="186"/>
      <c r="G59" s="186"/>
      <c r="H59" s="186"/>
      <c r="I59" s="176"/>
      <c r="J59" s="176"/>
      <c r="K59" s="176"/>
      <c r="L59" s="195"/>
      <c r="M59" s="176"/>
      <c r="N59" s="186"/>
      <c r="O59" s="186"/>
      <c r="P59" s="191"/>
      <c r="Q59" s="541" t="s">
        <v>143</v>
      </c>
      <c r="R59" s="1500"/>
      <c r="S59" s="206" t="s">
        <v>345</v>
      </c>
      <c r="T59" s="376"/>
      <c r="U59" s="376"/>
      <c r="V59" s="635"/>
      <c r="W59" s="3060" t="str">
        <f>IF($Y$57,"if Line 31",IF($Y$59,"one.",""))</f>
        <v/>
      </c>
      <c r="X59" s="635"/>
      <c r="Y59" s="1601" t="b">
        <f>IF(AND(R59&lt;&gt;"",R60&lt;&gt;""),TRUE,FALSE)</f>
        <v>0</v>
      </c>
    </row>
    <row r="60" spans="1:25" ht="12.75" customHeight="1" thickBot="1">
      <c r="A60" s="635"/>
      <c r="B60" s="179"/>
      <c r="C60" s="171" t="s">
        <v>3246</v>
      </c>
      <c r="D60" s="176"/>
      <c r="E60" s="176"/>
      <c r="F60" s="186"/>
      <c r="G60" s="186"/>
      <c r="H60" s="186"/>
      <c r="I60" s="176"/>
      <c r="J60" s="176"/>
      <c r="K60" s="176"/>
      <c r="L60" s="195"/>
      <c r="M60" s="176"/>
      <c r="N60" s="186"/>
      <c r="O60" s="186"/>
      <c r="P60" s="191"/>
      <c r="Q60" s="541" t="s">
        <v>346</v>
      </c>
      <c r="R60" s="1500"/>
      <c r="S60" s="207" t="s">
        <v>22</v>
      </c>
      <c r="T60" s="375"/>
      <c r="U60" s="375"/>
      <c r="V60" s="635"/>
      <c r="W60" s="3060" t="str">
        <f>IF($Y$57,"is a loss.","")</f>
        <v/>
      </c>
      <c r="X60" s="635"/>
    </row>
    <row r="61" spans="1:25" ht="12.75" customHeight="1">
      <c r="A61" s="635"/>
      <c r="B61" s="179"/>
      <c r="C61" s="171" t="s">
        <v>3245</v>
      </c>
      <c r="D61" s="176"/>
      <c r="E61" s="176"/>
      <c r="F61" s="186"/>
      <c r="G61" s="186"/>
      <c r="H61" s="186"/>
      <c r="I61" s="176"/>
      <c r="J61" s="176"/>
      <c r="K61" s="176"/>
      <c r="L61" s="195"/>
      <c r="M61" s="176"/>
      <c r="N61" s="186"/>
      <c r="O61" s="186"/>
      <c r="P61" s="191"/>
      <c r="Q61" s="375"/>
      <c r="R61" s="375"/>
      <c r="S61" s="731" t="s">
        <v>23</v>
      </c>
      <c r="T61" s="375"/>
      <c r="U61" s="375"/>
      <c r="V61" s="635"/>
      <c r="W61" s="396"/>
      <c r="X61" s="635"/>
    </row>
    <row r="62" spans="1:25" ht="12.75" customHeight="1" thickBot="1">
      <c r="A62" s="635"/>
      <c r="B62" s="380"/>
      <c r="C62" s="1863" t="s">
        <v>1293</v>
      </c>
      <c r="D62" s="208"/>
      <c r="E62" s="209"/>
      <c r="F62" s="210"/>
      <c r="G62" s="210"/>
      <c r="H62" s="210"/>
      <c r="I62" s="209"/>
      <c r="J62" s="209"/>
      <c r="K62" s="209"/>
      <c r="L62" s="211"/>
      <c r="M62" s="209"/>
      <c r="N62" s="210"/>
      <c r="O62" s="210"/>
      <c r="P62" s="212"/>
      <c r="Q62" s="210"/>
      <c r="R62" s="210"/>
      <c r="S62" s="213"/>
      <c r="T62" s="377"/>
      <c r="U62" s="377"/>
      <c r="V62" s="635"/>
      <c r="W62" s="396"/>
      <c r="X62" s="635"/>
    </row>
    <row r="63" spans="1:25" ht="22.5" customHeight="1">
      <c r="A63" s="635"/>
      <c r="B63" s="2349" t="s">
        <v>1295</v>
      </c>
      <c r="C63" s="543"/>
      <c r="D63" s="543"/>
      <c r="E63" s="543"/>
      <c r="F63" s="544"/>
      <c r="G63" s="544"/>
      <c r="H63" s="544"/>
      <c r="I63" s="543"/>
      <c r="J63" s="543"/>
      <c r="K63" s="543"/>
      <c r="L63" s="545"/>
      <c r="M63" s="1179" t="s">
        <v>729</v>
      </c>
      <c r="N63" s="1179"/>
      <c r="O63" s="544"/>
      <c r="P63" s="546"/>
      <c r="Q63" s="544"/>
      <c r="R63" s="544"/>
      <c r="S63" s="547"/>
      <c r="T63" s="548"/>
      <c r="U63" s="548" t="str">
        <f>"Schedule C (Form 1040)  "&amp;TaxYear</f>
        <v>Schedule C (Form 1040)  2018</v>
      </c>
      <c r="V63" s="635"/>
      <c r="W63" s="396"/>
      <c r="X63" s="635"/>
    </row>
    <row r="64" spans="1:25" ht="19.5" customHeight="1" thickBot="1">
      <c r="A64" s="635"/>
      <c r="B64" s="191" t="str">
        <f>"Schedule C (Form 1040) "&amp;TaxYear</f>
        <v>Schedule C (Form 1040) 2018</v>
      </c>
      <c r="C64" s="191"/>
      <c r="D64" s="191"/>
      <c r="E64" s="191"/>
      <c r="F64" s="191"/>
      <c r="G64" s="191"/>
      <c r="H64" s="191"/>
      <c r="I64" s="191"/>
      <c r="J64" s="191"/>
      <c r="K64" s="191"/>
      <c r="L64" s="191"/>
      <c r="M64" s="191"/>
      <c r="N64" s="191"/>
      <c r="O64" s="191"/>
      <c r="P64" s="191"/>
      <c r="Q64" s="191"/>
      <c r="R64" s="215"/>
      <c r="S64" s="216"/>
      <c r="T64" s="216" t="s">
        <v>225</v>
      </c>
      <c r="U64" s="217" t="str">
        <f>"2"</f>
        <v>2</v>
      </c>
      <c r="V64" s="635"/>
      <c r="W64" s="396"/>
      <c r="X64" s="635"/>
    </row>
    <row r="65" spans="1:24" ht="14.25">
      <c r="A65" s="635"/>
      <c r="B65" s="378" t="s">
        <v>363</v>
      </c>
      <c r="C65" s="218" t="s">
        <v>616</v>
      </c>
      <c r="D65" s="218"/>
      <c r="E65" s="218"/>
      <c r="F65" s="218"/>
      <c r="G65" s="218"/>
      <c r="H65" s="218"/>
      <c r="I65" s="218"/>
      <c r="J65" s="218"/>
      <c r="K65" s="218"/>
      <c r="L65" s="218"/>
      <c r="M65" s="218"/>
      <c r="N65" s="218"/>
      <c r="O65" s="218"/>
      <c r="P65" s="218"/>
      <c r="Q65" s="218"/>
      <c r="R65" s="218"/>
      <c r="S65" s="218"/>
      <c r="T65" s="218"/>
      <c r="U65" s="218"/>
      <c r="V65" s="635"/>
      <c r="W65" s="396"/>
      <c r="X65" s="635"/>
    </row>
    <row r="66" spans="1:24" ht="9.75" customHeight="1">
      <c r="A66" s="635"/>
      <c r="B66" s="336"/>
      <c r="C66" s="336"/>
      <c r="D66" s="336"/>
      <c r="E66" s="336"/>
      <c r="F66" s="336"/>
      <c r="G66" s="336"/>
      <c r="H66" s="336"/>
      <c r="I66" s="336"/>
      <c r="J66" s="336"/>
      <c r="K66" s="336"/>
      <c r="L66" s="336"/>
      <c r="M66" s="336"/>
      <c r="N66" s="336"/>
      <c r="O66" s="336"/>
      <c r="P66" s="336"/>
      <c r="Q66" s="336"/>
      <c r="R66" s="336"/>
      <c r="S66" s="336"/>
      <c r="T66" s="336"/>
      <c r="U66" s="336"/>
      <c r="V66" s="635"/>
      <c r="W66" s="396"/>
      <c r="X66" s="635"/>
    </row>
    <row r="67" spans="1:24" ht="14.25" customHeight="1" thickBot="1">
      <c r="A67" s="635"/>
      <c r="B67" s="205">
        <v>33</v>
      </c>
      <c r="C67" s="176" t="s">
        <v>506</v>
      </c>
      <c r="D67" s="176"/>
      <c r="E67" s="176"/>
      <c r="F67" s="176"/>
      <c r="G67" s="176"/>
      <c r="H67" s="176"/>
      <c r="I67" s="176"/>
      <c r="J67" s="176"/>
      <c r="K67" s="176"/>
      <c r="L67" s="176"/>
      <c r="M67" s="176"/>
      <c r="N67" s="176"/>
      <c r="O67" s="176"/>
      <c r="P67" s="176"/>
      <c r="Q67" s="176"/>
      <c r="R67" s="176"/>
      <c r="S67" s="176"/>
      <c r="T67" s="176"/>
      <c r="U67" s="176"/>
      <c r="V67" s="635"/>
      <c r="W67" s="396"/>
      <c r="X67" s="635"/>
    </row>
    <row r="68" spans="1:24" ht="12" customHeight="1" thickBot="1">
      <c r="A68" s="635"/>
      <c r="B68" s="205"/>
      <c r="C68" s="171" t="s">
        <v>4048</v>
      </c>
      <c r="D68" s="176"/>
      <c r="E68" s="1511"/>
      <c r="F68" s="171" t="s">
        <v>4046</v>
      </c>
      <c r="G68" s="161" t="s">
        <v>1793</v>
      </c>
      <c r="H68" s="1511"/>
      <c r="I68" s="171" t="s">
        <v>4045</v>
      </c>
      <c r="J68" s="179"/>
      <c r="K68" s="176"/>
      <c r="L68" s="176"/>
      <c r="M68" s="161" t="s">
        <v>1799</v>
      </c>
      <c r="N68" s="1511"/>
      <c r="O68" s="171" t="s">
        <v>4047</v>
      </c>
      <c r="P68" s="176"/>
      <c r="Q68" s="176"/>
      <c r="R68" s="176"/>
      <c r="S68" s="176"/>
      <c r="T68" s="176"/>
      <c r="U68" s="176"/>
      <c r="V68" s="635"/>
      <c r="W68" s="396"/>
      <c r="X68" s="635"/>
    </row>
    <row r="69" spans="1:24" ht="15" customHeight="1" thickBot="1">
      <c r="A69" s="635"/>
      <c r="B69" s="205">
        <v>34</v>
      </c>
      <c r="C69" s="1079" t="s">
        <v>727</v>
      </c>
      <c r="D69" s="191"/>
      <c r="E69" s="191"/>
      <c r="F69" s="191"/>
      <c r="G69" s="191"/>
      <c r="H69" s="191"/>
      <c r="I69" s="191"/>
      <c r="J69" s="191"/>
      <c r="K69" s="176"/>
      <c r="L69" s="176"/>
      <c r="M69" s="176"/>
      <c r="N69" s="176"/>
      <c r="O69" s="176"/>
      <c r="P69" s="176"/>
      <c r="Q69" s="191"/>
      <c r="R69" s="191"/>
      <c r="S69" s="191"/>
      <c r="T69" s="191"/>
      <c r="U69" s="191"/>
      <c r="V69" s="635"/>
      <c r="W69" s="396"/>
      <c r="X69" s="635"/>
    </row>
    <row r="70" spans="1:24" ht="12.75" customHeight="1" thickBot="1">
      <c r="A70" s="635"/>
      <c r="B70" s="205"/>
      <c r="C70" s="1079" t="s">
        <v>4049</v>
      </c>
      <c r="D70" s="191"/>
      <c r="E70" s="191"/>
      <c r="F70" s="191"/>
      <c r="G70" s="191"/>
      <c r="H70" s="191"/>
      <c r="I70" s="191"/>
      <c r="J70" s="191"/>
      <c r="K70" s="191"/>
      <c r="L70" s="191"/>
      <c r="M70" s="191"/>
      <c r="N70" s="191"/>
      <c r="O70" s="193"/>
      <c r="P70" s="644" t="s">
        <v>3532</v>
      </c>
      <c r="Q70" s="1500"/>
      <c r="R70" s="193" t="s">
        <v>307</v>
      </c>
      <c r="S70" s="3059"/>
      <c r="T70" s="1500"/>
      <c r="U70" s="193" t="s">
        <v>308</v>
      </c>
      <c r="V70" s="635"/>
      <c r="W70" s="396"/>
      <c r="X70" s="635"/>
    </row>
    <row r="71" spans="1:24" ht="8.25" customHeight="1">
      <c r="A71" s="635"/>
      <c r="B71" s="205"/>
      <c r="C71" s="191"/>
      <c r="D71" s="191"/>
      <c r="E71" s="191"/>
      <c r="F71" s="191"/>
      <c r="G71" s="191"/>
      <c r="H71" s="191"/>
      <c r="I71" s="191"/>
      <c r="J71" s="191"/>
      <c r="K71" s="191"/>
      <c r="L71" s="191"/>
      <c r="M71" s="191"/>
      <c r="N71" s="191"/>
      <c r="O71" s="191"/>
      <c r="P71" s="191"/>
      <c r="Q71" s="191"/>
      <c r="R71" s="191"/>
      <c r="S71" s="191"/>
      <c r="T71" s="191"/>
      <c r="U71" s="191"/>
      <c r="V71" s="635"/>
      <c r="W71" s="396"/>
      <c r="X71" s="635"/>
    </row>
    <row r="72" spans="1:24" ht="12.75" customHeight="1">
      <c r="A72" s="635"/>
      <c r="B72" s="205">
        <v>35</v>
      </c>
      <c r="C72" s="1079" t="s">
        <v>4050</v>
      </c>
      <c r="D72" s="191"/>
      <c r="E72" s="191"/>
      <c r="F72" s="191"/>
      <c r="G72" s="191"/>
      <c r="H72" s="191"/>
      <c r="I72" s="191"/>
      <c r="J72" s="191"/>
      <c r="K72" s="191"/>
      <c r="L72" s="191"/>
      <c r="M72" s="191"/>
      <c r="N72" s="191"/>
      <c r="O72" s="191"/>
      <c r="P72" s="191"/>
      <c r="Q72" s="191"/>
      <c r="R72" s="644" t="s">
        <v>747</v>
      </c>
      <c r="S72" s="189">
        <v>35</v>
      </c>
      <c r="T72" s="5977"/>
      <c r="U72" s="5978"/>
      <c r="V72" s="635"/>
      <c r="W72" s="396"/>
      <c r="X72" s="635"/>
    </row>
    <row r="73" spans="1:24" ht="8.1" customHeight="1">
      <c r="A73" s="635"/>
      <c r="B73" s="205"/>
      <c r="C73" s="191"/>
      <c r="D73" s="191"/>
      <c r="E73" s="191"/>
      <c r="F73" s="191"/>
      <c r="G73" s="191"/>
      <c r="H73" s="191"/>
      <c r="I73" s="191"/>
      <c r="J73" s="191"/>
      <c r="K73" s="191"/>
      <c r="L73" s="191"/>
      <c r="M73" s="191"/>
      <c r="N73" s="191"/>
      <c r="O73" s="191"/>
      <c r="P73" s="191"/>
      <c r="Q73" s="191"/>
      <c r="R73" s="191"/>
      <c r="S73" s="196"/>
      <c r="T73" s="5975"/>
      <c r="U73" s="5976"/>
      <c r="V73" s="635"/>
      <c r="W73" s="396"/>
      <c r="X73" s="635"/>
    </row>
    <row r="74" spans="1:24">
      <c r="A74" s="635"/>
      <c r="B74" s="205">
        <v>36</v>
      </c>
      <c r="C74" s="1079" t="s">
        <v>4051</v>
      </c>
      <c r="D74" s="191"/>
      <c r="E74" s="191"/>
      <c r="F74" s="191"/>
      <c r="G74" s="191"/>
      <c r="H74" s="191"/>
      <c r="I74" s="191"/>
      <c r="J74" s="191"/>
      <c r="K74" s="191"/>
      <c r="L74" s="191"/>
      <c r="M74" s="191"/>
      <c r="N74" s="191"/>
      <c r="O74" s="191"/>
      <c r="P74" s="191"/>
      <c r="Q74" s="191"/>
      <c r="R74" s="644" t="s">
        <v>763</v>
      </c>
      <c r="S74" s="189">
        <v>36</v>
      </c>
      <c r="T74" s="5977"/>
      <c r="U74" s="5978"/>
      <c r="V74" s="635"/>
      <c r="W74" s="396"/>
      <c r="X74" s="635"/>
    </row>
    <row r="75" spans="1:24" ht="8.1" customHeight="1">
      <c r="A75" s="635"/>
      <c r="B75" s="205"/>
      <c r="C75" s="191"/>
      <c r="D75" s="191"/>
      <c r="E75" s="191"/>
      <c r="F75" s="191"/>
      <c r="G75" s="191"/>
      <c r="H75" s="191"/>
      <c r="I75" s="191"/>
      <c r="J75" s="191"/>
      <c r="K75" s="191"/>
      <c r="L75" s="191"/>
      <c r="M75" s="191"/>
      <c r="N75" s="191"/>
      <c r="O75" s="191"/>
      <c r="P75" s="191"/>
      <c r="Q75" s="191"/>
      <c r="R75" s="191"/>
      <c r="S75" s="196"/>
      <c r="T75" s="5975"/>
      <c r="U75" s="5976"/>
      <c r="V75" s="635"/>
      <c r="W75" s="396"/>
      <c r="X75" s="635"/>
    </row>
    <row r="76" spans="1:24">
      <c r="A76" s="635"/>
      <c r="B76" s="205">
        <v>37</v>
      </c>
      <c r="C76" s="1079" t="s">
        <v>4052</v>
      </c>
      <c r="D76" s="191"/>
      <c r="E76" s="191"/>
      <c r="F76" s="191"/>
      <c r="G76" s="191"/>
      <c r="H76" s="191"/>
      <c r="I76" s="191"/>
      <c r="J76" s="191"/>
      <c r="K76" s="191"/>
      <c r="L76" s="191"/>
      <c r="M76" s="191"/>
      <c r="N76" s="191"/>
      <c r="O76" s="191"/>
      <c r="P76" s="191"/>
      <c r="Q76" s="191"/>
      <c r="R76" s="644" t="s">
        <v>1311</v>
      </c>
      <c r="S76" s="189">
        <v>37</v>
      </c>
      <c r="T76" s="5977"/>
      <c r="U76" s="5978"/>
      <c r="V76" s="635"/>
      <c r="W76" s="396"/>
      <c r="X76" s="635"/>
    </row>
    <row r="77" spans="1:24" ht="8.1" customHeight="1">
      <c r="A77" s="635"/>
      <c r="B77" s="205"/>
      <c r="C77" s="191"/>
      <c r="D77" s="191"/>
      <c r="E77" s="191"/>
      <c r="F77" s="191"/>
      <c r="G77" s="191"/>
      <c r="H77" s="191"/>
      <c r="I77" s="191"/>
      <c r="J77" s="191"/>
      <c r="K77" s="191"/>
      <c r="L77" s="191"/>
      <c r="M77" s="191"/>
      <c r="N77" s="191"/>
      <c r="O77" s="191"/>
      <c r="P77" s="191"/>
      <c r="Q77" s="191"/>
      <c r="R77" s="191"/>
      <c r="S77" s="196"/>
      <c r="T77" s="5975"/>
      <c r="U77" s="5976"/>
      <c r="V77" s="635"/>
      <c r="W77" s="396"/>
      <c r="X77" s="635"/>
    </row>
    <row r="78" spans="1:24">
      <c r="A78" s="635"/>
      <c r="B78" s="205">
        <v>38</v>
      </c>
      <c r="C78" s="1079" t="s">
        <v>4053</v>
      </c>
      <c r="D78" s="191"/>
      <c r="E78" s="191"/>
      <c r="F78" s="191"/>
      <c r="G78" s="191"/>
      <c r="H78" s="191"/>
      <c r="I78" s="191"/>
      <c r="J78" s="191"/>
      <c r="K78" s="191"/>
      <c r="L78" s="191"/>
      <c r="M78" s="191"/>
      <c r="N78" s="191"/>
      <c r="O78" s="191"/>
      <c r="P78" s="191"/>
      <c r="Q78" s="191"/>
      <c r="R78" s="644" t="s">
        <v>4065</v>
      </c>
      <c r="S78" s="189">
        <v>38</v>
      </c>
      <c r="T78" s="5977"/>
      <c r="U78" s="5978"/>
      <c r="V78" s="635"/>
      <c r="W78" s="396"/>
      <c r="X78" s="635"/>
    </row>
    <row r="79" spans="1:24" ht="8.1" customHeight="1">
      <c r="A79" s="635"/>
      <c r="B79" s="205"/>
      <c r="C79" s="191"/>
      <c r="D79" s="191"/>
      <c r="E79" s="191"/>
      <c r="F79" s="191"/>
      <c r="G79" s="191"/>
      <c r="H79" s="191"/>
      <c r="I79" s="191"/>
      <c r="J79" s="191"/>
      <c r="K79" s="191"/>
      <c r="L79" s="191"/>
      <c r="M79" s="191"/>
      <c r="N79" s="191"/>
      <c r="O79" s="191"/>
      <c r="P79" s="191"/>
      <c r="Q79" s="191"/>
      <c r="R79" s="191"/>
      <c r="S79" s="196"/>
      <c r="T79" s="5975"/>
      <c r="U79" s="5976"/>
      <c r="V79" s="635"/>
      <c r="W79" s="396"/>
      <c r="X79" s="635"/>
    </row>
    <row r="80" spans="1:24">
      <c r="A80" s="635"/>
      <c r="B80" s="205">
        <v>39</v>
      </c>
      <c r="C80" s="1079" t="s">
        <v>4054</v>
      </c>
      <c r="D80" s="191"/>
      <c r="E80" s="191"/>
      <c r="F80" s="191"/>
      <c r="G80" s="191"/>
      <c r="H80" s="191"/>
      <c r="I80" s="191"/>
      <c r="J80" s="191"/>
      <c r="K80" s="191"/>
      <c r="L80" s="191"/>
      <c r="M80" s="191"/>
      <c r="N80" s="191"/>
      <c r="O80" s="191"/>
      <c r="P80" s="191"/>
      <c r="Q80" s="191"/>
      <c r="R80" s="644" t="s">
        <v>4066</v>
      </c>
      <c r="S80" s="189">
        <v>39</v>
      </c>
      <c r="T80" s="5977"/>
      <c r="U80" s="5978"/>
      <c r="V80" s="635"/>
      <c r="W80" s="396"/>
      <c r="X80" s="635"/>
    </row>
    <row r="81" spans="1:25" ht="8.1" customHeight="1">
      <c r="A81" s="635"/>
      <c r="B81" s="205"/>
      <c r="C81" s="191"/>
      <c r="D81" s="191"/>
      <c r="E81" s="191"/>
      <c r="F81" s="191"/>
      <c r="G81" s="191"/>
      <c r="H81" s="191"/>
      <c r="I81" s="191"/>
      <c r="J81" s="191"/>
      <c r="K81" s="191"/>
      <c r="L81" s="191"/>
      <c r="M81" s="191"/>
      <c r="N81" s="191"/>
      <c r="O81" s="191"/>
      <c r="P81" s="191"/>
      <c r="Q81" s="191"/>
      <c r="R81" s="191"/>
      <c r="S81" s="196"/>
      <c r="T81" s="5979">
        <f>ROUND(SUM(T72:U80),0)</f>
        <v>0</v>
      </c>
      <c r="U81" s="5980"/>
      <c r="V81" s="635"/>
      <c r="W81" s="396"/>
      <c r="X81" s="635"/>
    </row>
    <row r="82" spans="1:25">
      <c r="A82" s="635"/>
      <c r="B82" s="205">
        <v>40</v>
      </c>
      <c r="C82" s="1079" t="s">
        <v>4055</v>
      </c>
      <c r="D82" s="191"/>
      <c r="E82" s="191"/>
      <c r="F82" s="191"/>
      <c r="G82" s="191"/>
      <c r="H82" s="191"/>
      <c r="I82" s="191"/>
      <c r="J82" s="191"/>
      <c r="K82" s="191"/>
      <c r="L82" s="191"/>
      <c r="M82" s="191"/>
      <c r="N82" s="191"/>
      <c r="O82" s="191"/>
      <c r="P82" s="191"/>
      <c r="Q82" s="191"/>
      <c r="R82" s="644" t="s">
        <v>1951</v>
      </c>
      <c r="S82" s="189">
        <v>40</v>
      </c>
      <c r="T82" s="5994"/>
      <c r="U82" s="5995"/>
      <c r="V82" s="635"/>
      <c r="W82" s="396"/>
      <c r="X82" s="635"/>
    </row>
    <row r="83" spans="1:25" ht="8.1" customHeight="1">
      <c r="A83" s="635"/>
      <c r="B83" s="205"/>
      <c r="C83" s="191"/>
      <c r="D83" s="191"/>
      <c r="E83" s="191"/>
      <c r="F83" s="191"/>
      <c r="G83" s="191"/>
      <c r="H83" s="191"/>
      <c r="I83" s="191"/>
      <c r="J83" s="191"/>
      <c r="K83" s="191"/>
      <c r="L83" s="191"/>
      <c r="M83" s="191"/>
      <c r="N83" s="191"/>
      <c r="O83" s="191"/>
      <c r="P83" s="191"/>
      <c r="Q83" s="191"/>
      <c r="R83" s="191"/>
      <c r="S83" s="196"/>
      <c r="T83" s="5975"/>
      <c r="U83" s="5976"/>
      <c r="V83" s="635"/>
      <c r="W83" s="396"/>
      <c r="X83" s="635"/>
    </row>
    <row r="84" spans="1:25">
      <c r="A84" s="635"/>
      <c r="B84" s="205">
        <v>41</v>
      </c>
      <c r="C84" s="1079" t="s">
        <v>4056</v>
      </c>
      <c r="D84" s="191"/>
      <c r="E84" s="191"/>
      <c r="F84" s="191"/>
      <c r="G84" s="191"/>
      <c r="H84" s="191"/>
      <c r="I84" s="191"/>
      <c r="J84" s="191"/>
      <c r="K84" s="191"/>
      <c r="L84" s="191"/>
      <c r="M84" s="191"/>
      <c r="N84" s="191"/>
      <c r="O84" s="191"/>
      <c r="P84" s="191"/>
      <c r="Q84" s="191"/>
      <c r="R84" s="644" t="s">
        <v>1951</v>
      </c>
      <c r="S84" s="189">
        <v>41</v>
      </c>
      <c r="T84" s="5977"/>
      <c r="U84" s="5978"/>
      <c r="V84" s="635"/>
      <c r="W84" s="396"/>
      <c r="X84" s="635"/>
    </row>
    <row r="85" spans="1:25" ht="8.1" customHeight="1">
      <c r="A85" s="635"/>
      <c r="B85" s="205"/>
      <c r="C85" s="191"/>
      <c r="D85" s="191"/>
      <c r="E85" s="191"/>
      <c r="F85" s="191"/>
      <c r="G85" s="191"/>
      <c r="H85" s="191"/>
      <c r="I85" s="191"/>
      <c r="J85" s="191"/>
      <c r="K85" s="191"/>
      <c r="L85" s="191"/>
      <c r="M85" s="191"/>
      <c r="N85" s="191"/>
      <c r="O85" s="191"/>
      <c r="P85" s="191"/>
      <c r="Q85" s="191"/>
      <c r="R85" s="191"/>
      <c r="S85" s="196"/>
      <c r="T85" s="5979"/>
      <c r="U85" s="5980"/>
      <c r="V85" s="635"/>
      <c r="W85" s="396"/>
      <c r="X85" s="635"/>
    </row>
    <row r="86" spans="1:25" ht="13.5" thickBot="1">
      <c r="A86" s="635"/>
      <c r="B86" s="205">
        <v>42</v>
      </c>
      <c r="C86" s="1168" t="s">
        <v>4057</v>
      </c>
      <c r="D86" s="193"/>
      <c r="E86" s="191"/>
      <c r="F86" s="191"/>
      <c r="G86" s="191"/>
      <c r="H86" s="191"/>
      <c r="I86" s="191"/>
      <c r="J86" s="191"/>
      <c r="K86" s="191"/>
      <c r="L86" s="191"/>
      <c r="M86" s="191"/>
      <c r="N86" s="191"/>
      <c r="O86" s="191"/>
      <c r="P86" s="191"/>
      <c r="Q86" s="191"/>
      <c r="R86" s="644" t="s">
        <v>679</v>
      </c>
      <c r="S86" s="189">
        <v>42</v>
      </c>
      <c r="T86" s="5981">
        <f>ROUND(SUM(T81,-T83),0)</f>
        <v>0</v>
      </c>
      <c r="U86" s="5982"/>
      <c r="V86" s="635"/>
      <c r="W86" s="396"/>
      <c r="X86" s="635"/>
    </row>
    <row r="87" spans="1:25" ht="12.75" customHeight="1">
      <c r="A87" s="635"/>
      <c r="B87" s="2875" t="s">
        <v>546</v>
      </c>
      <c r="C87" s="220" t="s">
        <v>173</v>
      </c>
      <c r="D87" s="220"/>
      <c r="E87" s="220"/>
      <c r="F87" s="220"/>
      <c r="G87" s="220"/>
      <c r="H87" s="220"/>
      <c r="I87" s="220"/>
      <c r="J87" s="220"/>
      <c r="K87" s="220"/>
      <c r="L87" s="220"/>
      <c r="M87" s="220"/>
      <c r="N87" s="220"/>
      <c r="O87" s="220"/>
      <c r="P87" s="220"/>
      <c r="Q87" s="220"/>
      <c r="R87" s="220"/>
      <c r="S87" s="220"/>
      <c r="T87" s="220"/>
      <c r="U87" s="220"/>
      <c r="V87" s="635"/>
      <c r="W87" s="396"/>
      <c r="X87" s="635"/>
    </row>
    <row r="88" spans="1:25" ht="12.75" customHeight="1">
      <c r="A88" s="635"/>
      <c r="B88" s="205"/>
      <c r="C88" s="1663" t="s">
        <v>2051</v>
      </c>
      <c r="D88" s="201"/>
      <c r="E88" s="221"/>
      <c r="F88" s="221"/>
      <c r="G88" s="221"/>
      <c r="H88" s="221"/>
      <c r="I88" s="221"/>
      <c r="J88" s="221"/>
      <c r="K88" s="221"/>
      <c r="L88" s="221"/>
      <c r="M88" s="221"/>
      <c r="N88" s="221"/>
      <c r="O88" s="221"/>
      <c r="P88" s="221"/>
      <c r="Q88" s="221"/>
      <c r="R88" s="221"/>
      <c r="S88" s="221"/>
      <c r="T88" s="221"/>
      <c r="U88" s="221"/>
      <c r="V88" s="635"/>
      <c r="W88" s="396"/>
      <c r="X88" s="635"/>
    </row>
    <row r="89" spans="1:25" ht="12.75" customHeight="1">
      <c r="A89" s="635"/>
      <c r="B89" s="379"/>
      <c r="C89" s="2365" t="s">
        <v>2050</v>
      </c>
      <c r="D89" s="222"/>
      <c r="E89" s="223"/>
      <c r="F89" s="223"/>
      <c r="G89" s="223"/>
      <c r="H89" s="223"/>
      <c r="I89" s="223"/>
      <c r="J89" s="223"/>
      <c r="K89" s="223"/>
      <c r="L89" s="223"/>
      <c r="M89" s="223"/>
      <c r="N89" s="223"/>
      <c r="O89" s="223"/>
      <c r="P89" s="223"/>
      <c r="Q89" s="223"/>
      <c r="R89" s="223"/>
      <c r="S89" s="223"/>
      <c r="T89" s="223"/>
      <c r="U89" s="223"/>
      <c r="V89" s="635"/>
      <c r="W89" s="396"/>
      <c r="X89" s="635"/>
    </row>
    <row r="90" spans="1:25" ht="7.5" customHeight="1">
      <c r="A90" s="635"/>
      <c r="B90" s="205"/>
      <c r="C90" s="191"/>
      <c r="D90" s="191"/>
      <c r="E90" s="191"/>
      <c r="F90" s="191"/>
      <c r="G90" s="191"/>
      <c r="H90" s="191"/>
      <c r="I90" s="191"/>
      <c r="J90" s="191"/>
      <c r="K90" s="191"/>
      <c r="L90" s="191"/>
      <c r="M90" s="191"/>
      <c r="N90" s="191"/>
      <c r="O90" s="191"/>
      <c r="P90" s="191"/>
      <c r="Q90" s="191"/>
      <c r="R90" s="191"/>
      <c r="S90" s="191"/>
      <c r="T90" s="191"/>
      <c r="U90" s="191"/>
      <c r="V90" s="635"/>
      <c r="W90" s="396"/>
      <c r="X90" s="635"/>
    </row>
    <row r="91" spans="1:25" ht="15.75" customHeight="1">
      <c r="A91" s="635"/>
      <c r="B91" s="205">
        <v>43</v>
      </c>
      <c r="C91" s="1622" t="s">
        <v>946</v>
      </c>
      <c r="D91" s="643"/>
      <c r="E91" s="191"/>
      <c r="F91" s="191"/>
      <c r="G91" s="191"/>
      <c r="H91" s="191"/>
      <c r="I91" s="191"/>
      <c r="J91" s="191"/>
      <c r="K91" s="191"/>
      <c r="L91" s="191"/>
      <c r="M91" s="191"/>
      <c r="N91" s="642"/>
      <c r="O91" s="6045"/>
      <c r="P91" s="6045"/>
      <c r="Q91" s="6045"/>
      <c r="R91" s="6045"/>
      <c r="S91" s="6045"/>
      <c r="T91" s="193"/>
      <c r="U91" s="193"/>
      <c r="V91" s="635"/>
      <c r="W91" s="396"/>
      <c r="X91" s="635"/>
    </row>
    <row r="92" spans="1:25" ht="8.1" customHeight="1">
      <c r="A92" s="635"/>
      <c r="B92" s="205"/>
      <c r="C92" s="191"/>
      <c r="D92" s="191"/>
      <c r="E92" s="191"/>
      <c r="F92" s="191"/>
      <c r="G92" s="191"/>
      <c r="H92" s="191"/>
      <c r="I92" s="191"/>
      <c r="J92" s="191"/>
      <c r="K92" s="191"/>
      <c r="L92" s="191"/>
      <c r="M92" s="191"/>
      <c r="N92" s="191"/>
      <c r="O92" s="191"/>
      <c r="P92" s="191"/>
      <c r="Q92" s="191"/>
      <c r="R92" s="191"/>
      <c r="S92" s="191"/>
      <c r="T92" s="191"/>
      <c r="U92" s="191"/>
      <c r="V92" s="635"/>
      <c r="W92" s="396"/>
      <c r="X92" s="635"/>
    </row>
    <row r="93" spans="1:25">
      <c r="A93" s="635"/>
      <c r="B93" s="205">
        <v>44</v>
      </c>
      <c r="C93" s="191" t="str">
        <f>"Of the total number of miles you drove your vehicle during "&amp;TaxYear&amp;", enter the number of miles you used your vehicle for:"</f>
        <v>Of the total number of miles you drove your vehicle during 2018, enter the number of miles you used your vehicle for:</v>
      </c>
      <c r="D93" s="191"/>
      <c r="E93" s="191"/>
      <c r="F93" s="191"/>
      <c r="G93" s="191"/>
      <c r="H93" s="191"/>
      <c r="I93" s="191"/>
      <c r="J93" s="191"/>
      <c r="K93" s="191"/>
      <c r="L93" s="191"/>
      <c r="M93" s="191"/>
      <c r="N93" s="191"/>
      <c r="O93" s="191"/>
      <c r="P93" s="191"/>
      <c r="Q93" s="191"/>
      <c r="R93" s="191"/>
      <c r="S93" s="191"/>
      <c r="T93" s="191"/>
      <c r="U93" s="191"/>
      <c r="V93" s="635"/>
      <c r="W93" s="396"/>
      <c r="X93" s="635"/>
    </row>
    <row r="94" spans="1:25" ht="15" customHeight="1">
      <c r="A94" s="635"/>
      <c r="B94" s="179"/>
      <c r="C94" s="4491" t="s">
        <v>4059</v>
      </c>
      <c r="D94" s="1513"/>
      <c r="E94" s="644"/>
      <c r="F94" s="893"/>
      <c r="G94" s="215"/>
      <c r="H94" s="215"/>
      <c r="I94" s="4492" t="s">
        <v>4058</v>
      </c>
      <c r="J94" s="5967"/>
      <c r="K94" s="5968"/>
      <c r="L94" s="5968"/>
      <c r="M94" s="224"/>
      <c r="N94" s="4493" t="s">
        <v>55</v>
      </c>
      <c r="O94" s="6046" t="s">
        <v>458</v>
      </c>
      <c r="P94" s="6047"/>
      <c r="Q94" s="5971"/>
      <c r="R94" s="5971"/>
      <c r="S94" s="5971"/>
      <c r="T94" s="858"/>
      <c r="U94" s="858"/>
      <c r="V94" s="635"/>
      <c r="W94" s="3061" t="str">
        <f>IF(Y94,"Check","")</f>
        <v/>
      </c>
      <c r="X94" s="635"/>
      <c r="Y94" s="1601" t="b">
        <f>OR(Y96,Y98,Y100,Y102)</f>
        <v>0</v>
      </c>
    </row>
    <row r="95" spans="1:25" ht="8.1" customHeight="1" thickBot="1">
      <c r="A95" s="635"/>
      <c r="B95" s="205"/>
      <c r="C95" s="191"/>
      <c r="D95" s="191"/>
      <c r="E95" s="191"/>
      <c r="F95" s="191"/>
      <c r="G95" s="191"/>
      <c r="H95" s="191"/>
      <c r="I95" s="191"/>
      <c r="J95" s="191"/>
      <c r="K95" s="191"/>
      <c r="L95" s="191"/>
      <c r="M95" s="191"/>
      <c r="N95" s="191"/>
      <c r="O95" s="191"/>
      <c r="P95" s="191"/>
      <c r="Q95" s="191"/>
      <c r="R95" s="645"/>
      <c r="S95" s="191"/>
      <c r="T95" s="191"/>
      <c r="U95" s="191"/>
      <c r="V95" s="635"/>
      <c r="W95" s="3061"/>
      <c r="X95" s="635"/>
      <c r="Y95" s="1601"/>
    </row>
    <row r="96" spans="1:25" ht="12.75" customHeight="1" thickBot="1">
      <c r="A96" s="635"/>
      <c r="B96" s="205">
        <v>45</v>
      </c>
      <c r="C96" s="1079" t="s">
        <v>728</v>
      </c>
      <c r="D96" s="191"/>
      <c r="E96" s="191"/>
      <c r="F96" s="191"/>
      <c r="G96" s="191"/>
      <c r="H96" s="191"/>
      <c r="I96" s="191"/>
      <c r="J96" s="191"/>
      <c r="K96" s="191"/>
      <c r="L96" s="644" t="s">
        <v>4062</v>
      </c>
      <c r="M96" s="1500"/>
      <c r="N96" s="225" t="s">
        <v>307</v>
      </c>
      <c r="O96" s="191"/>
      <c r="P96" s="1500"/>
      <c r="Q96" s="226" t="s">
        <v>308</v>
      </c>
      <c r="R96" s="646"/>
      <c r="S96" s="191"/>
      <c r="T96" s="225"/>
      <c r="U96" s="225"/>
      <c r="V96" s="635"/>
      <c r="W96" s="3061" t="str">
        <f>IF(Y96,"ONLY one.","")</f>
        <v/>
      </c>
      <c r="X96" s="635"/>
      <c r="Y96" s="1601" t="b">
        <f>IF(AND(M96&lt;&gt;"",P96&lt;&gt;""),TRUE,FALSE)</f>
        <v>0</v>
      </c>
    </row>
    <row r="97" spans="1:25" ht="8.1" customHeight="1" thickBot="1">
      <c r="A97" s="635"/>
      <c r="B97" s="179"/>
      <c r="C97" s="215"/>
      <c r="D97" s="215"/>
      <c r="E97" s="215"/>
      <c r="F97" s="215"/>
      <c r="G97" s="215"/>
      <c r="H97" s="215"/>
      <c r="I97" s="215"/>
      <c r="J97" s="215"/>
      <c r="K97" s="215"/>
      <c r="L97" s="215"/>
      <c r="M97" s="215"/>
      <c r="N97" s="215"/>
      <c r="O97" s="191"/>
      <c r="P97" s="215"/>
      <c r="Q97" s="215"/>
      <c r="R97" s="215"/>
      <c r="S97" s="215"/>
      <c r="T97" s="191"/>
      <c r="U97" s="191"/>
      <c r="V97" s="635"/>
      <c r="W97" s="396"/>
      <c r="X97" s="635"/>
      <c r="Y97" s="1601"/>
    </row>
    <row r="98" spans="1:25" ht="13.5" thickBot="1">
      <c r="A98" s="635"/>
      <c r="B98" s="205">
        <v>46</v>
      </c>
      <c r="C98" s="1079" t="s">
        <v>4061</v>
      </c>
      <c r="D98" s="191"/>
      <c r="E98" s="191"/>
      <c r="F98" s="191"/>
      <c r="G98" s="191"/>
      <c r="H98" s="191"/>
      <c r="I98" s="191"/>
      <c r="J98" s="191"/>
      <c r="K98" s="191"/>
      <c r="L98" s="644" t="s">
        <v>4067</v>
      </c>
      <c r="M98" s="1500"/>
      <c r="N98" s="225" t="s">
        <v>307</v>
      </c>
      <c r="O98" s="191"/>
      <c r="P98" s="1500"/>
      <c r="Q98" s="226" t="s">
        <v>308</v>
      </c>
      <c r="R98" s="646"/>
      <c r="S98" s="191"/>
      <c r="T98" s="225"/>
      <c r="U98" s="225"/>
      <c r="V98" s="635"/>
      <c r="W98" s="3061" t="str">
        <f>IF(Y98,"ONLY one.","")</f>
        <v/>
      </c>
      <c r="X98" s="635"/>
      <c r="Y98" s="1601" t="b">
        <f>IF(AND(M98&lt;&gt;"",P98&lt;&gt;""),TRUE,FALSE)</f>
        <v>0</v>
      </c>
    </row>
    <row r="99" spans="1:25" ht="8.1" customHeight="1" thickBot="1">
      <c r="A99" s="635"/>
      <c r="B99" s="205"/>
      <c r="C99" s="191"/>
      <c r="D99" s="191"/>
      <c r="E99" s="191"/>
      <c r="F99" s="191"/>
      <c r="G99" s="191"/>
      <c r="H99" s="191"/>
      <c r="I99" s="191"/>
      <c r="J99" s="191"/>
      <c r="K99" s="191"/>
      <c r="L99" s="191"/>
      <c r="M99" s="191"/>
      <c r="N99" s="191"/>
      <c r="O99" s="191"/>
      <c r="P99" s="191"/>
      <c r="Q99" s="191"/>
      <c r="R99" s="645"/>
      <c r="S99" s="191"/>
      <c r="T99" s="191"/>
      <c r="U99" s="191"/>
      <c r="V99" s="635"/>
      <c r="W99" s="396"/>
      <c r="X99" s="635"/>
      <c r="Y99" s="1601"/>
    </row>
    <row r="100" spans="1:25" ht="13.5" thickBot="1">
      <c r="A100" s="635"/>
      <c r="B100" s="146" t="s">
        <v>133</v>
      </c>
      <c r="C100" s="1079" t="s">
        <v>4060</v>
      </c>
      <c r="D100" s="191"/>
      <c r="E100" s="191"/>
      <c r="F100" s="191"/>
      <c r="G100" s="191"/>
      <c r="H100" s="191"/>
      <c r="I100" s="191"/>
      <c r="J100" s="191"/>
      <c r="K100" s="191"/>
      <c r="L100" s="644" t="s">
        <v>4063</v>
      </c>
      <c r="M100" s="1500"/>
      <c r="N100" s="225" t="s">
        <v>307</v>
      </c>
      <c r="O100" s="191"/>
      <c r="P100" s="1500"/>
      <c r="Q100" s="226" t="s">
        <v>308</v>
      </c>
      <c r="R100" s="646"/>
      <c r="S100" s="191"/>
      <c r="T100" s="191"/>
      <c r="U100" s="191"/>
      <c r="V100" s="635"/>
      <c r="W100" s="3061" t="str">
        <f>IF(Y100,"ONLY one.","")</f>
        <v/>
      </c>
      <c r="X100" s="635"/>
      <c r="Y100" s="1601" t="b">
        <f>IF(AND(M100&lt;&gt;"",P100&lt;&gt;""),TRUE,FALSE)</f>
        <v>0</v>
      </c>
    </row>
    <row r="101" spans="1:25" ht="8.1" customHeight="1" thickBot="1">
      <c r="A101" s="635"/>
      <c r="B101" s="205"/>
      <c r="C101" s="191"/>
      <c r="D101" s="191"/>
      <c r="E101" s="191"/>
      <c r="F101" s="191"/>
      <c r="G101" s="191"/>
      <c r="H101" s="191"/>
      <c r="I101" s="191"/>
      <c r="J101" s="191"/>
      <c r="K101" s="191"/>
      <c r="L101" s="191"/>
      <c r="M101" s="191"/>
      <c r="N101" s="191"/>
      <c r="O101" s="191"/>
      <c r="P101" s="191"/>
      <c r="Q101" s="191"/>
      <c r="R101" s="645"/>
      <c r="S101" s="191"/>
      <c r="T101" s="191"/>
      <c r="U101" s="191"/>
      <c r="V101" s="635"/>
      <c r="W101" s="396"/>
      <c r="X101" s="635"/>
      <c r="Y101" s="1601"/>
    </row>
    <row r="102" spans="1:25" ht="13.5" thickBot="1">
      <c r="A102" s="635"/>
      <c r="B102" s="179" t="s">
        <v>54</v>
      </c>
      <c r="C102" s="191" t="s">
        <v>437</v>
      </c>
      <c r="D102" s="191"/>
      <c r="E102" s="191"/>
      <c r="F102" s="191"/>
      <c r="G102" s="191"/>
      <c r="H102" s="191"/>
      <c r="I102" s="191"/>
      <c r="J102" s="191"/>
      <c r="K102" s="191"/>
      <c r="L102" s="644" t="s">
        <v>4068</v>
      </c>
      <c r="M102" s="1500"/>
      <c r="N102" s="225" t="s">
        <v>307</v>
      </c>
      <c r="O102" s="191"/>
      <c r="P102" s="1500"/>
      <c r="Q102" s="226" t="s">
        <v>308</v>
      </c>
      <c r="R102" s="646"/>
      <c r="S102" s="191"/>
      <c r="T102" s="191"/>
      <c r="U102" s="191"/>
      <c r="V102" s="635"/>
      <c r="W102" s="3061" t="str">
        <f>IF(Y102,"ONLY one.","")</f>
        <v/>
      </c>
      <c r="X102" s="635"/>
      <c r="Y102" s="1601" t="b">
        <f>IF(AND(M102&lt;&gt;"",P102&lt;&gt;""),TRUE,FALSE)</f>
        <v>0</v>
      </c>
    </row>
    <row r="103" spans="1:25" ht="3.75" customHeight="1" thickBot="1">
      <c r="A103" s="635"/>
      <c r="B103" s="205"/>
      <c r="C103" s="191"/>
      <c r="D103" s="191"/>
      <c r="E103" s="191"/>
      <c r="F103" s="191"/>
      <c r="G103" s="191"/>
      <c r="H103" s="191"/>
      <c r="I103" s="191"/>
      <c r="J103" s="191"/>
      <c r="K103" s="191"/>
      <c r="L103" s="191"/>
      <c r="M103" s="191"/>
      <c r="N103" s="191"/>
      <c r="O103" s="191"/>
      <c r="P103" s="191"/>
      <c r="Q103" s="191"/>
      <c r="R103" s="191"/>
      <c r="S103" s="191"/>
      <c r="T103" s="191"/>
      <c r="U103" s="191"/>
      <c r="V103" s="635"/>
      <c r="W103" s="396"/>
      <c r="X103" s="635"/>
    </row>
    <row r="104" spans="1:25" ht="15.75">
      <c r="A104" s="635"/>
      <c r="B104" s="378" t="s">
        <v>135</v>
      </c>
      <c r="C104" s="218" t="s">
        <v>730</v>
      </c>
      <c r="D104" s="218"/>
      <c r="E104" s="218"/>
      <c r="F104" s="218"/>
      <c r="G104" s="218"/>
      <c r="H104" s="218"/>
      <c r="I104" s="218"/>
      <c r="J104" s="218"/>
      <c r="K104" s="218"/>
      <c r="L104" s="218"/>
      <c r="M104" s="218"/>
      <c r="N104" s="218"/>
      <c r="O104" s="218"/>
      <c r="P104" s="218"/>
      <c r="Q104" s="218"/>
      <c r="R104" s="218"/>
      <c r="S104" s="218"/>
      <c r="T104" s="218"/>
      <c r="U104" s="218"/>
      <c r="V104" s="635"/>
      <c r="W104" s="396"/>
      <c r="X104" s="635"/>
    </row>
    <row r="105" spans="1:25" ht="27.75" customHeight="1">
      <c r="A105" s="635"/>
      <c r="B105" s="5972"/>
      <c r="C105" s="5973"/>
      <c r="D105" s="5973"/>
      <c r="E105" s="5973"/>
      <c r="F105" s="5973"/>
      <c r="G105" s="5973"/>
      <c r="H105" s="5973"/>
      <c r="I105" s="5973"/>
      <c r="J105" s="5973"/>
      <c r="K105" s="5973"/>
      <c r="L105" s="5973"/>
      <c r="M105" s="5973"/>
      <c r="N105" s="5973"/>
      <c r="O105" s="5973"/>
      <c r="P105" s="5973"/>
      <c r="Q105" s="5973"/>
      <c r="R105" s="5973"/>
      <c r="S105" s="5974"/>
      <c r="T105" s="5960"/>
      <c r="U105" s="5961"/>
      <c r="V105" s="635"/>
      <c r="W105" s="396"/>
      <c r="X105" s="635"/>
    </row>
    <row r="106" spans="1:25" ht="27.75" customHeight="1">
      <c r="A106" s="635"/>
      <c r="B106" s="5962"/>
      <c r="C106" s="5958"/>
      <c r="D106" s="5958"/>
      <c r="E106" s="5958"/>
      <c r="F106" s="5958"/>
      <c r="G106" s="5958"/>
      <c r="H106" s="5958"/>
      <c r="I106" s="5958"/>
      <c r="J106" s="5958"/>
      <c r="K106" s="5958"/>
      <c r="L106" s="5958"/>
      <c r="M106" s="5958"/>
      <c r="N106" s="5958"/>
      <c r="O106" s="5958"/>
      <c r="P106" s="5958"/>
      <c r="Q106" s="5958"/>
      <c r="R106" s="5958"/>
      <c r="S106" s="5959"/>
      <c r="T106" s="5960"/>
      <c r="U106" s="5961"/>
      <c r="V106" s="635"/>
      <c r="W106" s="396"/>
      <c r="X106" s="635"/>
    </row>
    <row r="107" spans="1:25" ht="27.75" customHeight="1">
      <c r="A107" s="635"/>
      <c r="B107" s="5962"/>
      <c r="C107" s="5958"/>
      <c r="D107" s="5958"/>
      <c r="E107" s="5958"/>
      <c r="F107" s="5958"/>
      <c r="G107" s="5958"/>
      <c r="H107" s="5958"/>
      <c r="I107" s="5958"/>
      <c r="J107" s="5958"/>
      <c r="K107" s="5958"/>
      <c r="L107" s="5958"/>
      <c r="M107" s="5958"/>
      <c r="N107" s="5958"/>
      <c r="O107" s="5958"/>
      <c r="P107" s="5958"/>
      <c r="Q107" s="5958"/>
      <c r="R107" s="5958"/>
      <c r="S107" s="5959"/>
      <c r="T107" s="5960"/>
      <c r="U107" s="5961"/>
      <c r="V107" s="635"/>
      <c r="W107" s="396"/>
      <c r="X107" s="635"/>
    </row>
    <row r="108" spans="1:25" ht="27.75" customHeight="1">
      <c r="A108" s="635"/>
      <c r="B108" s="5962"/>
      <c r="C108" s="5958"/>
      <c r="D108" s="5958"/>
      <c r="E108" s="5958"/>
      <c r="F108" s="5958"/>
      <c r="G108" s="5958"/>
      <c r="H108" s="5958"/>
      <c r="I108" s="5958"/>
      <c r="J108" s="5958"/>
      <c r="K108" s="5958"/>
      <c r="L108" s="5958"/>
      <c r="M108" s="5958"/>
      <c r="N108" s="5958"/>
      <c r="O108" s="5958"/>
      <c r="P108" s="5958"/>
      <c r="Q108" s="5958"/>
      <c r="R108" s="5958"/>
      <c r="S108" s="5959"/>
      <c r="T108" s="5960"/>
      <c r="U108" s="5961"/>
      <c r="V108" s="635"/>
      <c r="W108" s="396"/>
      <c r="X108" s="635"/>
    </row>
    <row r="109" spans="1:25" ht="27.75" customHeight="1">
      <c r="A109" s="635"/>
      <c r="B109" s="5962"/>
      <c r="C109" s="5958"/>
      <c r="D109" s="5958"/>
      <c r="E109" s="5958"/>
      <c r="F109" s="5958"/>
      <c r="G109" s="5958"/>
      <c r="H109" s="5958"/>
      <c r="I109" s="5958"/>
      <c r="J109" s="5958"/>
      <c r="K109" s="5958"/>
      <c r="L109" s="5958"/>
      <c r="M109" s="5958"/>
      <c r="N109" s="5958"/>
      <c r="O109" s="5958"/>
      <c r="P109" s="5958"/>
      <c r="Q109" s="5958"/>
      <c r="R109" s="5958"/>
      <c r="S109" s="5959"/>
      <c r="T109" s="5960"/>
      <c r="U109" s="5961"/>
      <c r="V109" s="635"/>
      <c r="W109" s="396"/>
      <c r="X109" s="635"/>
    </row>
    <row r="110" spans="1:25" ht="27.75" customHeight="1">
      <c r="A110" s="635"/>
      <c r="B110" s="5962"/>
      <c r="C110" s="5958"/>
      <c r="D110" s="5958"/>
      <c r="E110" s="5958"/>
      <c r="F110" s="5958"/>
      <c r="G110" s="5958"/>
      <c r="H110" s="5958"/>
      <c r="I110" s="5958"/>
      <c r="J110" s="5958"/>
      <c r="K110" s="5958"/>
      <c r="L110" s="5958"/>
      <c r="M110" s="5958"/>
      <c r="N110" s="5958"/>
      <c r="O110" s="5958"/>
      <c r="P110" s="5958"/>
      <c r="Q110" s="5958"/>
      <c r="R110" s="5958"/>
      <c r="S110" s="5959"/>
      <c r="T110" s="5960"/>
      <c r="U110" s="5961"/>
      <c r="V110" s="635"/>
      <c r="W110" s="396"/>
      <c r="X110" s="635"/>
    </row>
    <row r="111" spans="1:25" ht="27.75" customHeight="1">
      <c r="A111" s="635"/>
      <c r="B111" s="5958"/>
      <c r="C111" s="5958"/>
      <c r="D111" s="5958"/>
      <c r="E111" s="5958"/>
      <c r="F111" s="5958"/>
      <c r="G111" s="5958"/>
      <c r="H111" s="5958"/>
      <c r="I111" s="5958"/>
      <c r="J111" s="5958"/>
      <c r="K111" s="5958"/>
      <c r="L111" s="5958"/>
      <c r="M111" s="5958"/>
      <c r="N111" s="5958"/>
      <c r="O111" s="5958"/>
      <c r="P111" s="5958"/>
      <c r="Q111" s="5958"/>
      <c r="R111" s="5958"/>
      <c r="S111" s="5959"/>
      <c r="T111" s="5960"/>
      <c r="U111" s="5961"/>
      <c r="V111" s="635"/>
      <c r="W111" s="396"/>
      <c r="X111" s="635"/>
    </row>
    <row r="112" spans="1:25" ht="27.75" customHeight="1">
      <c r="A112" s="635"/>
      <c r="B112" s="5962"/>
      <c r="C112" s="5958"/>
      <c r="D112" s="5958"/>
      <c r="E112" s="5958"/>
      <c r="F112" s="5958"/>
      <c r="G112" s="5958"/>
      <c r="H112" s="5958"/>
      <c r="I112" s="5958"/>
      <c r="J112" s="5958"/>
      <c r="K112" s="5958"/>
      <c r="L112" s="5958"/>
      <c r="M112" s="5958"/>
      <c r="N112" s="5958"/>
      <c r="O112" s="5958"/>
      <c r="P112" s="5958"/>
      <c r="Q112" s="5958"/>
      <c r="R112" s="5958"/>
      <c r="S112" s="5959"/>
      <c r="T112" s="5960"/>
      <c r="U112" s="5961"/>
      <c r="V112" s="635"/>
      <c r="W112" s="396"/>
      <c r="X112" s="635"/>
    </row>
    <row r="113" spans="1:24" ht="27.75" customHeight="1">
      <c r="A113" s="635"/>
      <c r="B113" s="5963"/>
      <c r="C113" s="5964"/>
      <c r="D113" s="5964"/>
      <c r="E113" s="5964"/>
      <c r="F113" s="5964"/>
      <c r="G113" s="5964"/>
      <c r="H113" s="5964"/>
      <c r="I113" s="5964"/>
      <c r="J113" s="5964"/>
      <c r="K113" s="5964"/>
      <c r="L113" s="5964"/>
      <c r="M113" s="5964"/>
      <c r="N113" s="5964"/>
      <c r="O113" s="5964"/>
      <c r="P113" s="5964"/>
      <c r="Q113" s="5964"/>
      <c r="R113" s="5964"/>
      <c r="S113" s="5965"/>
      <c r="T113" s="5960"/>
      <c r="U113" s="5961"/>
      <c r="V113" s="635"/>
      <c r="W113" s="396"/>
      <c r="X113" s="635"/>
    </row>
    <row r="114" spans="1:24" ht="16.5" customHeight="1" thickBot="1">
      <c r="A114" s="635"/>
      <c r="B114" s="214">
        <v>48</v>
      </c>
      <c r="C114" s="1178" t="s">
        <v>2484</v>
      </c>
      <c r="D114" s="227"/>
      <c r="E114" s="212"/>
      <c r="F114" s="212"/>
      <c r="G114" s="212"/>
      <c r="H114" s="212"/>
      <c r="I114" s="212"/>
      <c r="J114" s="212"/>
      <c r="K114" s="212"/>
      <c r="L114" s="212"/>
      <c r="M114" s="212"/>
      <c r="N114" s="212"/>
      <c r="O114" s="212"/>
      <c r="P114" s="212"/>
      <c r="Q114" s="228"/>
      <c r="R114" s="2952" t="s">
        <v>2673</v>
      </c>
      <c r="S114" s="229">
        <v>48</v>
      </c>
      <c r="T114" s="5956">
        <f>ROUND(SUM(T105,T106,T107,T108,T109,T110,T111,T112,T113),0)</f>
        <v>0</v>
      </c>
      <c r="U114" s="5957"/>
      <c r="V114" s="635"/>
      <c r="W114" s="396"/>
      <c r="X114" s="635"/>
    </row>
    <row r="115" spans="1:24" ht="20.25" customHeight="1">
      <c r="A115" s="635"/>
      <c r="B115" s="4146"/>
      <c r="C115" s="4146"/>
      <c r="D115" s="4146"/>
      <c r="E115" s="4146"/>
      <c r="F115" s="4147"/>
      <c r="G115" s="4147"/>
      <c r="H115" s="4147"/>
      <c r="I115" s="4148"/>
      <c r="J115" s="4148"/>
      <c r="K115" s="4148"/>
      <c r="L115" s="4149"/>
      <c r="M115" s="4148"/>
      <c r="N115" s="4147"/>
      <c r="O115" s="4147"/>
      <c r="P115" s="4150"/>
      <c r="Q115" s="4147"/>
      <c r="R115" s="4147"/>
      <c r="S115" s="4149"/>
      <c r="T115" s="4151"/>
      <c r="U115" s="4151" t="str">
        <f>"Schedule C   (Form 1040)  "&amp;TaxYear</f>
        <v>Schedule C   (Form 1040)  2018</v>
      </c>
      <c r="V115" s="635"/>
      <c r="W115" s="396"/>
      <c r="X115" s="635"/>
    </row>
    <row r="116" spans="1:24" ht="20.25" customHeight="1">
      <c r="A116" s="635"/>
      <c r="B116" s="344" t="s">
        <v>409</v>
      </c>
      <c r="C116" s="892"/>
      <c r="D116" s="4009"/>
      <c r="E116" s="168"/>
      <c r="F116" s="640" t="s">
        <v>410</v>
      </c>
      <c r="G116" s="282"/>
      <c r="H116" s="282"/>
      <c r="I116" s="142"/>
      <c r="J116" s="142"/>
      <c r="K116" s="142"/>
      <c r="L116" s="23"/>
      <c r="M116" s="142"/>
      <c r="N116" s="282"/>
      <c r="O116" s="282"/>
      <c r="P116" s="172"/>
      <c r="Q116" s="4008"/>
      <c r="R116" s="6024" t="s">
        <v>169</v>
      </c>
      <c r="S116" s="5577"/>
      <c r="T116" s="5577"/>
      <c r="U116" s="5577"/>
      <c r="V116" s="635"/>
      <c r="W116" s="396"/>
      <c r="X116" s="635"/>
    </row>
    <row r="117" spans="1:24" ht="18.75" customHeight="1">
      <c r="A117" s="635"/>
      <c r="B117" s="3326" t="s">
        <v>201</v>
      </c>
      <c r="C117" s="892"/>
      <c r="D117" s="4007"/>
      <c r="E117" s="168"/>
      <c r="F117" s="168"/>
      <c r="G117" s="168"/>
      <c r="H117" s="169"/>
      <c r="I117" s="1065" t="s">
        <v>411</v>
      </c>
      <c r="J117" s="170"/>
      <c r="K117" s="170"/>
      <c r="L117" s="168"/>
      <c r="M117" s="171"/>
      <c r="N117" s="169"/>
      <c r="O117" s="169"/>
      <c r="P117" s="172"/>
      <c r="Q117" s="168"/>
      <c r="R117" s="6025">
        <f>TaxYear</f>
        <v>2018</v>
      </c>
      <c r="S117" s="6026"/>
      <c r="T117" s="6027"/>
      <c r="U117" s="5582"/>
      <c r="V117" s="635"/>
      <c r="W117" s="396"/>
      <c r="X117" s="635"/>
    </row>
    <row r="118" spans="1:24" ht="12" customHeight="1">
      <c r="A118" s="635"/>
      <c r="B118" s="6028" t="s">
        <v>1154</v>
      </c>
      <c r="C118" s="6029"/>
      <c r="D118" s="6032" t="s">
        <v>2481</v>
      </c>
      <c r="E118" s="5601"/>
      <c r="F118" s="5601"/>
      <c r="G118" s="5601"/>
      <c r="H118" s="5601"/>
      <c r="I118" s="5601"/>
      <c r="J118" s="5601"/>
      <c r="K118" s="5601"/>
      <c r="L118" s="5601"/>
      <c r="M118" s="5601"/>
      <c r="N118" s="5601"/>
      <c r="O118" s="5601"/>
      <c r="P118" s="5601"/>
      <c r="Q118" s="6033"/>
      <c r="R118" s="6012" t="s">
        <v>550</v>
      </c>
      <c r="S118" s="6013"/>
      <c r="T118" s="6013"/>
      <c r="U118" s="6016" t="s">
        <v>4039</v>
      </c>
      <c r="V118" s="635"/>
      <c r="W118" s="396"/>
      <c r="X118" s="635"/>
    </row>
    <row r="119" spans="1:24" ht="11.25" customHeight="1">
      <c r="A119" s="635"/>
      <c r="B119" s="6030"/>
      <c r="C119" s="6031"/>
      <c r="D119" s="6034" t="s">
        <v>711</v>
      </c>
      <c r="E119" s="6035"/>
      <c r="F119" s="6035"/>
      <c r="G119" s="6035"/>
      <c r="H119" s="6035"/>
      <c r="I119" s="6035"/>
      <c r="J119" s="6035"/>
      <c r="K119" s="6035"/>
      <c r="L119" s="6035"/>
      <c r="M119" s="6035"/>
      <c r="N119" s="6035"/>
      <c r="O119" s="6035"/>
      <c r="P119" s="6035"/>
      <c r="Q119" s="6036"/>
      <c r="R119" s="6014"/>
      <c r="S119" s="6015"/>
      <c r="T119" s="6015"/>
      <c r="U119" s="6017"/>
      <c r="V119" s="635"/>
      <c r="W119" s="396"/>
      <c r="X119" s="635"/>
    </row>
    <row r="120" spans="1:24" ht="12" customHeight="1">
      <c r="A120" s="635"/>
      <c r="B120" s="171" t="s">
        <v>412</v>
      </c>
      <c r="C120" s="168"/>
      <c r="D120" s="168"/>
      <c r="E120" s="168"/>
      <c r="F120" s="141"/>
      <c r="G120" s="141"/>
      <c r="H120" s="142"/>
      <c r="I120" s="151"/>
      <c r="J120" s="151"/>
      <c r="K120" s="151"/>
      <c r="L120" s="175"/>
      <c r="M120" s="177" t="s">
        <v>158</v>
      </c>
      <c r="N120" s="142"/>
      <c r="O120" s="142"/>
      <c r="P120" s="142"/>
      <c r="Q120" s="141"/>
      <c r="R120" s="141"/>
      <c r="S120" s="141"/>
      <c r="T120" s="141"/>
      <c r="U120" s="141"/>
      <c r="V120" s="635"/>
      <c r="W120" s="396"/>
      <c r="X120" s="635"/>
    </row>
    <row r="121" spans="1:24" ht="14.25" customHeight="1" thickBot="1">
      <c r="A121" s="635"/>
      <c r="B121" s="6037"/>
      <c r="C121" s="6038"/>
      <c r="D121" s="6038"/>
      <c r="E121" s="6038"/>
      <c r="F121" s="6038"/>
      <c r="G121" s="6038"/>
      <c r="H121" s="6038"/>
      <c r="I121" s="6038"/>
      <c r="J121" s="6038"/>
      <c r="K121" s="6038"/>
      <c r="L121" s="6039"/>
      <c r="M121" s="6040"/>
      <c r="N121" s="6041"/>
      <c r="O121" s="6041"/>
      <c r="P121" s="6041"/>
      <c r="Q121" s="6041"/>
      <c r="R121" s="6041"/>
      <c r="S121" s="6041"/>
      <c r="T121" s="6041"/>
      <c r="U121" s="1506"/>
      <c r="V121" s="635"/>
      <c r="W121" s="396"/>
      <c r="X121" s="635"/>
    </row>
    <row r="122" spans="1:24" ht="12.75" customHeight="1" thickTop="1">
      <c r="A122" s="635"/>
      <c r="B122" s="146" t="s">
        <v>159</v>
      </c>
      <c r="C122" s="171" t="s">
        <v>1287</v>
      </c>
      <c r="D122" s="176"/>
      <c r="E122" s="168"/>
      <c r="F122" s="141"/>
      <c r="G122" s="141"/>
      <c r="H122" s="142"/>
      <c r="I122" s="151"/>
      <c r="J122" s="151"/>
      <c r="K122" s="151"/>
      <c r="L122" s="142"/>
      <c r="M122" s="1077" t="s">
        <v>712</v>
      </c>
      <c r="N122" s="61"/>
      <c r="O122" s="61"/>
      <c r="P122" s="61"/>
      <c r="Q122" s="62"/>
      <c r="R122" s="62"/>
      <c r="S122" s="62"/>
      <c r="T122" s="62"/>
      <c r="U122" s="381"/>
      <c r="V122" s="635"/>
      <c r="W122" s="396"/>
      <c r="X122" s="635"/>
    </row>
    <row r="123" spans="1:24" ht="12.75" customHeight="1" thickBot="1">
      <c r="A123" s="635"/>
      <c r="B123" s="6042"/>
      <c r="C123" s="6043"/>
      <c r="D123" s="6043"/>
      <c r="E123" s="6043"/>
      <c r="F123" s="6043"/>
      <c r="G123" s="6043"/>
      <c r="H123" s="6043"/>
      <c r="I123" s="6043"/>
      <c r="J123" s="6043"/>
      <c r="K123" s="6043"/>
      <c r="L123" s="6044"/>
      <c r="M123" s="1078"/>
      <c r="N123" s="981"/>
      <c r="O123" s="980"/>
      <c r="P123" s="1504"/>
      <c r="Q123" s="1504"/>
      <c r="R123" s="1504"/>
      <c r="S123" s="1504"/>
      <c r="T123" s="1504"/>
      <c r="U123" s="1505"/>
      <c r="V123" s="635"/>
      <c r="W123" s="396"/>
      <c r="X123" s="635"/>
    </row>
    <row r="124" spans="1:24" ht="12" customHeight="1" thickTop="1">
      <c r="A124" s="635"/>
      <c r="B124" s="146" t="s">
        <v>160</v>
      </c>
      <c r="C124" s="171" t="s">
        <v>391</v>
      </c>
      <c r="D124" s="171"/>
      <c r="E124" s="168"/>
      <c r="F124" s="141"/>
      <c r="G124" s="141"/>
      <c r="H124" s="142"/>
      <c r="I124" s="151"/>
      <c r="J124" s="151"/>
      <c r="K124" s="151"/>
      <c r="L124" s="175"/>
      <c r="M124" s="177" t="s">
        <v>3234</v>
      </c>
      <c r="N124" s="142"/>
      <c r="O124" s="142"/>
      <c r="P124" s="142"/>
      <c r="Q124" s="141"/>
      <c r="R124" s="141"/>
      <c r="S124" s="141"/>
      <c r="T124" s="141"/>
      <c r="U124" s="141"/>
      <c r="V124" s="635"/>
      <c r="W124" s="396"/>
      <c r="X124" s="635"/>
    </row>
    <row r="125" spans="1:24" ht="14.25" customHeight="1">
      <c r="A125" s="635"/>
      <c r="B125" s="6042"/>
      <c r="C125" s="6043"/>
      <c r="D125" s="6043"/>
      <c r="E125" s="6043"/>
      <c r="F125" s="6043"/>
      <c r="G125" s="6043"/>
      <c r="H125" s="6043"/>
      <c r="I125" s="6043"/>
      <c r="J125" s="6043"/>
      <c r="K125" s="6043"/>
      <c r="L125" s="6043"/>
      <c r="M125" s="1507"/>
      <c r="N125" s="1508"/>
      <c r="O125" s="1509"/>
      <c r="P125" s="1507"/>
      <c r="Q125" s="1507"/>
      <c r="R125" s="1507"/>
      <c r="S125" s="1507"/>
      <c r="T125" s="1510"/>
      <c r="U125" s="1510"/>
      <c r="V125" s="635"/>
      <c r="W125" s="396"/>
      <c r="X125" s="635"/>
    </row>
    <row r="126" spans="1:24" ht="11.25" customHeight="1">
      <c r="A126" s="635"/>
      <c r="B126" s="146" t="s">
        <v>419</v>
      </c>
      <c r="C126" s="171" t="s">
        <v>4040</v>
      </c>
      <c r="D126" s="176"/>
      <c r="E126" s="168"/>
      <c r="F126" s="141"/>
      <c r="G126" s="141"/>
      <c r="H126" s="173"/>
      <c r="I126" s="6005"/>
      <c r="J126" s="6006"/>
      <c r="K126" s="6006"/>
      <c r="L126" s="6006"/>
      <c r="M126" s="6006"/>
      <c r="N126" s="6006"/>
      <c r="O126" s="6006"/>
      <c r="P126" s="6006"/>
      <c r="Q126" s="6006"/>
      <c r="R126" s="6006"/>
      <c r="S126" s="6006"/>
      <c r="T126" s="6006"/>
      <c r="U126" s="6006"/>
      <c r="V126" s="635"/>
      <c r="W126" s="396"/>
      <c r="X126" s="635"/>
    </row>
    <row r="127" spans="1:24" ht="11.25" customHeight="1">
      <c r="A127" s="635"/>
      <c r="B127" s="549"/>
      <c r="C127" s="178" t="s">
        <v>420</v>
      </c>
      <c r="D127" s="178"/>
      <c r="E127" s="155"/>
      <c r="F127" s="17"/>
      <c r="G127" s="17"/>
      <c r="H127" s="17"/>
      <c r="I127" s="6007"/>
      <c r="J127" s="6008"/>
      <c r="K127" s="6009"/>
      <c r="L127" s="6008"/>
      <c r="M127" s="6008"/>
      <c r="N127" s="6008"/>
      <c r="O127" s="6008"/>
      <c r="P127" s="6008"/>
      <c r="Q127" s="6008"/>
      <c r="R127" s="6008"/>
      <c r="S127" s="6008"/>
      <c r="T127" s="6008"/>
      <c r="U127" s="6008"/>
      <c r="V127" s="635"/>
      <c r="W127" s="396"/>
      <c r="X127" s="635"/>
    </row>
    <row r="128" spans="1:24" ht="3" customHeight="1" thickBot="1">
      <c r="A128" s="635"/>
      <c r="B128" s="1162"/>
      <c r="C128" s="176"/>
      <c r="D128" s="176"/>
      <c r="E128" s="168"/>
      <c r="F128" s="141"/>
      <c r="G128" s="141"/>
      <c r="H128" s="141"/>
      <c r="I128" s="1163"/>
      <c r="J128" s="1164"/>
      <c r="K128" s="1166"/>
      <c r="L128" s="1167"/>
      <c r="M128" s="1167"/>
      <c r="N128" s="1167"/>
      <c r="O128" s="1167"/>
      <c r="P128" s="1167"/>
      <c r="Q128" s="1167"/>
      <c r="R128" s="1167"/>
      <c r="S128" s="1167"/>
      <c r="T128" s="1167"/>
      <c r="U128" s="1167"/>
      <c r="V128" s="635"/>
      <c r="W128" s="396"/>
      <c r="X128" s="635"/>
    </row>
    <row r="129" spans="1:25" ht="14.25" customHeight="1" thickBot="1">
      <c r="A129" s="635"/>
      <c r="B129" s="146" t="s">
        <v>421</v>
      </c>
      <c r="C129" s="171" t="s">
        <v>4041</v>
      </c>
      <c r="D129" s="176"/>
      <c r="E129" s="1500"/>
      <c r="F129" s="1165" t="s">
        <v>145</v>
      </c>
      <c r="G129" s="161" t="str">
        <f>"(2) "</f>
        <v xml:space="preserve">(2) </v>
      </c>
      <c r="H129" s="1511"/>
      <c r="I129" s="176" t="s">
        <v>146</v>
      </c>
      <c r="J129" s="161" t="str">
        <f>"(3)"</f>
        <v>(3)</v>
      </c>
      <c r="K129" s="1511"/>
      <c r="L129" s="171" t="s">
        <v>713</v>
      </c>
      <c r="M129" s="176"/>
      <c r="N129" s="6010"/>
      <c r="O129" s="6011"/>
      <c r="P129" s="6011"/>
      <c r="Q129" s="6011"/>
      <c r="R129" s="6011"/>
      <c r="S129" s="6011"/>
      <c r="T129" s="6011"/>
      <c r="U129" s="6011"/>
      <c r="V129" s="635"/>
      <c r="W129" s="396"/>
      <c r="X129" s="635"/>
    </row>
    <row r="130" spans="1:25" ht="3.75" customHeight="1" thickBot="1">
      <c r="A130" s="635"/>
      <c r="B130" s="146"/>
      <c r="C130" s="176"/>
      <c r="D130" s="176"/>
      <c r="E130" s="862"/>
      <c r="F130" s="141"/>
      <c r="G130" s="161"/>
      <c r="H130" s="863"/>
      <c r="I130" s="176"/>
      <c r="J130" s="179"/>
      <c r="K130" s="863"/>
      <c r="L130" s="176"/>
      <c r="M130" s="176"/>
      <c r="N130" s="641"/>
      <c r="O130" s="864"/>
      <c r="P130" s="864"/>
      <c r="Q130" s="864"/>
      <c r="R130" s="864"/>
      <c r="S130" s="864"/>
      <c r="T130" s="864"/>
      <c r="U130" s="864"/>
      <c r="V130" s="635"/>
      <c r="W130" s="396"/>
      <c r="X130" s="635"/>
    </row>
    <row r="131" spans="1:25" ht="12.75" customHeight="1" thickBot="1">
      <c r="A131" s="635"/>
      <c r="B131" s="146" t="s">
        <v>147</v>
      </c>
      <c r="C131" s="171" t="str">
        <f>"Did you 'materially participate' in the operation of this business during "&amp;TaxYear&amp;"? If 'No,' see instructions for loss limits."</f>
        <v>Did you 'materially participate' in the operation of this business during 2018? If 'No,' see instructions for loss limits.</v>
      </c>
      <c r="D131" s="21"/>
      <c r="E131" s="141"/>
      <c r="F131" s="141"/>
      <c r="G131" s="161"/>
      <c r="H131" s="141"/>
      <c r="I131" s="176"/>
      <c r="J131" s="179"/>
      <c r="K131" s="179"/>
      <c r="L131" s="141"/>
      <c r="M131" s="176"/>
      <c r="N131" s="141"/>
      <c r="O131" s="141"/>
      <c r="P131" s="141"/>
      <c r="Q131" s="141"/>
      <c r="R131" s="1500"/>
      <c r="S131" s="170" t="s">
        <v>307</v>
      </c>
      <c r="T131" s="1500"/>
      <c r="U131" s="170" t="s">
        <v>308</v>
      </c>
      <c r="V131" s="635"/>
      <c r="W131" s="396"/>
      <c r="X131" s="635"/>
    </row>
    <row r="132" spans="1:25" ht="12.75" customHeight="1" thickBot="1">
      <c r="A132" s="635"/>
      <c r="B132" s="146" t="s">
        <v>67</v>
      </c>
      <c r="C132" s="176" t="str">
        <f>"If you started or acquired this business during "&amp;TaxYear&amp;", check here"</f>
        <v>If you started or acquired this business during 2018, check here</v>
      </c>
      <c r="D132" s="176"/>
      <c r="E132" s="168"/>
      <c r="F132" s="141"/>
      <c r="G132" s="141"/>
      <c r="H132" s="641"/>
      <c r="I132" s="1168"/>
      <c r="J132" s="1168"/>
      <c r="K132" s="1168"/>
      <c r="L132" s="641"/>
      <c r="M132" s="1168"/>
      <c r="N132" s="641"/>
      <c r="O132" s="641"/>
      <c r="P132" s="641"/>
      <c r="Q132" s="614" t="s">
        <v>2541</v>
      </c>
      <c r="R132" s="1511"/>
      <c r="S132" s="614"/>
      <c r="T132" s="1169"/>
      <c r="U132" s="141"/>
      <c r="V132" s="635"/>
      <c r="W132" s="396"/>
      <c r="X132" s="635"/>
    </row>
    <row r="133" spans="1:25" ht="12.75" customHeight="1" thickBot="1">
      <c r="A133" s="635"/>
      <c r="B133" s="170" t="s">
        <v>714</v>
      </c>
      <c r="C133" s="171" t="str">
        <f>"Did you make any payments in "&amp;TaxYear&amp;" that would require you to file Form(s) 1099? (see instructions) "</f>
        <v xml:space="preserve">Did you make any payments in 2018 that would require you to file Form(s) 1099? (see instructions) </v>
      </c>
      <c r="D133" s="21"/>
      <c r="E133" s="141"/>
      <c r="F133" s="141"/>
      <c r="G133" s="161"/>
      <c r="H133" s="141"/>
      <c r="I133" s="176"/>
      <c r="J133" s="179"/>
      <c r="K133" s="179"/>
      <c r="L133" s="141"/>
      <c r="M133" s="176"/>
      <c r="N133" s="141"/>
      <c r="O133" s="141"/>
      <c r="P133" s="141"/>
      <c r="Q133" s="614" t="s">
        <v>3235</v>
      </c>
      <c r="R133" s="1500"/>
      <c r="S133" s="170" t="s">
        <v>307</v>
      </c>
      <c r="T133" s="1500"/>
      <c r="U133" s="170" t="s">
        <v>308</v>
      </c>
      <c r="V133" s="635"/>
      <c r="W133" s="396"/>
      <c r="X133" s="635"/>
    </row>
    <row r="134" spans="1:25" ht="12.75" customHeight="1" thickBot="1">
      <c r="A134" s="635"/>
      <c r="B134" s="170" t="s">
        <v>715</v>
      </c>
      <c r="C134" s="171" t="s">
        <v>716</v>
      </c>
      <c r="D134" s="21"/>
      <c r="E134" s="141"/>
      <c r="F134" s="141"/>
      <c r="G134" s="161"/>
      <c r="H134" s="141"/>
      <c r="I134" s="176"/>
      <c r="J134" s="179"/>
      <c r="K134" s="179"/>
      <c r="L134" s="141"/>
      <c r="M134" s="176"/>
      <c r="N134" s="141"/>
      <c r="O134" s="141"/>
      <c r="P134" s="141"/>
      <c r="Q134" s="614" t="s">
        <v>3236</v>
      </c>
      <c r="R134" s="1511"/>
      <c r="S134" s="170" t="s">
        <v>307</v>
      </c>
      <c r="T134" s="1511"/>
      <c r="U134" s="170" t="s">
        <v>308</v>
      </c>
      <c r="V134" s="635"/>
      <c r="W134" s="243" t="s">
        <v>100</v>
      </c>
      <c r="X134" s="635"/>
    </row>
    <row r="135" spans="1:25" ht="15" customHeight="1">
      <c r="A135" s="635"/>
      <c r="B135" s="378" t="s">
        <v>58</v>
      </c>
      <c r="C135" s="180" t="s">
        <v>335</v>
      </c>
      <c r="D135" s="180"/>
      <c r="E135" s="181"/>
      <c r="F135" s="182"/>
      <c r="G135" s="182"/>
      <c r="H135" s="182"/>
      <c r="I135" s="183"/>
      <c r="J135" s="183"/>
      <c r="K135" s="183"/>
      <c r="L135" s="183"/>
      <c r="M135" s="183"/>
      <c r="N135" s="182"/>
      <c r="O135" s="182"/>
      <c r="P135" s="184"/>
      <c r="Q135" s="182"/>
      <c r="R135" s="182"/>
      <c r="S135" s="182"/>
      <c r="T135" s="182"/>
      <c r="U135" s="182"/>
      <c r="V135" s="635"/>
      <c r="W135" s="154" t="s">
        <v>468</v>
      </c>
      <c r="X135" s="635"/>
    </row>
    <row r="136" spans="1:25" ht="13.5" customHeight="1" thickBot="1">
      <c r="A136" s="635"/>
      <c r="B136" s="169">
        <v>1</v>
      </c>
      <c r="C136" s="280" t="s">
        <v>873</v>
      </c>
      <c r="D136" s="280"/>
      <c r="E136" s="186"/>
      <c r="F136" s="186"/>
      <c r="G136" s="186"/>
      <c r="H136" s="186"/>
      <c r="I136" s="187"/>
      <c r="J136" s="187"/>
      <c r="K136" s="187"/>
      <c r="L136" s="187"/>
      <c r="M136" s="614"/>
      <c r="N136" s="186"/>
      <c r="O136" s="186"/>
      <c r="P136" s="186"/>
      <c r="Q136" s="539"/>
      <c r="R136" s="614"/>
      <c r="S136" s="1001"/>
      <c r="T136" s="1000"/>
      <c r="U136" s="1000"/>
      <c r="V136" s="635"/>
      <c r="W136" s="396"/>
      <c r="X136" s="635"/>
      <c r="Y136" s="1601" t="b">
        <f>(M121=SS_Spouse)</f>
        <v>1</v>
      </c>
    </row>
    <row r="137" spans="1:25" ht="12" customHeight="1" thickBot="1">
      <c r="A137" s="635"/>
      <c r="B137" s="169"/>
      <c r="C137" s="280" t="s">
        <v>874</v>
      </c>
      <c r="D137" s="280"/>
      <c r="E137" s="186"/>
      <c r="F137" s="186"/>
      <c r="G137" s="186"/>
      <c r="H137" s="186"/>
      <c r="I137" s="187"/>
      <c r="J137" s="187"/>
      <c r="K137" s="187"/>
      <c r="L137" s="187"/>
      <c r="M137" s="614"/>
      <c r="N137" s="186"/>
      <c r="O137" s="614" t="s">
        <v>964</v>
      </c>
      <c r="P137" s="186"/>
      <c r="Q137" s="1500"/>
      <c r="R137" s="614"/>
      <c r="S137" s="1170">
        <v>1</v>
      </c>
      <c r="T137" s="6004"/>
      <c r="U137" s="5997"/>
      <c r="V137" s="635"/>
      <c r="W137" s="396"/>
      <c r="X137" s="635"/>
      <c r="Y137" s="1601">
        <f>IF(AND(Y136,SchC_StatutoryEmp_2&lt;&gt;""),T137,0)</f>
        <v>0</v>
      </c>
    </row>
    <row r="138" spans="1:25" ht="12" customHeight="1">
      <c r="A138" s="635"/>
      <c r="B138" s="205">
        <v>2</v>
      </c>
      <c r="C138" s="280" t="s">
        <v>965</v>
      </c>
      <c r="D138" s="190"/>
      <c r="E138" s="186"/>
      <c r="F138" s="186"/>
      <c r="G138" s="186"/>
      <c r="H138" s="186"/>
      <c r="I138" s="187"/>
      <c r="J138" s="187"/>
      <c r="K138" s="187"/>
      <c r="L138" s="187"/>
      <c r="M138" s="187"/>
      <c r="N138" s="186"/>
      <c r="O138" s="186"/>
      <c r="P138" s="188"/>
      <c r="Q138" s="186"/>
      <c r="R138" s="644" t="s">
        <v>3237</v>
      </c>
      <c r="S138" s="382">
        <v>2</v>
      </c>
      <c r="T138" s="5977"/>
      <c r="U138" s="5978"/>
      <c r="V138" s="635"/>
      <c r="W138" s="396"/>
      <c r="X138" s="635"/>
      <c r="Y138" s="1601">
        <f>SUM(Y23,Y137)</f>
        <v>0</v>
      </c>
    </row>
    <row r="139" spans="1:25" ht="12" customHeight="1">
      <c r="A139" s="635"/>
      <c r="B139" s="205">
        <v>3</v>
      </c>
      <c r="C139" s="1079" t="s">
        <v>875</v>
      </c>
      <c r="D139" s="191"/>
      <c r="E139" s="191"/>
      <c r="F139" s="188"/>
      <c r="G139" s="188"/>
      <c r="H139" s="188"/>
      <c r="I139" s="191"/>
      <c r="J139" s="191"/>
      <c r="K139" s="191"/>
      <c r="L139" s="191"/>
      <c r="M139" s="191"/>
      <c r="N139" s="188"/>
      <c r="O139" s="188"/>
      <c r="P139" s="191"/>
      <c r="Q139" s="188"/>
      <c r="R139" s="644" t="s">
        <v>3237</v>
      </c>
      <c r="S139" s="189">
        <v>3</v>
      </c>
      <c r="T139" s="5983">
        <f>SUM(T137,-T138)</f>
        <v>0</v>
      </c>
      <c r="U139" s="5984"/>
      <c r="V139" s="635"/>
      <c r="W139" s="396"/>
      <c r="X139" s="635"/>
    </row>
    <row r="140" spans="1:25" ht="12" customHeight="1">
      <c r="A140" s="635"/>
      <c r="B140" s="205">
        <v>4</v>
      </c>
      <c r="C140" s="1079" t="s">
        <v>718</v>
      </c>
      <c r="D140" s="191"/>
      <c r="E140" s="191"/>
      <c r="F140" s="188"/>
      <c r="G140" s="188"/>
      <c r="H140" s="188"/>
      <c r="I140" s="191"/>
      <c r="J140" s="191"/>
      <c r="K140" s="191"/>
      <c r="L140" s="191"/>
      <c r="M140" s="191"/>
      <c r="N140" s="188"/>
      <c r="O140" s="188"/>
      <c r="P140" s="191"/>
      <c r="Q140" s="188"/>
      <c r="R140" s="644" t="s">
        <v>3238</v>
      </c>
      <c r="S140" s="189">
        <v>4</v>
      </c>
      <c r="T140" s="5983">
        <f>IF(W140&lt;&gt;"",W140,T200)</f>
        <v>0</v>
      </c>
      <c r="U140" s="5984"/>
      <c r="V140" s="635"/>
      <c r="W140" s="624"/>
      <c r="X140" s="635"/>
    </row>
    <row r="141" spans="1:25" ht="12" customHeight="1">
      <c r="A141" s="635"/>
      <c r="B141" s="205">
        <v>5</v>
      </c>
      <c r="C141" s="1168" t="s">
        <v>1974</v>
      </c>
      <c r="D141" s="193"/>
      <c r="E141" s="191"/>
      <c r="F141" s="188"/>
      <c r="G141" s="188"/>
      <c r="H141" s="188"/>
      <c r="I141" s="191"/>
      <c r="J141" s="191"/>
      <c r="K141" s="191"/>
      <c r="L141" s="191"/>
      <c r="M141" s="191"/>
      <c r="N141" s="188"/>
      <c r="O141" s="188"/>
      <c r="P141" s="191"/>
      <c r="Q141" s="188"/>
      <c r="R141" s="644" t="s">
        <v>1291</v>
      </c>
      <c r="S141" s="189">
        <v>5</v>
      </c>
      <c r="T141" s="5983">
        <f>T139-T140</f>
        <v>0</v>
      </c>
      <c r="U141" s="5984"/>
      <c r="V141" s="635"/>
      <c r="W141" s="396"/>
      <c r="X141" s="635"/>
    </row>
    <row r="142" spans="1:25" ht="12" customHeight="1">
      <c r="A142" s="635"/>
      <c r="B142" s="205">
        <v>6</v>
      </c>
      <c r="C142" s="1079" t="s">
        <v>2664</v>
      </c>
      <c r="D142" s="191"/>
      <c r="E142" s="191"/>
      <c r="F142" s="188"/>
      <c r="G142" s="188"/>
      <c r="H142" s="188"/>
      <c r="I142" s="191"/>
      <c r="J142" s="191"/>
      <c r="K142" s="191"/>
      <c r="L142" s="191"/>
      <c r="M142" s="191"/>
      <c r="N142" s="188"/>
      <c r="O142" s="188"/>
      <c r="P142" s="191"/>
      <c r="Q142" s="188"/>
      <c r="R142" s="644" t="s">
        <v>3239</v>
      </c>
      <c r="S142" s="189">
        <v>6</v>
      </c>
      <c r="T142" s="6004"/>
      <c r="U142" s="5997"/>
      <c r="V142" s="635"/>
      <c r="W142" s="396"/>
      <c r="X142" s="635"/>
    </row>
    <row r="143" spans="1:25" ht="12" customHeight="1">
      <c r="A143" s="635"/>
      <c r="B143" s="205">
        <v>7</v>
      </c>
      <c r="C143" s="168" t="s">
        <v>2483</v>
      </c>
      <c r="D143" s="197"/>
      <c r="E143" s="176"/>
      <c r="F143" s="186"/>
      <c r="G143" s="186"/>
      <c r="H143" s="194"/>
      <c r="I143" s="191"/>
      <c r="J143" s="191"/>
      <c r="K143" s="191"/>
      <c r="L143" s="195"/>
      <c r="M143" s="191"/>
      <c r="N143" s="194"/>
      <c r="O143" s="194"/>
      <c r="P143" s="191"/>
      <c r="Q143" s="186"/>
      <c r="R143" s="1817" t="s">
        <v>3217</v>
      </c>
      <c r="S143" s="189">
        <v>7</v>
      </c>
      <c r="T143" s="5983">
        <f>SUM(T141,T142)</f>
        <v>0</v>
      </c>
      <c r="U143" s="5984"/>
      <c r="V143" s="635"/>
      <c r="W143" s="396"/>
      <c r="X143" s="635"/>
    </row>
    <row r="144" spans="1:25" ht="15">
      <c r="A144" s="635"/>
      <c r="B144" s="378" t="s">
        <v>130</v>
      </c>
      <c r="C144" s="182" t="s">
        <v>876</v>
      </c>
      <c r="D144" s="1811" t="s">
        <v>1288</v>
      </c>
      <c r="E144" s="182"/>
      <c r="F144" s="182"/>
      <c r="G144" s="182"/>
      <c r="H144" s="181"/>
      <c r="I144" s="182"/>
      <c r="J144" s="182"/>
      <c r="K144" s="182"/>
      <c r="L144" s="182"/>
      <c r="M144" s="182"/>
      <c r="N144" s="182"/>
      <c r="O144" s="182"/>
      <c r="P144" s="182"/>
      <c r="Q144" s="182"/>
      <c r="R144" s="182"/>
      <c r="S144" s="182"/>
      <c r="T144" s="394"/>
      <c r="U144" s="394"/>
      <c r="V144" s="635"/>
      <c r="W144" s="396"/>
      <c r="X144" s="635"/>
    </row>
    <row r="145" spans="1:24" ht="12" customHeight="1">
      <c r="A145" s="635"/>
      <c r="B145" s="205">
        <v>8</v>
      </c>
      <c r="C145" s="198" t="s">
        <v>53</v>
      </c>
      <c r="D145" s="198"/>
      <c r="E145" s="186"/>
      <c r="F145" s="186"/>
      <c r="G145" s="194"/>
      <c r="H145" s="382">
        <f>B145</f>
        <v>8</v>
      </c>
      <c r="I145" s="3536"/>
      <c r="J145" s="179">
        <v>18</v>
      </c>
      <c r="K145" s="336"/>
      <c r="L145" s="403" t="s">
        <v>2671</v>
      </c>
      <c r="M145" s="336"/>
      <c r="N145" s="336"/>
      <c r="O145" s="336"/>
      <c r="P145" s="336"/>
      <c r="Q145" s="336"/>
      <c r="R145" s="614" t="s">
        <v>878</v>
      </c>
      <c r="S145" s="189">
        <f>J145</f>
        <v>18</v>
      </c>
      <c r="T145" s="5988"/>
      <c r="U145" s="5989"/>
      <c r="V145" s="635"/>
      <c r="W145" s="396"/>
      <c r="X145" s="635"/>
    </row>
    <row r="146" spans="1:24" ht="12" customHeight="1">
      <c r="A146" s="635"/>
      <c r="B146" s="205">
        <v>9</v>
      </c>
      <c r="C146" s="198" t="s">
        <v>357</v>
      </c>
      <c r="D146" s="198"/>
      <c r="E146" s="186"/>
      <c r="F146" s="186"/>
      <c r="G146" s="194"/>
      <c r="H146" s="383"/>
      <c r="I146" s="1398"/>
      <c r="J146" s="179">
        <v>19</v>
      </c>
      <c r="K146" s="146"/>
      <c r="L146" s="1171" t="s">
        <v>1194</v>
      </c>
      <c r="M146" s="200"/>
      <c r="N146" s="198"/>
      <c r="O146" s="198"/>
      <c r="P146" s="201"/>
      <c r="Q146" s="202"/>
      <c r="R146" s="614" t="s">
        <v>878</v>
      </c>
      <c r="S146" s="189">
        <f>J146</f>
        <v>19</v>
      </c>
      <c r="T146" s="5988"/>
      <c r="U146" s="5989"/>
      <c r="V146" s="635"/>
      <c r="W146" s="396"/>
      <c r="X146" s="635"/>
    </row>
    <row r="147" spans="1:24" ht="12" customHeight="1">
      <c r="A147" s="635"/>
      <c r="B147" s="205"/>
      <c r="C147" s="1115" t="s">
        <v>877</v>
      </c>
      <c r="D147" s="198"/>
      <c r="E147" s="186"/>
      <c r="F147" s="186"/>
      <c r="G147" s="194"/>
      <c r="H147" s="382">
        <f>B146</f>
        <v>9</v>
      </c>
      <c r="I147" s="3537"/>
      <c r="J147" s="179">
        <v>20</v>
      </c>
      <c r="K147" s="146"/>
      <c r="L147" s="1171" t="s">
        <v>721</v>
      </c>
      <c r="M147" s="200"/>
      <c r="N147" s="203"/>
      <c r="O147" s="203"/>
      <c r="P147" s="201"/>
      <c r="Q147" s="202"/>
      <c r="R147" s="202"/>
      <c r="S147" s="384"/>
      <c r="T147" s="1393"/>
      <c r="U147" s="1400"/>
      <c r="V147" s="635"/>
      <c r="W147" s="396"/>
      <c r="X147" s="635"/>
    </row>
    <row r="148" spans="1:24" ht="12" customHeight="1">
      <c r="A148" s="635"/>
      <c r="B148" s="205">
        <v>10</v>
      </c>
      <c r="C148" s="1115" t="s">
        <v>2666</v>
      </c>
      <c r="D148" s="198"/>
      <c r="E148" s="186"/>
      <c r="F148" s="186"/>
      <c r="G148" s="614" t="s">
        <v>2667</v>
      </c>
      <c r="H148" s="540">
        <f>B148</f>
        <v>10</v>
      </c>
      <c r="I148" s="3536"/>
      <c r="J148" s="179"/>
      <c r="K148" s="146" t="s">
        <v>38</v>
      </c>
      <c r="L148" s="199" t="s">
        <v>361</v>
      </c>
      <c r="M148" s="200"/>
      <c r="N148" s="198"/>
      <c r="O148" s="198"/>
      <c r="P148" s="201"/>
      <c r="Q148" s="202"/>
      <c r="R148" s="614" t="s">
        <v>856</v>
      </c>
      <c r="S148" s="189" t="s">
        <v>246</v>
      </c>
      <c r="T148" s="5996"/>
      <c r="U148" s="5997"/>
      <c r="V148" s="635"/>
      <c r="W148" s="396"/>
      <c r="X148" s="635"/>
    </row>
    <row r="149" spans="1:24" ht="12" customHeight="1">
      <c r="A149" s="635"/>
      <c r="B149" s="205">
        <v>11</v>
      </c>
      <c r="C149" s="1115" t="s">
        <v>726</v>
      </c>
      <c r="D149" s="198"/>
      <c r="E149" s="186"/>
      <c r="F149" s="186"/>
      <c r="G149" s="614" t="s">
        <v>2665</v>
      </c>
      <c r="H149" s="382">
        <f>B149</f>
        <v>11</v>
      </c>
      <c r="I149" s="3537"/>
      <c r="J149" s="179"/>
      <c r="K149" s="146" t="s">
        <v>54</v>
      </c>
      <c r="L149" s="185" t="s">
        <v>358</v>
      </c>
      <c r="M149" s="201"/>
      <c r="N149" s="198"/>
      <c r="O149" s="198"/>
      <c r="P149" s="201"/>
      <c r="Q149" s="202"/>
      <c r="R149" s="614" t="s">
        <v>879</v>
      </c>
      <c r="S149" s="189" t="s">
        <v>247</v>
      </c>
      <c r="T149" s="5988"/>
      <c r="U149" s="5989"/>
      <c r="V149" s="635"/>
      <c r="W149" s="396"/>
      <c r="X149" s="635"/>
    </row>
    <row r="150" spans="1:24" ht="12" customHeight="1">
      <c r="A150" s="635"/>
      <c r="B150" s="205">
        <v>12</v>
      </c>
      <c r="C150" s="198" t="s">
        <v>571</v>
      </c>
      <c r="D150" s="198"/>
      <c r="E150" s="186"/>
      <c r="F150" s="186"/>
      <c r="G150" s="194"/>
      <c r="H150" s="382">
        <f>B150</f>
        <v>12</v>
      </c>
      <c r="I150" s="3536"/>
      <c r="J150" s="179">
        <v>21</v>
      </c>
      <c r="K150" s="146"/>
      <c r="L150" s="185" t="s">
        <v>26</v>
      </c>
      <c r="M150" s="185"/>
      <c r="N150" s="185"/>
      <c r="O150" s="185"/>
      <c r="P150" s="185"/>
      <c r="Q150" s="185"/>
      <c r="R150" s="614" t="s">
        <v>636</v>
      </c>
      <c r="S150" s="189">
        <f>J150</f>
        <v>21</v>
      </c>
      <c r="T150" s="5988"/>
      <c r="U150" s="5989"/>
      <c r="V150" s="635"/>
      <c r="W150" s="396"/>
      <c r="X150" s="635"/>
    </row>
    <row r="151" spans="1:24" ht="12" customHeight="1">
      <c r="A151" s="635"/>
      <c r="B151" s="205">
        <v>13</v>
      </c>
      <c r="C151" s="1115" t="s">
        <v>2668</v>
      </c>
      <c r="D151" s="198"/>
      <c r="E151" s="186"/>
      <c r="F151" s="186"/>
      <c r="G151" s="194"/>
      <c r="H151" s="383"/>
      <c r="I151" s="1398"/>
      <c r="J151" s="179">
        <v>22</v>
      </c>
      <c r="K151" s="146"/>
      <c r="L151" s="185" t="s">
        <v>222</v>
      </c>
      <c r="M151" s="185"/>
      <c r="N151" s="185"/>
      <c r="O151" s="185"/>
      <c r="P151" s="185"/>
      <c r="Q151" s="185"/>
      <c r="R151" s="614" t="s">
        <v>878</v>
      </c>
      <c r="S151" s="189">
        <v>22</v>
      </c>
      <c r="T151" s="5988"/>
      <c r="U151" s="5989"/>
      <c r="V151" s="635"/>
      <c r="W151" s="396"/>
      <c r="X151" s="635"/>
    </row>
    <row r="152" spans="1:24" ht="12" customHeight="1">
      <c r="A152" s="635"/>
      <c r="B152" s="205"/>
      <c r="C152" s="1115" t="s">
        <v>2669</v>
      </c>
      <c r="D152" s="198"/>
      <c r="E152" s="186"/>
      <c r="F152" s="186"/>
      <c r="G152" s="194"/>
      <c r="H152" s="383"/>
      <c r="I152" s="1399"/>
      <c r="J152" s="179">
        <v>23</v>
      </c>
      <c r="K152" s="146"/>
      <c r="L152" s="185" t="s">
        <v>572</v>
      </c>
      <c r="M152" s="185"/>
      <c r="N152" s="185"/>
      <c r="O152" s="185"/>
      <c r="P152" s="185"/>
      <c r="Q152" s="185"/>
      <c r="R152" s="614" t="s">
        <v>857</v>
      </c>
      <c r="S152" s="189">
        <v>23</v>
      </c>
      <c r="T152" s="5988"/>
      <c r="U152" s="5989"/>
      <c r="V152" s="635"/>
      <c r="W152" s="396"/>
      <c r="X152" s="635"/>
    </row>
    <row r="153" spans="1:24" ht="12" customHeight="1">
      <c r="A153" s="635"/>
      <c r="B153" s="205"/>
      <c r="C153" s="1115" t="s">
        <v>2271</v>
      </c>
      <c r="D153" s="198"/>
      <c r="E153" s="186"/>
      <c r="F153" s="186"/>
      <c r="G153" s="614" t="s">
        <v>2670</v>
      </c>
      <c r="H153" s="382">
        <f>B151</f>
        <v>13</v>
      </c>
      <c r="I153" s="3537"/>
      <c r="J153" s="179">
        <v>24</v>
      </c>
      <c r="K153" s="146"/>
      <c r="L153" s="403" t="s">
        <v>3240</v>
      </c>
      <c r="M153" s="185"/>
      <c r="N153" s="185"/>
      <c r="O153" s="185"/>
      <c r="P153" s="185"/>
      <c r="Q153" s="185"/>
      <c r="R153" s="185"/>
      <c r="S153" s="384"/>
      <c r="T153" s="1393"/>
      <c r="U153" s="1400"/>
      <c r="V153" s="635"/>
      <c r="W153" s="396"/>
      <c r="X153" s="635"/>
    </row>
    <row r="154" spans="1:24" ht="12" customHeight="1">
      <c r="A154" s="635"/>
      <c r="B154" s="205">
        <v>14</v>
      </c>
      <c r="C154" s="198" t="s">
        <v>290</v>
      </c>
      <c r="D154" s="198"/>
      <c r="E154" s="186"/>
      <c r="F154" s="186"/>
      <c r="G154" s="194"/>
      <c r="H154" s="383"/>
      <c r="I154" s="1398"/>
      <c r="J154" s="179"/>
      <c r="K154" s="146" t="s">
        <v>38</v>
      </c>
      <c r="L154" s="403" t="s">
        <v>880</v>
      </c>
      <c r="M154" s="185"/>
      <c r="N154" s="185"/>
      <c r="O154" s="185"/>
      <c r="P154" s="185"/>
      <c r="Q154" s="185"/>
      <c r="R154" s="614" t="s">
        <v>422</v>
      </c>
      <c r="S154" s="189" t="s">
        <v>196</v>
      </c>
      <c r="T154" s="5996"/>
      <c r="U154" s="5997"/>
      <c r="V154" s="635"/>
      <c r="W154" s="396"/>
      <c r="X154" s="635"/>
    </row>
    <row r="155" spans="1:24" ht="12" customHeight="1">
      <c r="A155" s="635"/>
      <c r="B155" s="205"/>
      <c r="C155" s="198" t="s">
        <v>291</v>
      </c>
      <c r="D155" s="198"/>
      <c r="E155" s="186"/>
      <c r="F155" s="186"/>
      <c r="G155" s="194"/>
      <c r="H155" s="382">
        <f>B154</f>
        <v>14</v>
      </c>
      <c r="I155" s="3537"/>
      <c r="J155" s="179"/>
      <c r="K155" s="146" t="s">
        <v>54</v>
      </c>
      <c r="L155" s="403" t="s">
        <v>3241</v>
      </c>
      <c r="M155" s="185"/>
      <c r="N155" s="185"/>
      <c r="O155" s="185"/>
      <c r="P155" s="185"/>
      <c r="Q155" s="185"/>
      <c r="R155" s="866"/>
      <c r="S155" s="192"/>
      <c r="T155" s="1393"/>
      <c r="U155" s="1400"/>
      <c r="V155" s="635"/>
      <c r="W155" s="396"/>
      <c r="X155" s="635"/>
    </row>
    <row r="156" spans="1:24" ht="12" customHeight="1">
      <c r="A156" s="635"/>
      <c r="B156" s="205">
        <v>15</v>
      </c>
      <c r="C156" s="198" t="s">
        <v>292</v>
      </c>
      <c r="D156" s="198"/>
      <c r="E156" s="186"/>
      <c r="F156" s="186"/>
      <c r="G156" s="194"/>
      <c r="H156" s="382">
        <f>B156</f>
        <v>15</v>
      </c>
      <c r="I156" s="3536"/>
      <c r="J156" s="179"/>
      <c r="K156" s="146"/>
      <c r="L156" s="4010" t="s">
        <v>1121</v>
      </c>
      <c r="M156" s="1408"/>
      <c r="N156" s="1408"/>
      <c r="O156" s="1408"/>
      <c r="P156" s="1408"/>
      <c r="Q156" s="1408"/>
      <c r="R156" s="614" t="s">
        <v>312</v>
      </c>
      <c r="S156" s="189" t="s">
        <v>68</v>
      </c>
      <c r="T156" s="5996"/>
      <c r="U156" s="5997"/>
      <c r="V156" s="635"/>
      <c r="W156" s="396"/>
      <c r="X156" s="635"/>
    </row>
    <row r="157" spans="1:24" ht="12" customHeight="1">
      <c r="A157" s="635"/>
      <c r="B157" s="205">
        <v>16</v>
      </c>
      <c r="C157" s="198" t="s">
        <v>294</v>
      </c>
      <c r="D157" s="198"/>
      <c r="E157" s="186"/>
      <c r="F157" s="186"/>
      <c r="G157" s="194"/>
      <c r="H157" s="384"/>
      <c r="I157" s="1398"/>
      <c r="J157" s="179">
        <v>25</v>
      </c>
      <c r="K157" s="146"/>
      <c r="L157" s="403" t="s">
        <v>834</v>
      </c>
      <c r="M157" s="185"/>
      <c r="N157" s="185"/>
      <c r="O157" s="185"/>
      <c r="P157" s="185"/>
      <c r="Q157" s="185"/>
      <c r="R157" s="614" t="s">
        <v>422</v>
      </c>
      <c r="S157" s="189">
        <v>25</v>
      </c>
      <c r="T157" s="5988"/>
      <c r="U157" s="5989"/>
      <c r="V157" s="635"/>
      <c r="W157" s="396"/>
      <c r="X157" s="635"/>
    </row>
    <row r="158" spans="1:24" ht="12" customHeight="1">
      <c r="A158" s="635"/>
      <c r="B158" s="179" t="s">
        <v>38</v>
      </c>
      <c r="C158" s="198" t="s">
        <v>403</v>
      </c>
      <c r="D158" s="198"/>
      <c r="E158" s="186"/>
      <c r="F158" s="186"/>
      <c r="G158" s="194"/>
      <c r="H158" s="382" t="s">
        <v>244</v>
      </c>
      <c r="I158" s="3537"/>
      <c r="J158" s="179">
        <v>26</v>
      </c>
      <c r="K158" s="146"/>
      <c r="L158" s="403" t="s">
        <v>4064</v>
      </c>
      <c r="M158" s="185"/>
      <c r="N158" s="185"/>
      <c r="O158" s="185"/>
      <c r="P158" s="185"/>
      <c r="Q158" s="185"/>
      <c r="R158" s="614" t="s">
        <v>878</v>
      </c>
      <c r="S158" s="189">
        <v>26</v>
      </c>
      <c r="T158" s="5988"/>
      <c r="U158" s="5989"/>
      <c r="V158" s="635"/>
      <c r="W158" s="396"/>
      <c r="X158" s="635"/>
    </row>
    <row r="159" spans="1:24" ht="12" customHeight="1">
      <c r="A159" s="635"/>
      <c r="B159" s="179" t="s">
        <v>54</v>
      </c>
      <c r="C159" s="198" t="s">
        <v>57</v>
      </c>
      <c r="D159" s="198"/>
      <c r="E159" s="186"/>
      <c r="F159" s="186"/>
      <c r="G159" s="194"/>
      <c r="H159" s="382" t="s">
        <v>245</v>
      </c>
      <c r="I159" s="3538"/>
      <c r="J159" s="865">
        <v>27</v>
      </c>
      <c r="K159" s="170" t="s">
        <v>38</v>
      </c>
      <c r="L159" s="403" t="s">
        <v>722</v>
      </c>
      <c r="M159" s="185"/>
      <c r="N159" s="185"/>
      <c r="O159" s="185"/>
      <c r="P159" s="185"/>
      <c r="Q159" s="185"/>
      <c r="R159" s="866"/>
      <c r="S159" s="1172" t="s">
        <v>724</v>
      </c>
      <c r="T159" s="5990">
        <f>IF(W159&lt;&gt;"",W159,T228)</f>
        <v>0</v>
      </c>
      <c r="U159" s="5991"/>
      <c r="V159" s="635"/>
      <c r="W159" s="624"/>
      <c r="X159" s="635"/>
    </row>
    <row r="160" spans="1:24" ht="12" customHeight="1" thickBot="1">
      <c r="A160" s="635"/>
      <c r="B160" s="214">
        <v>17</v>
      </c>
      <c r="C160" s="1173" t="s">
        <v>719</v>
      </c>
      <c r="D160" s="648"/>
      <c r="E160" s="210"/>
      <c r="F160" s="210"/>
      <c r="G160" s="1174"/>
      <c r="H160" s="229">
        <v>17</v>
      </c>
      <c r="I160" s="3539"/>
      <c r="J160" s="1175"/>
      <c r="K160" s="1176" t="s">
        <v>54</v>
      </c>
      <c r="L160" s="649" t="s">
        <v>723</v>
      </c>
      <c r="M160" s="648"/>
      <c r="N160" s="648"/>
      <c r="O160" s="648"/>
      <c r="P160" s="648"/>
      <c r="Q160" s="648"/>
      <c r="R160" s="1512" t="s">
        <v>636</v>
      </c>
      <c r="S160" s="1177" t="s">
        <v>725</v>
      </c>
      <c r="T160" s="5992"/>
      <c r="U160" s="5993"/>
      <c r="V160" s="635"/>
      <c r="W160" s="396"/>
      <c r="X160" s="635"/>
    </row>
    <row r="161" spans="1:25" ht="15" customHeight="1">
      <c r="A161" s="635"/>
      <c r="B161" s="205">
        <v>28</v>
      </c>
      <c r="C161" s="1168" t="s">
        <v>1289</v>
      </c>
      <c r="D161" s="193"/>
      <c r="E161" s="191"/>
      <c r="F161" s="188"/>
      <c r="G161" s="188"/>
      <c r="H161" s="188"/>
      <c r="I161" s="191"/>
      <c r="J161" s="191"/>
      <c r="K161" s="191"/>
      <c r="L161" s="191"/>
      <c r="M161" s="191"/>
      <c r="N161" s="188"/>
      <c r="O161" s="188"/>
      <c r="P161" s="191"/>
      <c r="Q161" s="188"/>
      <c r="R161" s="644" t="s">
        <v>4044</v>
      </c>
      <c r="S161" s="189">
        <v>28</v>
      </c>
      <c r="T161" s="5983">
        <f>IF(W161&lt;&gt;"",W161,ROUND(SUM(I145:I160,T145:T160),0))</f>
        <v>0</v>
      </c>
      <c r="U161" s="5984"/>
      <c r="V161" s="635"/>
      <c r="W161" s="624"/>
      <c r="X161" s="635"/>
    </row>
    <row r="162" spans="1:25" ht="12.75" customHeight="1">
      <c r="A162" s="635"/>
      <c r="B162" s="205">
        <v>29</v>
      </c>
      <c r="C162" s="1079" t="s">
        <v>1290</v>
      </c>
      <c r="D162" s="191"/>
      <c r="E162" s="191"/>
      <c r="F162" s="188"/>
      <c r="G162" s="188"/>
      <c r="H162" s="188"/>
      <c r="I162" s="191"/>
      <c r="J162" s="191"/>
      <c r="K162" s="191"/>
      <c r="L162" s="191"/>
      <c r="M162" s="191"/>
      <c r="N162" s="188"/>
      <c r="O162" s="188"/>
      <c r="P162" s="191"/>
      <c r="Q162" s="188"/>
      <c r="R162" s="644" t="s">
        <v>3242</v>
      </c>
      <c r="S162" s="189">
        <v>29</v>
      </c>
      <c r="T162" s="5983">
        <f>SUM(T143,-T161)</f>
        <v>0</v>
      </c>
      <c r="U162" s="5984"/>
      <c r="V162" s="635"/>
      <c r="W162" s="396"/>
      <c r="X162" s="635"/>
    </row>
    <row r="163" spans="1:25" ht="14.25" customHeight="1">
      <c r="A163" s="635"/>
      <c r="B163" s="205">
        <v>30</v>
      </c>
      <c r="C163" s="1663" t="s">
        <v>966</v>
      </c>
      <c r="D163" s="191"/>
      <c r="E163" s="191"/>
      <c r="F163" s="188"/>
      <c r="G163" s="188"/>
      <c r="H163" s="188"/>
      <c r="I163" s="191"/>
      <c r="J163" s="191"/>
      <c r="K163" s="191"/>
      <c r="L163" s="191"/>
      <c r="M163" s="191"/>
      <c r="N163" s="188"/>
      <c r="O163" s="188"/>
      <c r="P163" s="191"/>
      <c r="Q163" s="188"/>
      <c r="R163" s="188"/>
      <c r="S163" s="1661"/>
      <c r="T163" s="5998"/>
      <c r="U163" s="5999"/>
      <c r="V163" s="635"/>
      <c r="W163" s="396"/>
      <c r="X163" s="635"/>
    </row>
    <row r="164" spans="1:25" ht="14.25" customHeight="1">
      <c r="A164" s="635"/>
      <c r="B164" s="205"/>
      <c r="C164" s="1663" t="s">
        <v>967</v>
      </c>
      <c r="D164" s="191"/>
      <c r="E164" s="191"/>
      <c r="F164" s="188"/>
      <c r="G164" s="188"/>
      <c r="H164" s="188"/>
      <c r="I164" s="191"/>
      <c r="J164" s="191"/>
      <c r="K164" s="191"/>
      <c r="L164" s="191"/>
      <c r="M164" s="191"/>
      <c r="N164" s="188"/>
      <c r="O164" s="188"/>
      <c r="P164" s="191"/>
      <c r="Q164" s="188"/>
      <c r="R164" s="188"/>
      <c r="S164" s="1662"/>
      <c r="T164" s="6000"/>
      <c r="U164" s="6001"/>
      <c r="V164" s="635"/>
      <c r="W164" s="396"/>
      <c r="X164" s="635"/>
    </row>
    <row r="165" spans="1:25" ht="14.25" customHeight="1">
      <c r="A165" s="635"/>
      <c r="B165" s="205"/>
      <c r="C165" s="1663" t="s">
        <v>969</v>
      </c>
      <c r="D165" s="191"/>
      <c r="E165" s="191"/>
      <c r="F165" s="188"/>
      <c r="G165" s="188"/>
      <c r="H165" s="188"/>
      <c r="I165" s="191"/>
      <c r="J165" s="191"/>
      <c r="K165" s="191"/>
      <c r="L165" s="191"/>
      <c r="M165" s="6002"/>
      <c r="N165" s="6003"/>
      <c r="O165" s="6003"/>
      <c r="P165" s="6003"/>
      <c r="Q165" s="6003"/>
      <c r="R165" s="188"/>
      <c r="S165" s="1662"/>
      <c r="T165" s="1792"/>
      <c r="U165" s="1793"/>
      <c r="V165" s="635"/>
      <c r="W165" s="396"/>
      <c r="X165" s="635"/>
    </row>
    <row r="166" spans="1:25" ht="14.25" customHeight="1">
      <c r="A166" s="635"/>
      <c r="B166" s="205"/>
      <c r="C166" s="1079" t="s">
        <v>968</v>
      </c>
      <c r="D166" s="191"/>
      <c r="E166" s="191"/>
      <c r="F166" s="188"/>
      <c r="G166" s="188"/>
      <c r="H166" s="188"/>
      <c r="I166" s="5985"/>
      <c r="J166" s="5985"/>
      <c r="K166" s="5985"/>
      <c r="L166" s="5985"/>
      <c r="M166" s="191"/>
      <c r="N166" s="188"/>
      <c r="O166" s="188"/>
      <c r="P166" s="191"/>
      <c r="Q166" s="188"/>
      <c r="R166" s="188"/>
      <c r="S166" s="1662"/>
      <c r="T166" s="1792"/>
      <c r="U166" s="1793"/>
      <c r="V166" s="635"/>
      <c r="W166" s="396"/>
      <c r="X166" s="635"/>
    </row>
    <row r="167" spans="1:25" ht="14.25" customHeight="1">
      <c r="A167" s="635"/>
      <c r="B167" s="205"/>
      <c r="C167" s="1663" t="s">
        <v>970</v>
      </c>
      <c r="D167" s="191"/>
      <c r="E167" s="191"/>
      <c r="F167" s="188"/>
      <c r="G167" s="188"/>
      <c r="H167" s="188"/>
      <c r="I167" s="191"/>
      <c r="J167" s="191"/>
      <c r="K167" s="191"/>
      <c r="L167" s="191"/>
      <c r="M167" s="191"/>
      <c r="N167" s="188"/>
      <c r="O167" s="188"/>
      <c r="P167" s="191"/>
      <c r="Q167" s="188"/>
      <c r="R167" s="1862" t="s">
        <v>636</v>
      </c>
      <c r="S167" s="189">
        <v>30</v>
      </c>
      <c r="T167" s="5986"/>
      <c r="U167" s="5987"/>
      <c r="V167" s="635"/>
      <c r="W167" s="396"/>
      <c r="X167" s="635"/>
    </row>
    <row r="168" spans="1:25" ht="12.75" customHeight="1">
      <c r="A168" s="635"/>
      <c r="B168" s="205">
        <v>31</v>
      </c>
      <c r="C168" s="197" t="s">
        <v>224</v>
      </c>
      <c r="D168" s="197"/>
      <c r="E168" s="176"/>
      <c r="F168" s="186"/>
      <c r="G168" s="186"/>
      <c r="H168" s="194"/>
      <c r="I168" s="195"/>
      <c r="J168" s="195"/>
      <c r="K168" s="195"/>
      <c r="L168" s="195"/>
      <c r="M168" s="195"/>
      <c r="N168" s="194"/>
      <c r="O168" s="194"/>
      <c r="P168" s="191"/>
      <c r="Q168" s="186"/>
      <c r="R168" s="186"/>
      <c r="S168" s="196"/>
      <c r="T168" s="1394"/>
      <c r="U168" s="1395"/>
      <c r="V168" s="635"/>
      <c r="W168" s="396"/>
      <c r="X168" s="635"/>
    </row>
    <row r="169" spans="1:25" ht="12.75" customHeight="1">
      <c r="A169" s="635"/>
      <c r="B169" s="205"/>
      <c r="C169" s="171" t="s">
        <v>3243</v>
      </c>
      <c r="D169" s="204"/>
      <c r="E169" s="176"/>
      <c r="F169" s="186"/>
      <c r="G169" s="186"/>
      <c r="H169" s="194"/>
      <c r="I169" s="191"/>
      <c r="J169" s="191"/>
      <c r="K169" s="191"/>
      <c r="L169" s="195"/>
      <c r="M169" s="191"/>
      <c r="N169" s="194"/>
      <c r="O169" s="194"/>
      <c r="P169" s="191"/>
      <c r="Q169" s="186"/>
      <c r="R169" s="186"/>
      <c r="S169" s="192"/>
      <c r="T169" s="1396"/>
      <c r="U169" s="1397"/>
      <c r="V169" s="635"/>
      <c r="W169" s="396"/>
      <c r="X169" s="635"/>
    </row>
    <row r="170" spans="1:25" ht="12.75" customHeight="1">
      <c r="A170" s="635"/>
      <c r="B170" s="179"/>
      <c r="C170" s="171" t="s">
        <v>1292</v>
      </c>
      <c r="D170" s="176"/>
      <c r="E170" s="176"/>
      <c r="F170" s="186"/>
      <c r="G170" s="186"/>
      <c r="H170" s="186"/>
      <c r="I170" s="176"/>
      <c r="J170" s="176"/>
      <c r="K170" s="176"/>
      <c r="L170" s="195"/>
      <c r="M170" s="176"/>
      <c r="N170" s="186"/>
      <c r="O170" s="186"/>
      <c r="P170" s="191"/>
      <c r="Q170" s="186"/>
      <c r="R170" s="186"/>
      <c r="S170" s="189">
        <v>31</v>
      </c>
      <c r="T170" s="5983">
        <f>IF(W170&lt;&gt;"",W170,ROUND(SUM(T162,-T167),0))</f>
        <v>0</v>
      </c>
      <c r="U170" s="5984"/>
      <c r="V170" s="635"/>
      <c r="W170" s="1665"/>
      <c r="X170" s="635"/>
    </row>
    <row r="171" spans="1:25" ht="12.75" customHeight="1">
      <c r="A171" s="635"/>
      <c r="B171" s="179"/>
      <c r="C171" s="171" t="s">
        <v>1294</v>
      </c>
      <c r="D171" s="204"/>
      <c r="E171" s="176"/>
      <c r="F171" s="186"/>
      <c r="G171" s="186"/>
      <c r="H171" s="186"/>
      <c r="I171" s="176"/>
      <c r="J171" s="176"/>
      <c r="K171" s="176"/>
      <c r="L171" s="195"/>
      <c r="M171" s="176"/>
      <c r="N171" s="186"/>
      <c r="O171" s="186"/>
      <c r="P171" s="191"/>
      <c r="Q171" s="186"/>
      <c r="R171" s="1664"/>
      <c r="S171" s="205"/>
      <c r="T171" s="375"/>
      <c r="U171" s="375"/>
      <c r="V171" s="635"/>
      <c r="W171" s="396"/>
      <c r="X171" s="635"/>
      <c r="Y171" s="1601" t="b">
        <f>IF(AND(R173&lt;&gt;"",R174&lt;&gt;""),FALSE,IF(AND(T170&gt;=0,OR(R173&lt;&gt;"",R174&lt;&gt;"")),TRUE,FALSE))</f>
        <v>0</v>
      </c>
    </row>
    <row r="172" spans="1:25" ht="12.75" customHeight="1" thickBot="1">
      <c r="A172" s="635"/>
      <c r="B172" s="205">
        <v>32</v>
      </c>
      <c r="C172" s="198" t="s">
        <v>615</v>
      </c>
      <c r="D172" s="198"/>
      <c r="E172" s="198"/>
      <c r="F172" s="202"/>
      <c r="G172" s="202"/>
      <c r="H172" s="202"/>
      <c r="I172" s="198"/>
      <c r="J172" s="198"/>
      <c r="K172" s="198"/>
      <c r="L172" s="200"/>
      <c r="M172" s="198"/>
      <c r="N172" s="202"/>
      <c r="O172" s="202"/>
      <c r="P172" s="191"/>
      <c r="Q172" s="186"/>
      <c r="R172" s="1664"/>
      <c r="S172" s="205"/>
      <c r="T172" s="375"/>
      <c r="U172" s="375"/>
      <c r="V172" s="635"/>
      <c r="W172" s="3060" t="str">
        <f>IF($Y$57,"Check only",IF($Y$59,"Check ONLY",""))</f>
        <v/>
      </c>
      <c r="X172" s="635"/>
      <c r="Y172" s="1601" t="b">
        <f>OR(Y171,Y173)</f>
        <v>0</v>
      </c>
    </row>
    <row r="173" spans="1:25" ht="12.75" customHeight="1" thickBot="1">
      <c r="A173" s="635"/>
      <c r="B173" s="179"/>
      <c r="C173" s="171" t="s">
        <v>3244</v>
      </c>
      <c r="D173" s="204"/>
      <c r="E173" s="176"/>
      <c r="F173" s="186"/>
      <c r="G173" s="186"/>
      <c r="H173" s="186"/>
      <c r="I173" s="176"/>
      <c r="J173" s="176"/>
      <c r="K173" s="176"/>
      <c r="L173" s="195"/>
      <c r="M173" s="176"/>
      <c r="N173" s="186"/>
      <c r="O173" s="186"/>
      <c r="P173" s="191"/>
      <c r="Q173" s="541" t="s">
        <v>143</v>
      </c>
      <c r="R173" s="1500"/>
      <c r="S173" s="206" t="s">
        <v>345</v>
      </c>
      <c r="T173" s="376"/>
      <c r="U173" s="376"/>
      <c r="V173" s="635"/>
      <c r="W173" s="3060" t="str">
        <f>IF($Y$57,"if Line 31",IF($Y$59,"one.",""))</f>
        <v/>
      </c>
      <c r="X173" s="635"/>
      <c r="Y173" s="1601" t="b">
        <f>IF(AND(R173&lt;&gt;"",R174&lt;&gt;""),TRUE,FALSE)</f>
        <v>0</v>
      </c>
    </row>
    <row r="174" spans="1:25" ht="12.75" customHeight="1" thickBot="1">
      <c r="A174" s="635"/>
      <c r="B174" s="179"/>
      <c r="C174" s="171" t="s">
        <v>3246</v>
      </c>
      <c r="D174" s="176"/>
      <c r="E174" s="176"/>
      <c r="F174" s="186"/>
      <c r="G174" s="186"/>
      <c r="H174" s="186"/>
      <c r="I174" s="176"/>
      <c r="J174" s="176"/>
      <c r="K174" s="176"/>
      <c r="L174" s="195"/>
      <c r="M174" s="176"/>
      <c r="N174" s="186"/>
      <c r="O174" s="186"/>
      <c r="P174" s="191"/>
      <c r="Q174" s="541" t="s">
        <v>346</v>
      </c>
      <c r="R174" s="1500"/>
      <c r="S174" s="207" t="s">
        <v>22</v>
      </c>
      <c r="T174" s="375"/>
      <c r="U174" s="375"/>
      <c r="V174" s="635"/>
      <c r="W174" s="3060" t="str">
        <f>IF($Y$57,"is a loss.","")</f>
        <v/>
      </c>
      <c r="X174" s="635"/>
    </row>
    <row r="175" spans="1:25" ht="12.75" customHeight="1">
      <c r="A175" s="635"/>
      <c r="B175" s="179"/>
      <c r="C175" s="171" t="s">
        <v>3245</v>
      </c>
      <c r="D175" s="176"/>
      <c r="E175" s="176"/>
      <c r="F175" s="186"/>
      <c r="G175" s="186"/>
      <c r="H175" s="186"/>
      <c r="I175" s="176"/>
      <c r="J175" s="176"/>
      <c r="K175" s="176"/>
      <c r="L175" s="195"/>
      <c r="M175" s="176"/>
      <c r="N175" s="186"/>
      <c r="O175" s="186"/>
      <c r="P175" s="191"/>
      <c r="Q175" s="375"/>
      <c r="R175" s="375"/>
      <c r="S175" s="731" t="s">
        <v>23</v>
      </c>
      <c r="T175" s="375"/>
      <c r="U175" s="375"/>
      <c r="V175" s="635"/>
      <c r="W175" s="396"/>
      <c r="X175" s="635"/>
    </row>
    <row r="176" spans="1:25" ht="12.75" customHeight="1" thickBot="1">
      <c r="A176" s="635"/>
      <c r="B176" s="380"/>
      <c r="C176" s="1863" t="s">
        <v>1293</v>
      </c>
      <c r="D176" s="208"/>
      <c r="E176" s="209"/>
      <c r="F176" s="210"/>
      <c r="G176" s="210"/>
      <c r="H176" s="210"/>
      <c r="I176" s="209"/>
      <c r="J176" s="209"/>
      <c r="K176" s="209"/>
      <c r="L176" s="211"/>
      <c r="M176" s="209"/>
      <c r="N176" s="210"/>
      <c r="O176" s="210"/>
      <c r="P176" s="212"/>
      <c r="Q176" s="210"/>
      <c r="R176" s="210"/>
      <c r="S176" s="213"/>
      <c r="T176" s="377"/>
      <c r="U176" s="377"/>
      <c r="V176" s="635"/>
      <c r="W176" s="396"/>
      <c r="X176" s="635"/>
    </row>
    <row r="177" spans="1:24" ht="22.5" customHeight="1">
      <c r="A177" s="635"/>
      <c r="B177" s="2349" t="s">
        <v>1295</v>
      </c>
      <c r="C177" s="543"/>
      <c r="D177" s="543"/>
      <c r="E177" s="543"/>
      <c r="F177" s="544"/>
      <c r="G177" s="544"/>
      <c r="H177" s="544"/>
      <c r="I177" s="543"/>
      <c r="J177" s="543"/>
      <c r="K177" s="543"/>
      <c r="L177" s="545"/>
      <c r="M177" s="1179" t="s">
        <v>729</v>
      </c>
      <c r="N177" s="1179"/>
      <c r="O177" s="544"/>
      <c r="P177" s="546"/>
      <c r="Q177" s="544"/>
      <c r="R177" s="544"/>
      <c r="S177" s="547"/>
      <c r="T177" s="548"/>
      <c r="U177" s="548" t="str">
        <f>"Schedule C (Form 1040)  "&amp;TaxYear</f>
        <v>Schedule C (Form 1040)  2018</v>
      </c>
      <c r="V177" s="635"/>
      <c r="W177" s="396"/>
      <c r="X177" s="635"/>
    </row>
    <row r="178" spans="1:24" ht="19.5" customHeight="1" thickBot="1">
      <c r="A178" s="635"/>
      <c r="B178" s="191" t="str">
        <f>"Schedule C (Form 1040) "&amp;TaxYear</f>
        <v>Schedule C (Form 1040) 2018</v>
      </c>
      <c r="C178" s="191"/>
      <c r="D178" s="191"/>
      <c r="E178" s="191"/>
      <c r="F178" s="191"/>
      <c r="G178" s="191"/>
      <c r="H178" s="191"/>
      <c r="I178" s="191"/>
      <c r="J178" s="191"/>
      <c r="K178" s="191"/>
      <c r="L178" s="191"/>
      <c r="M178" s="191"/>
      <c r="N178" s="191"/>
      <c r="O178" s="191"/>
      <c r="P178" s="191"/>
      <c r="Q178" s="191"/>
      <c r="R178" s="215"/>
      <c r="S178" s="216"/>
      <c r="T178" s="216" t="s">
        <v>225</v>
      </c>
      <c r="U178" s="217" t="str">
        <f>"2"</f>
        <v>2</v>
      </c>
      <c r="V178" s="635"/>
      <c r="W178" s="396"/>
      <c r="X178" s="635"/>
    </row>
    <row r="179" spans="1:24" ht="14.25">
      <c r="A179" s="635"/>
      <c r="B179" s="378" t="s">
        <v>363</v>
      </c>
      <c r="C179" s="218" t="s">
        <v>616</v>
      </c>
      <c r="D179" s="218"/>
      <c r="E179" s="218"/>
      <c r="F179" s="218"/>
      <c r="G179" s="218"/>
      <c r="H179" s="218"/>
      <c r="I179" s="218"/>
      <c r="J179" s="218"/>
      <c r="K179" s="218"/>
      <c r="L179" s="218"/>
      <c r="M179" s="218"/>
      <c r="N179" s="218"/>
      <c r="O179" s="218"/>
      <c r="P179" s="218"/>
      <c r="Q179" s="218"/>
      <c r="R179" s="218"/>
      <c r="S179" s="218"/>
      <c r="T179" s="218"/>
      <c r="U179" s="218"/>
      <c r="V179" s="635"/>
      <c r="W179" s="396"/>
      <c r="X179" s="635"/>
    </row>
    <row r="180" spans="1:24" ht="9.75" customHeight="1">
      <c r="A180" s="635"/>
      <c r="B180" s="336"/>
      <c r="C180" s="336"/>
      <c r="D180" s="336"/>
      <c r="E180" s="336"/>
      <c r="F180" s="336"/>
      <c r="G180" s="336"/>
      <c r="H180" s="336"/>
      <c r="I180" s="336"/>
      <c r="J180" s="336"/>
      <c r="K180" s="336"/>
      <c r="L180" s="336"/>
      <c r="M180" s="336"/>
      <c r="N180" s="336"/>
      <c r="O180" s="336"/>
      <c r="P180" s="336"/>
      <c r="Q180" s="336"/>
      <c r="R180" s="336"/>
      <c r="S180" s="336"/>
      <c r="T180" s="336"/>
      <c r="U180" s="336"/>
      <c r="V180" s="635"/>
      <c r="W180" s="396"/>
      <c r="X180" s="635"/>
    </row>
    <row r="181" spans="1:24" ht="14.25" customHeight="1" thickBot="1">
      <c r="A181" s="635"/>
      <c r="B181" s="205">
        <v>33</v>
      </c>
      <c r="C181" s="176" t="s">
        <v>506</v>
      </c>
      <c r="D181" s="176"/>
      <c r="E181" s="176"/>
      <c r="F181" s="176"/>
      <c r="G181" s="176"/>
      <c r="H181" s="176"/>
      <c r="I181" s="176"/>
      <c r="J181" s="176"/>
      <c r="K181" s="176"/>
      <c r="L181" s="176"/>
      <c r="M181" s="176"/>
      <c r="N181" s="176"/>
      <c r="O181" s="176"/>
      <c r="P181" s="176"/>
      <c r="Q181" s="176"/>
      <c r="R181" s="176"/>
      <c r="S181" s="176"/>
      <c r="T181" s="176"/>
      <c r="U181" s="176"/>
      <c r="V181" s="635"/>
      <c r="W181" s="396"/>
      <c r="X181" s="635"/>
    </row>
    <row r="182" spans="1:24" ht="12" customHeight="1" thickBot="1">
      <c r="A182" s="635"/>
      <c r="B182" s="205"/>
      <c r="C182" s="176" t="s">
        <v>489</v>
      </c>
      <c r="D182" s="176"/>
      <c r="E182" s="1511"/>
      <c r="F182" s="176" t="s">
        <v>507</v>
      </c>
      <c r="G182" s="161" t="s">
        <v>54</v>
      </c>
      <c r="H182" s="1511"/>
      <c r="I182" s="176" t="s">
        <v>508</v>
      </c>
      <c r="J182" s="179"/>
      <c r="K182" s="176"/>
      <c r="L182" s="176"/>
      <c r="M182" s="179" t="s">
        <v>55</v>
      </c>
      <c r="N182" s="1511"/>
      <c r="O182" s="176" t="s">
        <v>258</v>
      </c>
      <c r="P182" s="176"/>
      <c r="Q182" s="176"/>
      <c r="R182" s="176"/>
      <c r="S182" s="176"/>
      <c r="T182" s="176"/>
      <c r="U182" s="176"/>
      <c r="V182" s="635"/>
      <c r="W182" s="396"/>
      <c r="X182" s="635"/>
    </row>
    <row r="183" spans="1:24" ht="15" customHeight="1" thickBot="1">
      <c r="A183" s="635"/>
      <c r="B183" s="205">
        <v>34</v>
      </c>
      <c r="C183" s="1079" t="s">
        <v>727</v>
      </c>
      <c r="D183" s="191"/>
      <c r="E183" s="191"/>
      <c r="F183" s="191"/>
      <c r="G183" s="191"/>
      <c r="H183" s="191"/>
      <c r="I183" s="191"/>
      <c r="J183" s="191"/>
      <c r="K183" s="176"/>
      <c r="L183" s="176"/>
      <c r="M183" s="176"/>
      <c r="N183" s="176"/>
      <c r="O183" s="176"/>
      <c r="P183" s="176"/>
      <c r="Q183" s="191"/>
      <c r="R183" s="191"/>
      <c r="S183" s="191"/>
      <c r="T183" s="191"/>
      <c r="U183" s="191"/>
      <c r="V183" s="635"/>
      <c r="W183" s="396"/>
      <c r="X183" s="635"/>
    </row>
    <row r="184" spans="1:24" ht="12.75" customHeight="1" thickBot="1">
      <c r="A184" s="635"/>
      <c r="B184" s="205"/>
      <c r="C184" s="1079" t="s">
        <v>4049</v>
      </c>
      <c r="D184" s="191"/>
      <c r="E184" s="191"/>
      <c r="F184" s="191"/>
      <c r="G184" s="191"/>
      <c r="H184" s="191"/>
      <c r="I184" s="191"/>
      <c r="J184" s="191"/>
      <c r="K184" s="191"/>
      <c r="L184" s="191"/>
      <c r="M184" s="191"/>
      <c r="N184" s="191"/>
      <c r="O184" s="191"/>
      <c r="P184" s="644" t="s">
        <v>3532</v>
      </c>
      <c r="Q184" s="1500"/>
      <c r="R184" s="193" t="s">
        <v>307</v>
      </c>
      <c r="S184" s="3059"/>
      <c r="T184" s="1500"/>
      <c r="U184" s="193" t="s">
        <v>308</v>
      </c>
      <c r="V184" s="635"/>
      <c r="W184" s="396"/>
      <c r="X184" s="635"/>
    </row>
    <row r="185" spans="1:24" ht="8.25" customHeight="1">
      <c r="A185" s="635"/>
      <c r="B185" s="205"/>
      <c r="C185" s="191"/>
      <c r="D185" s="191"/>
      <c r="E185" s="191"/>
      <c r="F185" s="191"/>
      <c r="G185" s="191"/>
      <c r="H185" s="191"/>
      <c r="I185" s="191"/>
      <c r="J185" s="191"/>
      <c r="K185" s="191"/>
      <c r="L185" s="191"/>
      <c r="M185" s="191"/>
      <c r="N185" s="191"/>
      <c r="O185" s="191"/>
      <c r="P185" s="191"/>
      <c r="Q185" s="191"/>
      <c r="R185" s="191"/>
      <c r="S185" s="191"/>
      <c r="T185" s="191"/>
      <c r="U185" s="191"/>
      <c r="V185" s="635"/>
      <c r="W185" s="396"/>
      <c r="X185" s="635"/>
    </row>
    <row r="186" spans="1:24" ht="12.75" customHeight="1">
      <c r="A186" s="635"/>
      <c r="B186" s="205">
        <v>35</v>
      </c>
      <c r="C186" s="1079" t="s">
        <v>4050</v>
      </c>
      <c r="D186" s="191"/>
      <c r="E186" s="191"/>
      <c r="F186" s="191"/>
      <c r="G186" s="191"/>
      <c r="H186" s="191"/>
      <c r="I186" s="191"/>
      <c r="J186" s="191"/>
      <c r="K186" s="191"/>
      <c r="L186" s="191"/>
      <c r="M186" s="191"/>
      <c r="N186" s="191"/>
      <c r="O186" s="191"/>
      <c r="P186" s="191"/>
      <c r="Q186" s="191"/>
      <c r="R186" s="644" t="s">
        <v>747</v>
      </c>
      <c r="S186" s="189">
        <v>35</v>
      </c>
      <c r="T186" s="5977"/>
      <c r="U186" s="5978"/>
      <c r="V186" s="635"/>
      <c r="W186" s="396"/>
      <c r="X186" s="635"/>
    </row>
    <row r="187" spans="1:24" ht="8.1" customHeight="1">
      <c r="A187" s="635"/>
      <c r="B187" s="205"/>
      <c r="C187" s="191"/>
      <c r="D187" s="191"/>
      <c r="E187" s="191"/>
      <c r="F187" s="191"/>
      <c r="G187" s="191"/>
      <c r="H187" s="191"/>
      <c r="I187" s="191"/>
      <c r="J187" s="191"/>
      <c r="K187" s="191"/>
      <c r="L187" s="191"/>
      <c r="M187" s="191"/>
      <c r="N187" s="191"/>
      <c r="O187" s="191"/>
      <c r="P187" s="191"/>
      <c r="Q187" s="191"/>
      <c r="R187" s="191"/>
      <c r="S187" s="196"/>
      <c r="T187" s="5975"/>
      <c r="U187" s="5976"/>
      <c r="V187" s="635"/>
      <c r="W187" s="396"/>
      <c r="X187" s="635"/>
    </row>
    <row r="188" spans="1:24">
      <c r="A188" s="635"/>
      <c r="B188" s="205">
        <v>36</v>
      </c>
      <c r="C188" s="1079" t="s">
        <v>4051</v>
      </c>
      <c r="D188" s="191"/>
      <c r="E188" s="191"/>
      <c r="F188" s="191"/>
      <c r="G188" s="191"/>
      <c r="H188" s="191"/>
      <c r="I188" s="191"/>
      <c r="J188" s="191"/>
      <c r="K188" s="191"/>
      <c r="L188" s="191"/>
      <c r="M188" s="191"/>
      <c r="N188" s="191"/>
      <c r="O188" s="191"/>
      <c r="P188" s="191"/>
      <c r="Q188" s="191"/>
      <c r="R188" s="644" t="s">
        <v>763</v>
      </c>
      <c r="S188" s="189">
        <v>36</v>
      </c>
      <c r="T188" s="5977"/>
      <c r="U188" s="5978"/>
      <c r="V188" s="635"/>
      <c r="W188" s="396"/>
      <c r="X188" s="635"/>
    </row>
    <row r="189" spans="1:24" ht="8.1" customHeight="1">
      <c r="A189" s="635"/>
      <c r="B189" s="205"/>
      <c r="C189" s="191"/>
      <c r="D189" s="191"/>
      <c r="E189" s="191"/>
      <c r="F189" s="191"/>
      <c r="G189" s="191"/>
      <c r="H189" s="191"/>
      <c r="I189" s="191"/>
      <c r="J189" s="191"/>
      <c r="K189" s="191"/>
      <c r="L189" s="191"/>
      <c r="M189" s="191"/>
      <c r="N189" s="191"/>
      <c r="O189" s="191"/>
      <c r="P189" s="191"/>
      <c r="Q189" s="191"/>
      <c r="R189" s="191"/>
      <c r="S189" s="196"/>
      <c r="T189" s="5975"/>
      <c r="U189" s="5976"/>
      <c r="V189" s="635"/>
      <c r="W189" s="396"/>
      <c r="X189" s="635"/>
    </row>
    <row r="190" spans="1:24">
      <c r="A190" s="635"/>
      <c r="B190" s="205">
        <v>37</v>
      </c>
      <c r="C190" s="1079" t="s">
        <v>4052</v>
      </c>
      <c r="D190" s="191"/>
      <c r="E190" s="191"/>
      <c r="F190" s="191"/>
      <c r="G190" s="191"/>
      <c r="H190" s="191"/>
      <c r="I190" s="191"/>
      <c r="J190" s="191"/>
      <c r="K190" s="191"/>
      <c r="L190" s="191"/>
      <c r="M190" s="191"/>
      <c r="N190" s="191"/>
      <c r="O190" s="191"/>
      <c r="P190" s="191"/>
      <c r="Q190" s="191"/>
      <c r="R190" s="644" t="s">
        <v>1311</v>
      </c>
      <c r="S190" s="189">
        <v>37</v>
      </c>
      <c r="T190" s="5977"/>
      <c r="U190" s="5978"/>
      <c r="V190" s="635"/>
      <c r="W190" s="396"/>
      <c r="X190" s="635"/>
    </row>
    <row r="191" spans="1:24" ht="8.1" customHeight="1">
      <c r="A191" s="635"/>
      <c r="B191" s="205"/>
      <c r="C191" s="191"/>
      <c r="D191" s="191"/>
      <c r="E191" s="191"/>
      <c r="F191" s="191"/>
      <c r="G191" s="191"/>
      <c r="H191" s="191"/>
      <c r="I191" s="191"/>
      <c r="J191" s="191"/>
      <c r="K191" s="191"/>
      <c r="L191" s="191"/>
      <c r="M191" s="191"/>
      <c r="N191" s="191"/>
      <c r="O191" s="191"/>
      <c r="P191" s="191"/>
      <c r="Q191" s="191"/>
      <c r="R191" s="191"/>
      <c r="S191" s="196"/>
      <c r="T191" s="5975"/>
      <c r="U191" s="5976"/>
      <c r="V191" s="635"/>
      <c r="W191" s="396"/>
      <c r="X191" s="635"/>
    </row>
    <row r="192" spans="1:24">
      <c r="A192" s="635"/>
      <c r="B192" s="205">
        <v>38</v>
      </c>
      <c r="C192" s="1079" t="s">
        <v>4053</v>
      </c>
      <c r="D192" s="191"/>
      <c r="E192" s="191"/>
      <c r="F192" s="191"/>
      <c r="G192" s="191"/>
      <c r="H192" s="191"/>
      <c r="I192" s="191"/>
      <c r="J192" s="191"/>
      <c r="K192" s="191"/>
      <c r="L192" s="191"/>
      <c r="M192" s="191"/>
      <c r="N192" s="191"/>
      <c r="O192" s="191"/>
      <c r="P192" s="191"/>
      <c r="Q192" s="191"/>
      <c r="R192" s="644" t="s">
        <v>4065</v>
      </c>
      <c r="S192" s="189">
        <v>38</v>
      </c>
      <c r="T192" s="5977"/>
      <c r="U192" s="5978"/>
      <c r="V192" s="635"/>
      <c r="W192" s="396"/>
      <c r="X192" s="635"/>
    </row>
    <row r="193" spans="1:25" ht="8.1" customHeight="1">
      <c r="A193" s="635"/>
      <c r="B193" s="205"/>
      <c r="C193" s="191"/>
      <c r="D193" s="191"/>
      <c r="E193" s="191"/>
      <c r="F193" s="191"/>
      <c r="G193" s="191"/>
      <c r="H193" s="191"/>
      <c r="I193" s="191"/>
      <c r="J193" s="191"/>
      <c r="K193" s="191"/>
      <c r="L193" s="191"/>
      <c r="M193" s="191"/>
      <c r="N193" s="191"/>
      <c r="O193" s="191"/>
      <c r="P193" s="191"/>
      <c r="Q193" s="191"/>
      <c r="R193" s="191"/>
      <c r="S193" s="196"/>
      <c r="T193" s="5975"/>
      <c r="U193" s="5976"/>
      <c r="V193" s="635"/>
      <c r="W193" s="396"/>
      <c r="X193" s="635"/>
    </row>
    <row r="194" spans="1:25">
      <c r="A194" s="635"/>
      <c r="B194" s="205">
        <v>39</v>
      </c>
      <c r="C194" s="1079" t="s">
        <v>4054</v>
      </c>
      <c r="D194" s="191"/>
      <c r="E194" s="191"/>
      <c r="F194" s="191"/>
      <c r="G194" s="191"/>
      <c r="H194" s="191"/>
      <c r="I194" s="191"/>
      <c r="J194" s="191"/>
      <c r="K194" s="191"/>
      <c r="L194" s="191"/>
      <c r="M194" s="191"/>
      <c r="N194" s="191"/>
      <c r="O194" s="191"/>
      <c r="P194" s="191"/>
      <c r="Q194" s="191"/>
      <c r="R194" s="644" t="s">
        <v>4066</v>
      </c>
      <c r="S194" s="189">
        <v>39</v>
      </c>
      <c r="T194" s="5977"/>
      <c r="U194" s="5978"/>
      <c r="V194" s="635"/>
      <c r="W194" s="396"/>
      <c r="X194" s="635"/>
    </row>
    <row r="195" spans="1:25" ht="8.1" customHeight="1">
      <c r="A195" s="635"/>
      <c r="B195" s="205"/>
      <c r="C195" s="191"/>
      <c r="D195" s="191"/>
      <c r="E195" s="191"/>
      <c r="F195" s="191"/>
      <c r="G195" s="191"/>
      <c r="H195" s="191"/>
      <c r="I195" s="191"/>
      <c r="J195" s="191"/>
      <c r="K195" s="191"/>
      <c r="L195" s="191"/>
      <c r="M195" s="191"/>
      <c r="N195" s="191"/>
      <c r="O195" s="191"/>
      <c r="P195" s="191"/>
      <c r="Q195" s="191"/>
      <c r="R195" s="191"/>
      <c r="S195" s="196"/>
      <c r="T195" s="5979">
        <f>ROUND(SUM(T186:U194),0)</f>
        <v>0</v>
      </c>
      <c r="U195" s="5980"/>
      <c r="V195" s="635"/>
      <c r="W195" s="396"/>
      <c r="X195" s="635"/>
    </row>
    <row r="196" spans="1:25">
      <c r="A196" s="635"/>
      <c r="B196" s="205">
        <v>40</v>
      </c>
      <c r="C196" s="1079" t="s">
        <v>4055</v>
      </c>
      <c r="D196" s="191"/>
      <c r="E196" s="191"/>
      <c r="F196" s="191"/>
      <c r="G196" s="191"/>
      <c r="H196" s="191"/>
      <c r="I196" s="191"/>
      <c r="J196" s="191"/>
      <c r="K196" s="191"/>
      <c r="L196" s="191"/>
      <c r="M196" s="191"/>
      <c r="N196" s="191"/>
      <c r="O196" s="191"/>
      <c r="P196" s="191"/>
      <c r="Q196" s="191"/>
      <c r="R196" s="644" t="s">
        <v>1951</v>
      </c>
      <c r="S196" s="189">
        <v>40</v>
      </c>
      <c r="T196" s="5994"/>
      <c r="U196" s="5995"/>
      <c r="V196" s="635"/>
      <c r="W196" s="396"/>
      <c r="X196" s="635"/>
    </row>
    <row r="197" spans="1:25" ht="8.1" customHeight="1">
      <c r="A197" s="635"/>
      <c r="B197" s="205"/>
      <c r="C197" s="191"/>
      <c r="D197" s="191"/>
      <c r="E197" s="191"/>
      <c r="F197" s="191"/>
      <c r="G197" s="191"/>
      <c r="H197" s="191"/>
      <c r="I197" s="191"/>
      <c r="J197" s="191"/>
      <c r="K197" s="191"/>
      <c r="L197" s="191"/>
      <c r="M197" s="191"/>
      <c r="N197" s="191"/>
      <c r="O197" s="191"/>
      <c r="P197" s="191"/>
      <c r="Q197" s="191"/>
      <c r="R197" s="191"/>
      <c r="S197" s="196"/>
      <c r="T197" s="5975"/>
      <c r="U197" s="5976"/>
      <c r="V197" s="635"/>
      <c r="W197" s="396"/>
      <c r="X197" s="635"/>
    </row>
    <row r="198" spans="1:25">
      <c r="A198" s="635"/>
      <c r="B198" s="205">
        <v>41</v>
      </c>
      <c r="C198" s="1079" t="s">
        <v>4056</v>
      </c>
      <c r="D198" s="191"/>
      <c r="E198" s="191"/>
      <c r="F198" s="191"/>
      <c r="G198" s="191"/>
      <c r="H198" s="191"/>
      <c r="I198" s="191"/>
      <c r="J198" s="191"/>
      <c r="K198" s="191"/>
      <c r="L198" s="191"/>
      <c r="M198" s="191"/>
      <c r="N198" s="191"/>
      <c r="O198" s="191"/>
      <c r="P198" s="191"/>
      <c r="Q198" s="191"/>
      <c r="R198" s="644" t="s">
        <v>1951</v>
      </c>
      <c r="S198" s="189">
        <v>41</v>
      </c>
      <c r="T198" s="5977"/>
      <c r="U198" s="5978"/>
      <c r="V198" s="635"/>
      <c r="W198" s="396"/>
      <c r="X198" s="635"/>
    </row>
    <row r="199" spans="1:25" ht="8.1" customHeight="1">
      <c r="A199" s="635"/>
      <c r="B199" s="205"/>
      <c r="C199" s="191"/>
      <c r="D199" s="191"/>
      <c r="E199" s="191"/>
      <c r="F199" s="191"/>
      <c r="G199" s="191"/>
      <c r="H199" s="191"/>
      <c r="I199" s="191"/>
      <c r="J199" s="191"/>
      <c r="K199" s="191"/>
      <c r="L199" s="191"/>
      <c r="M199" s="191"/>
      <c r="N199" s="191"/>
      <c r="O199" s="191"/>
      <c r="P199" s="191"/>
      <c r="Q199" s="191"/>
      <c r="R199" s="191"/>
      <c r="S199" s="196"/>
      <c r="T199" s="5979"/>
      <c r="U199" s="5980"/>
      <c r="V199" s="635"/>
      <c r="W199" s="396"/>
      <c r="X199" s="635"/>
    </row>
    <row r="200" spans="1:25" ht="13.5" thickBot="1">
      <c r="A200" s="635"/>
      <c r="B200" s="205">
        <v>42</v>
      </c>
      <c r="C200" s="1168" t="s">
        <v>4057</v>
      </c>
      <c r="D200" s="193"/>
      <c r="E200" s="191"/>
      <c r="F200" s="191"/>
      <c r="G200" s="191"/>
      <c r="H200" s="191"/>
      <c r="I200" s="191"/>
      <c r="J200" s="191"/>
      <c r="K200" s="191"/>
      <c r="L200" s="191"/>
      <c r="M200" s="191"/>
      <c r="N200" s="191"/>
      <c r="O200" s="191"/>
      <c r="P200" s="191"/>
      <c r="Q200" s="191"/>
      <c r="R200" s="644" t="s">
        <v>679</v>
      </c>
      <c r="S200" s="189">
        <v>42</v>
      </c>
      <c r="T200" s="5981">
        <f>ROUND(SUM(T195,-T197),0)</f>
        <v>0</v>
      </c>
      <c r="U200" s="5982"/>
      <c r="V200" s="635"/>
      <c r="W200" s="396"/>
      <c r="X200" s="635"/>
    </row>
    <row r="201" spans="1:25" ht="12.75" customHeight="1">
      <c r="A201" s="635"/>
      <c r="B201" s="378" t="s">
        <v>546</v>
      </c>
      <c r="C201" s="220" t="s">
        <v>173</v>
      </c>
      <c r="D201" s="220"/>
      <c r="E201" s="220"/>
      <c r="F201" s="220"/>
      <c r="G201" s="220"/>
      <c r="H201" s="220"/>
      <c r="I201" s="220"/>
      <c r="J201" s="220"/>
      <c r="K201" s="220"/>
      <c r="L201" s="220"/>
      <c r="M201" s="220"/>
      <c r="N201" s="220"/>
      <c r="O201" s="220"/>
      <c r="P201" s="220"/>
      <c r="Q201" s="220"/>
      <c r="R201" s="220"/>
      <c r="S201" s="220"/>
      <c r="T201" s="220"/>
      <c r="U201" s="220"/>
      <c r="V201" s="635"/>
      <c r="W201" s="396"/>
      <c r="X201" s="635"/>
    </row>
    <row r="202" spans="1:25" ht="12.75" customHeight="1">
      <c r="A202" s="635"/>
      <c r="B202" s="205"/>
      <c r="C202" s="1663" t="s">
        <v>2051</v>
      </c>
      <c r="D202" s="201"/>
      <c r="E202" s="221"/>
      <c r="F202" s="221"/>
      <c r="G202" s="221"/>
      <c r="H202" s="221"/>
      <c r="I202" s="221"/>
      <c r="J202" s="221"/>
      <c r="K202" s="221"/>
      <c r="L202" s="221"/>
      <c r="M202" s="221"/>
      <c r="N202" s="221"/>
      <c r="O202" s="221"/>
      <c r="P202" s="221"/>
      <c r="Q202" s="221"/>
      <c r="R202" s="221"/>
      <c r="S202" s="221"/>
      <c r="T202" s="221"/>
      <c r="U202" s="221"/>
      <c r="V202" s="635"/>
      <c r="W202" s="396"/>
      <c r="X202" s="635"/>
    </row>
    <row r="203" spans="1:25" ht="12.75" customHeight="1">
      <c r="A203" s="635"/>
      <c r="B203" s="379"/>
      <c r="C203" s="2365" t="s">
        <v>2050</v>
      </c>
      <c r="D203" s="222"/>
      <c r="E203" s="223"/>
      <c r="F203" s="223"/>
      <c r="G203" s="223"/>
      <c r="H203" s="223"/>
      <c r="I203" s="223"/>
      <c r="J203" s="223"/>
      <c r="K203" s="223"/>
      <c r="L203" s="223"/>
      <c r="M203" s="223"/>
      <c r="N203" s="223"/>
      <c r="O203" s="223"/>
      <c r="P203" s="223"/>
      <c r="Q203" s="223"/>
      <c r="R203" s="223"/>
      <c r="S203" s="223"/>
      <c r="T203" s="223"/>
      <c r="U203" s="223"/>
      <c r="V203" s="635"/>
      <c r="W203" s="396"/>
      <c r="X203" s="635"/>
    </row>
    <row r="204" spans="1:25" ht="7.5" customHeight="1">
      <c r="A204" s="635"/>
      <c r="B204" s="205"/>
      <c r="C204" s="191"/>
      <c r="D204" s="191"/>
      <c r="E204" s="191"/>
      <c r="F204" s="191"/>
      <c r="G204" s="191"/>
      <c r="H204" s="191"/>
      <c r="I204" s="191"/>
      <c r="J204" s="191"/>
      <c r="K204" s="191"/>
      <c r="L204" s="191"/>
      <c r="M204" s="191"/>
      <c r="N204" s="191"/>
      <c r="O204" s="191"/>
      <c r="P204" s="191"/>
      <c r="Q204" s="191"/>
      <c r="R204" s="191"/>
      <c r="S204" s="191"/>
      <c r="T204" s="191"/>
      <c r="U204" s="191"/>
      <c r="V204" s="635"/>
      <c r="W204" s="396"/>
      <c r="X204" s="635"/>
    </row>
    <row r="205" spans="1:25" ht="15.75" customHeight="1">
      <c r="A205" s="635"/>
      <c r="B205" s="205">
        <v>43</v>
      </c>
      <c r="C205" s="1622" t="s">
        <v>946</v>
      </c>
      <c r="D205" s="643"/>
      <c r="E205" s="191"/>
      <c r="F205" s="191"/>
      <c r="G205" s="191"/>
      <c r="H205" s="191"/>
      <c r="I205" s="191"/>
      <c r="J205" s="191"/>
      <c r="K205" s="191"/>
      <c r="L205" s="191"/>
      <c r="M205" s="191"/>
      <c r="N205" s="642"/>
      <c r="O205" s="5966"/>
      <c r="P205" s="5966"/>
      <c r="Q205" s="5966"/>
      <c r="R205" s="5966"/>
      <c r="S205" s="5966"/>
      <c r="T205" s="193"/>
      <c r="U205" s="193"/>
      <c r="V205" s="635"/>
      <c r="W205" s="396"/>
      <c r="X205" s="635"/>
    </row>
    <row r="206" spans="1:25" ht="8.1" customHeight="1">
      <c r="A206" s="635"/>
      <c r="B206" s="205"/>
      <c r="C206" s="191"/>
      <c r="D206" s="191"/>
      <c r="E206" s="191"/>
      <c r="F206" s="191"/>
      <c r="G206" s="191"/>
      <c r="H206" s="191"/>
      <c r="I206" s="191"/>
      <c r="J206" s="191"/>
      <c r="K206" s="191"/>
      <c r="L206" s="191"/>
      <c r="M206" s="191"/>
      <c r="N206" s="191"/>
      <c r="O206" s="191"/>
      <c r="P206" s="191"/>
      <c r="Q206" s="191"/>
      <c r="R206" s="191"/>
      <c r="S206" s="191"/>
      <c r="T206" s="191"/>
      <c r="U206" s="191"/>
      <c r="V206" s="635"/>
      <c r="W206" s="396"/>
      <c r="X206" s="635"/>
    </row>
    <row r="207" spans="1:25">
      <c r="A207" s="635"/>
      <c r="B207" s="205">
        <v>44</v>
      </c>
      <c r="C207" s="191" t="str">
        <f>"Of the total number of miles you drove your vehicle during "&amp;TaxYear&amp;", enter the number of miles you used your vehicle for:"</f>
        <v>Of the total number of miles you drove your vehicle during 2018, enter the number of miles you used your vehicle for:</v>
      </c>
      <c r="D207" s="191"/>
      <c r="E207" s="191"/>
      <c r="F207" s="191"/>
      <c r="G207" s="191"/>
      <c r="H207" s="191"/>
      <c r="I207" s="191"/>
      <c r="J207" s="191"/>
      <c r="K207" s="191"/>
      <c r="L207" s="191"/>
      <c r="M207" s="191"/>
      <c r="N207" s="191"/>
      <c r="O207" s="191"/>
      <c r="P207" s="191"/>
      <c r="Q207" s="191"/>
      <c r="R207" s="191"/>
      <c r="S207" s="191"/>
      <c r="T207" s="191"/>
      <c r="U207" s="191"/>
      <c r="V207" s="635"/>
      <c r="W207" s="396"/>
      <c r="X207" s="635"/>
    </row>
    <row r="208" spans="1:25" ht="15" customHeight="1">
      <c r="A208" s="635"/>
      <c r="B208" s="179"/>
      <c r="C208" s="215" t="s">
        <v>476</v>
      </c>
      <c r="D208" s="1513"/>
      <c r="E208" s="644"/>
      <c r="F208" s="893"/>
      <c r="G208" s="215"/>
      <c r="H208" s="215"/>
      <c r="I208" s="644" t="s">
        <v>2672</v>
      </c>
      <c r="J208" s="5967"/>
      <c r="K208" s="5968"/>
      <c r="L208" s="5968"/>
      <c r="M208" s="224"/>
      <c r="N208" s="644" t="s">
        <v>55</v>
      </c>
      <c r="O208" s="5969" t="s">
        <v>458</v>
      </c>
      <c r="P208" s="5970"/>
      <c r="Q208" s="5971"/>
      <c r="R208" s="5971"/>
      <c r="S208" s="5971"/>
      <c r="T208" s="858"/>
      <c r="U208" s="858"/>
      <c r="V208" s="635"/>
      <c r="W208" s="3061" t="str">
        <f>IF(Y208,"Check","")</f>
        <v/>
      </c>
      <c r="X208" s="635"/>
      <c r="Y208" s="1601" t="b">
        <f>OR(Y210,Y212,Y214,Y216)</f>
        <v>0</v>
      </c>
    </row>
    <row r="209" spans="1:25" ht="8.1" customHeight="1" thickBot="1">
      <c r="A209" s="635"/>
      <c r="B209" s="205"/>
      <c r="C209" s="191"/>
      <c r="D209" s="191"/>
      <c r="E209" s="191"/>
      <c r="F209" s="191"/>
      <c r="G209" s="191"/>
      <c r="H209" s="191"/>
      <c r="I209" s="191"/>
      <c r="J209" s="191"/>
      <c r="K209" s="191"/>
      <c r="L209" s="191"/>
      <c r="M209" s="191"/>
      <c r="N209" s="191"/>
      <c r="O209" s="191"/>
      <c r="P209" s="191"/>
      <c r="Q209" s="191"/>
      <c r="R209" s="645"/>
      <c r="S209" s="191"/>
      <c r="T209" s="191"/>
      <c r="U209" s="191"/>
      <c r="V209" s="635"/>
      <c r="W209" s="3061"/>
      <c r="X209" s="635"/>
      <c r="Y209" s="1601"/>
    </row>
    <row r="210" spans="1:25" ht="12.75" customHeight="1" thickBot="1">
      <c r="A210" s="635"/>
      <c r="B210" s="205">
        <v>45</v>
      </c>
      <c r="C210" s="1079" t="s">
        <v>728</v>
      </c>
      <c r="D210" s="191"/>
      <c r="E210" s="191"/>
      <c r="F210" s="191"/>
      <c r="G210" s="191"/>
      <c r="H210" s="191"/>
      <c r="I210" s="191"/>
      <c r="J210" s="191"/>
      <c r="K210" s="191"/>
      <c r="L210" s="644" t="s">
        <v>4062</v>
      </c>
      <c r="M210" s="1500"/>
      <c r="N210" s="225" t="s">
        <v>307</v>
      </c>
      <c r="O210" s="191"/>
      <c r="P210" s="1500"/>
      <c r="Q210" s="226" t="s">
        <v>308</v>
      </c>
      <c r="R210" s="646"/>
      <c r="S210" s="191"/>
      <c r="T210" s="225"/>
      <c r="U210" s="225"/>
      <c r="V210" s="635"/>
      <c r="W210" s="3061" t="str">
        <f>IF(Y210,"ONLY one.","")</f>
        <v/>
      </c>
      <c r="X210" s="635"/>
      <c r="Y210" s="1601" t="b">
        <f>IF(AND(M210&lt;&gt;"",P210&lt;&gt;""),TRUE,FALSE)</f>
        <v>0</v>
      </c>
    </row>
    <row r="211" spans="1:25" ht="8.1" customHeight="1" thickBot="1">
      <c r="A211" s="635"/>
      <c r="B211" s="179"/>
      <c r="C211" s="215"/>
      <c r="D211" s="215"/>
      <c r="E211" s="215"/>
      <c r="F211" s="215"/>
      <c r="G211" s="215"/>
      <c r="H211" s="215"/>
      <c r="I211" s="215"/>
      <c r="J211" s="215"/>
      <c r="K211" s="215"/>
      <c r="L211" s="215"/>
      <c r="M211" s="215"/>
      <c r="N211" s="215"/>
      <c r="O211" s="191"/>
      <c r="P211" s="215"/>
      <c r="Q211" s="215"/>
      <c r="R211" s="215"/>
      <c r="S211" s="215"/>
      <c r="T211" s="191"/>
      <c r="U211" s="191"/>
      <c r="V211" s="635"/>
      <c r="W211" s="396"/>
      <c r="X211" s="635"/>
      <c r="Y211" s="1601"/>
    </row>
    <row r="212" spans="1:25" ht="13.5" thickBot="1">
      <c r="A212" s="635"/>
      <c r="B212" s="205">
        <v>46</v>
      </c>
      <c r="C212" s="1079" t="s">
        <v>4061</v>
      </c>
      <c r="D212" s="191"/>
      <c r="E212" s="191"/>
      <c r="F212" s="191"/>
      <c r="G212" s="191"/>
      <c r="H212" s="191"/>
      <c r="I212" s="191"/>
      <c r="J212" s="191"/>
      <c r="K212" s="191"/>
      <c r="L212" s="644" t="s">
        <v>4067</v>
      </c>
      <c r="M212" s="1500"/>
      <c r="N212" s="225" t="s">
        <v>307</v>
      </c>
      <c r="O212" s="191"/>
      <c r="P212" s="1500"/>
      <c r="Q212" s="226" t="s">
        <v>308</v>
      </c>
      <c r="R212" s="646"/>
      <c r="S212" s="191"/>
      <c r="T212" s="225"/>
      <c r="U212" s="225"/>
      <c r="V212" s="635"/>
      <c r="W212" s="3061" t="str">
        <f>IF(Y212,"ONLY one.","")</f>
        <v/>
      </c>
      <c r="X212" s="635"/>
      <c r="Y212" s="1601" t="b">
        <f>IF(AND(M212&lt;&gt;"",P212&lt;&gt;""),TRUE,FALSE)</f>
        <v>0</v>
      </c>
    </row>
    <row r="213" spans="1:25" ht="8.1" customHeight="1" thickBot="1">
      <c r="A213" s="635"/>
      <c r="B213" s="205"/>
      <c r="C213" s="191"/>
      <c r="D213" s="191"/>
      <c r="E213" s="191"/>
      <c r="F213" s="191"/>
      <c r="G213" s="191"/>
      <c r="H213" s="191"/>
      <c r="I213" s="191"/>
      <c r="J213" s="191"/>
      <c r="K213" s="191"/>
      <c r="L213" s="191"/>
      <c r="M213" s="191"/>
      <c r="N213" s="191"/>
      <c r="O213" s="191"/>
      <c r="P213" s="191"/>
      <c r="Q213" s="191"/>
      <c r="R213" s="645"/>
      <c r="S213" s="191"/>
      <c r="T213" s="191"/>
      <c r="U213" s="191"/>
      <c r="V213" s="635"/>
      <c r="W213" s="396"/>
      <c r="X213" s="635"/>
      <c r="Y213" s="1601"/>
    </row>
    <row r="214" spans="1:25" ht="13.5" thickBot="1">
      <c r="A214" s="635"/>
      <c r="B214" s="146" t="s">
        <v>133</v>
      </c>
      <c r="C214" s="1079" t="s">
        <v>4060</v>
      </c>
      <c r="D214" s="191"/>
      <c r="E214" s="191"/>
      <c r="F214" s="191"/>
      <c r="G214" s="191"/>
      <c r="H214" s="191"/>
      <c r="I214" s="191"/>
      <c r="J214" s="191"/>
      <c r="K214" s="191"/>
      <c r="L214" s="644" t="s">
        <v>4063</v>
      </c>
      <c r="M214" s="1500"/>
      <c r="N214" s="225" t="s">
        <v>307</v>
      </c>
      <c r="O214" s="191"/>
      <c r="P214" s="1500"/>
      <c r="Q214" s="226" t="s">
        <v>308</v>
      </c>
      <c r="R214" s="646"/>
      <c r="S214" s="191"/>
      <c r="T214" s="191"/>
      <c r="U214" s="191"/>
      <c r="V214" s="635"/>
      <c r="W214" s="3061" t="str">
        <f>IF(Y214,"ONLY one.","")</f>
        <v/>
      </c>
      <c r="X214" s="635"/>
      <c r="Y214" s="1601" t="b">
        <f>IF(AND(M214&lt;&gt;"",P214&lt;&gt;""),TRUE,FALSE)</f>
        <v>0</v>
      </c>
    </row>
    <row r="215" spans="1:25" ht="8.1" customHeight="1" thickBot="1">
      <c r="A215" s="635"/>
      <c r="B215" s="205"/>
      <c r="C215" s="191"/>
      <c r="D215" s="191"/>
      <c r="E215" s="191"/>
      <c r="F215" s="191"/>
      <c r="G215" s="191"/>
      <c r="H215" s="191"/>
      <c r="I215" s="191"/>
      <c r="J215" s="191"/>
      <c r="K215" s="191"/>
      <c r="L215" s="191"/>
      <c r="M215" s="191"/>
      <c r="N215" s="191"/>
      <c r="O215" s="191"/>
      <c r="P215" s="191"/>
      <c r="Q215" s="191"/>
      <c r="R215" s="645"/>
      <c r="S215" s="191"/>
      <c r="T215" s="191"/>
      <c r="U215" s="191"/>
      <c r="V215" s="635"/>
      <c r="W215" s="396"/>
      <c r="X215" s="635"/>
      <c r="Y215" s="1601"/>
    </row>
    <row r="216" spans="1:25" ht="13.5" thickBot="1">
      <c r="A216" s="635"/>
      <c r="B216" s="179" t="s">
        <v>54</v>
      </c>
      <c r="C216" s="191" t="s">
        <v>437</v>
      </c>
      <c r="D216" s="191"/>
      <c r="E216" s="191"/>
      <c r="F216" s="191"/>
      <c r="G216" s="191"/>
      <c r="H216" s="191"/>
      <c r="I216" s="191"/>
      <c r="J216" s="191"/>
      <c r="K216" s="191"/>
      <c r="L216" s="644" t="s">
        <v>4068</v>
      </c>
      <c r="M216" s="1500"/>
      <c r="N216" s="225" t="s">
        <v>307</v>
      </c>
      <c r="O216" s="191"/>
      <c r="P216" s="1500"/>
      <c r="Q216" s="226" t="s">
        <v>308</v>
      </c>
      <c r="R216" s="646"/>
      <c r="S216" s="191"/>
      <c r="T216" s="191"/>
      <c r="U216" s="191"/>
      <c r="V216" s="635"/>
      <c r="W216" s="3061" t="str">
        <f>IF(Y216,"ONLY one.","")</f>
        <v/>
      </c>
      <c r="X216" s="635"/>
      <c r="Y216" s="1601" t="b">
        <f>IF(AND(M216&lt;&gt;"",P216&lt;&gt;""),TRUE,FALSE)</f>
        <v>0</v>
      </c>
    </row>
    <row r="217" spans="1:25" ht="3.75" customHeight="1" thickBot="1">
      <c r="A217" s="635"/>
      <c r="B217" s="205"/>
      <c r="C217" s="191"/>
      <c r="D217" s="191"/>
      <c r="E217" s="191"/>
      <c r="F217" s="191"/>
      <c r="G217" s="191"/>
      <c r="H217" s="191"/>
      <c r="I217" s="191"/>
      <c r="J217" s="191"/>
      <c r="K217" s="191"/>
      <c r="L217" s="191"/>
      <c r="M217" s="191"/>
      <c r="N217" s="191"/>
      <c r="O217" s="191"/>
      <c r="P217" s="191"/>
      <c r="Q217" s="191"/>
      <c r="R217" s="191"/>
      <c r="S217" s="191"/>
      <c r="T217" s="191"/>
      <c r="U217" s="191"/>
      <c r="V217" s="635"/>
      <c r="W217" s="396"/>
      <c r="X217" s="635"/>
    </row>
    <row r="218" spans="1:25" ht="15.75">
      <c r="A218" s="635"/>
      <c r="B218" s="378" t="s">
        <v>135</v>
      </c>
      <c r="C218" s="218" t="s">
        <v>730</v>
      </c>
      <c r="D218" s="218"/>
      <c r="E218" s="218"/>
      <c r="F218" s="218"/>
      <c r="G218" s="218"/>
      <c r="H218" s="218"/>
      <c r="I218" s="218"/>
      <c r="J218" s="218"/>
      <c r="K218" s="218"/>
      <c r="L218" s="218"/>
      <c r="M218" s="218"/>
      <c r="N218" s="218"/>
      <c r="O218" s="218"/>
      <c r="P218" s="218"/>
      <c r="Q218" s="218"/>
      <c r="R218" s="218"/>
      <c r="S218" s="218"/>
      <c r="T218" s="218"/>
      <c r="U218" s="218"/>
      <c r="V218" s="635"/>
      <c r="W218" s="396"/>
      <c r="X218" s="635"/>
    </row>
    <row r="219" spans="1:25" ht="27.75" customHeight="1">
      <c r="A219" s="635"/>
      <c r="B219" s="5972"/>
      <c r="C219" s="5973"/>
      <c r="D219" s="5973"/>
      <c r="E219" s="5973"/>
      <c r="F219" s="5973"/>
      <c r="G219" s="5973"/>
      <c r="H219" s="5973"/>
      <c r="I219" s="5973"/>
      <c r="J219" s="5973"/>
      <c r="K219" s="5973"/>
      <c r="L219" s="5973"/>
      <c r="M219" s="5973"/>
      <c r="N219" s="5973"/>
      <c r="O219" s="5973"/>
      <c r="P219" s="5973"/>
      <c r="Q219" s="5973"/>
      <c r="R219" s="5973"/>
      <c r="S219" s="5974"/>
      <c r="T219" s="5960"/>
      <c r="U219" s="5961"/>
      <c r="V219" s="635"/>
      <c r="W219" s="396"/>
      <c r="X219" s="635"/>
    </row>
    <row r="220" spans="1:25" ht="27.75" customHeight="1">
      <c r="A220" s="635"/>
      <c r="B220" s="5962"/>
      <c r="C220" s="5958"/>
      <c r="D220" s="5958"/>
      <c r="E220" s="5958"/>
      <c r="F220" s="5958"/>
      <c r="G220" s="5958"/>
      <c r="H220" s="5958"/>
      <c r="I220" s="5958"/>
      <c r="J220" s="5958"/>
      <c r="K220" s="5958"/>
      <c r="L220" s="5958"/>
      <c r="M220" s="5958"/>
      <c r="N220" s="5958"/>
      <c r="O220" s="5958"/>
      <c r="P220" s="5958"/>
      <c r="Q220" s="5958"/>
      <c r="R220" s="5958"/>
      <c r="S220" s="5959"/>
      <c r="T220" s="5960"/>
      <c r="U220" s="5961"/>
      <c r="V220" s="635"/>
      <c r="W220" s="396"/>
      <c r="X220" s="635"/>
    </row>
    <row r="221" spans="1:25" ht="27.75" customHeight="1">
      <c r="A221" s="635"/>
      <c r="B221" s="5962"/>
      <c r="C221" s="5958"/>
      <c r="D221" s="5958"/>
      <c r="E221" s="5958"/>
      <c r="F221" s="5958"/>
      <c r="G221" s="5958"/>
      <c r="H221" s="5958"/>
      <c r="I221" s="5958"/>
      <c r="J221" s="5958"/>
      <c r="K221" s="5958"/>
      <c r="L221" s="5958"/>
      <c r="M221" s="5958"/>
      <c r="N221" s="5958"/>
      <c r="O221" s="5958"/>
      <c r="P221" s="5958"/>
      <c r="Q221" s="5958"/>
      <c r="R221" s="5958"/>
      <c r="S221" s="5959"/>
      <c r="T221" s="5960"/>
      <c r="U221" s="5961"/>
      <c r="V221" s="635"/>
      <c r="W221" s="396"/>
      <c r="X221" s="635"/>
    </row>
    <row r="222" spans="1:25" ht="27.75" customHeight="1">
      <c r="A222" s="635"/>
      <c r="B222" s="5962"/>
      <c r="C222" s="5958"/>
      <c r="D222" s="5958"/>
      <c r="E222" s="5958"/>
      <c r="F222" s="5958"/>
      <c r="G222" s="5958"/>
      <c r="H222" s="5958"/>
      <c r="I222" s="5958"/>
      <c r="J222" s="5958"/>
      <c r="K222" s="5958"/>
      <c r="L222" s="5958"/>
      <c r="M222" s="5958"/>
      <c r="N222" s="5958"/>
      <c r="O222" s="5958"/>
      <c r="P222" s="5958"/>
      <c r="Q222" s="5958"/>
      <c r="R222" s="5958"/>
      <c r="S222" s="5959"/>
      <c r="T222" s="5960"/>
      <c r="U222" s="5961"/>
      <c r="V222" s="635"/>
      <c r="W222" s="396"/>
      <c r="X222" s="635"/>
    </row>
    <row r="223" spans="1:25" ht="27.75" customHeight="1">
      <c r="A223" s="635"/>
      <c r="B223" s="5962"/>
      <c r="C223" s="5958"/>
      <c r="D223" s="5958"/>
      <c r="E223" s="5958"/>
      <c r="F223" s="5958"/>
      <c r="G223" s="5958"/>
      <c r="H223" s="5958"/>
      <c r="I223" s="5958"/>
      <c r="J223" s="5958"/>
      <c r="K223" s="5958"/>
      <c r="L223" s="5958"/>
      <c r="M223" s="5958"/>
      <c r="N223" s="5958"/>
      <c r="O223" s="5958"/>
      <c r="P223" s="5958"/>
      <c r="Q223" s="5958"/>
      <c r="R223" s="5958"/>
      <c r="S223" s="5959"/>
      <c r="T223" s="5960"/>
      <c r="U223" s="5961"/>
      <c r="V223" s="635"/>
      <c r="W223" s="396"/>
      <c r="X223" s="635"/>
    </row>
    <row r="224" spans="1:25" ht="27.75" customHeight="1">
      <c r="A224" s="635"/>
      <c r="B224" s="5962"/>
      <c r="C224" s="5958"/>
      <c r="D224" s="5958"/>
      <c r="E224" s="5958"/>
      <c r="F224" s="5958"/>
      <c r="G224" s="5958"/>
      <c r="H224" s="5958"/>
      <c r="I224" s="5958"/>
      <c r="J224" s="5958"/>
      <c r="K224" s="5958"/>
      <c r="L224" s="5958"/>
      <c r="M224" s="5958"/>
      <c r="N224" s="5958"/>
      <c r="O224" s="5958"/>
      <c r="P224" s="5958"/>
      <c r="Q224" s="5958"/>
      <c r="R224" s="5958"/>
      <c r="S224" s="5959"/>
      <c r="T224" s="5960"/>
      <c r="U224" s="5961"/>
      <c r="V224" s="635"/>
      <c r="W224" s="396"/>
      <c r="X224" s="635"/>
    </row>
    <row r="225" spans="1:24" ht="27.75" customHeight="1">
      <c r="A225" s="635"/>
      <c r="B225" s="5958"/>
      <c r="C225" s="5958"/>
      <c r="D225" s="5958"/>
      <c r="E225" s="5958"/>
      <c r="F225" s="5958"/>
      <c r="G225" s="5958"/>
      <c r="H225" s="5958"/>
      <c r="I225" s="5958"/>
      <c r="J225" s="5958"/>
      <c r="K225" s="5958"/>
      <c r="L225" s="5958"/>
      <c r="M225" s="5958"/>
      <c r="N225" s="5958"/>
      <c r="O225" s="5958"/>
      <c r="P225" s="5958"/>
      <c r="Q225" s="5958"/>
      <c r="R225" s="5958"/>
      <c r="S225" s="5959"/>
      <c r="T225" s="5960"/>
      <c r="U225" s="5961"/>
      <c r="V225" s="635"/>
      <c r="W225" s="396"/>
      <c r="X225" s="635"/>
    </row>
    <row r="226" spans="1:24" ht="27.75" customHeight="1">
      <c r="A226" s="635"/>
      <c r="B226" s="5962"/>
      <c r="C226" s="5958"/>
      <c r="D226" s="5958"/>
      <c r="E226" s="5958"/>
      <c r="F226" s="5958"/>
      <c r="G226" s="5958"/>
      <c r="H226" s="5958"/>
      <c r="I226" s="5958"/>
      <c r="J226" s="5958"/>
      <c r="K226" s="5958"/>
      <c r="L226" s="5958"/>
      <c r="M226" s="5958"/>
      <c r="N226" s="5958"/>
      <c r="O226" s="5958"/>
      <c r="P226" s="5958"/>
      <c r="Q226" s="5958"/>
      <c r="R226" s="5958"/>
      <c r="S226" s="5959"/>
      <c r="T226" s="5960"/>
      <c r="U226" s="5961"/>
      <c r="V226" s="635"/>
      <c r="W226" s="396"/>
      <c r="X226" s="635"/>
    </row>
    <row r="227" spans="1:24" ht="27.75" customHeight="1">
      <c r="A227" s="635"/>
      <c r="B227" s="5963"/>
      <c r="C227" s="5964"/>
      <c r="D227" s="5964"/>
      <c r="E227" s="5964"/>
      <c r="F227" s="5964"/>
      <c r="G227" s="5964"/>
      <c r="H227" s="5964"/>
      <c r="I227" s="5964"/>
      <c r="J227" s="5964"/>
      <c r="K227" s="5964"/>
      <c r="L227" s="5964"/>
      <c r="M227" s="5964"/>
      <c r="N227" s="5964"/>
      <c r="O227" s="5964"/>
      <c r="P227" s="5964"/>
      <c r="Q227" s="5964"/>
      <c r="R227" s="5964"/>
      <c r="S227" s="5965"/>
      <c r="T227" s="5960"/>
      <c r="U227" s="5961"/>
      <c r="V227" s="635"/>
      <c r="W227" s="396"/>
      <c r="X227" s="635"/>
    </row>
    <row r="228" spans="1:24" ht="16.5" customHeight="1" thickBot="1">
      <c r="A228" s="635"/>
      <c r="B228" s="214">
        <v>48</v>
      </c>
      <c r="C228" s="1178" t="s">
        <v>2484</v>
      </c>
      <c r="D228" s="227"/>
      <c r="E228" s="212"/>
      <c r="F228" s="212"/>
      <c r="G228" s="212"/>
      <c r="H228" s="212"/>
      <c r="I228" s="212"/>
      <c r="J228" s="212"/>
      <c r="K228" s="212"/>
      <c r="L228" s="212"/>
      <c r="M228" s="212"/>
      <c r="N228" s="212"/>
      <c r="O228" s="212"/>
      <c r="P228" s="212"/>
      <c r="Q228" s="228"/>
      <c r="R228" s="2952" t="s">
        <v>2673</v>
      </c>
      <c r="S228" s="229">
        <v>48</v>
      </c>
      <c r="T228" s="5956">
        <f>ROUND(SUM(T219,T220,T221,T222,T223,T224,T225,T226,T227),0)</f>
        <v>0</v>
      </c>
      <c r="U228" s="5957"/>
      <c r="V228" s="635"/>
      <c r="W228" s="396"/>
      <c r="X228" s="635"/>
    </row>
    <row r="229" spans="1:24" ht="20.25" customHeight="1">
      <c r="A229" s="635"/>
      <c r="B229" s="385"/>
      <c r="C229" s="385"/>
      <c r="D229" s="385"/>
      <c r="E229" s="385"/>
      <c r="F229" s="386"/>
      <c r="G229" s="386"/>
      <c r="H229" s="386"/>
      <c r="I229" s="387"/>
      <c r="J229" s="387"/>
      <c r="K229" s="387"/>
      <c r="L229" s="388"/>
      <c r="M229" s="387"/>
      <c r="N229" s="386"/>
      <c r="O229" s="386"/>
      <c r="P229" s="389"/>
      <c r="Q229" s="386"/>
      <c r="R229" s="386"/>
      <c r="S229" s="388"/>
      <c r="T229" s="390"/>
      <c r="U229" s="390" t="str">
        <f>"Schedule C   (Form 1040)  "&amp;TaxYear</f>
        <v>Schedule C   (Form 1040)  2018</v>
      </c>
      <c r="V229" s="635"/>
      <c r="W229" s="396"/>
      <c r="X229" s="635"/>
    </row>
    <row r="230" spans="1:24" ht="8.25" customHeight="1">
      <c r="A230" s="635"/>
      <c r="B230" s="687"/>
      <c r="C230" s="687"/>
      <c r="D230" s="687"/>
      <c r="E230" s="687"/>
      <c r="F230" s="613"/>
      <c r="G230" s="613"/>
      <c r="H230" s="613"/>
      <c r="I230" s="688"/>
      <c r="J230" s="688"/>
      <c r="K230" s="688"/>
      <c r="L230" s="688"/>
      <c r="M230" s="688"/>
      <c r="N230" s="613"/>
      <c r="O230" s="613"/>
      <c r="P230" s="689"/>
      <c r="Q230" s="613"/>
      <c r="R230" s="613"/>
      <c r="S230" s="613"/>
      <c r="T230" s="613"/>
      <c r="U230" s="613"/>
      <c r="V230" s="635"/>
      <c r="W230" s="396"/>
      <c r="X230" s="635"/>
    </row>
    <row r="231" spans="1:24">
      <c r="B231" s="9"/>
      <c r="C231" s="10"/>
      <c r="D231" s="10"/>
      <c r="E231" s="10"/>
      <c r="F231" s="10"/>
      <c r="G231" s="10"/>
      <c r="H231" s="10"/>
      <c r="I231" s="11"/>
      <c r="J231" s="11"/>
      <c r="K231" s="11"/>
      <c r="L231" s="11"/>
      <c r="M231" s="12"/>
      <c r="N231" s="10"/>
      <c r="O231" s="10"/>
      <c r="P231" s="8"/>
      <c r="Q231" s="10"/>
      <c r="R231" s="10"/>
      <c r="S231" s="10"/>
      <c r="T231" s="10"/>
      <c r="U231" s="10"/>
    </row>
    <row r="232" spans="1:24" ht="13.5" thickBot="1">
      <c r="B232" s="9"/>
      <c r="C232" s="10"/>
      <c r="D232" s="10"/>
      <c r="E232" s="10"/>
      <c r="F232" s="10"/>
      <c r="G232" s="10"/>
      <c r="H232" s="10"/>
      <c r="I232" s="11"/>
      <c r="J232" s="11"/>
      <c r="K232" s="11"/>
      <c r="L232" s="9"/>
      <c r="M232" s="13"/>
      <c r="N232" s="10"/>
      <c r="O232" s="10"/>
      <c r="P232" s="8"/>
      <c r="Q232" s="10"/>
      <c r="R232" s="10"/>
      <c r="S232" s="10"/>
      <c r="T232" s="10"/>
      <c r="U232" s="10"/>
    </row>
    <row r="233" spans="1:24" ht="14.25" thickTop="1" thickBot="1">
      <c r="B233" s="594"/>
      <c r="C233" s="6021" t="s">
        <v>71</v>
      </c>
      <c r="D233" s="6022"/>
      <c r="E233" s="6022"/>
      <c r="F233" s="6022"/>
      <c r="G233" s="6023"/>
      <c r="H233" s="595"/>
      <c r="I233" s="596"/>
      <c r="J233" s="596"/>
      <c r="K233" s="596"/>
      <c r="L233" s="594"/>
      <c r="M233" s="597"/>
      <c r="N233" s="595"/>
      <c r="O233" s="595"/>
      <c r="P233" s="598"/>
      <c r="Q233" s="595"/>
      <c r="R233" s="595"/>
      <c r="S233" s="595"/>
      <c r="T233" s="595"/>
      <c r="U233" s="595"/>
    </row>
    <row r="234" spans="1:24" ht="14.25" thickTop="1" thickBot="1">
      <c r="B234" s="594"/>
      <c r="C234" s="595"/>
      <c r="D234" s="595"/>
      <c r="E234" s="595"/>
      <c r="F234" s="595"/>
      <c r="G234" s="595"/>
      <c r="H234" s="595"/>
      <c r="I234" s="596"/>
      <c r="J234" s="596"/>
      <c r="K234" s="596"/>
      <c r="L234" s="594"/>
      <c r="M234" s="599"/>
      <c r="N234" s="595"/>
      <c r="O234" s="595"/>
      <c r="P234" s="598"/>
      <c r="Q234" s="595"/>
      <c r="R234" s="595"/>
      <c r="S234" s="595"/>
      <c r="T234" s="595"/>
      <c r="U234" s="595"/>
    </row>
    <row r="235" spans="1:24" ht="27.75" customHeight="1" thickTop="1" thickBot="1">
      <c r="B235" s="594"/>
      <c r="C235" s="6018" t="s">
        <v>683</v>
      </c>
      <c r="D235" s="6019"/>
      <c r="E235" s="6019"/>
      <c r="F235" s="6019"/>
      <c r="G235" s="6020"/>
      <c r="H235" s="595"/>
      <c r="I235" s="596"/>
      <c r="J235" s="596"/>
      <c r="K235" s="596"/>
      <c r="L235" s="594"/>
      <c r="M235" s="599"/>
      <c r="N235" s="595"/>
      <c r="O235" s="595"/>
      <c r="P235" s="598"/>
      <c r="Q235" s="595"/>
      <c r="R235" s="595"/>
      <c r="S235" s="595"/>
      <c r="T235" s="595"/>
      <c r="U235" s="595"/>
    </row>
    <row r="236" spans="1:24" ht="13.5" thickTop="1"/>
  </sheetData>
  <sheetProtection password="F07E" sheet="1" objects="1" scenarios="1"/>
  <mergeCells count="150">
    <mergeCell ref="B4:C5"/>
    <mergeCell ref="N15:U15"/>
    <mergeCell ref="D5:Q5"/>
    <mergeCell ref="T27:U27"/>
    <mergeCell ref="T29:U29"/>
    <mergeCell ref="B7:L7"/>
    <mergeCell ref="B9:L9"/>
    <mergeCell ref="B11:L11"/>
    <mergeCell ref="M7:T7"/>
    <mergeCell ref="I12:U12"/>
    <mergeCell ref="T23:U23"/>
    <mergeCell ref="D4:Q4"/>
    <mergeCell ref="T28:U28"/>
    <mergeCell ref="R4:T5"/>
    <mergeCell ref="U4:U5"/>
    <mergeCell ref="R2:U2"/>
    <mergeCell ref="R3:U3"/>
    <mergeCell ref="T26:U26"/>
    <mergeCell ref="T106:U106"/>
    <mergeCell ref="T107:U107"/>
    <mergeCell ref="I13:U13"/>
    <mergeCell ref="T86:U86"/>
    <mergeCell ref="O91:S91"/>
    <mergeCell ref="O94:P94"/>
    <mergeCell ref="T44:U44"/>
    <mergeCell ref="T24:U24"/>
    <mergeCell ref="T25:U25"/>
    <mergeCell ref="T75:U76"/>
    <mergeCell ref="T48:U48"/>
    <mergeCell ref="T46:U46"/>
    <mergeCell ref="T83:U84"/>
    <mergeCell ref="Q94:S94"/>
    <mergeCell ref="J94:L94"/>
    <mergeCell ref="B105:S105"/>
    <mergeCell ref="I52:L52"/>
    <mergeCell ref="T49:U49"/>
    <mergeCell ref="T50:U50"/>
    <mergeCell ref="M51:Q51"/>
    <mergeCell ref="T32:U32"/>
    <mergeCell ref="C235:G235"/>
    <mergeCell ref="B106:S106"/>
    <mergeCell ref="B111:S111"/>
    <mergeCell ref="B112:S112"/>
    <mergeCell ref="B113:S113"/>
    <mergeCell ref="C233:G233"/>
    <mergeCell ref="B109:S109"/>
    <mergeCell ref="B110:S110"/>
    <mergeCell ref="B107:S107"/>
    <mergeCell ref="B108:S108"/>
    <mergeCell ref="R116:U116"/>
    <mergeCell ref="R117:U117"/>
    <mergeCell ref="B118:C119"/>
    <mergeCell ref="D118:Q118"/>
    <mergeCell ref="D119:Q119"/>
    <mergeCell ref="T110:U110"/>
    <mergeCell ref="B121:L121"/>
    <mergeCell ref="M121:T121"/>
    <mergeCell ref="B123:L123"/>
    <mergeCell ref="B125:L125"/>
    <mergeCell ref="T151:U151"/>
    <mergeCell ref="T152:U152"/>
    <mergeCell ref="T154:U154"/>
    <mergeCell ref="T156:U156"/>
    <mergeCell ref="T37:U37"/>
    <mergeCell ref="T35:U35"/>
    <mergeCell ref="T36:U36"/>
    <mergeCell ref="T34:U34"/>
    <mergeCell ref="T31:U31"/>
    <mergeCell ref="T114:U114"/>
    <mergeCell ref="T81:U82"/>
    <mergeCell ref="T73:U74"/>
    <mergeCell ref="T47:U47"/>
    <mergeCell ref="T53:U53"/>
    <mergeCell ref="T72:U72"/>
    <mergeCell ref="T77:U78"/>
    <mergeCell ref="T56:U56"/>
    <mergeCell ref="T79:U80"/>
    <mergeCell ref="T85:U85"/>
    <mergeCell ref="T108:U108"/>
    <mergeCell ref="T105:U105"/>
    <mergeCell ref="T113:U113"/>
    <mergeCell ref="T109:U109"/>
    <mergeCell ref="T111:U111"/>
    <mergeCell ref="T112:U112"/>
    <mergeCell ref="T45:U45"/>
    <mergeCell ref="T43:U43"/>
    <mergeCell ref="T38:U38"/>
    <mergeCell ref="T40:U40"/>
    <mergeCell ref="T42:U42"/>
    <mergeCell ref="T139:U139"/>
    <mergeCell ref="T140:U140"/>
    <mergeCell ref="T141:U141"/>
    <mergeCell ref="T142:U142"/>
    <mergeCell ref="T143:U143"/>
    <mergeCell ref="I126:U126"/>
    <mergeCell ref="I127:U127"/>
    <mergeCell ref="N129:U129"/>
    <mergeCell ref="T137:U137"/>
    <mergeCell ref="T138:U138"/>
    <mergeCell ref="R118:T119"/>
    <mergeCell ref="U118:U119"/>
    <mergeCell ref="T157:U157"/>
    <mergeCell ref="T145:U145"/>
    <mergeCell ref="T146:U146"/>
    <mergeCell ref="T148:U148"/>
    <mergeCell ref="T149:U149"/>
    <mergeCell ref="T150:U150"/>
    <mergeCell ref="T163:U163"/>
    <mergeCell ref="T164:U164"/>
    <mergeCell ref="M165:Q165"/>
    <mergeCell ref="I166:L166"/>
    <mergeCell ref="T167:U167"/>
    <mergeCell ref="T158:U158"/>
    <mergeCell ref="T159:U159"/>
    <mergeCell ref="T160:U160"/>
    <mergeCell ref="T161:U161"/>
    <mergeCell ref="T162:U162"/>
    <mergeCell ref="T193:U194"/>
    <mergeCell ref="T195:U196"/>
    <mergeCell ref="T197:U198"/>
    <mergeCell ref="T199:U199"/>
    <mergeCell ref="T200:U200"/>
    <mergeCell ref="T170:U170"/>
    <mergeCell ref="T186:U186"/>
    <mergeCell ref="T187:U188"/>
    <mergeCell ref="T189:U190"/>
    <mergeCell ref="T191:U192"/>
    <mergeCell ref="T219:U219"/>
    <mergeCell ref="B220:S220"/>
    <mergeCell ref="T220:U220"/>
    <mergeCell ref="B221:S221"/>
    <mergeCell ref="T221:U221"/>
    <mergeCell ref="O205:S205"/>
    <mergeCell ref="J208:L208"/>
    <mergeCell ref="O208:P208"/>
    <mergeCell ref="Q208:S208"/>
    <mergeCell ref="B219:S219"/>
    <mergeCell ref="T228:U228"/>
    <mergeCell ref="B225:S225"/>
    <mergeCell ref="T225:U225"/>
    <mergeCell ref="B226:S226"/>
    <mergeCell ref="T226:U226"/>
    <mergeCell ref="B227:S227"/>
    <mergeCell ref="T227:U227"/>
    <mergeCell ref="B222:S222"/>
    <mergeCell ref="T222:U222"/>
    <mergeCell ref="B223:S223"/>
    <mergeCell ref="T223:U223"/>
    <mergeCell ref="B224:S224"/>
    <mergeCell ref="T224:U224"/>
  </mergeCells>
  <phoneticPr fontId="12" type="noConversion"/>
  <conditionalFormatting sqref="B7:U7">
    <cfRule type="expression" dxfId="2075" priority="139">
      <formula>IF(NoColor,1,0)</formula>
    </cfRule>
  </conditionalFormatting>
  <conditionalFormatting sqref="B9:L9">
    <cfRule type="expression" dxfId="2074" priority="138">
      <formula>IF(NoColor,1,0)</formula>
    </cfRule>
  </conditionalFormatting>
  <conditionalFormatting sqref="B11:L11">
    <cfRule type="expression" dxfId="2073" priority="137">
      <formula>IF(NoColor,1,0)</formula>
    </cfRule>
  </conditionalFormatting>
  <conditionalFormatting sqref="P9:U9">
    <cfRule type="expression" dxfId="2072" priority="136">
      <formula>IF(NoColor,1,0)</formula>
    </cfRule>
  </conditionalFormatting>
  <conditionalFormatting sqref="M11:U11">
    <cfRule type="expression" dxfId="2071" priority="135">
      <formula>IF(NoColor,1,0)</formula>
    </cfRule>
  </conditionalFormatting>
  <conditionalFormatting sqref="I12:U13">
    <cfRule type="expression" dxfId="2070" priority="134">
      <formula>IF(NoColor,1,0)</formula>
    </cfRule>
  </conditionalFormatting>
  <conditionalFormatting sqref="E15">
    <cfRule type="expression" dxfId="2069" priority="133">
      <formula>IF(NoColor,1,0)</formula>
    </cfRule>
  </conditionalFormatting>
  <conditionalFormatting sqref="H15">
    <cfRule type="expression" dxfId="2068" priority="132">
      <formula>IF(NoColor,1,0)</formula>
    </cfRule>
  </conditionalFormatting>
  <conditionalFormatting sqref="K15">
    <cfRule type="expression" dxfId="2067" priority="131">
      <formula>IF(NoColor,1,0)</formula>
    </cfRule>
  </conditionalFormatting>
  <conditionalFormatting sqref="R17:R20">
    <cfRule type="expression" dxfId="2066" priority="130">
      <formula>IF(NoColor,1,0)</formula>
    </cfRule>
  </conditionalFormatting>
  <conditionalFormatting sqref="T19:T20">
    <cfRule type="expression" dxfId="2065" priority="129">
      <formula>IF(NoColor,1,0)</formula>
    </cfRule>
  </conditionalFormatting>
  <conditionalFormatting sqref="T17">
    <cfRule type="expression" dxfId="2064" priority="128">
      <formula>IF(NoColor,1,0)</formula>
    </cfRule>
  </conditionalFormatting>
  <conditionalFormatting sqref="N15:U15">
    <cfRule type="expression" dxfId="2063" priority="127">
      <formula>IF(NoColor,1,0)</formula>
    </cfRule>
  </conditionalFormatting>
  <conditionalFormatting sqref="Q23">
    <cfRule type="expression" dxfId="2062" priority="126">
      <formula>IF(NoColor,1,0)</formula>
    </cfRule>
  </conditionalFormatting>
  <conditionalFormatting sqref="T23:U24 T28:U28">
    <cfRule type="expression" dxfId="2061" priority="125">
      <formula>IF(NoColor,1,0)</formula>
    </cfRule>
  </conditionalFormatting>
  <conditionalFormatting sqref="I31:I46">
    <cfRule type="expression" dxfId="2060" priority="124">
      <formula>IF(NoColor,1,0)</formula>
    </cfRule>
  </conditionalFormatting>
  <conditionalFormatting sqref="T31:U46">
    <cfRule type="expression" dxfId="2059" priority="123">
      <formula>IF(NoColor,1,0)</formula>
    </cfRule>
  </conditionalFormatting>
  <conditionalFormatting sqref="T53:U56 T47:U48">
    <cfRule type="expression" dxfId="2058" priority="122">
      <formula>IF(NoColor,1,0)</formula>
    </cfRule>
  </conditionalFormatting>
  <conditionalFormatting sqref="R59:R60">
    <cfRule type="expression" dxfId="2057" priority="121">
      <formula>IF(NoColor,1,0)</formula>
    </cfRule>
  </conditionalFormatting>
  <conditionalFormatting sqref="E68">
    <cfRule type="expression" dxfId="2056" priority="120">
      <formula>IF(NoColor,1,0)</formula>
    </cfRule>
  </conditionalFormatting>
  <conditionalFormatting sqref="H68">
    <cfRule type="expression" dxfId="2055" priority="119">
      <formula>IF(NoColor,1,0)</formula>
    </cfRule>
  </conditionalFormatting>
  <conditionalFormatting sqref="N68">
    <cfRule type="expression" dxfId="2054" priority="118">
      <formula>IF(NoColor,1,0)</formula>
    </cfRule>
  </conditionalFormatting>
  <conditionalFormatting sqref="M102">
    <cfRule type="expression" dxfId="2053" priority="111">
      <formula>IF(NoColor,1,0)</formula>
    </cfRule>
  </conditionalFormatting>
  <conditionalFormatting sqref="Q70">
    <cfRule type="expression" dxfId="2052" priority="116">
      <formula>IF(NoColor,1,0)</formula>
    </cfRule>
  </conditionalFormatting>
  <conditionalFormatting sqref="T72:U86">
    <cfRule type="expression" dxfId="2051" priority="115">
      <formula>IF(NoColor,1,0)</formula>
    </cfRule>
  </conditionalFormatting>
  <conditionalFormatting sqref="M98">
    <cfRule type="expression" dxfId="2050" priority="114">
      <formula>IF(NoColor,1,0)</formula>
    </cfRule>
  </conditionalFormatting>
  <conditionalFormatting sqref="M96">
    <cfRule type="expression" dxfId="2049" priority="113">
      <formula>IF(NoColor,1,0)</formula>
    </cfRule>
  </conditionalFormatting>
  <conditionalFormatting sqref="M100">
    <cfRule type="expression" dxfId="2048" priority="112">
      <formula>IF(NoColor,1,0)</formula>
    </cfRule>
  </conditionalFormatting>
  <conditionalFormatting sqref="P98">
    <cfRule type="expression" dxfId="2047" priority="110">
      <formula>IF(NoColor,1,0)</formula>
    </cfRule>
  </conditionalFormatting>
  <conditionalFormatting sqref="P96">
    <cfRule type="expression" dxfId="2046" priority="109">
      <formula>IF(NoColor,1,0)</formula>
    </cfRule>
  </conditionalFormatting>
  <conditionalFormatting sqref="P100">
    <cfRule type="expression" dxfId="2045" priority="108">
      <formula>IF(NoColor,1,0)</formula>
    </cfRule>
  </conditionalFormatting>
  <conditionalFormatting sqref="P102">
    <cfRule type="expression" dxfId="2044" priority="107">
      <formula>IF(NoColor,1,0)</formula>
    </cfRule>
  </conditionalFormatting>
  <conditionalFormatting sqref="O91:S91">
    <cfRule type="expression" dxfId="2043" priority="106">
      <formula>IF(NoColor,1,0)</formula>
    </cfRule>
  </conditionalFormatting>
  <conditionalFormatting sqref="D94">
    <cfRule type="expression" dxfId="2042" priority="105">
      <formula>IF(NoColor,1,0)</formula>
    </cfRule>
  </conditionalFormatting>
  <conditionalFormatting sqref="J94">
    <cfRule type="expression" dxfId="2041" priority="104">
      <formula>IF(NoColor,1,0)</formula>
    </cfRule>
  </conditionalFormatting>
  <conditionalFormatting sqref="J94:L94">
    <cfRule type="expression" dxfId="2040" priority="103">
      <formula>IF(NoColor,1,0)</formula>
    </cfRule>
  </conditionalFormatting>
  <conditionalFormatting sqref="Q94:S94">
    <cfRule type="expression" dxfId="2039" priority="102">
      <formula>IF(NoColor,1,0)</formula>
    </cfRule>
  </conditionalFormatting>
  <conditionalFormatting sqref="B105:U113">
    <cfRule type="expression" dxfId="2038" priority="101">
      <formula>IF(NoColor,1,0)</formula>
    </cfRule>
  </conditionalFormatting>
  <conditionalFormatting sqref="T114:U114">
    <cfRule type="expression" dxfId="2037" priority="100">
      <formula>IF(NoColor,1,0)</formula>
    </cfRule>
  </conditionalFormatting>
  <conditionalFormatting sqref="T50:U52">
    <cfRule type="expression" dxfId="2036" priority="98">
      <formula>IF(NoColor,1,0)</formula>
    </cfRule>
  </conditionalFormatting>
  <conditionalFormatting sqref="I52">
    <cfRule type="expression" dxfId="2035" priority="92">
      <formula>IF(NoColor,1,0)</formula>
    </cfRule>
  </conditionalFormatting>
  <conditionalFormatting sqref="T29:U29">
    <cfRule type="expression" dxfId="2034" priority="96">
      <formula>IF(NoColor,1,0)</formula>
    </cfRule>
  </conditionalFormatting>
  <conditionalFormatting sqref="T27:U27">
    <cfRule type="expression" dxfId="2033" priority="95">
      <formula>IF(NoColor,1,0)</formula>
    </cfRule>
  </conditionalFormatting>
  <conditionalFormatting sqref="T25:U26">
    <cfRule type="expression" dxfId="2032" priority="94">
      <formula>IF(NoColor,1,0)</formula>
    </cfRule>
  </conditionalFormatting>
  <conditionalFormatting sqref="M51:Q51">
    <cfRule type="expression" dxfId="2031" priority="93">
      <formula>IF(NoColor,1,0)</formula>
    </cfRule>
  </conditionalFormatting>
  <conditionalFormatting sqref="T49:U49">
    <cfRule type="expression" dxfId="2030" priority="91">
      <formula>IF(NoColor,1,0)</formula>
    </cfRule>
  </conditionalFormatting>
  <conditionalFormatting sqref="W58">
    <cfRule type="expression" dxfId="2029" priority="90">
      <formula>IF($Y$58,1,0)</formula>
    </cfRule>
  </conditionalFormatting>
  <conditionalFormatting sqref="W59">
    <cfRule type="expression" dxfId="2028" priority="85">
      <formula>IF($Y$58,1,0)</formula>
    </cfRule>
  </conditionalFormatting>
  <conditionalFormatting sqref="W60">
    <cfRule type="expression" dxfId="2027" priority="84">
      <formula>IF($Y$57,1,0)</formula>
    </cfRule>
  </conditionalFormatting>
  <conditionalFormatting sqref="W96">
    <cfRule type="expression" dxfId="2026" priority="83">
      <formula>IF(Y96,1,0)</formula>
    </cfRule>
  </conditionalFormatting>
  <conditionalFormatting sqref="W98">
    <cfRule type="expression" dxfId="2025" priority="79">
      <formula>IF(Y98,1,0)</formula>
    </cfRule>
  </conditionalFormatting>
  <conditionalFormatting sqref="W100">
    <cfRule type="expression" dxfId="2024" priority="78">
      <formula>IF(Y100,1,0)</formula>
    </cfRule>
  </conditionalFormatting>
  <conditionalFormatting sqref="W102">
    <cfRule type="expression" dxfId="2023" priority="77">
      <formula>IF(Y102,1,0)</formula>
    </cfRule>
  </conditionalFormatting>
  <conditionalFormatting sqref="W94">
    <cfRule type="expression" dxfId="2022" priority="76">
      <formula>IF($Y$94,1,0)</formula>
    </cfRule>
  </conditionalFormatting>
  <conditionalFormatting sqref="W95">
    <cfRule type="expression" dxfId="2021" priority="75">
      <formula>IF($Y$94,1,0)</formula>
    </cfRule>
  </conditionalFormatting>
  <conditionalFormatting sqref="D2">
    <cfRule type="expression" dxfId="2020" priority="74">
      <formula>NOT(Draft)</formula>
    </cfRule>
  </conditionalFormatting>
  <conditionalFormatting sqref="D3">
    <cfRule type="expression" dxfId="2019" priority="73">
      <formula>NOT(Draft)</formula>
    </cfRule>
  </conditionalFormatting>
  <conditionalFormatting sqref="Q2">
    <cfRule type="expression" dxfId="2018" priority="72">
      <formula>NOT(Draft)</formula>
    </cfRule>
  </conditionalFormatting>
  <conditionalFormatting sqref="B121:L121 U121">
    <cfRule type="expression" dxfId="2017" priority="71">
      <formula>IF(NoColor,1,0)</formula>
    </cfRule>
  </conditionalFormatting>
  <conditionalFormatting sqref="B123:L123">
    <cfRule type="expression" dxfId="2016" priority="70">
      <formula>IF(NoColor,1,0)</formula>
    </cfRule>
  </conditionalFormatting>
  <conditionalFormatting sqref="B125:L125">
    <cfRule type="expression" dxfId="2015" priority="69">
      <formula>IF(NoColor,1,0)</formula>
    </cfRule>
  </conditionalFormatting>
  <conditionalFormatting sqref="P123:U123">
    <cfRule type="expression" dxfId="2014" priority="68">
      <formula>IF(NoColor,1,0)</formula>
    </cfRule>
  </conditionalFormatting>
  <conditionalFormatting sqref="M125:U125">
    <cfRule type="expression" dxfId="2013" priority="67">
      <formula>IF(NoColor,1,0)</formula>
    </cfRule>
  </conditionalFormatting>
  <conditionalFormatting sqref="I126:U127">
    <cfRule type="expression" dxfId="2012" priority="66">
      <formula>IF(NoColor,1,0)</formula>
    </cfRule>
  </conditionalFormatting>
  <conditionalFormatting sqref="N129:U129">
    <cfRule type="expression" dxfId="2011" priority="59">
      <formula>IF(NoColor,1,0)</formula>
    </cfRule>
  </conditionalFormatting>
  <conditionalFormatting sqref="Q137">
    <cfRule type="expression" dxfId="2010" priority="58">
      <formula>IF(NoColor,1,0)</formula>
    </cfRule>
  </conditionalFormatting>
  <conditionalFormatting sqref="T137:U138 T142:U142">
    <cfRule type="expression" dxfId="2009" priority="57">
      <formula>IF(NoColor,1,0)</formula>
    </cfRule>
  </conditionalFormatting>
  <conditionalFormatting sqref="R131:R134">
    <cfRule type="expression" dxfId="2008" priority="62">
      <formula>IF(NoColor,1,0)</formula>
    </cfRule>
  </conditionalFormatting>
  <conditionalFormatting sqref="T133:T134">
    <cfRule type="expression" dxfId="2007" priority="61">
      <formula>IF(NoColor,1,0)</formula>
    </cfRule>
  </conditionalFormatting>
  <conditionalFormatting sqref="T131">
    <cfRule type="expression" dxfId="2006" priority="60">
      <formula>IF(NoColor,1,0)</formula>
    </cfRule>
  </conditionalFormatting>
  <conditionalFormatting sqref="I145:I160">
    <cfRule type="expression" dxfId="2005" priority="56">
      <formula>IF(NoColor,1,0)</formula>
    </cfRule>
  </conditionalFormatting>
  <conditionalFormatting sqref="T145:U159">
    <cfRule type="expression" dxfId="2004" priority="55">
      <formula>IF(NoColor,1,0)</formula>
    </cfRule>
  </conditionalFormatting>
  <conditionalFormatting sqref="T167:U170 T161:U162">
    <cfRule type="expression" dxfId="2003" priority="54">
      <formula>IF(NoColor,1,0)</formula>
    </cfRule>
  </conditionalFormatting>
  <conditionalFormatting sqref="R173:R174">
    <cfRule type="expression" dxfId="2002" priority="53">
      <formula>IF(NoColor,1,0)</formula>
    </cfRule>
  </conditionalFormatting>
  <conditionalFormatting sqref="E182">
    <cfRule type="expression" dxfId="2001" priority="52">
      <formula>IF(NoColor,1,0)</formula>
    </cfRule>
  </conditionalFormatting>
  <conditionalFormatting sqref="H182">
    <cfRule type="expression" dxfId="2000" priority="51">
      <formula>IF(NoColor,1,0)</formula>
    </cfRule>
  </conditionalFormatting>
  <conditionalFormatting sqref="N182">
    <cfRule type="expression" dxfId="1999" priority="50">
      <formula>IF(NoColor,1,0)</formula>
    </cfRule>
  </conditionalFormatting>
  <conditionalFormatting sqref="T186:U200">
    <cfRule type="expression" dxfId="1998" priority="47">
      <formula>IF(NoColor,1,0)</formula>
    </cfRule>
  </conditionalFormatting>
  <conditionalFormatting sqref="M212">
    <cfRule type="expression" dxfId="1997" priority="46">
      <formula>IF(NoColor,1,0)</formula>
    </cfRule>
  </conditionalFormatting>
  <conditionalFormatting sqref="M210">
    <cfRule type="expression" dxfId="1996" priority="45">
      <formula>IF(NoColor,1,0)</formula>
    </cfRule>
  </conditionalFormatting>
  <conditionalFormatting sqref="M214">
    <cfRule type="expression" dxfId="1995" priority="44">
      <formula>IF(NoColor,1,0)</formula>
    </cfRule>
  </conditionalFormatting>
  <conditionalFormatting sqref="M216">
    <cfRule type="expression" dxfId="1994" priority="43">
      <formula>IF(NoColor,1,0)</formula>
    </cfRule>
  </conditionalFormatting>
  <conditionalFormatting sqref="P212">
    <cfRule type="expression" dxfId="1993" priority="42">
      <formula>IF(NoColor,1,0)</formula>
    </cfRule>
  </conditionalFormatting>
  <conditionalFormatting sqref="P210">
    <cfRule type="expression" dxfId="1992" priority="41">
      <formula>IF(NoColor,1,0)</formula>
    </cfRule>
  </conditionalFormatting>
  <conditionalFormatting sqref="P214">
    <cfRule type="expression" dxfId="1991" priority="40">
      <formula>IF(NoColor,1,0)</formula>
    </cfRule>
  </conditionalFormatting>
  <conditionalFormatting sqref="P216">
    <cfRule type="expression" dxfId="1990" priority="39">
      <formula>IF(NoColor,1,0)</formula>
    </cfRule>
  </conditionalFormatting>
  <conditionalFormatting sqref="O205:S205">
    <cfRule type="expression" dxfId="1989" priority="38">
      <formula>IF(NoColor,1,0)</formula>
    </cfRule>
  </conditionalFormatting>
  <conditionalFormatting sqref="D208">
    <cfRule type="expression" dxfId="1988" priority="37">
      <formula>IF(NoColor,1,0)</formula>
    </cfRule>
  </conditionalFormatting>
  <conditionalFormatting sqref="J208">
    <cfRule type="expression" dxfId="1987" priority="36">
      <formula>IF(NoColor,1,0)</formula>
    </cfRule>
  </conditionalFormatting>
  <conditionalFormatting sqref="J208:L208">
    <cfRule type="expression" dxfId="1986" priority="35">
      <formula>IF(NoColor,1,0)</formula>
    </cfRule>
  </conditionalFormatting>
  <conditionalFormatting sqref="Q208:S208">
    <cfRule type="expression" dxfId="1985" priority="34">
      <formula>IF(NoColor,1,0)</formula>
    </cfRule>
  </conditionalFormatting>
  <conditionalFormatting sqref="B219:U227">
    <cfRule type="expression" dxfId="1984" priority="33">
      <formula>IF(NoColor,1,0)</formula>
    </cfRule>
  </conditionalFormatting>
  <conditionalFormatting sqref="T228:U228">
    <cfRule type="expression" dxfId="1983" priority="32">
      <formula>IF(NoColor,1,0)</formula>
    </cfRule>
  </conditionalFormatting>
  <conditionalFormatting sqref="T164:U166">
    <cfRule type="expression" dxfId="1982" priority="31">
      <formula>IF(NoColor,1,0)</formula>
    </cfRule>
  </conditionalFormatting>
  <conditionalFormatting sqref="I166">
    <cfRule type="expression" dxfId="1981" priority="26">
      <formula>IF(NoColor,1,0)</formula>
    </cfRule>
  </conditionalFormatting>
  <conditionalFormatting sqref="T143:U143">
    <cfRule type="expression" dxfId="1980" priority="30">
      <formula>IF(NoColor,1,0)</formula>
    </cfRule>
  </conditionalFormatting>
  <conditionalFormatting sqref="T141:U141">
    <cfRule type="expression" dxfId="1979" priority="29">
      <formula>IF(NoColor,1,0)</formula>
    </cfRule>
  </conditionalFormatting>
  <conditionalFormatting sqref="T139:U140">
    <cfRule type="expression" dxfId="1978" priority="28">
      <formula>IF(NoColor,1,0)</formula>
    </cfRule>
  </conditionalFormatting>
  <conditionalFormatting sqref="M165:Q165">
    <cfRule type="expression" dxfId="1977" priority="27">
      <formula>IF(NoColor,1,0)</formula>
    </cfRule>
  </conditionalFormatting>
  <conditionalFormatting sqref="T163:U163">
    <cfRule type="expression" dxfId="1976" priority="25">
      <formula>IF(NoColor,1,0)</formula>
    </cfRule>
  </conditionalFormatting>
  <conditionalFormatting sqref="W172">
    <cfRule type="expression" dxfId="1975" priority="24">
      <formula>IF($Y$58,1,0)</formula>
    </cfRule>
  </conditionalFormatting>
  <conditionalFormatting sqref="W173">
    <cfRule type="expression" dxfId="1974" priority="23">
      <formula>IF($Y$58,1,0)</formula>
    </cfRule>
  </conditionalFormatting>
  <conditionalFormatting sqref="W174">
    <cfRule type="expression" dxfId="1973" priority="22">
      <formula>IF($Y$57,1,0)</formula>
    </cfRule>
  </conditionalFormatting>
  <conditionalFormatting sqref="W210">
    <cfRule type="expression" dxfId="1972" priority="21">
      <formula>IF(Y210,1,0)</formula>
    </cfRule>
  </conditionalFormatting>
  <conditionalFormatting sqref="W212">
    <cfRule type="expression" dxfId="1971" priority="20">
      <formula>IF(Y212,1,0)</formula>
    </cfRule>
  </conditionalFormatting>
  <conditionalFormatting sqref="W214">
    <cfRule type="expression" dxfId="1970" priority="19">
      <formula>IF(Y214,1,0)</formula>
    </cfRule>
  </conditionalFormatting>
  <conditionalFormatting sqref="W216">
    <cfRule type="expression" dxfId="1969" priority="18">
      <formula>IF(Y216,1,0)</formula>
    </cfRule>
  </conditionalFormatting>
  <conditionalFormatting sqref="W208">
    <cfRule type="expression" dxfId="1968" priority="17">
      <formula>IF($Y$94,1,0)</formula>
    </cfRule>
  </conditionalFormatting>
  <conditionalFormatting sqref="W209">
    <cfRule type="expression" dxfId="1967" priority="16">
      <formula>IF($Y$94,1,0)</formula>
    </cfRule>
  </conditionalFormatting>
  <conditionalFormatting sqref="D116">
    <cfRule type="expression" dxfId="1966" priority="15">
      <formula>NOT(Draft)</formula>
    </cfRule>
  </conditionalFormatting>
  <conditionalFormatting sqref="D117">
    <cfRule type="expression" dxfId="1965" priority="14">
      <formula>NOT(Draft)</formula>
    </cfRule>
  </conditionalFormatting>
  <conditionalFormatting sqref="Q116">
    <cfRule type="expression" dxfId="1964" priority="13">
      <formula>NOT(Draft)</formula>
    </cfRule>
  </conditionalFormatting>
  <conditionalFormatting sqref="T70">
    <cfRule type="expression" dxfId="1963" priority="12">
      <formula>IF(NoColor,1,0)</formula>
    </cfRule>
  </conditionalFormatting>
  <conditionalFormatting sqref="E129">
    <cfRule type="expression" dxfId="1962" priority="11">
      <formula>IF(NoColor,1,0)</formula>
    </cfRule>
  </conditionalFormatting>
  <conditionalFormatting sqref="H129">
    <cfRule type="expression" dxfId="1961" priority="10">
      <formula>IF(NoColor,1,0)</formula>
    </cfRule>
  </conditionalFormatting>
  <conditionalFormatting sqref="K129">
    <cfRule type="expression" dxfId="1960" priority="9">
      <formula>IF(NoColor,1,0)</formula>
    </cfRule>
  </conditionalFormatting>
  <conditionalFormatting sqref="T160:U160">
    <cfRule type="expression" dxfId="1959" priority="8">
      <formula>IF(NoColor,1,0)</formula>
    </cfRule>
  </conditionalFormatting>
  <conditionalFormatting sqref="T184">
    <cfRule type="expression" dxfId="1958" priority="7">
      <formula>IF(NoColor,1,0)</formula>
    </cfRule>
  </conditionalFormatting>
  <conditionalFormatting sqref="Q184">
    <cfRule type="expression" dxfId="1957" priority="6">
      <formula>IF(NoColor,1,0)</formula>
    </cfRule>
  </conditionalFormatting>
  <conditionalFormatting sqref="M7:T7">
    <cfRule type="expression" dxfId="1956" priority="4">
      <formula>AND(NoSSN,NoColor)</formula>
    </cfRule>
    <cfRule type="expression" dxfId="1955" priority="5">
      <formula>NoSSN</formula>
    </cfRule>
  </conditionalFormatting>
  <conditionalFormatting sqref="M121:T121">
    <cfRule type="expression" dxfId="1954" priority="3">
      <formula>IF(NoColor,1,0)</formula>
    </cfRule>
  </conditionalFormatting>
  <conditionalFormatting sqref="M121:T121">
    <cfRule type="expression" dxfId="1953" priority="1">
      <formula>AND(NoSSN,NoColor)</formula>
    </cfRule>
    <cfRule type="expression" dxfId="1952" priority="2">
      <formula>NoSSN</formula>
    </cfRule>
  </conditionalFormatting>
  <hyperlinks>
    <hyperlink ref="C233:G233" r:id="rId1" display="Download Form 1040 Schedule C"/>
    <hyperlink ref="C235:G235" r:id="rId2" display="Download Form 1040 Schedule C Instructions"/>
  </hyperlinks>
  <printOptions horizontalCentered="1"/>
  <pageMargins left="0.25" right="0.2" top="0.25" bottom="0.27" header="0" footer="0"/>
  <pageSetup scale="89" fitToHeight="0" orientation="portrait" horizontalDpi="120" verticalDpi="144" r:id="rId3"/>
  <headerFooter alignWithMargins="0"/>
  <rowBreaks count="3" manualBreakCount="3">
    <brk id="63" min="1" max="20" man="1"/>
    <brk id="115" min="1" max="20" man="1"/>
    <brk id="177" min="1" max="20" man="1"/>
  </rowBreaks>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BI115"/>
  <sheetViews>
    <sheetView zoomScaleNormal="100" zoomScaleSheetLayoutView="100" workbookViewId="0">
      <selection activeCell="L8" sqref="L8:P8"/>
    </sheetView>
  </sheetViews>
  <sheetFormatPr defaultRowHeight="12.75"/>
  <cols>
    <col min="1" max="1" width="2.42578125" customWidth="1"/>
    <col min="2" max="2" width="3.5703125" customWidth="1"/>
    <col min="3" max="3" width="2.5703125" customWidth="1"/>
    <col min="4" max="4" width="3" customWidth="1"/>
    <col min="5" max="5" width="13.42578125" customWidth="1"/>
    <col min="6" max="6" width="10.42578125" customWidth="1"/>
    <col min="7" max="7" width="15.5703125" customWidth="1"/>
    <col min="8" max="8" width="8.5703125" customWidth="1"/>
    <col min="9" max="9" width="5.140625" customWidth="1"/>
    <col min="10" max="10" width="16" customWidth="1"/>
    <col min="11" max="11" width="2.42578125" customWidth="1"/>
    <col min="12" max="12" width="10.5703125" customWidth="1"/>
    <col min="13" max="13" width="4.140625" customWidth="1"/>
    <col min="14" max="14" width="3.5703125" customWidth="1"/>
    <col min="15" max="15" width="11.28515625" customWidth="1"/>
    <col min="16" max="16" width="2.5703125" customWidth="1"/>
    <col min="17" max="17" width="1.42578125" customWidth="1"/>
    <col min="18" max="18" width="0.85546875" customWidth="1"/>
    <col min="19" max="19" width="13.28515625" customWidth="1"/>
    <col min="20" max="20" width="1.5703125" customWidth="1"/>
    <col min="21" max="23" width="15.140625" customWidth="1"/>
    <col min="24" max="25" width="4.28515625" customWidth="1"/>
    <col min="26" max="30" width="7.7109375" style="3" hidden="1" customWidth="1"/>
    <col min="31" max="31" width="4.28515625" hidden="1" customWidth="1"/>
    <col min="32" max="35" width="7.7109375" style="3" hidden="1" customWidth="1"/>
    <col min="36" max="36" width="4.28515625" hidden="1" customWidth="1"/>
    <col min="37" max="40" width="7.7109375" style="3" hidden="1" customWidth="1"/>
    <col min="41" max="41" width="4.28515625" hidden="1" customWidth="1"/>
    <col min="42" max="45" width="7.7109375" style="3" hidden="1" customWidth="1"/>
    <col min="46" max="46" width="4.28515625" hidden="1" customWidth="1"/>
    <col min="47" max="50" width="7.7109375" style="3" hidden="1" customWidth="1"/>
    <col min="51" max="51" width="4.28515625" customWidth="1"/>
    <col min="52" max="61" width="10.7109375" style="3169" customWidth="1"/>
  </cols>
  <sheetData>
    <row r="1" spans="1:61" ht="16.5" customHeight="1">
      <c r="A1" s="82"/>
      <c r="B1" s="82"/>
      <c r="C1" s="82"/>
      <c r="D1" s="82"/>
      <c r="E1" s="82"/>
      <c r="F1" s="82"/>
      <c r="G1" s="82"/>
      <c r="H1" s="82"/>
      <c r="I1" s="82"/>
      <c r="J1" s="82"/>
      <c r="K1" s="82"/>
      <c r="L1" s="82"/>
      <c r="M1" s="82"/>
      <c r="N1" s="82"/>
      <c r="O1" s="82"/>
      <c r="P1" s="82"/>
      <c r="Q1" s="82"/>
      <c r="R1" s="1519"/>
      <c r="S1" s="82"/>
      <c r="T1" s="82"/>
      <c r="AZ1" s="3168" t="s">
        <v>2552</v>
      </c>
    </row>
    <row r="2" spans="1:61" s="661" customFormat="1" ht="12.75" customHeight="1">
      <c r="A2" s="704"/>
      <c r="B2" s="638" t="s">
        <v>456</v>
      </c>
      <c r="C2" s="745"/>
      <c r="D2" s="4598"/>
      <c r="E2" s="385"/>
      <c r="F2" s="4145"/>
      <c r="G2" s="6090" t="s">
        <v>457</v>
      </c>
      <c r="H2" s="6090"/>
      <c r="I2" s="6090"/>
      <c r="J2" s="6090"/>
      <c r="K2" s="6090"/>
      <c r="L2" s="4230"/>
      <c r="M2" s="6161" t="s">
        <v>94</v>
      </c>
      <c r="N2" s="6162"/>
      <c r="O2" s="6162"/>
      <c r="P2" s="6162"/>
      <c r="Q2" s="4599"/>
      <c r="R2" s="4600"/>
      <c r="S2" s="4601" t="s">
        <v>100</v>
      </c>
      <c r="T2" s="704"/>
      <c r="U2" s="621"/>
      <c r="V2" s="621"/>
      <c r="W2" s="621"/>
      <c r="X2" s="4602"/>
      <c r="Z2" s="1590"/>
      <c r="AA2" s="1589"/>
      <c r="AB2" s="1589"/>
      <c r="AC2" s="1589"/>
      <c r="AD2" s="1594"/>
      <c r="AF2" s="1590"/>
      <c r="AG2" s="1589"/>
      <c r="AH2" s="1589"/>
      <c r="AI2" s="1589"/>
      <c r="AK2" s="1590"/>
      <c r="AL2" s="1589"/>
      <c r="AM2" s="1589"/>
      <c r="AN2" s="1589"/>
      <c r="AP2" s="1590"/>
      <c r="AQ2" s="1589"/>
      <c r="AR2" s="1589"/>
      <c r="AS2" s="1589"/>
      <c r="AU2" s="1590"/>
      <c r="AV2" s="1589"/>
      <c r="AW2" s="1589"/>
      <c r="AX2" s="1589"/>
      <c r="AZ2" s="3176"/>
      <c r="BA2" s="3176"/>
      <c r="BB2" s="3176"/>
      <c r="BC2" s="3176"/>
      <c r="BD2" s="3176"/>
      <c r="BE2" s="3176"/>
      <c r="BF2" s="3176"/>
      <c r="BG2" s="3176"/>
      <c r="BH2" s="3176"/>
      <c r="BI2" s="3176"/>
    </row>
    <row r="3" spans="1:61" ht="14.25" customHeight="1">
      <c r="A3" s="82"/>
      <c r="B3" s="3317" t="s">
        <v>201</v>
      </c>
      <c r="C3" s="647"/>
      <c r="D3" s="174"/>
      <c r="E3" s="168"/>
      <c r="F3" s="4141"/>
      <c r="G3" s="6090"/>
      <c r="H3" s="6090"/>
      <c r="I3" s="6090"/>
      <c r="J3" s="6090"/>
      <c r="K3" s="6090"/>
      <c r="L3" s="4140"/>
      <c r="M3" s="6110">
        <f>TaxYear</f>
        <v>2018</v>
      </c>
      <c r="N3" s="6111"/>
      <c r="O3" s="6111"/>
      <c r="P3" s="6111"/>
      <c r="Q3" s="60"/>
      <c r="R3" s="1520"/>
      <c r="S3" s="1227" t="s">
        <v>468</v>
      </c>
      <c r="T3" s="82"/>
      <c r="U3" s="242"/>
      <c r="V3" s="268"/>
      <c r="W3" s="268"/>
      <c r="X3" s="267"/>
      <c r="Z3" s="559"/>
      <c r="AA3" s="242"/>
      <c r="AB3" s="242"/>
      <c r="AC3" s="242"/>
      <c r="AF3" s="559"/>
      <c r="AG3" s="242"/>
      <c r="AH3" s="242"/>
      <c r="AI3" s="242"/>
      <c r="AK3" s="559"/>
      <c r="AL3" s="242"/>
      <c r="AM3" s="242"/>
      <c r="AN3" s="242"/>
      <c r="AP3" s="559"/>
      <c r="AQ3" s="242"/>
      <c r="AR3" s="242"/>
      <c r="AS3" s="242"/>
      <c r="AU3" s="559"/>
      <c r="AV3" s="242"/>
      <c r="AW3" s="242"/>
      <c r="AX3" s="242"/>
    </row>
    <row r="4" spans="1:61" ht="14.25" customHeight="1">
      <c r="A4" s="82"/>
      <c r="B4" s="4229"/>
      <c r="C4" s="647"/>
      <c r="D4" s="168"/>
      <c r="E4" s="174"/>
      <c r="F4" s="5912" t="s">
        <v>962</v>
      </c>
      <c r="G4" s="5527"/>
      <c r="H4" s="5527"/>
      <c r="I4" s="5527"/>
      <c r="J4" s="5527"/>
      <c r="K4" s="5527"/>
      <c r="L4" s="5701"/>
      <c r="M4" s="6110"/>
      <c r="N4" s="6111"/>
      <c r="O4" s="6111"/>
      <c r="P4" s="6111"/>
      <c r="Q4" s="60"/>
      <c r="R4" s="1520"/>
      <c r="S4" s="82"/>
      <c r="T4" s="82"/>
      <c r="U4" s="268"/>
      <c r="V4" s="268"/>
      <c r="W4" s="268"/>
      <c r="X4" s="267"/>
      <c r="Z4" s="559"/>
      <c r="AA4" s="242"/>
      <c r="AB4" s="242"/>
      <c r="AC4" s="242"/>
      <c r="AF4" s="559"/>
      <c r="AG4" s="242"/>
      <c r="AH4" s="242"/>
      <c r="AI4" s="242"/>
      <c r="AK4" s="559"/>
      <c r="AL4" s="242"/>
      <c r="AM4" s="242"/>
      <c r="AN4" s="242"/>
      <c r="AP4" s="559"/>
      <c r="AQ4" s="242"/>
      <c r="AR4" s="242"/>
      <c r="AS4" s="242"/>
      <c r="AU4" s="559"/>
      <c r="AV4" s="242"/>
      <c r="AW4" s="242"/>
      <c r="AX4" s="242"/>
    </row>
    <row r="5" spans="1:61" ht="12.75" customHeight="1">
      <c r="A5" s="82"/>
      <c r="B5" s="21" t="s">
        <v>202</v>
      </c>
      <c r="C5" s="21"/>
      <c r="D5" s="174"/>
      <c r="E5" s="168"/>
      <c r="F5" s="5912" t="s">
        <v>3424</v>
      </c>
      <c r="G5" s="5527"/>
      <c r="H5" s="5527"/>
      <c r="I5" s="5527"/>
      <c r="J5" s="5527"/>
      <c r="K5" s="5527"/>
      <c r="L5" s="5701"/>
      <c r="M5" s="6121" t="s">
        <v>4171</v>
      </c>
      <c r="N5" s="6122"/>
      <c r="O5" s="6122"/>
      <c r="P5" s="6122"/>
      <c r="Q5" s="32"/>
      <c r="R5" s="1521"/>
      <c r="S5" s="82"/>
      <c r="T5" s="82"/>
      <c r="U5" s="268"/>
      <c r="V5" s="268"/>
      <c r="W5" s="268"/>
      <c r="X5" s="267"/>
      <c r="Z5" s="559"/>
      <c r="AA5" s="242"/>
      <c r="AB5" s="242"/>
      <c r="AC5" s="242"/>
      <c r="AF5" s="559"/>
      <c r="AG5" s="242"/>
      <c r="AH5" s="242"/>
      <c r="AI5" s="242"/>
      <c r="AK5" s="559"/>
      <c r="AL5" s="242"/>
      <c r="AM5" s="242"/>
      <c r="AN5" s="242"/>
      <c r="AP5" s="559"/>
      <c r="AQ5" s="242"/>
      <c r="AR5" s="242"/>
      <c r="AS5" s="242"/>
      <c r="AU5" s="559"/>
      <c r="AV5" s="242"/>
      <c r="AW5" s="242"/>
      <c r="AX5" s="242"/>
    </row>
    <row r="6" spans="1:61" ht="13.5" customHeight="1" thickBot="1">
      <c r="A6" s="82"/>
      <c r="B6" s="1183" t="s">
        <v>257</v>
      </c>
      <c r="C6" s="165"/>
      <c r="D6" s="283"/>
      <c r="E6" s="255"/>
      <c r="F6" s="1182" t="s">
        <v>961</v>
      </c>
      <c r="G6" s="894"/>
      <c r="H6" s="895"/>
      <c r="I6" s="895"/>
      <c r="J6" s="896"/>
      <c r="K6" s="897"/>
      <c r="L6" s="4596"/>
      <c r="M6" s="6123" t="s">
        <v>4172</v>
      </c>
      <c r="N6" s="6124"/>
      <c r="O6" s="6124"/>
      <c r="P6" s="6124"/>
      <c r="Q6" s="1203"/>
      <c r="R6" s="1522"/>
      <c r="S6" s="82"/>
      <c r="T6" s="82"/>
      <c r="U6" s="5"/>
      <c r="V6" s="5"/>
      <c r="W6" s="5"/>
      <c r="X6" s="267"/>
      <c r="Z6" s="559"/>
      <c r="AA6" s="242"/>
      <c r="AB6" s="242"/>
      <c r="AC6" s="242"/>
      <c r="AF6" s="559"/>
      <c r="AG6" s="242"/>
      <c r="AH6" s="242"/>
      <c r="AI6" s="242"/>
      <c r="AK6" s="559"/>
      <c r="AL6" s="242"/>
      <c r="AM6" s="242"/>
      <c r="AN6" s="242"/>
      <c r="AP6" s="559"/>
      <c r="AQ6" s="242"/>
      <c r="AR6" s="242"/>
      <c r="AS6" s="242"/>
      <c r="AU6" s="559"/>
      <c r="AV6" s="242"/>
      <c r="AW6" s="242"/>
      <c r="AX6" s="242"/>
    </row>
    <row r="7" spans="1:61" ht="11.25" customHeight="1">
      <c r="A7" s="82"/>
      <c r="B7" s="21" t="s">
        <v>63</v>
      </c>
      <c r="C7" s="21"/>
      <c r="D7" s="168"/>
      <c r="E7" s="168"/>
      <c r="F7" s="168"/>
      <c r="G7" s="141"/>
      <c r="H7" s="142"/>
      <c r="I7" s="142"/>
      <c r="J7" s="151"/>
      <c r="K7" s="142"/>
      <c r="L7" s="6106" t="s">
        <v>99</v>
      </c>
      <c r="M7" s="6107"/>
      <c r="N7" s="6107"/>
      <c r="O7" s="6107"/>
      <c r="P7" s="6107"/>
      <c r="Q7" s="38"/>
      <c r="R7" s="1523"/>
      <c r="S7" s="82"/>
      <c r="T7" s="82"/>
      <c r="U7" s="5"/>
      <c r="V7" s="5"/>
      <c r="W7" s="243"/>
      <c r="X7" s="243"/>
      <c r="Z7" s="242"/>
      <c r="AA7" s="242"/>
      <c r="AB7" s="242"/>
      <c r="AC7" s="242"/>
      <c r="AF7" s="242"/>
      <c r="AG7" s="242"/>
      <c r="AH7" s="242"/>
      <c r="AI7" s="242"/>
      <c r="AK7" s="242"/>
      <c r="AL7" s="242"/>
      <c r="AM7" s="242"/>
      <c r="AN7" s="242"/>
      <c r="AP7" s="242"/>
      <c r="AQ7" s="242"/>
      <c r="AR7" s="242"/>
      <c r="AS7" s="242"/>
      <c r="AU7" s="242"/>
      <c r="AV7" s="242"/>
      <c r="AW7" s="242"/>
      <c r="AX7" s="242"/>
    </row>
    <row r="8" spans="1:61" ht="14.25" customHeight="1">
      <c r="A8" s="82"/>
      <c r="B8" s="1655" t="str">
        <f>Names</f>
        <v/>
      </c>
      <c r="C8" s="1656"/>
      <c r="D8" s="1657"/>
      <c r="E8" s="1657"/>
      <c r="F8" s="1657"/>
      <c r="G8" s="1658"/>
      <c r="H8" s="1659"/>
      <c r="I8" s="1659"/>
      <c r="J8" s="1660"/>
      <c r="K8" s="1659"/>
      <c r="L8" s="6108">
        <f>IF(NoSSN,"",SS_Yours)</f>
        <v>0</v>
      </c>
      <c r="M8" s="6109"/>
      <c r="N8" s="6109"/>
      <c r="O8" s="6109"/>
      <c r="P8" s="6109"/>
      <c r="Q8" s="290"/>
      <c r="R8" s="1524"/>
      <c r="S8" s="82"/>
      <c r="T8" s="82"/>
      <c r="U8" s="5"/>
      <c r="V8" s="5"/>
      <c r="W8" s="243"/>
      <c r="X8" s="243"/>
      <c r="Z8" s="6160" t="s">
        <v>942</v>
      </c>
      <c r="AA8" s="6160"/>
      <c r="AB8" s="6160"/>
      <c r="AC8" s="6160"/>
      <c r="AD8" s="5372"/>
      <c r="AF8" s="6160" t="s">
        <v>938</v>
      </c>
      <c r="AG8" s="6160"/>
      <c r="AH8" s="6160"/>
      <c r="AI8" s="6160"/>
      <c r="AK8" s="6160" t="s">
        <v>939</v>
      </c>
      <c r="AL8" s="6160"/>
      <c r="AM8" s="6160"/>
      <c r="AN8" s="6160"/>
      <c r="AP8" s="6160" t="s">
        <v>940</v>
      </c>
      <c r="AQ8" s="6160"/>
      <c r="AR8" s="6160"/>
      <c r="AS8" s="6160"/>
      <c r="AU8" s="6160" t="s">
        <v>941</v>
      </c>
      <c r="AV8" s="6160"/>
      <c r="AW8" s="6160"/>
      <c r="AX8" s="6160"/>
    </row>
    <row r="9" spans="1:61" ht="17.25" customHeight="1">
      <c r="A9" s="82"/>
      <c r="B9" s="551" t="s">
        <v>369</v>
      </c>
      <c r="C9" s="663"/>
      <c r="D9" s="230"/>
      <c r="E9" s="230" t="s">
        <v>516</v>
      </c>
      <c r="F9" s="230"/>
      <c r="G9" s="182"/>
      <c r="H9" s="230" t="s">
        <v>3432</v>
      </c>
      <c r="I9" s="564"/>
      <c r="J9" s="230"/>
      <c r="K9" s="183"/>
      <c r="L9" s="741"/>
      <c r="M9" s="4568" t="s">
        <v>2271</v>
      </c>
      <c r="N9" s="737"/>
      <c r="O9" s="737"/>
      <c r="P9" s="737"/>
      <c r="Q9" s="1204"/>
      <c r="R9" s="1525"/>
      <c r="S9" s="82"/>
      <c r="T9" s="82"/>
      <c r="U9" s="82"/>
      <c r="V9" s="82"/>
      <c r="W9" s="82"/>
      <c r="X9" s="1227"/>
      <c r="Z9" s="242"/>
      <c r="AA9" s="242"/>
      <c r="AB9" s="242"/>
      <c r="AC9" s="242"/>
      <c r="AF9" s="242"/>
      <c r="AG9" s="242"/>
      <c r="AH9" s="242"/>
      <c r="AI9" s="242"/>
      <c r="AK9" s="242"/>
      <c r="AL9" s="242"/>
      <c r="AM9" s="242"/>
      <c r="AN9" s="242"/>
      <c r="AP9" s="242"/>
      <c r="AQ9" s="242"/>
      <c r="AR9" s="242"/>
      <c r="AS9" s="242"/>
      <c r="AU9" s="242"/>
      <c r="AV9" s="242"/>
      <c r="AW9" s="242"/>
      <c r="AX9" s="242"/>
    </row>
    <row r="10" spans="1:61" ht="16.5" customHeight="1">
      <c r="A10" s="82"/>
      <c r="B10" s="6093" t="s">
        <v>3425</v>
      </c>
      <c r="C10" s="5663"/>
      <c r="D10" s="5663"/>
      <c r="E10" s="5663"/>
      <c r="F10" s="5663"/>
      <c r="G10" s="5664"/>
      <c r="H10" s="6163" t="s">
        <v>2485</v>
      </c>
      <c r="I10" s="6164"/>
      <c r="J10" s="6112" t="s">
        <v>2055</v>
      </c>
      <c r="K10" s="6100" t="s">
        <v>3426</v>
      </c>
      <c r="L10" s="6101"/>
      <c r="M10" s="6115"/>
      <c r="N10" s="6100" t="s">
        <v>3427</v>
      </c>
      <c r="O10" s="6101"/>
      <c r="P10" s="6101"/>
      <c r="Q10" s="1205"/>
      <c r="R10" s="1526"/>
      <c r="S10" s="82"/>
      <c r="T10" s="82"/>
      <c r="U10" s="6048" t="s">
        <v>2840</v>
      </c>
      <c r="V10" s="6125" t="s">
        <v>2055</v>
      </c>
      <c r="W10" s="6112" t="s">
        <v>2056</v>
      </c>
      <c r="X10" s="1227"/>
      <c r="Z10" s="242"/>
      <c r="AA10" s="242"/>
      <c r="AB10" s="242"/>
      <c r="AC10" s="242"/>
      <c r="AF10" s="242"/>
      <c r="AG10" s="242"/>
      <c r="AH10" s="242"/>
      <c r="AI10" s="242"/>
      <c r="AK10" s="242"/>
      <c r="AL10" s="242"/>
      <c r="AM10" s="242"/>
      <c r="AN10" s="242"/>
      <c r="AP10" s="242"/>
      <c r="AQ10" s="242"/>
      <c r="AR10" s="242"/>
      <c r="AS10" s="242"/>
      <c r="AU10" s="242"/>
      <c r="AV10" s="242"/>
      <c r="AW10" s="242"/>
      <c r="AX10" s="242"/>
    </row>
    <row r="11" spans="1:61" ht="16.5" customHeight="1">
      <c r="A11" s="82"/>
      <c r="B11" s="6094"/>
      <c r="C11" s="6095"/>
      <c r="D11" s="6095"/>
      <c r="E11" s="6095"/>
      <c r="F11" s="6095"/>
      <c r="G11" s="6096"/>
      <c r="H11" s="6165"/>
      <c r="I11" s="6166"/>
      <c r="J11" s="6113"/>
      <c r="K11" s="6116"/>
      <c r="L11" s="5781"/>
      <c r="M11" s="6117"/>
      <c r="N11" s="6102"/>
      <c r="O11" s="6103"/>
      <c r="P11" s="6103"/>
      <c r="Q11" s="1206"/>
      <c r="R11" s="1527"/>
      <c r="S11" s="1227" t="s">
        <v>760</v>
      </c>
      <c r="T11" s="82"/>
      <c r="U11" s="6049"/>
      <c r="V11" s="6126"/>
      <c r="W11" s="6133"/>
      <c r="X11" s="1227"/>
      <c r="Z11" s="242"/>
      <c r="AA11" s="242"/>
      <c r="AB11" s="242"/>
      <c r="AC11" s="242"/>
      <c r="AF11" s="242"/>
      <c r="AG11" s="242"/>
      <c r="AH11" s="242"/>
      <c r="AI11" s="242"/>
      <c r="AK11" s="242"/>
      <c r="AL11" s="242"/>
      <c r="AM11" s="242"/>
      <c r="AN11" s="242"/>
      <c r="AP11" s="242"/>
      <c r="AQ11" s="242"/>
      <c r="AR11" s="242"/>
      <c r="AS11" s="242"/>
      <c r="AU11" s="242"/>
      <c r="AV11" s="242"/>
      <c r="AW11" s="242"/>
      <c r="AX11" s="242"/>
    </row>
    <row r="12" spans="1:61" ht="16.5" customHeight="1">
      <c r="A12" s="82"/>
      <c r="B12" s="6097"/>
      <c r="C12" s="6098"/>
      <c r="D12" s="6098"/>
      <c r="E12" s="6098"/>
      <c r="F12" s="6098"/>
      <c r="G12" s="6099"/>
      <c r="H12" s="6167"/>
      <c r="I12" s="6168"/>
      <c r="J12" s="6114"/>
      <c r="K12" s="6118"/>
      <c r="L12" s="6119"/>
      <c r="M12" s="6120"/>
      <c r="N12" s="6104"/>
      <c r="O12" s="6105"/>
      <c r="P12" s="6105"/>
      <c r="Q12" s="1207"/>
      <c r="R12" s="1528"/>
      <c r="S12" s="82"/>
      <c r="T12" s="82"/>
      <c r="U12" s="6050"/>
      <c r="V12" s="6127"/>
      <c r="W12" s="6134"/>
      <c r="X12" s="1227"/>
      <c r="Z12" s="270" t="s">
        <v>935</v>
      </c>
      <c r="AA12" s="270" t="s">
        <v>936</v>
      </c>
      <c r="AB12" s="270" t="s">
        <v>937</v>
      </c>
      <c r="AC12" s="270" t="s">
        <v>4921</v>
      </c>
      <c r="AF12" s="270" t="s">
        <v>935</v>
      </c>
      <c r="AG12" s="270" t="s">
        <v>936</v>
      </c>
      <c r="AH12" s="270" t="s">
        <v>937</v>
      </c>
      <c r="AI12" s="270" t="s">
        <v>4921</v>
      </c>
      <c r="AK12" s="270" t="s">
        <v>935</v>
      </c>
      <c r="AL12" s="270" t="s">
        <v>936</v>
      </c>
      <c r="AM12" s="270" t="s">
        <v>937</v>
      </c>
      <c r="AN12" s="270" t="s">
        <v>4921</v>
      </c>
      <c r="AP12" s="270" t="s">
        <v>935</v>
      </c>
      <c r="AQ12" s="270" t="s">
        <v>936</v>
      </c>
      <c r="AR12" s="270" t="s">
        <v>937</v>
      </c>
      <c r="AS12" s="270" t="s">
        <v>4921</v>
      </c>
      <c r="AU12" s="270" t="s">
        <v>935</v>
      </c>
      <c r="AV12" s="270" t="s">
        <v>936</v>
      </c>
      <c r="AW12" s="270" t="s">
        <v>937</v>
      </c>
      <c r="AX12" s="270" t="s">
        <v>4921</v>
      </c>
    </row>
    <row r="13" spans="1:61" ht="46.5" customHeight="1">
      <c r="A13" s="82"/>
      <c r="B13" s="1514" t="s">
        <v>14</v>
      </c>
      <c r="C13" s="6077" t="s">
        <v>4173</v>
      </c>
      <c r="D13" s="6078"/>
      <c r="E13" s="6078"/>
      <c r="F13" s="6078"/>
      <c r="G13" s="6079"/>
      <c r="H13" s="1644"/>
      <c r="I13" s="1645"/>
      <c r="J13" s="1646"/>
      <c r="K13" s="1651"/>
      <c r="L13" s="1652"/>
      <c r="M13" s="1653"/>
      <c r="N13" s="1647"/>
      <c r="O13" s="1648"/>
      <c r="P13" s="1648"/>
      <c r="Q13" s="1207"/>
      <c r="R13" s="1528"/>
      <c r="S13" s="82"/>
      <c r="T13" s="82"/>
      <c r="U13" s="1636"/>
      <c r="V13" s="1635"/>
      <c r="W13" s="1649"/>
      <c r="X13" s="1227"/>
      <c r="Z13" s="270"/>
      <c r="AA13" s="270"/>
      <c r="AB13" s="270"/>
      <c r="AC13" s="270"/>
      <c r="AF13" s="270"/>
      <c r="AG13" s="270"/>
      <c r="AH13" s="270"/>
      <c r="AI13" s="270"/>
      <c r="AK13" s="270"/>
      <c r="AL13" s="270"/>
      <c r="AM13" s="270"/>
      <c r="AN13" s="270"/>
      <c r="AP13" s="270"/>
      <c r="AQ13" s="270"/>
      <c r="AR13" s="270"/>
      <c r="AS13" s="270"/>
      <c r="AU13" s="270"/>
      <c r="AV13" s="270"/>
      <c r="AW13" s="270"/>
      <c r="AX13" s="270"/>
    </row>
    <row r="14" spans="1:61" ht="15.75" customHeight="1">
      <c r="A14" s="82"/>
      <c r="B14" s="1643"/>
      <c r="C14" s="5681"/>
      <c r="D14" s="5681"/>
      <c r="E14" s="5681"/>
      <c r="F14" s="5681"/>
      <c r="G14" s="6080"/>
      <c r="H14" s="6004"/>
      <c r="I14" s="6092"/>
      <c r="J14" s="1517"/>
      <c r="K14" s="6074"/>
      <c r="L14" s="6075"/>
      <c r="M14" s="6076"/>
      <c r="N14" s="5983" t="str">
        <f>IF(OR(H14&lt;&gt;"",J14&lt;&gt;""),ROUND(SUM(H14,-J14),0),"")</f>
        <v/>
      </c>
      <c r="O14" s="5984"/>
      <c r="P14" s="6091"/>
      <c r="Q14" s="1207"/>
      <c r="R14" s="1528"/>
      <c r="S14" s="82"/>
      <c r="T14" s="82"/>
      <c r="U14" s="1636" t="str">
        <f>"---"</f>
        <v>---</v>
      </c>
      <c r="V14" s="1636" t="str">
        <f>"---"</f>
        <v>---</v>
      </c>
      <c r="W14" s="1650"/>
      <c r="X14" s="1227"/>
      <c r="Z14" s="270"/>
      <c r="AA14" s="270"/>
      <c r="AB14" s="270"/>
      <c r="AC14" s="270"/>
      <c r="AF14" s="270"/>
      <c r="AG14" s="270"/>
      <c r="AH14" s="270"/>
      <c r="AI14" s="270"/>
      <c r="AK14" s="270"/>
      <c r="AL14" s="270"/>
      <c r="AM14" s="270"/>
      <c r="AN14" s="270"/>
      <c r="AP14" s="270"/>
      <c r="AQ14" s="270"/>
      <c r="AR14" s="270"/>
      <c r="AS14" s="270"/>
      <c r="AU14" s="270"/>
      <c r="AV14" s="270"/>
      <c r="AW14" s="270"/>
      <c r="AX14" s="270"/>
    </row>
    <row r="15" spans="1:61" ht="12.75" customHeight="1">
      <c r="A15" s="82"/>
      <c r="B15" s="1514" t="s">
        <v>17</v>
      </c>
      <c r="C15" s="6062" t="s">
        <v>3428</v>
      </c>
      <c r="D15" s="6063"/>
      <c r="E15" s="6063"/>
      <c r="F15" s="6063"/>
      <c r="G15" s="6064"/>
      <c r="H15" s="6060">
        <f>SUM(AF16:AI16)</f>
        <v>0</v>
      </c>
      <c r="I15" s="6072"/>
      <c r="J15" s="1591">
        <f>SUM(AK16:AN16)</f>
        <v>0</v>
      </c>
      <c r="K15" s="6060">
        <f>SUM(AP16:AS16)</f>
        <v>0</v>
      </c>
      <c r="L15" s="6061"/>
      <c r="M15" s="6073"/>
      <c r="N15" s="6054">
        <f>SUM(AU16:AX16)</f>
        <v>0</v>
      </c>
      <c r="O15" s="6055"/>
      <c r="P15" s="4566"/>
      <c r="Q15" s="1208"/>
      <c r="R15" s="1529"/>
      <c r="S15" s="82"/>
      <c r="T15" s="82"/>
      <c r="U15" s="1596"/>
      <c r="V15" s="1597"/>
      <c r="W15" s="1598"/>
      <c r="X15" s="1227"/>
      <c r="Z15" s="242"/>
      <c r="AA15" s="242"/>
      <c r="AB15" s="242"/>
      <c r="AC15" s="242"/>
      <c r="AF15" s="242"/>
      <c r="AG15" s="242"/>
      <c r="AH15" s="242"/>
      <c r="AI15" s="242"/>
      <c r="AK15" s="242"/>
      <c r="AL15" s="242"/>
      <c r="AM15" s="242"/>
      <c r="AN15" s="242"/>
      <c r="AP15" s="242"/>
      <c r="AQ15" s="242"/>
      <c r="AR15" s="242"/>
      <c r="AS15" s="242"/>
      <c r="AU15" s="242"/>
      <c r="AV15" s="242"/>
      <c r="AW15" s="242"/>
      <c r="AX15" s="242"/>
    </row>
    <row r="16" spans="1:61" ht="13.5" customHeight="1">
      <c r="A16" s="82"/>
      <c r="B16" s="1515"/>
      <c r="C16" s="6065"/>
      <c r="D16" s="6065"/>
      <c r="E16" s="6065"/>
      <c r="F16" s="6065"/>
      <c r="G16" s="6066"/>
      <c r="H16" s="5983" t="str">
        <f>IF(U16&lt;&gt;"",ROUND(U16,0),IF($AD16,ROUND(H15,0),""))</f>
        <v/>
      </c>
      <c r="I16" s="6053"/>
      <c r="J16" s="1654" t="str">
        <f>IF(V16&lt;&gt;"",ROUND(V16,0),IF($AD16,ROUND(J15,0),""))</f>
        <v/>
      </c>
      <c r="K16" s="5983" t="str">
        <f>IF(W16&lt;&gt;"",ROUND(W16,0),IF($AD16,ROUND(K15,0),""))</f>
        <v/>
      </c>
      <c r="L16" s="5984"/>
      <c r="M16" s="6053"/>
      <c r="N16" s="5983" t="str">
        <f>IF(AND(H16="",J16="",K16=""),"",IF(AND(V16="",OR(U16&lt;&gt;"",W16&lt;&gt;"")),SUM(H16,K16),IF(OR(U16&lt;&gt;"",V16&lt;&gt;"",W16&lt;&gt;""),SUM(H16,-J16,K16),N15)))</f>
        <v/>
      </c>
      <c r="O16" s="5984"/>
      <c r="P16" s="6091"/>
      <c r="Q16" s="1208"/>
      <c r="R16" s="1529"/>
      <c r="S16" s="82"/>
      <c r="T16" s="82"/>
      <c r="U16" s="1516"/>
      <c r="V16" s="1517"/>
      <c r="W16" s="1518"/>
      <c r="X16" s="1227"/>
      <c r="Z16" s="242">
        <f>IF(F8949ASBOXA&lt;&gt;"",F8949AST,0)</f>
        <v>0</v>
      </c>
      <c r="AA16" s="242">
        <f>IF(F8949BSBOXA&lt;&gt;"",F8949BST,0)</f>
        <v>0</v>
      </c>
      <c r="AB16" s="242">
        <f>IF(F8949CSBOXA&lt;&gt;"",F8949CST,0)</f>
        <v>0</v>
      </c>
      <c r="AC16" s="242">
        <f>IF(F8949DSBOXA&lt;&gt;"",F8949DST,0)</f>
        <v>0</v>
      </c>
      <c r="AD16" s="3" t="b">
        <f>IF(SUM(Z16:AC16)&gt;0,TRUE,FALSE)</f>
        <v>0</v>
      </c>
      <c r="AF16" s="242">
        <f>IF(F8949ASBOXA&lt;&gt;"",F8949ASTD,0)</f>
        <v>0</v>
      </c>
      <c r="AG16" s="242">
        <f>IF(F8949BSBOXA&lt;&gt;"",F8949BSTD,0)</f>
        <v>0</v>
      </c>
      <c r="AH16" s="242">
        <f>IF(F8949CSBOXA&lt;&gt;"",F8949CSTD,0)</f>
        <v>0</v>
      </c>
      <c r="AI16" s="242">
        <f>IF(F8949DSBOXA&lt;&gt;"",F8949DSTD,0)</f>
        <v>0</v>
      </c>
      <c r="AK16" s="242">
        <f>IF(F8949ASBOXA&lt;&gt;"",F8949ASTE,0)</f>
        <v>0</v>
      </c>
      <c r="AL16" s="242">
        <f>IF(F8949BSBOXA&lt;&gt;"",F8949BSTE,0)</f>
        <v>0</v>
      </c>
      <c r="AM16" s="242">
        <f>IF(F8949CSBOXA&lt;&gt;"",F8949CSTE,0)</f>
        <v>0</v>
      </c>
      <c r="AN16" s="242">
        <f>IF(F8949DSBOXA&lt;&gt;"",F8949DSTE,0)</f>
        <v>0</v>
      </c>
      <c r="AP16" s="242">
        <f>IF(F8949ASBOXA&lt;&gt;"",F8949ASTG,0)</f>
        <v>0</v>
      </c>
      <c r="AQ16" s="242">
        <f>IF(F8949BSBOXA&lt;&gt;"",F8949BSTG,0)</f>
        <v>0</v>
      </c>
      <c r="AR16" s="242">
        <f>IF(F8949CSBOXA&lt;&gt;"",F8949CSTG,0)</f>
        <v>0</v>
      </c>
      <c r="AS16" s="242">
        <f>IF(F8949DSBOXA&lt;&gt;"",F8949DSTG,0)</f>
        <v>0</v>
      </c>
      <c r="AU16" s="242">
        <f>IF(F8949ASBOXA&lt;&gt;"",F8949ASTH,0)</f>
        <v>0</v>
      </c>
      <c r="AV16" s="242">
        <f>IF(F8949BSBOXA&lt;&gt;"",F8949BSTH,0)</f>
        <v>0</v>
      </c>
      <c r="AW16" s="242">
        <f>IF(F8949CSBOXA&lt;&gt;"",F8949CSTH,0)</f>
        <v>0</v>
      </c>
      <c r="AX16" s="242">
        <f>IF(F8949DSBOXA&lt;&gt;"",F8949DSTH,0)</f>
        <v>0</v>
      </c>
    </row>
    <row r="17" spans="1:50" ht="13.5" customHeight="1">
      <c r="A17" s="82"/>
      <c r="B17" s="1514">
        <v>2</v>
      </c>
      <c r="C17" s="6062" t="s">
        <v>3429</v>
      </c>
      <c r="D17" s="6063"/>
      <c r="E17" s="6063"/>
      <c r="F17" s="6063"/>
      <c r="G17" s="6064"/>
      <c r="H17" s="6060">
        <f>SUM(AF18:AI18)</f>
        <v>0</v>
      </c>
      <c r="I17" s="6072"/>
      <c r="J17" s="1591">
        <f>SUM(AK18:AN18)</f>
        <v>0</v>
      </c>
      <c r="K17" s="6060">
        <f>SUM(AP18:AS18)</f>
        <v>0</v>
      </c>
      <c r="L17" s="6061"/>
      <c r="M17" s="6073"/>
      <c r="N17" s="6060">
        <f>SUM(AU18:AX18)</f>
        <v>0</v>
      </c>
      <c r="O17" s="6061"/>
      <c r="P17" s="4566"/>
      <c r="Q17" s="1208"/>
      <c r="R17" s="1529"/>
      <c r="S17" s="82"/>
      <c r="T17" s="82"/>
      <c r="U17" s="1596"/>
      <c r="V17" s="1597"/>
      <c r="W17" s="1598"/>
      <c r="X17" s="1227"/>
      <c r="Z17" s="242"/>
      <c r="AA17" s="242"/>
      <c r="AB17" s="242"/>
      <c r="AC17" s="242"/>
      <c r="AF17" s="242"/>
      <c r="AG17" s="242"/>
      <c r="AH17" s="242"/>
      <c r="AI17" s="242"/>
      <c r="AK17" s="242"/>
      <c r="AL17" s="242"/>
      <c r="AM17" s="242"/>
      <c r="AN17" s="242"/>
      <c r="AP17" s="242"/>
      <c r="AQ17" s="242"/>
      <c r="AR17" s="242"/>
      <c r="AS17" s="242"/>
      <c r="AU17" s="242"/>
      <c r="AV17" s="242"/>
      <c r="AW17" s="242"/>
      <c r="AX17" s="242"/>
    </row>
    <row r="18" spans="1:50" ht="13.5" customHeight="1">
      <c r="A18" s="82"/>
      <c r="B18" s="1515"/>
      <c r="C18" s="6065"/>
      <c r="D18" s="6065"/>
      <c r="E18" s="6065"/>
      <c r="F18" s="6065"/>
      <c r="G18" s="6066"/>
      <c r="H18" s="5983" t="str">
        <f>IF(U18&lt;&gt;"",ROUND(U18,0),IF($AD18,ROUND(H17,0),""))</f>
        <v/>
      </c>
      <c r="I18" s="6053"/>
      <c r="J18" s="1654" t="str">
        <f>IF(V18&lt;&gt;"",ROUND(V18,0),IF($AD18,ROUND(J17,0),""))</f>
        <v/>
      </c>
      <c r="K18" s="5983" t="str">
        <f>IF(W18&lt;&gt;"",ROUND(W18,0),IF($AD18,ROUND(K17,0),""))</f>
        <v/>
      </c>
      <c r="L18" s="5984"/>
      <c r="M18" s="6053"/>
      <c r="N18" s="5983" t="str">
        <f>IF(AND(H18="",J18="",K18=""),"",IF(AND(V18="",OR(U18&lt;&gt;"",W18&lt;&gt;"")),SUM(H18,K18),IF(OR(U18&lt;&gt;"",V18&lt;&gt;"",W18&lt;&gt;""),SUM(H18,-J18,K18),N17)))</f>
        <v/>
      </c>
      <c r="O18" s="5984"/>
      <c r="P18" s="6091"/>
      <c r="Q18" s="1208"/>
      <c r="R18" s="1529"/>
      <c r="S18" s="82"/>
      <c r="T18" s="82"/>
      <c r="U18" s="1516"/>
      <c r="V18" s="1517"/>
      <c r="W18" s="1518"/>
      <c r="X18" s="1227"/>
      <c r="Z18" s="242">
        <f>IF(F8949ASBOXB&lt;&gt;"",F8949AST,0)</f>
        <v>0</v>
      </c>
      <c r="AA18" s="242">
        <f>IF(F8949BSBOXB&lt;&gt;"",F8949BST,0)</f>
        <v>0</v>
      </c>
      <c r="AB18" s="242">
        <f>IF(F8949CSBOXB&lt;&gt;"",F8949CST,0)</f>
        <v>0</v>
      </c>
      <c r="AC18" s="242">
        <f>IF(F8949DSBOXB&lt;&gt;"",F8949DST,0)</f>
        <v>0</v>
      </c>
      <c r="AD18" s="3" t="b">
        <f>IF(SUM(Z18:AC18)&gt;0,TRUE,FALSE)</f>
        <v>0</v>
      </c>
      <c r="AF18" s="242">
        <f>IF(F8949ASBOXB&lt;&gt;"",F8949ASTD,0)</f>
        <v>0</v>
      </c>
      <c r="AG18" s="242">
        <f>IF(F8949BSBOXB&lt;&gt;"",F8949BSTD,0)</f>
        <v>0</v>
      </c>
      <c r="AH18" s="242">
        <f>IF(F8949CSBOXB&lt;&gt;"",F8949CSTD,0)</f>
        <v>0</v>
      </c>
      <c r="AI18" s="242">
        <f>IF(F8949DSBOXB&lt;&gt;"",F8949DSTD,0)</f>
        <v>0</v>
      </c>
      <c r="AK18" s="242">
        <f>IF(F8949ASBOXB&lt;&gt;"",F8949ASTE,0)</f>
        <v>0</v>
      </c>
      <c r="AL18" s="242">
        <f>IF(F8949BSBOXB&lt;&gt;"",F8949BSTE,0)</f>
        <v>0</v>
      </c>
      <c r="AM18" s="242">
        <f>IF(F8949CSBOXB&lt;&gt;"",F8949CSTE,0)</f>
        <v>0</v>
      </c>
      <c r="AN18" s="242">
        <f>IF(F8949DSBOXB&lt;&gt;"",F8949DSTE,0)</f>
        <v>0</v>
      </c>
      <c r="AP18" s="242">
        <f>IF(F8949ASBOXB&lt;&gt;"",F8949ASTG,0)</f>
        <v>0</v>
      </c>
      <c r="AQ18" s="242">
        <f>IF(F8949BSBOXB&lt;&gt;"",F8949BSTG,0)</f>
        <v>0</v>
      </c>
      <c r="AR18" s="242">
        <f>IF(F8949CSBOXB&lt;&gt;"",F8949CSTG,0)</f>
        <v>0</v>
      </c>
      <c r="AS18" s="242">
        <f>IF(F8949DSBOXB&lt;&gt;"",F8949DSTG,0)</f>
        <v>0</v>
      </c>
      <c r="AU18" s="242">
        <f>IF(F8949ASBOXB&lt;&gt;"",F8949ASTH,0)</f>
        <v>0</v>
      </c>
      <c r="AV18" s="242">
        <f>IF(F8949BSBOXB&lt;&gt;"",F8949BSTH,0)</f>
        <v>0</v>
      </c>
      <c r="AW18" s="242">
        <f>IF(F8949CSBOXB&lt;&gt;"",F8949CSTH,0)</f>
        <v>0</v>
      </c>
      <c r="AX18" s="242">
        <f>IF(F8949DSBOXB&lt;&gt;"",F8949DSTH,0)</f>
        <v>0</v>
      </c>
    </row>
    <row r="19" spans="1:50" ht="13.5" customHeight="1">
      <c r="A19" s="82"/>
      <c r="B19" s="1514">
        <v>3</v>
      </c>
      <c r="C19" s="6062" t="s">
        <v>3430</v>
      </c>
      <c r="D19" s="6063"/>
      <c r="E19" s="6063"/>
      <c r="F19" s="6063"/>
      <c r="G19" s="6064"/>
      <c r="H19" s="6060">
        <f>SUM(AF20:AI20)</f>
        <v>0</v>
      </c>
      <c r="I19" s="6072"/>
      <c r="J19" s="1591">
        <f>SUM(AK20:AN20)</f>
        <v>0</v>
      </c>
      <c r="K19" s="6060">
        <f>SUM(AP20:AS20)</f>
        <v>0</v>
      </c>
      <c r="L19" s="6061"/>
      <c r="M19" s="6073"/>
      <c r="N19" s="6060">
        <f>SUM(AU20:AX20)</f>
        <v>0</v>
      </c>
      <c r="O19" s="6061"/>
      <c r="P19" s="4566"/>
      <c r="Q19" s="1208"/>
      <c r="R19" s="1529"/>
      <c r="S19" s="82"/>
      <c r="T19" s="82"/>
      <c r="U19" s="1596"/>
      <c r="V19" s="1597"/>
      <c r="W19" s="1598"/>
      <c r="X19" s="1227"/>
      <c r="Z19" s="242"/>
      <c r="AA19" s="242"/>
      <c r="AB19" s="242"/>
      <c r="AC19" s="242"/>
      <c r="AF19" s="242"/>
      <c r="AG19" s="242"/>
      <c r="AH19" s="242"/>
      <c r="AI19" s="242"/>
      <c r="AK19" s="242"/>
      <c r="AL19" s="242"/>
      <c r="AM19" s="242"/>
      <c r="AN19" s="242"/>
      <c r="AP19" s="242"/>
      <c r="AQ19" s="242"/>
      <c r="AR19" s="242"/>
      <c r="AS19" s="242"/>
      <c r="AU19" s="242"/>
      <c r="AV19" s="242"/>
      <c r="AW19" s="242"/>
      <c r="AX19" s="242"/>
    </row>
    <row r="20" spans="1:50" ht="12.75" customHeight="1">
      <c r="A20" s="82"/>
      <c r="B20" s="1515"/>
      <c r="C20" s="6065"/>
      <c r="D20" s="6065"/>
      <c r="E20" s="6065"/>
      <c r="F20" s="6065"/>
      <c r="G20" s="6066"/>
      <c r="H20" s="5983" t="str">
        <f>IF(U20&lt;&gt;"",ROUND(U20,0),IF($AD20,ROUND(H19,0),""))</f>
        <v/>
      </c>
      <c r="I20" s="6053"/>
      <c r="J20" s="1654" t="str">
        <f>IF(V20&lt;&gt;"",ROUND(V20,0),IF($AD20,ROUND(J19,0),""))</f>
        <v/>
      </c>
      <c r="K20" s="5983" t="str">
        <f>IF(W20&lt;&gt;"",ROUND(W20,0),IF($AD20,ROUND(K19,0),""))</f>
        <v/>
      </c>
      <c r="L20" s="5984"/>
      <c r="M20" s="6053"/>
      <c r="N20" s="5983" t="str">
        <f>IF(AND(H20="",J20="",K20=""),"",IF(AND(V20="",OR(U20&lt;&gt;"",W20&lt;&gt;"")),SUM(H20,K20),IF(OR(U20&lt;&gt;"",V20&lt;&gt;"",W20&lt;&gt;""),SUM(H20,-J20,K20),N19)))</f>
        <v/>
      </c>
      <c r="O20" s="5984"/>
      <c r="P20" s="6091"/>
      <c r="Q20" s="1208"/>
      <c r="R20" s="1529"/>
      <c r="S20" s="82"/>
      <c r="T20" s="82"/>
      <c r="U20" s="1516"/>
      <c r="V20" s="1517"/>
      <c r="W20" s="1518"/>
      <c r="X20" s="1227"/>
      <c r="Z20" s="242">
        <f>IF(F8949ASBOXC&lt;&gt;"",F8949AST,0)</f>
        <v>0</v>
      </c>
      <c r="AA20" s="242">
        <f>IF(F8949BSBOXC&lt;&gt;"",F8949BST,0)</f>
        <v>0</v>
      </c>
      <c r="AB20" s="242">
        <f>IF(F8949CSBOXC&lt;&gt;"",F8949CST,0)</f>
        <v>0</v>
      </c>
      <c r="AC20" s="242">
        <f>IF(F8949DSBOXC&lt;&gt;"",F8949DST,0)</f>
        <v>0</v>
      </c>
      <c r="AD20" s="3" t="b">
        <f>IF(SUM(Z20:AC20)&gt;0,TRUE,FALSE)</f>
        <v>0</v>
      </c>
      <c r="AF20" s="242">
        <f>IF(F8949ASBOXC&lt;&gt;"",F8949ASTD,0)</f>
        <v>0</v>
      </c>
      <c r="AG20" s="242">
        <f>IF(F8949BSBOXC&lt;&gt;"",F8949BSTD,0)</f>
        <v>0</v>
      </c>
      <c r="AH20" s="242">
        <f>IF(F8949CSBOXC&lt;&gt;"",F8949CSTD,0)</f>
        <v>0</v>
      </c>
      <c r="AI20" s="242">
        <f>IF(F8949DSBOXC&lt;&gt;"",F8949DSTD,0)</f>
        <v>0</v>
      </c>
      <c r="AK20" s="242">
        <f>IF(F8949ASBOXC&lt;&gt;"",F8949ASTE,0)</f>
        <v>0</v>
      </c>
      <c r="AL20" s="242">
        <f>IF(F8949BSBOXC&lt;&gt;"",F8949BSTE,0)</f>
        <v>0</v>
      </c>
      <c r="AM20" s="242">
        <f>IF(F8949CSBOXC&lt;&gt;"",F8949CSTE,0)</f>
        <v>0</v>
      </c>
      <c r="AN20" s="242">
        <f>IF(F8949DSBOXC&lt;&gt;"",F8949DSTE,0)</f>
        <v>0</v>
      </c>
      <c r="AP20" s="242">
        <f>IF(F8949ASBOXC&lt;&gt;"",F8949ASTG,0)</f>
        <v>0</v>
      </c>
      <c r="AQ20" s="242">
        <f>IF(F8949BSBOXC&lt;&gt;"",F8949BSTG,0)</f>
        <v>0</v>
      </c>
      <c r="AR20" s="242">
        <f>IF(F8949CSBOXC&lt;&gt;"",F8949CSTG,0)</f>
        <v>0</v>
      </c>
      <c r="AS20" s="242">
        <f>IF(F8949DSBOXC&lt;&gt;"",F8949DSTG,0)</f>
        <v>0</v>
      </c>
      <c r="AU20" s="242">
        <f>IF(F8949ASBOXC&lt;&gt;"",F8949ASTH,0)</f>
        <v>0</v>
      </c>
      <c r="AV20" s="242">
        <f>IF(F8949BSBOXC&lt;&gt;"",F8949BSTH,0)</f>
        <v>0</v>
      </c>
      <c r="AW20" s="242">
        <f>IF(F8949CSBOXC&lt;&gt;"",F8949CSTH,0)</f>
        <v>0</v>
      </c>
      <c r="AX20" s="242">
        <f>IF(F8949DSBOXC&lt;&gt;"",F8949DSTH,0)</f>
        <v>0</v>
      </c>
    </row>
    <row r="21" spans="1:50" ht="12" customHeight="1">
      <c r="A21" s="82"/>
      <c r="B21" s="161"/>
      <c r="C21" s="171"/>
      <c r="D21" s="171"/>
      <c r="E21" s="171"/>
      <c r="F21" s="171"/>
      <c r="G21" s="231"/>
      <c r="H21" s="141"/>
      <c r="I21" s="141"/>
      <c r="J21" s="141"/>
      <c r="K21" s="161"/>
      <c r="L21" s="162"/>
      <c r="M21" s="748"/>
      <c r="N21" s="6146"/>
      <c r="O21" s="6059"/>
      <c r="P21" s="2153"/>
      <c r="Q21" s="1208"/>
      <c r="R21" s="1529"/>
      <c r="S21" s="82"/>
      <c r="T21" s="82"/>
      <c r="U21" s="82"/>
      <c r="V21" s="82"/>
      <c r="W21" s="82"/>
      <c r="X21" s="1227"/>
      <c r="Z21" s="242"/>
      <c r="AA21" s="242"/>
      <c r="AB21" s="242"/>
      <c r="AC21" s="242"/>
      <c r="AF21" s="242"/>
      <c r="AG21" s="242"/>
      <c r="AH21" s="242"/>
      <c r="AI21" s="242"/>
      <c r="AK21" s="242"/>
      <c r="AL21" s="242"/>
      <c r="AM21" s="242"/>
      <c r="AN21" s="242"/>
      <c r="AP21" s="242"/>
      <c r="AQ21" s="242"/>
      <c r="AR21" s="242"/>
      <c r="AS21" s="242"/>
      <c r="AU21" s="242"/>
      <c r="AV21" s="242"/>
      <c r="AW21" s="242"/>
      <c r="AX21" s="242"/>
    </row>
    <row r="22" spans="1:50" ht="12" customHeight="1">
      <c r="A22" s="82"/>
      <c r="B22" s="161" t="str">
        <f>"4"</f>
        <v>4</v>
      </c>
      <c r="C22" s="1115" t="s">
        <v>4174</v>
      </c>
      <c r="D22" s="171"/>
      <c r="E22" s="171"/>
      <c r="F22" s="171"/>
      <c r="G22" s="231"/>
      <c r="H22" s="141"/>
      <c r="I22" s="141"/>
      <c r="J22" s="141"/>
      <c r="K22" s="161"/>
      <c r="L22" s="161"/>
      <c r="M22" s="256" t="str">
        <f>B22</f>
        <v>4</v>
      </c>
      <c r="N22" s="6004"/>
      <c r="O22" s="5841"/>
      <c r="P22" s="6091"/>
      <c r="Q22" s="1208"/>
      <c r="R22" s="1529"/>
      <c r="S22" s="82"/>
      <c r="T22" s="82"/>
      <c r="U22" s="82"/>
      <c r="V22" s="82"/>
      <c r="W22" s="82"/>
      <c r="X22" s="1227"/>
      <c r="Z22" s="242"/>
      <c r="AA22" s="242"/>
      <c r="AB22" s="242"/>
      <c r="AC22" s="242"/>
      <c r="AF22" s="242"/>
      <c r="AG22" s="242"/>
      <c r="AH22" s="242"/>
      <c r="AI22" s="242"/>
      <c r="AK22" s="242"/>
      <c r="AL22" s="242"/>
      <c r="AM22" s="242"/>
      <c r="AN22" s="242"/>
      <c r="AP22" s="242"/>
      <c r="AQ22" s="242"/>
      <c r="AR22" s="242"/>
      <c r="AS22" s="242"/>
      <c r="AU22" s="242"/>
      <c r="AV22" s="242"/>
      <c r="AW22" s="242"/>
      <c r="AX22" s="242"/>
    </row>
    <row r="23" spans="1:50">
      <c r="A23" s="82"/>
      <c r="B23" s="161" t="str">
        <f>"5"</f>
        <v>5</v>
      </c>
      <c r="C23" s="1115" t="s">
        <v>204</v>
      </c>
      <c r="D23" s="171"/>
      <c r="E23" s="171"/>
      <c r="F23" s="171"/>
      <c r="G23" s="231"/>
      <c r="H23" s="141"/>
      <c r="I23" s="141"/>
      <c r="J23" s="141"/>
      <c r="K23" s="161"/>
      <c r="L23" s="161"/>
      <c r="M23" s="748"/>
      <c r="N23" s="6147"/>
      <c r="O23" s="5505"/>
      <c r="P23" s="2153"/>
      <c r="Q23" s="1208"/>
      <c r="R23" s="1529"/>
      <c r="S23" s="1627"/>
      <c r="T23" s="82"/>
      <c r="U23" s="5"/>
      <c r="V23" s="5"/>
      <c r="W23" s="5"/>
      <c r="X23" s="5"/>
      <c r="Z23" s="242"/>
      <c r="AA23" s="242"/>
      <c r="AB23" s="242"/>
      <c r="AC23" s="242"/>
      <c r="AF23" s="242"/>
      <c r="AG23" s="242"/>
      <c r="AH23" s="242"/>
      <c r="AI23" s="242"/>
      <c r="AK23" s="242"/>
      <c r="AL23" s="242"/>
      <c r="AM23" s="242"/>
      <c r="AN23" s="242"/>
      <c r="AP23" s="242"/>
      <c r="AQ23" s="242"/>
      <c r="AR23" s="242"/>
      <c r="AS23" s="242"/>
      <c r="AU23" s="242"/>
      <c r="AV23" s="242"/>
      <c r="AW23" s="242"/>
      <c r="AX23" s="242"/>
    </row>
    <row r="24" spans="1:50" ht="12.75" customHeight="1">
      <c r="A24" s="82"/>
      <c r="B24" s="23"/>
      <c r="C24" s="1115" t="s">
        <v>573</v>
      </c>
      <c r="D24" s="171"/>
      <c r="E24" s="171"/>
      <c r="F24" s="171"/>
      <c r="G24" s="231"/>
      <c r="H24" s="141"/>
      <c r="I24" s="141"/>
      <c r="J24" s="141"/>
      <c r="K24" s="161"/>
      <c r="L24" s="161" t="s">
        <v>635</v>
      </c>
      <c r="M24" s="256" t="str">
        <f>B23</f>
        <v>5</v>
      </c>
      <c r="N24" s="6004"/>
      <c r="O24" s="5841"/>
      <c r="P24" s="6091"/>
      <c r="Q24" s="1209"/>
      <c r="R24" s="1530"/>
      <c r="S24" s="1627"/>
      <c r="T24" s="82"/>
      <c r="U24" s="4142" t="str">
        <f>IF($S$26="","",IF($S$26&gt;0,"The amount entered",""))</f>
        <v/>
      </c>
      <c r="V24" s="5"/>
      <c r="W24" s="5"/>
      <c r="X24" s="5"/>
      <c r="Z24" s="242"/>
      <c r="AA24" s="242"/>
      <c r="AB24" s="242"/>
      <c r="AC24" s="242"/>
      <c r="AF24" s="242"/>
      <c r="AG24" s="242"/>
      <c r="AH24" s="242"/>
      <c r="AI24" s="242"/>
      <c r="AK24" s="242"/>
      <c r="AL24" s="242"/>
      <c r="AM24" s="242"/>
      <c r="AN24" s="242"/>
      <c r="AP24" s="242"/>
      <c r="AQ24" s="242"/>
      <c r="AR24" s="242"/>
      <c r="AS24" s="242"/>
      <c r="AU24" s="242"/>
      <c r="AV24" s="242"/>
      <c r="AW24" s="242"/>
      <c r="AX24" s="242"/>
    </row>
    <row r="25" spans="1:50">
      <c r="A25" s="82"/>
      <c r="B25" s="161" t="str">
        <f>"6"</f>
        <v>6</v>
      </c>
      <c r="C25" s="1115" t="s">
        <v>4175</v>
      </c>
      <c r="D25" s="171"/>
      <c r="E25" s="171"/>
      <c r="F25" s="171"/>
      <c r="G25" s="231"/>
      <c r="H25" s="231"/>
      <c r="I25" s="231"/>
      <c r="J25" s="141"/>
      <c r="K25" s="142"/>
      <c r="L25" s="142"/>
      <c r="M25" s="1190"/>
      <c r="N25" s="4572"/>
      <c r="O25" s="5111" t="str">
        <f>IF(S26&lt;&gt;"",ROUND(S26,0),IF('Sch. D WS'!P26="","",-'Sch. D WS'!P26))</f>
        <v/>
      </c>
      <c r="P25" s="3023"/>
      <c r="Q25" s="1210"/>
      <c r="R25" s="1531"/>
      <c r="S25" s="1627"/>
      <c r="T25" s="82"/>
      <c r="U25" s="4142" t="str">
        <f>IF($S$26="","",IF($S$26&gt;0,"on Line 6 must be",""))</f>
        <v/>
      </c>
      <c r="V25" s="5"/>
      <c r="W25" s="5"/>
      <c r="X25" s="5"/>
      <c r="Z25" s="242"/>
      <c r="AA25" s="242"/>
      <c r="AB25" s="242"/>
      <c r="AC25" s="242"/>
      <c r="AF25" s="242"/>
      <c r="AG25" s="242"/>
      <c r="AH25" s="242"/>
      <c r="AI25" s="242"/>
      <c r="AK25" s="242"/>
      <c r="AL25" s="242"/>
      <c r="AM25" s="242"/>
      <c r="AN25" s="242"/>
      <c r="AP25" s="242"/>
      <c r="AQ25" s="242"/>
      <c r="AR25" s="242"/>
      <c r="AS25" s="242"/>
      <c r="AU25" s="242"/>
      <c r="AV25" s="242"/>
      <c r="AW25" s="242"/>
      <c r="AX25" s="242"/>
    </row>
    <row r="26" spans="1:50" ht="13.5" customHeight="1">
      <c r="A26" s="82"/>
      <c r="B26" s="23"/>
      <c r="C26" s="23" t="s">
        <v>4176</v>
      </c>
      <c r="D26" s="284"/>
      <c r="E26" s="284"/>
      <c r="F26" s="198"/>
      <c r="G26" s="231"/>
      <c r="H26" s="231"/>
      <c r="I26" s="231"/>
      <c r="J26" s="141"/>
      <c r="K26" s="161"/>
      <c r="L26" s="161" t="s">
        <v>341</v>
      </c>
      <c r="M26" s="256" t="str">
        <f>B25</f>
        <v>6</v>
      </c>
      <c r="N26" s="4569" t="s">
        <v>1147</v>
      </c>
      <c r="O26" s="1872" t="str">
        <f>IF(OR(O25="",O25&gt;=0),"",-O25)</f>
        <v/>
      </c>
      <c r="P26" s="4570" t="s">
        <v>1148</v>
      </c>
      <c r="Q26" s="1210"/>
      <c r="R26" s="1531"/>
      <c r="S26" s="4143"/>
      <c r="T26" s="82"/>
      <c r="U26" s="4142" t="str">
        <f>IF($S$26="","",IF($S$26&gt;0,"a negative amount.",""))</f>
        <v/>
      </c>
      <c r="V26" s="5"/>
      <c r="W26" s="5"/>
      <c r="X26" s="5"/>
      <c r="Z26" s="242"/>
      <c r="AA26" s="242"/>
      <c r="AB26" s="242"/>
      <c r="AC26" s="242"/>
      <c r="AF26" s="242"/>
      <c r="AG26" s="242"/>
      <c r="AH26" s="242"/>
      <c r="AI26" s="242"/>
      <c r="AK26" s="242"/>
      <c r="AL26" s="242"/>
      <c r="AM26" s="242"/>
      <c r="AN26" s="242"/>
      <c r="AP26" s="242"/>
      <c r="AQ26" s="242"/>
      <c r="AR26" s="242"/>
      <c r="AS26" s="242"/>
      <c r="AU26" s="242"/>
      <c r="AV26" s="242"/>
      <c r="AW26" s="242"/>
      <c r="AX26" s="242"/>
    </row>
    <row r="27" spans="1:50" ht="13.5" customHeight="1">
      <c r="A27" s="82"/>
      <c r="B27" s="1189">
        <v>7</v>
      </c>
      <c r="C27" s="6067" t="s">
        <v>4177</v>
      </c>
      <c r="D27" s="6169"/>
      <c r="E27" s="6169"/>
      <c r="F27" s="6169"/>
      <c r="G27" s="6169"/>
      <c r="H27" s="6169"/>
      <c r="I27" s="6169"/>
      <c r="J27" s="6169"/>
      <c r="K27" s="6169"/>
      <c r="L27" s="6069"/>
      <c r="M27" s="748"/>
      <c r="N27" s="6058"/>
      <c r="O27" s="6135"/>
      <c r="P27" s="931"/>
      <c r="Q27" s="1211"/>
      <c r="R27" s="1532"/>
      <c r="S27" s="1541"/>
      <c r="T27" s="82"/>
      <c r="U27" s="5"/>
      <c r="V27" s="5"/>
      <c r="W27" s="5"/>
      <c r="X27" s="5"/>
      <c r="Z27" s="242"/>
      <c r="AA27" s="242"/>
      <c r="AB27" s="242"/>
      <c r="AC27" s="242"/>
      <c r="AF27" s="242"/>
      <c r="AG27" s="242"/>
      <c r="AH27" s="242"/>
      <c r="AI27" s="242"/>
      <c r="AK27" s="242"/>
      <c r="AL27" s="242"/>
      <c r="AM27" s="242"/>
      <c r="AN27" s="242"/>
      <c r="AP27" s="242"/>
      <c r="AQ27" s="242"/>
      <c r="AR27" s="242"/>
      <c r="AS27" s="242"/>
      <c r="AU27" s="242"/>
      <c r="AV27" s="242"/>
      <c r="AW27" s="242"/>
      <c r="AX27" s="242"/>
    </row>
    <row r="28" spans="1:50" ht="13.5" customHeight="1" thickBot="1">
      <c r="A28" s="82"/>
      <c r="B28" s="1191"/>
      <c r="C28" s="6170"/>
      <c r="D28" s="6170"/>
      <c r="E28" s="6170"/>
      <c r="F28" s="6170"/>
      <c r="G28" s="6170"/>
      <c r="H28" s="6170"/>
      <c r="I28" s="6170"/>
      <c r="J28" s="6170"/>
      <c r="K28" s="6170"/>
      <c r="L28" s="6071"/>
      <c r="M28" s="1540">
        <f>B27</f>
        <v>7</v>
      </c>
      <c r="N28" s="5981" t="str">
        <f>IF(S28&lt;&gt;"",S28,IF(AND(N14="",N16="",N18="",N20="",N22="",N24="",OR(O25=0,O25="")),"",SUM(N14,N16,N18,N20,N22,N24,O25)))</f>
        <v/>
      </c>
      <c r="O28" s="6144"/>
      <c r="P28" s="6145"/>
      <c r="Q28" s="1211"/>
      <c r="R28" s="1532"/>
      <c r="S28" s="4143"/>
      <c r="T28" s="82"/>
      <c r="U28" s="5"/>
      <c r="V28" s="5"/>
      <c r="W28" s="5"/>
      <c r="X28" s="5"/>
      <c r="Z28" s="242"/>
      <c r="AA28" s="242"/>
      <c r="AB28" s="242"/>
      <c r="AC28" s="242"/>
      <c r="AF28" s="242"/>
      <c r="AG28" s="242"/>
      <c r="AH28" s="242"/>
      <c r="AI28" s="242"/>
      <c r="AK28" s="242"/>
      <c r="AL28" s="242"/>
      <c r="AM28" s="242"/>
      <c r="AN28" s="242"/>
      <c r="AP28" s="242"/>
      <c r="AQ28" s="242"/>
      <c r="AR28" s="242"/>
      <c r="AS28" s="242"/>
      <c r="AU28" s="242"/>
      <c r="AV28" s="242"/>
      <c r="AW28" s="242"/>
      <c r="AX28" s="242"/>
    </row>
    <row r="29" spans="1:50" ht="17.25" customHeight="1">
      <c r="A29" s="82"/>
      <c r="B29" s="1543" t="s">
        <v>130</v>
      </c>
      <c r="C29" s="1543"/>
      <c r="D29" s="230"/>
      <c r="E29" s="230" t="s">
        <v>280</v>
      </c>
      <c r="F29" s="230"/>
      <c r="G29" s="17"/>
      <c r="H29" s="230" t="s">
        <v>3431</v>
      </c>
      <c r="I29" s="564"/>
      <c r="J29" s="230"/>
      <c r="K29" s="18"/>
      <c r="L29" s="18"/>
      <c r="M29" s="18"/>
      <c r="N29" s="4568" t="s">
        <v>2271</v>
      </c>
      <c r="O29" s="18"/>
      <c r="P29" s="142"/>
      <c r="Q29" s="133"/>
      <c r="R29" s="1533"/>
      <c r="S29" s="82"/>
      <c r="T29" s="82"/>
      <c r="U29" s="82"/>
      <c r="V29" s="82"/>
      <c r="W29" s="82"/>
      <c r="X29" s="82"/>
      <c r="Z29" s="242"/>
      <c r="AA29" s="242"/>
      <c r="AB29" s="242"/>
      <c r="AC29" s="242"/>
      <c r="AF29" s="242"/>
      <c r="AG29" s="242"/>
      <c r="AH29" s="242"/>
      <c r="AI29" s="242"/>
      <c r="AK29" s="242"/>
      <c r="AL29" s="242"/>
      <c r="AM29" s="242"/>
      <c r="AN29" s="242"/>
      <c r="AP29" s="242"/>
      <c r="AQ29" s="242"/>
      <c r="AR29" s="242"/>
      <c r="AS29" s="242"/>
      <c r="AU29" s="242"/>
      <c r="AV29" s="242"/>
      <c r="AW29" s="242"/>
      <c r="AX29" s="242"/>
    </row>
    <row r="30" spans="1:50" ht="16.5" customHeight="1">
      <c r="A30" s="82"/>
      <c r="B30" s="6093" t="s">
        <v>3433</v>
      </c>
      <c r="C30" s="5663"/>
      <c r="D30" s="5663"/>
      <c r="E30" s="5663"/>
      <c r="F30" s="5663"/>
      <c r="G30" s="5664"/>
      <c r="H30" s="6148" t="s">
        <v>4178</v>
      </c>
      <c r="I30" s="6149"/>
      <c r="J30" s="6154" t="s">
        <v>4179</v>
      </c>
      <c r="K30" s="6100" t="s">
        <v>4180</v>
      </c>
      <c r="L30" s="6101"/>
      <c r="M30" s="6157"/>
      <c r="N30" s="6100" t="s">
        <v>3434</v>
      </c>
      <c r="O30" s="6128"/>
      <c r="P30" s="4564"/>
      <c r="Q30" s="1205"/>
      <c r="R30" s="1526"/>
      <c r="S30" s="82"/>
      <c r="T30" s="82"/>
      <c r="U30" s="6048" t="s">
        <v>2840</v>
      </c>
      <c r="V30" s="6125" t="s">
        <v>2055</v>
      </c>
      <c r="W30" s="6112" t="s">
        <v>2841</v>
      </c>
      <c r="X30" s="1227"/>
      <c r="Z30" s="242"/>
      <c r="AA30" s="242"/>
      <c r="AB30" s="242"/>
      <c r="AC30" s="242"/>
      <c r="AF30" s="242"/>
      <c r="AG30" s="242"/>
      <c r="AH30" s="242"/>
      <c r="AI30" s="242"/>
      <c r="AK30" s="242"/>
      <c r="AL30" s="242"/>
      <c r="AM30" s="242"/>
      <c r="AN30" s="242"/>
      <c r="AP30" s="242"/>
      <c r="AQ30" s="242"/>
      <c r="AR30" s="242"/>
      <c r="AS30" s="242"/>
      <c r="AU30" s="242"/>
      <c r="AV30" s="242"/>
      <c r="AW30" s="242"/>
      <c r="AX30" s="242"/>
    </row>
    <row r="31" spans="1:50" ht="16.5" customHeight="1">
      <c r="A31" s="82"/>
      <c r="B31" s="6094"/>
      <c r="C31" s="6095"/>
      <c r="D31" s="6095"/>
      <c r="E31" s="6095"/>
      <c r="F31" s="6095"/>
      <c r="G31" s="6096"/>
      <c r="H31" s="6150"/>
      <c r="I31" s="6151"/>
      <c r="J31" s="6155"/>
      <c r="K31" s="6102"/>
      <c r="L31" s="6103"/>
      <c r="M31" s="6158"/>
      <c r="N31" s="6129"/>
      <c r="O31" s="6130"/>
      <c r="P31" s="4564"/>
      <c r="Q31" s="1206"/>
      <c r="R31" s="1527"/>
      <c r="S31" s="1227" t="s">
        <v>760</v>
      </c>
      <c r="T31" s="82"/>
      <c r="U31" s="6049"/>
      <c r="V31" s="6126"/>
      <c r="W31" s="6133"/>
      <c r="X31" s="1227"/>
      <c r="Z31" s="242"/>
      <c r="AA31" s="242"/>
      <c r="AB31" s="242"/>
      <c r="AC31" s="242"/>
      <c r="AF31" s="242"/>
      <c r="AG31" s="242"/>
      <c r="AH31" s="242"/>
      <c r="AI31" s="242"/>
      <c r="AK31" s="242"/>
      <c r="AL31" s="242"/>
      <c r="AM31" s="242"/>
      <c r="AN31" s="242"/>
      <c r="AP31" s="242"/>
      <c r="AQ31" s="242"/>
      <c r="AR31" s="242"/>
      <c r="AS31" s="242"/>
      <c r="AU31" s="242"/>
      <c r="AV31" s="242"/>
      <c r="AW31" s="242"/>
      <c r="AX31" s="242"/>
    </row>
    <row r="32" spans="1:50" ht="16.5" customHeight="1">
      <c r="A32" s="82"/>
      <c r="B32" s="6097"/>
      <c r="C32" s="6098"/>
      <c r="D32" s="6098"/>
      <c r="E32" s="6098"/>
      <c r="F32" s="6098"/>
      <c r="G32" s="6099"/>
      <c r="H32" s="6152"/>
      <c r="I32" s="6153"/>
      <c r="J32" s="6156"/>
      <c r="K32" s="6104"/>
      <c r="L32" s="6105"/>
      <c r="M32" s="6159"/>
      <c r="N32" s="6131"/>
      <c r="O32" s="6132"/>
      <c r="P32" s="4564"/>
      <c r="Q32" s="1207"/>
      <c r="R32" s="1528"/>
      <c r="S32" s="82"/>
      <c r="T32" s="82"/>
      <c r="U32" s="6050"/>
      <c r="V32" s="6127"/>
      <c r="W32" s="6134"/>
      <c r="X32" s="1227"/>
      <c r="Z32" s="270" t="s">
        <v>935</v>
      </c>
      <c r="AA32" s="270" t="s">
        <v>936</v>
      </c>
      <c r="AB32" s="270" t="s">
        <v>937</v>
      </c>
      <c r="AC32" s="270" t="s">
        <v>4921</v>
      </c>
      <c r="AF32" s="270" t="s">
        <v>935</v>
      </c>
      <c r="AG32" s="270" t="s">
        <v>936</v>
      </c>
      <c r="AH32" s="270" t="s">
        <v>937</v>
      </c>
      <c r="AI32" s="270" t="s">
        <v>4921</v>
      </c>
      <c r="AK32" s="270" t="s">
        <v>935</v>
      </c>
      <c r="AL32" s="270" t="s">
        <v>936</v>
      </c>
      <c r="AM32" s="270" t="s">
        <v>937</v>
      </c>
      <c r="AN32" s="270" t="s">
        <v>4921</v>
      </c>
      <c r="AP32" s="270" t="s">
        <v>935</v>
      </c>
      <c r="AQ32" s="270" t="s">
        <v>936</v>
      </c>
      <c r="AR32" s="270" t="s">
        <v>937</v>
      </c>
      <c r="AS32" s="270" t="s">
        <v>4921</v>
      </c>
      <c r="AU32" s="270" t="s">
        <v>935</v>
      </c>
      <c r="AV32" s="270" t="s">
        <v>936</v>
      </c>
      <c r="AW32" s="270" t="s">
        <v>937</v>
      </c>
      <c r="AX32" s="270" t="s">
        <v>4921</v>
      </c>
    </row>
    <row r="33" spans="1:50" ht="46.5" customHeight="1">
      <c r="A33" s="82"/>
      <c r="B33" s="1514" t="s">
        <v>39</v>
      </c>
      <c r="C33" s="6077" t="s">
        <v>4181</v>
      </c>
      <c r="D33" s="6078"/>
      <c r="E33" s="6078"/>
      <c r="F33" s="6078"/>
      <c r="G33" s="6079"/>
      <c r="H33" s="1644"/>
      <c r="I33" s="1645"/>
      <c r="J33" s="1646"/>
      <c r="K33" s="1651"/>
      <c r="L33" s="1652"/>
      <c r="M33" s="1653"/>
      <c r="N33" s="1647"/>
      <c r="O33" s="1648"/>
      <c r="P33" s="1648"/>
      <c r="Q33" s="1207"/>
      <c r="R33" s="1528"/>
      <c r="S33" s="82"/>
      <c r="T33" s="82"/>
      <c r="U33" s="1636"/>
      <c r="V33" s="1635"/>
      <c r="W33" s="1649"/>
      <c r="X33" s="1227"/>
      <c r="Z33" s="270"/>
      <c r="AA33" s="270"/>
      <c r="AB33" s="270"/>
      <c r="AC33" s="270"/>
      <c r="AF33" s="270"/>
      <c r="AG33" s="270"/>
      <c r="AH33" s="270"/>
      <c r="AI33" s="270"/>
      <c r="AK33" s="270"/>
      <c r="AL33" s="270"/>
      <c r="AM33" s="270"/>
      <c r="AN33" s="270"/>
      <c r="AP33" s="270"/>
      <c r="AQ33" s="270"/>
      <c r="AR33" s="270"/>
      <c r="AS33" s="270"/>
      <c r="AU33" s="270"/>
      <c r="AV33" s="270"/>
      <c r="AW33" s="270"/>
      <c r="AX33" s="270"/>
    </row>
    <row r="34" spans="1:50" ht="15.75" customHeight="1">
      <c r="A34" s="82"/>
      <c r="B34" s="1643"/>
      <c r="C34" s="5681"/>
      <c r="D34" s="5681"/>
      <c r="E34" s="5681"/>
      <c r="F34" s="5681"/>
      <c r="G34" s="6080"/>
      <c r="H34" s="6004"/>
      <c r="I34" s="6092"/>
      <c r="J34" s="1518"/>
      <c r="K34" s="6074"/>
      <c r="L34" s="6075"/>
      <c r="M34" s="6076"/>
      <c r="N34" s="5983" t="str">
        <f>IF(OR(H34&lt;&gt;"",J34&lt;&gt;""),ROUND(SUM(H34,-J34),0),"")</f>
        <v/>
      </c>
      <c r="O34" s="5984"/>
      <c r="P34" s="6091"/>
      <c r="Q34" s="1207"/>
      <c r="R34" s="1528"/>
      <c r="S34" s="82"/>
      <c r="T34" s="82"/>
      <c r="U34" s="1636" t="str">
        <f>"---"</f>
        <v>---</v>
      </c>
      <c r="V34" s="1636" t="str">
        <f>"---"</f>
        <v>---</v>
      </c>
      <c r="W34" s="1650"/>
      <c r="X34" s="1227"/>
      <c r="Z34" s="270"/>
      <c r="AA34" s="270"/>
      <c r="AB34" s="270"/>
      <c r="AC34" s="270"/>
      <c r="AF34" s="270"/>
      <c r="AG34" s="270"/>
      <c r="AH34" s="270"/>
      <c r="AI34" s="270"/>
      <c r="AK34" s="270"/>
      <c r="AL34" s="270"/>
      <c r="AM34" s="270"/>
      <c r="AN34" s="270"/>
      <c r="AP34" s="270"/>
      <c r="AQ34" s="270"/>
      <c r="AR34" s="270"/>
      <c r="AS34" s="270"/>
      <c r="AU34" s="270"/>
      <c r="AV34" s="270"/>
      <c r="AW34" s="270"/>
      <c r="AX34" s="270"/>
    </row>
    <row r="35" spans="1:50" ht="13.5" customHeight="1">
      <c r="A35" s="82"/>
      <c r="B35" s="1514" t="s">
        <v>40</v>
      </c>
      <c r="C35" s="6062" t="s">
        <v>3435</v>
      </c>
      <c r="D35" s="6063"/>
      <c r="E35" s="6063"/>
      <c r="F35" s="6063"/>
      <c r="G35" s="6064"/>
      <c r="H35" s="6060">
        <f>SUM(AF36:AI36)</f>
        <v>0</v>
      </c>
      <c r="I35" s="6072"/>
      <c r="J35" s="1591">
        <f>SUM(AK36:AN36)</f>
        <v>0</v>
      </c>
      <c r="K35" s="6060">
        <f>SUM(AP36:AS36)</f>
        <v>0</v>
      </c>
      <c r="L35" s="6061"/>
      <c r="M35" s="6073"/>
      <c r="N35" s="6054">
        <f>SUM(AU36:AX36)</f>
        <v>0</v>
      </c>
      <c r="O35" s="6055"/>
      <c r="P35" s="4566"/>
      <c r="Q35" s="1208"/>
      <c r="R35" s="1529"/>
      <c r="S35" s="82"/>
      <c r="T35" s="82"/>
      <c r="U35" s="1596"/>
      <c r="V35" s="1599"/>
      <c r="W35" s="1598"/>
      <c r="X35" s="1227"/>
      <c r="Z35" s="242"/>
      <c r="AA35" s="242"/>
      <c r="AB35" s="242"/>
      <c r="AC35" s="242"/>
      <c r="AF35" s="242"/>
      <c r="AG35" s="242"/>
      <c r="AH35" s="242"/>
      <c r="AI35" s="242"/>
      <c r="AK35" s="242"/>
      <c r="AL35" s="242"/>
      <c r="AM35" s="242"/>
      <c r="AN35" s="242"/>
      <c r="AP35" s="242"/>
      <c r="AQ35" s="242"/>
      <c r="AR35" s="242"/>
      <c r="AS35" s="242"/>
      <c r="AU35" s="242"/>
      <c r="AV35" s="242"/>
      <c r="AW35" s="242"/>
      <c r="AX35" s="242"/>
    </row>
    <row r="36" spans="1:50" ht="13.5" customHeight="1">
      <c r="A36" s="82"/>
      <c r="B36" s="1515"/>
      <c r="C36" s="6065"/>
      <c r="D36" s="6065"/>
      <c r="E36" s="6065"/>
      <c r="F36" s="6065"/>
      <c r="G36" s="6066"/>
      <c r="H36" s="5983" t="str">
        <f>IF(U36&lt;&gt;"",ROUND(U36,0),IF($AD36,ROUND(H35,0),""))</f>
        <v/>
      </c>
      <c r="I36" s="6053"/>
      <c r="J36" s="1654" t="str">
        <f>IF(V36&lt;&gt;"",ROUND(V36,0),IF($AD36,ROUND(J35,0),""))</f>
        <v/>
      </c>
      <c r="K36" s="5983" t="str">
        <f>IF(W36&lt;&gt;"",ROUND(W36,0),IF($AD36,ROUND(K35,0),""))</f>
        <v/>
      </c>
      <c r="L36" s="5984"/>
      <c r="M36" s="6053"/>
      <c r="N36" s="5983" t="str">
        <f>IF(AND(H36="",J36="",K36=""),"",IF(AND(V36="",OR(U36&lt;&gt;"",W36&lt;&gt;"")),SUM(H36,K36),IF(OR(U36&lt;&gt;"",V36&lt;&gt;"",W36&lt;&gt;""),SUM(H36,-J36,K36),N35)))</f>
        <v/>
      </c>
      <c r="O36" s="5984"/>
      <c r="P36" s="6091"/>
      <c r="Q36" s="1208"/>
      <c r="R36" s="1529"/>
      <c r="S36" s="82"/>
      <c r="T36" s="82"/>
      <c r="U36" s="1516"/>
      <c r="V36" s="1517"/>
      <c r="W36" s="1518"/>
      <c r="X36" s="1227"/>
      <c r="Z36" s="242">
        <f>IF(F8949ALBOXA&lt;&gt;"",F8949ALT,0)</f>
        <v>0</v>
      </c>
      <c r="AA36" s="242">
        <f>IF(F8949BLBOXA&lt;&gt;"",F8949BLT,0)</f>
        <v>0</v>
      </c>
      <c r="AB36" s="242">
        <f>IF(F8949CLBOXA&lt;&gt;"",F8949CLT,0)</f>
        <v>0</v>
      </c>
      <c r="AC36" s="242">
        <f>IF(F8949DLBOXA&lt;&gt;"",F8949DLT,0)</f>
        <v>0</v>
      </c>
      <c r="AD36" s="3" t="b">
        <f>IF(SUM(Z36:AC36)&gt;0,TRUE,FALSE)</f>
        <v>0</v>
      </c>
      <c r="AF36" s="242">
        <f>IF(F8949ALBOXA&lt;&gt;"",F8949ALTD,0)</f>
        <v>0</v>
      </c>
      <c r="AG36" s="242">
        <f>IF(F8949BLBOXA&lt;&gt;"",F8949BLTD,0)</f>
        <v>0</v>
      </c>
      <c r="AH36" s="242">
        <f>IF(F8949CLBOXA&lt;&gt;"",F8949CLTD,0)</f>
        <v>0</v>
      </c>
      <c r="AI36" s="242" t="str">
        <f>IF(F8949DLBOXA&lt;&gt;"",F8949DLTD,0)</f>
        <v/>
      </c>
      <c r="AK36" s="242">
        <f>IF(F8949ALBOXA&lt;&gt;"",F8949ALTE,0)</f>
        <v>0</v>
      </c>
      <c r="AL36" s="242">
        <f>IF(F8949BLBOXA&lt;&gt;"",F8949BLTE,0)</f>
        <v>0</v>
      </c>
      <c r="AM36" s="242">
        <f>IF(F8949CLBOXA&lt;&gt;"",F8949CLTE,0)</f>
        <v>0</v>
      </c>
      <c r="AN36" s="242" t="str">
        <f>IF(F8949DLBOXA&lt;&gt;"",F8949DLTE,0)</f>
        <v/>
      </c>
      <c r="AP36" s="242">
        <f>IF(F8949ALBOXA&lt;&gt;"",F8949ALTG,0)</f>
        <v>0</v>
      </c>
      <c r="AQ36" s="242">
        <f>IF(F8949BLBOXA&lt;&gt;"",F8949BLTG,0)</f>
        <v>0</v>
      </c>
      <c r="AR36" s="242">
        <f>IF(F8949CLBOXA&lt;&gt;"",F8949CLTG,0)</f>
        <v>0</v>
      </c>
      <c r="AS36" s="242" t="str">
        <f>IF(F8949DLBOXA&lt;&gt;"",F8949DLTG,0)</f>
        <v/>
      </c>
      <c r="AU36" s="242">
        <f>IF(F8949ALBOXA&lt;&gt;"",F8949ALTH,0)</f>
        <v>0</v>
      </c>
      <c r="AV36" s="242">
        <f>IF(F8949BLBOXA&lt;&gt;"",F8949BLTH,0)</f>
        <v>0</v>
      </c>
      <c r="AW36" s="242">
        <f>IF(F8949CLBOXA&lt;&gt;"",F8949CLTH,0)</f>
        <v>0</v>
      </c>
      <c r="AX36" s="242" t="str">
        <f>IF(F8949DLBOXA&lt;&gt;"",F8949DLTH,0)</f>
        <v/>
      </c>
    </row>
    <row r="37" spans="1:50" ht="13.5" customHeight="1">
      <c r="A37" s="82"/>
      <c r="B37" s="1514">
        <v>9</v>
      </c>
      <c r="C37" s="6062" t="s">
        <v>3436</v>
      </c>
      <c r="D37" s="6063"/>
      <c r="E37" s="6063"/>
      <c r="F37" s="6063"/>
      <c r="G37" s="6064"/>
      <c r="H37" s="6060">
        <f>SUM(AF38:AI38)</f>
        <v>0</v>
      </c>
      <c r="I37" s="6072"/>
      <c r="J37" s="1591">
        <f>SUM(AK38:AN38)</f>
        <v>0</v>
      </c>
      <c r="K37" s="6060">
        <f>SUM(AP38:AS38)</f>
        <v>0</v>
      </c>
      <c r="L37" s="6061"/>
      <c r="M37" s="6073"/>
      <c r="N37" s="6060">
        <f>SUM(AU38:AX38)</f>
        <v>0</v>
      </c>
      <c r="O37" s="6061"/>
      <c r="P37" s="4566"/>
      <c r="Q37" s="1208"/>
      <c r="R37" s="1529"/>
      <c r="S37" s="82"/>
      <c r="T37" s="82"/>
      <c r="U37" s="1596"/>
      <c r="V37" s="1599"/>
      <c r="W37" s="1598"/>
      <c r="X37" s="1227"/>
      <c r="Z37" s="242"/>
      <c r="AA37" s="242"/>
      <c r="AB37" s="242"/>
      <c r="AC37" s="242"/>
      <c r="AF37" s="242"/>
      <c r="AG37" s="242"/>
      <c r="AH37" s="242"/>
      <c r="AI37" s="242"/>
      <c r="AK37" s="242"/>
      <c r="AL37" s="242"/>
      <c r="AM37" s="242"/>
      <c r="AN37" s="242"/>
      <c r="AP37" s="242"/>
      <c r="AQ37" s="242"/>
      <c r="AR37" s="242"/>
      <c r="AS37" s="242"/>
      <c r="AU37" s="242"/>
      <c r="AV37" s="242"/>
      <c r="AW37" s="242"/>
      <c r="AX37" s="242"/>
    </row>
    <row r="38" spans="1:50" ht="12.75" customHeight="1">
      <c r="A38" s="82"/>
      <c r="B38" s="1515"/>
      <c r="C38" s="6065"/>
      <c r="D38" s="6065"/>
      <c r="E38" s="6065"/>
      <c r="F38" s="6065"/>
      <c r="G38" s="6066"/>
      <c r="H38" s="5983" t="str">
        <f>IF(U38&lt;&gt;"",ROUND(U38,0),IF($AD38,ROUND(H37,0),""))</f>
        <v/>
      </c>
      <c r="I38" s="6053"/>
      <c r="J38" s="1654" t="str">
        <f>IF(V38&lt;&gt;"",ROUND(V38,0),IF($AD38,ROUND(J37,0),""))</f>
        <v/>
      </c>
      <c r="K38" s="5983" t="str">
        <f>IF(W38&lt;&gt;"",ROUND(W38,0),IF($AD38,ROUND(K37,0),""))</f>
        <v/>
      </c>
      <c r="L38" s="5984"/>
      <c r="M38" s="6053"/>
      <c r="N38" s="5983" t="str">
        <f>IF(AND(H38="",J38="",K38=""),"",IF(AND(V38="",OR(U38&lt;&gt;"",W38&lt;&gt;"")),SUM(H38,K38),IF(OR(U38&lt;&gt;"",V38&lt;&gt;"",W38&lt;&gt;""),SUM(H38,-J38,K38),N37)))</f>
        <v/>
      </c>
      <c r="O38" s="5984"/>
      <c r="P38" s="6091"/>
      <c r="Q38" s="1208"/>
      <c r="R38" s="1529"/>
      <c r="S38" s="82"/>
      <c r="T38" s="82"/>
      <c r="U38" s="1516"/>
      <c r="V38" s="1517"/>
      <c r="W38" s="1518"/>
      <c r="X38" s="1227"/>
      <c r="Z38" s="242">
        <f>IF(F8949ALBOXB&lt;&gt;"",F8949ALT,0)</f>
        <v>0</v>
      </c>
      <c r="AA38" s="242">
        <f>IF(F8949BLBOXB&lt;&gt;"",F8949BLT,0)</f>
        <v>0</v>
      </c>
      <c r="AB38" s="242">
        <f>IF(F8949CLBOXB&lt;&gt;"",F8949CLT,0)</f>
        <v>0</v>
      </c>
      <c r="AC38" s="242">
        <f>IF(F8949DLBOXB&lt;&gt;"",F8949DLT,0)</f>
        <v>0</v>
      </c>
      <c r="AD38" s="3" t="b">
        <f>IF(SUM(Z38:AC38)&gt;0,TRUE,FALSE)</f>
        <v>0</v>
      </c>
      <c r="AF38" s="242">
        <f>IF(F8949ALBOXB&lt;&gt;"",F8949ALTD,0)</f>
        <v>0</v>
      </c>
      <c r="AG38" s="242">
        <f>IF(F8949BLBOXB&lt;&gt;"",F8949BLTD,0)</f>
        <v>0</v>
      </c>
      <c r="AH38" s="242">
        <f>IF(F8949CLBOXB&lt;&gt;"",F8949CLTD,0)</f>
        <v>0</v>
      </c>
      <c r="AI38" s="242">
        <f>IF(F8949DLBOXB&lt;&gt;"",F8949DLTD,0)</f>
        <v>0</v>
      </c>
      <c r="AK38" s="242">
        <f>IF(F8949ALBOXB&lt;&gt;"",F8949ALTE,0)</f>
        <v>0</v>
      </c>
      <c r="AL38" s="242">
        <f>IF(F8949BLBOXB&lt;&gt;"",F8949BLTE,0)</f>
        <v>0</v>
      </c>
      <c r="AM38" s="242">
        <f>IF(F8949CLBOXB&lt;&gt;"",F8949CLTE,0)</f>
        <v>0</v>
      </c>
      <c r="AN38" s="242">
        <f>IF(F8949DLBOXB&lt;&gt;"",F8949DLTE,0)</f>
        <v>0</v>
      </c>
      <c r="AP38" s="242">
        <f>IF(F8949ALBOXB&lt;&gt;"",F8949ALTG,0)</f>
        <v>0</v>
      </c>
      <c r="AQ38" s="242">
        <f>IF(F8949BLBOXB&lt;&gt;"",F8949BLTG,0)</f>
        <v>0</v>
      </c>
      <c r="AR38" s="242">
        <f>IF(F8949CLBOXB&lt;&gt;"",F8949CLTG,0)</f>
        <v>0</v>
      </c>
      <c r="AS38" s="242">
        <f>IF(F8949DLBOXB&lt;&gt;"",F8949DLTG,0)</f>
        <v>0</v>
      </c>
      <c r="AU38" s="242">
        <f>IF(F8949ALBOXB&lt;&gt;"",F8949ALTH,0)</f>
        <v>0</v>
      </c>
      <c r="AV38" s="242">
        <f>IF(F8949BLBOXB&lt;&gt;"",F8949BLTH,0)</f>
        <v>0</v>
      </c>
      <c r="AW38" s="242">
        <f>IF(F8949CLBOXB&lt;&gt;"",F8949CLTH,0)</f>
        <v>0</v>
      </c>
      <c r="AX38" s="242">
        <f>IF(F8949DLBOXB&lt;&gt;"",F8949DLTH,0)</f>
        <v>0</v>
      </c>
    </row>
    <row r="39" spans="1:50" ht="12.75" customHeight="1">
      <c r="A39" s="82"/>
      <c r="B39" s="1514">
        <v>10</v>
      </c>
      <c r="C39" s="6062" t="s">
        <v>3437</v>
      </c>
      <c r="D39" s="6063"/>
      <c r="E39" s="6063"/>
      <c r="F39" s="6063"/>
      <c r="G39" s="6064"/>
      <c r="H39" s="6060">
        <f>SUM(AF40:AI40)</f>
        <v>0</v>
      </c>
      <c r="I39" s="6072"/>
      <c r="J39" s="1591">
        <f>SUM(AK40:AN40)</f>
        <v>0</v>
      </c>
      <c r="K39" s="6060">
        <f>SUM(AP40:AS40)</f>
        <v>0</v>
      </c>
      <c r="L39" s="6061"/>
      <c r="M39" s="6073"/>
      <c r="N39" s="6060">
        <f>SUM(AU40:AX40)</f>
        <v>0</v>
      </c>
      <c r="O39" s="6061"/>
      <c r="P39" s="4566"/>
      <c r="Q39" s="1208"/>
      <c r="R39" s="1529"/>
      <c r="S39" s="82"/>
      <c r="T39" s="82"/>
      <c r="U39" s="1596"/>
      <c r="V39" s="1599"/>
      <c r="W39" s="1598"/>
      <c r="X39" s="1227"/>
      <c r="Z39" s="242"/>
      <c r="AA39" s="242"/>
      <c r="AB39" s="242"/>
      <c r="AC39" s="242"/>
      <c r="AF39" s="242"/>
      <c r="AG39" s="242"/>
      <c r="AH39" s="242"/>
      <c r="AI39" s="242"/>
      <c r="AK39" s="242"/>
      <c r="AL39" s="242"/>
      <c r="AM39" s="242"/>
      <c r="AN39" s="242"/>
      <c r="AP39" s="242"/>
      <c r="AQ39" s="242"/>
      <c r="AR39" s="242"/>
      <c r="AS39" s="242"/>
      <c r="AU39" s="242"/>
      <c r="AV39" s="242"/>
      <c r="AW39" s="242"/>
      <c r="AX39" s="242"/>
    </row>
    <row r="40" spans="1:50" ht="12.75" customHeight="1">
      <c r="A40" s="82"/>
      <c r="B40" s="1515"/>
      <c r="C40" s="6065"/>
      <c r="D40" s="6065"/>
      <c r="E40" s="6065"/>
      <c r="F40" s="6065"/>
      <c r="G40" s="6066"/>
      <c r="H40" s="5983" t="str">
        <f>IF(U40&lt;&gt;"",ROUND(U40,0),IF($AD40,ROUND(H39,0),""))</f>
        <v/>
      </c>
      <c r="I40" s="6053"/>
      <c r="J40" s="1654" t="str">
        <f>IF(V40&lt;&gt;"",ROUND(V40,0),IF($AD40,ROUND(J39,0),""))</f>
        <v/>
      </c>
      <c r="K40" s="5983" t="str">
        <f>IF(W40&lt;&gt;"",ROUND(W40,0),IF($AD40,ROUND(K39,0),""))</f>
        <v/>
      </c>
      <c r="L40" s="5984"/>
      <c r="M40" s="6053"/>
      <c r="N40" s="5983" t="str">
        <f>IF(AND(H40="",J40="",K40=""),"",IF(AND(V40="",OR(U40&lt;&gt;"",W40&lt;&gt;"")),SUM(H40,K40),IF(OR(U40&lt;&gt;"",V40&lt;&gt;"",W40&lt;&gt;""),SUM(H40,-J40,K40),N39)))</f>
        <v/>
      </c>
      <c r="O40" s="5984"/>
      <c r="P40" s="6091"/>
      <c r="Q40" s="1208"/>
      <c r="R40" s="1529"/>
      <c r="S40" s="82"/>
      <c r="T40" s="82"/>
      <c r="U40" s="1516"/>
      <c r="V40" s="1517"/>
      <c r="W40" s="1518"/>
      <c r="X40" s="1227"/>
      <c r="Z40" s="242">
        <f>IF(F8949ALBOXC&lt;&gt;"",F8949ALT,0)</f>
        <v>0</v>
      </c>
      <c r="AA40" s="242">
        <f>IF(F8949BLBOXC&lt;&gt;"",F8949BLT,0)</f>
        <v>0</v>
      </c>
      <c r="AB40" s="242">
        <f>IF(F8949CLBOXC&lt;&gt;"",F8949CLT,0)</f>
        <v>0</v>
      </c>
      <c r="AC40" s="242">
        <f>IF(F8949DLBOXC&lt;&gt;"",F8949DLT,0)</f>
        <v>0</v>
      </c>
      <c r="AD40" s="3" t="b">
        <f>IF(SUM(Z40:AC40)&gt;0,TRUE,FALSE)</f>
        <v>0</v>
      </c>
      <c r="AF40" s="242">
        <f>IF(F8949ALBOXC&lt;&gt;"",F8949ALTD,0)</f>
        <v>0</v>
      </c>
      <c r="AG40" s="242">
        <f>IF(F8949BLBOXC&lt;&gt;"",F8949BLTD,0)</f>
        <v>0</v>
      </c>
      <c r="AH40" s="242">
        <f>IF(F8949CLBOXC&lt;&gt;"",F8949CLTD,0)</f>
        <v>0</v>
      </c>
      <c r="AI40" s="242">
        <f>IF(F8949DLBOXC&lt;&gt;"",F8949DLTD,0)</f>
        <v>0</v>
      </c>
      <c r="AK40" s="242">
        <f>IF(F8949ALBOXC&lt;&gt;"",F8949ALTE,0)</f>
        <v>0</v>
      </c>
      <c r="AL40" s="242">
        <f>IF(F8949BLBOXC&lt;&gt;"",F8949BLTE,0)</f>
        <v>0</v>
      </c>
      <c r="AM40" s="242">
        <f>IF(F8949CLBOXC&lt;&gt;"",F8949CLTE,0)</f>
        <v>0</v>
      </c>
      <c r="AN40" s="242">
        <f>IF(F8949DLBOXC&lt;&gt;"",F8949DLTE,0)</f>
        <v>0</v>
      </c>
      <c r="AP40" s="242">
        <f>IF(F8949ALBOXC&lt;&gt;"",F8949ALTG,0)</f>
        <v>0</v>
      </c>
      <c r="AQ40" s="242">
        <f>IF(F8949BLBOXC&lt;&gt;"",F8949BLTG,0)</f>
        <v>0</v>
      </c>
      <c r="AR40" s="242">
        <f>IF(F8949CLBOXC&lt;&gt;"",F8949CLTG,0)</f>
        <v>0</v>
      </c>
      <c r="AS40" s="242">
        <f>IF(F8949DLBOXC&lt;&gt;"",F8949DLTG,0)</f>
        <v>0</v>
      </c>
      <c r="AU40" s="242">
        <f>IF(F8949ALBOXC&lt;&gt;"",F8949ALTH,0)</f>
        <v>0</v>
      </c>
      <c r="AV40" s="242">
        <f>IF(F8949BLBOXC&lt;&gt;"",F8949BLTH,0)</f>
        <v>0</v>
      </c>
      <c r="AW40" s="242">
        <f>IF(F8949CLBOXC&lt;&gt;"",F8949CLTH,0)</f>
        <v>0</v>
      </c>
      <c r="AX40" s="242">
        <f>IF(F8949DLBOXC&lt;&gt;"",F8949DLTH,0)</f>
        <v>0</v>
      </c>
    </row>
    <row r="41" spans="1:50" ht="12.75" customHeight="1">
      <c r="A41" s="82"/>
      <c r="B41" s="1189">
        <v>11</v>
      </c>
      <c r="C41" s="6085" t="s">
        <v>4182</v>
      </c>
      <c r="D41" s="6086"/>
      <c r="E41" s="6086"/>
      <c r="F41" s="6086"/>
      <c r="G41" s="6086"/>
      <c r="H41" s="6086"/>
      <c r="I41" s="6086"/>
      <c r="J41" s="6086"/>
      <c r="K41" s="6086"/>
      <c r="L41" s="6087"/>
      <c r="M41" s="748"/>
      <c r="N41" s="6141"/>
      <c r="O41" s="6142"/>
      <c r="P41" s="4567"/>
      <c r="Q41" s="1208"/>
      <c r="R41" s="1529"/>
      <c r="S41" s="82"/>
      <c r="T41" s="82"/>
      <c r="U41" s="82"/>
      <c r="V41" s="82"/>
      <c r="W41" s="82"/>
      <c r="X41" s="82"/>
      <c r="Z41" s="242"/>
      <c r="AA41" s="242"/>
      <c r="AB41" s="242"/>
      <c r="AC41" s="242"/>
      <c r="AF41" s="242"/>
      <c r="AG41" s="242"/>
      <c r="AH41" s="242"/>
      <c r="AI41" s="242"/>
      <c r="AK41" s="242"/>
      <c r="AL41" s="242"/>
      <c r="AM41" s="242"/>
      <c r="AN41" s="242"/>
      <c r="AP41" s="242"/>
      <c r="AQ41" s="242"/>
      <c r="AR41" s="242"/>
      <c r="AS41" s="242"/>
      <c r="AU41" s="242"/>
      <c r="AV41" s="242"/>
      <c r="AW41" s="242"/>
      <c r="AX41" s="242"/>
    </row>
    <row r="42" spans="1:50" ht="13.5" customHeight="1">
      <c r="A42" s="82"/>
      <c r="B42" s="1189"/>
      <c r="C42" s="6088"/>
      <c r="D42" s="6088"/>
      <c r="E42" s="6088"/>
      <c r="F42" s="6088"/>
      <c r="G42" s="6088"/>
      <c r="H42" s="6088"/>
      <c r="I42" s="6088"/>
      <c r="J42" s="6088"/>
      <c r="K42" s="6088"/>
      <c r="L42" s="6089"/>
      <c r="M42" s="256">
        <f>B41</f>
        <v>11</v>
      </c>
      <c r="N42" s="6004"/>
      <c r="O42" s="5828"/>
      <c r="P42" s="6137"/>
      <c r="Q42" s="1208"/>
      <c r="R42" s="1529"/>
      <c r="S42" s="82"/>
      <c r="T42" s="82"/>
      <c r="U42" s="82"/>
      <c r="V42" s="82"/>
      <c r="W42" s="82"/>
      <c r="X42" s="82"/>
      <c r="Z42" s="242"/>
      <c r="AA42" s="242"/>
      <c r="AB42" s="242"/>
      <c r="AC42" s="242"/>
      <c r="AF42" s="242"/>
      <c r="AG42" s="242"/>
      <c r="AH42" s="242"/>
      <c r="AI42" s="242"/>
      <c r="AK42" s="242"/>
      <c r="AL42" s="242"/>
      <c r="AM42" s="242"/>
      <c r="AN42" s="242"/>
      <c r="AP42" s="242"/>
      <c r="AQ42" s="242"/>
      <c r="AR42" s="242"/>
      <c r="AS42" s="242"/>
      <c r="AU42" s="242"/>
      <c r="AV42" s="242"/>
      <c r="AW42" s="242"/>
      <c r="AX42" s="242"/>
    </row>
    <row r="43" spans="1:50">
      <c r="A43" s="82"/>
      <c r="B43" s="161"/>
      <c r="C43" s="171"/>
      <c r="D43" s="171"/>
      <c r="E43" s="171"/>
      <c r="F43" s="171"/>
      <c r="G43" s="231"/>
      <c r="H43" s="141"/>
      <c r="I43" s="141"/>
      <c r="J43" s="141"/>
      <c r="K43" s="161"/>
      <c r="L43" s="161"/>
      <c r="M43" s="748"/>
      <c r="N43" s="3251"/>
      <c r="O43" s="2100"/>
      <c r="P43" s="2100"/>
      <c r="Q43" s="1208"/>
      <c r="R43" s="1529"/>
      <c r="S43" s="82"/>
      <c r="T43" s="82"/>
      <c r="U43" s="5"/>
      <c r="V43" s="5"/>
      <c r="W43" s="5"/>
      <c r="X43" s="5"/>
      <c r="Z43" s="242"/>
      <c r="AA43" s="242"/>
      <c r="AB43" s="242"/>
      <c r="AC43" s="242"/>
      <c r="AF43" s="242"/>
      <c r="AG43" s="242"/>
      <c r="AH43" s="242"/>
      <c r="AI43" s="242"/>
      <c r="AK43" s="242"/>
      <c r="AL43" s="242"/>
      <c r="AM43" s="242"/>
      <c r="AN43" s="242"/>
      <c r="AP43" s="242"/>
      <c r="AQ43" s="242"/>
      <c r="AR43" s="242"/>
      <c r="AS43" s="242"/>
      <c r="AU43" s="242"/>
      <c r="AV43" s="242"/>
      <c r="AW43" s="242"/>
      <c r="AX43" s="242"/>
    </row>
    <row r="44" spans="1:50" ht="12.75" customHeight="1">
      <c r="A44" s="82"/>
      <c r="B44" s="161">
        <v>12</v>
      </c>
      <c r="C44" s="1115" t="s">
        <v>881</v>
      </c>
      <c r="D44" s="171"/>
      <c r="E44" s="171"/>
      <c r="F44" s="171"/>
      <c r="G44" s="231"/>
      <c r="H44" s="141"/>
      <c r="I44" s="141"/>
      <c r="J44" s="141"/>
      <c r="K44" s="161"/>
      <c r="L44" s="162"/>
      <c r="M44" s="256">
        <f>B44</f>
        <v>12</v>
      </c>
      <c r="N44" s="6004"/>
      <c r="O44" s="5828"/>
      <c r="P44" s="6137"/>
      <c r="Q44" s="1209"/>
      <c r="R44" s="1530"/>
      <c r="S44" s="82"/>
      <c r="T44" s="82"/>
      <c r="U44" s="5"/>
      <c r="V44" s="5"/>
      <c r="W44" s="5"/>
      <c r="X44" s="5"/>
      <c r="Z44" s="242"/>
      <c r="AA44" s="242"/>
      <c r="AB44" s="242"/>
      <c r="AC44" s="242"/>
      <c r="AF44" s="242"/>
      <c r="AG44" s="242"/>
      <c r="AH44" s="242"/>
      <c r="AI44" s="242"/>
      <c r="AK44" s="242"/>
      <c r="AL44" s="242"/>
      <c r="AM44" s="242"/>
      <c r="AN44" s="242"/>
      <c r="AP44" s="242"/>
      <c r="AQ44" s="242"/>
      <c r="AR44" s="242"/>
      <c r="AS44" s="242"/>
      <c r="AU44" s="242"/>
      <c r="AV44" s="242"/>
      <c r="AW44" s="242"/>
      <c r="AX44" s="242"/>
    </row>
    <row r="45" spans="1:50" ht="13.5" customHeight="1">
      <c r="A45" s="82"/>
      <c r="B45" s="161"/>
      <c r="C45" s="171"/>
      <c r="D45" s="171"/>
      <c r="E45" s="171"/>
      <c r="F45" s="171"/>
      <c r="G45" s="231"/>
      <c r="H45" s="231"/>
      <c r="I45" s="231"/>
      <c r="J45" s="141"/>
      <c r="K45" s="142"/>
      <c r="L45" s="142"/>
      <c r="M45" s="1190"/>
      <c r="N45" s="6143"/>
      <c r="O45" s="6059"/>
      <c r="P45" s="2153"/>
      <c r="Q45" s="1210"/>
      <c r="R45" s="1531"/>
      <c r="S45" s="1541"/>
      <c r="T45" s="82"/>
      <c r="U45" s="5"/>
      <c r="V45" s="5"/>
      <c r="W45" s="5"/>
      <c r="X45" s="5"/>
      <c r="Z45" s="242"/>
      <c r="AA45" s="242"/>
      <c r="AB45" s="242"/>
      <c r="AC45" s="242"/>
      <c r="AF45" s="242"/>
      <c r="AG45" s="242"/>
      <c r="AH45" s="242"/>
      <c r="AI45" s="242"/>
      <c r="AK45" s="242"/>
      <c r="AL45" s="242"/>
      <c r="AM45" s="242"/>
      <c r="AN45" s="242"/>
      <c r="AP45" s="242"/>
      <c r="AQ45" s="242"/>
      <c r="AR45" s="242"/>
      <c r="AS45" s="242"/>
      <c r="AU45" s="242"/>
      <c r="AV45" s="242"/>
      <c r="AW45" s="242"/>
      <c r="AX45" s="242"/>
    </row>
    <row r="46" spans="1:50" ht="13.5" customHeight="1">
      <c r="A46" s="82"/>
      <c r="B46" s="23">
        <v>13</v>
      </c>
      <c r="C46" s="1115" t="s">
        <v>738</v>
      </c>
      <c r="D46" s="284"/>
      <c r="E46" s="284"/>
      <c r="F46" s="198"/>
      <c r="G46" s="231"/>
      <c r="H46" s="231"/>
      <c r="I46" s="231"/>
      <c r="J46" s="141"/>
      <c r="K46" s="161"/>
      <c r="L46" s="161" t="s">
        <v>3697</v>
      </c>
      <c r="M46" s="256">
        <f>B46</f>
        <v>13</v>
      </c>
      <c r="N46" s="5983" t="str">
        <f>IF(S46&lt;&gt;"",ROUND(S46,0),IF('1099-DIV'!H92=0,"",'1099-DIV'!H92))</f>
        <v/>
      </c>
      <c r="O46" s="5984"/>
      <c r="P46" s="6091"/>
      <c r="Q46" s="1210"/>
      <c r="R46" s="1531"/>
      <c r="S46" s="4143"/>
      <c r="T46" s="82"/>
      <c r="U46" s="4142" t="str">
        <f>IF($S$48="","",IF($S$48&gt;0,"The amount entered",""))</f>
        <v/>
      </c>
      <c r="V46" s="5"/>
      <c r="W46" s="5"/>
      <c r="X46" s="5"/>
      <c r="Z46" s="242"/>
      <c r="AA46" s="242"/>
      <c r="AB46" s="242"/>
      <c r="AC46" s="242"/>
      <c r="AF46" s="242"/>
      <c r="AG46" s="242"/>
      <c r="AH46" s="242"/>
      <c r="AI46" s="242"/>
      <c r="AK46" s="242"/>
      <c r="AL46" s="242"/>
      <c r="AM46" s="242"/>
      <c r="AN46" s="242"/>
      <c r="AP46" s="242"/>
      <c r="AQ46" s="242"/>
      <c r="AR46" s="242"/>
      <c r="AS46" s="242"/>
      <c r="AU46" s="242"/>
      <c r="AV46" s="242"/>
      <c r="AW46" s="242"/>
      <c r="AX46" s="242"/>
    </row>
    <row r="47" spans="1:50">
      <c r="A47" s="82"/>
      <c r="B47" s="161">
        <v>14</v>
      </c>
      <c r="C47" s="1115" t="s">
        <v>4183</v>
      </c>
      <c r="D47" s="171"/>
      <c r="E47" s="171"/>
      <c r="F47" s="171"/>
      <c r="G47" s="231"/>
      <c r="H47" s="231"/>
      <c r="I47" s="231"/>
      <c r="J47" s="141"/>
      <c r="K47" s="142"/>
      <c r="L47" s="142"/>
      <c r="M47" s="1190"/>
      <c r="N47" s="4562"/>
      <c r="O47" s="4573" t="str">
        <f>IF(S48&lt;&gt;"",ROUND(S48,0),IF('Sch. D WS'!P33="","",-'Sch. D WS'!P33))</f>
        <v/>
      </c>
      <c r="P47" s="2153"/>
      <c r="Q47" s="1210"/>
      <c r="R47" s="1531"/>
      <c r="S47" s="1541"/>
      <c r="T47" s="82"/>
      <c r="U47" s="4142" t="str">
        <f>IF($S$48="","",IF($S$48&gt;0,"on Line 14 must be",""))</f>
        <v/>
      </c>
      <c r="V47" s="5"/>
      <c r="W47" s="5"/>
      <c r="X47" s="5"/>
      <c r="Z47" s="242"/>
      <c r="AA47" s="242"/>
      <c r="AB47" s="242"/>
      <c r="AC47" s="242"/>
      <c r="AF47" s="242"/>
      <c r="AG47" s="242"/>
      <c r="AH47" s="242"/>
      <c r="AI47" s="242"/>
      <c r="AK47" s="242"/>
      <c r="AL47" s="242"/>
      <c r="AM47" s="242"/>
      <c r="AN47" s="242"/>
      <c r="AP47" s="242"/>
      <c r="AQ47" s="242"/>
      <c r="AR47" s="242"/>
      <c r="AS47" s="242"/>
      <c r="AU47" s="242"/>
      <c r="AV47" s="242"/>
      <c r="AW47" s="242"/>
      <c r="AX47" s="242"/>
    </row>
    <row r="48" spans="1:50" ht="13.5" customHeight="1">
      <c r="A48" s="82"/>
      <c r="B48" s="23"/>
      <c r="C48" s="23" t="s">
        <v>4176</v>
      </c>
      <c r="D48" s="284"/>
      <c r="E48" s="284"/>
      <c r="F48" s="198"/>
      <c r="G48" s="231"/>
      <c r="H48" s="231"/>
      <c r="I48" s="231"/>
      <c r="J48" s="141"/>
      <c r="K48" s="161"/>
      <c r="L48" s="161" t="s">
        <v>4959</v>
      </c>
      <c r="M48" s="256">
        <f>B47</f>
        <v>14</v>
      </c>
      <c r="N48" s="4569" t="s">
        <v>1147</v>
      </c>
      <c r="O48" s="1872" t="str">
        <f>IF(O47&gt;=0,"",-O47)</f>
        <v/>
      </c>
      <c r="P48" s="4571" t="s">
        <v>1148</v>
      </c>
      <c r="Q48" s="1210"/>
      <c r="R48" s="1531"/>
      <c r="S48" s="4143"/>
      <c r="T48" s="82"/>
      <c r="U48" s="4142" t="str">
        <f>IF($S$48="","",IF($S$48&gt;0,"as negative amount.",""))</f>
        <v/>
      </c>
      <c r="V48" s="5"/>
      <c r="W48" s="5"/>
      <c r="X48" s="5"/>
      <c r="Z48" s="242"/>
      <c r="AA48" s="242"/>
      <c r="AB48" s="242"/>
      <c r="AC48" s="242"/>
      <c r="AF48" s="242"/>
      <c r="AG48" s="242"/>
      <c r="AH48" s="242"/>
      <c r="AI48" s="242"/>
      <c r="AK48" s="242"/>
      <c r="AL48" s="242"/>
      <c r="AM48" s="242"/>
      <c r="AN48" s="242"/>
      <c r="AP48" s="242"/>
      <c r="AQ48" s="242"/>
      <c r="AR48" s="242"/>
      <c r="AS48" s="242"/>
      <c r="AU48" s="242"/>
      <c r="AV48" s="242"/>
      <c r="AW48" s="242"/>
      <c r="AX48" s="242"/>
    </row>
    <row r="49" spans="1:61" ht="12.75" customHeight="1">
      <c r="A49" s="82"/>
      <c r="B49" s="1189">
        <v>15</v>
      </c>
      <c r="C49" s="6067" t="s">
        <v>4184</v>
      </c>
      <c r="D49" s="6068"/>
      <c r="E49" s="6068"/>
      <c r="F49" s="6068"/>
      <c r="G49" s="6068"/>
      <c r="H49" s="6068"/>
      <c r="I49" s="6068"/>
      <c r="J49" s="6068"/>
      <c r="K49" s="6068"/>
      <c r="L49" s="6069"/>
      <c r="M49" s="748"/>
      <c r="N49" s="6058"/>
      <c r="O49" s="6059"/>
      <c r="P49" s="2153"/>
      <c r="Q49" s="1211"/>
      <c r="R49" s="1532"/>
      <c r="S49" s="1541"/>
      <c r="T49" s="82"/>
      <c r="U49" s="5"/>
      <c r="V49" s="5"/>
      <c r="W49" s="5"/>
      <c r="X49" s="5"/>
      <c r="Z49" s="242"/>
      <c r="AA49" s="242"/>
      <c r="AB49" s="242"/>
      <c r="AC49" s="242"/>
      <c r="AF49" s="242"/>
      <c r="AG49" s="242"/>
      <c r="AH49" s="242"/>
      <c r="AI49" s="242"/>
      <c r="AK49" s="242"/>
      <c r="AL49" s="242"/>
      <c r="AM49" s="242"/>
      <c r="AN49" s="242"/>
      <c r="AP49" s="242"/>
      <c r="AQ49" s="242"/>
      <c r="AR49" s="242"/>
      <c r="AS49" s="242"/>
      <c r="AU49" s="242"/>
      <c r="AV49" s="242"/>
      <c r="AW49" s="242"/>
      <c r="AX49" s="242"/>
    </row>
    <row r="50" spans="1:61" ht="12.75" customHeight="1" thickBot="1">
      <c r="A50" s="82"/>
      <c r="B50" s="1191"/>
      <c r="C50" s="6070"/>
      <c r="D50" s="6070"/>
      <c r="E50" s="6070"/>
      <c r="F50" s="6070"/>
      <c r="G50" s="6070"/>
      <c r="H50" s="6070"/>
      <c r="I50" s="6070"/>
      <c r="J50" s="6070"/>
      <c r="K50" s="6070"/>
      <c r="L50" s="6071"/>
      <c r="M50" s="1540">
        <f>B49</f>
        <v>15</v>
      </c>
      <c r="N50" s="5981" t="str">
        <f>IF(S50&lt;&gt;"",ROUND(S50,0),IF(AND(N34="",N36="",N38="",N40="",N42="",N44="",N46="",OR(O47=0,O47="")),"",SUM(N34,N36,N38,N40,N42,N44,N46,O47)))</f>
        <v/>
      </c>
      <c r="O50" s="6144"/>
      <c r="P50" s="6145"/>
      <c r="Q50" s="1211"/>
      <c r="R50" s="1532"/>
      <c r="S50" s="4143"/>
      <c r="T50" s="82"/>
      <c r="U50" s="5"/>
      <c r="V50" s="5"/>
      <c r="W50" s="5"/>
      <c r="X50" s="5"/>
      <c r="Z50" s="242"/>
      <c r="AA50" s="242"/>
      <c r="AB50" s="242"/>
      <c r="AC50" s="242"/>
      <c r="AF50" s="242"/>
      <c r="AG50" s="242"/>
      <c r="AH50" s="242"/>
      <c r="AI50" s="242"/>
      <c r="AK50" s="242"/>
      <c r="AL50" s="242"/>
      <c r="AM50" s="242"/>
      <c r="AN50" s="242"/>
      <c r="AP50" s="242"/>
      <c r="AQ50" s="242"/>
      <c r="AR50" s="242"/>
      <c r="AS50" s="242"/>
      <c r="AU50" s="242"/>
      <c r="AV50" s="242"/>
      <c r="AW50" s="242"/>
      <c r="AX50" s="242"/>
    </row>
    <row r="51" spans="1:61" ht="12" customHeight="1">
      <c r="A51" s="82"/>
      <c r="B51" s="147" t="s">
        <v>564</v>
      </c>
      <c r="C51" s="168"/>
      <c r="D51" s="147"/>
      <c r="E51" s="147"/>
      <c r="F51" s="147"/>
      <c r="G51" s="147"/>
      <c r="H51" s="147"/>
      <c r="I51" s="147"/>
      <c r="J51" s="235"/>
      <c r="K51" s="466" t="s">
        <v>618</v>
      </c>
      <c r="L51" s="234"/>
      <c r="M51" s="234"/>
      <c r="N51" s="234"/>
      <c r="O51" s="262"/>
      <c r="P51" s="262" t="str">
        <f>"Schedule D (Form 1040)   "&amp;TaxYear</f>
        <v>Schedule D (Form 1040)   2018</v>
      </c>
      <c r="Q51" s="1212"/>
      <c r="R51" s="1534"/>
      <c r="S51" s="82"/>
      <c r="T51" s="82"/>
      <c r="U51" s="271"/>
      <c r="V51" s="271"/>
      <c r="W51" s="271"/>
      <c r="X51" s="271"/>
      <c r="Z51" s="559"/>
      <c r="AA51" s="559"/>
      <c r="AB51" s="559"/>
      <c r="AC51" s="559"/>
      <c r="AF51" s="559"/>
      <c r="AG51" s="559"/>
      <c r="AH51" s="559"/>
      <c r="AI51" s="559"/>
      <c r="AK51" s="559"/>
      <c r="AL51" s="559"/>
      <c r="AM51" s="559"/>
      <c r="AN51" s="559"/>
      <c r="AP51" s="559"/>
      <c r="AQ51" s="559"/>
      <c r="AR51" s="559"/>
      <c r="AS51" s="559"/>
      <c r="AU51" s="559"/>
      <c r="AV51" s="559"/>
      <c r="AW51" s="559"/>
      <c r="AX51" s="559"/>
    </row>
    <row r="52" spans="1:61" ht="7.5" customHeight="1">
      <c r="A52" s="82"/>
      <c r="B52" s="168"/>
      <c r="C52" s="168"/>
      <c r="D52" s="147"/>
      <c r="E52" s="147"/>
      <c r="F52" s="147"/>
      <c r="G52" s="147"/>
      <c r="H52" s="147"/>
      <c r="I52" s="147"/>
      <c r="J52" s="235"/>
      <c r="K52" s="235"/>
      <c r="L52" s="234"/>
      <c r="M52" s="234"/>
      <c r="N52" s="234"/>
      <c r="O52" s="650"/>
      <c r="P52" s="650"/>
      <c r="Q52" s="1213"/>
      <c r="R52" s="1535"/>
      <c r="S52" s="82"/>
      <c r="T52" s="82"/>
      <c r="U52" s="271"/>
      <c r="V52" s="271"/>
      <c r="W52" s="271"/>
      <c r="X52" s="271"/>
      <c r="Z52" s="559"/>
      <c r="AA52" s="559"/>
      <c r="AB52" s="559"/>
      <c r="AC52" s="559"/>
      <c r="AF52" s="559"/>
      <c r="AG52" s="559"/>
      <c r="AH52" s="559"/>
      <c r="AI52" s="559"/>
      <c r="AK52" s="559"/>
      <c r="AL52" s="559"/>
      <c r="AM52" s="559"/>
      <c r="AN52" s="559"/>
      <c r="AP52" s="559"/>
      <c r="AQ52" s="559"/>
      <c r="AR52" s="559"/>
      <c r="AS52" s="559"/>
      <c r="AU52" s="559"/>
      <c r="AV52" s="559"/>
      <c r="AW52" s="559"/>
      <c r="AX52" s="559"/>
    </row>
    <row r="53" spans="1:61" ht="18" customHeight="1" thickBot="1">
      <c r="A53" s="82"/>
      <c r="B53" s="21" t="str">
        <f>"Schedule D (1040)  "&amp;TaxYear</f>
        <v>Schedule D (1040)  2018</v>
      </c>
      <c r="C53" s="21"/>
      <c r="D53" s="147"/>
      <c r="E53" s="147"/>
      <c r="F53" s="147"/>
      <c r="G53" s="147"/>
      <c r="H53" s="147"/>
      <c r="I53" s="147"/>
      <c r="J53" s="234"/>
      <c r="K53" s="234"/>
      <c r="L53" s="234"/>
      <c r="M53" s="234"/>
      <c r="N53" s="234"/>
      <c r="O53" s="258"/>
      <c r="P53" s="739" t="s">
        <v>515</v>
      </c>
      <c r="Q53" s="1212"/>
      <c r="R53" s="1534"/>
      <c r="S53" s="82"/>
      <c r="T53" s="82"/>
      <c r="U53" s="271"/>
      <c r="V53" s="271"/>
      <c r="W53" s="271"/>
      <c r="X53" s="271"/>
      <c r="Z53" s="559"/>
      <c r="AA53" s="559"/>
      <c r="AB53" s="559"/>
      <c r="AC53" s="559"/>
      <c r="AF53" s="559"/>
      <c r="AG53" s="559"/>
      <c r="AH53" s="559"/>
      <c r="AI53" s="559"/>
      <c r="AK53" s="559"/>
      <c r="AL53" s="559"/>
      <c r="AM53" s="559"/>
      <c r="AN53" s="559"/>
      <c r="AP53" s="559"/>
      <c r="AQ53" s="559"/>
      <c r="AR53" s="559"/>
      <c r="AS53" s="559"/>
      <c r="AU53" s="559"/>
      <c r="AV53" s="559"/>
      <c r="AW53" s="559"/>
      <c r="AX53" s="559"/>
    </row>
    <row r="54" spans="1:61" ht="3" customHeight="1">
      <c r="A54" s="82"/>
      <c r="B54" s="335"/>
      <c r="C54" s="335"/>
      <c r="D54" s="272"/>
      <c r="E54" s="272"/>
      <c r="F54" s="272"/>
      <c r="G54" s="272"/>
      <c r="H54" s="272"/>
      <c r="I54" s="272"/>
      <c r="J54" s="605"/>
      <c r="K54" s="605"/>
      <c r="L54" s="605"/>
      <c r="M54" s="605"/>
      <c r="N54" s="605"/>
      <c r="O54" s="607"/>
      <c r="P54" s="607"/>
      <c r="Q54" s="1213"/>
      <c r="R54" s="1535"/>
      <c r="S54" s="82"/>
      <c r="T54" s="82"/>
      <c r="U54" s="271"/>
      <c r="V54" s="271"/>
      <c r="W54" s="271"/>
      <c r="X54" s="271"/>
      <c r="Z54" s="559"/>
      <c r="AA54" s="559"/>
      <c r="AB54" s="559"/>
      <c r="AC54" s="559"/>
      <c r="AF54" s="559"/>
      <c r="AG54" s="559"/>
      <c r="AH54" s="559"/>
      <c r="AI54" s="559"/>
      <c r="AK54" s="559"/>
      <c r="AL54" s="559"/>
      <c r="AM54" s="559"/>
      <c r="AN54" s="559"/>
      <c r="AP54" s="559"/>
      <c r="AQ54" s="559"/>
      <c r="AR54" s="559"/>
      <c r="AS54" s="559"/>
      <c r="AU54" s="559"/>
      <c r="AV54" s="559"/>
      <c r="AW54" s="559"/>
      <c r="AX54" s="559"/>
    </row>
    <row r="55" spans="1:61" s="661" customFormat="1" ht="20.25" customHeight="1">
      <c r="A55" s="82"/>
      <c r="B55" s="6051" t="s">
        <v>356</v>
      </c>
      <c r="C55" s="6051"/>
      <c r="D55" s="6052"/>
      <c r="E55" s="638" t="s">
        <v>289</v>
      </c>
      <c r="F55" s="4144"/>
      <c r="G55" s="658"/>
      <c r="H55" s="658"/>
      <c r="I55" s="658"/>
      <c r="J55" s="659"/>
      <c r="K55" s="659"/>
      <c r="L55" s="4144"/>
      <c r="M55" s="659"/>
      <c r="N55" s="659"/>
      <c r="O55" s="659"/>
      <c r="P55" s="659"/>
      <c r="Q55" s="1212"/>
      <c r="R55" s="1534"/>
      <c r="S55" s="82"/>
      <c r="T55" s="82"/>
      <c r="U55" s="660"/>
      <c r="V55" s="660"/>
      <c r="W55" s="660"/>
      <c r="X55" s="660"/>
      <c r="Z55" s="1589"/>
      <c r="AA55" s="1589"/>
      <c r="AB55" s="1589"/>
      <c r="AC55" s="1589"/>
      <c r="AD55" s="1594"/>
      <c r="AF55" s="1589"/>
      <c r="AG55" s="1589"/>
      <c r="AH55" s="1589"/>
      <c r="AI55" s="1589"/>
      <c r="AK55" s="1589"/>
      <c r="AL55" s="1589"/>
      <c r="AM55" s="1589"/>
      <c r="AN55" s="1589"/>
      <c r="AP55" s="1589"/>
      <c r="AQ55" s="1589"/>
      <c r="AR55" s="1589"/>
      <c r="AS55" s="1589"/>
      <c r="AU55" s="1589"/>
      <c r="AV55" s="1589"/>
      <c r="AW55" s="1589"/>
      <c r="AX55" s="1589"/>
      <c r="AZ55" s="3176"/>
      <c r="BA55" s="3176"/>
      <c r="BB55" s="3176"/>
      <c r="BC55" s="3176"/>
      <c r="BD55" s="3176"/>
      <c r="BE55" s="3176"/>
      <c r="BF55" s="3176"/>
      <c r="BG55" s="3176"/>
      <c r="BH55" s="3176"/>
      <c r="BI55" s="3176"/>
    </row>
    <row r="56" spans="1:61" ht="3.75" customHeight="1">
      <c r="A56" s="82"/>
      <c r="B56" s="155"/>
      <c r="C56" s="155"/>
      <c r="D56" s="153"/>
      <c r="E56" s="153"/>
      <c r="F56" s="153"/>
      <c r="G56" s="153"/>
      <c r="H56" s="153"/>
      <c r="I56" s="153"/>
      <c r="J56" s="651"/>
      <c r="K56" s="651"/>
      <c r="L56" s="236"/>
      <c r="M56" s="236"/>
      <c r="N56" s="236"/>
      <c r="O56" s="602"/>
      <c r="P56" s="602"/>
      <c r="Q56" s="1213"/>
      <c r="R56" s="1535"/>
      <c r="S56" s="82"/>
      <c r="T56" s="82"/>
      <c r="U56" s="271"/>
      <c r="V56" s="271"/>
      <c r="W56" s="271"/>
      <c r="X56" s="271"/>
      <c r="Z56" s="559"/>
      <c r="AA56" s="559"/>
      <c r="AB56" s="559"/>
      <c r="AC56" s="559"/>
      <c r="AF56" s="559"/>
      <c r="AG56" s="559"/>
      <c r="AH56" s="559"/>
      <c r="AI56" s="559"/>
      <c r="AK56" s="559"/>
      <c r="AL56" s="559"/>
      <c r="AM56" s="559"/>
      <c r="AN56" s="559"/>
      <c r="AP56" s="559"/>
      <c r="AQ56" s="559"/>
      <c r="AR56" s="559"/>
      <c r="AS56" s="559"/>
      <c r="AU56" s="559"/>
      <c r="AV56" s="559"/>
      <c r="AW56" s="559"/>
      <c r="AX56" s="559"/>
    </row>
    <row r="57" spans="1:61" ht="12.75" customHeight="1">
      <c r="A57" s="82"/>
      <c r="B57" s="253"/>
      <c r="C57" s="198"/>
      <c r="D57" s="653"/>
      <c r="E57" s="653"/>
      <c r="F57" s="198"/>
      <c r="G57" s="231"/>
      <c r="H57" s="141"/>
      <c r="I57" s="141"/>
      <c r="J57" s="141"/>
      <c r="K57" s="161"/>
      <c r="L57" s="161"/>
      <c r="M57" s="748"/>
      <c r="N57" s="6056"/>
      <c r="O57" s="6057"/>
      <c r="P57" s="4594"/>
      <c r="Q57" s="1213"/>
      <c r="R57" s="1535"/>
      <c r="S57" s="82"/>
      <c r="T57" s="82"/>
      <c r="U57" s="5"/>
      <c r="V57" s="5"/>
      <c r="W57" s="5"/>
      <c r="X57" s="5"/>
      <c r="Z57" s="242"/>
      <c r="AA57" s="242"/>
      <c r="AB57" s="242"/>
      <c r="AC57" s="242"/>
      <c r="AF57" s="242"/>
      <c r="AG57" s="242"/>
      <c r="AH57" s="242"/>
      <c r="AI57" s="242"/>
      <c r="AK57" s="242"/>
      <c r="AL57" s="242"/>
      <c r="AM57" s="242"/>
      <c r="AN57" s="242"/>
      <c r="AP57" s="242"/>
      <c r="AQ57" s="242"/>
      <c r="AR57" s="242"/>
      <c r="AS57" s="242"/>
      <c r="AU57" s="242"/>
      <c r="AV57" s="242"/>
      <c r="AW57" s="242"/>
      <c r="AX57" s="242"/>
    </row>
    <row r="58" spans="1:61" ht="12.75" customHeight="1">
      <c r="A58" s="82"/>
      <c r="B58" s="253">
        <v>16</v>
      </c>
      <c r="C58" s="198" t="s">
        <v>73</v>
      </c>
      <c r="D58" s="653"/>
      <c r="E58" s="653"/>
      <c r="F58" s="198"/>
      <c r="G58" s="231"/>
      <c r="H58" s="141"/>
      <c r="I58" s="141"/>
      <c r="J58" s="141"/>
      <c r="K58" s="161"/>
      <c r="L58" s="161" t="s">
        <v>745</v>
      </c>
      <c r="M58" s="256">
        <f>B58</f>
        <v>16</v>
      </c>
      <c r="N58" s="5983" t="str">
        <f>IF(S58&lt;&gt;"",ROUND(S58,0),IF(AND(N28="",N50=""),"",SUM(N28,N50)))</f>
        <v/>
      </c>
      <c r="O58" s="6136"/>
      <c r="P58" s="6137"/>
      <c r="Q58" s="1213"/>
      <c r="R58" s="1535"/>
      <c r="S58" s="4143"/>
      <c r="T58" s="82"/>
      <c r="U58" s="5"/>
      <c r="V58" s="5"/>
      <c r="W58" s="5"/>
      <c r="X58" s="5"/>
      <c r="Z58" s="242"/>
      <c r="AA58" s="242"/>
      <c r="AB58" s="242"/>
      <c r="AC58" s="242"/>
      <c r="AF58" s="242"/>
      <c r="AG58" s="242"/>
      <c r="AH58" s="242"/>
      <c r="AI58" s="242"/>
      <c r="AK58" s="242"/>
      <c r="AL58" s="242"/>
      <c r="AM58" s="242"/>
      <c r="AN58" s="242"/>
      <c r="AP58" s="242"/>
      <c r="AQ58" s="242"/>
      <c r="AR58" s="242"/>
      <c r="AS58" s="242"/>
      <c r="AU58" s="242"/>
      <c r="AV58" s="242"/>
      <c r="AW58" s="242"/>
      <c r="AX58" s="242"/>
    </row>
    <row r="59" spans="1:61" ht="9" customHeight="1">
      <c r="A59" s="82"/>
      <c r="B59" s="253"/>
      <c r="C59" s="198"/>
      <c r="D59" s="653"/>
      <c r="E59" s="653"/>
      <c r="F59" s="198"/>
      <c r="G59" s="231"/>
      <c r="H59" s="141"/>
      <c r="I59" s="141"/>
      <c r="J59" s="141"/>
      <c r="K59" s="161"/>
      <c r="L59" s="161"/>
      <c r="M59" s="1542"/>
      <c r="N59" s="667"/>
      <c r="O59" s="1192"/>
      <c r="P59" s="1192"/>
      <c r="Q59" s="1213"/>
      <c r="R59" s="1535"/>
      <c r="S59" s="82"/>
      <c r="T59" s="82"/>
      <c r="U59" s="5"/>
      <c r="V59" s="5"/>
      <c r="W59" s="5"/>
      <c r="X59" s="5"/>
      <c r="Z59" s="242"/>
      <c r="AA59" s="242"/>
      <c r="AB59" s="242"/>
      <c r="AC59" s="242"/>
      <c r="AF59" s="242"/>
      <c r="AG59" s="242"/>
      <c r="AH59" s="242"/>
      <c r="AI59" s="242"/>
      <c r="AK59" s="242"/>
      <c r="AL59" s="242"/>
      <c r="AM59" s="242"/>
      <c r="AN59" s="242"/>
      <c r="AP59" s="242"/>
      <c r="AQ59" s="242"/>
      <c r="AR59" s="242"/>
      <c r="AS59" s="242"/>
      <c r="AU59" s="242"/>
      <c r="AV59" s="242"/>
      <c r="AW59" s="242"/>
      <c r="AX59" s="242"/>
    </row>
    <row r="60" spans="1:61" s="244" customFormat="1" ht="11.25" customHeight="1">
      <c r="A60" s="1629" t="b">
        <f>IF(SchDLine16&gt;0,TRUE,FALSE)</f>
        <v>1</v>
      </c>
      <c r="B60" s="1086" t="s">
        <v>132</v>
      </c>
      <c r="C60" s="403" t="s">
        <v>4185</v>
      </c>
      <c r="D60" s="280"/>
      <c r="E60" s="284"/>
      <c r="F60" s="284"/>
      <c r="G60" s="284"/>
      <c r="H60" s="284"/>
      <c r="I60" s="284"/>
      <c r="J60" s="200"/>
      <c r="K60" s="200"/>
      <c r="L60" s="652"/>
      <c r="M60" s="1542"/>
      <c r="N60" s="667"/>
      <c r="O60" s="1192"/>
      <c r="P60" s="1192"/>
      <c r="Q60" s="1212"/>
      <c r="R60" s="1534"/>
      <c r="S60" s="82"/>
      <c r="T60" s="82"/>
      <c r="U60" s="243"/>
      <c r="V60" s="243"/>
      <c r="W60" s="243"/>
      <c r="X60" s="243"/>
      <c r="Z60" s="559"/>
      <c r="AA60" s="559"/>
      <c r="AB60" s="559"/>
      <c r="AC60" s="559"/>
      <c r="AD60" s="3"/>
      <c r="AF60" s="559"/>
      <c r="AG60" s="559"/>
      <c r="AH60" s="559"/>
      <c r="AI60" s="559"/>
      <c r="AK60" s="559"/>
      <c r="AL60" s="559"/>
      <c r="AM60" s="559"/>
      <c r="AN60" s="559"/>
      <c r="AP60" s="559"/>
      <c r="AQ60" s="559"/>
      <c r="AR60" s="559"/>
      <c r="AS60" s="559"/>
      <c r="AU60" s="559"/>
      <c r="AV60" s="559"/>
      <c r="AW60" s="559"/>
      <c r="AX60" s="559"/>
      <c r="AZ60" s="3177"/>
      <c r="BA60" s="3177"/>
      <c r="BB60" s="3177"/>
      <c r="BC60" s="3177"/>
      <c r="BD60" s="3177"/>
      <c r="BE60" s="3177"/>
      <c r="BF60" s="3177"/>
      <c r="BG60" s="3177"/>
      <c r="BH60" s="3177"/>
      <c r="BI60" s="3177"/>
    </row>
    <row r="61" spans="1:61" s="244" customFormat="1" ht="11.25" customHeight="1">
      <c r="A61" s="82"/>
      <c r="B61" s="944"/>
      <c r="C61" s="403" t="s">
        <v>3438</v>
      </c>
      <c r="D61" s="280"/>
      <c r="E61" s="284"/>
      <c r="F61" s="284"/>
      <c r="G61" s="284"/>
      <c r="H61" s="284"/>
      <c r="I61" s="284"/>
      <c r="J61" s="200"/>
      <c r="K61" s="200"/>
      <c r="L61" s="652"/>
      <c r="M61" s="1542"/>
      <c r="N61" s="667"/>
      <c r="O61" s="1192"/>
      <c r="P61" s="1192"/>
      <c r="Q61" s="1212"/>
      <c r="R61" s="1534"/>
      <c r="S61" s="82"/>
      <c r="T61" s="82"/>
      <c r="U61" s="243"/>
      <c r="V61" s="243"/>
      <c r="W61" s="243"/>
      <c r="X61" s="243"/>
      <c r="Z61" s="559"/>
      <c r="AA61" s="559"/>
      <c r="AB61" s="559"/>
      <c r="AC61" s="559"/>
      <c r="AD61" s="3"/>
      <c r="AF61" s="559"/>
      <c r="AG61" s="559"/>
      <c r="AH61" s="559"/>
      <c r="AI61" s="559"/>
      <c r="AK61" s="559"/>
      <c r="AL61" s="559"/>
      <c r="AM61" s="559"/>
      <c r="AN61" s="559"/>
      <c r="AP61" s="559"/>
      <c r="AQ61" s="559"/>
      <c r="AR61" s="559"/>
      <c r="AS61" s="559"/>
      <c r="AU61" s="559"/>
      <c r="AV61" s="559"/>
      <c r="AW61" s="559"/>
      <c r="AX61" s="559"/>
      <c r="AZ61" s="3177"/>
      <c r="BA61" s="3177"/>
      <c r="BB61" s="3177"/>
      <c r="BC61" s="3177"/>
      <c r="BD61" s="3177"/>
      <c r="BE61" s="3177"/>
      <c r="BF61" s="3177"/>
      <c r="BG61" s="3177"/>
      <c r="BH61" s="3177"/>
      <c r="BI61" s="3177"/>
    </row>
    <row r="62" spans="1:61" s="244" customFormat="1" ht="15" customHeight="1">
      <c r="A62" s="1401" t="b">
        <f>IF(SchDLine16&lt;0,TRUE,FALSE)</f>
        <v>0</v>
      </c>
      <c r="B62" s="1086" t="s">
        <v>132</v>
      </c>
      <c r="C62" s="403" t="s">
        <v>4186</v>
      </c>
      <c r="D62" s="280"/>
      <c r="E62" s="284"/>
      <c r="F62" s="284"/>
      <c r="G62" s="284"/>
      <c r="H62" s="284"/>
      <c r="I62" s="284"/>
      <c r="J62" s="200"/>
      <c r="K62" s="200"/>
      <c r="L62" s="652"/>
      <c r="M62" s="1542"/>
      <c r="N62" s="667"/>
      <c r="O62" s="1192"/>
      <c r="P62" s="1192"/>
      <c r="Q62" s="1212"/>
      <c r="R62" s="1534"/>
      <c r="S62" s="82"/>
      <c r="T62" s="82"/>
      <c r="U62" s="243"/>
      <c r="V62" s="243"/>
      <c r="W62" s="243"/>
      <c r="X62" s="243"/>
      <c r="Z62" s="559"/>
      <c r="AA62" s="559"/>
      <c r="AB62" s="559"/>
      <c r="AC62" s="559"/>
      <c r="AD62" s="3"/>
      <c r="AF62" s="559"/>
      <c r="AG62" s="559"/>
      <c r="AH62" s="559"/>
      <c r="AI62" s="559"/>
      <c r="AK62" s="559"/>
      <c r="AL62" s="559"/>
      <c r="AM62" s="559"/>
      <c r="AN62" s="559"/>
      <c r="AP62" s="559"/>
      <c r="AQ62" s="559"/>
      <c r="AR62" s="559"/>
      <c r="AS62" s="559"/>
      <c r="AU62" s="559"/>
      <c r="AV62" s="559"/>
      <c r="AW62" s="559"/>
      <c r="AX62" s="559"/>
      <c r="AZ62" s="3177"/>
      <c r="BA62" s="3177"/>
      <c r="BB62" s="3177"/>
      <c r="BC62" s="3177"/>
      <c r="BD62" s="3177"/>
      <c r="BE62" s="3177"/>
      <c r="BF62" s="3177"/>
      <c r="BG62" s="3177"/>
      <c r="BH62" s="3177"/>
      <c r="BI62" s="3177"/>
    </row>
    <row r="63" spans="1:61" s="244" customFormat="1" ht="13.5" customHeight="1">
      <c r="A63" s="82"/>
      <c r="B63" s="944"/>
      <c r="C63" s="403" t="s">
        <v>619</v>
      </c>
      <c r="D63" s="280"/>
      <c r="E63" s="284"/>
      <c r="F63" s="284"/>
      <c r="G63" s="284"/>
      <c r="H63" s="284"/>
      <c r="I63" s="284"/>
      <c r="J63" s="200"/>
      <c r="K63" s="200"/>
      <c r="L63" s="652"/>
      <c r="M63" s="1542"/>
      <c r="N63" s="667"/>
      <c r="O63" s="1192"/>
      <c r="P63" s="1192"/>
      <c r="Q63" s="1212"/>
      <c r="R63" s="1534"/>
      <c r="S63" s="82"/>
      <c r="T63" s="82"/>
      <c r="U63" s="243"/>
      <c r="V63" s="243"/>
      <c r="W63" s="243"/>
      <c r="X63" s="243"/>
      <c r="Z63" s="559"/>
      <c r="AA63" s="559"/>
      <c r="AB63" s="559"/>
      <c r="AC63" s="559"/>
      <c r="AD63" s="3"/>
      <c r="AF63" s="559"/>
      <c r="AG63" s="559"/>
      <c r="AH63" s="559"/>
      <c r="AI63" s="559"/>
      <c r="AK63" s="559"/>
      <c r="AL63" s="559"/>
      <c r="AM63" s="559"/>
      <c r="AN63" s="559"/>
      <c r="AP63" s="559"/>
      <c r="AQ63" s="559"/>
      <c r="AR63" s="559"/>
      <c r="AS63" s="559"/>
      <c r="AU63" s="559"/>
      <c r="AV63" s="559"/>
      <c r="AW63" s="559"/>
      <c r="AX63" s="559"/>
      <c r="AZ63" s="3177"/>
      <c r="BA63" s="3177"/>
      <c r="BB63" s="3177"/>
      <c r="BC63" s="3177"/>
      <c r="BD63" s="3177"/>
      <c r="BE63" s="3177"/>
      <c r="BF63" s="3177"/>
      <c r="BG63" s="3177"/>
      <c r="BH63" s="3177"/>
      <c r="BI63" s="3177"/>
    </row>
    <row r="64" spans="1:61" s="244" customFormat="1" ht="15" customHeight="1">
      <c r="A64" s="1401" t="b">
        <f>IF(SchDLine16=0,TRUE,FALSE)</f>
        <v>0</v>
      </c>
      <c r="B64" s="1086" t="s">
        <v>132</v>
      </c>
      <c r="C64" s="403" t="s">
        <v>4187</v>
      </c>
      <c r="D64" s="280"/>
      <c r="E64" s="284"/>
      <c r="F64" s="284"/>
      <c r="G64" s="284"/>
      <c r="H64" s="284"/>
      <c r="I64" s="284"/>
      <c r="J64" s="200"/>
      <c r="K64" s="200"/>
      <c r="L64" s="652"/>
      <c r="M64" s="1542"/>
      <c r="N64" s="667"/>
      <c r="O64" s="1192"/>
      <c r="P64" s="1192"/>
      <c r="Q64" s="1212"/>
      <c r="R64" s="1534"/>
      <c r="S64" s="82"/>
      <c r="T64" s="82"/>
      <c r="U64" s="243"/>
      <c r="V64" s="243"/>
      <c r="W64" s="243"/>
      <c r="X64" s="243"/>
      <c r="Z64" s="559"/>
      <c r="AA64" s="559"/>
      <c r="AB64" s="559"/>
      <c r="AC64" s="559"/>
      <c r="AD64" s="3"/>
      <c r="AF64" s="559"/>
      <c r="AG64" s="559"/>
      <c r="AH64" s="559"/>
      <c r="AI64" s="559"/>
      <c r="AK64" s="559"/>
      <c r="AL64" s="559"/>
      <c r="AM64" s="559"/>
      <c r="AN64" s="559"/>
      <c r="AP64" s="559"/>
      <c r="AQ64" s="559"/>
      <c r="AR64" s="559"/>
      <c r="AS64" s="559"/>
      <c r="AU64" s="559"/>
      <c r="AV64" s="559"/>
      <c r="AW64" s="559"/>
      <c r="AX64" s="559"/>
      <c r="AZ64" s="3177"/>
      <c r="BA64" s="3177"/>
      <c r="BB64" s="3177"/>
      <c r="BC64" s="3177"/>
      <c r="BD64" s="3177"/>
      <c r="BE64" s="3177"/>
      <c r="BF64" s="3177"/>
      <c r="BG64" s="3177"/>
      <c r="BH64" s="3177"/>
      <c r="BI64" s="3177"/>
    </row>
    <row r="65" spans="1:61" s="244" customFormat="1" ht="11.25" customHeight="1">
      <c r="A65" s="82"/>
      <c r="B65" s="944"/>
      <c r="C65" s="403" t="s">
        <v>3439</v>
      </c>
      <c r="D65" s="280"/>
      <c r="E65" s="284"/>
      <c r="F65" s="284"/>
      <c r="G65" s="284"/>
      <c r="H65" s="284"/>
      <c r="I65" s="284"/>
      <c r="J65" s="200"/>
      <c r="K65" s="200"/>
      <c r="L65" s="652"/>
      <c r="M65" s="1542"/>
      <c r="N65" s="667"/>
      <c r="O65" s="1192"/>
      <c r="P65" s="1192"/>
      <c r="Q65" s="1212"/>
      <c r="R65" s="1534"/>
      <c r="S65" s="82"/>
      <c r="T65" s="82"/>
      <c r="U65" s="243"/>
      <c r="V65" s="243"/>
      <c r="W65" s="243"/>
      <c r="X65" s="243"/>
      <c r="Z65" s="559"/>
      <c r="AA65" s="559"/>
      <c r="AB65" s="559"/>
      <c r="AC65" s="559"/>
      <c r="AD65" s="3"/>
      <c r="AF65" s="559"/>
      <c r="AG65" s="559"/>
      <c r="AH65" s="559"/>
      <c r="AI65" s="559"/>
      <c r="AK65" s="559"/>
      <c r="AL65" s="559"/>
      <c r="AM65" s="559"/>
      <c r="AN65" s="559"/>
      <c r="AP65" s="559"/>
      <c r="AQ65" s="559"/>
      <c r="AR65" s="559"/>
      <c r="AS65" s="559"/>
      <c r="AU65" s="559"/>
      <c r="AV65" s="559"/>
      <c r="AW65" s="559"/>
      <c r="AX65" s="559"/>
      <c r="AZ65" s="3177"/>
      <c r="BA65" s="3177"/>
      <c r="BB65" s="3177"/>
      <c r="BC65" s="3177"/>
      <c r="BD65" s="3177"/>
      <c r="BE65" s="3177"/>
      <c r="BF65" s="3177"/>
      <c r="BG65" s="3177"/>
      <c r="BH65" s="3177"/>
      <c r="BI65" s="3177"/>
    </row>
    <row r="66" spans="1:61" s="244" customFormat="1" ht="8.25" customHeight="1">
      <c r="A66" s="82"/>
      <c r="B66" s="333"/>
      <c r="C66" s="284"/>
      <c r="D66" s="284"/>
      <c r="E66" s="284"/>
      <c r="F66" s="284"/>
      <c r="G66" s="284"/>
      <c r="H66" s="284"/>
      <c r="I66" s="284"/>
      <c r="J66" s="200"/>
      <c r="K66" s="200"/>
      <c r="L66" s="652"/>
      <c r="M66" s="1542"/>
      <c r="N66" s="667"/>
      <c r="O66" s="1192"/>
      <c r="P66" s="1192"/>
      <c r="Q66" s="1212"/>
      <c r="R66" s="1534"/>
      <c r="S66" s="82"/>
      <c r="T66" s="82"/>
      <c r="U66" s="243"/>
      <c r="V66" s="243"/>
      <c r="W66" s="243"/>
      <c r="X66" s="243"/>
      <c r="Z66" s="559"/>
      <c r="AA66" s="559"/>
      <c r="AB66" s="559"/>
      <c r="AC66" s="559"/>
      <c r="AD66" s="3"/>
      <c r="AF66" s="559"/>
      <c r="AG66" s="559"/>
      <c r="AH66" s="559"/>
      <c r="AI66" s="559"/>
      <c r="AK66" s="559"/>
      <c r="AL66" s="559"/>
      <c r="AM66" s="559"/>
      <c r="AN66" s="559"/>
      <c r="AP66" s="559"/>
      <c r="AQ66" s="559"/>
      <c r="AR66" s="559"/>
      <c r="AS66" s="559"/>
      <c r="AU66" s="559"/>
      <c r="AV66" s="559"/>
      <c r="AW66" s="559"/>
      <c r="AX66" s="559"/>
      <c r="AZ66" s="3177"/>
      <c r="BA66" s="3177"/>
      <c r="BB66" s="3177"/>
      <c r="BC66" s="3177"/>
      <c r="BD66" s="3177"/>
      <c r="BE66" s="3177"/>
      <c r="BF66" s="3177"/>
      <c r="BG66" s="3177"/>
      <c r="BH66" s="3177"/>
      <c r="BI66" s="3177"/>
    </row>
    <row r="67" spans="1:61" s="657" customFormat="1" ht="13.5" customHeight="1">
      <c r="A67" s="82"/>
      <c r="B67" s="664">
        <v>17</v>
      </c>
      <c r="C67" s="658" t="s">
        <v>4188</v>
      </c>
      <c r="D67" s="653"/>
      <c r="E67" s="653"/>
      <c r="F67" s="639"/>
      <c r="G67" s="639"/>
      <c r="H67" s="639"/>
      <c r="I67" s="639"/>
      <c r="J67" s="654"/>
      <c r="K67" s="654"/>
      <c r="L67" s="655"/>
      <c r="M67" s="1542"/>
      <c r="N67" s="667"/>
      <c r="O67" s="1192"/>
      <c r="P67" s="1192"/>
      <c r="Q67" s="1213"/>
      <c r="R67" s="1535"/>
      <c r="S67" s="82"/>
      <c r="T67" s="82"/>
      <c r="U67" s="656"/>
      <c r="V67" s="656"/>
      <c r="W67" s="656"/>
      <c r="X67" s="656"/>
      <c r="Z67" s="1590"/>
      <c r="AA67" s="1590"/>
      <c r="AB67" s="1590"/>
      <c r="AC67" s="1590"/>
      <c r="AD67" s="1594"/>
      <c r="AF67" s="1590"/>
      <c r="AG67" s="1590"/>
      <c r="AH67" s="1590"/>
      <c r="AI67" s="1590"/>
      <c r="AK67" s="1590"/>
      <c r="AL67" s="1590"/>
      <c r="AM67" s="1590"/>
      <c r="AN67" s="1590"/>
      <c r="AP67" s="1590"/>
      <c r="AQ67" s="1590"/>
      <c r="AR67" s="1590"/>
      <c r="AS67" s="1590"/>
      <c r="AU67" s="1590"/>
      <c r="AV67" s="1590"/>
      <c r="AW67" s="1590"/>
      <c r="AX67" s="1590"/>
      <c r="AZ67" s="3204"/>
      <c r="BA67" s="3204"/>
      <c r="BB67" s="3204"/>
      <c r="BC67" s="3204"/>
      <c r="BD67" s="3204"/>
      <c r="BE67" s="3204"/>
      <c r="BF67" s="3204"/>
      <c r="BG67" s="3204"/>
      <c r="BH67" s="3204"/>
      <c r="BI67" s="3204"/>
    </row>
    <row r="68" spans="1:61" s="244" customFormat="1" ht="11.25" customHeight="1">
      <c r="A68" s="82"/>
      <c r="B68" s="333"/>
      <c r="C68" s="1082" t="str">
        <f>IF(AND(SchDLine15="",SchDLine16=""),"",IF(AND(A60,N50&gt;0,N58&gt;0),"X",""))</f>
        <v/>
      </c>
      <c r="D68" s="666"/>
      <c r="E68" s="284" t="s">
        <v>207</v>
      </c>
      <c r="F68" s="284"/>
      <c r="G68" s="284"/>
      <c r="H68" s="284"/>
      <c r="I68" s="284"/>
      <c r="J68" s="200"/>
      <c r="K68" s="200"/>
      <c r="L68" s="652"/>
      <c r="M68" s="1542"/>
      <c r="N68" s="667"/>
      <c r="O68" s="1192"/>
      <c r="P68" s="1192"/>
      <c r="Q68" s="411"/>
      <c r="R68" s="1536"/>
      <c r="S68" s="82"/>
      <c r="T68" s="82"/>
      <c r="U68" s="243"/>
      <c r="V68" s="243"/>
      <c r="W68" s="243"/>
      <c r="X68" s="243"/>
      <c r="Z68" s="559"/>
      <c r="AA68" s="559"/>
      <c r="AB68" s="559"/>
      <c r="AC68" s="559"/>
      <c r="AD68" s="3"/>
      <c r="AF68" s="559"/>
      <c r="AG68" s="559"/>
      <c r="AH68" s="559"/>
      <c r="AI68" s="559"/>
      <c r="AK68" s="559"/>
      <c r="AL68" s="559"/>
      <c r="AM68" s="559"/>
      <c r="AN68" s="559"/>
      <c r="AP68" s="559"/>
      <c r="AQ68" s="559"/>
      <c r="AR68" s="559"/>
      <c r="AS68" s="559"/>
      <c r="AU68" s="559"/>
      <c r="AV68" s="559"/>
      <c r="AW68" s="559"/>
      <c r="AX68" s="559"/>
      <c r="AZ68" s="3177"/>
      <c r="BA68" s="3177"/>
      <c r="BB68" s="3177"/>
      <c r="BC68" s="3177"/>
      <c r="BD68" s="3177"/>
      <c r="BE68" s="3177"/>
      <c r="BF68" s="3177"/>
      <c r="BG68" s="3177"/>
      <c r="BH68" s="3177"/>
      <c r="BI68" s="3177"/>
    </row>
    <row r="69" spans="1:61" s="244" customFormat="1" ht="3" customHeight="1">
      <c r="A69" s="82"/>
      <c r="B69" s="333"/>
      <c r="C69" s="284"/>
      <c r="D69" s="284"/>
      <c r="E69" s="284"/>
      <c r="F69" s="284"/>
      <c r="G69" s="284"/>
      <c r="H69" s="284"/>
      <c r="I69" s="284"/>
      <c r="J69" s="200"/>
      <c r="K69" s="200"/>
      <c r="L69" s="652"/>
      <c r="M69" s="1542"/>
      <c r="N69" s="667"/>
      <c r="O69" s="1192"/>
      <c r="P69" s="1192"/>
      <c r="Q69" s="411"/>
      <c r="R69" s="1536"/>
      <c r="S69" s="82"/>
      <c r="T69" s="82"/>
      <c r="U69" s="243"/>
      <c r="V69" s="243"/>
      <c r="W69" s="243"/>
      <c r="X69" s="243"/>
      <c r="Z69" s="559"/>
      <c r="AA69" s="559"/>
      <c r="AB69" s="559"/>
      <c r="AC69" s="559"/>
      <c r="AD69" s="3"/>
      <c r="AF69" s="559"/>
      <c r="AG69" s="559"/>
      <c r="AH69" s="559"/>
      <c r="AI69" s="559"/>
      <c r="AK69" s="559"/>
      <c r="AL69" s="559"/>
      <c r="AM69" s="559"/>
      <c r="AN69" s="559"/>
      <c r="AP69" s="559"/>
      <c r="AQ69" s="559"/>
      <c r="AR69" s="559"/>
      <c r="AS69" s="559"/>
      <c r="AU69" s="559"/>
      <c r="AV69" s="559"/>
      <c r="AW69" s="559"/>
      <c r="AX69" s="559"/>
      <c r="AZ69" s="3177"/>
      <c r="BA69" s="3177"/>
      <c r="BB69" s="3177"/>
      <c r="BC69" s="3177"/>
      <c r="BD69" s="3177"/>
      <c r="BE69" s="3177"/>
      <c r="BF69" s="3177"/>
      <c r="BG69" s="3177"/>
      <c r="BH69" s="3177"/>
      <c r="BI69" s="3177"/>
    </row>
    <row r="70" spans="1:61" s="244" customFormat="1" ht="11.25" customHeight="1">
      <c r="A70" s="82"/>
      <c r="B70" s="333"/>
      <c r="C70" s="1082" t="str">
        <f>IF(NOT(A60),"",IF(AND(N50&gt;0,N58&gt;0),"","X"))</f>
        <v/>
      </c>
      <c r="D70" s="666"/>
      <c r="E70" s="284" t="s">
        <v>21</v>
      </c>
      <c r="F70" s="284"/>
      <c r="G70" s="284"/>
      <c r="H70" s="284"/>
      <c r="I70" s="284"/>
      <c r="J70" s="200"/>
      <c r="K70" s="200"/>
      <c r="L70" s="652"/>
      <c r="M70" s="1542"/>
      <c r="N70" s="667"/>
      <c r="O70" s="1192"/>
      <c r="P70" s="1192"/>
      <c r="Q70" s="411"/>
      <c r="R70" s="1536"/>
      <c r="S70" s="1227"/>
      <c r="T70" s="82"/>
      <c r="U70" s="243"/>
      <c r="V70" s="243"/>
      <c r="W70" s="243"/>
      <c r="X70" s="243"/>
      <c r="Z70" s="559"/>
      <c r="AA70" s="559"/>
      <c r="AB70" s="559"/>
      <c r="AC70" s="559"/>
      <c r="AD70" s="3"/>
      <c r="AF70" s="559"/>
      <c r="AG70" s="559"/>
      <c r="AH70" s="559"/>
      <c r="AI70" s="559"/>
      <c r="AK70" s="559"/>
      <c r="AL70" s="559"/>
      <c r="AM70" s="559"/>
      <c r="AN70" s="559"/>
      <c r="AP70" s="559"/>
      <c r="AQ70" s="559"/>
      <c r="AR70" s="559"/>
      <c r="AS70" s="559"/>
      <c r="AU70" s="559"/>
      <c r="AV70" s="559"/>
      <c r="AW70" s="559"/>
      <c r="AX70" s="559"/>
      <c r="AZ70" s="3177"/>
      <c r="BA70" s="3177"/>
      <c r="BB70" s="3177"/>
      <c r="BC70" s="3177"/>
      <c r="BD70" s="3177"/>
      <c r="BE70" s="3177"/>
      <c r="BF70" s="3177"/>
      <c r="BG70" s="3177"/>
      <c r="BH70" s="3177"/>
      <c r="BI70" s="3177"/>
    </row>
    <row r="71" spans="1:61" s="244" customFormat="1" ht="15" customHeight="1">
      <c r="A71" s="82"/>
      <c r="B71" s="333"/>
      <c r="C71" s="284"/>
      <c r="D71" s="284"/>
      <c r="E71" s="284"/>
      <c r="F71" s="284"/>
      <c r="G71" s="284"/>
      <c r="H71" s="284"/>
      <c r="I71" s="284"/>
      <c r="J71" s="200"/>
      <c r="K71" s="200"/>
      <c r="L71" s="652"/>
      <c r="M71" s="1542"/>
      <c r="N71" s="667"/>
      <c r="O71" s="1192"/>
      <c r="P71" s="1192"/>
      <c r="Q71" s="411"/>
      <c r="R71" s="1536"/>
      <c r="S71" s="1227" t="s">
        <v>100</v>
      </c>
      <c r="T71" s="82"/>
      <c r="U71" s="243"/>
      <c r="V71" s="243"/>
      <c r="W71" s="243"/>
      <c r="X71" s="243"/>
      <c r="Z71" s="559"/>
      <c r="AA71" s="559"/>
      <c r="AB71" s="559"/>
      <c r="AC71" s="559"/>
      <c r="AD71" s="3"/>
      <c r="AF71" s="559"/>
      <c r="AG71" s="559"/>
      <c r="AH71" s="559"/>
      <c r="AI71" s="559"/>
      <c r="AK71" s="559"/>
      <c r="AL71" s="559"/>
      <c r="AM71" s="559"/>
      <c r="AN71" s="559"/>
      <c r="AP71" s="559"/>
      <c r="AQ71" s="559"/>
      <c r="AR71" s="559"/>
      <c r="AS71" s="559"/>
      <c r="AU71" s="559"/>
      <c r="AV71" s="559"/>
      <c r="AW71" s="559"/>
      <c r="AX71" s="559"/>
      <c r="AZ71" s="3177"/>
      <c r="BA71" s="3177"/>
      <c r="BB71" s="3177"/>
      <c r="BC71" s="3177"/>
      <c r="BD71" s="3177"/>
      <c r="BE71" s="3177"/>
      <c r="BF71" s="3177"/>
      <c r="BG71" s="3177"/>
      <c r="BH71" s="3177"/>
      <c r="BI71" s="3177"/>
    </row>
    <row r="72" spans="1:61" s="244" customFormat="1" ht="15" customHeight="1">
      <c r="A72" s="82"/>
      <c r="B72" s="333">
        <v>18</v>
      </c>
      <c r="C72" s="336" t="s">
        <v>4189</v>
      </c>
      <c r="D72" s="284"/>
      <c r="E72" s="284"/>
      <c r="F72" s="284"/>
      <c r="G72" s="284"/>
      <c r="H72" s="284"/>
      <c r="I72" s="284"/>
      <c r="J72" s="200"/>
      <c r="K72" s="200"/>
      <c r="L72" s="652"/>
      <c r="M72" s="1542"/>
      <c r="N72" s="667"/>
      <c r="O72" s="1192"/>
      <c r="P72" s="1192"/>
      <c r="Q72" s="411"/>
      <c r="R72" s="1536"/>
      <c r="S72" s="1227" t="s">
        <v>468</v>
      </c>
      <c r="T72" s="82"/>
      <c r="U72" s="243"/>
      <c r="V72" s="243"/>
      <c r="W72" s="243"/>
      <c r="X72" s="243"/>
      <c r="Z72" s="559"/>
      <c r="AA72" s="559"/>
      <c r="AB72" s="559"/>
      <c r="AC72" s="559"/>
      <c r="AD72" s="3"/>
      <c r="AF72" s="559"/>
      <c r="AG72" s="559"/>
      <c r="AH72" s="559"/>
      <c r="AI72" s="559"/>
      <c r="AK72" s="559"/>
      <c r="AL72" s="559"/>
      <c r="AM72" s="559"/>
      <c r="AN72" s="559"/>
      <c r="AP72" s="559"/>
      <c r="AQ72" s="559"/>
      <c r="AR72" s="559"/>
      <c r="AS72" s="559"/>
      <c r="AU72" s="559"/>
      <c r="AV72" s="559"/>
      <c r="AW72" s="559"/>
      <c r="AX72" s="559"/>
      <c r="AZ72" s="3177"/>
      <c r="BA72" s="3177"/>
      <c r="BB72" s="3177"/>
      <c r="BC72" s="3177"/>
      <c r="BD72" s="3177"/>
      <c r="BE72" s="3177"/>
      <c r="BF72" s="3177"/>
      <c r="BG72" s="3177"/>
      <c r="BH72" s="3177"/>
      <c r="BI72" s="3177"/>
    </row>
    <row r="73" spans="1:61" s="244" customFormat="1" ht="12.75" customHeight="1">
      <c r="A73" s="82"/>
      <c r="B73" s="333"/>
      <c r="C73" s="336" t="s">
        <v>2486</v>
      </c>
      <c r="D73" s="198"/>
      <c r="E73" s="284"/>
      <c r="F73" s="284"/>
      <c r="G73" s="284"/>
      <c r="H73" s="284"/>
      <c r="I73" s="284"/>
      <c r="J73" s="200"/>
      <c r="K73" s="200"/>
      <c r="L73" s="161" t="s">
        <v>676</v>
      </c>
      <c r="M73" s="256">
        <f>B72</f>
        <v>18</v>
      </c>
      <c r="N73" s="6138" t="str">
        <f>IF(S73&lt;&gt;"",S73,IF(AND(A60,C68="X"),'Sch. D WS'!N57,""))</f>
        <v/>
      </c>
      <c r="O73" s="6139"/>
      <c r="P73" s="6139"/>
      <c r="Q73" s="411"/>
      <c r="R73" s="1536"/>
      <c r="S73" s="1402"/>
      <c r="T73" s="82"/>
      <c r="U73" s="243"/>
      <c r="V73" s="243"/>
      <c r="W73" s="243"/>
      <c r="X73" s="243"/>
      <c r="Z73" s="559"/>
      <c r="AA73" s="559"/>
      <c r="AB73" s="559"/>
      <c r="AC73" s="559"/>
      <c r="AD73" s="3"/>
      <c r="AF73" s="559"/>
      <c r="AG73" s="559"/>
      <c r="AH73" s="559"/>
      <c r="AI73" s="559"/>
      <c r="AK73" s="559"/>
      <c r="AL73" s="559"/>
      <c r="AM73" s="559"/>
      <c r="AN73" s="559"/>
      <c r="AP73" s="559"/>
      <c r="AQ73" s="559"/>
      <c r="AR73" s="559"/>
      <c r="AS73" s="559"/>
      <c r="AU73" s="559"/>
      <c r="AV73" s="559"/>
      <c r="AW73" s="559"/>
      <c r="AX73" s="559"/>
      <c r="AZ73" s="3177"/>
      <c r="BA73" s="3177"/>
      <c r="BB73" s="3177"/>
      <c r="BC73" s="3177"/>
      <c r="BD73" s="3177"/>
      <c r="BE73" s="3177"/>
      <c r="BF73" s="3177"/>
      <c r="BG73" s="3177"/>
      <c r="BH73" s="3177"/>
      <c r="BI73" s="3177"/>
    </row>
    <row r="74" spans="1:61" s="244" customFormat="1" ht="9" customHeight="1">
      <c r="A74" s="82"/>
      <c r="B74" s="202"/>
      <c r="C74" s="198"/>
      <c r="D74" s="198"/>
      <c r="E74" s="198"/>
      <c r="F74" s="198"/>
      <c r="G74" s="198"/>
      <c r="H74" s="198"/>
      <c r="I74" s="198"/>
      <c r="J74" s="200"/>
      <c r="K74" s="200"/>
      <c r="L74" s="200"/>
      <c r="M74" s="1542"/>
      <c r="N74" s="667"/>
      <c r="O74" s="1192"/>
      <c r="P74" s="1192"/>
      <c r="Q74" s="1202"/>
      <c r="R74" s="1537"/>
      <c r="S74" s="82"/>
      <c r="T74" s="82"/>
      <c r="U74" s="5"/>
      <c r="V74" s="5"/>
      <c r="W74" s="5"/>
      <c r="X74" s="5"/>
      <c r="Z74" s="242"/>
      <c r="AA74" s="242"/>
      <c r="AB74" s="242"/>
      <c r="AC74" s="242"/>
      <c r="AD74" s="3"/>
      <c r="AF74" s="242"/>
      <c r="AG74" s="242"/>
      <c r="AH74" s="242"/>
      <c r="AI74" s="242"/>
      <c r="AK74" s="242"/>
      <c r="AL74" s="242"/>
      <c r="AM74" s="242"/>
      <c r="AN74" s="242"/>
      <c r="AP74" s="242"/>
      <c r="AQ74" s="242"/>
      <c r="AR74" s="242"/>
      <c r="AS74" s="242"/>
      <c r="AU74" s="242"/>
      <c r="AV74" s="242"/>
      <c r="AW74" s="242"/>
      <c r="AX74" s="242"/>
      <c r="AZ74" s="3177"/>
      <c r="BA74" s="3177"/>
      <c r="BB74" s="3177"/>
      <c r="BC74" s="3177"/>
      <c r="BD74" s="3177"/>
      <c r="BE74" s="3177"/>
      <c r="BF74" s="3177"/>
      <c r="BG74" s="3177"/>
      <c r="BH74" s="3177"/>
      <c r="BI74" s="3177"/>
    </row>
    <row r="75" spans="1:61" s="244" customFormat="1" ht="15">
      <c r="A75" s="82"/>
      <c r="B75" s="333">
        <v>19</v>
      </c>
      <c r="C75" s="336" t="s">
        <v>4190</v>
      </c>
      <c r="D75" s="198"/>
      <c r="E75" s="284"/>
      <c r="F75" s="284"/>
      <c r="G75" s="284"/>
      <c r="H75" s="284"/>
      <c r="I75" s="284"/>
      <c r="J75" s="200"/>
      <c r="K75" s="200"/>
      <c r="L75" s="652"/>
      <c r="M75" s="1542"/>
      <c r="N75" s="667"/>
      <c r="O75" s="1192"/>
      <c r="P75" s="1192"/>
      <c r="Q75" s="411"/>
      <c r="R75" s="1536"/>
      <c r="S75" s="82"/>
      <c r="T75" s="82"/>
      <c r="U75" s="243"/>
      <c r="V75" s="243"/>
      <c r="W75" s="243"/>
      <c r="X75" s="243"/>
      <c r="Z75" s="559"/>
      <c r="AA75" s="559"/>
      <c r="AB75" s="559"/>
      <c r="AC75" s="559"/>
      <c r="AD75" s="3"/>
      <c r="AF75" s="559"/>
      <c r="AG75" s="559"/>
      <c r="AH75" s="559"/>
      <c r="AI75" s="559"/>
      <c r="AK75" s="559"/>
      <c r="AL75" s="559"/>
      <c r="AM75" s="559"/>
      <c r="AN75" s="559"/>
      <c r="AP75" s="559"/>
      <c r="AQ75" s="559"/>
      <c r="AR75" s="559"/>
      <c r="AS75" s="559"/>
      <c r="AU75" s="559"/>
      <c r="AV75" s="559"/>
      <c r="AW75" s="559"/>
      <c r="AX75" s="559"/>
      <c r="AZ75" s="3177"/>
      <c r="BA75" s="3177"/>
      <c r="BB75" s="3177"/>
      <c r="BC75" s="3177"/>
      <c r="BD75" s="3177"/>
      <c r="BE75" s="3177"/>
      <c r="BF75" s="3177"/>
      <c r="BG75" s="3177"/>
      <c r="BH75" s="3177"/>
      <c r="BI75" s="3177"/>
    </row>
    <row r="76" spans="1:61" s="244" customFormat="1" ht="13.5" customHeight="1">
      <c r="A76" s="82"/>
      <c r="B76" s="333"/>
      <c r="C76" s="336" t="s">
        <v>2487</v>
      </c>
      <c r="D76" s="198"/>
      <c r="E76" s="284"/>
      <c r="F76" s="284"/>
      <c r="G76" s="284"/>
      <c r="H76" s="284"/>
      <c r="I76" s="284"/>
      <c r="J76" s="200"/>
      <c r="K76" s="200"/>
      <c r="L76" s="161" t="s">
        <v>667</v>
      </c>
      <c r="M76" s="256">
        <f>B75</f>
        <v>19</v>
      </c>
      <c r="N76" s="6004"/>
      <c r="O76" s="6140"/>
      <c r="P76" s="6140"/>
      <c r="Q76" s="411"/>
      <c r="R76" s="1536"/>
      <c r="S76" s="82"/>
      <c r="T76" s="82"/>
      <c r="U76" s="243"/>
      <c r="V76" s="243"/>
      <c r="W76" s="243"/>
      <c r="X76" s="243"/>
      <c r="Z76" s="559"/>
      <c r="AA76" s="559"/>
      <c r="AB76" s="559"/>
      <c r="AC76" s="559"/>
      <c r="AD76" s="3"/>
      <c r="AF76" s="559"/>
      <c r="AG76" s="559"/>
      <c r="AH76" s="559"/>
      <c r="AI76" s="559"/>
      <c r="AK76" s="559"/>
      <c r="AL76" s="559"/>
      <c r="AM76" s="559"/>
      <c r="AN76" s="559"/>
      <c r="AP76" s="559"/>
      <c r="AQ76" s="559"/>
      <c r="AR76" s="559"/>
      <c r="AS76" s="559"/>
      <c r="AU76" s="559"/>
      <c r="AV76" s="559"/>
      <c r="AW76" s="559"/>
      <c r="AX76" s="559"/>
      <c r="AZ76" s="3177"/>
      <c r="BA76" s="3177"/>
      <c r="BB76" s="3177"/>
      <c r="BC76" s="3177"/>
      <c r="BD76" s="3177"/>
      <c r="BE76" s="3177"/>
      <c r="BF76" s="3177"/>
      <c r="BG76" s="3177"/>
      <c r="BH76" s="3177"/>
      <c r="BI76" s="3177"/>
    </row>
    <row r="77" spans="1:61" s="244" customFormat="1" ht="11.25" customHeight="1">
      <c r="A77" s="82"/>
      <c r="B77" s="202"/>
      <c r="C77" s="198"/>
      <c r="D77" s="198"/>
      <c r="E77" s="198"/>
      <c r="F77" s="198"/>
      <c r="G77" s="198"/>
      <c r="H77" s="198"/>
      <c r="I77" s="198"/>
      <c r="J77" s="200"/>
      <c r="K77" s="200"/>
      <c r="L77" s="200"/>
      <c r="M77" s="1542"/>
      <c r="N77" s="6081" t="str">
        <f>IF(S89&gt;0,"The value in Line 21 must be shown as a negative amount.","")</f>
        <v/>
      </c>
      <c r="O77" s="6082"/>
      <c r="P77" s="4563"/>
      <c r="Q77" s="1202"/>
      <c r="R77" s="1537"/>
      <c r="S77" s="82"/>
      <c r="T77" s="82"/>
      <c r="U77" s="5"/>
      <c r="V77" s="5"/>
      <c r="W77" s="5"/>
      <c r="X77" s="5"/>
      <c r="Z77" s="242"/>
      <c r="AA77" s="242"/>
      <c r="AB77" s="242"/>
      <c r="AC77" s="242"/>
      <c r="AD77" s="3"/>
      <c r="AF77" s="242"/>
      <c r="AG77" s="242"/>
      <c r="AH77" s="242"/>
      <c r="AI77" s="242"/>
      <c r="AK77" s="242"/>
      <c r="AL77" s="242"/>
      <c r="AM77" s="242"/>
      <c r="AN77" s="242"/>
      <c r="AP77" s="242"/>
      <c r="AQ77" s="242"/>
      <c r="AR77" s="242"/>
      <c r="AS77" s="242"/>
      <c r="AU77" s="242"/>
      <c r="AV77" s="242"/>
      <c r="AW77" s="242"/>
      <c r="AX77" s="242"/>
      <c r="AZ77" s="3177"/>
      <c r="BA77" s="3177"/>
      <c r="BB77" s="3177"/>
      <c r="BC77" s="3177"/>
      <c r="BD77" s="3177"/>
      <c r="BE77" s="3177"/>
      <c r="BF77" s="3177"/>
      <c r="BG77" s="3177"/>
      <c r="BH77" s="3177"/>
      <c r="BI77" s="3177"/>
    </row>
    <row r="78" spans="1:61" s="657" customFormat="1" ht="15" customHeight="1">
      <c r="A78" s="82"/>
      <c r="B78" s="664">
        <v>20</v>
      </c>
      <c r="C78" s="2348" t="s">
        <v>24</v>
      </c>
      <c r="D78" s="653"/>
      <c r="E78" s="653"/>
      <c r="F78" s="653"/>
      <c r="G78" s="653"/>
      <c r="H78" s="653"/>
      <c r="I78" s="653"/>
      <c r="J78" s="654"/>
      <c r="K78" s="654"/>
      <c r="L78" s="654"/>
      <c r="M78" s="1542"/>
      <c r="N78" s="6083"/>
      <c r="O78" s="6082"/>
      <c r="P78" s="4563"/>
      <c r="Q78" s="1214"/>
      <c r="R78" s="1538"/>
      <c r="S78" s="82"/>
      <c r="T78" s="82"/>
      <c r="U78" s="621"/>
      <c r="V78" s="621"/>
      <c r="W78" s="621"/>
      <c r="X78" s="621"/>
      <c r="Z78" s="1589"/>
      <c r="AA78" s="1589"/>
      <c r="AB78" s="1589"/>
      <c r="AC78" s="1589"/>
      <c r="AD78" s="1594"/>
      <c r="AF78" s="1589"/>
      <c r="AG78" s="1589"/>
      <c r="AH78" s="1589"/>
      <c r="AI78" s="1589"/>
      <c r="AK78" s="1589"/>
      <c r="AL78" s="1589"/>
      <c r="AM78" s="1589"/>
      <c r="AN78" s="1589"/>
      <c r="AP78" s="1589"/>
      <c r="AQ78" s="1589"/>
      <c r="AR78" s="1589"/>
      <c r="AS78" s="1589"/>
      <c r="AU78" s="1589"/>
      <c r="AV78" s="1589"/>
      <c r="AW78" s="1589"/>
      <c r="AX78" s="1589"/>
      <c r="AZ78" s="3204"/>
      <c r="BA78" s="3204"/>
      <c r="BB78" s="3204"/>
      <c r="BC78" s="3204"/>
      <c r="BD78" s="3204"/>
      <c r="BE78" s="3204"/>
      <c r="BF78" s="3204"/>
      <c r="BG78" s="3204"/>
      <c r="BH78" s="3204"/>
      <c r="BI78" s="3204"/>
    </row>
    <row r="79" spans="1:61" s="244" customFormat="1" ht="11.25" customHeight="1">
      <c r="A79" s="82"/>
      <c r="B79" s="333"/>
      <c r="C79" s="1082" t="str">
        <f>IF(AND(A60,C68="X"),IF(AND(OR(N73="",N73=0),OR(N76="",N76=0)),"X",""),"")</f>
        <v/>
      </c>
      <c r="D79" s="666"/>
      <c r="E79" s="23" t="s">
        <v>2041</v>
      </c>
      <c r="F79" s="284"/>
      <c r="G79" s="284"/>
      <c r="H79" s="284"/>
      <c r="I79" s="284"/>
      <c r="J79" s="200"/>
      <c r="K79" s="200"/>
      <c r="L79" s="652"/>
      <c r="M79" s="1542"/>
      <c r="N79" s="6083"/>
      <c r="O79" s="6082"/>
      <c r="P79" s="4563"/>
      <c r="Q79" s="411"/>
      <c r="R79" s="1536"/>
      <c r="S79" s="82"/>
      <c r="T79" s="82"/>
      <c r="U79" s="243"/>
      <c r="V79" s="243"/>
      <c r="W79" s="243"/>
      <c r="X79" s="243"/>
      <c r="Z79" s="559"/>
      <c r="AA79" s="559"/>
      <c r="AB79" s="559"/>
      <c r="AC79" s="559"/>
      <c r="AD79" s="3"/>
      <c r="AF79" s="559"/>
      <c r="AG79" s="559"/>
      <c r="AH79" s="559"/>
      <c r="AI79" s="559"/>
      <c r="AK79" s="559"/>
      <c r="AL79" s="559"/>
      <c r="AM79" s="559"/>
      <c r="AN79" s="559"/>
      <c r="AP79" s="559"/>
      <c r="AQ79" s="559"/>
      <c r="AR79" s="559"/>
      <c r="AS79" s="559"/>
      <c r="AU79" s="559"/>
      <c r="AV79" s="559"/>
      <c r="AW79" s="559"/>
      <c r="AX79" s="559"/>
      <c r="AZ79" s="3177"/>
      <c r="BA79" s="3177"/>
      <c r="BB79" s="3177"/>
      <c r="BC79" s="3177"/>
      <c r="BD79" s="3177"/>
      <c r="BE79" s="3177"/>
      <c r="BF79" s="3177"/>
      <c r="BG79" s="3177"/>
      <c r="BH79" s="3177"/>
      <c r="BI79" s="3177"/>
    </row>
    <row r="80" spans="1:61" s="244" customFormat="1" ht="15" customHeight="1">
      <c r="A80" s="82"/>
      <c r="B80" s="202"/>
      <c r="C80" s="198"/>
      <c r="D80" s="198"/>
      <c r="E80" s="1115" t="s">
        <v>3440</v>
      </c>
      <c r="F80" s="198"/>
      <c r="G80" s="198"/>
      <c r="H80" s="198"/>
      <c r="I80" s="198"/>
      <c r="J80" s="200"/>
      <c r="K80" s="652"/>
      <c r="L80" s="200"/>
      <c r="M80" s="1542"/>
      <c r="N80" s="6083"/>
      <c r="O80" s="6082"/>
      <c r="P80" s="4563"/>
      <c r="Q80" s="1202"/>
      <c r="R80" s="1537"/>
      <c r="S80" s="82"/>
      <c r="T80" s="82"/>
      <c r="U80" s="5"/>
      <c r="V80" s="5"/>
      <c r="W80" s="5"/>
      <c r="X80" s="5"/>
      <c r="Z80" s="242"/>
      <c r="AA80" s="242"/>
      <c r="AB80" s="242"/>
      <c r="AC80" s="242"/>
      <c r="AD80" s="3"/>
      <c r="AF80" s="242"/>
      <c r="AG80" s="242"/>
      <c r="AH80" s="242"/>
      <c r="AI80" s="242"/>
      <c r="AK80" s="242"/>
      <c r="AL80" s="242"/>
      <c r="AM80" s="242"/>
      <c r="AN80" s="242"/>
      <c r="AP80" s="242"/>
      <c r="AQ80" s="242"/>
      <c r="AR80" s="242"/>
      <c r="AS80" s="242"/>
      <c r="AU80" s="242"/>
      <c r="AV80" s="242"/>
      <c r="AW80" s="242"/>
      <c r="AX80" s="242"/>
      <c r="AZ80" s="3177"/>
      <c r="BA80" s="3177"/>
      <c r="BB80" s="3177"/>
      <c r="BC80" s="3177"/>
      <c r="BD80" s="3177"/>
      <c r="BE80" s="3177"/>
      <c r="BF80" s="3177"/>
      <c r="BG80" s="3177"/>
      <c r="BH80" s="3177"/>
      <c r="BI80" s="3177"/>
    </row>
    <row r="81" spans="1:61" s="244" customFormat="1" ht="15" customHeight="1">
      <c r="A81" s="82"/>
      <c r="B81" s="202"/>
      <c r="C81" s="198"/>
      <c r="D81" s="198"/>
      <c r="E81" s="1115" t="s">
        <v>882</v>
      </c>
      <c r="F81" s="198"/>
      <c r="G81" s="198"/>
      <c r="H81" s="198"/>
      <c r="I81" s="198"/>
      <c r="J81" s="200"/>
      <c r="K81" s="200"/>
      <c r="L81" s="200"/>
      <c r="M81" s="1542"/>
      <c r="N81" s="6083"/>
      <c r="O81" s="6082"/>
      <c r="P81" s="4563"/>
      <c r="Q81" s="1202"/>
      <c r="R81" s="1537"/>
      <c r="S81" s="82"/>
      <c r="T81" s="82"/>
      <c r="U81" s="5"/>
      <c r="V81" s="5"/>
      <c r="W81" s="5"/>
      <c r="X81" s="5"/>
      <c r="Z81" s="242"/>
      <c r="AA81" s="242"/>
      <c r="AB81" s="242"/>
      <c r="AC81" s="242"/>
      <c r="AD81" s="3"/>
      <c r="AF81" s="242"/>
      <c r="AG81" s="242"/>
      <c r="AH81" s="242"/>
      <c r="AI81" s="242"/>
      <c r="AK81" s="242"/>
      <c r="AL81" s="242"/>
      <c r="AM81" s="242"/>
      <c r="AN81" s="242"/>
      <c r="AP81" s="242"/>
      <c r="AQ81" s="242"/>
      <c r="AR81" s="242"/>
      <c r="AS81" s="242"/>
      <c r="AU81" s="242"/>
      <c r="AV81" s="242"/>
      <c r="AW81" s="242"/>
      <c r="AX81" s="242"/>
      <c r="AZ81" s="3177"/>
      <c r="BA81" s="3177"/>
      <c r="BB81" s="3177"/>
      <c r="BC81" s="3177"/>
      <c r="BD81" s="3177"/>
      <c r="BE81" s="3177"/>
      <c r="BF81" s="3177"/>
      <c r="BG81" s="3177"/>
      <c r="BH81" s="3177"/>
      <c r="BI81" s="3177"/>
    </row>
    <row r="82" spans="1:61" s="244" customFormat="1" ht="8.25" customHeight="1">
      <c r="A82" s="82"/>
      <c r="B82" s="202"/>
      <c r="C82" s="198"/>
      <c r="D82" s="198"/>
      <c r="E82" s="198"/>
      <c r="F82" s="198"/>
      <c r="G82" s="198"/>
      <c r="H82" s="198"/>
      <c r="I82" s="198"/>
      <c r="J82" s="200"/>
      <c r="K82" s="200"/>
      <c r="L82" s="200"/>
      <c r="M82" s="1542"/>
      <c r="N82" s="6083"/>
      <c r="O82" s="6082"/>
      <c r="P82" s="4563"/>
      <c r="Q82" s="1202"/>
      <c r="R82" s="1537"/>
      <c r="S82" s="82"/>
      <c r="T82" s="82"/>
      <c r="U82" s="5"/>
      <c r="V82" s="5"/>
      <c r="W82" s="5"/>
      <c r="X82" s="5"/>
      <c r="Z82" s="242"/>
      <c r="AA82" s="242"/>
      <c r="AB82" s="242"/>
      <c r="AC82" s="242"/>
      <c r="AD82" s="3"/>
      <c r="AF82" s="242"/>
      <c r="AG82" s="242"/>
      <c r="AH82" s="242"/>
      <c r="AI82" s="242"/>
      <c r="AK82" s="242"/>
      <c r="AL82" s="242"/>
      <c r="AM82" s="242"/>
      <c r="AN82" s="242"/>
      <c r="AP82" s="242"/>
      <c r="AQ82" s="242"/>
      <c r="AR82" s="242"/>
      <c r="AS82" s="242"/>
      <c r="AU82" s="242"/>
      <c r="AV82" s="242"/>
      <c r="AW82" s="242"/>
      <c r="AX82" s="242"/>
      <c r="AZ82" s="3177"/>
      <c r="BA82" s="3177"/>
      <c r="BB82" s="3177"/>
      <c r="BC82" s="3177"/>
      <c r="BD82" s="3177"/>
      <c r="BE82" s="3177"/>
      <c r="BF82" s="3177"/>
      <c r="BG82" s="3177"/>
      <c r="BH82" s="3177"/>
      <c r="BI82" s="3177"/>
    </row>
    <row r="83" spans="1:61" s="244" customFormat="1" ht="11.25" customHeight="1">
      <c r="A83" s="82"/>
      <c r="B83" s="333"/>
      <c r="C83" s="1082" t="str">
        <f>IF(AND(A60,C68="X"),IF(AND(OR(N73="",N73=0),OR(N76="",N76=0)),"","X"),"")</f>
        <v/>
      </c>
      <c r="D83" s="666"/>
      <c r="E83" s="23" t="s">
        <v>3441</v>
      </c>
      <c r="F83" s="284"/>
      <c r="G83" s="284"/>
      <c r="H83" s="284"/>
      <c r="I83" s="284"/>
      <c r="J83" s="200"/>
      <c r="K83" s="200"/>
      <c r="L83" s="652"/>
      <c r="M83" s="1542"/>
      <c r="N83" s="6083"/>
      <c r="O83" s="6082"/>
      <c r="P83" s="4563"/>
      <c r="Q83" s="411"/>
      <c r="R83" s="1536"/>
      <c r="S83" s="82"/>
      <c r="T83" s="82"/>
      <c r="U83" s="243"/>
      <c r="V83" s="243"/>
      <c r="W83" s="243"/>
      <c r="X83" s="243"/>
      <c r="Z83" s="559"/>
      <c r="AA83" s="559"/>
      <c r="AB83" s="559"/>
      <c r="AC83" s="559"/>
      <c r="AD83" s="3"/>
      <c r="AF83" s="559"/>
      <c r="AG83" s="559"/>
      <c r="AH83" s="559"/>
      <c r="AI83" s="559"/>
      <c r="AK83" s="559"/>
      <c r="AL83" s="559"/>
      <c r="AM83" s="559"/>
      <c r="AN83" s="559"/>
      <c r="AP83" s="559"/>
      <c r="AQ83" s="559"/>
      <c r="AR83" s="559"/>
      <c r="AS83" s="559"/>
      <c r="AU83" s="559"/>
      <c r="AV83" s="559"/>
      <c r="AW83" s="559"/>
      <c r="AX83" s="559"/>
      <c r="AZ83" s="3177"/>
      <c r="BA83" s="3177"/>
      <c r="BB83" s="3177"/>
      <c r="BC83" s="3177"/>
      <c r="BD83" s="3177"/>
      <c r="BE83" s="3177"/>
      <c r="BF83" s="3177"/>
      <c r="BG83" s="3177"/>
      <c r="BH83" s="3177"/>
      <c r="BI83" s="3177"/>
    </row>
    <row r="84" spans="1:61" s="244" customFormat="1" ht="15" customHeight="1">
      <c r="A84" s="82"/>
      <c r="B84" s="202"/>
      <c r="C84" s="198"/>
      <c r="D84" s="198"/>
      <c r="E84" s="1115" t="s">
        <v>883</v>
      </c>
      <c r="F84" s="198"/>
      <c r="G84" s="198"/>
      <c r="H84" s="198"/>
      <c r="I84" s="198"/>
      <c r="J84" s="200"/>
      <c r="K84" s="200"/>
      <c r="L84" s="200"/>
      <c r="M84" s="1542"/>
      <c r="N84" s="6083"/>
      <c r="O84" s="6082"/>
      <c r="P84" s="4563"/>
      <c r="Q84" s="1202"/>
      <c r="R84" s="1537"/>
      <c r="S84" s="82"/>
      <c r="T84" s="82"/>
      <c r="U84" s="5"/>
      <c r="V84" s="5"/>
      <c r="W84" s="5"/>
      <c r="X84" s="5"/>
      <c r="Z84" s="242"/>
      <c r="AA84" s="242"/>
      <c r="AB84" s="242"/>
      <c r="AC84" s="242"/>
      <c r="AD84" s="3"/>
      <c r="AF84" s="242"/>
      <c r="AG84" s="242"/>
      <c r="AH84" s="242"/>
      <c r="AI84" s="242"/>
      <c r="AK84" s="242"/>
      <c r="AL84" s="242"/>
      <c r="AM84" s="242"/>
      <c r="AN84" s="242"/>
      <c r="AP84" s="242"/>
      <c r="AQ84" s="242"/>
      <c r="AR84" s="242"/>
      <c r="AS84" s="242"/>
      <c r="AU84" s="242"/>
      <c r="AV84" s="242"/>
      <c r="AW84" s="242"/>
      <c r="AX84" s="242"/>
      <c r="AZ84" s="3177"/>
      <c r="BA84" s="3177"/>
      <c r="BB84" s="3177"/>
      <c r="BC84" s="3177"/>
      <c r="BD84" s="3177"/>
      <c r="BE84" s="3177"/>
      <c r="BF84" s="3177"/>
      <c r="BG84" s="3177"/>
      <c r="BH84" s="3177"/>
      <c r="BI84" s="3177"/>
    </row>
    <row r="85" spans="1:61" s="244" customFormat="1" ht="15.75" customHeight="1">
      <c r="A85" s="82"/>
      <c r="B85" s="202"/>
      <c r="C85" s="198"/>
      <c r="D85" s="198"/>
      <c r="E85" s="198"/>
      <c r="F85" s="198"/>
      <c r="G85" s="198"/>
      <c r="H85" s="198"/>
      <c r="I85" s="198"/>
      <c r="J85" s="200"/>
      <c r="K85" s="200"/>
      <c r="L85" s="200"/>
      <c r="M85" s="1542"/>
      <c r="N85" s="6083"/>
      <c r="O85" s="6082"/>
      <c r="P85" s="4563"/>
      <c r="Q85" s="1202"/>
      <c r="R85" s="1537"/>
      <c r="S85" s="1227"/>
      <c r="T85" s="82"/>
      <c r="U85" s="5"/>
      <c r="V85" s="5"/>
      <c r="W85" s="5"/>
      <c r="X85" s="5"/>
      <c r="Z85" s="242"/>
      <c r="AA85" s="242"/>
      <c r="AB85" s="242"/>
      <c r="AC85" s="242"/>
      <c r="AD85" s="3"/>
      <c r="AF85" s="242"/>
      <c r="AG85" s="242"/>
      <c r="AH85" s="242"/>
      <c r="AI85" s="242"/>
      <c r="AK85" s="242"/>
      <c r="AL85" s="242"/>
      <c r="AM85" s="242"/>
      <c r="AN85" s="242"/>
      <c r="AP85" s="242"/>
      <c r="AQ85" s="242"/>
      <c r="AR85" s="242"/>
      <c r="AS85" s="242"/>
      <c r="AU85" s="242"/>
      <c r="AV85" s="242"/>
      <c r="AW85" s="242"/>
      <c r="AX85" s="242"/>
      <c r="AZ85" s="3177"/>
      <c r="BA85" s="3177"/>
      <c r="BB85" s="3177"/>
      <c r="BC85" s="3177"/>
      <c r="BD85" s="3177"/>
      <c r="BE85" s="3177"/>
      <c r="BF85" s="3177"/>
      <c r="BG85" s="3177"/>
      <c r="BH85" s="3177"/>
      <c r="BI85" s="3177"/>
    </row>
    <row r="86" spans="1:61" s="244" customFormat="1" ht="14.25" customHeight="1">
      <c r="A86" s="82"/>
      <c r="B86" s="664">
        <v>21</v>
      </c>
      <c r="C86" s="1115" t="s">
        <v>3442</v>
      </c>
      <c r="D86" s="198"/>
      <c r="E86" s="198"/>
      <c r="F86" s="198"/>
      <c r="G86" s="198"/>
      <c r="H86" s="198"/>
      <c r="I86" s="198"/>
      <c r="J86" s="200"/>
      <c r="K86" s="200"/>
      <c r="L86" s="200"/>
      <c r="M86" s="1542"/>
      <c r="N86" s="6083"/>
      <c r="O86" s="6082"/>
      <c r="P86" s="4563"/>
      <c r="Q86" s="1202"/>
      <c r="R86" s="1537"/>
      <c r="S86" s="1227"/>
      <c r="T86" s="82"/>
      <c r="U86" s="5"/>
      <c r="V86" s="5"/>
      <c r="W86" s="5"/>
      <c r="X86" s="5"/>
      <c r="Z86" s="242"/>
      <c r="AA86" s="242"/>
      <c r="AB86" s="242"/>
      <c r="AC86" s="242"/>
      <c r="AD86" s="3"/>
      <c r="AF86" s="242"/>
      <c r="AG86" s="242"/>
      <c r="AH86" s="242"/>
      <c r="AI86" s="242"/>
      <c r="AK86" s="242"/>
      <c r="AL86" s="242"/>
      <c r="AM86" s="242"/>
      <c r="AN86" s="242"/>
      <c r="AP86" s="242"/>
      <c r="AQ86" s="242"/>
      <c r="AR86" s="242"/>
      <c r="AS86" s="242"/>
      <c r="AU86" s="242"/>
      <c r="AV86" s="242"/>
      <c r="AW86" s="242"/>
      <c r="AX86" s="242"/>
      <c r="AZ86" s="3177"/>
      <c r="BA86" s="3177"/>
      <c r="BB86" s="3177"/>
      <c r="BC86" s="3177"/>
      <c r="BD86" s="3177"/>
      <c r="BE86" s="3177"/>
      <c r="BF86" s="3177"/>
      <c r="BG86" s="3177"/>
      <c r="BH86" s="3177"/>
      <c r="BI86" s="3177"/>
    </row>
    <row r="87" spans="1:61" s="244" customFormat="1" ht="14.25" customHeight="1">
      <c r="A87" s="82"/>
      <c r="B87" s="664"/>
      <c r="C87" s="1115" t="s">
        <v>3443</v>
      </c>
      <c r="D87" s="198"/>
      <c r="E87" s="198"/>
      <c r="F87" s="198"/>
      <c r="G87" s="198"/>
      <c r="H87" s="198"/>
      <c r="I87" s="198"/>
      <c r="J87" s="200"/>
      <c r="K87" s="200"/>
      <c r="L87" s="200"/>
      <c r="M87" s="1542"/>
      <c r="N87" s="6083"/>
      <c r="O87" s="6082"/>
      <c r="P87" s="4563"/>
      <c r="Q87" s="1202"/>
      <c r="R87" s="1537"/>
      <c r="S87" s="1227" t="s">
        <v>100</v>
      </c>
      <c r="T87" s="82"/>
      <c r="U87" s="5"/>
      <c r="V87" s="5"/>
      <c r="W87" s="5"/>
      <c r="X87" s="5"/>
      <c r="Z87" s="242"/>
      <c r="AA87" s="242"/>
      <c r="AB87" s="242"/>
      <c r="AC87" s="242"/>
      <c r="AD87" s="3"/>
      <c r="AF87" s="242"/>
      <c r="AG87" s="242"/>
      <c r="AH87" s="242"/>
      <c r="AI87" s="242"/>
      <c r="AK87" s="242"/>
      <c r="AL87" s="242"/>
      <c r="AM87" s="242"/>
      <c r="AN87" s="242"/>
      <c r="AP87" s="242"/>
      <c r="AQ87" s="242"/>
      <c r="AR87" s="242"/>
      <c r="AS87" s="242"/>
      <c r="AU87" s="242"/>
      <c r="AV87" s="242"/>
      <c r="AW87" s="242"/>
      <c r="AX87" s="242"/>
      <c r="AZ87" s="3177"/>
      <c r="BA87" s="3177"/>
      <c r="BB87" s="3177"/>
      <c r="BC87" s="3177"/>
      <c r="BD87" s="3177"/>
      <c r="BE87" s="3177"/>
      <c r="BF87" s="3177"/>
      <c r="BG87" s="3177"/>
      <c r="BH87" s="3177"/>
      <c r="BI87" s="3177"/>
    </row>
    <row r="88" spans="1:61" s="244" customFormat="1" ht="12.75" customHeight="1">
      <c r="A88" s="82"/>
      <c r="B88" s="202"/>
      <c r="C88" s="402"/>
      <c r="D88" s="185"/>
      <c r="E88" s="198"/>
      <c r="F88" s="198"/>
      <c r="G88" s="198"/>
      <c r="H88" s="198"/>
      <c r="I88" s="198"/>
      <c r="J88" s="200"/>
      <c r="K88" s="200"/>
      <c r="L88" s="162"/>
      <c r="M88" s="1542"/>
      <c r="N88" s="6084"/>
      <c r="O88" s="5680"/>
      <c r="P88" s="1926"/>
      <c r="Q88" s="1202"/>
      <c r="R88" s="1537"/>
      <c r="S88" s="1227" t="s">
        <v>468</v>
      </c>
      <c r="T88" s="82"/>
      <c r="U88" s="5"/>
      <c r="V88" s="5"/>
      <c r="W88" s="5"/>
      <c r="X88" s="5"/>
      <c r="Z88" s="242"/>
      <c r="AA88" s="242"/>
      <c r="AB88" s="242"/>
      <c r="AC88" s="242"/>
      <c r="AD88" s="3"/>
      <c r="AF88" s="242"/>
      <c r="AG88" s="242"/>
      <c r="AH88" s="242"/>
      <c r="AI88" s="242"/>
      <c r="AK88" s="242"/>
      <c r="AL88" s="242"/>
      <c r="AM88" s="242"/>
      <c r="AN88" s="242"/>
      <c r="AP88" s="242"/>
      <c r="AQ88" s="242"/>
      <c r="AR88" s="242"/>
      <c r="AS88" s="242"/>
      <c r="AU88" s="242"/>
      <c r="AV88" s="242"/>
      <c r="AW88" s="242"/>
      <c r="AX88" s="242"/>
      <c r="AZ88" s="3177"/>
      <c r="BA88" s="3177"/>
      <c r="BB88" s="3177"/>
      <c r="BC88" s="3177"/>
      <c r="BD88" s="3177"/>
      <c r="BE88" s="3177"/>
      <c r="BF88" s="3177"/>
      <c r="BG88" s="3177"/>
      <c r="BH88" s="3177"/>
      <c r="BI88" s="3177"/>
    </row>
    <row r="89" spans="1:61" s="244" customFormat="1" ht="12.75" customHeight="1">
      <c r="A89" s="82"/>
      <c r="B89" s="202"/>
      <c r="C89" s="402" t="s">
        <v>95</v>
      </c>
      <c r="D89" s="185" t="s">
        <v>86</v>
      </c>
      <c r="E89" s="198"/>
      <c r="F89" s="198"/>
      <c r="G89" s="198"/>
      <c r="H89" s="198"/>
      <c r="I89" s="198"/>
      <c r="J89" s="200"/>
      <c r="K89" s="200"/>
      <c r="L89" s="162" t="s">
        <v>422</v>
      </c>
      <c r="M89" s="256">
        <f>B86</f>
        <v>21</v>
      </c>
      <c r="N89" s="4569" t="s">
        <v>1147</v>
      </c>
      <c r="O89" s="5120" t="str">
        <f>IF(O90&gt;=0,"",-O90)</f>
        <v/>
      </c>
      <c r="P89" s="4571" t="s">
        <v>1148</v>
      </c>
      <c r="Q89" s="1202"/>
      <c r="R89" s="1537"/>
      <c r="S89" s="1402"/>
      <c r="T89" s="82"/>
      <c r="U89" s="5"/>
      <c r="V89" s="5"/>
      <c r="W89" s="5"/>
      <c r="X89" s="5"/>
      <c r="Z89" s="242"/>
      <c r="AA89" s="242"/>
      <c r="AB89" s="242"/>
      <c r="AC89" s="242"/>
      <c r="AD89" s="3"/>
      <c r="AF89" s="242"/>
      <c r="AG89" s="242"/>
      <c r="AH89" s="242"/>
      <c r="AI89" s="242"/>
      <c r="AK89" s="242"/>
      <c r="AL89" s="242"/>
      <c r="AM89" s="242"/>
      <c r="AN89" s="242"/>
      <c r="AP89" s="242"/>
      <c r="AQ89" s="242"/>
      <c r="AR89" s="242"/>
      <c r="AS89" s="242"/>
      <c r="AU89" s="242"/>
      <c r="AV89" s="242"/>
      <c r="AW89" s="242"/>
      <c r="AX89" s="242"/>
      <c r="AZ89" s="3177"/>
      <c r="BA89" s="3177"/>
      <c r="BB89" s="3177"/>
      <c r="BC89" s="3177"/>
      <c r="BD89" s="3177"/>
      <c r="BE89" s="3177"/>
      <c r="BF89" s="3177"/>
      <c r="BG89" s="3177"/>
      <c r="BH89" s="3177"/>
      <c r="BI89" s="3177"/>
    </row>
    <row r="90" spans="1:61" s="244" customFormat="1" ht="12.75" customHeight="1">
      <c r="A90" s="82"/>
      <c r="B90" s="202"/>
      <c r="C90" s="402" t="s">
        <v>96</v>
      </c>
      <c r="D90" s="852" t="str">
        <f>TEXT(S91,"($0,000)")&amp;", or if married filing separately, "&amp;TEXT(S92,"($0,000)")</f>
        <v>($3,000), or if married filing separately, ($1,500)</v>
      </c>
      <c r="E90" s="198"/>
      <c r="F90" s="198"/>
      <c r="G90" s="198"/>
      <c r="H90" s="198"/>
      <c r="I90" s="198"/>
      <c r="J90" s="851"/>
      <c r="K90" s="200"/>
      <c r="L90" s="200"/>
      <c r="M90" s="1194"/>
      <c r="N90" s="200"/>
      <c r="O90" s="4574" t="str">
        <f>IF(S89&lt;&gt;"",ROUND(S89,0),IF(OR(A62,A64),IF(N58&lt;0,-MIN(-N58,-S93),""),""))</f>
        <v/>
      </c>
      <c r="P90" s="200"/>
      <c r="Q90" s="1202"/>
      <c r="R90" s="1537"/>
      <c r="S90" s="82"/>
      <c r="T90" s="82"/>
      <c r="U90" s="5"/>
      <c r="V90" s="5"/>
      <c r="W90" s="5"/>
      <c r="X90" s="5"/>
      <c r="Z90" s="242"/>
      <c r="AA90" s="242"/>
      <c r="AB90" s="242"/>
      <c r="AC90" s="242"/>
      <c r="AD90" s="3"/>
      <c r="AF90" s="242"/>
      <c r="AG90" s="242"/>
      <c r="AH90" s="242"/>
      <c r="AI90" s="242"/>
      <c r="AK90" s="242"/>
      <c r="AL90" s="242"/>
      <c r="AM90" s="242"/>
      <c r="AN90" s="242"/>
      <c r="AP90" s="242"/>
      <c r="AQ90" s="242"/>
      <c r="AR90" s="242"/>
      <c r="AS90" s="242"/>
      <c r="AU90" s="242"/>
      <c r="AV90" s="242"/>
      <c r="AW90" s="242"/>
      <c r="AX90" s="242"/>
      <c r="AZ90" s="3177"/>
      <c r="BA90" s="3177"/>
      <c r="BB90" s="3177"/>
      <c r="BC90" s="3177"/>
      <c r="BD90" s="3177"/>
      <c r="BE90" s="3177"/>
      <c r="BF90" s="3177"/>
      <c r="BG90" s="3177"/>
      <c r="BH90" s="3177"/>
      <c r="BI90" s="3177"/>
    </row>
    <row r="91" spans="1:61" s="244" customFormat="1" ht="6.75" customHeight="1">
      <c r="A91" s="82"/>
      <c r="B91" s="202"/>
      <c r="C91" s="402"/>
      <c r="D91" s="402"/>
      <c r="E91" s="198"/>
      <c r="F91" s="198"/>
      <c r="G91" s="198"/>
      <c r="H91" s="198"/>
      <c r="I91" s="198"/>
      <c r="J91" s="200"/>
      <c r="K91" s="200"/>
      <c r="L91" s="200"/>
      <c r="M91" s="1195"/>
      <c r="N91" s="654"/>
      <c r="O91" s="1196"/>
      <c r="P91" s="1196"/>
      <c r="Q91" s="1202"/>
      <c r="R91" s="1537"/>
      <c r="S91" s="1226">
        <v>3000</v>
      </c>
      <c r="T91" s="82"/>
      <c r="U91" s="5"/>
      <c r="V91" s="5"/>
      <c r="W91" s="5"/>
      <c r="X91" s="5"/>
      <c r="Z91" s="242"/>
      <c r="AA91" s="242"/>
      <c r="AB91" s="242"/>
      <c r="AC91" s="242"/>
      <c r="AD91" s="3"/>
      <c r="AF91" s="242"/>
      <c r="AG91" s="242"/>
      <c r="AH91" s="242"/>
      <c r="AI91" s="242"/>
      <c r="AK91" s="242"/>
      <c r="AL91" s="242"/>
      <c r="AM91" s="242"/>
      <c r="AN91" s="242"/>
      <c r="AP91" s="242"/>
      <c r="AQ91" s="242"/>
      <c r="AR91" s="242"/>
      <c r="AS91" s="242"/>
      <c r="AU91" s="242"/>
      <c r="AV91" s="242"/>
      <c r="AW91" s="242"/>
      <c r="AX91" s="242"/>
      <c r="AZ91" s="3177"/>
      <c r="BA91" s="3177"/>
      <c r="BB91" s="3177"/>
      <c r="BC91" s="3177"/>
      <c r="BD91" s="3177"/>
      <c r="BE91" s="3177"/>
      <c r="BF91" s="3177"/>
      <c r="BG91" s="3177"/>
      <c r="BH91" s="3177"/>
      <c r="BI91" s="3177"/>
    </row>
    <row r="92" spans="1:61" s="244" customFormat="1" ht="12.75" customHeight="1">
      <c r="A92" s="82"/>
      <c r="B92" s="202"/>
      <c r="C92" s="391" t="s">
        <v>514</v>
      </c>
      <c r="D92" s="391"/>
      <c r="E92" s="198"/>
      <c r="F92" s="198"/>
      <c r="G92" s="198"/>
      <c r="H92" s="198"/>
      <c r="I92" s="198"/>
      <c r="J92" s="200"/>
      <c r="K92" s="200"/>
      <c r="L92" s="200"/>
      <c r="M92" s="1197"/>
      <c r="N92" s="652"/>
      <c r="O92" s="650"/>
      <c r="P92" s="650"/>
      <c r="Q92" s="1202"/>
      <c r="R92" s="1537"/>
      <c r="S92" s="1226">
        <v>1500</v>
      </c>
      <c r="T92" s="82"/>
      <c r="U92" s="5"/>
      <c r="V92" s="5"/>
      <c r="W92" s="5"/>
      <c r="X92" s="5"/>
      <c r="Z92" s="242"/>
      <c r="AA92" s="242"/>
      <c r="AB92" s="242"/>
      <c r="AC92" s="242"/>
      <c r="AD92" s="3"/>
      <c r="AF92" s="242"/>
      <c r="AG92" s="242"/>
      <c r="AH92" s="242"/>
      <c r="AI92" s="242"/>
      <c r="AK92" s="242"/>
      <c r="AL92" s="242"/>
      <c r="AM92" s="242"/>
      <c r="AN92" s="242"/>
      <c r="AP92" s="242"/>
      <c r="AQ92" s="242"/>
      <c r="AR92" s="242"/>
      <c r="AS92" s="242"/>
      <c r="AU92" s="242"/>
      <c r="AV92" s="242"/>
      <c r="AW92" s="242"/>
      <c r="AX92" s="242"/>
      <c r="AZ92" s="3177"/>
      <c r="BA92" s="3177"/>
      <c r="BB92" s="3177"/>
      <c r="BC92" s="3177"/>
      <c r="BD92" s="3177"/>
      <c r="BE92" s="3177"/>
      <c r="BF92" s="3177"/>
      <c r="BG92" s="3177"/>
      <c r="BH92" s="3177"/>
      <c r="BI92" s="3177"/>
    </row>
    <row r="93" spans="1:61" s="244" customFormat="1" ht="12.75" customHeight="1">
      <c r="A93" s="82"/>
      <c r="B93" s="202"/>
      <c r="C93" s="402"/>
      <c r="D93" s="402"/>
      <c r="E93" s="198"/>
      <c r="F93" s="198"/>
      <c r="G93" s="198"/>
      <c r="H93" s="198"/>
      <c r="I93" s="198"/>
      <c r="J93" s="200"/>
      <c r="K93" s="200"/>
      <c r="L93" s="200"/>
      <c r="M93" s="1197"/>
      <c r="N93" s="652"/>
      <c r="O93" s="650"/>
      <c r="P93" s="650"/>
      <c r="Q93" s="1202"/>
      <c r="R93" s="1537"/>
      <c r="S93" s="1226">
        <f>IF(File_Marr_Sep="",-S91,-S92)</f>
        <v>-3000</v>
      </c>
      <c r="T93" s="82"/>
      <c r="U93" s="5"/>
      <c r="V93" s="5"/>
      <c r="W93" s="5"/>
      <c r="X93" s="5"/>
      <c r="Z93" s="242"/>
      <c r="AA93" s="242"/>
      <c r="AB93" s="242"/>
      <c r="AC93" s="242"/>
      <c r="AD93" s="3"/>
      <c r="AF93" s="242"/>
      <c r="AG93" s="242"/>
      <c r="AH93" s="242"/>
      <c r="AI93" s="242"/>
      <c r="AK93" s="242"/>
      <c r="AL93" s="242"/>
      <c r="AM93" s="242"/>
      <c r="AN93" s="242"/>
      <c r="AP93" s="242"/>
      <c r="AQ93" s="242"/>
      <c r="AR93" s="242"/>
      <c r="AS93" s="242"/>
      <c r="AU93" s="242"/>
      <c r="AV93" s="242"/>
      <c r="AW93" s="242"/>
      <c r="AX93" s="242"/>
      <c r="AZ93" s="3177"/>
      <c r="BA93" s="3177"/>
      <c r="BB93" s="3177"/>
      <c r="BC93" s="3177"/>
      <c r="BD93" s="3177"/>
      <c r="BE93" s="3177"/>
      <c r="BF93" s="3177"/>
      <c r="BG93" s="3177"/>
      <c r="BH93" s="3177"/>
      <c r="BI93" s="3177"/>
    </row>
    <row r="94" spans="1:61" s="657" customFormat="1" ht="19.5" customHeight="1">
      <c r="A94" s="82"/>
      <c r="B94" s="664">
        <v>22</v>
      </c>
      <c r="C94" s="2348" t="s">
        <v>4191</v>
      </c>
      <c r="D94" s="653"/>
      <c r="E94" s="653"/>
      <c r="F94" s="653"/>
      <c r="G94" s="653"/>
      <c r="H94" s="653"/>
      <c r="I94" s="653"/>
      <c r="J94" s="654"/>
      <c r="K94" s="654"/>
      <c r="L94" s="654"/>
      <c r="M94" s="1198"/>
      <c r="N94" s="200"/>
      <c r="O94" s="1199"/>
      <c r="P94" s="1199"/>
      <c r="Q94" s="1214"/>
      <c r="R94" s="1538"/>
      <c r="S94" s="1226" t="str">
        <f>IF(N58&gt;=0,N58,O90)</f>
        <v/>
      </c>
      <c r="T94" s="82"/>
      <c r="U94" s="621"/>
      <c r="V94" s="621"/>
      <c r="W94" s="621"/>
      <c r="X94" s="621"/>
      <c r="Z94" s="1589"/>
      <c r="AA94" s="1589"/>
      <c r="AB94" s="1589"/>
      <c r="AC94" s="1589"/>
      <c r="AD94" s="1594"/>
      <c r="AF94" s="1589"/>
      <c r="AG94" s="1589"/>
      <c r="AH94" s="1589"/>
      <c r="AI94" s="1589"/>
      <c r="AK94" s="1589"/>
      <c r="AL94" s="1589"/>
      <c r="AM94" s="1589"/>
      <c r="AN94" s="1589"/>
      <c r="AP94" s="1589"/>
      <c r="AQ94" s="1589"/>
      <c r="AR94" s="1589"/>
      <c r="AS94" s="1589"/>
      <c r="AU94" s="1589"/>
      <c r="AV94" s="1589"/>
      <c r="AW94" s="1589"/>
      <c r="AX94" s="1589"/>
      <c r="AZ94" s="3204"/>
      <c r="BA94" s="3204"/>
      <c r="BB94" s="3204"/>
      <c r="BC94" s="3204"/>
      <c r="BD94" s="3204"/>
      <c r="BE94" s="3204"/>
      <c r="BF94" s="3204"/>
      <c r="BG94" s="3204"/>
      <c r="BH94" s="3204"/>
      <c r="BI94" s="3204"/>
    </row>
    <row r="95" spans="1:61" s="657" customFormat="1" ht="11.25" customHeight="1">
      <c r="A95" s="82"/>
      <c r="B95" s="664"/>
      <c r="C95" s="653"/>
      <c r="D95" s="653"/>
      <c r="E95" s="653"/>
      <c r="F95" s="653"/>
      <c r="G95" s="653"/>
      <c r="H95" s="653"/>
      <c r="I95" s="653"/>
      <c r="J95" s="654"/>
      <c r="K95" s="654"/>
      <c r="L95" s="654"/>
      <c r="M95" s="1198"/>
      <c r="N95" s="200"/>
      <c r="O95" s="1199"/>
      <c r="P95" s="1199"/>
      <c r="Q95" s="1214"/>
      <c r="R95" s="1538"/>
      <c r="S95" s="1226"/>
      <c r="T95" s="82"/>
      <c r="U95" s="621"/>
      <c r="V95" s="621"/>
      <c r="W95" s="621"/>
      <c r="X95" s="621"/>
      <c r="Z95" s="1589"/>
      <c r="AA95" s="1589"/>
      <c r="AB95" s="1589"/>
      <c r="AC95" s="1589"/>
      <c r="AD95" s="1594"/>
      <c r="AF95" s="1589"/>
      <c r="AG95" s="1589"/>
      <c r="AH95" s="1589"/>
      <c r="AI95" s="1589"/>
      <c r="AK95" s="1589"/>
      <c r="AL95" s="1589"/>
      <c r="AM95" s="1589"/>
      <c r="AN95" s="1589"/>
      <c r="AP95" s="1589"/>
      <c r="AQ95" s="1589"/>
      <c r="AR95" s="1589"/>
      <c r="AS95" s="1589"/>
      <c r="AU95" s="1589"/>
      <c r="AV95" s="1589"/>
      <c r="AW95" s="1589"/>
      <c r="AX95" s="1589"/>
      <c r="AZ95" s="3204"/>
      <c r="BA95" s="3204"/>
      <c r="BB95" s="3204"/>
      <c r="BC95" s="3204"/>
      <c r="BD95" s="3204"/>
      <c r="BE95" s="3204"/>
      <c r="BF95" s="3204"/>
      <c r="BG95" s="3204"/>
      <c r="BH95" s="3204"/>
      <c r="BI95" s="3204"/>
    </row>
    <row r="96" spans="1:61" s="244" customFormat="1" ht="12" customHeight="1">
      <c r="A96" s="82"/>
      <c r="B96" s="333"/>
      <c r="C96" s="1082" t="str">
        <f>IF(AND(OR(A62,A64,C70="X"),AND(Qualified_Dividends&gt;0,Qualified_Dividends&lt;&gt;"")),"X","")</f>
        <v/>
      </c>
      <c r="D96" s="666"/>
      <c r="E96" s="23" t="s">
        <v>4192</v>
      </c>
      <c r="F96" s="284"/>
      <c r="G96" s="284"/>
      <c r="H96" s="284"/>
      <c r="I96" s="284"/>
      <c r="J96" s="200"/>
      <c r="K96" s="200"/>
      <c r="L96" s="652"/>
      <c r="M96" s="1198"/>
      <c r="N96" s="200"/>
      <c r="O96" s="1199"/>
      <c r="P96" s="1199"/>
      <c r="Q96" s="411"/>
      <c r="R96" s="1536"/>
      <c r="S96" s="82"/>
      <c r="T96" s="82"/>
      <c r="U96" s="243"/>
      <c r="V96" s="243"/>
      <c r="W96" s="243"/>
      <c r="X96" s="243"/>
      <c r="Z96" s="559"/>
      <c r="AA96" s="559"/>
      <c r="AB96" s="559"/>
      <c r="AC96" s="559"/>
      <c r="AD96" s="3"/>
      <c r="AF96" s="559"/>
      <c r="AG96" s="559"/>
      <c r="AH96" s="559"/>
      <c r="AI96" s="559"/>
      <c r="AK96" s="559"/>
      <c r="AL96" s="559"/>
      <c r="AM96" s="559"/>
      <c r="AN96" s="559"/>
      <c r="AP96" s="559"/>
      <c r="AQ96" s="559"/>
      <c r="AR96" s="559"/>
      <c r="AS96" s="559"/>
      <c r="AU96" s="559"/>
      <c r="AV96" s="559"/>
      <c r="AW96" s="559"/>
      <c r="AX96" s="559"/>
      <c r="AZ96" s="3177"/>
      <c r="BA96" s="3177"/>
      <c r="BB96" s="3177"/>
      <c r="BC96" s="3177"/>
      <c r="BD96" s="3177"/>
      <c r="BE96" s="3177"/>
      <c r="BF96" s="3177"/>
      <c r="BG96" s="3177"/>
      <c r="BH96" s="3177"/>
      <c r="BI96" s="3177"/>
    </row>
    <row r="97" spans="1:61" s="244" customFormat="1" ht="15" customHeight="1">
      <c r="A97" s="82"/>
      <c r="B97" s="202"/>
      <c r="C97" s="198"/>
      <c r="D97" s="198"/>
      <c r="E97" s="1115" t="s">
        <v>3444</v>
      </c>
      <c r="F97" s="198"/>
      <c r="G97" s="198"/>
      <c r="H97" s="198"/>
      <c r="I97" s="198"/>
      <c r="J97" s="200"/>
      <c r="K97" s="200"/>
      <c r="L97" s="200"/>
      <c r="M97" s="1198"/>
      <c r="N97" s="200"/>
      <c r="O97" s="1199"/>
      <c r="P97" s="1199"/>
      <c r="Q97" s="1202"/>
      <c r="R97" s="1537"/>
      <c r="S97" s="82"/>
      <c r="T97" s="82"/>
      <c r="U97" s="5"/>
      <c r="V97" s="5"/>
      <c r="W97" s="5"/>
      <c r="X97" s="5"/>
      <c r="Z97" s="242"/>
      <c r="AA97" s="242"/>
      <c r="AB97" s="242"/>
      <c r="AC97" s="242"/>
      <c r="AD97" s="3"/>
      <c r="AF97" s="242"/>
      <c r="AG97" s="242"/>
      <c r="AH97" s="242"/>
      <c r="AI97" s="242"/>
      <c r="AK97" s="242"/>
      <c r="AL97" s="242"/>
      <c r="AM97" s="242"/>
      <c r="AN97" s="242"/>
      <c r="AP97" s="242"/>
      <c r="AQ97" s="242"/>
      <c r="AR97" s="242"/>
      <c r="AS97" s="242"/>
      <c r="AU97" s="242"/>
      <c r="AV97" s="242"/>
      <c r="AW97" s="242"/>
      <c r="AX97" s="242"/>
      <c r="AZ97" s="3177"/>
      <c r="BA97" s="3177"/>
      <c r="BB97" s="3177"/>
      <c r="BC97" s="3177"/>
      <c r="BD97" s="3177"/>
      <c r="BE97" s="3177"/>
      <c r="BF97" s="3177"/>
      <c r="BG97" s="3177"/>
      <c r="BH97" s="3177"/>
      <c r="BI97" s="3177"/>
    </row>
    <row r="98" spans="1:61" s="244" customFormat="1" ht="19.5" customHeight="1">
      <c r="A98" s="82"/>
      <c r="B98" s="202"/>
      <c r="C98" s="198"/>
      <c r="D98" s="198"/>
      <c r="E98" s="1083"/>
      <c r="F98" s="198"/>
      <c r="G98" s="198"/>
      <c r="H98" s="198"/>
      <c r="I98" s="198"/>
      <c r="J98" s="200"/>
      <c r="K98" s="200"/>
      <c r="L98" s="200"/>
      <c r="M98" s="1198"/>
      <c r="N98" s="200"/>
      <c r="O98" s="1199"/>
      <c r="P98" s="1199"/>
      <c r="Q98" s="1202"/>
      <c r="R98" s="1537"/>
      <c r="S98" s="82"/>
      <c r="T98" s="82"/>
      <c r="U98" s="5"/>
      <c r="V98" s="5"/>
      <c r="W98" s="5"/>
      <c r="X98" s="5"/>
      <c r="Z98" s="242"/>
      <c r="AA98" s="242"/>
      <c r="AB98" s="242"/>
      <c r="AC98" s="242"/>
      <c r="AD98" s="3"/>
      <c r="AF98" s="242"/>
      <c r="AG98" s="242"/>
      <c r="AH98" s="242"/>
      <c r="AI98" s="242"/>
      <c r="AK98" s="242"/>
      <c r="AL98" s="242"/>
      <c r="AM98" s="242"/>
      <c r="AN98" s="242"/>
      <c r="AP98" s="242"/>
      <c r="AQ98" s="242"/>
      <c r="AR98" s="242"/>
      <c r="AS98" s="242"/>
      <c r="AU98" s="242"/>
      <c r="AV98" s="242"/>
      <c r="AW98" s="242"/>
      <c r="AX98" s="242"/>
      <c r="AZ98" s="3177"/>
      <c r="BA98" s="3177"/>
      <c r="BB98" s="3177"/>
      <c r="BC98" s="3177"/>
      <c r="BD98" s="3177"/>
      <c r="BE98" s="3177"/>
      <c r="BF98" s="3177"/>
      <c r="BG98" s="3177"/>
      <c r="BH98" s="3177"/>
      <c r="BI98" s="3177"/>
    </row>
    <row r="99" spans="1:61" s="244" customFormat="1" ht="11.25" customHeight="1">
      <c r="A99" s="82"/>
      <c r="B99" s="202"/>
      <c r="C99" s="1082" t="str">
        <f>IF(NOT(OR(A62,A64,C70="X")),"",IF(AND(Qualified_Dividends&gt;0,Qualified_Dividends&lt;&gt;""),"","X"))</f>
        <v/>
      </c>
      <c r="D99" s="666"/>
      <c r="E99" s="284" t="s">
        <v>620</v>
      </c>
      <c r="F99" s="198"/>
      <c r="G99" s="198"/>
      <c r="H99" s="198"/>
      <c r="I99" s="198"/>
      <c r="J99" s="200"/>
      <c r="K99" s="200"/>
      <c r="L99" s="200"/>
      <c r="M99" s="1198"/>
      <c r="N99" s="200"/>
      <c r="O99" s="1199"/>
      <c r="P99" s="1199"/>
      <c r="Q99" s="1202"/>
      <c r="R99" s="1537"/>
      <c r="S99" s="82"/>
      <c r="T99" s="82"/>
      <c r="U99" s="5"/>
      <c r="V99" s="5"/>
      <c r="W99" s="5"/>
      <c r="X99" s="5"/>
      <c r="Z99" s="242"/>
      <c r="AA99" s="242"/>
      <c r="AB99" s="242"/>
      <c r="AC99" s="242"/>
      <c r="AD99" s="3"/>
      <c r="AF99" s="242"/>
      <c r="AG99" s="242"/>
      <c r="AH99" s="242"/>
      <c r="AI99" s="242"/>
      <c r="AK99" s="242"/>
      <c r="AL99" s="242"/>
      <c r="AM99" s="242"/>
      <c r="AN99" s="242"/>
      <c r="AP99" s="242"/>
      <c r="AQ99" s="242"/>
      <c r="AR99" s="242"/>
      <c r="AS99" s="242"/>
      <c r="AU99" s="242"/>
      <c r="AV99" s="242"/>
      <c r="AW99" s="242"/>
      <c r="AX99" s="242"/>
      <c r="AZ99" s="3177"/>
      <c r="BA99" s="3177"/>
      <c r="BB99" s="3177"/>
      <c r="BC99" s="3177"/>
      <c r="BD99" s="3177"/>
      <c r="BE99" s="3177"/>
      <c r="BF99" s="3177"/>
      <c r="BG99" s="3177"/>
      <c r="BH99" s="3177"/>
      <c r="BI99" s="3177"/>
    </row>
    <row r="100" spans="1:61" s="244" customFormat="1" ht="15" customHeight="1" thickBot="1">
      <c r="A100" s="82"/>
      <c r="B100" s="665"/>
      <c r="C100" s="648"/>
      <c r="D100" s="648"/>
      <c r="E100" s="649"/>
      <c r="F100" s="648"/>
      <c r="G100" s="648"/>
      <c r="H100" s="648"/>
      <c r="I100" s="648"/>
      <c r="J100" s="662"/>
      <c r="K100" s="662"/>
      <c r="L100" s="662"/>
      <c r="M100" s="1200"/>
      <c r="N100" s="662"/>
      <c r="O100" s="1201"/>
      <c r="P100" s="1201"/>
      <c r="Q100" s="1202"/>
      <c r="R100" s="1537"/>
      <c r="S100" s="82"/>
      <c r="T100" s="82"/>
      <c r="U100" s="5"/>
      <c r="V100" s="5"/>
      <c r="W100" s="5"/>
      <c r="X100" s="5"/>
      <c r="Z100" s="242"/>
      <c r="AA100" s="242"/>
      <c r="AB100" s="242"/>
      <c r="AC100" s="242"/>
      <c r="AD100" s="3"/>
      <c r="AF100" s="242"/>
      <c r="AG100" s="242"/>
      <c r="AH100" s="242"/>
      <c r="AI100" s="242"/>
      <c r="AK100" s="242"/>
      <c r="AL100" s="242"/>
      <c r="AM100" s="242"/>
      <c r="AN100" s="242"/>
      <c r="AP100" s="242"/>
      <c r="AQ100" s="242"/>
      <c r="AR100" s="242"/>
      <c r="AS100" s="242"/>
      <c r="AU100" s="242"/>
      <c r="AV100" s="242"/>
      <c r="AW100" s="242"/>
      <c r="AX100" s="242"/>
      <c r="AZ100" s="3177"/>
      <c r="BA100" s="3177"/>
      <c r="BB100" s="3177"/>
      <c r="BC100" s="3177"/>
      <c r="BD100" s="3177"/>
      <c r="BE100" s="3177"/>
      <c r="BF100" s="3177"/>
      <c r="BG100" s="3177"/>
      <c r="BH100" s="3177"/>
      <c r="BI100" s="3177"/>
    </row>
    <row r="101" spans="1:61" s="244" customFormat="1" ht="15" customHeight="1">
      <c r="A101" s="82"/>
      <c r="B101" s="198"/>
      <c r="C101" s="198"/>
      <c r="D101" s="198"/>
      <c r="E101" s="284"/>
      <c r="F101" s="198"/>
      <c r="G101" s="198"/>
      <c r="H101" s="198"/>
      <c r="I101" s="198"/>
      <c r="J101" s="200"/>
      <c r="K101" s="200"/>
      <c r="L101" s="200"/>
      <c r="M101" s="200"/>
      <c r="N101" s="200"/>
      <c r="O101" s="4597"/>
      <c r="P101" s="4597" t="str">
        <f>"Schedule D (Form 1040)   "&amp;TaxYear</f>
        <v>Schedule D (Form 1040)   2018</v>
      </c>
      <c r="Q101" s="1202"/>
      <c r="R101" s="1537"/>
      <c r="S101" s="82"/>
      <c r="T101" s="82"/>
      <c r="U101" s="5"/>
      <c r="V101" s="5"/>
      <c r="W101" s="5"/>
      <c r="X101" s="5"/>
      <c r="Z101" s="242"/>
      <c r="AA101" s="242"/>
      <c r="AB101" s="242"/>
      <c r="AC101" s="242"/>
      <c r="AD101" s="3"/>
      <c r="AF101" s="242"/>
      <c r="AG101" s="242"/>
      <c r="AH101" s="242"/>
      <c r="AI101" s="242"/>
      <c r="AK101" s="242"/>
      <c r="AL101" s="242"/>
      <c r="AM101" s="242"/>
      <c r="AN101" s="242"/>
      <c r="AP101" s="242"/>
      <c r="AQ101" s="242"/>
      <c r="AR101" s="242"/>
      <c r="AS101" s="242"/>
      <c r="AU101" s="242"/>
      <c r="AV101" s="242"/>
      <c r="AW101" s="242"/>
      <c r="AX101" s="242"/>
      <c r="AZ101" s="3177"/>
      <c r="BA101" s="3177"/>
      <c r="BB101" s="3177"/>
      <c r="BC101" s="3177"/>
      <c r="BD101" s="3177"/>
      <c r="BE101" s="3177"/>
      <c r="BF101" s="3177"/>
      <c r="BG101" s="3177"/>
      <c r="BH101" s="3177"/>
      <c r="BI101" s="3177"/>
    </row>
    <row r="102" spans="1:61" s="244" customFormat="1" ht="9" customHeight="1">
      <c r="A102" s="82"/>
      <c r="B102" s="82"/>
      <c r="C102" s="82"/>
      <c r="D102" s="82"/>
      <c r="E102" s="82"/>
      <c r="F102" s="82"/>
      <c r="G102" s="82"/>
      <c r="H102" s="82"/>
      <c r="I102" s="82"/>
      <c r="J102" s="82"/>
      <c r="K102" s="82"/>
      <c r="L102" s="82"/>
      <c r="M102" s="82"/>
      <c r="N102" s="82"/>
      <c r="O102" s="82"/>
      <c r="P102" s="82"/>
      <c r="Q102" s="82"/>
      <c r="R102" s="1519"/>
      <c r="S102" s="82"/>
      <c r="T102" s="82"/>
      <c r="U102" s="5"/>
      <c r="V102" s="5"/>
      <c r="W102" s="5"/>
      <c r="X102" s="5"/>
      <c r="Z102" s="242"/>
      <c r="AA102" s="242"/>
      <c r="AB102" s="242"/>
      <c r="AC102" s="242"/>
      <c r="AD102" s="3"/>
      <c r="AF102" s="242"/>
      <c r="AG102" s="242"/>
      <c r="AH102" s="242"/>
      <c r="AI102" s="242"/>
      <c r="AK102" s="242"/>
      <c r="AL102" s="242"/>
      <c r="AM102" s="242"/>
      <c r="AN102" s="242"/>
      <c r="AP102" s="242"/>
      <c r="AQ102" s="242"/>
      <c r="AR102" s="242"/>
      <c r="AS102" s="242"/>
      <c r="AU102" s="242"/>
      <c r="AV102" s="242"/>
      <c r="AW102" s="242"/>
      <c r="AX102" s="242"/>
      <c r="AZ102" s="3177"/>
      <c r="BA102" s="3177"/>
      <c r="BB102" s="3177"/>
      <c r="BC102" s="3177"/>
      <c r="BD102" s="3177"/>
      <c r="BE102" s="3177"/>
      <c r="BF102" s="3177"/>
      <c r="BG102" s="3177"/>
      <c r="BH102" s="3177"/>
      <c r="BI102" s="3177"/>
    </row>
    <row r="103" spans="1:61" s="244" customFormat="1" ht="12.75" customHeight="1">
      <c r="A103" s="82"/>
      <c r="B103" s="82"/>
      <c r="C103" s="82"/>
      <c r="D103" s="82"/>
      <c r="E103" s="82"/>
      <c r="F103" s="82"/>
      <c r="G103" s="82"/>
      <c r="H103" s="82"/>
      <c r="I103" s="82"/>
      <c r="J103" s="82"/>
      <c r="K103" s="82"/>
      <c r="L103" s="82"/>
      <c r="M103" s="82"/>
      <c r="N103" s="82"/>
      <c r="O103" s="82"/>
      <c r="P103" s="82"/>
      <c r="Q103" s="82"/>
      <c r="R103" s="1519"/>
      <c r="S103" s="82"/>
      <c r="T103" s="82"/>
      <c r="U103" s="5"/>
      <c r="V103" s="5"/>
      <c r="W103" s="5"/>
      <c r="X103" s="5"/>
      <c r="Z103" s="242"/>
      <c r="AA103" s="242"/>
      <c r="AB103" s="242"/>
      <c r="AC103" s="242"/>
      <c r="AD103" s="3"/>
      <c r="AF103" s="242"/>
      <c r="AG103" s="242"/>
      <c r="AH103" s="242"/>
      <c r="AI103" s="242"/>
      <c r="AK103" s="242"/>
      <c r="AL103" s="242"/>
      <c r="AM103" s="242"/>
      <c r="AN103" s="242"/>
      <c r="AP103" s="242"/>
      <c r="AQ103" s="242"/>
      <c r="AR103" s="242"/>
      <c r="AS103" s="242"/>
      <c r="AU103" s="242"/>
      <c r="AV103" s="242"/>
      <c r="AW103" s="242"/>
      <c r="AX103" s="242"/>
      <c r="AZ103" s="3177"/>
      <c r="BA103" s="3177"/>
      <c r="BB103" s="3177"/>
      <c r="BC103" s="3177"/>
      <c r="BD103" s="3177"/>
      <c r="BE103" s="3177"/>
      <c r="BF103" s="3177"/>
      <c r="BG103" s="3177"/>
      <c r="BH103" s="3177"/>
      <c r="BI103" s="3177"/>
    </row>
    <row r="104" spans="1:61" ht="13.5" customHeight="1">
      <c r="A104" s="82"/>
      <c r="B104" s="82"/>
      <c r="C104" s="82"/>
      <c r="D104" s="82"/>
      <c r="E104" s="82"/>
      <c r="F104" s="82"/>
      <c r="G104" s="82"/>
      <c r="H104" s="82"/>
      <c r="I104" s="82"/>
      <c r="J104" s="82"/>
      <c r="K104" s="82"/>
      <c r="L104" s="82"/>
      <c r="M104" s="82"/>
      <c r="N104" s="82"/>
      <c r="O104" s="82"/>
      <c r="P104" s="82"/>
      <c r="Q104" s="82"/>
      <c r="R104" s="1519"/>
      <c r="S104" s="82"/>
      <c r="T104" s="82"/>
      <c r="U104" s="5"/>
      <c r="V104" s="5"/>
      <c r="W104" s="5"/>
      <c r="X104" s="5"/>
      <c r="Z104" s="242"/>
      <c r="AA104" s="242"/>
      <c r="AB104" s="242"/>
      <c r="AC104" s="242"/>
      <c r="AF104" s="242"/>
      <c r="AG104" s="242"/>
      <c r="AH104" s="242"/>
      <c r="AI104" s="242"/>
      <c r="AK104" s="242"/>
      <c r="AL104" s="242"/>
      <c r="AM104" s="242"/>
      <c r="AN104" s="242"/>
      <c r="AP104" s="242"/>
      <c r="AQ104" s="242"/>
      <c r="AR104" s="242"/>
      <c r="AS104" s="242"/>
      <c r="AU104" s="242"/>
      <c r="AV104" s="242"/>
      <c r="AW104" s="242"/>
      <c r="AX104" s="242"/>
    </row>
    <row r="105" spans="1:61" ht="13.5" customHeight="1">
      <c r="A105" s="82"/>
      <c r="B105" s="82"/>
      <c r="C105" s="82"/>
      <c r="D105" s="82"/>
      <c r="E105" s="82"/>
      <c r="F105" s="82"/>
      <c r="G105" s="82"/>
      <c r="H105" s="82"/>
      <c r="I105" s="82"/>
      <c r="J105" s="82"/>
      <c r="K105" s="82"/>
      <c r="L105" s="82"/>
      <c r="M105" s="82"/>
      <c r="N105" s="82"/>
      <c r="O105" s="82"/>
      <c r="P105" s="82"/>
      <c r="Q105" s="82"/>
      <c r="R105" s="1519"/>
      <c r="S105" s="82"/>
      <c r="T105" s="82"/>
      <c r="U105" s="5"/>
      <c r="V105" s="5"/>
      <c r="W105" s="5"/>
      <c r="X105" s="5"/>
      <c r="Z105" s="242"/>
      <c r="AA105" s="242"/>
      <c r="AB105" s="242"/>
      <c r="AC105" s="242"/>
      <c r="AF105" s="242"/>
      <c r="AG105" s="242"/>
      <c r="AH105" s="242"/>
      <c r="AI105" s="242"/>
      <c r="AK105" s="242"/>
      <c r="AL105" s="242"/>
      <c r="AM105" s="242"/>
      <c r="AN105" s="242"/>
      <c r="AP105" s="242"/>
      <c r="AQ105" s="242"/>
      <c r="AR105" s="242"/>
      <c r="AS105" s="242"/>
      <c r="AU105" s="242"/>
      <c r="AV105" s="242"/>
      <c r="AW105" s="242"/>
      <c r="AX105" s="242"/>
    </row>
    <row r="106" spans="1:61">
      <c r="A106" s="244"/>
      <c r="B106" s="244"/>
      <c r="C106" s="244"/>
      <c r="D106" s="244"/>
      <c r="E106" s="244"/>
      <c r="F106" s="244"/>
      <c r="G106" s="244"/>
      <c r="H106" s="244"/>
      <c r="I106" s="244"/>
      <c r="J106" s="244"/>
      <c r="K106" s="244"/>
      <c r="L106" s="244"/>
      <c r="M106" s="244"/>
      <c r="N106" s="244"/>
      <c r="O106" s="244"/>
      <c r="P106" s="244"/>
      <c r="Q106" s="244"/>
      <c r="R106" s="244"/>
      <c r="S106" s="244"/>
      <c r="T106" s="244"/>
      <c r="U106" s="5"/>
      <c r="V106" s="5"/>
      <c r="W106" s="5"/>
      <c r="X106" s="5"/>
      <c r="Z106" s="242"/>
      <c r="AA106" s="242"/>
      <c r="AB106" s="242"/>
      <c r="AC106" s="242"/>
      <c r="AF106" s="242"/>
      <c r="AG106" s="242"/>
      <c r="AH106" s="242"/>
      <c r="AI106" s="242"/>
      <c r="AK106" s="242"/>
      <c r="AL106" s="242"/>
      <c r="AM106" s="242"/>
      <c r="AN106" s="242"/>
      <c r="AP106" s="242"/>
      <c r="AQ106" s="242"/>
      <c r="AR106" s="242"/>
      <c r="AS106" s="242"/>
      <c r="AU106" s="242"/>
      <c r="AV106" s="242"/>
      <c r="AW106" s="242"/>
      <c r="AX106" s="242"/>
    </row>
    <row r="107" spans="1:61" s="46" customFormat="1" ht="13.5" thickBot="1">
      <c r="B107" s="154"/>
      <c r="C107" s="154"/>
      <c r="D107" s="268"/>
      <c r="E107" s="268"/>
      <c r="F107" s="268"/>
      <c r="J107" s="273"/>
      <c r="K107" s="273"/>
      <c r="L107" s="273"/>
      <c r="M107" s="273"/>
      <c r="N107" s="273"/>
      <c r="O107" s="273"/>
      <c r="P107" s="273"/>
      <c r="Q107" s="273"/>
      <c r="R107" s="273"/>
      <c r="S107" s="273"/>
      <c r="T107" s="273"/>
      <c r="U107" s="5"/>
      <c r="V107" s="5"/>
      <c r="W107" s="5"/>
      <c r="X107" s="5"/>
      <c r="Z107" s="242"/>
      <c r="AA107" s="242"/>
      <c r="AB107" s="242"/>
      <c r="AC107" s="242"/>
      <c r="AD107" s="242"/>
      <c r="AF107" s="242"/>
      <c r="AG107" s="242"/>
      <c r="AH107" s="242"/>
      <c r="AI107" s="242"/>
      <c r="AK107" s="242"/>
      <c r="AL107" s="242"/>
      <c r="AM107" s="242"/>
      <c r="AN107" s="242"/>
      <c r="AP107" s="242"/>
      <c r="AQ107" s="242"/>
      <c r="AR107" s="242"/>
      <c r="AS107" s="242"/>
      <c r="AU107" s="242"/>
      <c r="AV107" s="242"/>
      <c r="AW107" s="242"/>
      <c r="AX107" s="242"/>
      <c r="AZ107" s="3169"/>
      <c r="BA107" s="3169"/>
      <c r="BB107" s="3169"/>
      <c r="BC107" s="3169"/>
      <c r="BD107" s="3169"/>
      <c r="BE107" s="3169"/>
      <c r="BF107" s="3169"/>
      <c r="BG107" s="3169"/>
      <c r="BH107" s="3169"/>
      <c r="BI107" s="3169"/>
    </row>
    <row r="108" spans="1:61" s="46" customFormat="1" ht="14.25" thickTop="1" thickBot="1">
      <c r="D108" s="5490" t="s">
        <v>364</v>
      </c>
      <c r="E108" s="5931"/>
      <c r="F108" s="5931"/>
      <c r="G108" s="5931"/>
      <c r="H108" s="5932"/>
      <c r="I108" s="684"/>
      <c r="J108" s="273"/>
      <c r="K108" s="273"/>
      <c r="L108" s="273"/>
      <c r="M108" s="273"/>
      <c r="N108" s="273"/>
      <c r="O108" s="273"/>
      <c r="P108" s="273"/>
      <c r="Q108" s="273"/>
      <c r="R108" s="273"/>
      <c r="S108" s="273"/>
      <c r="T108" s="273"/>
      <c r="U108" s="5"/>
      <c r="V108" s="5"/>
      <c r="W108" s="5"/>
      <c r="X108" s="5"/>
      <c r="Z108" s="242"/>
      <c r="AA108" s="242"/>
      <c r="AB108" s="242"/>
      <c r="AC108" s="242"/>
      <c r="AD108" s="242"/>
      <c r="AF108" s="242"/>
      <c r="AG108" s="242"/>
      <c r="AH108" s="242"/>
      <c r="AI108" s="242"/>
      <c r="AK108" s="242"/>
      <c r="AL108" s="242"/>
      <c r="AM108" s="242"/>
      <c r="AN108" s="242"/>
      <c r="AP108" s="242"/>
      <c r="AQ108" s="242"/>
      <c r="AR108" s="242"/>
      <c r="AS108" s="242"/>
      <c r="AU108" s="242"/>
      <c r="AV108" s="242"/>
      <c r="AW108" s="242"/>
      <c r="AX108" s="242"/>
      <c r="AZ108" s="3169"/>
      <c r="BA108" s="3169"/>
      <c r="BB108" s="3169"/>
      <c r="BC108" s="3169"/>
      <c r="BD108" s="3169"/>
      <c r="BE108" s="3169"/>
      <c r="BF108" s="3169"/>
      <c r="BG108" s="3169"/>
      <c r="BH108" s="3169"/>
      <c r="BI108" s="3169"/>
    </row>
    <row r="109" spans="1:61" s="46" customFormat="1" ht="14.25" thickTop="1" thickBot="1">
      <c r="D109" s="268"/>
      <c r="E109" s="268"/>
      <c r="H109" s="273"/>
      <c r="I109" s="273"/>
      <c r="J109" s="273"/>
      <c r="K109" s="273"/>
      <c r="L109" s="273"/>
      <c r="M109" s="273"/>
      <c r="N109" s="273"/>
      <c r="O109" s="273"/>
      <c r="P109" s="273"/>
      <c r="Q109" s="273"/>
      <c r="R109" s="273"/>
      <c r="T109" s="273"/>
      <c r="U109" s="5"/>
      <c r="V109" s="5"/>
      <c r="W109" s="5"/>
      <c r="X109" s="5"/>
      <c r="Z109" s="242"/>
      <c r="AA109" s="242"/>
      <c r="AB109" s="242"/>
      <c r="AC109" s="242"/>
      <c r="AD109" s="242"/>
      <c r="AF109" s="242"/>
      <c r="AG109" s="242"/>
      <c r="AH109" s="242"/>
      <c r="AI109" s="242"/>
      <c r="AK109" s="242"/>
      <c r="AL109" s="242"/>
      <c r="AM109" s="242"/>
      <c r="AN109" s="242"/>
      <c r="AP109" s="242"/>
      <c r="AQ109" s="242"/>
      <c r="AR109" s="242"/>
      <c r="AS109" s="242"/>
      <c r="AU109" s="242"/>
      <c r="AV109" s="242"/>
      <c r="AW109" s="242"/>
      <c r="AX109" s="242"/>
      <c r="AZ109" s="3169"/>
      <c r="BA109" s="3169"/>
      <c r="BB109" s="3169"/>
      <c r="BC109" s="3169"/>
      <c r="BD109" s="3169"/>
      <c r="BE109" s="3169"/>
      <c r="BF109" s="3169"/>
      <c r="BG109" s="3169"/>
      <c r="BH109" s="3169"/>
      <c r="BI109" s="3169"/>
    </row>
    <row r="110" spans="1:61" s="46" customFormat="1" ht="14.25" thickTop="1" thickBot="1">
      <c r="D110" s="5490" t="s">
        <v>70</v>
      </c>
      <c r="E110" s="5931"/>
      <c r="F110" s="5931"/>
      <c r="G110" s="5931"/>
      <c r="H110" s="5932"/>
      <c r="I110" s="684"/>
      <c r="J110" s="273"/>
      <c r="K110" s="273"/>
      <c r="L110" s="273"/>
      <c r="M110" s="273"/>
      <c r="N110" s="273"/>
      <c r="O110" s="273"/>
      <c r="P110" s="273"/>
      <c r="Q110" s="273"/>
      <c r="R110" s="273"/>
      <c r="T110" s="273"/>
      <c r="U110" s="5"/>
      <c r="V110" s="5"/>
      <c r="W110" s="5"/>
      <c r="X110" s="5"/>
      <c r="Z110" s="242"/>
      <c r="AA110" s="242"/>
      <c r="AB110" s="242"/>
      <c r="AC110" s="242"/>
      <c r="AD110" s="242"/>
      <c r="AF110" s="242"/>
      <c r="AG110" s="242"/>
      <c r="AH110" s="242"/>
      <c r="AI110" s="242"/>
      <c r="AK110" s="242"/>
      <c r="AL110" s="242"/>
      <c r="AM110" s="242"/>
      <c r="AN110" s="242"/>
      <c r="AP110" s="242"/>
      <c r="AQ110" s="242"/>
      <c r="AR110" s="242"/>
      <c r="AS110" s="242"/>
      <c r="AU110" s="242"/>
      <c r="AV110" s="242"/>
      <c r="AW110" s="242"/>
      <c r="AX110" s="242"/>
      <c r="AZ110" s="3169"/>
      <c r="BA110" s="3169"/>
      <c r="BB110" s="3169"/>
      <c r="BC110" s="3169"/>
      <c r="BD110" s="3169"/>
      <c r="BE110" s="3169"/>
      <c r="BF110" s="3169"/>
      <c r="BG110" s="3169"/>
      <c r="BH110" s="3169"/>
      <c r="BI110" s="3169"/>
    </row>
    <row r="111" spans="1:61" s="46" customFormat="1" ht="13.5" thickTop="1">
      <c r="Q111" s="273"/>
      <c r="R111" s="273"/>
      <c r="S111"/>
      <c r="T111" s="273"/>
      <c r="Z111" s="242"/>
      <c r="AA111" s="242"/>
      <c r="AB111" s="242"/>
      <c r="AC111" s="242"/>
      <c r="AD111" s="242"/>
      <c r="AF111" s="242"/>
      <c r="AG111" s="242"/>
      <c r="AH111" s="242"/>
      <c r="AI111" s="242"/>
      <c r="AK111" s="242"/>
      <c r="AL111" s="242"/>
      <c r="AM111" s="242"/>
      <c r="AN111" s="242"/>
      <c r="AP111" s="242"/>
      <c r="AQ111" s="242"/>
      <c r="AR111" s="242"/>
      <c r="AS111" s="242"/>
      <c r="AU111" s="242"/>
      <c r="AV111" s="242"/>
      <c r="AW111" s="242"/>
      <c r="AX111" s="242"/>
      <c r="AZ111" s="3169"/>
      <c r="BA111" s="3169"/>
      <c r="BB111" s="3169"/>
      <c r="BC111" s="3169"/>
      <c r="BD111" s="3169"/>
      <c r="BE111" s="3169"/>
      <c r="BF111" s="3169"/>
      <c r="BG111" s="3169"/>
      <c r="BH111" s="3169"/>
      <c r="BI111" s="3169"/>
    </row>
    <row r="112" spans="1:61" s="46" customFormat="1">
      <c r="Q112" s="273"/>
      <c r="R112" s="273"/>
      <c r="S112"/>
      <c r="Z112" s="242"/>
      <c r="AA112" s="242"/>
      <c r="AB112" s="242"/>
      <c r="AC112" s="242"/>
      <c r="AD112" s="242"/>
      <c r="AF112" s="242"/>
      <c r="AG112" s="242"/>
      <c r="AH112" s="242"/>
      <c r="AI112" s="242"/>
      <c r="AK112" s="242"/>
      <c r="AL112" s="242"/>
      <c r="AM112" s="242"/>
      <c r="AN112" s="242"/>
      <c r="AP112" s="242"/>
      <c r="AQ112" s="242"/>
      <c r="AR112" s="242"/>
      <c r="AS112" s="242"/>
      <c r="AU112" s="242"/>
      <c r="AV112" s="242"/>
      <c r="AW112" s="242"/>
      <c r="AX112" s="242"/>
      <c r="AZ112" s="3169"/>
      <c r="BA112" s="3169"/>
      <c r="BB112" s="3169"/>
      <c r="BC112" s="3169"/>
      <c r="BD112" s="3169"/>
      <c r="BE112" s="3169"/>
      <c r="BF112" s="3169"/>
      <c r="BG112" s="3169"/>
      <c r="BH112" s="3169"/>
      <c r="BI112" s="3169"/>
    </row>
    <row r="113" spans="17:61" s="46" customFormat="1">
      <c r="S113"/>
      <c r="Z113" s="242"/>
      <c r="AA113" s="242"/>
      <c r="AB113" s="242"/>
      <c r="AC113" s="242"/>
      <c r="AD113" s="242"/>
      <c r="AF113" s="242"/>
      <c r="AG113" s="242"/>
      <c r="AH113" s="242"/>
      <c r="AI113" s="242"/>
      <c r="AK113" s="242"/>
      <c r="AL113" s="242"/>
      <c r="AM113" s="242"/>
      <c r="AN113" s="242"/>
      <c r="AP113" s="242"/>
      <c r="AQ113" s="242"/>
      <c r="AR113" s="242"/>
      <c r="AS113" s="242"/>
      <c r="AU113" s="242"/>
      <c r="AV113" s="242"/>
      <c r="AW113" s="242"/>
      <c r="AX113" s="242"/>
      <c r="AZ113" s="3169"/>
      <c r="BA113" s="3169"/>
      <c r="BB113" s="3169"/>
      <c r="BC113" s="3169"/>
      <c r="BD113" s="3169"/>
      <c r="BE113" s="3169"/>
      <c r="BF113" s="3169"/>
      <c r="BG113" s="3169"/>
      <c r="BH113" s="3169"/>
      <c r="BI113" s="3169"/>
    </row>
    <row r="114" spans="17:61">
      <c r="Q114" s="46"/>
      <c r="R114" s="46"/>
      <c r="T114" s="46"/>
    </row>
    <row r="115" spans="17:61">
      <c r="Q115" s="46"/>
      <c r="R115" s="46"/>
    </row>
  </sheetData>
  <sheetProtection password="F07E" sheet="1" objects="1" scenarios="1"/>
  <mergeCells count="104">
    <mergeCell ref="AF8:AI8"/>
    <mergeCell ref="AK8:AN8"/>
    <mergeCell ref="AP8:AS8"/>
    <mergeCell ref="AU8:AX8"/>
    <mergeCell ref="M2:P2"/>
    <mergeCell ref="Z8:AD8"/>
    <mergeCell ref="H39:I39"/>
    <mergeCell ref="K39:M39"/>
    <mergeCell ref="V10:V12"/>
    <mergeCell ref="U10:U12"/>
    <mergeCell ref="W10:W12"/>
    <mergeCell ref="H20:I20"/>
    <mergeCell ref="H19:I19"/>
    <mergeCell ref="K19:M19"/>
    <mergeCell ref="K20:M20"/>
    <mergeCell ref="K16:M16"/>
    <mergeCell ref="N15:O15"/>
    <mergeCell ref="H10:I12"/>
    <mergeCell ref="K15:M15"/>
    <mergeCell ref="K18:M18"/>
    <mergeCell ref="H15:I15"/>
    <mergeCell ref="H18:I18"/>
    <mergeCell ref="C27:L28"/>
    <mergeCell ref="H36:I36"/>
    <mergeCell ref="N19:O19"/>
    <mergeCell ref="N39:O39"/>
    <mergeCell ref="N21:O21"/>
    <mergeCell ref="N23:O23"/>
    <mergeCell ref="K37:M37"/>
    <mergeCell ref="C35:G36"/>
    <mergeCell ref="B30:G32"/>
    <mergeCell ref="H30:I32"/>
    <mergeCell ref="J30:J32"/>
    <mergeCell ref="K30:M32"/>
    <mergeCell ref="H34:I34"/>
    <mergeCell ref="C39:G40"/>
    <mergeCell ref="C19:G20"/>
    <mergeCell ref="V30:V32"/>
    <mergeCell ref="N30:O32"/>
    <mergeCell ref="W30:W32"/>
    <mergeCell ref="N27:O27"/>
    <mergeCell ref="N20:P20"/>
    <mergeCell ref="N22:P22"/>
    <mergeCell ref="N58:P58"/>
    <mergeCell ref="N73:P73"/>
    <mergeCell ref="N76:P76"/>
    <mergeCell ref="N41:O41"/>
    <mergeCell ref="N45:O45"/>
    <mergeCell ref="N46:P46"/>
    <mergeCell ref="N50:P50"/>
    <mergeCell ref="N24:P24"/>
    <mergeCell ref="N28:P28"/>
    <mergeCell ref="N34:P34"/>
    <mergeCell ref="N36:P36"/>
    <mergeCell ref="N38:P38"/>
    <mergeCell ref="N40:P40"/>
    <mergeCell ref="N42:P42"/>
    <mergeCell ref="N44:P44"/>
    <mergeCell ref="G2:K3"/>
    <mergeCell ref="N14:P14"/>
    <mergeCell ref="N16:P16"/>
    <mergeCell ref="N18:P18"/>
    <mergeCell ref="H14:I14"/>
    <mergeCell ref="K14:M14"/>
    <mergeCell ref="F5:L5"/>
    <mergeCell ref="F4:L4"/>
    <mergeCell ref="B10:G12"/>
    <mergeCell ref="H17:I17"/>
    <mergeCell ref="H16:I16"/>
    <mergeCell ref="C13:G14"/>
    <mergeCell ref="C15:G16"/>
    <mergeCell ref="C17:G18"/>
    <mergeCell ref="N10:P12"/>
    <mergeCell ref="L7:P7"/>
    <mergeCell ref="L8:P8"/>
    <mergeCell ref="M3:P4"/>
    <mergeCell ref="J10:J12"/>
    <mergeCell ref="K17:M17"/>
    <mergeCell ref="N17:O17"/>
    <mergeCell ref="K10:M12"/>
    <mergeCell ref="M5:P5"/>
    <mergeCell ref="M6:P6"/>
    <mergeCell ref="D110:H110"/>
    <mergeCell ref="U30:U32"/>
    <mergeCell ref="D108:H108"/>
    <mergeCell ref="B55:D55"/>
    <mergeCell ref="K36:M36"/>
    <mergeCell ref="K40:M40"/>
    <mergeCell ref="H40:I40"/>
    <mergeCell ref="H38:I38"/>
    <mergeCell ref="K38:M38"/>
    <mergeCell ref="N35:O35"/>
    <mergeCell ref="N57:O57"/>
    <mergeCell ref="N49:O49"/>
    <mergeCell ref="N37:O37"/>
    <mergeCell ref="C37:G38"/>
    <mergeCell ref="C49:L50"/>
    <mergeCell ref="H35:I35"/>
    <mergeCell ref="K35:M35"/>
    <mergeCell ref="H37:I37"/>
    <mergeCell ref="K34:M34"/>
    <mergeCell ref="C33:G34"/>
    <mergeCell ref="N77:O88"/>
    <mergeCell ref="C41:L42"/>
  </mergeCells>
  <phoneticPr fontId="12" type="noConversion"/>
  <conditionalFormatting sqref="J29">
    <cfRule type="expression" dxfId="1951" priority="201" stopIfTrue="1">
      <formula>IF(SUM(#REF!)&gt;0,1,0)</formula>
    </cfRule>
  </conditionalFormatting>
  <conditionalFormatting sqref="J9 H9">
    <cfRule type="expression" dxfId="1950" priority="548" stopIfTrue="1">
      <formula>IF(SUM(#REF!)&gt;0,1,0)</formula>
    </cfRule>
  </conditionalFormatting>
  <conditionalFormatting sqref="B8:L8">
    <cfRule type="expression" dxfId="1949" priority="126">
      <formula>IF(NoColor,1,0)</formula>
    </cfRule>
  </conditionalFormatting>
  <conditionalFormatting sqref="H16:M16">
    <cfRule type="expression" dxfId="1948" priority="125">
      <formula>IF(NoColor,1,0)</formula>
    </cfRule>
  </conditionalFormatting>
  <conditionalFormatting sqref="N22:O22">
    <cfRule type="expression" dxfId="1947" priority="122">
      <formula>IF(NoColor,1,0)</formula>
    </cfRule>
  </conditionalFormatting>
  <conditionalFormatting sqref="O89">
    <cfRule type="expression" dxfId="1946" priority="106">
      <formula>IF(NoColor,1,0)</formula>
    </cfRule>
  </conditionalFormatting>
  <conditionalFormatting sqref="N42:O42">
    <cfRule type="expression" dxfId="1945" priority="118">
      <formula>IF(NoColor,1,0)</formula>
    </cfRule>
  </conditionalFormatting>
  <conditionalFormatting sqref="N58:O58">
    <cfRule type="expression" dxfId="1944" priority="109">
      <formula>IF(NoColor,1,0)</formula>
    </cfRule>
  </conditionalFormatting>
  <conditionalFormatting sqref="N73">
    <cfRule type="expression" dxfId="1943" priority="108">
      <formula>IF(NoColor,1,0)</formula>
    </cfRule>
  </conditionalFormatting>
  <conditionalFormatting sqref="N76">
    <cfRule type="expression" dxfId="1942" priority="107">
      <formula>IF(NoColor,1,0)</formula>
    </cfRule>
  </conditionalFormatting>
  <conditionalFormatting sqref="H18:M18">
    <cfRule type="expression" dxfId="1941" priority="87">
      <formula>IF(NoColor,1,0)</formula>
    </cfRule>
  </conditionalFormatting>
  <conditionalFormatting sqref="U20:W20">
    <cfRule type="expression" dxfId="1940" priority="73">
      <formula>IF(NoColor,1,0)</formula>
    </cfRule>
  </conditionalFormatting>
  <conditionalFormatting sqref="H14:I14 K14:M14">
    <cfRule type="expression" dxfId="1939" priority="81">
      <formula>IF(NoColor,1,0)</formula>
    </cfRule>
  </conditionalFormatting>
  <conditionalFormatting sqref="H34:M34">
    <cfRule type="expression" dxfId="1938" priority="80">
      <formula>IF(NoColor,1,0)</formula>
    </cfRule>
  </conditionalFormatting>
  <conditionalFormatting sqref="N34:O34">
    <cfRule type="expression" dxfId="1937" priority="78">
      <formula>IF(NoColor,1,0)</formula>
    </cfRule>
  </conditionalFormatting>
  <conditionalFormatting sqref="J14">
    <cfRule type="expression" dxfId="1936" priority="77">
      <formula>IF(NoColor,1,0)</formula>
    </cfRule>
  </conditionalFormatting>
  <conditionalFormatting sqref="U16:W16">
    <cfRule type="expression" dxfId="1935" priority="75">
      <formula>IF(NoColor,1,0)</formula>
    </cfRule>
  </conditionalFormatting>
  <conditionalFormatting sqref="W18">
    <cfRule type="expression" dxfId="1934" priority="74">
      <formula>IF(NoColor,1,0)</formula>
    </cfRule>
  </conditionalFormatting>
  <conditionalFormatting sqref="U38:W38">
    <cfRule type="expression" dxfId="1933" priority="59">
      <formula>IF(NoColor,1,0)</formula>
    </cfRule>
  </conditionalFormatting>
  <conditionalFormatting sqref="H36:M36">
    <cfRule type="expression" dxfId="1932" priority="62">
      <formula>IF(NoColor,1,0)</formula>
    </cfRule>
  </conditionalFormatting>
  <conditionalFormatting sqref="H20:M20">
    <cfRule type="expression" dxfId="1931" priority="65">
      <formula>IF(NoColor,1,0)</formula>
    </cfRule>
  </conditionalFormatting>
  <conditionalFormatting sqref="H40:M40">
    <cfRule type="expression" dxfId="1930" priority="60">
      <formula>IF(NoColor,1,0)</formula>
    </cfRule>
  </conditionalFormatting>
  <conditionalFormatting sqref="U36:W36">
    <cfRule type="expression" dxfId="1929" priority="63">
      <formula>IF(NoColor,1,0)</formula>
    </cfRule>
  </conditionalFormatting>
  <conditionalFormatting sqref="H38:M38">
    <cfRule type="expression" dxfId="1928" priority="61">
      <formula>IF(NoColor,1,0)</formula>
    </cfRule>
  </conditionalFormatting>
  <conditionalFormatting sqref="U40:W40">
    <cfRule type="expression" dxfId="1927" priority="58">
      <formula>IF(NoColor,1,0)</formula>
    </cfRule>
  </conditionalFormatting>
  <conditionalFormatting sqref="V18">
    <cfRule type="expression" dxfId="1926" priority="49">
      <formula>IF(NoColor,1,0)</formula>
    </cfRule>
  </conditionalFormatting>
  <conditionalFormatting sqref="N14:O14">
    <cfRule type="expression" dxfId="1925" priority="56">
      <formula>IF(NoColor,1,0)</formula>
    </cfRule>
  </conditionalFormatting>
  <conditionalFormatting sqref="U18">
    <cfRule type="expression" dxfId="1924" priority="50">
      <formula>IF(NoColor,1,0)</formula>
    </cfRule>
  </conditionalFormatting>
  <conditionalFormatting sqref="H29">
    <cfRule type="expression" dxfId="1923" priority="32" stopIfTrue="1">
      <formula>IF(SUM(#REF!)&gt;0,1,0)</formula>
    </cfRule>
  </conditionalFormatting>
  <conditionalFormatting sqref="U46:U48">
    <cfRule type="expression" dxfId="1922" priority="31">
      <formula>AND($S$48&lt;&gt;"",$S$48&gt;0)</formula>
    </cfRule>
  </conditionalFormatting>
  <conditionalFormatting sqref="U24:U26">
    <cfRule type="expression" dxfId="1921" priority="30">
      <formula>AND($S$26&lt;&gt;"",$S$26&gt;0)</formula>
    </cfRule>
  </conditionalFormatting>
  <conditionalFormatting sqref="N16:O16">
    <cfRule type="expression" dxfId="1920" priority="19">
      <formula>IF(NoColor,1,0)</formula>
    </cfRule>
  </conditionalFormatting>
  <conditionalFormatting sqref="N18:O18">
    <cfRule type="expression" dxfId="1919" priority="18">
      <formula>IF(NoColor,1,0)</formula>
    </cfRule>
  </conditionalFormatting>
  <conditionalFormatting sqref="N20:O20">
    <cfRule type="expression" dxfId="1918" priority="17">
      <formula>IF(NoColor,1,0)</formula>
    </cfRule>
  </conditionalFormatting>
  <conditionalFormatting sqref="N24:O24">
    <cfRule type="expression" dxfId="1917" priority="16">
      <formula>IF(NoColor,1,0)</formula>
    </cfRule>
  </conditionalFormatting>
  <conditionalFormatting sqref="N26:O26">
    <cfRule type="expression" dxfId="1916" priority="15">
      <formula>IF(NoColor,1,0)</formula>
    </cfRule>
  </conditionalFormatting>
  <conditionalFormatting sqref="N28:O28">
    <cfRule type="expression" dxfId="1915" priority="14">
      <formula>IF(NoColor,1,0)</formula>
    </cfRule>
  </conditionalFormatting>
  <conditionalFormatting sqref="N36:O36">
    <cfRule type="expression" dxfId="1914" priority="13">
      <formula>IF(NoColor,1,0)</formula>
    </cfRule>
  </conditionalFormatting>
  <conditionalFormatting sqref="N38:O38">
    <cfRule type="expression" dxfId="1913" priority="12">
      <formula>IF(NoColor,1,0)</formula>
    </cfRule>
  </conditionalFormatting>
  <conditionalFormatting sqref="N40:O40">
    <cfRule type="expression" dxfId="1912" priority="11">
      <formula>IF(NoColor,1,0)</formula>
    </cfRule>
  </conditionalFormatting>
  <conditionalFormatting sqref="N44:O44">
    <cfRule type="expression" dxfId="1911" priority="10">
      <formula>IF(NoColor,1,0)</formula>
    </cfRule>
  </conditionalFormatting>
  <conditionalFormatting sqref="N46:O46">
    <cfRule type="expression" dxfId="1910" priority="9">
      <formula>IF(NoColor,1,0)</formula>
    </cfRule>
  </conditionalFormatting>
  <conditionalFormatting sqref="N50:O50">
    <cfRule type="expression" dxfId="1909" priority="7">
      <formula>IF(NoColor,1,0)</formula>
    </cfRule>
  </conditionalFormatting>
  <conditionalFormatting sqref="P26">
    <cfRule type="expression" dxfId="1908" priority="6">
      <formula>IF(NoColor,1,0)</formula>
    </cfRule>
  </conditionalFormatting>
  <conditionalFormatting sqref="P48">
    <cfRule type="expression" dxfId="1907" priority="5">
      <formula>IF(NoColor,1,0)</formula>
    </cfRule>
  </conditionalFormatting>
  <conditionalFormatting sqref="N48">
    <cfRule type="expression" dxfId="1906" priority="4">
      <formula>IF(NoColor,1,0)</formula>
    </cfRule>
  </conditionalFormatting>
  <conditionalFormatting sqref="O48">
    <cfRule type="expression" dxfId="1905" priority="3">
      <formula>IF(NoColor,1,0)</formula>
    </cfRule>
  </conditionalFormatting>
  <conditionalFormatting sqref="N89">
    <cfRule type="expression" dxfId="1904" priority="2">
      <formula>IF(NoColor,1,0)</formula>
    </cfRule>
  </conditionalFormatting>
  <conditionalFormatting sqref="P89">
    <cfRule type="expression" dxfId="1903" priority="1">
      <formula>IF(NoColor,1,0)</formula>
    </cfRule>
  </conditionalFormatting>
  <hyperlinks>
    <hyperlink ref="D108:H108" r:id="rId1" display="Download Form 1040 Schedule D"/>
    <hyperlink ref="D110:H110" r:id="rId2" display="Download Form 1040 Schedule D Instructions"/>
  </hyperlinks>
  <printOptions horizontalCentered="1"/>
  <pageMargins left="0.44" right="0.25" top="0.59" bottom="0.25" header="0.28000000000000003" footer="0.25"/>
  <pageSetup scale="90" fitToHeight="0" orientation="portrait" horizontalDpi="120" verticalDpi="144" r:id="rId3"/>
  <headerFooter alignWithMargins="0"/>
  <rowBreaks count="2" manualBreakCount="2">
    <brk id="51" min="1" max="15" man="1"/>
    <brk id="103" min="1" max="12"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S145"/>
  <sheetViews>
    <sheetView zoomScaleNormal="100" zoomScaleSheetLayoutView="100" workbookViewId="0">
      <selection activeCell="P4" sqref="P4"/>
    </sheetView>
  </sheetViews>
  <sheetFormatPr defaultRowHeight="12.75"/>
  <cols>
    <col min="1" max="1" width="4" customWidth="1"/>
    <col min="2" max="2" width="4.5703125" customWidth="1"/>
    <col min="3" max="3" width="1.5703125" customWidth="1"/>
    <col min="4" max="4" width="3" customWidth="1"/>
    <col min="5" max="5" width="13.42578125" customWidth="1"/>
    <col min="6" max="6" width="14.42578125" customWidth="1"/>
    <col min="7" max="7" width="10.28515625" customWidth="1"/>
    <col min="8" max="8" width="6.85546875" customWidth="1"/>
    <col min="9" max="9" width="3.85546875" customWidth="1"/>
    <col min="10" max="10" width="14.42578125" customWidth="1"/>
    <col min="11" max="11" width="5" customWidth="1"/>
    <col min="12" max="12" width="16.85546875" customWidth="1"/>
    <col min="13" max="13" width="3.5703125" customWidth="1"/>
    <col min="14" max="14" width="13.140625" customWidth="1"/>
    <col min="15" max="15" width="3.7109375" customWidth="1"/>
    <col min="16" max="16" width="11.7109375" customWidth="1"/>
    <col min="17" max="17" width="1.5703125" style="46" customWidth="1"/>
    <col min="18" max="18" width="7.140625" style="46" customWidth="1"/>
    <col min="19" max="19" width="23.85546875" style="46" customWidth="1"/>
    <col min="20" max="20" width="1.28515625" style="46" customWidth="1"/>
    <col min="21" max="21" width="3.28515625" style="46" customWidth="1"/>
    <col min="22" max="22" width="9.5703125" style="46" customWidth="1"/>
    <col min="23" max="23" width="12.28515625" style="46" hidden="1" customWidth="1"/>
    <col min="24" max="31" width="12.28515625" hidden="1" customWidth="1"/>
    <col min="32" max="32" width="9.140625" customWidth="1"/>
    <col min="35" max="35" width="9.85546875" customWidth="1"/>
    <col min="36" max="37" width="9.140625" hidden="1" customWidth="1"/>
    <col min="38" max="38" width="3.28515625" customWidth="1"/>
    <col min="39" max="45" width="10.7109375" style="4351" customWidth="1"/>
  </cols>
  <sheetData>
    <row r="1" spans="1:45" ht="18.75" customHeight="1">
      <c r="A1" s="290"/>
      <c r="B1" s="162"/>
      <c r="C1" s="162"/>
      <c r="D1" s="185"/>
      <c r="E1" s="185"/>
      <c r="F1" s="185"/>
      <c r="G1" s="237"/>
      <c r="H1" s="162"/>
      <c r="I1" s="162"/>
      <c r="J1" s="237"/>
      <c r="K1" s="237"/>
      <c r="L1" s="237"/>
      <c r="M1" s="237"/>
      <c r="N1" s="237"/>
      <c r="O1" s="405"/>
      <c r="P1" s="500"/>
      <c r="Q1" s="264"/>
      <c r="R1" s="926"/>
      <c r="S1" s="264"/>
      <c r="T1" s="264"/>
      <c r="U1" s="1443"/>
      <c r="V1" s="1443"/>
      <c r="W1" s="1443"/>
      <c r="X1" s="1408"/>
      <c r="Y1" s="1408"/>
      <c r="Z1" s="1408"/>
      <c r="AA1" s="1408"/>
      <c r="AB1" s="1408"/>
      <c r="AC1" s="1408"/>
      <c r="AD1" s="1408"/>
      <c r="AE1" s="1408"/>
      <c r="AF1" s="1408"/>
      <c r="AG1" s="1408"/>
      <c r="AH1" s="1408"/>
      <c r="AI1" s="1408"/>
      <c r="AJ1" s="1408"/>
      <c r="AK1" s="1408"/>
      <c r="AL1" s="1408"/>
      <c r="AM1" s="4445" t="s">
        <v>2552</v>
      </c>
      <c r="AN1" s="3169"/>
      <c r="AO1" s="3169"/>
      <c r="AP1" s="3169"/>
      <c r="AQ1" s="3169"/>
      <c r="AR1" s="3169"/>
      <c r="AS1" s="3169"/>
    </row>
    <row r="2" spans="1:45" ht="18" customHeight="1" thickBot="1">
      <c r="A2" s="290"/>
      <c r="B2" s="250"/>
      <c r="C2" s="250"/>
      <c r="D2" s="2387" t="s">
        <v>2097</v>
      </c>
      <c r="E2" s="250"/>
      <c r="F2" s="250"/>
      <c r="G2" s="237"/>
      <c r="H2" s="162"/>
      <c r="I2" s="162"/>
      <c r="J2" s="237"/>
      <c r="K2" s="237"/>
      <c r="L2" s="237"/>
      <c r="M2" s="392" t="s">
        <v>200</v>
      </c>
      <c r="N2" s="392"/>
      <c r="O2" s="264"/>
      <c r="P2" s="264"/>
      <c r="Q2" s="264"/>
      <c r="R2" s="927"/>
      <c r="S2" s="264"/>
      <c r="T2" s="264"/>
      <c r="U2" s="1443"/>
      <c r="V2" s="1443"/>
      <c r="W2" s="1443"/>
      <c r="X2" s="1408"/>
      <c r="Y2" s="1408"/>
      <c r="Z2" s="1408"/>
      <c r="AA2" s="1408"/>
      <c r="AB2" s="1408"/>
      <c r="AC2" s="1408"/>
      <c r="AD2" s="1408"/>
      <c r="AE2" s="1408"/>
      <c r="AF2" s="1408"/>
      <c r="AG2" s="1408"/>
      <c r="AH2" s="1408"/>
      <c r="AI2" s="1408"/>
      <c r="AJ2" s="1408"/>
      <c r="AK2" s="1408"/>
      <c r="AL2" s="1408"/>
      <c r="AM2" s="4446" t="s">
        <v>123</v>
      </c>
      <c r="AN2" s="3169"/>
      <c r="AO2" s="3169"/>
      <c r="AP2" s="3169"/>
      <c r="AQ2" s="3169"/>
      <c r="AR2" s="3169"/>
      <c r="AS2" s="3169"/>
    </row>
    <row r="3" spans="1:45" ht="17.25" customHeight="1">
      <c r="A3" s="290"/>
      <c r="B3" s="2388"/>
      <c r="C3" s="2389"/>
      <c r="D3" s="2390"/>
      <c r="E3" s="2390"/>
      <c r="F3" s="2390"/>
      <c r="G3" s="2391"/>
      <c r="H3" s="2389"/>
      <c r="I3" s="2389"/>
      <c r="J3" s="2391"/>
      <c r="K3" s="2391"/>
      <c r="L3" s="2391"/>
      <c r="M3" s="2391"/>
      <c r="N3" s="2432"/>
      <c r="O3" s="2391"/>
      <c r="P3" s="2434"/>
      <c r="Q3" s="2412"/>
      <c r="R3" s="926"/>
      <c r="S3" s="455"/>
      <c r="T3" s="32"/>
      <c r="U3" s="1443"/>
      <c r="V3" s="2772" t="b">
        <f>IF(SUM(U4:U8)&gt;0,TRUE,FALSE)</f>
        <v>0</v>
      </c>
      <c r="W3" s="1616"/>
      <c r="X3" s="2749"/>
      <c r="Y3" s="2749"/>
      <c r="Z3" s="2749"/>
      <c r="AA3" s="2749"/>
      <c r="AB3" s="2749"/>
      <c r="AC3" s="2749"/>
      <c r="AD3" s="2749"/>
      <c r="AE3" s="2749"/>
      <c r="AF3" s="3527" t="s">
        <v>2118</v>
      </c>
      <c r="AG3" s="1408"/>
      <c r="AH3" s="1408"/>
      <c r="AI3" s="1408"/>
      <c r="AJ3" s="1408"/>
      <c r="AK3" s="1408"/>
      <c r="AL3" s="1408"/>
      <c r="AM3" s="4447"/>
      <c r="AN3" s="3169"/>
      <c r="AO3" s="3169"/>
      <c r="AP3" s="3169"/>
      <c r="AQ3" s="3169"/>
      <c r="AR3" s="3169"/>
      <c r="AS3" s="3169"/>
    </row>
    <row r="4" spans="1:45" ht="17.25" customHeight="1">
      <c r="A4" s="290"/>
      <c r="B4" s="2397"/>
      <c r="C4" s="2394" t="str">
        <f>"Use this worksheet to figure your capital loss carryovers from "&amp;TaxYear-1&amp;" to "&amp;TaxYear&amp;" if your "&amp;TaxYear-1&amp;" Schedule D, line 21, is a loss and"</f>
        <v>Use this worksheet to figure your capital loss carryovers from 2017 to 2018 if your 2017 Schedule D, line 21, is a loss and</v>
      </c>
      <c r="D4" s="2395"/>
      <c r="E4" s="2395"/>
      <c r="F4" s="2395"/>
      <c r="G4" s="2396"/>
      <c r="H4" s="2393"/>
      <c r="I4" s="2393"/>
      <c r="J4" s="2396"/>
      <c r="K4" s="2396"/>
      <c r="L4" s="2396"/>
      <c r="M4" s="2396"/>
      <c r="N4" s="2396"/>
      <c r="O4" s="2396"/>
      <c r="P4" s="1776"/>
      <c r="Q4" s="2419"/>
      <c r="R4" s="926"/>
      <c r="S4" s="455" t="str">
        <f>TaxYear-1&amp;" Sch. D, Line 21"</f>
        <v>2017 Sch. D, Line 21</v>
      </c>
      <c r="T4" s="32"/>
      <c r="U4" s="3074">
        <f>IF(P5="",0,1)</f>
        <v>0</v>
      </c>
      <c r="V4" s="3516" t="b">
        <f>IF(P4&lt;0,TRUE,FALSE)</f>
        <v>0</v>
      </c>
      <c r="W4" s="3517"/>
      <c r="X4" s="3518"/>
      <c r="Y4" s="3518"/>
      <c r="Z4" s="3518"/>
      <c r="AA4" s="3518"/>
      <c r="AB4" s="3518"/>
      <c r="AC4" s="3518"/>
      <c r="AD4" s="3518"/>
      <c r="AE4" s="3518"/>
      <c r="AF4" s="3519" t="s">
        <v>2871</v>
      </c>
      <c r="AG4" s="3518"/>
      <c r="AH4" s="3518"/>
      <c r="AI4" s="3520"/>
      <c r="AJ4" s="1408"/>
      <c r="AK4" s="1408"/>
      <c r="AL4" s="1408"/>
      <c r="AM4" s="4447"/>
      <c r="AN4" s="3169"/>
      <c r="AO4" s="3169"/>
      <c r="AP4" s="3169"/>
      <c r="AQ4" s="3169"/>
      <c r="AR4" s="3169"/>
      <c r="AS4" s="3169"/>
    </row>
    <row r="5" spans="1:45" ht="13.5" customHeight="1">
      <c r="A5" s="290"/>
      <c r="B5" s="2397"/>
      <c r="C5" s="2394"/>
      <c r="D5" s="2395"/>
      <c r="E5" s="2395"/>
      <c r="F5" s="2395"/>
      <c r="G5" s="2396"/>
      <c r="H5" s="2393"/>
      <c r="I5" s="2393"/>
      <c r="J5" s="2396"/>
      <c r="K5" s="2396"/>
      <c r="L5" s="2396"/>
      <c r="M5" s="2396"/>
      <c r="N5" s="2396"/>
      <c r="O5" s="2396"/>
      <c r="P5" s="1776"/>
      <c r="Q5" s="2419"/>
      <c r="R5" s="926"/>
      <c r="S5" s="455" t="str">
        <f>TaxYear-1&amp;" Sch. D, Line 7"</f>
        <v>2017 Sch. D, Line 7</v>
      </c>
      <c r="T5" s="32"/>
      <c r="U5" s="3074">
        <f>IF(P6="",0,1)</f>
        <v>0</v>
      </c>
      <c r="V5" s="1637"/>
      <c r="W5" s="1443"/>
      <c r="X5" s="1408"/>
      <c r="Y5" s="1408"/>
      <c r="Z5" s="1408"/>
      <c r="AA5" s="1408"/>
      <c r="AB5" s="1408"/>
      <c r="AC5" s="1408"/>
      <c r="AD5" s="1408"/>
      <c r="AE5" s="1408"/>
      <c r="AF5" s="2436"/>
      <c r="AG5" s="1408"/>
      <c r="AH5" s="1408"/>
      <c r="AI5" s="2107"/>
      <c r="AJ5" s="1408"/>
      <c r="AK5" s="1408"/>
      <c r="AL5" s="1408"/>
      <c r="AM5" s="4447"/>
      <c r="AN5" s="3169"/>
      <c r="AO5" s="3169"/>
      <c r="AP5" s="3169"/>
      <c r="AQ5" s="3169"/>
      <c r="AR5" s="3169"/>
      <c r="AS5" s="3169"/>
    </row>
    <row r="6" spans="1:45" ht="13.5" customHeight="1">
      <c r="A6" s="290"/>
      <c r="B6" s="2397"/>
      <c r="C6" s="2394"/>
      <c r="D6" s="2395"/>
      <c r="E6" s="2395"/>
      <c r="F6" s="2395"/>
      <c r="G6" s="2396"/>
      <c r="H6" s="2393"/>
      <c r="I6" s="2393"/>
      <c r="J6" s="2396"/>
      <c r="K6" s="2396"/>
      <c r="L6" s="2396"/>
      <c r="M6" s="2396"/>
      <c r="N6" s="2396"/>
      <c r="O6" s="2396"/>
      <c r="P6" s="1776"/>
      <c r="Q6" s="2419"/>
      <c r="R6" s="926"/>
      <c r="S6" s="455" t="str">
        <f>TaxYear-1&amp;" Sch. D, Line 15"</f>
        <v>2017 Sch. D, Line 15</v>
      </c>
      <c r="T6" s="32"/>
      <c r="U6" s="3074"/>
      <c r="V6" s="1637"/>
      <c r="W6" s="1443"/>
      <c r="X6" s="1408"/>
      <c r="Y6" s="1408"/>
      <c r="Z6" s="1408"/>
      <c r="AA6" s="1408"/>
      <c r="AB6" s="1408"/>
      <c r="AC6" s="1408"/>
      <c r="AD6" s="1408"/>
      <c r="AE6" s="1408"/>
      <c r="AF6" s="2436"/>
      <c r="AG6" s="1408"/>
      <c r="AH6" s="1408"/>
      <c r="AI6" s="2107"/>
      <c r="AJ6" s="1408"/>
      <c r="AK6" s="1408"/>
      <c r="AL6" s="1408"/>
      <c r="AM6" s="4447"/>
      <c r="AN6" s="3169"/>
      <c r="AO6" s="3169"/>
      <c r="AP6" s="3169"/>
      <c r="AQ6" s="3169"/>
      <c r="AR6" s="3169"/>
      <c r="AS6" s="3169"/>
    </row>
    <row r="7" spans="1:45" ht="13.5" customHeight="1">
      <c r="A7" s="290"/>
      <c r="B7" s="2397"/>
      <c r="C7" s="2394"/>
      <c r="D7" s="4916" t="s">
        <v>1137</v>
      </c>
      <c r="E7" s="2394" t="str">
        <f>" that loss is a smaller loss than the loss on your "&amp;TaxYear-1&amp;" Schedule D, line 16,"</f>
        <v xml:space="preserve"> that loss is a smaller loss than the loss on your 2017 Schedule D, line 16,</v>
      </c>
      <c r="F7" s="2395"/>
      <c r="G7" s="2396"/>
      <c r="H7" s="2393"/>
      <c r="I7" s="2393"/>
      <c r="J7" s="2396"/>
      <c r="K7" s="2420" t="s">
        <v>274</v>
      </c>
      <c r="L7" s="2396"/>
      <c r="M7" s="2396"/>
      <c r="N7" s="2431"/>
      <c r="O7" s="2396"/>
      <c r="P7" s="1666" t="str">
        <f>IF(AND(P5="",P6=""),"",ROUND(SUM(P5,P6),0))</f>
        <v/>
      </c>
      <c r="Q7" s="2419"/>
      <c r="R7" s="926"/>
      <c r="S7" s="455" t="str">
        <f>TaxYear-1&amp;" Sch. D, Line 16"</f>
        <v>2017 Sch. D, Line 16</v>
      </c>
      <c r="T7" s="32"/>
      <c r="U7" s="3074">
        <f>IF(P4="",0,1)</f>
        <v>0</v>
      </c>
      <c r="V7" s="1637" t="b">
        <f>IF(P7="",FALSE,IF(AND(V4,P7&lt;0,ABS(P4)&lt;ABS(P7)),TRUE,FALSE))</f>
        <v>0</v>
      </c>
      <c r="W7" s="1443"/>
      <c r="X7" s="1408"/>
      <c r="Y7" s="1408"/>
      <c r="Z7" s="1408"/>
      <c r="AA7" s="1408"/>
      <c r="AB7" s="1408"/>
      <c r="AC7" s="1408"/>
      <c r="AD7" s="1408"/>
      <c r="AE7" s="1408"/>
      <c r="AF7" s="2436" t="s">
        <v>2870</v>
      </c>
      <c r="AG7" s="1408"/>
      <c r="AH7" s="1408"/>
      <c r="AI7" s="2107"/>
      <c r="AJ7" s="1408"/>
      <c r="AK7" s="1408"/>
      <c r="AL7" s="1408"/>
      <c r="AM7" s="4447"/>
      <c r="AN7" s="3169"/>
      <c r="AO7" s="3169"/>
      <c r="AP7" s="3169"/>
      <c r="AQ7" s="3169"/>
      <c r="AR7" s="3169"/>
      <c r="AS7" s="3169"/>
    </row>
    <row r="8" spans="1:45" ht="13.5" customHeight="1">
      <c r="A8" s="290"/>
      <c r="B8" s="2397"/>
      <c r="C8" s="2394"/>
      <c r="D8" s="2420" t="s">
        <v>1139</v>
      </c>
      <c r="E8" s="2394" t="str">
        <f>" the amount on your "&amp;TaxYear-1&amp;" Form 1040, line 41 (or your "&amp;TaxYear-1&amp;" Form 1040NR line 39, if applicable) is less than zero."</f>
        <v xml:space="preserve"> the amount on your 2017 Form 1040, line 41 (or your 2017 Form 1040NR line 39, if applicable) is less than zero.</v>
      </c>
      <c r="F8" s="2395"/>
      <c r="G8" s="2396"/>
      <c r="H8" s="2393"/>
      <c r="I8" s="2393"/>
      <c r="J8" s="2396"/>
      <c r="K8" s="2396"/>
      <c r="L8" s="2396"/>
      <c r="M8" s="2396"/>
      <c r="N8" s="2396"/>
      <c r="O8" s="2396"/>
      <c r="P8" s="1776"/>
      <c r="Q8" s="2419"/>
      <c r="R8" s="926"/>
      <c r="S8" s="455" t="str">
        <f>TaxYear-1&amp;" Form 1040, Line 41"</f>
        <v>2017 Form 1040, Line 41</v>
      </c>
      <c r="T8" s="32"/>
      <c r="U8" s="3074">
        <f>IF(P8="",0,1)</f>
        <v>0</v>
      </c>
      <c r="V8" s="3521" t="b">
        <f>IF(P8&lt;0,TRUE,FALSE)</f>
        <v>0</v>
      </c>
      <c r="W8" s="3522"/>
      <c r="X8" s="3523"/>
      <c r="Y8" s="3523"/>
      <c r="Z8" s="3523"/>
      <c r="AA8" s="3523"/>
      <c r="AB8" s="3523"/>
      <c r="AC8" s="3523"/>
      <c r="AD8" s="3523"/>
      <c r="AE8" s="3523"/>
      <c r="AF8" s="3524" t="s">
        <v>2117</v>
      </c>
      <c r="AG8" s="3523"/>
      <c r="AH8" s="3523"/>
      <c r="AI8" s="3525"/>
      <c r="AJ8" s="1408"/>
      <c r="AK8" s="1408"/>
      <c r="AL8" s="1408"/>
      <c r="AM8" s="4447"/>
      <c r="AN8" s="3169"/>
      <c r="AO8" s="3169"/>
      <c r="AP8" s="3169"/>
      <c r="AQ8" s="3169"/>
      <c r="AR8" s="3169"/>
      <c r="AS8" s="3169"/>
    </row>
    <row r="9" spans="1:45" ht="13.5" customHeight="1">
      <c r="A9" s="290"/>
      <c r="B9" s="2397"/>
      <c r="C9" s="2421"/>
      <c r="D9" s="2421"/>
      <c r="E9" s="2394" t="s">
        <v>2114</v>
      </c>
      <c r="F9" s="2395"/>
      <c r="G9" s="2396"/>
      <c r="H9" s="2430"/>
      <c r="I9" s="2393"/>
      <c r="J9" s="2396"/>
      <c r="K9" s="2396"/>
      <c r="L9" s="2396"/>
      <c r="M9" s="2396"/>
      <c r="N9" s="2431"/>
      <c r="O9" s="2396"/>
      <c r="P9" s="2396"/>
      <c r="Q9" s="2419"/>
      <c r="R9" s="926"/>
      <c r="S9" s="2435" t="str">
        <f>IF(OR(AND(File_Marr_Sep&lt;&gt;"",$P$4&lt;-1500),$P$4&lt;-3000),"The amount of loss on Sch. D, Line 21,","")</f>
        <v/>
      </c>
      <c r="T9" s="32"/>
      <c r="U9" s="3364"/>
      <c r="V9" s="3526" t="b">
        <f>IF(OR(U9&lt;&gt;"",AND(V3,V4,OR(V7,V8))),TRUE,FALSE)</f>
        <v>0</v>
      </c>
      <c r="W9" s="1936"/>
      <c r="X9" s="2112"/>
      <c r="Y9" s="2112"/>
      <c r="Z9" s="2112"/>
      <c r="AA9" s="2112"/>
      <c r="AB9" s="2112"/>
      <c r="AC9" s="2112"/>
      <c r="AD9" s="2112"/>
      <c r="AE9" s="2112"/>
      <c r="AF9" s="2437" t="str">
        <f>IF(V9,"&lt;---  Worksheet is applicable.","&lt;---  Worksheet is NOT applicable.")</f>
        <v>&lt;---  Worksheet is NOT applicable.</v>
      </c>
      <c r="AG9" s="2112"/>
      <c r="AH9" s="2112"/>
      <c r="AI9" s="2113"/>
      <c r="AJ9" s="1408"/>
      <c r="AK9" s="1408"/>
      <c r="AL9" s="1408"/>
      <c r="AM9" s="4447"/>
      <c r="AN9" s="3169"/>
      <c r="AO9" s="3169"/>
      <c r="AP9" s="3169"/>
      <c r="AQ9" s="3169"/>
      <c r="AR9" s="3169"/>
      <c r="AS9" s="3169"/>
    </row>
    <row r="10" spans="1:45" ht="13.5" customHeight="1">
      <c r="A10" s="290"/>
      <c r="B10" s="2397"/>
      <c r="C10" s="2394"/>
      <c r="D10" s="2395"/>
      <c r="E10" s="2395"/>
      <c r="F10" s="2395"/>
      <c r="G10" s="2396"/>
      <c r="H10" s="2393"/>
      <c r="I10" s="2393"/>
      <c r="J10" s="2396"/>
      <c r="K10" s="2396"/>
      <c r="L10" s="2396"/>
      <c r="M10" s="2396"/>
      <c r="N10" s="2396"/>
      <c r="O10" s="2396"/>
      <c r="P10" s="2396"/>
      <c r="Q10" s="2419"/>
      <c r="R10" s="926"/>
      <c r="S10" s="2435" t="str">
        <f>IF(OR(AND(File_Marr_Sep&lt;&gt;"",$P$4&lt;-1500),$P$4&lt;-3000),"should not have been more than $3,000","")</f>
        <v/>
      </c>
      <c r="T10" s="32"/>
      <c r="U10" s="3528" t="str">
        <f>IF(OR(U9&lt;&gt;"",AND(V3,NOT(V9))),"Check box if you wish to use the worksheet anyway.","")</f>
        <v/>
      </c>
      <c r="V10" s="1450"/>
      <c r="W10" s="1443"/>
      <c r="X10" s="1443"/>
      <c r="Y10" s="1443"/>
      <c r="Z10" s="1443"/>
      <c r="AA10" s="1443"/>
      <c r="AB10" s="1443"/>
      <c r="AC10" s="1443"/>
      <c r="AD10" s="1443"/>
      <c r="AE10" s="1443"/>
      <c r="AF10" s="1443"/>
      <c r="AG10" s="1443"/>
      <c r="AH10" s="1443"/>
      <c r="AI10" s="1443"/>
      <c r="AJ10" s="1408"/>
      <c r="AK10" s="1408"/>
      <c r="AL10" s="1408"/>
      <c r="AM10" s="4447"/>
      <c r="AN10" s="3169"/>
      <c r="AO10" s="3169"/>
      <c r="AP10" s="3169"/>
      <c r="AQ10" s="3169"/>
      <c r="AR10" s="3169"/>
      <c r="AS10" s="3169"/>
    </row>
    <row r="11" spans="1:45" ht="13.5" customHeight="1">
      <c r="A11" s="290"/>
      <c r="B11" s="2397"/>
      <c r="C11" s="2394" t="str">
        <f>"If you and your spouse once filed a joint return and are filing separate returns for "&amp;TaxYear&amp;","</f>
        <v>If you and your spouse once filed a joint return and are filing separate returns for 2018,</v>
      </c>
      <c r="D11" s="2395"/>
      <c r="E11" s="2395"/>
      <c r="F11" s="2395"/>
      <c r="G11" s="2396"/>
      <c r="H11" s="2393"/>
      <c r="I11" s="2393"/>
      <c r="J11" s="2396"/>
      <c r="K11" s="2396"/>
      <c r="L11" s="2396"/>
      <c r="M11" s="2396"/>
      <c r="N11" s="2396"/>
      <c r="O11" s="2396"/>
      <c r="P11" s="2396"/>
      <c r="Q11" s="2419"/>
      <c r="R11" s="926"/>
      <c r="S11" s="2435" t="str">
        <f>IF(OR(AND(File_Marr_Sep&lt;&gt;"",$P$4&lt;-1500),$P$4&lt;-3000),"(or $1,500, if Married Filing Separately)","")</f>
        <v/>
      </c>
      <c r="T11" s="32"/>
      <c r="U11" s="1443"/>
      <c r="V11" s="1450"/>
      <c r="W11" s="1443"/>
      <c r="X11" s="1443"/>
      <c r="Y11" s="1443"/>
      <c r="Z11" s="1443"/>
      <c r="AA11" s="1443"/>
      <c r="AB11" s="1443"/>
      <c r="AC11" s="1443"/>
      <c r="AD11" s="1443"/>
      <c r="AE11" s="1443"/>
      <c r="AF11" s="1443"/>
      <c r="AG11" s="1443"/>
      <c r="AH11" s="1443"/>
      <c r="AI11" s="1443"/>
      <c r="AJ11" s="1408"/>
      <c r="AK11" s="1408"/>
      <c r="AL11" s="1408"/>
      <c r="AM11" s="4447"/>
      <c r="AN11" s="3169"/>
      <c r="AO11" s="3169"/>
      <c r="AP11" s="3169"/>
      <c r="AQ11" s="3169"/>
      <c r="AR11" s="3169"/>
      <c r="AS11" s="3169"/>
    </row>
    <row r="12" spans="1:45" ht="13.5" customHeight="1">
      <c r="A12" s="290"/>
      <c r="B12" s="2397"/>
      <c r="C12" s="2394" t="s">
        <v>2115</v>
      </c>
      <c r="D12" s="2395"/>
      <c r="E12" s="2395"/>
      <c r="F12" s="2395"/>
      <c r="G12" s="2396"/>
      <c r="H12" s="2393"/>
      <c r="I12" s="2393"/>
      <c r="J12" s="2396"/>
      <c r="K12" s="2396"/>
      <c r="L12" s="2396"/>
      <c r="M12" s="2396"/>
      <c r="N12" s="2396"/>
      <c r="O12" s="2396"/>
      <c r="P12" s="2396"/>
      <c r="Q12" s="2419"/>
      <c r="R12" s="926"/>
      <c r="S12" s="32"/>
      <c r="T12" s="32"/>
      <c r="U12" s="1443"/>
      <c r="V12" s="1450"/>
      <c r="W12" s="1443"/>
      <c r="X12" s="1408"/>
      <c r="Y12" s="1408"/>
      <c r="Z12" s="1408"/>
      <c r="AA12" s="1408"/>
      <c r="AB12" s="1408"/>
      <c r="AC12" s="1408"/>
      <c r="AD12" s="1408"/>
      <c r="AE12" s="1408"/>
      <c r="AF12" s="1408"/>
      <c r="AG12" s="1408"/>
      <c r="AH12" s="1408"/>
      <c r="AI12" s="1408"/>
      <c r="AJ12" s="1408"/>
      <c r="AK12" s="1408"/>
      <c r="AL12" s="1408"/>
      <c r="AM12" s="4447"/>
      <c r="AN12" s="3169"/>
      <c r="AO12" s="3169"/>
      <c r="AP12" s="3169"/>
      <c r="AQ12" s="3169"/>
      <c r="AR12" s="3169"/>
      <c r="AS12" s="3169"/>
    </row>
    <row r="13" spans="1:45" ht="13.5" customHeight="1">
      <c r="A13" s="290"/>
      <c r="B13" s="2397"/>
      <c r="C13" s="2394"/>
      <c r="D13" s="2395"/>
      <c r="E13" s="2395"/>
      <c r="F13" s="2395"/>
      <c r="G13" s="2396"/>
      <c r="H13" s="2393"/>
      <c r="I13" s="2393"/>
      <c r="J13" s="2396"/>
      <c r="K13" s="2396"/>
      <c r="L13" s="2396"/>
      <c r="M13" s="2396"/>
      <c r="N13" s="2396"/>
      <c r="O13" s="2396"/>
      <c r="P13" s="2396"/>
      <c r="Q13" s="2419"/>
      <c r="R13" s="926"/>
      <c r="S13" s="455"/>
      <c r="T13" s="52"/>
      <c r="U13" s="1443"/>
      <c r="V13" s="1450"/>
      <c r="W13" s="1443"/>
      <c r="X13" s="1408"/>
      <c r="Y13" s="1408"/>
      <c r="Z13" s="1408"/>
      <c r="AA13" s="1408"/>
      <c r="AB13" s="1408"/>
      <c r="AC13" s="1408"/>
      <c r="AD13" s="1408"/>
      <c r="AE13" s="1408"/>
      <c r="AF13" s="1408"/>
      <c r="AG13" s="1408"/>
      <c r="AH13" s="1408"/>
      <c r="AI13" s="1408"/>
      <c r="AJ13" s="1408"/>
      <c r="AK13" s="1408"/>
      <c r="AL13" s="1408"/>
      <c r="AM13" s="4447"/>
      <c r="AN13" s="3169"/>
      <c r="AO13" s="3169"/>
      <c r="AP13" s="3169"/>
      <c r="AQ13" s="3169"/>
      <c r="AR13" s="3169"/>
      <c r="AS13" s="3169"/>
    </row>
    <row r="14" spans="1:45" ht="13.5" customHeight="1">
      <c r="A14" s="290"/>
      <c r="B14" s="2422"/>
      <c r="C14" s="2427" t="str">
        <f>"If you excluded canceled debt from income in "&amp;TaxYear&amp;", see Pub. 4681."</f>
        <v>If you excluded canceled debt from income in 2018, see Pub. 4681.</v>
      </c>
      <c r="D14" s="2423"/>
      <c r="E14" s="2423"/>
      <c r="F14" s="2423"/>
      <c r="G14" s="2424"/>
      <c r="H14" s="2425"/>
      <c r="I14" s="2425"/>
      <c r="J14" s="2424"/>
      <c r="K14" s="2424"/>
      <c r="L14" s="2424"/>
      <c r="M14" s="2424"/>
      <c r="N14" s="2424"/>
      <c r="O14" s="2424"/>
      <c r="P14" s="2424"/>
      <c r="Q14" s="2426"/>
      <c r="R14" s="926"/>
      <c r="S14" s="455"/>
      <c r="T14" s="32"/>
      <c r="V14" s="242"/>
      <c r="AJ14" s="1408"/>
      <c r="AK14" s="1408"/>
      <c r="AL14" s="1408"/>
      <c r="AM14" s="4447"/>
      <c r="AN14" s="3169"/>
      <c r="AO14" s="3169"/>
      <c r="AP14" s="3169"/>
      <c r="AQ14" s="3169"/>
      <c r="AR14" s="3169"/>
      <c r="AS14" s="3169"/>
    </row>
    <row r="15" spans="1:45">
      <c r="A15" s="290"/>
      <c r="B15" s="2392"/>
      <c r="C15" s="2400"/>
      <c r="D15" s="2398"/>
      <c r="E15" s="2398"/>
      <c r="F15" s="2395"/>
      <c r="G15" s="2396"/>
      <c r="H15" s="2393"/>
      <c r="I15" s="2393"/>
      <c r="J15" s="2396"/>
      <c r="K15" s="2396"/>
      <c r="L15" s="2396"/>
      <c r="M15" s="2403"/>
      <c r="N15" s="2415"/>
      <c r="O15" s="2416"/>
      <c r="P15" s="2396"/>
      <c r="Q15" s="2413"/>
      <c r="R15" s="926"/>
      <c r="S15" s="32"/>
      <c r="T15" s="32"/>
      <c r="V15" s="242"/>
      <c r="AJ15" s="1408"/>
      <c r="AK15" s="1408"/>
      <c r="AL15" s="1408"/>
      <c r="AM15" s="4447"/>
      <c r="AN15" s="3169"/>
      <c r="AO15" s="3169"/>
      <c r="AP15" s="3169"/>
      <c r="AQ15" s="3169"/>
      <c r="AR15" s="3169"/>
      <c r="AS15" s="3169"/>
    </row>
    <row r="16" spans="1:45" ht="14.25" customHeight="1">
      <c r="A16" s="290"/>
      <c r="B16" s="2392" t="s">
        <v>336</v>
      </c>
      <c r="C16" s="2393"/>
      <c r="D16" s="2420" t="str">
        <f>"Enter the amount from your "&amp;TaxYear-1&amp;" Form 1040, line 41, or your "&amp;TaxYear-1&amp;" Form 1040NR, line 39."</f>
        <v>Enter the amount from your 2017 Form 1040, line 41, or your 2017 Form 1040NR, line 39.</v>
      </c>
      <c r="E16" s="2395"/>
      <c r="F16" s="2395"/>
      <c r="G16" s="2396"/>
      <c r="H16" s="2393"/>
      <c r="I16" s="2393"/>
      <c r="J16" s="2396"/>
      <c r="K16" s="2396"/>
      <c r="L16" s="2396"/>
      <c r="M16" s="2396"/>
      <c r="N16" s="2396"/>
      <c r="O16" s="2396"/>
      <c r="P16" s="2396"/>
      <c r="Q16" s="2413"/>
      <c r="R16" s="926"/>
      <c r="S16" s="668"/>
      <c r="T16" s="49"/>
      <c r="V16" s="242"/>
      <c r="AM16" s="4447"/>
      <c r="AN16" s="3169"/>
      <c r="AO16" s="3169"/>
      <c r="AP16" s="3169"/>
      <c r="AQ16" s="3169"/>
      <c r="AR16" s="3169"/>
      <c r="AS16" s="3169"/>
    </row>
    <row r="17" spans="1:45" ht="13.5" customHeight="1">
      <c r="A17" s="290"/>
      <c r="B17" s="2397"/>
      <c r="C17" s="2393"/>
      <c r="D17" s="2394" t="s">
        <v>2099</v>
      </c>
      <c r="E17" s="2395"/>
      <c r="F17" s="2395"/>
      <c r="G17" s="2396"/>
      <c r="H17" s="2393"/>
      <c r="I17" s="2393"/>
      <c r="J17" s="2396"/>
      <c r="K17" s="2396"/>
      <c r="L17" s="2396"/>
      <c r="M17" s="2396"/>
      <c r="N17" s="2410" t="s">
        <v>2100</v>
      </c>
      <c r="O17" s="2400" t="s">
        <v>336</v>
      </c>
      <c r="P17" s="1666" t="str">
        <f>IF(NOT($V$9),"",ROUND(P8,0))</f>
        <v/>
      </c>
      <c r="Q17" s="2413"/>
      <c r="R17" s="926"/>
      <c r="S17" s="668"/>
      <c r="T17" s="49"/>
      <c r="V17" s="242"/>
      <c r="AM17" s="4447"/>
      <c r="AN17" s="3169"/>
      <c r="AO17" s="3169"/>
      <c r="AP17" s="3169"/>
      <c r="AQ17" s="3169"/>
      <c r="AR17" s="3169"/>
      <c r="AS17" s="3169"/>
    </row>
    <row r="18" spans="1:45">
      <c r="A18" s="290"/>
      <c r="B18" s="2399" t="s">
        <v>0</v>
      </c>
      <c r="C18" s="2400"/>
      <c r="D18" s="2395" t="str">
        <f>"Enter the loss from your "&amp;TaxYear-1&amp;" Schedule D, line 21, as a positive amount"</f>
        <v>Enter the loss from your 2017 Schedule D, line 21, as a positive amount</v>
      </c>
      <c r="E18" s="2395"/>
      <c r="F18" s="2395"/>
      <c r="G18" s="2396"/>
      <c r="H18" s="2393"/>
      <c r="I18" s="2393"/>
      <c r="J18" s="2396"/>
      <c r="K18" s="2396"/>
      <c r="L18" s="2396"/>
      <c r="M18" s="2396"/>
      <c r="N18" s="2410" t="str">
        <f>IF(P18&lt;0,"Enter as a positive amount."," .   .   .   .   .   .   .   .   .   .   .   .   .   .   .   .   .   .   .   .   .   .   .   .   .   .   ")</f>
        <v xml:space="preserve"> .   .   .   .   .   .   .   .   .   .   .   .   .   .   .   .   .   .   .   .   .   .   .   .   .   .   </v>
      </c>
      <c r="O18" s="2411" t="s">
        <v>0</v>
      </c>
      <c r="P18" s="1666" t="str">
        <f>IF(NOT($V$9),"",IF(ROUND(P4,0)&gt;0,0,-ROUND(P4,0)))</f>
        <v/>
      </c>
      <c r="Q18" s="2413"/>
      <c r="R18" s="926"/>
      <c r="S18" s="668"/>
      <c r="T18" s="49"/>
      <c r="V18" s="242"/>
      <c r="AM18" s="4447"/>
      <c r="AN18" s="3169"/>
      <c r="AO18" s="3169"/>
      <c r="AP18" s="3169"/>
      <c r="AQ18" s="3169"/>
      <c r="AR18" s="3169"/>
      <c r="AS18" s="3169"/>
    </row>
    <row r="19" spans="1:45">
      <c r="A19" s="290"/>
      <c r="B19" s="2399" t="s">
        <v>1</v>
      </c>
      <c r="C19" s="2400"/>
      <c r="D19" s="2394" t="s">
        <v>2101</v>
      </c>
      <c r="E19" s="2395"/>
      <c r="F19" s="2395"/>
      <c r="G19" s="2396"/>
      <c r="H19" s="2393"/>
      <c r="I19" s="2393"/>
      <c r="J19" s="2396"/>
      <c r="K19" s="2396"/>
      <c r="L19" s="2396"/>
      <c r="M19" s="2396"/>
      <c r="N19" s="2410" t="s">
        <v>2102</v>
      </c>
      <c r="O19" s="2411" t="s">
        <v>1</v>
      </c>
      <c r="P19" s="1666" t="str">
        <f>IF(NOT($V$9),"",IF(ROUND(SUM(P17,P18),0)&lt;0,0,ROUND(SUM(P17,P18),0)))</f>
        <v/>
      </c>
      <c r="Q19" s="2413"/>
      <c r="R19" s="926"/>
      <c r="S19" s="668"/>
      <c r="T19" s="52"/>
      <c r="AM19" s="4447"/>
      <c r="AN19" s="3169"/>
      <c r="AO19" s="3169"/>
      <c r="AP19" s="3169"/>
      <c r="AQ19" s="3169"/>
      <c r="AR19" s="3169"/>
      <c r="AS19" s="3169"/>
    </row>
    <row r="20" spans="1:45">
      <c r="A20" s="290"/>
      <c r="B20" s="2399" t="s">
        <v>455</v>
      </c>
      <c r="C20" s="2400"/>
      <c r="D20" s="2394" t="s">
        <v>4123</v>
      </c>
      <c r="E20" s="2395"/>
      <c r="F20" s="2395"/>
      <c r="G20" s="2396"/>
      <c r="H20" s="2393"/>
      <c r="I20" s="2393"/>
      <c r="J20" s="2396"/>
      <c r="K20" s="2396"/>
      <c r="L20" s="2410" t="s">
        <v>2104</v>
      </c>
      <c r="M20" s="2401" t="s">
        <v>455</v>
      </c>
      <c r="N20" s="1666" t="str">
        <f>IF(NOT($V$9),"",MIN(P18,P19))</f>
        <v/>
      </c>
      <c r="O20" s="2416"/>
      <c r="P20" s="2416"/>
      <c r="Q20" s="2413"/>
      <c r="R20" s="926"/>
      <c r="S20" s="668"/>
      <c r="T20" s="49"/>
      <c r="AM20" s="4447"/>
      <c r="AN20" s="3169"/>
      <c r="AO20" s="3169"/>
      <c r="AP20" s="3169"/>
      <c r="AQ20" s="3169"/>
      <c r="AR20" s="3169"/>
      <c r="AS20" s="3169"/>
    </row>
    <row r="21" spans="1:45">
      <c r="A21" s="290"/>
      <c r="B21" s="2392"/>
      <c r="C21" s="2400"/>
      <c r="D21" s="2418" t="str">
        <f>"If line 7 of your "&amp;TaxYear-1&amp;" Schedule D is a loss, go to line 5; otherwise, enter -0- on line 5 and go to line 9."</f>
        <v>If line 7 of your 2017 Schedule D is a loss, go to line 5; otherwise, enter -0- on line 5 and go to line 9.</v>
      </c>
      <c r="E21" s="2398"/>
      <c r="F21" s="2395"/>
      <c r="G21" s="2396"/>
      <c r="H21" s="2393"/>
      <c r="I21" s="2393"/>
      <c r="J21" s="2396"/>
      <c r="K21" s="2396"/>
      <c r="L21" s="2396"/>
      <c r="M21" s="2403"/>
      <c r="N21" s="2428" t="str">
        <f>IF(OR(NOT($V$9),P21),"","Go to Line 9.")</f>
        <v/>
      </c>
      <c r="O21" s="2416"/>
      <c r="P21" s="2429" t="b">
        <f>IF(P5&lt;0,TRUE,FALSE)</f>
        <v>0</v>
      </c>
      <c r="Q21" s="2413"/>
      <c r="R21" s="926"/>
      <c r="S21" s="455"/>
      <c r="T21" s="32"/>
      <c r="AM21" s="4447"/>
      <c r="AN21" s="3169"/>
      <c r="AO21" s="3169"/>
      <c r="AP21" s="3169"/>
      <c r="AQ21" s="3169"/>
      <c r="AR21" s="3169"/>
      <c r="AS21" s="3169"/>
    </row>
    <row r="22" spans="1:45">
      <c r="A22" s="290"/>
      <c r="B22" s="2399" t="s">
        <v>35</v>
      </c>
      <c r="C22" s="2400"/>
      <c r="D22" s="2394" t="str">
        <f>"Enter the loss from your "&amp;TaxYear-1&amp;" Schedule D, line 7, as a positive amount"</f>
        <v>Enter the loss from your 2017 Schedule D, line 7, as a positive amount</v>
      </c>
      <c r="E22" s="2395"/>
      <c r="F22" s="2395"/>
      <c r="G22" s="2396"/>
      <c r="H22" s="2393"/>
      <c r="I22" s="2393"/>
      <c r="J22" s="2396"/>
      <c r="K22" s="2396"/>
      <c r="L22" s="2396"/>
      <c r="M22" s="2396"/>
      <c r="N22" s="2410" t="s">
        <v>2103</v>
      </c>
      <c r="O22" s="2411" t="s">
        <v>35</v>
      </c>
      <c r="P22" s="1666" t="str">
        <f>IF(NOT(V9),"",IF(NOT(P21),0,IF(ROUND(P5,0)&lt;0,-ROUND(P5,0),0)))</f>
        <v/>
      </c>
      <c r="Q22" s="2413"/>
      <c r="R22" s="926"/>
      <c r="S22" s="668"/>
      <c r="T22" s="49"/>
      <c r="AM22" s="4447"/>
      <c r="AN22" s="3169"/>
      <c r="AO22" s="3169"/>
      <c r="AP22" s="3169"/>
      <c r="AQ22" s="3169"/>
      <c r="AR22" s="3169"/>
      <c r="AS22" s="3169"/>
    </row>
    <row r="23" spans="1:45" ht="13.5" customHeight="1">
      <c r="A23" s="290"/>
      <c r="B23" s="2399" t="s">
        <v>75</v>
      </c>
      <c r="C23" s="2393"/>
      <c r="D23" s="2394" t="str">
        <f>"Enter any gain from your "&amp;TaxYear-1&amp;" Schedule D, line 15. If a loss, enter -0-"</f>
        <v>Enter any gain from your 2017 Schedule D, line 15. If a loss, enter -0-</v>
      </c>
      <c r="E23" s="2395"/>
      <c r="F23" s="2395"/>
      <c r="G23" s="2396"/>
      <c r="H23" s="2393"/>
      <c r="I23" s="2393"/>
      <c r="J23" s="2396"/>
      <c r="K23" s="2396"/>
      <c r="L23" s="2410" t="s">
        <v>632</v>
      </c>
      <c r="M23" s="2401" t="s">
        <v>75</v>
      </c>
      <c r="N23" s="1666" t="str">
        <f>IF(OR(NOT(V9),NOT(P21)),"",MAX(0,ROUND(P6,0),0))</f>
        <v/>
      </c>
      <c r="O23" s="2416"/>
      <c r="P23" s="2396"/>
      <c r="Q23" s="2413"/>
      <c r="R23" s="926"/>
      <c r="S23" s="32"/>
      <c r="T23" s="32"/>
      <c r="AM23" s="4447"/>
      <c r="AN23" s="3169"/>
      <c r="AO23" s="3169"/>
      <c r="AP23" s="3169"/>
      <c r="AQ23" s="3169"/>
      <c r="AR23" s="3169"/>
      <c r="AS23" s="3169"/>
    </row>
    <row r="24" spans="1:45">
      <c r="A24" s="290"/>
      <c r="B24" s="2399" t="s">
        <v>76</v>
      </c>
      <c r="C24" s="2400"/>
      <c r="D24" s="2394" t="s">
        <v>2105</v>
      </c>
      <c r="E24" s="2395"/>
      <c r="F24" s="2395"/>
      <c r="G24" s="2396"/>
      <c r="H24" s="2393"/>
      <c r="I24" s="2393"/>
      <c r="J24" s="2396"/>
      <c r="K24" s="2396"/>
      <c r="L24" s="2396"/>
      <c r="M24" s="2396"/>
      <c r="N24" s="2410" t="s">
        <v>2106</v>
      </c>
      <c r="O24" s="2411" t="s">
        <v>76</v>
      </c>
      <c r="P24" s="1666" t="str">
        <f>IF(OR(NOT(V9),NOT(P21)),"",SUM(N20,N23))</f>
        <v/>
      </c>
      <c r="Q24" s="2413"/>
      <c r="R24" s="926"/>
      <c r="S24" s="668"/>
      <c r="T24" s="32"/>
      <c r="AM24" s="4447"/>
      <c r="AN24" s="3169"/>
      <c r="AO24" s="3169"/>
      <c r="AP24" s="3169"/>
      <c r="AQ24" s="3169"/>
      <c r="AR24" s="3169"/>
      <c r="AS24" s="3169"/>
    </row>
    <row r="25" spans="1:45" ht="14.25" customHeight="1">
      <c r="A25" s="290"/>
      <c r="B25" s="2399" t="s">
        <v>232</v>
      </c>
      <c r="C25" s="2393"/>
      <c r="D25" s="2420" t="str">
        <f>"Short-term capital loss carryover for "&amp;TaxYear&amp;". "</f>
        <v xml:space="preserve">Short-term capital loss carryover for 2018. </v>
      </c>
      <c r="E25" s="2395"/>
      <c r="F25" s="2395"/>
      <c r="G25" s="2396"/>
      <c r="H25" s="2394" t="s">
        <v>2112</v>
      </c>
      <c r="I25" s="2393"/>
      <c r="J25" s="2396"/>
      <c r="K25" s="2396"/>
      <c r="L25" s="2396"/>
      <c r="M25" s="2396"/>
      <c r="N25" s="2396"/>
      <c r="O25" s="2396"/>
      <c r="P25" s="2396"/>
      <c r="Q25" s="2413"/>
      <c r="R25" s="926"/>
      <c r="S25" s="455"/>
      <c r="T25" s="52"/>
      <c r="AM25" s="4447"/>
      <c r="AN25" s="3169"/>
      <c r="AO25" s="3169"/>
      <c r="AP25" s="3169"/>
      <c r="AQ25" s="3169"/>
      <c r="AR25" s="3169"/>
      <c r="AS25" s="3169"/>
    </row>
    <row r="26" spans="1:45" ht="13.5" customHeight="1">
      <c r="A26" s="290"/>
      <c r="B26" s="2397"/>
      <c r="C26" s="2393"/>
      <c r="D26" s="2394" t="s">
        <v>2109</v>
      </c>
      <c r="E26" s="2395"/>
      <c r="F26" s="2395"/>
      <c r="G26" s="2396"/>
      <c r="H26" s="2393"/>
      <c r="I26" s="2393"/>
      <c r="J26" s="2396"/>
      <c r="K26" s="2396"/>
      <c r="L26" s="2396"/>
      <c r="M26" s="2396"/>
      <c r="N26" s="2410" t="s">
        <v>2108</v>
      </c>
      <c r="O26" s="2411" t="s">
        <v>232</v>
      </c>
      <c r="P26" s="1666" t="str">
        <f>IF(OR(NOT(V9),NOT(P21)),"",MAX(0,SUM(P22,-P24)))</f>
        <v/>
      </c>
      <c r="Q26" s="2413"/>
      <c r="R26" s="926"/>
      <c r="S26" s="32"/>
      <c r="T26" s="49"/>
      <c r="AM26" s="4447"/>
      <c r="AN26" s="3169"/>
      <c r="AO26" s="3169"/>
      <c r="AP26" s="3169"/>
      <c r="AQ26" s="3169"/>
      <c r="AR26" s="3169"/>
      <c r="AS26" s="3169"/>
    </row>
    <row r="27" spans="1:45">
      <c r="A27" s="290"/>
      <c r="B27" s="2392"/>
      <c r="C27" s="2400"/>
      <c r="D27" s="2418" t="str">
        <f>"If line 15 of your "&amp;TaxYear-1&amp;" Schedule D is a loss, go to line 9; otherwise, skip lines 9 through 13."</f>
        <v>If line 15 of your 2017 Schedule D is a loss, go to line 9; otherwise, skip lines 9 through 13.</v>
      </c>
      <c r="E27" s="2398"/>
      <c r="F27" s="2395"/>
      <c r="G27" s="2396"/>
      <c r="H27" s="2393"/>
      <c r="I27" s="2393"/>
      <c r="J27" s="2396"/>
      <c r="K27" s="2396"/>
      <c r="L27" s="2396"/>
      <c r="M27" s="2403"/>
      <c r="N27" s="2428" t="str">
        <f>IF(OR(NOT($V$9),P27),"","Skip lines 9 thru 13.")</f>
        <v/>
      </c>
      <c r="O27" s="2416"/>
      <c r="P27" s="2429" t="b">
        <f>IF(P6&lt;0,TRUE,FALSE)</f>
        <v>0</v>
      </c>
      <c r="Q27" s="2413"/>
      <c r="R27" s="926"/>
      <c r="S27" s="455"/>
      <c r="T27" s="32"/>
      <c r="AM27" s="4447"/>
      <c r="AN27" s="3169"/>
      <c r="AO27" s="3169"/>
      <c r="AP27" s="3169"/>
      <c r="AQ27" s="3169"/>
      <c r="AR27" s="3169"/>
      <c r="AS27" s="3169"/>
    </row>
    <row r="28" spans="1:45">
      <c r="A28" s="290"/>
      <c r="B28" s="2399" t="s">
        <v>233</v>
      </c>
      <c r="C28" s="2400"/>
      <c r="D28" s="2394" t="str">
        <f>"Enter the loss from your "&amp;TaxYear-1&amp;" Schedule D, line 15, as a positive amount"</f>
        <v>Enter the loss from your 2017 Schedule D, line 15, as a positive amount</v>
      </c>
      <c r="E28" s="2395"/>
      <c r="F28" s="2395"/>
      <c r="G28" s="2396"/>
      <c r="H28" s="2393"/>
      <c r="I28" s="2393"/>
      <c r="J28" s="2396"/>
      <c r="K28" s="2396"/>
      <c r="L28" s="2396"/>
      <c r="M28" s="2396"/>
      <c r="N28" s="2410" t="s">
        <v>2530</v>
      </c>
      <c r="O28" s="2411" t="s">
        <v>233</v>
      </c>
      <c r="P28" s="1666" t="str">
        <f>IF(OR(NOT(V9),NOT(P27)),"",IF(ROUND(P6,0)&lt;0,-ROUND(P6,0),0))</f>
        <v/>
      </c>
      <c r="Q28" s="2413"/>
      <c r="R28" s="926"/>
      <c r="S28" s="668"/>
      <c r="T28" s="32"/>
      <c r="AM28" s="4447"/>
      <c r="AN28" s="3169"/>
      <c r="AO28" s="3169"/>
      <c r="AP28" s="3169"/>
      <c r="AQ28" s="3169"/>
      <c r="AR28" s="3169"/>
      <c r="AS28" s="3169"/>
    </row>
    <row r="29" spans="1:45" ht="13.5" customHeight="1">
      <c r="A29" s="290"/>
      <c r="B29" s="2399" t="s">
        <v>337</v>
      </c>
      <c r="C29" s="2393"/>
      <c r="D29" s="2394" t="str">
        <f>"Enter any gain from your "&amp;TaxYear-1&amp;" Schedule D, line 7. If a loss, enter -0-"</f>
        <v>Enter any gain from your 2017 Schedule D, line 7. If a loss, enter -0-</v>
      </c>
      <c r="E29" s="2395"/>
      <c r="F29" s="2395"/>
      <c r="G29" s="2396"/>
      <c r="H29" s="2393"/>
      <c r="I29" s="2393"/>
      <c r="J29" s="2396"/>
      <c r="K29" s="2396"/>
      <c r="L29" s="2410" t="s">
        <v>632</v>
      </c>
      <c r="M29" s="2401" t="s">
        <v>337</v>
      </c>
      <c r="N29" s="1666" t="str">
        <f>IF(OR(NOT(V9),NOT(P27)),"",MAX(0,ROUND(P5,0)))</f>
        <v/>
      </c>
      <c r="O29" s="2416"/>
      <c r="P29" s="2396"/>
      <c r="Q29" s="2413"/>
      <c r="R29" s="926"/>
      <c r="S29" s="32"/>
      <c r="T29" s="49"/>
      <c r="AM29" s="4447"/>
      <c r="AN29" s="3169"/>
      <c r="AO29" s="3169"/>
      <c r="AP29" s="3169"/>
      <c r="AQ29" s="3169"/>
      <c r="AR29" s="3169"/>
      <c r="AS29" s="3169"/>
    </row>
    <row r="30" spans="1:45" ht="13.5" customHeight="1">
      <c r="A30" s="290"/>
      <c r="B30" s="2399" t="s">
        <v>338</v>
      </c>
      <c r="C30" s="2393"/>
      <c r="D30" s="2394" t="s">
        <v>2110</v>
      </c>
      <c r="E30" s="2395"/>
      <c r="F30" s="2395"/>
      <c r="G30" s="2396"/>
      <c r="H30" s="2393"/>
      <c r="I30" s="2393"/>
      <c r="J30" s="2396"/>
      <c r="K30" s="2396"/>
      <c r="L30" s="2410" t="s">
        <v>763</v>
      </c>
      <c r="M30" s="2401" t="s">
        <v>338</v>
      </c>
      <c r="N30" s="1666" t="str">
        <f>IF(OR(NOT(V9),NOT(P27)),"",MAX(0,SUM(N20,-P22)))</f>
        <v/>
      </c>
      <c r="O30" s="2416"/>
      <c r="P30" s="2396"/>
      <c r="Q30" s="2413"/>
      <c r="R30" s="926"/>
      <c r="S30" s="32"/>
      <c r="T30" s="32"/>
      <c r="AM30" s="4447"/>
      <c r="AN30" s="3169"/>
      <c r="AO30" s="3169"/>
      <c r="AP30" s="3169"/>
      <c r="AQ30" s="3169"/>
      <c r="AR30" s="3169"/>
      <c r="AS30" s="3169"/>
    </row>
    <row r="31" spans="1:45">
      <c r="A31" s="290"/>
      <c r="B31" s="2399" t="s">
        <v>339</v>
      </c>
      <c r="C31" s="2400"/>
      <c r="D31" s="2394" t="s">
        <v>2111</v>
      </c>
      <c r="E31" s="2395"/>
      <c r="F31" s="2395"/>
      <c r="G31" s="2396"/>
      <c r="H31" s="2393"/>
      <c r="I31" s="2393"/>
      <c r="J31" s="2396"/>
      <c r="K31" s="2396"/>
      <c r="L31" s="2396"/>
      <c r="M31" s="2396"/>
      <c r="N31" s="2410" t="s">
        <v>2098</v>
      </c>
      <c r="O31" s="2411" t="s">
        <v>339</v>
      </c>
      <c r="P31" s="1666" t="str">
        <f>IF(OR(NOT(V9),NOT(P27)),"",SUM(N29,N30))</f>
        <v/>
      </c>
      <c r="Q31" s="2413"/>
      <c r="R31" s="926"/>
      <c r="S31" s="668"/>
      <c r="T31" s="32"/>
      <c r="AM31" s="4447"/>
      <c r="AN31" s="3169"/>
      <c r="AO31" s="3169"/>
      <c r="AP31" s="3169"/>
      <c r="AQ31" s="3169"/>
      <c r="AR31" s="3169"/>
      <c r="AS31" s="3169"/>
    </row>
    <row r="32" spans="1:45" ht="14.25" customHeight="1">
      <c r="A32" s="290"/>
      <c r="B32" s="2399" t="s">
        <v>498</v>
      </c>
      <c r="C32" s="2393"/>
      <c r="D32" s="2420" t="str">
        <f>"Long-term capital loss carryover for "&amp;TaxYear&amp;". "</f>
        <v xml:space="preserve">Long-term capital loss carryover for 2018. </v>
      </c>
      <c r="E32" s="2395"/>
      <c r="F32" s="2395"/>
      <c r="G32" s="2396"/>
      <c r="H32" s="2394" t="s">
        <v>2116</v>
      </c>
      <c r="I32" s="2393"/>
      <c r="J32" s="2396"/>
      <c r="K32" s="2396"/>
      <c r="L32" s="2396"/>
      <c r="M32" s="2396"/>
      <c r="N32" s="2396"/>
      <c r="O32" s="2396"/>
      <c r="P32" s="2396"/>
      <c r="Q32" s="2413"/>
      <c r="R32" s="926"/>
      <c r="S32" s="455"/>
      <c r="T32" s="52"/>
      <c r="AM32" s="4447"/>
      <c r="AN32" s="3169"/>
      <c r="AO32" s="3169"/>
      <c r="AP32" s="3169"/>
      <c r="AQ32" s="3169"/>
      <c r="AR32" s="3169"/>
      <c r="AS32" s="3169"/>
    </row>
    <row r="33" spans="1:45" ht="13.5" customHeight="1">
      <c r="A33" s="290"/>
      <c r="B33" s="2397"/>
      <c r="C33" s="2393"/>
      <c r="D33" s="2398" t="s">
        <v>2113</v>
      </c>
      <c r="E33" s="2395"/>
      <c r="F33" s="2395"/>
      <c r="G33" s="2396"/>
      <c r="H33" s="2393"/>
      <c r="I33" s="2393"/>
      <c r="J33" s="2396"/>
      <c r="K33" s="2396"/>
      <c r="L33" s="2396"/>
      <c r="M33" s="2396"/>
      <c r="N33" s="2410" t="s">
        <v>2108</v>
      </c>
      <c r="O33" s="2411" t="s">
        <v>498</v>
      </c>
      <c r="P33" s="1666" t="str">
        <f>IF(OR(NOT(V9),NOT(P27)),"",MAX(0,SUM(P28,-P31)))</f>
        <v/>
      </c>
      <c r="Q33" s="2413"/>
      <c r="R33" s="926"/>
      <c r="S33" s="32"/>
      <c r="T33" s="49"/>
      <c r="AM33" s="4447"/>
      <c r="AN33" s="3169"/>
      <c r="AO33" s="3169"/>
      <c r="AP33" s="3169"/>
      <c r="AQ33" s="3169"/>
      <c r="AR33" s="3169"/>
      <c r="AS33" s="3169"/>
    </row>
    <row r="34" spans="1:45">
      <c r="A34" s="290"/>
      <c r="B34" s="2397"/>
      <c r="C34" s="2393"/>
      <c r="D34" s="2393"/>
      <c r="E34" s="2398"/>
      <c r="F34" s="2395"/>
      <c r="G34" s="2396"/>
      <c r="H34" s="2393"/>
      <c r="I34" s="2393"/>
      <c r="J34" s="2396"/>
      <c r="K34" s="2396"/>
      <c r="L34" s="2396"/>
      <c r="M34" s="2403"/>
      <c r="N34" s="2417"/>
      <c r="O34" s="2416"/>
      <c r="P34" s="2396"/>
      <c r="Q34" s="2413"/>
      <c r="R34" s="926"/>
      <c r="S34" s="668"/>
      <c r="T34" s="49"/>
      <c r="AM34" s="4447"/>
      <c r="AN34" s="3169"/>
      <c r="AO34" s="3169"/>
      <c r="AP34" s="3169"/>
      <c r="AQ34" s="3169"/>
      <c r="AR34" s="3169"/>
      <c r="AS34" s="3169"/>
    </row>
    <row r="35" spans="1:45">
      <c r="A35" s="290"/>
      <c r="B35" s="4940"/>
      <c r="C35" s="4941"/>
      <c r="D35" s="4941"/>
      <c r="E35" s="4941"/>
      <c r="F35" s="4941"/>
      <c r="G35" s="4941"/>
      <c r="H35" s="4941"/>
      <c r="I35" s="4941"/>
      <c r="J35" s="4941"/>
      <c r="K35" s="4941"/>
      <c r="L35" s="4941"/>
      <c r="M35" s="4941"/>
      <c r="N35" s="4941"/>
      <c r="O35" s="4941"/>
      <c r="P35" s="4941"/>
      <c r="Q35" s="4942"/>
      <c r="R35" s="926"/>
      <c r="S35" s="32"/>
      <c r="T35" s="32"/>
      <c r="AM35" s="4447"/>
      <c r="AN35" s="3169"/>
      <c r="AO35" s="3169"/>
      <c r="AP35" s="3169"/>
      <c r="AQ35" s="3169"/>
      <c r="AR35" s="3169"/>
      <c r="AS35" s="3169"/>
    </row>
    <row r="36" spans="1:45" ht="30" customHeight="1">
      <c r="A36" s="290"/>
      <c r="B36" s="465"/>
      <c r="C36" s="465"/>
      <c r="D36" s="465" t="s">
        <v>483</v>
      </c>
      <c r="E36" s="465"/>
      <c r="F36" s="465"/>
      <c r="G36" s="341"/>
      <c r="H36" s="560"/>
      <c r="I36" s="560"/>
      <c r="J36" s="341"/>
      <c r="K36" s="341"/>
      <c r="L36" s="341"/>
      <c r="M36" s="4938"/>
      <c r="N36" s="4938"/>
      <c r="O36" s="4939"/>
      <c r="P36" s="563" t="s">
        <v>72</v>
      </c>
      <c r="Q36" s="4939"/>
      <c r="R36" s="927"/>
      <c r="S36" s="264"/>
      <c r="T36" s="32"/>
      <c r="AM36" s="4447"/>
      <c r="AN36" s="3169"/>
      <c r="AO36" s="3169"/>
      <c r="AP36" s="3169"/>
      <c r="AQ36" s="3169"/>
      <c r="AR36" s="3169"/>
      <c r="AS36" s="3169"/>
    </row>
    <row r="37" spans="1:45" ht="13.5" customHeight="1">
      <c r="A37" s="290"/>
      <c r="B37" s="2397"/>
      <c r="C37" s="2393"/>
      <c r="D37" s="2395"/>
      <c r="E37" s="2395"/>
      <c r="F37" s="2395"/>
      <c r="G37" s="2396"/>
      <c r="H37" s="2393"/>
      <c r="I37" s="2393"/>
      <c r="J37" s="2396"/>
      <c r="K37" s="2396"/>
      <c r="L37" s="2396"/>
      <c r="M37" s="2396"/>
      <c r="N37" s="2396"/>
      <c r="O37" s="2396"/>
      <c r="P37" s="2396"/>
      <c r="Q37" s="2419"/>
      <c r="R37" s="926"/>
      <c r="S37" s="32"/>
      <c r="T37" s="52"/>
      <c r="AM37" s="4447"/>
      <c r="AN37" s="3169"/>
      <c r="AO37" s="3169"/>
      <c r="AP37" s="3169"/>
      <c r="AQ37" s="3169"/>
      <c r="AR37" s="3169"/>
      <c r="AS37" s="3169"/>
    </row>
    <row r="38" spans="1:45" ht="14.25" customHeight="1">
      <c r="A38" s="290"/>
      <c r="B38" s="2392" t="s">
        <v>336</v>
      </c>
      <c r="C38" s="2393"/>
      <c r="D38" s="2394" t="s">
        <v>1503</v>
      </c>
      <c r="E38" s="2395"/>
      <c r="F38" s="2395"/>
      <c r="G38" s="2396"/>
      <c r="H38" s="2393"/>
      <c r="I38" s="2393"/>
      <c r="J38" s="2396"/>
      <c r="K38" s="2396"/>
      <c r="L38" s="2396"/>
      <c r="M38" s="2400" t="s">
        <v>336</v>
      </c>
      <c r="N38" s="1776"/>
      <c r="O38" s="2416"/>
      <c r="P38" s="2396"/>
      <c r="Q38" s="2413"/>
      <c r="R38" s="926"/>
      <c r="S38" s="455"/>
      <c r="T38" s="52"/>
      <c r="AM38" s="4447"/>
      <c r="AN38" s="3169"/>
      <c r="AO38" s="3169"/>
      <c r="AP38" s="3169"/>
      <c r="AQ38" s="3169"/>
      <c r="AR38" s="3169"/>
      <c r="AS38" s="3169"/>
    </row>
    <row r="39" spans="1:45">
      <c r="A39" s="290"/>
      <c r="B39" s="2392" t="s">
        <v>0</v>
      </c>
      <c r="C39" s="2400"/>
      <c r="D39" s="2398" t="s">
        <v>1323</v>
      </c>
      <c r="E39" s="2395"/>
      <c r="F39" s="2395"/>
      <c r="G39" s="2396"/>
      <c r="H39" s="2393"/>
      <c r="I39" s="2393"/>
      <c r="J39" s="2396"/>
      <c r="K39" s="2396"/>
      <c r="L39" s="2396"/>
      <c r="M39" s="2403"/>
      <c r="N39" s="2415"/>
      <c r="O39" s="2416"/>
      <c r="P39" s="2396"/>
      <c r="Q39" s="2413"/>
      <c r="R39" s="926"/>
      <c r="S39" s="455"/>
      <c r="T39" s="52"/>
      <c r="AM39" s="4447"/>
      <c r="AN39" s="3169"/>
      <c r="AO39" s="3169"/>
      <c r="AP39" s="3169"/>
      <c r="AQ39" s="3169"/>
      <c r="AR39" s="3169"/>
      <c r="AS39" s="3169"/>
    </row>
    <row r="40" spans="1:45">
      <c r="A40" s="290"/>
      <c r="B40" s="2392"/>
      <c r="C40" s="2400"/>
      <c r="D40" s="2402" t="s">
        <v>2107</v>
      </c>
      <c r="E40" s="2398" t="s">
        <v>1324</v>
      </c>
      <c r="F40" s="2395"/>
      <c r="G40" s="2396"/>
      <c r="H40" s="2393"/>
      <c r="I40" s="2393"/>
      <c r="J40" s="2396"/>
      <c r="K40" s="2396"/>
      <c r="L40" s="2396"/>
      <c r="M40" s="2403"/>
      <c r="N40" s="2415"/>
      <c r="O40" s="2416"/>
      <c r="P40" s="2396"/>
      <c r="Q40" s="2413"/>
      <c r="R40" s="926"/>
      <c r="S40" s="455"/>
      <c r="T40" s="52"/>
      <c r="AM40" s="4447"/>
      <c r="AN40" s="3169"/>
      <c r="AO40" s="3169"/>
      <c r="AP40" s="3169"/>
      <c r="AQ40" s="3169"/>
      <c r="AR40" s="3169"/>
      <c r="AS40" s="3169"/>
    </row>
    <row r="41" spans="1:45">
      <c r="A41" s="290"/>
      <c r="B41" s="2392"/>
      <c r="C41" s="2400"/>
      <c r="D41" s="2398"/>
      <c r="E41" s="2398" t="s">
        <v>1325</v>
      </c>
      <c r="F41" s="2395"/>
      <c r="G41" s="2396"/>
      <c r="H41" s="2393"/>
      <c r="I41" s="2393"/>
      <c r="J41" s="2396"/>
      <c r="K41" s="2396"/>
      <c r="L41" s="2396"/>
      <c r="M41" s="2403"/>
      <c r="N41" s="2415"/>
      <c r="O41" s="2416"/>
      <c r="P41" s="2396"/>
      <c r="Q41" s="2413"/>
      <c r="R41" s="926"/>
      <c r="S41" s="455"/>
      <c r="T41" s="52"/>
      <c r="AM41" s="4447"/>
      <c r="AN41" s="3169"/>
      <c r="AO41" s="3169"/>
      <c r="AP41" s="3169"/>
      <c r="AQ41" s="3169"/>
      <c r="AR41" s="3169"/>
      <c r="AS41" s="3169"/>
    </row>
    <row r="42" spans="1:45">
      <c r="A42" s="290"/>
      <c r="B42" s="2392"/>
      <c r="C42" s="2400"/>
      <c r="D42" s="2402" t="s">
        <v>2107</v>
      </c>
      <c r="E42" s="2398" t="s">
        <v>1326</v>
      </c>
      <c r="F42" s="2395"/>
      <c r="G42" s="2396"/>
      <c r="H42" s="2393"/>
      <c r="I42" s="2393"/>
      <c r="J42" s="2396"/>
      <c r="K42" s="2396"/>
      <c r="L42" s="2404" t="s">
        <v>373</v>
      </c>
      <c r="M42" s="2403" t="str">
        <f>B39</f>
        <v>2.</v>
      </c>
      <c r="N42" s="1776"/>
      <c r="O42" s="2416"/>
      <c r="P42" s="2396"/>
      <c r="Q42" s="2413"/>
      <c r="R42" s="926"/>
      <c r="S42" s="455"/>
      <c r="T42" s="52"/>
      <c r="AM42" s="4447"/>
      <c r="AN42" s="3169"/>
      <c r="AO42" s="3169"/>
      <c r="AP42" s="3169"/>
      <c r="AQ42" s="3169"/>
      <c r="AR42" s="3169"/>
      <c r="AS42" s="3169"/>
    </row>
    <row r="43" spans="1:45">
      <c r="A43" s="290"/>
      <c r="B43" s="2392"/>
      <c r="C43" s="2400"/>
      <c r="D43" s="2398"/>
      <c r="E43" s="2398" t="s">
        <v>1327</v>
      </c>
      <c r="F43" s="2395"/>
      <c r="G43" s="2396"/>
      <c r="H43" s="2393"/>
      <c r="I43" s="2393"/>
      <c r="J43" s="2396"/>
      <c r="K43" s="2396"/>
      <c r="L43" s="2396"/>
      <c r="M43" s="2403"/>
      <c r="N43" s="2415"/>
      <c r="O43" s="2416"/>
      <c r="P43" s="2396"/>
      <c r="Q43" s="2413"/>
      <c r="R43" s="926"/>
      <c r="S43" s="455"/>
      <c r="T43" s="52"/>
      <c r="AM43" s="4447"/>
      <c r="AN43" s="3169"/>
      <c r="AO43" s="3169"/>
      <c r="AP43" s="3169"/>
      <c r="AQ43" s="3169"/>
      <c r="AR43" s="3169"/>
      <c r="AS43" s="3169"/>
    </row>
    <row r="44" spans="1:45">
      <c r="A44" s="290"/>
      <c r="B44" s="2392"/>
      <c r="C44" s="2400"/>
      <c r="D44" s="2402" t="s">
        <v>2107</v>
      </c>
      <c r="E44" s="2398" t="s">
        <v>1328</v>
      </c>
      <c r="F44" s="2395"/>
      <c r="G44" s="2396"/>
      <c r="H44" s="2393"/>
      <c r="I44" s="2393"/>
      <c r="J44" s="2396"/>
      <c r="K44" s="2396"/>
      <c r="L44" s="2396"/>
      <c r="M44" s="2403"/>
      <c r="N44" s="2415"/>
      <c r="O44" s="2416"/>
      <c r="P44" s="2396"/>
      <c r="Q44" s="2413"/>
      <c r="R44" s="926"/>
      <c r="S44" s="668"/>
      <c r="T44" s="52"/>
      <c r="AM44" s="4447"/>
      <c r="AN44" s="3169"/>
      <c r="AO44" s="3169"/>
      <c r="AP44" s="3169"/>
      <c r="AQ44" s="3169"/>
      <c r="AR44" s="3169"/>
      <c r="AS44" s="3169"/>
    </row>
    <row r="45" spans="1:45">
      <c r="A45" s="290"/>
      <c r="B45" s="2397"/>
      <c r="C45" s="2393"/>
      <c r="D45" s="2393"/>
      <c r="E45" s="2398" t="s">
        <v>1329</v>
      </c>
      <c r="F45" s="2395"/>
      <c r="G45" s="2396"/>
      <c r="H45" s="2393"/>
      <c r="I45" s="2393"/>
      <c r="J45" s="2396"/>
      <c r="K45" s="2396"/>
      <c r="L45" s="2396"/>
      <c r="M45" s="2403"/>
      <c r="N45" s="2417"/>
      <c r="O45" s="2416"/>
      <c r="P45" s="2396"/>
      <c r="Q45" s="2413"/>
      <c r="R45" s="926"/>
      <c r="S45" s="668"/>
      <c r="T45" s="422"/>
      <c r="AM45" s="4447"/>
      <c r="AN45" s="3169"/>
      <c r="AO45" s="3169"/>
      <c r="AP45" s="3169"/>
      <c r="AQ45" s="3169"/>
      <c r="AR45" s="3169"/>
      <c r="AS45" s="3169"/>
    </row>
    <row r="46" spans="1:45">
      <c r="A46" s="290"/>
      <c r="B46" s="2397"/>
      <c r="C46" s="2393"/>
      <c r="D46" s="2393"/>
      <c r="E46" s="2398" t="s">
        <v>2096</v>
      </c>
      <c r="F46" s="2395"/>
      <c r="G46" s="2396"/>
      <c r="H46" s="2393"/>
      <c r="I46" s="2393"/>
      <c r="J46" s="2396"/>
      <c r="K46" s="2396"/>
      <c r="L46" s="2396"/>
      <c r="M46" s="2403"/>
      <c r="N46" s="2417"/>
      <c r="O46" s="2416"/>
      <c r="P46" s="2396"/>
      <c r="Q46" s="2413"/>
      <c r="R46" s="926"/>
      <c r="S46" s="668"/>
      <c r="T46" s="32"/>
      <c r="AM46" s="4447"/>
      <c r="AN46" s="3169"/>
      <c r="AO46" s="3169"/>
      <c r="AP46" s="3169"/>
      <c r="AQ46" s="3169"/>
      <c r="AR46" s="3169"/>
      <c r="AS46" s="3169"/>
    </row>
    <row r="47" spans="1:45">
      <c r="A47" s="290"/>
      <c r="B47" s="2392" t="s">
        <v>1</v>
      </c>
      <c r="C47" s="2400"/>
      <c r="D47" s="2398" t="s">
        <v>1331</v>
      </c>
      <c r="E47" s="2395"/>
      <c r="F47" s="2395"/>
      <c r="G47" s="2396"/>
      <c r="H47" s="2393"/>
      <c r="I47" s="2393"/>
      <c r="J47" s="2396"/>
      <c r="K47" s="2396"/>
      <c r="L47" s="2396"/>
      <c r="M47" s="2403"/>
      <c r="N47" s="2415"/>
      <c r="O47" s="2416"/>
      <c r="P47" s="1776">
        <f>'1099-DIV'!H95</f>
        <v>0</v>
      </c>
      <c r="Q47" s="2413"/>
      <c r="R47" s="926"/>
      <c r="S47" s="455" t="str">
        <f>E50</f>
        <v>Form 1099-DIV, box 2d;</v>
      </c>
      <c r="T47" s="32"/>
      <c r="AM47" s="4447"/>
      <c r="AN47" s="3169"/>
      <c r="AO47" s="3169"/>
      <c r="AP47" s="3169"/>
      <c r="AQ47" s="3169"/>
      <c r="AR47" s="3169"/>
      <c r="AS47" s="3169"/>
    </row>
    <row r="48" spans="1:45" ht="13.5" customHeight="1">
      <c r="A48" s="290"/>
      <c r="B48" s="2397"/>
      <c r="C48" s="2393"/>
      <c r="D48" s="2398" t="s">
        <v>1330</v>
      </c>
      <c r="E48" s="2395"/>
      <c r="F48" s="2395"/>
      <c r="G48" s="2396"/>
      <c r="H48" s="2393"/>
      <c r="I48" s="2393"/>
      <c r="J48" s="2396"/>
      <c r="K48" s="2396"/>
      <c r="L48" s="2396"/>
      <c r="M48" s="2403" t="str">
        <f>B47</f>
        <v>3.</v>
      </c>
      <c r="N48" s="1776"/>
      <c r="O48" s="2416"/>
      <c r="P48" s="2416"/>
      <c r="Q48" s="2413"/>
      <c r="R48" s="926"/>
      <c r="S48" s="32"/>
      <c r="T48" s="32"/>
      <c r="AM48" s="4447"/>
      <c r="AN48" s="3169"/>
      <c r="AO48" s="3169"/>
      <c r="AP48" s="3169"/>
      <c r="AQ48" s="3169"/>
      <c r="AR48" s="3169"/>
      <c r="AS48" s="3169"/>
    </row>
    <row r="49" spans="1:45">
      <c r="A49" s="290"/>
      <c r="B49" s="2392" t="s">
        <v>455</v>
      </c>
      <c r="C49" s="2400"/>
      <c r="D49" s="2395" t="s">
        <v>29</v>
      </c>
      <c r="E49" s="2395"/>
      <c r="F49" s="2395"/>
      <c r="G49" s="2396"/>
      <c r="H49" s="2393"/>
      <c r="I49" s="2393"/>
      <c r="J49" s="2396"/>
      <c r="K49" s="2396"/>
      <c r="L49" s="2396"/>
      <c r="M49" s="2403"/>
      <c r="N49" s="2415"/>
      <c r="O49" s="2416"/>
      <c r="P49" s="1776"/>
      <c r="Q49" s="2413"/>
      <c r="R49" s="926"/>
      <c r="S49" s="455" t="str">
        <f>E51</f>
        <v>Form 2439, box 1d; and</v>
      </c>
      <c r="T49" s="32"/>
      <c r="AM49" s="4447"/>
      <c r="AN49" s="3169"/>
      <c r="AO49" s="3169"/>
      <c r="AP49" s="3169"/>
      <c r="AQ49" s="3169"/>
      <c r="AR49" s="3169"/>
      <c r="AS49" s="3169"/>
    </row>
    <row r="50" spans="1:45" ht="13.5" customHeight="1">
      <c r="A50" s="290"/>
      <c r="B50" s="2405"/>
      <c r="C50" s="2406"/>
      <c r="D50" s="2402" t="s">
        <v>2107</v>
      </c>
      <c r="E50" s="2398" t="s">
        <v>140</v>
      </c>
      <c r="F50" s="2402"/>
      <c r="G50" s="2395"/>
      <c r="H50" s="2393"/>
      <c r="I50" s="2393"/>
      <c r="J50" s="2396"/>
      <c r="K50" s="2396"/>
      <c r="L50" s="2396"/>
      <c r="M50" s="2403"/>
      <c r="N50" s="2415"/>
      <c r="O50" s="2416"/>
      <c r="P50" s="2416"/>
      <c r="Q50" s="2413"/>
      <c r="R50" s="926"/>
      <c r="S50" s="668"/>
      <c r="T50" s="32"/>
      <c r="AM50" s="4447"/>
      <c r="AN50" s="3169"/>
      <c r="AO50" s="3169"/>
      <c r="AP50" s="3169"/>
      <c r="AQ50" s="3169"/>
      <c r="AR50" s="3169"/>
      <c r="AS50" s="3169"/>
    </row>
    <row r="51" spans="1:45" ht="13.5" customHeight="1">
      <c r="A51" s="290"/>
      <c r="B51" s="2405"/>
      <c r="C51" s="2406"/>
      <c r="D51" s="2402" t="s">
        <v>2107</v>
      </c>
      <c r="E51" s="2398" t="s">
        <v>141</v>
      </c>
      <c r="F51" s="2402"/>
      <c r="G51" s="2395"/>
      <c r="H51" s="2393"/>
      <c r="I51" s="2393"/>
      <c r="J51" s="2396"/>
      <c r="K51" s="2396"/>
      <c r="L51" s="2404" t="s">
        <v>513</v>
      </c>
      <c r="M51" s="2403" t="str">
        <f>B49</f>
        <v>4.</v>
      </c>
      <c r="N51" s="1666">
        <f>SUM(P47,P49,P52)</f>
        <v>0</v>
      </c>
      <c r="O51" s="2416"/>
      <c r="P51" s="2416"/>
      <c r="Q51" s="2413"/>
      <c r="R51" s="926"/>
      <c r="S51" s="455" t="str">
        <f>LEFT(E52,19)</f>
        <v>Schedule K-1 from a</v>
      </c>
      <c r="T51" s="32"/>
      <c r="AM51" s="4447"/>
      <c r="AN51" s="3169"/>
      <c r="AO51" s="3169"/>
      <c r="AP51" s="3169"/>
      <c r="AQ51" s="3169"/>
      <c r="AR51" s="3169"/>
      <c r="AS51" s="3169"/>
    </row>
    <row r="52" spans="1:45" ht="13.5" customHeight="1">
      <c r="A52" s="290"/>
      <c r="B52" s="2405"/>
      <c r="C52" s="2406"/>
      <c r="D52" s="2402" t="s">
        <v>2107</v>
      </c>
      <c r="E52" s="2398" t="s">
        <v>365</v>
      </c>
      <c r="F52" s="2402"/>
      <c r="G52" s="2395"/>
      <c r="H52" s="2393"/>
      <c r="I52" s="2393"/>
      <c r="J52" s="2396"/>
      <c r="K52" s="2396"/>
      <c r="L52" s="2396"/>
      <c r="M52" s="2403"/>
      <c r="N52" s="2415"/>
      <c r="O52" s="2416"/>
      <c r="P52" s="1776"/>
      <c r="Q52" s="2413"/>
      <c r="R52" s="926"/>
      <c r="S52" s="455" t="str">
        <f>MID(E52,21,27)</f>
        <v>partnership, S corporation,</v>
      </c>
      <c r="T52" s="49"/>
      <c r="AM52" s="4447"/>
      <c r="AN52" s="3169"/>
      <c r="AO52" s="3169"/>
      <c r="AP52" s="3169"/>
      <c r="AQ52" s="3169"/>
      <c r="AR52" s="3169"/>
      <c r="AS52" s="3169"/>
    </row>
    <row r="53" spans="1:45" ht="13.5" customHeight="1">
      <c r="A53" s="290"/>
      <c r="B53" s="2392" t="s">
        <v>35</v>
      </c>
      <c r="C53" s="2400"/>
      <c r="D53" s="2395" t="s">
        <v>105</v>
      </c>
      <c r="E53" s="2395"/>
      <c r="F53" s="2395"/>
      <c r="G53" s="2396"/>
      <c r="H53" s="2393"/>
      <c r="I53" s="2393"/>
      <c r="J53" s="2396"/>
      <c r="K53" s="2396"/>
      <c r="L53" s="2396"/>
      <c r="M53" s="2403"/>
      <c r="N53" s="2415"/>
      <c r="O53" s="2416"/>
      <c r="P53" s="2416"/>
      <c r="Q53" s="2413"/>
      <c r="R53" s="926"/>
      <c r="S53" s="455" t="str">
        <f>RIGHT(E52,16)</f>
        <v>state, or trust.</v>
      </c>
      <c r="T53" s="49"/>
      <c r="AM53" s="4447"/>
      <c r="AN53" s="3169"/>
      <c r="AO53" s="3169"/>
      <c r="AP53" s="3169"/>
      <c r="AQ53" s="3169"/>
      <c r="AR53" s="3169"/>
      <c r="AS53" s="3169"/>
    </row>
    <row r="54" spans="1:45" ht="12.75" customHeight="1">
      <c r="A54" s="290"/>
      <c r="B54" s="2397"/>
      <c r="C54" s="2393"/>
      <c r="D54" s="2395" t="s">
        <v>484</v>
      </c>
      <c r="E54" s="2395"/>
      <c r="F54" s="2395"/>
      <c r="G54" s="2396"/>
      <c r="H54" s="2393"/>
      <c r="I54" s="2393"/>
      <c r="J54" s="2396"/>
      <c r="K54" s="2396"/>
      <c r="L54" s="2396"/>
      <c r="M54" s="2403" t="str">
        <f>B53</f>
        <v>5.</v>
      </c>
      <c r="N54" s="1666">
        <f>SUM('Sch. D'!N48,P54)</f>
        <v>0</v>
      </c>
      <c r="O54" s="2416"/>
      <c r="P54" s="1776"/>
      <c r="Q54" s="2413"/>
      <c r="R54" s="926"/>
      <c r="S54" s="455" t="s">
        <v>47</v>
      </c>
      <c r="T54" s="49"/>
      <c r="AM54" s="4447"/>
      <c r="AN54" s="3169"/>
      <c r="AO54" s="3169"/>
      <c r="AP54" s="3169"/>
      <c r="AQ54" s="3169"/>
      <c r="AR54" s="3169"/>
      <c r="AS54" s="3169"/>
    </row>
    <row r="55" spans="1:45">
      <c r="A55" s="290"/>
      <c r="B55" s="2392" t="s">
        <v>75</v>
      </c>
      <c r="C55" s="2400"/>
      <c r="D55" s="2395" t="s">
        <v>295</v>
      </c>
      <c r="E55" s="2395"/>
      <c r="F55" s="2395"/>
      <c r="G55" s="2396"/>
      <c r="H55" s="2393"/>
      <c r="I55" s="2393"/>
      <c r="J55" s="2396"/>
      <c r="K55" s="2396"/>
      <c r="L55" s="2396"/>
      <c r="M55" s="2403" t="str">
        <f>B55</f>
        <v>6.</v>
      </c>
      <c r="N55" s="1666">
        <f>IF('Sch. D'!N28&lt;0,'Sch. D'!N28,0)</f>
        <v>0</v>
      </c>
      <c r="O55" s="2416"/>
      <c r="P55" s="2416"/>
      <c r="Q55" s="2413"/>
      <c r="R55" s="926"/>
      <c r="S55" s="668"/>
      <c r="T55" s="49"/>
      <c r="AM55" s="4447"/>
      <c r="AN55" s="3169"/>
      <c r="AO55" s="3169"/>
      <c r="AP55" s="3169"/>
      <c r="AQ55" s="3169"/>
      <c r="AR55" s="3169"/>
      <c r="AS55" s="3169"/>
    </row>
    <row r="56" spans="1:45">
      <c r="A56" s="290"/>
      <c r="B56" s="2392" t="s">
        <v>76</v>
      </c>
      <c r="C56" s="2400"/>
      <c r="D56" s="2395" t="s">
        <v>296</v>
      </c>
      <c r="E56" s="2395"/>
      <c r="F56" s="2395"/>
      <c r="G56" s="2396"/>
      <c r="H56" s="2393"/>
      <c r="I56" s="2393"/>
      <c r="J56" s="2396"/>
      <c r="K56" s="2396"/>
      <c r="L56" s="2396"/>
      <c r="M56" s="2403"/>
      <c r="N56" s="2415"/>
      <c r="O56" s="2416"/>
      <c r="P56" s="2416"/>
      <c r="Q56" s="2413"/>
      <c r="R56" s="926"/>
      <c r="S56" s="32"/>
      <c r="T56" s="49"/>
      <c r="AM56" s="4447"/>
      <c r="AN56" s="3169"/>
      <c r="AO56" s="3169"/>
      <c r="AP56" s="3169"/>
      <c r="AQ56" s="3169"/>
      <c r="AR56" s="3169"/>
      <c r="AS56" s="3169"/>
    </row>
    <row r="57" spans="1:45">
      <c r="A57" s="290"/>
      <c r="B57" s="2397"/>
      <c r="C57" s="2393"/>
      <c r="D57" s="2395" t="s">
        <v>297</v>
      </c>
      <c r="E57" s="2395"/>
      <c r="F57" s="2395"/>
      <c r="G57" s="2396"/>
      <c r="H57" s="2393"/>
      <c r="I57" s="2393"/>
      <c r="J57" s="2396"/>
      <c r="K57" s="2396"/>
      <c r="L57" s="2407" t="s">
        <v>32</v>
      </c>
      <c r="M57" s="2403" t="str">
        <f>B56</f>
        <v>7.</v>
      </c>
      <c r="N57" s="1666">
        <f>IF(SUM(N38:N55)&lt;=0,0,SUM(N38:N55))</f>
        <v>0</v>
      </c>
      <c r="O57" s="2416"/>
      <c r="P57" s="2416"/>
      <c r="Q57" s="2413"/>
      <c r="R57" s="926"/>
      <c r="S57" s="32"/>
      <c r="T57" s="49"/>
      <c r="AM57" s="4447"/>
      <c r="AN57" s="3169"/>
      <c r="AO57" s="3169"/>
      <c r="AP57" s="3169"/>
      <c r="AQ57" s="3169"/>
      <c r="AR57" s="3169"/>
      <c r="AS57" s="3169"/>
    </row>
    <row r="58" spans="1:45" ht="13.5" thickBot="1">
      <c r="A58" s="290"/>
      <c r="B58" s="2408"/>
      <c r="C58" s="2409"/>
      <c r="D58" s="2409"/>
      <c r="E58" s="2409"/>
      <c r="F58" s="2409"/>
      <c r="G58" s="2409"/>
      <c r="H58" s="2409"/>
      <c r="I58" s="2409"/>
      <c r="J58" s="2409"/>
      <c r="K58" s="2409"/>
      <c r="L58" s="2409"/>
      <c r="M58" s="2409"/>
      <c r="N58" s="2409"/>
      <c r="O58" s="2409"/>
      <c r="P58" s="2409"/>
      <c r="Q58" s="2414"/>
      <c r="R58" s="926"/>
      <c r="S58" s="32"/>
      <c r="T58" s="49"/>
      <c r="AM58" s="4447"/>
      <c r="AN58" s="3169"/>
      <c r="AO58" s="3169"/>
      <c r="AP58" s="3169"/>
      <c r="AQ58" s="3169"/>
      <c r="AR58" s="3169"/>
      <c r="AS58" s="3169"/>
    </row>
    <row r="59" spans="1:45">
      <c r="A59" s="290"/>
      <c r="B59" s="60"/>
      <c r="C59" s="60"/>
      <c r="D59" s="60"/>
      <c r="E59" s="60"/>
      <c r="F59" s="60"/>
      <c r="G59" s="24"/>
      <c r="H59" s="24"/>
      <c r="I59" s="24"/>
      <c r="J59" s="133"/>
      <c r="K59" s="133"/>
      <c r="L59" s="133"/>
      <c r="M59" s="133"/>
      <c r="N59" s="133"/>
      <c r="O59" s="133"/>
      <c r="P59" s="133"/>
      <c r="Q59" s="133"/>
      <c r="R59" s="928"/>
      <c r="S59" s="262"/>
      <c r="T59" s="32"/>
      <c r="AM59" s="4447"/>
      <c r="AN59" s="3169"/>
      <c r="AO59" s="3169"/>
      <c r="AP59" s="3169"/>
      <c r="AQ59" s="3169"/>
      <c r="AR59" s="3169"/>
      <c r="AS59" s="3169"/>
    </row>
    <row r="60" spans="1:45" ht="18.75" customHeight="1">
      <c r="A60" s="290"/>
      <c r="B60" s="465" t="s">
        <v>549</v>
      </c>
      <c r="C60" s="465"/>
      <c r="D60" s="562"/>
      <c r="E60" s="562"/>
      <c r="F60" s="562"/>
      <c r="G60" s="341"/>
      <c r="H60" s="341"/>
      <c r="I60" s="341"/>
      <c r="J60" s="341"/>
      <c r="K60" s="341"/>
      <c r="L60" s="341"/>
      <c r="M60" s="341"/>
      <c r="N60" s="341"/>
      <c r="O60" s="341"/>
      <c r="P60" s="563" t="s">
        <v>72</v>
      </c>
      <c r="Q60" s="262"/>
      <c r="R60" s="266"/>
      <c r="S60" s="683"/>
      <c r="T60" s="32"/>
      <c r="U60" s="1618"/>
      <c r="V60"/>
      <c r="W60" s="46" t="b">
        <f>OR(X62,Y62)</f>
        <v>0</v>
      </c>
      <c r="X60" s="1623" t="s">
        <v>949</v>
      </c>
      <c r="Y60" s="1623" t="s">
        <v>949</v>
      </c>
      <c r="Z60" s="1625" t="s">
        <v>943</v>
      </c>
      <c r="AA60" s="1625" t="s">
        <v>949</v>
      </c>
      <c r="AB60" s="1625" t="s">
        <v>949</v>
      </c>
      <c r="AC60" s="1625" t="s">
        <v>943</v>
      </c>
      <c r="AD60" s="1625" t="s">
        <v>943</v>
      </c>
      <c r="AM60" s="4447"/>
      <c r="AN60" s="3169"/>
      <c r="AO60" s="3169"/>
      <c r="AP60" s="3169"/>
      <c r="AQ60" s="3169"/>
      <c r="AR60" s="3169"/>
      <c r="AS60" s="3169"/>
    </row>
    <row r="61" spans="1:45" ht="14.25" customHeight="1" thickBot="1">
      <c r="A61" s="290"/>
      <c r="B61" s="1628" t="s">
        <v>955</v>
      </c>
      <c r="C61" s="170" t="s">
        <v>4129</v>
      </c>
      <c r="D61" s="185"/>
      <c r="E61" s="185"/>
      <c r="F61" s="185"/>
      <c r="G61" s="237"/>
      <c r="H61" s="237"/>
      <c r="I61" s="237"/>
      <c r="J61" s="237"/>
      <c r="K61" s="170"/>
      <c r="L61" s="170"/>
      <c r="M61" s="237"/>
      <c r="N61" s="237"/>
      <c r="O61" s="237"/>
      <c r="P61" s="672"/>
      <c r="Q61" s="557"/>
      <c r="R61" s="929"/>
      <c r="S61" s="2102" t="s">
        <v>1502</v>
      </c>
      <c r="T61" s="32"/>
      <c r="U61" s="1618"/>
      <c r="V61"/>
      <c r="W61" s="46" t="b">
        <f>AND(NOT(AA62),NOT(AB62))</f>
        <v>0</v>
      </c>
      <c r="X61" s="1624" t="s">
        <v>950</v>
      </c>
      <c r="Y61" s="1624" t="s">
        <v>951</v>
      </c>
      <c r="Z61" s="1626" t="s">
        <v>3861</v>
      </c>
      <c r="AA61" s="1626" t="s">
        <v>952</v>
      </c>
      <c r="AB61" s="1626" t="s">
        <v>954</v>
      </c>
      <c r="AC61" s="1626" t="s">
        <v>953</v>
      </c>
      <c r="AD61" s="1626" t="s">
        <v>3862</v>
      </c>
      <c r="AM61" s="4447"/>
      <c r="AN61" s="3169"/>
      <c r="AO61" s="3169"/>
      <c r="AP61" s="3169"/>
      <c r="AQ61" s="3169"/>
      <c r="AR61" s="3169"/>
      <c r="AS61" s="3169"/>
    </row>
    <row r="62" spans="1:45" ht="18" customHeight="1" thickBot="1">
      <c r="A62" s="290"/>
      <c r="B62" s="671"/>
      <c r="C62" s="170" t="s">
        <v>4128</v>
      </c>
      <c r="D62" s="185"/>
      <c r="E62" s="185"/>
      <c r="F62" s="185"/>
      <c r="G62" s="237"/>
      <c r="H62" s="237"/>
      <c r="I62" s="237"/>
      <c r="J62" s="237"/>
      <c r="K62" s="237"/>
      <c r="L62" s="237"/>
      <c r="M62" s="237"/>
      <c r="N62" s="237"/>
      <c r="O62" s="237"/>
      <c r="P62" s="672"/>
      <c r="Q62" s="262"/>
      <c r="R62" s="1426"/>
      <c r="S62" s="888" t="str">
        <f>IF(U71&lt;&gt;"","Yes",IF(W62,"Yes","No"))</f>
        <v>No</v>
      </c>
      <c r="T62" s="32"/>
      <c r="U62" s="1618"/>
      <c r="V62"/>
      <c r="W62" s="4444" t="b">
        <f>OR(W71,AND(W60,W61,NOT(W70)))</f>
        <v>0</v>
      </c>
      <c r="X62" s="46" t="b">
        <f>IF(AND(SchDLine18&lt;&gt;"",SchDLine18&gt;0),TRUE,FALSE)</f>
        <v>0</v>
      </c>
      <c r="Y62" s="46" t="b">
        <f>IF(AND(SchDLine19&lt;&gt;"",SchDLine19&gt;0),TRUE,FALSE)</f>
        <v>0</v>
      </c>
      <c r="Z62" t="b">
        <f>OR(Qualified_Dividends="",Qualified_Dividends=0)</f>
        <v>1</v>
      </c>
      <c r="AA62" t="b">
        <f>IF(OR(SchDLine15="",SchDLine15&lt;=0),TRUE,FALSE)</f>
        <v>1</v>
      </c>
      <c r="AB62" t="b">
        <f>IF(OR(SchDLine16="",SchDLine16&lt;=0),TRUE,FALSE)</f>
        <v>1</v>
      </c>
      <c r="AC62" t="b">
        <f>IF(OR(Qualified_Dividends="",Qualified_Dividends=0),TRUE,FALSE)</f>
        <v>1</v>
      </c>
      <c r="AD62" t="b">
        <f>OR(Taxable_Inc="",Taxable_Inc&lt;=0)</f>
        <v>1</v>
      </c>
      <c r="AM62" s="4447"/>
      <c r="AN62" s="3169"/>
      <c r="AO62" s="3169"/>
      <c r="AP62" s="3169"/>
      <c r="AQ62" s="3169"/>
      <c r="AR62" s="3169"/>
      <c r="AS62" s="3169"/>
    </row>
    <row r="63" spans="1:45" ht="12.75" customHeight="1">
      <c r="A63" s="290"/>
      <c r="B63" s="671"/>
      <c r="C63" s="170" t="s">
        <v>3689</v>
      </c>
      <c r="D63" s="185"/>
      <c r="E63" s="185"/>
      <c r="F63" s="185"/>
      <c r="G63" s="237"/>
      <c r="H63" s="237"/>
      <c r="I63" s="237"/>
      <c r="J63" s="237"/>
      <c r="K63" s="237"/>
      <c r="L63" s="237"/>
      <c r="M63" s="237"/>
      <c r="N63" s="237"/>
      <c r="O63" s="237"/>
      <c r="P63" s="672"/>
      <c r="Q63" s="262"/>
      <c r="R63" s="1426"/>
      <c r="S63" s="6171" t="str">
        <f>IF(OR(X62,Y62),"","Neither Sch. D, Line 18"&amp;CHAR(10)&amp;"nor Line 19 are &gt;0")</f>
        <v>Neither Sch. D, Line 18
nor Line 19 are &gt;0</v>
      </c>
      <c r="T63" s="32"/>
      <c r="U63" s="1618"/>
      <c r="V63"/>
      <c r="X63" s="46"/>
      <c r="AM63" s="4447"/>
      <c r="AN63" s="3169"/>
      <c r="AO63" s="3169"/>
      <c r="AP63" s="3169"/>
      <c r="AQ63" s="3169"/>
      <c r="AR63" s="3169"/>
      <c r="AS63" s="3169"/>
    </row>
    <row r="64" spans="1:45">
      <c r="A64" s="290"/>
      <c r="B64" s="671"/>
      <c r="C64" s="170" t="s">
        <v>4125</v>
      </c>
      <c r="D64" s="185"/>
      <c r="E64" s="185"/>
      <c r="F64" s="185"/>
      <c r="G64" s="237"/>
      <c r="H64" s="170"/>
      <c r="I64" s="237"/>
      <c r="J64" s="237"/>
      <c r="K64" s="237"/>
      <c r="L64" s="237"/>
      <c r="M64" s="237"/>
      <c r="N64" s="237"/>
      <c r="O64" s="237"/>
      <c r="P64" s="672"/>
      <c r="Q64" s="262"/>
      <c r="R64" s="1427"/>
      <c r="S64" s="6172"/>
      <c r="T64" s="32"/>
      <c r="U64" s="1618"/>
      <c r="V64"/>
      <c r="X64" s="46"/>
      <c r="AM64" s="4447"/>
      <c r="AN64" s="3169"/>
      <c r="AO64" s="3169"/>
      <c r="AP64" s="3169"/>
      <c r="AQ64" s="3169"/>
      <c r="AR64" s="3169"/>
      <c r="AS64" s="3169"/>
    </row>
    <row r="65" spans="1:45" ht="12" customHeight="1">
      <c r="A65" s="290"/>
      <c r="B65" s="6173" t="s">
        <v>955</v>
      </c>
      <c r="C65" s="6174"/>
      <c r="D65" s="402" t="s">
        <v>385</v>
      </c>
      <c r="E65" s="280" t="s">
        <v>4127</v>
      </c>
      <c r="F65" s="185"/>
      <c r="G65" s="237"/>
      <c r="H65" s="170"/>
      <c r="I65" s="280"/>
      <c r="J65" s="237"/>
      <c r="K65" s="237"/>
      <c r="L65" s="237"/>
      <c r="M65" s="237"/>
      <c r="N65" s="889"/>
      <c r="O65" s="890"/>
      <c r="P65" s="889"/>
      <c r="Q65" s="262"/>
      <c r="R65" s="1426"/>
      <c r="S65" s="6177" t="str">
        <f>IF(NOT(W61),"Sch. D, Lines 15 and 16 are not both gains.","")</f>
        <v>Sch. D, Lines 15 and 16 are not both gains.</v>
      </c>
      <c r="T65" s="32"/>
      <c r="U65" s="1618"/>
      <c r="V65"/>
      <c r="X65" s="46"/>
      <c r="AM65" s="4447"/>
      <c r="AN65" s="3169"/>
      <c r="AO65" s="3169"/>
      <c r="AP65" s="3169"/>
      <c r="AQ65" s="3169"/>
      <c r="AR65" s="3169"/>
      <c r="AS65" s="3169"/>
    </row>
    <row r="66" spans="1:45" ht="12" customHeight="1">
      <c r="A66" s="290"/>
      <c r="B66" s="939"/>
      <c r="C66" s="945" t="s">
        <v>274</v>
      </c>
      <c r="D66" s="402"/>
      <c r="E66" s="280"/>
      <c r="F66" s="185"/>
      <c r="G66" s="237"/>
      <c r="H66" s="170"/>
      <c r="I66" s="280"/>
      <c r="J66" s="237"/>
      <c r="K66" s="237"/>
      <c r="L66" s="237"/>
      <c r="M66" s="237"/>
      <c r="N66" s="889"/>
      <c r="O66" s="890"/>
      <c r="P66" s="889"/>
      <c r="Q66" s="262"/>
      <c r="R66" s="1428"/>
      <c r="S66" s="6177"/>
      <c r="T66" s="32"/>
      <c r="V66"/>
      <c r="X66" s="46"/>
      <c r="AM66" s="4447"/>
      <c r="AN66" s="3169"/>
      <c r="AO66" s="3169"/>
      <c r="AP66" s="3169"/>
      <c r="AQ66" s="3169"/>
      <c r="AR66" s="3169"/>
      <c r="AS66" s="3169"/>
    </row>
    <row r="67" spans="1:45" ht="12" customHeight="1">
      <c r="A67" s="290"/>
      <c r="B67" s="6173" t="s">
        <v>955</v>
      </c>
      <c r="C67" s="6174"/>
      <c r="D67" s="402" t="s">
        <v>385</v>
      </c>
      <c r="E67" s="280" t="s">
        <v>3863</v>
      </c>
      <c r="F67" s="185"/>
      <c r="G67" s="237"/>
      <c r="H67" s="237"/>
      <c r="I67" s="237"/>
      <c r="J67" s="237"/>
      <c r="K67" s="237"/>
      <c r="L67" s="237"/>
      <c r="M67" s="237"/>
      <c r="N67" s="889"/>
      <c r="O67" s="890"/>
      <c r="P67" s="672"/>
      <c r="Q67" s="262"/>
      <c r="R67" s="1428"/>
      <c r="S67" s="1627" t="str">
        <f>IF(W67,"Line 15 is &lt;= 0 &amp; no Qual Divds","")</f>
        <v>Line 15 is &lt;= 0 &amp; no Qual Divds</v>
      </c>
      <c r="T67" s="32"/>
      <c r="V67"/>
      <c r="W67" s="46" t="b">
        <f>AND(Z62,AA62)</f>
        <v>1</v>
      </c>
      <c r="X67" s="46"/>
      <c r="AM67" s="4447"/>
      <c r="AN67" s="3169"/>
      <c r="AO67" s="3169"/>
      <c r="AP67" s="3169"/>
      <c r="AQ67" s="3169"/>
      <c r="AR67" s="3169"/>
      <c r="AS67" s="3169"/>
    </row>
    <row r="68" spans="1:45" ht="12" customHeight="1">
      <c r="A68" s="290"/>
      <c r="B68" s="674"/>
      <c r="C68" s="280" t="s">
        <v>4126</v>
      </c>
      <c r="D68" s="280"/>
      <c r="E68" s="280"/>
      <c r="F68" s="280"/>
      <c r="G68" s="280"/>
      <c r="H68" s="280"/>
      <c r="I68" s="280"/>
      <c r="J68" s="280"/>
      <c r="K68" s="280"/>
      <c r="L68" s="280"/>
      <c r="M68" s="280"/>
      <c r="N68" s="889"/>
      <c r="O68" s="280"/>
      <c r="P68" s="673"/>
      <c r="Q68" s="19"/>
      <c r="R68" s="929"/>
      <c r="S68" s="1627" t="str">
        <f>IF(W68,"Line 16 is &lt;= 0 &amp; no Qual Divds","")</f>
        <v>Line 16 is &lt;= 0 &amp; no Qual Divds</v>
      </c>
      <c r="T68" s="32"/>
      <c r="V68"/>
      <c r="W68" s="46" t="b">
        <f>AND(Z62,AB62)</f>
        <v>1</v>
      </c>
      <c r="X68" s="46"/>
      <c r="AM68" s="4447"/>
      <c r="AN68" s="3169"/>
      <c r="AO68" s="3169"/>
      <c r="AP68" s="3169"/>
      <c r="AQ68" s="3169"/>
      <c r="AR68" s="3169"/>
      <c r="AS68" s="3169"/>
    </row>
    <row r="69" spans="1:45" ht="12" customHeight="1">
      <c r="A69" s="290"/>
      <c r="B69" s="675"/>
      <c r="C69" s="676"/>
      <c r="D69" s="676"/>
      <c r="E69" s="676"/>
      <c r="F69" s="676"/>
      <c r="G69" s="676"/>
      <c r="H69" s="676"/>
      <c r="I69" s="676"/>
      <c r="J69" s="676"/>
      <c r="K69" s="676"/>
      <c r="L69" s="676"/>
      <c r="M69" s="676"/>
      <c r="N69" s="676"/>
      <c r="O69" s="676"/>
      <c r="P69" s="677"/>
      <c r="Q69" s="678"/>
      <c r="R69" s="929"/>
      <c r="S69" s="1627" t="str">
        <f>IF(W69,"Form 1040, Line 10 is &lt;= 0","")</f>
        <v>Form 1040, Line 10 is &lt;= 0</v>
      </c>
      <c r="T69" s="32"/>
      <c r="W69" s="46" t="b">
        <f>AD62</f>
        <v>1</v>
      </c>
      <c r="AM69" s="4447"/>
      <c r="AN69" s="3169"/>
      <c r="AO69" s="3169"/>
      <c r="AP69" s="3169"/>
      <c r="AQ69" s="3169"/>
      <c r="AR69" s="3169"/>
      <c r="AS69" s="3169"/>
    </row>
    <row r="70" spans="1:45" ht="7.5" customHeight="1" thickBot="1">
      <c r="A70" s="290"/>
      <c r="B70" s="674"/>
      <c r="C70" s="280"/>
      <c r="D70" s="280"/>
      <c r="E70" s="280"/>
      <c r="F70" s="280"/>
      <c r="G70" s="280"/>
      <c r="H70" s="280"/>
      <c r="I70" s="280"/>
      <c r="J70" s="280"/>
      <c r="K70" s="280"/>
      <c r="L70" s="280"/>
      <c r="M70" s="280"/>
      <c r="N70" s="280"/>
      <c r="O70" s="280"/>
      <c r="P70" s="679"/>
      <c r="Q70" s="19"/>
      <c r="R70" s="929"/>
      <c r="S70" s="51"/>
      <c r="T70" s="32"/>
      <c r="W70" s="46" t="b">
        <f>OR(W67,W68,W69)</f>
        <v>1</v>
      </c>
      <c r="X70" s="4460" t="s">
        <v>549</v>
      </c>
      <c r="Y70" s="4461"/>
      <c r="Z70" s="4461"/>
      <c r="AA70" s="4461" t="b">
        <f>SchDTW_Used</f>
        <v>0</v>
      </c>
      <c r="AB70" s="4485" t="s">
        <v>3965</v>
      </c>
      <c r="AM70" s="4447"/>
      <c r="AN70" s="3169"/>
      <c r="AO70" s="3169"/>
      <c r="AP70" s="3169"/>
      <c r="AQ70" s="3169"/>
      <c r="AR70" s="3169"/>
      <c r="AS70" s="3169"/>
    </row>
    <row r="71" spans="1:45" ht="12" customHeight="1" thickBot="1">
      <c r="A71" s="290"/>
      <c r="B71" s="867">
        <v>1</v>
      </c>
      <c r="C71" s="280"/>
      <c r="D71" s="280" t="s">
        <v>4957</v>
      </c>
      <c r="E71" s="280"/>
      <c r="F71" s="280"/>
      <c r="G71" s="280"/>
      <c r="H71" s="280"/>
      <c r="I71" s="280"/>
      <c r="J71" s="280"/>
      <c r="K71" s="280"/>
      <c r="L71" s="280"/>
      <c r="M71" s="280"/>
      <c r="N71" s="280"/>
      <c r="O71" s="280"/>
      <c r="P71" s="673"/>
      <c r="Q71" s="19"/>
      <c r="R71" s="929"/>
      <c r="S71" s="726" t="s">
        <v>100</v>
      </c>
      <c r="T71" s="32"/>
      <c r="U71" s="1630"/>
      <c r="V71" s="242" t="s">
        <v>372</v>
      </c>
      <c r="W71" s="46" t="b">
        <f>U71&lt;&gt;""</f>
        <v>0</v>
      </c>
      <c r="X71" s="4462" t="s">
        <v>336</v>
      </c>
      <c r="Y71" s="1701" t="s">
        <v>3927</v>
      </c>
      <c r="AA71" s="1666" t="str">
        <f>IF(NOT(AA70),"",IF(Form2555_Used,FEI_TW_Line3,IF(Taxable_Inc&lt;&gt;"",Taxable_Inc,0)))</f>
        <v/>
      </c>
      <c r="AB71" s="4463"/>
      <c r="AM71" s="4447"/>
      <c r="AN71" s="3169"/>
      <c r="AO71" s="3169"/>
      <c r="AP71" s="3169"/>
      <c r="AQ71" s="3169"/>
      <c r="AR71" s="3169"/>
      <c r="AS71" s="3169"/>
    </row>
    <row r="72" spans="1:45" ht="12.75" customHeight="1">
      <c r="A72" s="290"/>
      <c r="B72" s="674"/>
      <c r="C72" s="280"/>
      <c r="D72" s="280" t="s">
        <v>2091</v>
      </c>
      <c r="E72" s="280"/>
      <c r="F72" s="280"/>
      <c r="G72" s="280"/>
      <c r="H72" s="280"/>
      <c r="I72" s="280"/>
      <c r="J72" s="280"/>
      <c r="K72" s="280"/>
      <c r="L72" s="280"/>
      <c r="M72" s="280"/>
      <c r="N72" s="280"/>
      <c r="O72" s="280"/>
      <c r="P72" s="673"/>
      <c r="Q72" s="19"/>
      <c r="R72" s="929"/>
      <c r="S72" s="726" t="s">
        <v>468</v>
      </c>
      <c r="T72" s="32"/>
      <c r="V72" s="242" t="s">
        <v>370</v>
      </c>
      <c r="X72" s="4464" t="s">
        <v>0</v>
      </c>
      <c r="Y72" s="1701" t="s">
        <v>3928</v>
      </c>
      <c r="AA72" s="1666">
        <f>Qualified_Dividends</f>
        <v>0</v>
      </c>
      <c r="AB72" s="4463"/>
      <c r="AM72" s="4447"/>
      <c r="AN72" s="3169"/>
      <c r="AO72" s="3169"/>
      <c r="AP72" s="3169"/>
      <c r="AQ72" s="3169"/>
      <c r="AR72" s="3169"/>
      <c r="AS72" s="3169"/>
    </row>
    <row r="73" spans="1:45" ht="12.75" customHeight="1">
      <c r="A73" s="290"/>
      <c r="B73" s="674"/>
      <c r="C73" s="162"/>
      <c r="D73" s="403" t="s">
        <v>4130</v>
      </c>
      <c r="E73" s="185"/>
      <c r="F73" s="185"/>
      <c r="G73" s="237"/>
      <c r="H73" s="237"/>
      <c r="I73" s="237"/>
      <c r="J73" s="238"/>
      <c r="K73" s="238"/>
      <c r="L73" s="238"/>
      <c r="M73" s="238"/>
      <c r="N73" s="262" t="s">
        <v>2680</v>
      </c>
      <c r="O73" s="868">
        <f>B71</f>
        <v>1</v>
      </c>
      <c r="P73" s="1666" t="str">
        <f>IF(S73&lt;&gt;"",ROUND(S73,0),IF(NOT(SchDTW_Used),"",IF(Form2555_Used,FEI_TW_Line3,IF(Taxable_Inc&lt;&gt;"",Taxable_Inc,0))))</f>
        <v/>
      </c>
      <c r="Q73" s="264"/>
      <c r="R73" s="670"/>
      <c r="S73" s="1667"/>
      <c r="T73" s="32"/>
      <c r="V73" s="242" t="s">
        <v>371</v>
      </c>
      <c r="X73" s="4465" t="s">
        <v>1</v>
      </c>
      <c r="Y73" s="1701" t="s">
        <v>3929</v>
      </c>
      <c r="AA73" s="1666">
        <f>Form4952_Line4g</f>
        <v>0</v>
      </c>
      <c r="AB73" s="4463"/>
      <c r="AM73" s="4447"/>
      <c r="AN73" s="3169"/>
      <c r="AO73" s="3169"/>
      <c r="AP73" s="3169"/>
      <c r="AQ73" s="3169"/>
      <c r="AR73" s="3169"/>
      <c r="AS73" s="3169"/>
    </row>
    <row r="74" spans="1:45" ht="12.75" customHeight="1">
      <c r="A74" s="290"/>
      <c r="B74" s="867">
        <v>2</v>
      </c>
      <c r="C74" s="162"/>
      <c r="D74" s="403" t="s">
        <v>3925</v>
      </c>
      <c r="E74" s="185"/>
      <c r="F74" s="185"/>
      <c r="G74" s="237"/>
      <c r="H74" s="237"/>
      <c r="I74" s="237"/>
      <c r="J74" s="238"/>
      <c r="K74" s="238"/>
      <c r="L74" s="238"/>
      <c r="M74" s="238"/>
      <c r="N74" s="334"/>
      <c r="O74" s="334"/>
      <c r="P74" s="265"/>
      <c r="Q74" s="264"/>
      <c r="R74" s="670"/>
      <c r="S74" s="51"/>
      <c r="T74" s="32"/>
      <c r="X74" s="4465" t="s">
        <v>455</v>
      </c>
      <c r="Y74" s="1701" t="s">
        <v>3930</v>
      </c>
      <c r="AA74" s="1666">
        <f>Form4952_Line4e</f>
        <v>0</v>
      </c>
      <c r="AB74" s="4463"/>
      <c r="AM74" s="4447"/>
      <c r="AN74" s="3169"/>
      <c r="AO74" s="3169"/>
      <c r="AP74" s="3169"/>
      <c r="AQ74" s="3169"/>
      <c r="AR74" s="3169"/>
      <c r="AS74" s="3169"/>
    </row>
    <row r="75" spans="1:45" ht="13.5" customHeight="1">
      <c r="A75" s="290"/>
      <c r="B75" s="867"/>
      <c r="C75" s="162"/>
      <c r="D75" s="403" t="s">
        <v>2092</v>
      </c>
      <c r="E75" s="185"/>
      <c r="F75" s="185"/>
      <c r="G75" s="237"/>
      <c r="H75" s="237"/>
      <c r="I75" s="237"/>
      <c r="J75" s="262" t="s">
        <v>284</v>
      </c>
      <c r="K75" s="868">
        <f>B74</f>
        <v>2</v>
      </c>
      <c r="L75" s="1666" t="str">
        <f>IF(S75&lt;&gt;"",S75,IF(NOT(SchDTW_Used),"",Qualified_Dividends))</f>
        <v/>
      </c>
      <c r="M75" s="472"/>
      <c r="N75" s="472"/>
      <c r="O75" s="233"/>
      <c r="P75" s="265"/>
      <c r="Q75" s="265"/>
      <c r="R75" s="930"/>
      <c r="S75" s="1667"/>
      <c r="T75" s="32"/>
      <c r="V75" s="1075"/>
      <c r="X75" s="4464" t="s">
        <v>35</v>
      </c>
      <c r="Y75" s="1701" t="s">
        <v>3931</v>
      </c>
      <c r="AA75" s="1666">
        <f>MAX(0,SUM(AA73-AA74))</f>
        <v>0</v>
      </c>
      <c r="AB75" s="4463"/>
      <c r="AM75" s="4447"/>
      <c r="AN75" s="3169"/>
      <c r="AO75" s="3169"/>
      <c r="AP75" s="3169"/>
      <c r="AQ75" s="3169"/>
      <c r="AR75" s="3169"/>
      <c r="AS75" s="3169"/>
    </row>
    <row r="76" spans="1:45" ht="12.75" customHeight="1">
      <c r="A76" s="290"/>
      <c r="B76" s="1215" t="s">
        <v>1</v>
      </c>
      <c r="C76" s="162"/>
      <c r="D76" s="6175" t="s">
        <v>3867</v>
      </c>
      <c r="E76" s="6176"/>
      <c r="F76" s="6176"/>
      <c r="G76" s="5680"/>
      <c r="H76" s="5680"/>
      <c r="I76" s="614"/>
      <c r="J76" s="237"/>
      <c r="K76" s="237"/>
      <c r="L76" s="237"/>
      <c r="M76" s="162"/>
      <c r="N76" s="472"/>
      <c r="O76" s="233"/>
      <c r="P76" s="265"/>
      <c r="Q76" s="265"/>
      <c r="R76" s="930"/>
      <c r="S76" s="51"/>
      <c r="T76" s="32"/>
      <c r="X76" s="4466" t="s">
        <v>75</v>
      </c>
      <c r="Y76" s="1701" t="s">
        <v>3932</v>
      </c>
      <c r="AA76" s="1666">
        <f>MAX(0,SUM(AA72,-AA75))</f>
        <v>0</v>
      </c>
      <c r="AB76" s="4463"/>
      <c r="AM76" s="4447"/>
      <c r="AN76" s="3169"/>
      <c r="AO76" s="3169"/>
      <c r="AP76" s="3169"/>
      <c r="AQ76" s="3169"/>
      <c r="AR76" s="3169"/>
      <c r="AS76" s="3169"/>
    </row>
    <row r="77" spans="1:45" ht="14.25" customHeight="1">
      <c r="A77" s="290"/>
      <c r="B77" s="1215"/>
      <c r="C77" s="162"/>
      <c r="D77" s="6175" t="s">
        <v>3868</v>
      </c>
      <c r="E77" s="6176"/>
      <c r="F77" s="6176"/>
      <c r="G77" s="5680"/>
      <c r="H77" s="5680"/>
      <c r="I77" s="4451" t="str">
        <f>B76</f>
        <v>3.</v>
      </c>
      <c r="J77" s="1776"/>
      <c r="K77" s="237" t="s">
        <v>511</v>
      </c>
      <c r="L77" s="237"/>
      <c r="M77" s="162"/>
      <c r="N77" s="472"/>
      <c r="O77" s="233"/>
      <c r="P77" s="265"/>
      <c r="Q77" s="265"/>
      <c r="R77" s="930"/>
      <c r="S77" s="51"/>
      <c r="T77" s="32"/>
      <c r="X77" s="4464" t="s">
        <v>76</v>
      </c>
      <c r="Y77" s="1701" t="s">
        <v>3918</v>
      </c>
      <c r="AA77" s="1666">
        <f>MIN(SchDLine15,SchDLine16)</f>
        <v>0</v>
      </c>
      <c r="AB77" s="4463"/>
      <c r="AM77" s="4447"/>
      <c r="AN77" s="3169"/>
      <c r="AO77" s="3169"/>
      <c r="AP77" s="3169"/>
      <c r="AQ77" s="3169"/>
      <c r="AR77" s="3169"/>
      <c r="AS77" s="3169"/>
    </row>
    <row r="78" spans="1:45" ht="15.75" customHeight="1">
      <c r="A78" s="290"/>
      <c r="B78" s="869" t="s">
        <v>455</v>
      </c>
      <c r="C78" s="162"/>
      <c r="D78" s="185" t="s">
        <v>460</v>
      </c>
      <c r="E78" s="185"/>
      <c r="F78" s="185"/>
      <c r="G78" s="237"/>
      <c r="H78" s="237"/>
      <c r="I78" s="614" t="str">
        <f>B78</f>
        <v>4.</v>
      </c>
      <c r="J78" s="1776"/>
      <c r="K78" s="162"/>
      <c r="L78" s="162"/>
      <c r="M78" s="162"/>
      <c r="N78" s="472"/>
      <c r="O78" s="233"/>
      <c r="P78" s="265"/>
      <c r="Q78" s="265"/>
      <c r="R78" s="930"/>
      <c r="S78" s="51"/>
      <c r="T78" s="32"/>
      <c r="X78" s="4464" t="s">
        <v>232</v>
      </c>
      <c r="Y78" s="1701" t="s">
        <v>3933</v>
      </c>
      <c r="AA78" s="1666">
        <f>MIN(AA73,AA74)</f>
        <v>0</v>
      </c>
      <c r="AB78" s="4463"/>
      <c r="AM78" s="4447"/>
      <c r="AN78" s="3169"/>
      <c r="AO78" s="3169"/>
      <c r="AP78" s="3169"/>
      <c r="AQ78" s="3169"/>
      <c r="AR78" s="3169"/>
      <c r="AS78" s="3169"/>
    </row>
    <row r="79" spans="1:45" ht="14.25" customHeight="1">
      <c r="A79" s="290"/>
      <c r="B79" s="869" t="s">
        <v>35</v>
      </c>
      <c r="C79" s="162"/>
      <c r="D79" s="185" t="s">
        <v>576</v>
      </c>
      <c r="E79" s="185"/>
      <c r="F79" s="185"/>
      <c r="G79" s="237"/>
      <c r="H79" s="237"/>
      <c r="I79" s="237"/>
      <c r="J79" s="650" t="s">
        <v>513</v>
      </c>
      <c r="K79" s="162" t="str">
        <f>B79</f>
        <v>5.</v>
      </c>
      <c r="L79" s="1666" t="str">
        <f>IF(NOT(SchDTW_Used),"",MAX(0,J77-J78))</f>
        <v/>
      </c>
      <c r="M79" s="472"/>
      <c r="N79" s="472"/>
      <c r="O79" s="233"/>
      <c r="P79" s="265"/>
      <c r="Q79" s="265"/>
      <c r="R79" s="930"/>
      <c r="S79" s="51"/>
      <c r="T79" s="32"/>
      <c r="X79" s="4466" t="s">
        <v>233</v>
      </c>
      <c r="Y79" s="1701" t="s">
        <v>3934</v>
      </c>
      <c r="AA79" s="1666">
        <f>MAX(0,SUM(AA77,-AA78))</f>
        <v>0</v>
      </c>
      <c r="AB79" s="4463"/>
      <c r="AM79" s="4447"/>
      <c r="AN79" s="3169"/>
      <c r="AO79" s="3169"/>
      <c r="AP79" s="3169"/>
      <c r="AQ79" s="3169"/>
      <c r="AR79" s="3169"/>
      <c r="AS79" s="3169"/>
    </row>
    <row r="80" spans="1:45">
      <c r="A80" s="290"/>
      <c r="B80" s="869" t="s">
        <v>75</v>
      </c>
      <c r="C80" s="162"/>
      <c r="D80" s="185" t="s">
        <v>461</v>
      </c>
      <c r="E80" s="185"/>
      <c r="F80" s="185"/>
      <c r="G80" s="237"/>
      <c r="H80" s="237"/>
      <c r="I80" s="237"/>
      <c r="J80" s="238"/>
      <c r="K80" s="162"/>
      <c r="L80" s="405" t="s">
        <v>256</v>
      </c>
      <c r="M80" s="162" t="str">
        <f>B80</f>
        <v>6.</v>
      </c>
      <c r="N80" s="1666" t="str">
        <f>IF(NOT(SchDTW_Used),"",MAX(0,L75-L79))</f>
        <v/>
      </c>
      <c r="O80" s="233"/>
      <c r="P80" s="265"/>
      <c r="Q80" s="265"/>
      <c r="R80" s="930"/>
      <c r="S80" s="51"/>
      <c r="T80" s="32"/>
      <c r="X80" s="4464" t="s">
        <v>337</v>
      </c>
      <c r="Y80" s="1701" t="s">
        <v>88</v>
      </c>
      <c r="AA80" s="1666">
        <f>SUM(AA76,AA79)</f>
        <v>0</v>
      </c>
      <c r="AB80" s="4463"/>
      <c r="AM80" s="4447"/>
      <c r="AN80" s="3169"/>
      <c r="AO80" s="3169"/>
      <c r="AP80" s="3169"/>
      <c r="AQ80" s="3169"/>
      <c r="AR80" s="3169"/>
      <c r="AS80" s="3169"/>
    </row>
    <row r="81" spans="1:45">
      <c r="A81" s="290"/>
      <c r="B81" s="869" t="s">
        <v>76</v>
      </c>
      <c r="C81" s="162"/>
      <c r="D81" s="185" t="s">
        <v>79</v>
      </c>
      <c r="E81" s="185"/>
      <c r="F81" s="185"/>
      <c r="G81" s="237"/>
      <c r="H81" s="237"/>
      <c r="I81" s="237"/>
      <c r="J81" s="650" t="s">
        <v>513</v>
      </c>
      <c r="K81" s="162" t="str">
        <f>B81</f>
        <v>7.</v>
      </c>
      <c r="L81" s="1666" t="str">
        <f>IF(NOT(SchDTW_Used),"",MIN(SchDLine15,SchDLine16))</f>
        <v/>
      </c>
      <c r="M81" s="472"/>
      <c r="N81" s="467"/>
      <c r="O81" s="233"/>
      <c r="P81" s="265"/>
      <c r="Q81" s="265"/>
      <c r="R81" s="930"/>
      <c r="S81" s="51"/>
      <c r="T81" s="32"/>
      <c r="V81" s="1076"/>
      <c r="X81" s="4466" t="s">
        <v>338</v>
      </c>
      <c r="Y81" s="1701" t="s">
        <v>3919</v>
      </c>
      <c r="AA81" s="1666">
        <f>SUM(SchDLine18,SchDLine19)</f>
        <v>0</v>
      </c>
      <c r="AB81" s="4463"/>
      <c r="AM81" s="4447"/>
      <c r="AN81" s="3169"/>
      <c r="AO81" s="3169"/>
      <c r="AP81" s="3169"/>
      <c r="AQ81" s="3169"/>
      <c r="AR81" s="3169"/>
      <c r="AS81" s="3169"/>
    </row>
    <row r="82" spans="1:45">
      <c r="A82" s="290"/>
      <c r="B82" s="869" t="s">
        <v>232</v>
      </c>
      <c r="C82" s="162"/>
      <c r="D82" s="185" t="s">
        <v>563</v>
      </c>
      <c r="E82" s="185"/>
      <c r="F82" s="185"/>
      <c r="G82" s="237"/>
      <c r="H82" s="237"/>
      <c r="I82" s="237"/>
      <c r="J82" s="650" t="s">
        <v>279</v>
      </c>
      <c r="K82" s="162" t="str">
        <f>B82</f>
        <v>8.</v>
      </c>
      <c r="L82" s="1666" t="str">
        <f>IF(NOT(SchDTW_Used),"",MIN(J77,J78))</f>
        <v/>
      </c>
      <c r="M82" s="472"/>
      <c r="N82" s="406"/>
      <c r="O82" s="233"/>
      <c r="P82" s="265"/>
      <c r="Q82" s="265"/>
      <c r="R82" s="930"/>
      <c r="S82" s="51"/>
      <c r="T82" s="32"/>
      <c r="X82" s="4464" t="s">
        <v>339</v>
      </c>
      <c r="Y82" s="1701" t="s">
        <v>3935</v>
      </c>
      <c r="AA82" s="1666">
        <f>MIN(AA79,AA81)</f>
        <v>0</v>
      </c>
      <c r="AB82" s="4463"/>
      <c r="AM82" s="4447"/>
      <c r="AN82" s="3169"/>
      <c r="AO82" s="3169"/>
      <c r="AP82" s="3169"/>
      <c r="AQ82" s="3169"/>
      <c r="AR82" s="3169"/>
      <c r="AS82" s="3169"/>
    </row>
    <row r="83" spans="1:45">
      <c r="A83" s="290"/>
      <c r="B83" s="869" t="s">
        <v>233</v>
      </c>
      <c r="C83" s="162"/>
      <c r="D83" s="185" t="s">
        <v>462</v>
      </c>
      <c r="E83" s="185"/>
      <c r="F83" s="185"/>
      <c r="G83" s="237"/>
      <c r="H83" s="237"/>
      <c r="I83" s="237"/>
      <c r="J83" s="238"/>
      <c r="K83" s="162"/>
      <c r="L83" s="405" t="s">
        <v>256</v>
      </c>
      <c r="M83" s="162" t="str">
        <f>B83</f>
        <v>9.</v>
      </c>
      <c r="N83" s="1666" t="str">
        <f>IF(NOT(SchDTW_Used),"",IF(L81-L82&lt;=0,0,L81-L82))</f>
        <v/>
      </c>
      <c r="O83" s="233"/>
      <c r="P83" s="265"/>
      <c r="Q83" s="265"/>
      <c r="R83" s="930"/>
      <c r="S83" s="726" t="s">
        <v>100</v>
      </c>
      <c r="T83" s="32"/>
      <c r="X83" s="4462" t="s">
        <v>498</v>
      </c>
      <c r="Y83" s="1701" t="s">
        <v>3936</v>
      </c>
      <c r="AA83" s="1666">
        <f>SUM(AA80,-AA82)</f>
        <v>0</v>
      </c>
      <c r="AB83" s="4463"/>
      <c r="AM83" s="4447"/>
      <c r="AN83" s="3169"/>
      <c r="AO83" s="3169"/>
      <c r="AP83" s="3169"/>
      <c r="AQ83" s="3169"/>
      <c r="AR83" s="3169"/>
      <c r="AS83" s="3169"/>
    </row>
    <row r="84" spans="1:45" ht="13.5" customHeight="1">
      <c r="A84" s="290"/>
      <c r="B84" s="869" t="s">
        <v>337</v>
      </c>
      <c r="C84" s="162"/>
      <c r="D84" s="185" t="s">
        <v>88</v>
      </c>
      <c r="E84" s="185"/>
      <c r="F84" s="185"/>
      <c r="G84" s="237"/>
      <c r="H84" s="237"/>
      <c r="I84" s="237"/>
      <c r="J84" s="650" t="s">
        <v>362</v>
      </c>
      <c r="K84" s="162" t="str">
        <f>B84</f>
        <v>10.</v>
      </c>
      <c r="L84" s="1666" t="str">
        <f>IF(NOT(SchDTW_Used),"",N80+N83)</f>
        <v/>
      </c>
      <c r="M84" s="265"/>
      <c r="N84" s="468"/>
      <c r="O84" s="265"/>
      <c r="P84" s="265"/>
      <c r="Q84" s="265"/>
      <c r="R84" s="930"/>
      <c r="S84" s="726" t="s">
        <v>468</v>
      </c>
      <c r="T84" s="32"/>
      <c r="V84" s="1075"/>
      <c r="X84" s="4462" t="s">
        <v>499</v>
      </c>
      <c r="Y84" s="1701" t="s">
        <v>3936</v>
      </c>
      <c r="AA84" s="1666">
        <f>MAX(0,SUM(AA71,-AA83))</f>
        <v>0</v>
      </c>
      <c r="AB84" s="4463"/>
      <c r="AM84" s="4447"/>
      <c r="AN84" s="3169"/>
      <c r="AO84" s="3169"/>
      <c r="AP84" s="3169"/>
      <c r="AQ84" s="3169"/>
      <c r="AR84" s="3169"/>
      <c r="AS84" s="3169"/>
    </row>
    <row r="85" spans="1:45">
      <c r="A85" s="290"/>
      <c r="B85" s="869" t="s">
        <v>338</v>
      </c>
      <c r="C85" s="162"/>
      <c r="D85" s="185" t="s">
        <v>463</v>
      </c>
      <c r="E85" s="185"/>
      <c r="F85" s="185"/>
      <c r="G85" s="237"/>
      <c r="H85" s="237"/>
      <c r="I85" s="237"/>
      <c r="J85" s="238"/>
      <c r="K85" s="238"/>
      <c r="L85" s="405" t="s">
        <v>238</v>
      </c>
      <c r="M85" s="162" t="str">
        <f>B85</f>
        <v>11.</v>
      </c>
      <c r="N85" s="1666" t="str">
        <f>IF(S85&lt;&gt;"",S85,IF(NOT(SchDTW_Used),"",SUM('Sch. D'!N73,'Sch. D'!N76)))</f>
        <v/>
      </c>
      <c r="O85" s="233"/>
      <c r="P85" s="265"/>
      <c r="Q85" s="265"/>
      <c r="R85" s="930"/>
      <c r="S85" s="1667"/>
      <c r="T85" s="32"/>
      <c r="X85" s="4464" t="s">
        <v>500</v>
      </c>
      <c r="Y85" s="1701" t="s">
        <v>3937</v>
      </c>
      <c r="AA85" s="1666" t="str">
        <f>SchDTW_Line15</f>
        <v>Filing status?</v>
      </c>
      <c r="AB85" s="4463"/>
      <c r="AM85" s="4447"/>
      <c r="AN85" s="3169"/>
      <c r="AO85" s="3169"/>
      <c r="AP85" s="3169"/>
      <c r="AQ85" s="3169"/>
      <c r="AR85" s="3169"/>
      <c r="AS85" s="3169"/>
    </row>
    <row r="86" spans="1:45">
      <c r="A86" s="290"/>
      <c r="B86" s="869" t="s">
        <v>339</v>
      </c>
      <c r="C86" s="162"/>
      <c r="D86" s="185" t="s">
        <v>206</v>
      </c>
      <c r="E86" s="185"/>
      <c r="F86" s="185"/>
      <c r="G86" s="237"/>
      <c r="H86" s="237"/>
      <c r="I86" s="237"/>
      <c r="J86" s="238"/>
      <c r="K86" s="162" t="str">
        <f>B86</f>
        <v>12.</v>
      </c>
      <c r="L86" s="1666" t="str">
        <f>IF(NOT(SchDTW_Used),"",MIN(N83,N85))</f>
        <v/>
      </c>
      <c r="M86" s="162"/>
      <c r="N86" s="466"/>
      <c r="O86" s="233"/>
      <c r="P86" s="265"/>
      <c r="Q86" s="265"/>
      <c r="R86" s="930"/>
      <c r="S86" s="51"/>
      <c r="T86" s="32"/>
      <c r="X86" s="4466" t="s">
        <v>215</v>
      </c>
      <c r="Y86" s="1701" t="s">
        <v>3938</v>
      </c>
      <c r="AA86" s="1666">
        <f>MIN(AA71,AA85)</f>
        <v>0</v>
      </c>
      <c r="AB86" s="4463"/>
      <c r="AM86" s="4447"/>
      <c r="AN86" s="3169"/>
      <c r="AO86" s="3169"/>
      <c r="AP86" s="3169"/>
      <c r="AQ86" s="3169"/>
      <c r="AR86" s="3169"/>
      <c r="AS86" s="3169"/>
    </row>
    <row r="87" spans="1:45">
      <c r="A87" s="290"/>
      <c r="B87" s="869" t="s">
        <v>498</v>
      </c>
      <c r="C87" s="162"/>
      <c r="D87" s="403" t="s">
        <v>254</v>
      </c>
      <c r="E87" s="280"/>
      <c r="F87" s="280"/>
      <c r="G87" s="237"/>
      <c r="H87" s="237"/>
      <c r="I87" s="237"/>
      <c r="J87" s="238"/>
      <c r="K87" s="162"/>
      <c r="L87" s="162"/>
      <c r="M87" s="162"/>
      <c r="N87" s="405" t="s">
        <v>541</v>
      </c>
      <c r="O87" s="405" t="str">
        <f>B87</f>
        <v>13.</v>
      </c>
      <c r="P87" s="1666" t="str">
        <f>IF(NOT(SchDTW_Used),"",L84-L86)</f>
        <v/>
      </c>
      <c r="Q87" s="265"/>
      <c r="R87" s="930"/>
      <c r="S87" s="565"/>
      <c r="T87" s="32"/>
      <c r="X87" s="4464" t="s">
        <v>559</v>
      </c>
      <c r="Y87" s="1701" t="s">
        <v>3939</v>
      </c>
      <c r="AA87" s="1666">
        <f>MIN(AA84,AA86)</f>
        <v>0</v>
      </c>
      <c r="AB87" s="4463"/>
      <c r="AM87" s="4447"/>
      <c r="AN87" s="3169"/>
      <c r="AO87" s="3169"/>
      <c r="AP87" s="3169"/>
      <c r="AQ87" s="3169"/>
      <c r="AR87" s="3169"/>
      <c r="AS87" s="3169"/>
    </row>
    <row r="88" spans="1:45" ht="12.75" customHeight="1">
      <c r="A88" s="290"/>
      <c r="B88" s="869" t="s">
        <v>499</v>
      </c>
      <c r="C88" s="162"/>
      <c r="D88" s="403" t="s">
        <v>255</v>
      </c>
      <c r="E88" s="280"/>
      <c r="F88" s="280"/>
      <c r="G88" s="237"/>
      <c r="H88" s="237"/>
      <c r="I88" s="237"/>
      <c r="J88" s="238"/>
      <c r="K88" s="162"/>
      <c r="L88" s="162"/>
      <c r="M88" s="162"/>
      <c r="N88" s="1668" t="s">
        <v>737</v>
      </c>
      <c r="O88" s="405" t="str">
        <f>B88</f>
        <v>14.</v>
      </c>
      <c r="P88" s="1666" t="str">
        <f>IF(S88&lt;&gt;"",ROUND(S88,0),IF(NOT(SchDTW_Used),"",IF(SchDTW_Line1-P87&lt;0,0,SchDTW_Line1-P87)))</f>
        <v/>
      </c>
      <c r="Q88" s="265"/>
      <c r="R88" s="930"/>
      <c r="S88" s="1667"/>
      <c r="T88" s="32"/>
      <c r="X88" s="4464" t="s">
        <v>560</v>
      </c>
      <c r="Y88" s="1701" t="s">
        <v>3940</v>
      </c>
      <c r="AA88" s="1666">
        <f>MAX(0,SUM(AA71,-AA80))</f>
        <v>0</v>
      </c>
      <c r="AB88" s="4463"/>
      <c r="AM88" s="4447"/>
      <c r="AN88" s="3169"/>
      <c r="AO88" s="3169"/>
      <c r="AP88" s="3169"/>
      <c r="AQ88" s="3169"/>
      <c r="AR88" s="3169"/>
      <c r="AS88" s="3169"/>
    </row>
    <row r="89" spans="1:45" ht="14.25" customHeight="1">
      <c r="A89" s="290"/>
      <c r="B89" s="869" t="s">
        <v>500</v>
      </c>
      <c r="C89" s="162"/>
      <c r="D89" s="403" t="s">
        <v>1016</v>
      </c>
      <c r="E89" s="185"/>
      <c r="F89" s="185"/>
      <c r="G89" s="237"/>
      <c r="H89" s="237"/>
      <c r="I89" s="237"/>
      <c r="J89" s="238"/>
      <c r="K89" s="238"/>
      <c r="L89" s="238"/>
      <c r="M89" s="238"/>
      <c r="N89" s="466"/>
      <c r="O89" s="466"/>
      <c r="P89" s="466"/>
      <c r="Q89" s="266"/>
      <c r="R89" s="670"/>
      <c r="S89" s="601"/>
      <c r="T89" s="32"/>
      <c r="X89" s="4466" t="s">
        <v>561</v>
      </c>
      <c r="Y89" s="1701" t="s">
        <v>3941</v>
      </c>
      <c r="AA89" s="1666">
        <f>MAX(AA87,AA88)</f>
        <v>0</v>
      </c>
      <c r="AB89" s="4463"/>
      <c r="AM89" s="4447"/>
      <c r="AN89" s="3169"/>
      <c r="AO89" s="3169"/>
      <c r="AP89" s="3169"/>
      <c r="AQ89" s="3169"/>
      <c r="AR89" s="3169"/>
      <c r="AS89" s="3169"/>
    </row>
    <row r="90" spans="1:45">
      <c r="A90" s="290"/>
      <c r="B90" s="1687" t="b">
        <f>IF(OR(File_Single&lt;&gt;"",File_Marr_Sep&lt;&gt;""),TRUE,FALSE)</f>
        <v>0</v>
      </c>
      <c r="C90" s="162"/>
      <c r="D90" s="402" t="s">
        <v>385</v>
      </c>
      <c r="E90" s="185" t="str">
        <f>TEXT(N90,"$0,000")&amp;" if single or married filing separately;"</f>
        <v>$38,600 if single or married filing separately;</v>
      </c>
      <c r="F90" s="402"/>
      <c r="G90" s="237"/>
      <c r="H90" s="237"/>
      <c r="I90" s="237"/>
      <c r="J90" s="238"/>
      <c r="K90" s="238"/>
      <c r="L90" s="681" t="str">
        <f>IF(OR(File_Single&lt;&gt;"",File_Marr_Sep&lt;&gt;""),N90,IF(OR(File_Marr_Joint&lt;&gt;"",File_Qual_Widow&lt;&gt;""),N91,IF(File_Head&lt;&gt;"",N92,"Filing status?")))</f>
        <v>Filing status?</v>
      </c>
      <c r="M90" s="471"/>
      <c r="N90" s="681">
        <v>38600</v>
      </c>
      <c r="O90" s="466"/>
      <c r="P90" s="466"/>
      <c r="Q90" s="266"/>
      <c r="R90" s="670"/>
      <c r="S90" s="51"/>
      <c r="T90" s="32"/>
      <c r="X90" s="4466" t="s">
        <v>392</v>
      </c>
      <c r="Y90" s="1701" t="s">
        <v>3942</v>
      </c>
      <c r="AA90" s="1666">
        <f>SUM(AA86,-AA87)</f>
        <v>0</v>
      </c>
      <c r="AB90" s="4463"/>
      <c r="AM90" s="4447"/>
      <c r="AN90" s="3169"/>
      <c r="AO90" s="3169"/>
      <c r="AP90" s="3169"/>
      <c r="AQ90" s="3169"/>
      <c r="AR90" s="3169"/>
      <c r="AS90" s="3169"/>
    </row>
    <row r="91" spans="1:45" ht="13.5" customHeight="1">
      <c r="A91" s="290"/>
      <c r="B91" s="1687" t="b">
        <f>IF(OR(File_Marr_Joint&lt;&gt;"",File_Qual_Widow&lt;&gt;""),TRUE,FALSE)</f>
        <v>0</v>
      </c>
      <c r="C91" s="162"/>
      <c r="D91" s="402" t="s">
        <v>385</v>
      </c>
      <c r="E91" s="185" t="str">
        <f>TEXT(N91,"$0,000")&amp;" if married filing jointly or qualifying widow(er); or"</f>
        <v>$77,200 if married filing jointly or qualifying widow(er); or</v>
      </c>
      <c r="F91" s="402"/>
      <c r="G91" s="237"/>
      <c r="H91" s="237"/>
      <c r="I91" s="237"/>
      <c r="J91" s="334" t="s">
        <v>148</v>
      </c>
      <c r="K91" s="868" t="str">
        <f>B89</f>
        <v>15.</v>
      </c>
      <c r="L91" s="1666" t="str">
        <f>IF(NOT(SchDTW_Used),"",L90)</f>
        <v/>
      </c>
      <c r="M91" s="472"/>
      <c r="N91" s="681">
        <v>77200</v>
      </c>
      <c r="O91" s="466"/>
      <c r="P91" s="466"/>
      <c r="Q91" s="266"/>
      <c r="R91" s="670"/>
      <c r="S91" s="565"/>
      <c r="T91" s="32"/>
      <c r="X91" s="4464" t="s">
        <v>393</v>
      </c>
      <c r="Y91" s="1701" t="s">
        <v>3943</v>
      </c>
      <c r="AA91" s="1666">
        <f>MIN(AA71,AA83)</f>
        <v>0</v>
      </c>
      <c r="AB91" s="4463" t="b">
        <f>(SchDTW_Line1=AA86)</f>
        <v>0</v>
      </c>
      <c r="AM91" s="4447"/>
      <c r="AN91" s="3169"/>
      <c r="AO91" s="3169"/>
      <c r="AP91" s="3169"/>
      <c r="AQ91" s="3169"/>
      <c r="AR91" s="3169"/>
      <c r="AS91" s="3169"/>
    </row>
    <row r="92" spans="1:45" ht="13.5" customHeight="1">
      <c r="A92" s="290"/>
      <c r="B92" s="1687" t="b">
        <f>IF(File_Head&lt;&gt;"",TRUE,FALSE)</f>
        <v>0</v>
      </c>
      <c r="C92" s="162"/>
      <c r="D92" s="402" t="s">
        <v>385</v>
      </c>
      <c r="E92" s="185" t="str">
        <f>TEXT(N92,"$0,000")&amp;" if head of household."</f>
        <v>$51,700 if head of household.</v>
      </c>
      <c r="F92" s="402"/>
      <c r="G92" s="237"/>
      <c r="H92" s="237"/>
      <c r="I92" s="237"/>
      <c r="J92" s="238"/>
      <c r="K92" s="238"/>
      <c r="L92" s="238"/>
      <c r="M92" s="238"/>
      <c r="N92" s="681">
        <v>51700</v>
      </c>
      <c r="O92" s="466"/>
      <c r="P92" s="466"/>
      <c r="Q92" s="266"/>
      <c r="R92" s="670"/>
      <c r="S92" s="51"/>
      <c r="T92" s="32"/>
      <c r="X92" s="4464" t="s">
        <v>394</v>
      </c>
      <c r="Y92" s="1701" t="s">
        <v>3944</v>
      </c>
      <c r="AA92" s="1666">
        <f>IF(AB91,"",IF(AA90="",0,AA90))</f>
        <v>0</v>
      </c>
      <c r="AB92" s="4463"/>
      <c r="AM92" s="4447"/>
      <c r="AN92" s="3169"/>
      <c r="AO92" s="3169"/>
      <c r="AP92" s="3169"/>
      <c r="AQ92" s="3169"/>
      <c r="AR92" s="3169"/>
      <c r="AS92" s="3169"/>
    </row>
    <row r="93" spans="1:45" ht="12.75" customHeight="1">
      <c r="A93" s="290"/>
      <c r="B93" s="870" t="s">
        <v>215</v>
      </c>
      <c r="C93" s="162"/>
      <c r="D93" s="403" t="s">
        <v>659</v>
      </c>
      <c r="E93" s="403"/>
      <c r="F93" s="403"/>
      <c r="G93" s="237"/>
      <c r="H93" s="237"/>
      <c r="I93" s="237"/>
      <c r="J93" s="238"/>
      <c r="K93" s="238"/>
      <c r="L93" s="405" t="s">
        <v>238</v>
      </c>
      <c r="M93" s="162" t="str">
        <f>B93</f>
        <v>16.</v>
      </c>
      <c r="N93" s="1666" t="str">
        <f>IF(NOT(SchDTW_Used),"",MIN(SchDTW_Line1,L91))</f>
        <v/>
      </c>
      <c r="O93" s="405"/>
      <c r="P93" s="466"/>
      <c r="Q93" s="265"/>
      <c r="R93" s="930"/>
      <c r="S93" s="565"/>
      <c r="T93" s="32"/>
      <c r="X93" s="4466" t="s">
        <v>395</v>
      </c>
      <c r="Y93" s="1701" t="s">
        <v>3942</v>
      </c>
      <c r="AA93" s="1666">
        <f>IF(AB91,"",MAX(0,SUM(AA91,-AA92)))</f>
        <v>0</v>
      </c>
      <c r="AB93" s="4463"/>
      <c r="AM93" s="4447"/>
      <c r="AN93" s="3169"/>
      <c r="AO93" s="3169"/>
      <c r="AP93" s="3169"/>
      <c r="AQ93" s="3169"/>
      <c r="AR93" s="3169"/>
      <c r="AS93" s="3169"/>
    </row>
    <row r="94" spans="1:45" ht="12.75" customHeight="1">
      <c r="A94" s="290"/>
      <c r="B94" s="871" t="s">
        <v>559</v>
      </c>
      <c r="C94" s="162"/>
      <c r="D94" s="403" t="s">
        <v>660</v>
      </c>
      <c r="E94" s="185"/>
      <c r="F94" s="185"/>
      <c r="G94" s="237"/>
      <c r="H94" s="237"/>
      <c r="I94" s="237"/>
      <c r="J94" s="405" t="s">
        <v>312</v>
      </c>
      <c r="K94" s="162" t="str">
        <f>B94</f>
        <v>17.</v>
      </c>
      <c r="L94" s="1666" t="str">
        <f>IF(NOT(SchDTW_Used),"",MIN(P88,N93))</f>
        <v/>
      </c>
      <c r="M94" s="472"/>
      <c r="N94" s="680"/>
      <c r="O94" s="466"/>
      <c r="P94" s="466"/>
      <c r="Q94" s="264"/>
      <c r="R94" s="670"/>
      <c r="S94" s="565"/>
      <c r="T94" s="32"/>
      <c r="X94" s="4464" t="s">
        <v>396</v>
      </c>
      <c r="Y94" s="1701" t="s">
        <v>3945</v>
      </c>
      <c r="AA94" s="1666" t="str">
        <f>IF(AB91,"",SchDTW_Line24)</f>
        <v>Filing status?</v>
      </c>
      <c r="AB94" s="4463"/>
      <c r="AM94" s="4447"/>
      <c r="AN94" s="3169"/>
      <c r="AO94" s="3169"/>
      <c r="AP94" s="3169"/>
      <c r="AQ94" s="3169"/>
      <c r="AR94" s="3169"/>
      <c r="AS94" s="3169"/>
    </row>
    <row r="95" spans="1:45" ht="12.75" customHeight="1">
      <c r="A95" s="290"/>
      <c r="B95" s="870" t="s">
        <v>560</v>
      </c>
      <c r="C95" s="161"/>
      <c r="D95" s="403" t="s">
        <v>31</v>
      </c>
      <c r="E95" s="403"/>
      <c r="F95" s="403"/>
      <c r="G95" s="237"/>
      <c r="H95" s="237"/>
      <c r="I95" s="237"/>
      <c r="J95" s="405" t="s">
        <v>667</v>
      </c>
      <c r="K95" s="162" t="str">
        <f>B95</f>
        <v>18.</v>
      </c>
      <c r="L95" s="1666" t="str">
        <f>IF(NOT(SchDTW_Used),"",MAX(0,SUM(SchDTW_Line1,-L84)))</f>
        <v/>
      </c>
      <c r="M95" s="472"/>
      <c r="N95" s="466"/>
      <c r="O95" s="466"/>
      <c r="P95" s="466"/>
      <c r="Q95" s="265"/>
      <c r="R95" s="930"/>
      <c r="S95" s="51"/>
      <c r="T95" s="32"/>
      <c r="X95" s="4464" t="s">
        <v>397</v>
      </c>
      <c r="Y95" s="1701" t="s">
        <v>3946</v>
      </c>
      <c r="AA95" s="1666">
        <f>IF(AB91,"",MIN(AA71,AA94))</f>
        <v>0</v>
      </c>
      <c r="AB95" s="4463"/>
      <c r="AM95" s="4447"/>
      <c r="AN95" s="3169"/>
      <c r="AO95" s="3169"/>
      <c r="AP95" s="3169"/>
      <c r="AQ95" s="3169"/>
      <c r="AR95" s="3169"/>
      <c r="AS95" s="3169"/>
    </row>
    <row r="96" spans="1:45" ht="12.75" customHeight="1">
      <c r="A96" s="290"/>
      <c r="B96" s="870" t="s">
        <v>561</v>
      </c>
      <c r="C96" s="162"/>
      <c r="D96" s="403" t="s">
        <v>662</v>
      </c>
      <c r="E96" s="403"/>
      <c r="F96" s="403"/>
      <c r="G96" s="237"/>
      <c r="H96" s="237"/>
      <c r="I96" s="237"/>
      <c r="J96" s="238"/>
      <c r="K96" s="238"/>
      <c r="L96" s="405" t="s">
        <v>763</v>
      </c>
      <c r="M96" s="162" t="str">
        <f>B96</f>
        <v>19.</v>
      </c>
      <c r="N96" s="1666" t="str">
        <f>IF(NOT(SchDTW_Used),"",MAX(L94,L95))</f>
        <v/>
      </c>
      <c r="O96" s="405"/>
      <c r="P96" s="466"/>
      <c r="Q96" s="265"/>
      <c r="R96" s="930"/>
      <c r="S96" s="51"/>
      <c r="T96" s="32"/>
      <c r="U96" s="1004"/>
      <c r="X96" s="4464" t="s">
        <v>398</v>
      </c>
      <c r="Y96" s="1701" t="s">
        <v>1018</v>
      </c>
      <c r="AA96" s="1666">
        <f>IF(AB91,"",SUM(AA89,AA90))</f>
        <v>0</v>
      </c>
      <c r="AB96" s="4463"/>
      <c r="AM96" s="4447"/>
      <c r="AN96" s="3169"/>
      <c r="AO96" s="3169"/>
      <c r="AP96" s="3169"/>
      <c r="AQ96" s="3169"/>
      <c r="AR96" s="3169"/>
      <c r="AS96" s="3169"/>
    </row>
    <row r="97" spans="1:45" ht="12.75" customHeight="1">
      <c r="A97" s="290"/>
      <c r="B97" s="870" t="s">
        <v>392</v>
      </c>
      <c r="C97" s="162"/>
      <c r="D97" s="403" t="s">
        <v>663</v>
      </c>
      <c r="E97" s="403"/>
      <c r="F97" s="403"/>
      <c r="G97" s="237"/>
      <c r="H97" s="237"/>
      <c r="I97" s="237"/>
      <c r="J97" s="238"/>
      <c r="K97" s="238"/>
      <c r="L97" s="405" t="s">
        <v>422</v>
      </c>
      <c r="M97" s="162" t="str">
        <f>B97</f>
        <v>20.</v>
      </c>
      <c r="N97" s="1666" t="str">
        <f>IF(NOT(SchDTW_Used),"",SUM(N93,-L94))</f>
        <v/>
      </c>
      <c r="O97" s="405"/>
      <c r="P97" s="634">
        <f>IF(N97&lt;&gt;"",N97,0)</f>
        <v>0</v>
      </c>
      <c r="Q97" s="264"/>
      <c r="R97" s="670"/>
      <c r="S97" s="1114" t="b">
        <f>(SchDTW_Line1=N93)</f>
        <v>1</v>
      </c>
      <c r="T97" s="32"/>
      <c r="X97" s="4464" t="s">
        <v>399</v>
      </c>
      <c r="Y97" s="1701" t="s">
        <v>3947</v>
      </c>
      <c r="AA97" s="1666">
        <f>IF(AB91,"",MAX(0,SUM(AA95,-AA96)))</f>
        <v>0</v>
      </c>
      <c r="AB97" s="4463"/>
      <c r="AM97" s="4447"/>
      <c r="AN97" s="3169"/>
      <c r="AO97" s="3169"/>
      <c r="AP97" s="3169"/>
      <c r="AQ97" s="3169"/>
      <c r="AR97" s="3169"/>
      <c r="AS97" s="3169"/>
    </row>
    <row r="98" spans="1:45" s="1005" customFormat="1" ht="12.75" customHeight="1">
      <c r="A98" s="290"/>
      <c r="B98" s="240"/>
      <c r="C98" s="162"/>
      <c r="D98" s="225" t="s">
        <v>1035</v>
      </c>
      <c r="E98" s="225"/>
      <c r="F98" s="225"/>
      <c r="G98" s="237"/>
      <c r="H98" s="237"/>
      <c r="I98" s="237"/>
      <c r="J98" s="238"/>
      <c r="K98" s="238"/>
      <c r="L98" s="238"/>
      <c r="M98" s="238"/>
      <c r="N98" s="469"/>
      <c r="O98" s="405"/>
      <c r="P98" s="1002"/>
      <c r="Q98" s="264"/>
      <c r="R98" s="1003"/>
      <c r="S98" s="1595" t="str">
        <f>IF(NOT(SchDTW_Used),"",IF(Skip2141,"Skip lines 21 through 41.","Go to Line 21."))</f>
        <v/>
      </c>
      <c r="T98" s="32"/>
      <c r="U98" s="46"/>
      <c r="V98" s="1004"/>
      <c r="W98" s="1004"/>
      <c r="X98" s="4466" t="s">
        <v>3920</v>
      </c>
      <c r="Y98" s="1701" t="s">
        <v>3948</v>
      </c>
      <c r="Z98"/>
      <c r="AA98" s="1666">
        <f>IF(AB91,"",MIN(AA93,AA97))</f>
        <v>0</v>
      </c>
      <c r="AB98" s="4467"/>
      <c r="AM98" s="4448"/>
      <c r="AN98" s="3205"/>
      <c r="AO98" s="3205"/>
      <c r="AP98" s="3205"/>
      <c r="AQ98" s="3205"/>
      <c r="AR98" s="3205"/>
      <c r="AS98" s="3205"/>
    </row>
    <row r="99" spans="1:45" ht="12.75" customHeight="1">
      <c r="A99" s="290"/>
      <c r="B99" s="871" t="s">
        <v>393</v>
      </c>
      <c r="C99" s="162"/>
      <c r="D99" s="403" t="s">
        <v>664</v>
      </c>
      <c r="E99" s="185"/>
      <c r="F99" s="185"/>
      <c r="G99" s="237"/>
      <c r="H99" s="237"/>
      <c r="I99" s="237"/>
      <c r="J99" s="405" t="s">
        <v>263</v>
      </c>
      <c r="K99" s="162" t="str">
        <f>B99</f>
        <v>21.</v>
      </c>
      <c r="L99" s="1666" t="str">
        <f>IF(NOT(SchDTW_Used),"",IF(Skip2141,"",MIN(SchDTW_Line1,P87)))</f>
        <v/>
      </c>
      <c r="M99" s="472"/>
      <c r="N99" s="680"/>
      <c r="O99" s="466"/>
      <c r="P99" s="466"/>
      <c r="Q99" s="264"/>
      <c r="R99" s="670"/>
      <c r="S99" s="51"/>
      <c r="T99" s="32"/>
      <c r="X99" s="4462" t="s">
        <v>3921</v>
      </c>
      <c r="Y99" s="1701" t="str">
        <f>"Multiply line 28 by "&amp;TEXT(AB99,"0%")</f>
        <v>Multiply line 28 by 15%</v>
      </c>
      <c r="AA99" s="1666">
        <f>IF(AB91,"",ROUND(AA98*AB99,0))</f>
        <v>0</v>
      </c>
      <c r="AB99" s="4468">
        <f>SchDTW_Line29Rate</f>
        <v>0.15</v>
      </c>
      <c r="AM99" s="4447"/>
      <c r="AN99" s="3169"/>
      <c r="AO99" s="3169"/>
      <c r="AP99" s="3169"/>
      <c r="AQ99" s="3169"/>
      <c r="AR99" s="3169"/>
      <c r="AS99" s="3169"/>
    </row>
    <row r="100" spans="1:45" ht="12.75" customHeight="1">
      <c r="A100" s="290"/>
      <c r="B100" s="870" t="s">
        <v>394</v>
      </c>
      <c r="C100" s="161"/>
      <c r="D100" s="403" t="s">
        <v>665</v>
      </c>
      <c r="E100" s="403"/>
      <c r="F100" s="403"/>
      <c r="G100" s="237"/>
      <c r="H100" s="237"/>
      <c r="I100" s="237"/>
      <c r="J100" s="650" t="s">
        <v>373</v>
      </c>
      <c r="K100" s="162" t="str">
        <f>B100</f>
        <v>22.</v>
      </c>
      <c r="L100" s="1666" t="str">
        <f>IF(NOT(SchDTW_Used),"",IF(Skip2141,"",IF(N97="",0,N97)))</f>
        <v/>
      </c>
      <c r="M100" s="472"/>
      <c r="N100" s="466"/>
      <c r="O100" s="466"/>
      <c r="P100" s="466"/>
      <c r="Q100" s="265"/>
      <c r="R100" s="930"/>
      <c r="S100" s="726"/>
      <c r="T100" s="32"/>
      <c r="X100" s="4464" t="s">
        <v>3922</v>
      </c>
      <c r="Y100" s="1701" t="s">
        <v>1020</v>
      </c>
      <c r="AA100" s="1666">
        <f>IF(AB91,"",SUM(AA92,AA98))</f>
        <v>0</v>
      </c>
      <c r="AB100" s="4463" t="b">
        <f>(AA71=AA100)</f>
        <v>0</v>
      </c>
      <c r="AM100" s="4447"/>
      <c r="AN100" s="3169"/>
      <c r="AO100" s="3169"/>
      <c r="AP100" s="3169"/>
      <c r="AQ100" s="3169"/>
      <c r="AR100" s="3169"/>
      <c r="AS100" s="3169"/>
    </row>
    <row r="101" spans="1:45" ht="12.75" customHeight="1">
      <c r="A101" s="290"/>
      <c r="B101" s="870" t="s">
        <v>395</v>
      </c>
      <c r="C101" s="162"/>
      <c r="D101" s="403" t="s">
        <v>666</v>
      </c>
      <c r="E101" s="403"/>
      <c r="F101" s="403"/>
      <c r="G101" s="237"/>
      <c r="H101" s="237"/>
      <c r="I101" s="237"/>
      <c r="J101" s="238"/>
      <c r="K101" s="238"/>
      <c r="L101" s="405" t="s">
        <v>157</v>
      </c>
      <c r="M101" s="162" t="str">
        <f>B101</f>
        <v>23.</v>
      </c>
      <c r="N101" s="1666" t="str">
        <f>IF(OR(NOT(SchDTW_Used),Skip2141),"",SUM(L99,-L100))</f>
        <v/>
      </c>
      <c r="O101" s="405"/>
      <c r="P101" s="474"/>
      <c r="Q101" s="265"/>
      <c r="R101" s="930"/>
      <c r="S101" s="726"/>
      <c r="T101" s="32"/>
      <c r="X101" s="4466" t="s">
        <v>3923</v>
      </c>
      <c r="Y101" s="1701" t="s">
        <v>3949</v>
      </c>
      <c r="AA101" s="1666">
        <f>IF(OR(AB91,AB100),"",SUM(AA91,-AA100))</f>
        <v>0</v>
      </c>
      <c r="AB101" s="4463"/>
      <c r="AM101" s="4447"/>
      <c r="AN101" s="3169"/>
      <c r="AO101" s="3169"/>
      <c r="AP101" s="3169"/>
      <c r="AQ101" s="3169"/>
      <c r="AR101" s="3169"/>
      <c r="AS101" s="3169"/>
    </row>
    <row r="102" spans="1:45" ht="14.25" customHeight="1">
      <c r="A102" s="290"/>
      <c r="B102" s="869">
        <v>24</v>
      </c>
      <c r="C102" s="162"/>
      <c r="D102" s="403" t="s">
        <v>1016</v>
      </c>
      <c r="E102" s="185"/>
      <c r="F102" s="185"/>
      <c r="G102" s="237"/>
      <c r="H102" s="237"/>
      <c r="I102" s="237"/>
      <c r="J102" s="238"/>
      <c r="K102" s="238"/>
      <c r="L102" s="238"/>
      <c r="M102" s="238"/>
      <c r="N102" s="466"/>
      <c r="O102" s="466"/>
      <c r="P102" s="466"/>
      <c r="Q102" s="266"/>
      <c r="R102" s="670"/>
      <c r="S102" s="601"/>
      <c r="T102" s="32"/>
      <c r="X102" s="4462" t="s">
        <v>400</v>
      </c>
      <c r="Y102" s="1701" t="str">
        <f>"Multiply line 31 by "&amp;TEXT(AB102,"0%")</f>
        <v>Multiply line 31 by 20%</v>
      </c>
      <c r="AA102" s="1666">
        <f>IF(OR(AB91,AB100),"",ROUND(AA101*AB102,0))</f>
        <v>0</v>
      </c>
      <c r="AB102" s="4468">
        <f>SchDTW_Line32Rate</f>
        <v>0.2</v>
      </c>
      <c r="AM102" s="4447"/>
      <c r="AN102" s="3169"/>
      <c r="AO102" s="3169"/>
      <c r="AP102" s="3169"/>
      <c r="AQ102" s="3169"/>
      <c r="AR102" s="3169"/>
      <c r="AS102" s="3169"/>
    </row>
    <row r="103" spans="1:45" ht="14.25" customHeight="1">
      <c r="A103" s="290"/>
      <c r="B103" s="1687" t="b">
        <f>IF(File_Single&lt;&gt;"",TRUE,FALSE)</f>
        <v>0</v>
      </c>
      <c r="C103" s="162"/>
      <c r="D103" s="402" t="s">
        <v>385</v>
      </c>
      <c r="E103" s="185" t="str">
        <f>TEXT(N103,"$0,000")&amp;" if single;"</f>
        <v>$425,800 if single;</v>
      </c>
      <c r="F103" s="185"/>
      <c r="G103" s="185"/>
      <c r="H103" s="237"/>
      <c r="I103" s="237"/>
      <c r="J103" s="238"/>
      <c r="K103" s="238"/>
      <c r="L103" s="238"/>
      <c r="M103" s="238"/>
      <c r="N103" s="681">
        <v>425800</v>
      </c>
      <c r="O103" s="466"/>
      <c r="P103" s="466"/>
      <c r="Q103" s="266"/>
      <c r="R103" s="670"/>
      <c r="S103" s="51"/>
      <c r="T103" s="32"/>
      <c r="X103" s="4464" t="s">
        <v>401</v>
      </c>
      <c r="Y103" s="1701" t="s">
        <v>3924</v>
      </c>
      <c r="AA103" s="1666" t="str">
        <f>IF(OR(AB91,AB100,AB103),"",MIN(AA79,SchDLine19))</f>
        <v/>
      </c>
      <c r="AB103" s="4463" t="b">
        <f>OR(SchDLine19=0,SchDLine19="")</f>
        <v>1</v>
      </c>
      <c r="AM103" s="4447"/>
      <c r="AN103" s="3169"/>
      <c r="AO103" s="3169"/>
      <c r="AP103" s="3169"/>
      <c r="AQ103" s="3169"/>
      <c r="AR103" s="3169"/>
      <c r="AS103" s="3169"/>
    </row>
    <row r="104" spans="1:45">
      <c r="A104" s="290"/>
      <c r="B104" s="1687" t="b">
        <f>IF(File_Marr_Sep&lt;&gt;"",TRUE,FALSE)</f>
        <v>0</v>
      </c>
      <c r="C104" s="162"/>
      <c r="D104" s="402" t="s">
        <v>385</v>
      </c>
      <c r="E104" s="185" t="str">
        <f>TEXT(N104,"$0,000")&amp;" if married filing separately;"</f>
        <v>$239,500 if married filing separately;</v>
      </c>
      <c r="F104" s="402"/>
      <c r="G104" s="237"/>
      <c r="H104" s="237"/>
      <c r="I104" s="237"/>
      <c r="J104" s="238"/>
      <c r="K104" s="238"/>
      <c r="L104" s="681" t="str">
        <f>IF(File_Single&lt;&gt;"",N103,IF(File_Marr_Sep&lt;&gt;"",N104,IF(OR(File_Marr_Joint&lt;&gt;"",File_Qual_Widow),N105,IF(File_Head&lt;&gt;"",N106,"Filing status?"))))</f>
        <v>Filing status?</v>
      </c>
      <c r="M104" s="471"/>
      <c r="N104" s="681">
        <v>239500</v>
      </c>
      <c r="O104" s="466"/>
      <c r="P104" s="466"/>
      <c r="Q104" s="266"/>
      <c r="R104" s="670"/>
      <c r="S104" s="51"/>
      <c r="T104" s="32"/>
      <c r="X104" s="4469" t="s">
        <v>3926</v>
      </c>
      <c r="Y104" s="1701" t="s">
        <v>668</v>
      </c>
      <c r="AA104" s="1666" t="str">
        <f>IF(OR(AB91,AB100,AB103),"",SUM(AA80,AA89))</f>
        <v/>
      </c>
      <c r="AB104" s="4463"/>
      <c r="AM104" s="4447"/>
      <c r="AN104" s="3169"/>
      <c r="AO104" s="3169"/>
      <c r="AP104" s="3169"/>
      <c r="AQ104" s="3169"/>
      <c r="AR104" s="3169"/>
      <c r="AS104" s="3169"/>
    </row>
    <row r="105" spans="1:45" ht="13.5" customHeight="1">
      <c r="A105" s="290"/>
      <c r="B105" s="1687" t="b">
        <f>IF(OR(File_Marr_Joint&lt;&gt;"",File_Qual_Widow&lt;&gt;""),TRUE,FALSE)</f>
        <v>0</v>
      </c>
      <c r="C105" s="162"/>
      <c r="D105" s="402" t="s">
        <v>385</v>
      </c>
      <c r="E105" s="185" t="str">
        <f>TEXT(N105,"$0,000")&amp;" if married filing jointly or qualifying widow(er); or"</f>
        <v>$479,000 if married filing jointly or qualifying widow(er); or</v>
      </c>
      <c r="F105" s="402"/>
      <c r="G105" s="237"/>
      <c r="H105" s="237"/>
      <c r="I105" s="237"/>
      <c r="J105" s="334" t="s">
        <v>148</v>
      </c>
      <c r="K105" s="868">
        <f>B102</f>
        <v>24</v>
      </c>
      <c r="L105" s="1666" t="str">
        <f>IF(OR(NOT(SchDTW_Used),Skip2141),"",L104)</f>
        <v/>
      </c>
      <c r="M105" s="472"/>
      <c r="N105" s="681">
        <v>479000</v>
      </c>
      <c r="O105" s="466"/>
      <c r="P105" s="466"/>
      <c r="Q105" s="266"/>
      <c r="R105" s="670"/>
      <c r="S105" s="565"/>
      <c r="T105" s="32"/>
      <c r="X105" s="4469" t="s">
        <v>3950</v>
      </c>
      <c r="Y105" s="1701" t="s">
        <v>3951</v>
      </c>
      <c r="AA105" s="1666" t="str">
        <f>IF(OR(AB91,AB100,AB103),"",AA71)</f>
        <v/>
      </c>
      <c r="AB105" s="4463"/>
      <c r="AM105" s="4447"/>
      <c r="AN105" s="3169"/>
      <c r="AO105" s="3169"/>
      <c r="AP105" s="3169"/>
      <c r="AQ105" s="3169"/>
      <c r="AR105" s="3169"/>
      <c r="AS105" s="3169"/>
    </row>
    <row r="106" spans="1:45" ht="13.5" customHeight="1">
      <c r="A106" s="290"/>
      <c r="B106" s="1687" t="b">
        <f>IF(File_Head&lt;&gt;"",TRUE,FALSE)</f>
        <v>0</v>
      </c>
      <c r="C106" s="162"/>
      <c r="D106" s="402" t="s">
        <v>385</v>
      </c>
      <c r="E106" s="185" t="str">
        <f>TEXT(N106,"$0,000")&amp;" if head of household."</f>
        <v>$452,400 if head of household.</v>
      </c>
      <c r="F106" s="402"/>
      <c r="G106" s="237"/>
      <c r="H106" s="237"/>
      <c r="I106" s="237"/>
      <c r="J106" s="238"/>
      <c r="K106" s="238"/>
      <c r="L106" s="238"/>
      <c r="M106" s="238"/>
      <c r="N106" s="681">
        <v>452400</v>
      </c>
      <c r="O106" s="466"/>
      <c r="P106" s="466"/>
      <c r="Q106" s="266"/>
      <c r="R106" s="670"/>
      <c r="S106" s="51"/>
      <c r="T106" s="32"/>
      <c r="X106" s="4464" t="s">
        <v>3952</v>
      </c>
      <c r="Y106" s="1701" t="s">
        <v>3953</v>
      </c>
      <c r="AA106" s="1666" t="str">
        <f>IF(OR(AB91,AB100,AB103),"",MAX(0,SUM(AA104,-AA105)))</f>
        <v/>
      </c>
      <c r="AB106" s="4463"/>
      <c r="AM106" s="4447"/>
      <c r="AN106" s="3169"/>
      <c r="AO106" s="3169"/>
      <c r="AP106" s="3169"/>
      <c r="AQ106" s="3169"/>
      <c r="AR106" s="3169"/>
      <c r="AS106" s="3169"/>
    </row>
    <row r="107" spans="1:45" ht="13.5" customHeight="1">
      <c r="A107" s="290"/>
      <c r="B107" s="869">
        <v>25</v>
      </c>
      <c r="C107" s="162"/>
      <c r="D107" s="403" t="s">
        <v>1017</v>
      </c>
      <c r="E107" s="185"/>
      <c r="F107" s="402"/>
      <c r="G107" s="237"/>
      <c r="H107" s="237"/>
      <c r="I107" s="237"/>
      <c r="J107" s="238"/>
      <c r="K107" s="868">
        <f>B107</f>
        <v>25</v>
      </c>
      <c r="L107" s="1666" t="str">
        <f>IF(OR(NOT(SchDTW_Used),Skip2141),"",MIN(SchDTW_Line1,L105))</f>
        <v/>
      </c>
      <c r="M107" s="238"/>
      <c r="N107" s="681"/>
      <c r="O107" s="466"/>
      <c r="P107" s="466"/>
      <c r="Q107" s="266"/>
      <c r="R107" s="670"/>
      <c r="S107" s="51"/>
      <c r="T107" s="32"/>
      <c r="X107" s="4466" t="s">
        <v>3954</v>
      </c>
      <c r="Y107" s="1701" t="s">
        <v>3955</v>
      </c>
      <c r="AA107" s="1666" t="str">
        <f>IF(OR(AB91,AB100,AB103),"",MAX(0,SUM(AA103,-AA106)))</f>
        <v/>
      </c>
      <c r="AB107" s="4463"/>
      <c r="AM107" s="4447"/>
      <c r="AN107" s="3169"/>
      <c r="AO107" s="3169"/>
      <c r="AP107" s="3169"/>
      <c r="AQ107" s="3169"/>
      <c r="AR107" s="3169"/>
      <c r="AS107" s="3169"/>
    </row>
    <row r="108" spans="1:45" ht="13.5" customHeight="1">
      <c r="A108" s="290"/>
      <c r="B108" s="869">
        <v>26</v>
      </c>
      <c r="C108" s="162"/>
      <c r="D108" s="403" t="s">
        <v>1018</v>
      </c>
      <c r="E108" s="185"/>
      <c r="F108" s="402"/>
      <c r="G108" s="237"/>
      <c r="H108" s="237"/>
      <c r="I108" s="237"/>
      <c r="J108" s="238"/>
      <c r="K108" s="868">
        <f>B108</f>
        <v>26</v>
      </c>
      <c r="L108" s="1666" t="str">
        <f>IF(OR(NOT(SchDTW_Used),Skip2141),"",SUM(SchDTW_Line19,N97))</f>
        <v/>
      </c>
      <c r="M108" s="238"/>
      <c r="N108" s="681"/>
      <c r="O108" s="466"/>
      <c r="P108" s="466"/>
      <c r="Q108" s="266"/>
      <c r="R108" s="670"/>
      <c r="S108" s="51"/>
      <c r="T108" s="32"/>
      <c r="X108" s="4462" t="s">
        <v>3956</v>
      </c>
      <c r="Y108" s="1701" t="str">
        <f>"Multiply line 37 by "&amp;TEXT(AB108,"0%")</f>
        <v>Multiply line 37 by 25%</v>
      </c>
      <c r="AA108" s="1666" t="str">
        <f>IF(OR(AB91,AB100,AB103),"",ROUND(AA107*AB108,0))</f>
        <v/>
      </c>
      <c r="AB108" s="4468">
        <f>SchDTW_Line38Rate</f>
        <v>0.25</v>
      </c>
      <c r="AM108" s="4447"/>
      <c r="AN108" s="3169"/>
      <c r="AO108" s="3169"/>
      <c r="AP108" s="3169"/>
      <c r="AQ108" s="3169"/>
      <c r="AR108" s="3169"/>
      <c r="AS108" s="3169"/>
    </row>
    <row r="109" spans="1:45" ht="13.5" customHeight="1">
      <c r="A109" s="290"/>
      <c r="B109" s="869">
        <v>27</v>
      </c>
      <c r="C109" s="162"/>
      <c r="D109" s="403" t="s">
        <v>1019</v>
      </c>
      <c r="E109" s="185"/>
      <c r="F109" s="402"/>
      <c r="G109" s="237"/>
      <c r="H109" s="237"/>
      <c r="I109" s="237"/>
      <c r="J109" s="238"/>
      <c r="K109" s="868">
        <f>B109</f>
        <v>27</v>
      </c>
      <c r="L109" s="1666" t="str">
        <f>IF(OR(NOT(SchDTW_Used),Skip2141),"",IF(SUM(L107,-L108)&lt;=0,0,SUM(L107,-L108)))</f>
        <v/>
      </c>
      <c r="M109" s="238"/>
      <c r="N109" s="681"/>
      <c r="O109" s="466"/>
      <c r="P109" s="466"/>
      <c r="Q109" s="266"/>
      <c r="R109" s="670"/>
      <c r="S109" s="51"/>
      <c r="T109" s="32"/>
      <c r="X109" s="4466" t="s">
        <v>1027</v>
      </c>
      <c r="Y109" s="1701" t="s">
        <v>3957</v>
      </c>
      <c r="AA109" s="1666" t="str">
        <f>IF(OR(AB91,AB100,AB109),"",SUM(AA89,AA90,AA98,AA101,AA107))</f>
        <v/>
      </c>
      <c r="AB109" s="4463" t="b">
        <f>OR(SchDLine18=0,SchDLine18="")</f>
        <v>1</v>
      </c>
      <c r="AM109" s="4447"/>
      <c r="AN109" s="3169"/>
      <c r="AO109" s="3169"/>
      <c r="AP109" s="3169"/>
      <c r="AQ109" s="3169"/>
      <c r="AR109" s="3169"/>
      <c r="AS109" s="3169"/>
    </row>
    <row r="110" spans="1:45" ht="13.5" customHeight="1">
      <c r="A110" s="290"/>
      <c r="B110" s="869">
        <v>28</v>
      </c>
      <c r="C110" s="162"/>
      <c r="D110" s="403" t="s">
        <v>4131</v>
      </c>
      <c r="E110" s="185"/>
      <c r="F110" s="402"/>
      <c r="G110" s="237"/>
      <c r="H110" s="237"/>
      <c r="I110" s="237"/>
      <c r="J110" s="238"/>
      <c r="K110" s="868"/>
      <c r="L110" s="238"/>
      <c r="M110" s="868">
        <f>B110</f>
        <v>28</v>
      </c>
      <c r="N110" s="1666" t="str">
        <f>IF(OR(NOT(SchDTW_Used),Skip2141),"",MIN(N101,L109))</f>
        <v/>
      </c>
      <c r="O110" s="466"/>
      <c r="P110" s="466"/>
      <c r="Q110" s="266"/>
      <c r="R110" s="670"/>
      <c r="S110" s="51"/>
      <c r="T110" s="32"/>
      <c r="X110" s="4466" t="s">
        <v>1029</v>
      </c>
      <c r="Y110" s="1701" t="s">
        <v>3958</v>
      </c>
      <c r="AA110" s="1666" t="str">
        <f>IF(OR(AB91,AB100,AB109),"",SUM(AA71,-AA109))</f>
        <v/>
      </c>
      <c r="AB110" s="4463"/>
      <c r="AM110" s="4447"/>
      <c r="AN110" s="3169"/>
      <c r="AO110" s="3169"/>
      <c r="AP110" s="3169"/>
      <c r="AQ110" s="3169"/>
      <c r="AR110" s="3169"/>
      <c r="AS110" s="3169"/>
    </row>
    <row r="111" spans="1:45" ht="13.5" customHeight="1">
      <c r="A111" s="290"/>
      <c r="B111" s="869">
        <v>29</v>
      </c>
      <c r="C111" s="162"/>
      <c r="D111" s="403" t="str">
        <f>"Multiply line 28 by "&amp;TEXT(R111,"0%")&amp;" ("&amp;TEXT(R111,"0.00")&amp;")"</f>
        <v>Multiply line 28 by 15% (0.15)</v>
      </c>
      <c r="E111" s="185"/>
      <c r="F111" s="402"/>
      <c r="G111" s="237"/>
      <c r="H111" s="237"/>
      <c r="I111" s="237"/>
      <c r="J111" s="238"/>
      <c r="K111" s="238"/>
      <c r="L111" s="238"/>
      <c r="M111" s="238"/>
      <c r="N111" s="681"/>
      <c r="O111" s="868">
        <f>B111</f>
        <v>29</v>
      </c>
      <c r="P111" s="1666" t="str">
        <f>IF(OR(NOT(SchDTW_Used),Skip2141),"",ROUND($N$110*R111,0))</f>
        <v/>
      </c>
      <c r="Q111" s="266"/>
      <c r="R111" s="670">
        <v>0.15</v>
      </c>
      <c r="S111" s="51"/>
      <c r="T111" s="32"/>
      <c r="X111" s="4462" t="s">
        <v>1030</v>
      </c>
      <c r="Y111" s="1701" t="str">
        <f>"Multiply line 40 by "&amp;TEXT(AB111,"0%")</f>
        <v>Multiply line 40 by 28%</v>
      </c>
      <c r="AA111" s="1666" t="str">
        <f>IF(OR(AB91,AB100,AB109),"",ROUND(AA110*AB111,0))</f>
        <v/>
      </c>
      <c r="AB111" s="4468">
        <f>SchDTW_Line41Rate</f>
        <v>0.28000000000000003</v>
      </c>
      <c r="AM111" s="4447"/>
      <c r="AN111" s="3169"/>
      <c r="AO111" s="3169"/>
      <c r="AP111" s="3169"/>
      <c r="AQ111" s="3169"/>
      <c r="AR111" s="3169"/>
      <c r="AS111" s="3169"/>
    </row>
    <row r="112" spans="1:45" ht="13.5" customHeight="1">
      <c r="A112" s="290"/>
      <c r="B112" s="869">
        <v>30</v>
      </c>
      <c r="C112" s="162"/>
      <c r="D112" s="403" t="s">
        <v>1020</v>
      </c>
      <c r="E112" s="185"/>
      <c r="F112" s="402"/>
      <c r="G112" s="237"/>
      <c r="H112" s="237"/>
      <c r="I112" s="237"/>
      <c r="J112" s="238"/>
      <c r="K112" s="868">
        <f>B112</f>
        <v>30</v>
      </c>
      <c r="L112" s="1666" t="str">
        <f>IF(OR(NOT(SchDTW_Used),Skip2141),"",SUM(L100,N110))</f>
        <v/>
      </c>
      <c r="M112" s="238"/>
      <c r="N112" s="681"/>
      <c r="O112" s="466"/>
      <c r="P112" s="466"/>
      <c r="Q112" s="266"/>
      <c r="R112" s="670"/>
      <c r="S112" s="1114" t="b">
        <f>IF(OR(NOT(SchDTW_Used),Skip2141),FALSE,IF(SchDTW_Line1=L112,TRUE,FALSE))</f>
        <v>0</v>
      </c>
      <c r="T112" s="32"/>
      <c r="X112" s="4462" t="s">
        <v>1031</v>
      </c>
      <c r="Y112" s="1701" t="s">
        <v>3959</v>
      </c>
      <c r="AA112" s="1666" t="str">
        <f>AB117</f>
        <v>Filing status?</v>
      </c>
      <c r="AB112" s="4463"/>
      <c r="AM112" s="4447"/>
      <c r="AN112" s="3169"/>
      <c r="AO112" s="3169"/>
      <c r="AP112" s="3169"/>
      <c r="AQ112" s="3169"/>
      <c r="AR112" s="3169"/>
      <c r="AS112" s="3169"/>
    </row>
    <row r="113" spans="1:45" ht="13.5" customHeight="1" thickBot="1">
      <c r="A113" s="290"/>
      <c r="B113" s="240"/>
      <c r="C113" s="162"/>
      <c r="D113" s="225" t="s">
        <v>1021</v>
      </c>
      <c r="E113" s="185"/>
      <c r="F113" s="402"/>
      <c r="G113" s="237"/>
      <c r="H113" s="237"/>
      <c r="I113" s="237"/>
      <c r="J113" s="238"/>
      <c r="K113" s="238"/>
      <c r="L113" s="238"/>
      <c r="M113" s="238"/>
      <c r="N113" s="681"/>
      <c r="O113" s="466"/>
      <c r="P113" s="466"/>
      <c r="Q113" s="266"/>
      <c r="R113" s="670"/>
      <c r="S113" s="1595" t="str">
        <f>IF(OR(NOT(SchDTW_Used),Skip2141),"",IF(Skip3141,"Skip lines 31 through 41.","Go to Line 31."))</f>
        <v/>
      </c>
      <c r="T113" s="32"/>
      <c r="X113" s="4470" t="s">
        <v>3960</v>
      </c>
      <c r="Y113" s="277" t="s">
        <v>77</v>
      </c>
      <c r="Z113" s="277" t="s">
        <v>3629</v>
      </c>
      <c r="AA113" s="277" t="s">
        <v>531</v>
      </c>
      <c r="AB113" s="4471" t="s">
        <v>2508</v>
      </c>
      <c r="AM113" s="4447"/>
      <c r="AN113" s="3169"/>
      <c r="AO113" s="3169"/>
      <c r="AP113" s="3169"/>
      <c r="AQ113" s="3169"/>
      <c r="AR113" s="3169"/>
      <c r="AS113" s="3169"/>
    </row>
    <row r="114" spans="1:45" ht="13.5" customHeight="1" thickTop="1" thickBot="1">
      <c r="A114" s="290"/>
      <c r="B114" s="869">
        <v>31</v>
      </c>
      <c r="C114" s="162"/>
      <c r="D114" s="403" t="s">
        <v>1025</v>
      </c>
      <c r="E114" s="185"/>
      <c r="F114" s="402"/>
      <c r="G114" s="237"/>
      <c r="H114" s="237"/>
      <c r="I114" s="237"/>
      <c r="J114" s="238"/>
      <c r="K114" s="238"/>
      <c r="L114" s="238"/>
      <c r="M114" s="868">
        <f>B114</f>
        <v>31</v>
      </c>
      <c r="N114" s="1666" t="str">
        <f>IF(OR(NOT(SchDTW_Used),Skip2141,Skip3141),"",IF(L99-L112&lt;=0,0,SUM(L99,-L112)))</f>
        <v/>
      </c>
      <c r="O114" s="466"/>
      <c r="P114" s="466"/>
      <c r="Q114" s="266"/>
      <c r="R114" s="670"/>
      <c r="S114" s="51"/>
      <c r="T114" s="32"/>
      <c r="X114" s="4472">
        <f>AA89</f>
        <v>0</v>
      </c>
      <c r="Y114" s="4262">
        <f>LOOKUP(X114,'Tax Table'!$B$2:$B$2063,'Tax Table'!$D$2:$D$2063)</f>
        <v>0</v>
      </c>
      <c r="Z114" s="4262">
        <f>LOOKUP(X114,'Tax Table'!$B$2:$B$2063,'Tax Table'!$E$2:$E$2063)</f>
        <v>0</v>
      </c>
      <c r="AA114" s="4262">
        <f>LOOKUP(X114,'Tax Table'!$B$2:$B$2063,'Tax Table'!$F$2:$F$2063)</f>
        <v>0</v>
      </c>
      <c r="AB114" s="4473">
        <f>LOOKUP(X114,'Tax Table'!$B$2:$B$2063,'Tax Table'!$G$2:$G$2063)</f>
        <v>0</v>
      </c>
      <c r="AM114" s="4447"/>
      <c r="AN114" s="3169"/>
      <c r="AO114" s="3169"/>
      <c r="AP114" s="3169"/>
      <c r="AQ114" s="3169"/>
      <c r="AR114" s="3169"/>
      <c r="AS114" s="3169"/>
    </row>
    <row r="115" spans="1:45" ht="12.75" customHeight="1" thickBot="1">
      <c r="A115" s="290"/>
      <c r="B115" s="871" t="s">
        <v>400</v>
      </c>
      <c r="C115" s="162"/>
      <c r="D115" s="185" t="str">
        <f>"Multiply line 31 by "&amp;TEXT(R115,"0%")&amp;" ("&amp;TEXT(R115,"0.00")&amp;")"</f>
        <v>Multiply line 31 by 20% (0.20)</v>
      </c>
      <c r="E115" s="185"/>
      <c r="F115" s="185"/>
      <c r="G115" s="237"/>
      <c r="H115" s="237"/>
      <c r="I115" s="237"/>
      <c r="J115" s="238"/>
      <c r="K115" s="162"/>
      <c r="L115" s="162"/>
      <c r="M115" s="162"/>
      <c r="N115" s="405" t="s">
        <v>684</v>
      </c>
      <c r="O115" s="405" t="str">
        <f>B115</f>
        <v>32.</v>
      </c>
      <c r="P115" s="1666" t="str">
        <f>IF(OR(NOT(SchDTW_Used),Skip2141,Skip3141),"",ROUND((N114*R115),0))</f>
        <v/>
      </c>
      <c r="Q115" s="265"/>
      <c r="R115" s="670">
        <v>0.2</v>
      </c>
      <c r="S115" s="1114" t="b">
        <f>IF(OR(SchDLine19=0,SchDLine19=""),TRUE,FALSE)</f>
        <v>1</v>
      </c>
      <c r="T115" s="32"/>
      <c r="X115" s="4474"/>
      <c r="Y115" s="4264" t="str">
        <f>IF(X114&lt;SectA_a3,"---",IF(X114&lt;=SectA_a4,ROUND((X114*(SectA_b4/100)-SectA_d4),0),IF(X114&lt;=SectA_a5,ROUND((X114*(SectA_b5/100)-SectA_d5),0),IF(X114&lt;=SectA_a6,ROUND((X114*(SectA_b6/100)-SectA_d6),0),ROUND((X114*(SectA_b7/100)-SectA_d7),0)))))</f>
        <v>---</v>
      </c>
      <c r="Z115" s="4264" t="str">
        <f>IF(X114&lt;SectB_a2,"---",IF(X114&lt;=SectB_a3,ROUND((X114*(SectB_b3/100)-SectB_d3),0),IF(X114&lt;=SectB_a4,ROUND((X114*(SectB_b4/100)-SectB_d4),0),IF(X114&lt;=SectB_a5,ROUND((X114*(SectB_b5/100)-SectB_d5),0),IF(X114&lt;=SectB_a6,ROUND((X114*(SectB_b6/100)-SectB_d6),0),ROUND((X114*(SectB_b7/100)-SectB_d7),0))))))</f>
        <v>---</v>
      </c>
      <c r="AA115" s="4264" t="str">
        <f>IF(X114&lt;SectC_a2,"---",IF(X114&lt;=SectC_a3,ROUND((X114*(SectC_b3/100)-SectC_d3),0),IF(X114&lt;=SectC_a4,ROUND((X114*(SectC_b4/100)-SectC_d4),0),IF(X114&lt;=SectC_a5,ROUND((X114*(SectC_b5/100)-SectC_d5),0),ROUND((X114*(SectC_b6/100)-SectC_d6),0)))))</f>
        <v>---</v>
      </c>
      <c r="AB115" s="4475" t="str">
        <f>IF(X114&lt;SectD_a2,"---",IF(X114&lt;=SectD_a3,ROUND((X114*(SectD_b3/100)-SectD_d3),0),IF(X114&lt;=SectD_a4,ROUND((X114*(SectD_b4/100)-SectD_d4),0),IF(X114&lt;=SectD_a5,ROUND((X114*(SectD_b5/100)-SectD_d5),0),IF(X114&lt;=SectD_a6,ROUND((X114*(SectD_b6/100)-SectD_d6),0),ROUND((X114*(SectD_b7/100)-SectD_d7),0))))))</f>
        <v>---</v>
      </c>
      <c r="AM115" s="4447"/>
      <c r="AN115" s="3169"/>
      <c r="AO115" s="3169"/>
      <c r="AP115" s="3169"/>
      <c r="AQ115" s="3169"/>
      <c r="AR115" s="3169"/>
      <c r="AS115" s="3169"/>
    </row>
    <row r="116" spans="1:45" ht="12.75" customHeight="1" thickBot="1">
      <c r="A116" s="290"/>
      <c r="B116" s="240"/>
      <c r="C116" s="162"/>
      <c r="D116" s="225" t="s">
        <v>1024</v>
      </c>
      <c r="E116" s="225"/>
      <c r="F116" s="225"/>
      <c r="G116" s="237"/>
      <c r="H116" s="237"/>
      <c r="I116" s="237"/>
      <c r="J116" s="238"/>
      <c r="K116" s="238"/>
      <c r="L116" s="238"/>
      <c r="M116" s="238"/>
      <c r="N116" s="469"/>
      <c r="O116" s="405"/>
      <c r="P116" s="473"/>
      <c r="Q116" s="264"/>
      <c r="R116" s="670"/>
      <c r="S116" s="565" t="str">
        <f>IF(OR(NOT(SchDTW_Used),Skip2141,Skip3141),"",IF(Skip3338,"Skip lines 33 through 38.","Go to line 33."))</f>
        <v/>
      </c>
      <c r="T116" s="32"/>
      <c r="X116" s="4476" t="str">
        <f>IF(File_Single&lt;&gt;"",Y114,IF(File_Marr_Joint&lt;&gt;"",Z114,IF(File_Marr_Sep&lt;&gt;"", AA114,IF(File_Head&lt;&gt;"",AB114,IF(File_Qual_Widow&lt;&gt;"",Z114,"Filing status?")))))</f>
        <v>Filing status?</v>
      </c>
      <c r="Y116" s="2563" t="str">
        <f>"&lt;100k"</f>
        <v>&lt;100k</v>
      </c>
      <c r="Z116" s="2563"/>
      <c r="AA116" s="2563"/>
      <c r="AB116" s="4477"/>
      <c r="AM116" s="4447"/>
      <c r="AN116" s="3169"/>
      <c r="AO116" s="3169"/>
      <c r="AP116" s="3169"/>
      <c r="AQ116" s="3169"/>
      <c r="AR116" s="3169"/>
      <c r="AS116" s="3169"/>
    </row>
    <row r="117" spans="1:45" ht="12.75" customHeight="1" thickBot="1">
      <c r="A117" s="290"/>
      <c r="B117" s="871" t="s">
        <v>401</v>
      </c>
      <c r="C117" s="162"/>
      <c r="D117" s="185" t="s">
        <v>268</v>
      </c>
      <c r="E117" s="185"/>
      <c r="F117" s="185"/>
      <c r="G117" s="237"/>
      <c r="H117" s="237"/>
      <c r="I117" s="237"/>
      <c r="J117" s="650" t="s">
        <v>625</v>
      </c>
      <c r="K117" s="162" t="str">
        <f>B117</f>
        <v>33.</v>
      </c>
      <c r="L117" s="1666" t="str">
        <f>IF(OR(NOT(SchDTW_Used),Skip2141,Skip3141,Skip3338),"",MIN(N83,'Sch. D'!N76))</f>
        <v/>
      </c>
      <c r="M117" s="472"/>
      <c r="N117" s="472"/>
      <c r="O117" s="405"/>
      <c r="P117" s="406"/>
      <c r="Q117" s="264"/>
      <c r="R117" s="670"/>
      <c r="S117" s="565"/>
      <c r="T117" s="32"/>
      <c r="X117" s="4478" t="str">
        <f>IF(File_Single&lt;&gt;"",Y115,IF(OR(File_Marr_Joint&lt;&gt;"",File_Qual_Widow&lt;&gt;""),Z115,IF(File_Marr_Sep&lt;&gt;"", AA115,IF(File_Head&lt;&gt;"",AB115,"Filing status?"))))</f>
        <v>Filing status?</v>
      </c>
      <c r="Y117" s="4260" t="str">
        <f>"&gt;=100k"</f>
        <v>&gt;=100k</v>
      </c>
      <c r="Z117" s="4260"/>
      <c r="AA117" s="4266" t="s">
        <v>3630</v>
      </c>
      <c r="AB117" s="4479" t="str">
        <f>IF(X114&gt;100000,X117,X116)</f>
        <v>Filing status?</v>
      </c>
      <c r="AM117" s="4447"/>
      <c r="AN117" s="3169"/>
      <c r="AO117" s="3169"/>
      <c r="AP117" s="3169"/>
      <c r="AQ117" s="3169"/>
      <c r="AR117" s="3169"/>
      <c r="AS117" s="3169"/>
    </row>
    <row r="118" spans="1:45" ht="12.75" customHeight="1" thickTop="1">
      <c r="A118" s="290"/>
      <c r="B118" s="869">
        <v>34</v>
      </c>
      <c r="C118" s="162"/>
      <c r="D118" s="403" t="s">
        <v>668</v>
      </c>
      <c r="E118" s="185"/>
      <c r="F118" s="185"/>
      <c r="G118" s="237"/>
      <c r="H118" s="162" t="s">
        <v>681</v>
      </c>
      <c r="I118" s="162">
        <f>B118</f>
        <v>34</v>
      </c>
      <c r="J118" s="1666" t="str">
        <f>IF(OR(NOT(SchDTW_Used),Skip2141,Skip3141,Skip3338),"",SUM(L84,SchDTW_Line19))</f>
        <v/>
      </c>
      <c r="K118" s="162"/>
      <c r="L118" s="469"/>
      <c r="M118" s="469"/>
      <c r="N118" s="469"/>
      <c r="O118" s="405"/>
      <c r="P118" s="406"/>
      <c r="Q118" s="264"/>
      <c r="R118" s="670"/>
      <c r="S118" s="565"/>
      <c r="T118" s="32"/>
      <c r="X118" s="4462" t="s">
        <v>1032</v>
      </c>
      <c r="Y118" s="1701" t="s">
        <v>3961</v>
      </c>
      <c r="AA118" s="1666">
        <f>SUM(AA99,AA102,AA108,AA111,AA112)</f>
        <v>0</v>
      </c>
      <c r="AB118" s="4463"/>
      <c r="AM118" s="4447"/>
      <c r="AN118" s="3169"/>
      <c r="AO118" s="3169"/>
      <c r="AP118" s="3169"/>
      <c r="AQ118" s="3169"/>
      <c r="AR118" s="3169"/>
      <c r="AS118" s="3169"/>
    </row>
    <row r="119" spans="1:45" ht="12.75" customHeight="1">
      <c r="B119" s="869">
        <v>35</v>
      </c>
      <c r="C119" s="162"/>
      <c r="D119" s="403" t="s">
        <v>669</v>
      </c>
      <c r="E119" s="185"/>
      <c r="F119" s="185"/>
      <c r="G119" s="237"/>
      <c r="H119" s="162" t="s">
        <v>631</v>
      </c>
      <c r="I119" s="162">
        <f>B119</f>
        <v>35</v>
      </c>
      <c r="J119" s="1666" t="str">
        <f>IF(OR(NOT(SchDTW_Used),Skip2141,Skip3141,Skip3338),"",SchDTW_Line1)</f>
        <v/>
      </c>
      <c r="K119" s="162"/>
      <c r="L119" s="469"/>
      <c r="M119" s="469"/>
      <c r="N119" s="469"/>
      <c r="O119" s="405"/>
      <c r="P119" s="406"/>
      <c r="Q119" s="264"/>
      <c r="R119" s="670"/>
      <c r="S119" s="565"/>
      <c r="T119" s="32"/>
      <c r="X119" s="4462" t="s">
        <v>1033</v>
      </c>
      <c r="Y119" s="1701" t="s">
        <v>3962</v>
      </c>
      <c r="AA119" s="1666" t="str">
        <f>AB124</f>
        <v>Filing status?</v>
      </c>
      <c r="AB119" s="4463"/>
      <c r="AM119" s="4447"/>
      <c r="AN119" s="3169"/>
      <c r="AO119" s="3169"/>
      <c r="AP119" s="3169"/>
      <c r="AQ119" s="3169"/>
      <c r="AR119" s="3169"/>
      <c r="AS119" s="3169"/>
    </row>
    <row r="120" spans="1:45" ht="12.75" customHeight="1" thickBot="1">
      <c r="A120" s="1111"/>
      <c r="B120" s="869">
        <v>36</v>
      </c>
      <c r="C120" s="162"/>
      <c r="D120" s="403" t="s">
        <v>1023</v>
      </c>
      <c r="E120" s="185"/>
      <c r="F120" s="185"/>
      <c r="G120" s="237"/>
      <c r="H120" s="237"/>
      <c r="I120" s="237"/>
      <c r="J120" s="405" t="s">
        <v>448</v>
      </c>
      <c r="K120" s="162">
        <f>B120</f>
        <v>36</v>
      </c>
      <c r="L120" s="1666" t="str">
        <f>IF(OR(NOT(SchDTW_Used),Skip2141,Skip3141,Skip3338),"",MAX(0,SUM(J118,-J119)))</f>
        <v/>
      </c>
      <c r="M120" s="472"/>
      <c r="N120" s="472"/>
      <c r="O120" s="405"/>
      <c r="P120" s="406"/>
      <c r="Q120" s="264"/>
      <c r="R120" s="670"/>
      <c r="S120" s="565"/>
      <c r="T120" s="32"/>
      <c r="X120" s="4470" t="s">
        <v>3963</v>
      </c>
      <c r="Y120" s="277" t="s">
        <v>77</v>
      </c>
      <c r="Z120" s="277" t="s">
        <v>3629</v>
      </c>
      <c r="AA120" s="277" t="s">
        <v>531</v>
      </c>
      <c r="AB120" s="4471" t="s">
        <v>2508</v>
      </c>
      <c r="AM120" s="4447"/>
      <c r="AN120" s="3169"/>
      <c r="AO120" s="3169"/>
      <c r="AP120" s="3169"/>
      <c r="AQ120" s="3169"/>
      <c r="AR120" s="3169"/>
      <c r="AS120" s="3169"/>
    </row>
    <row r="121" spans="1:45" ht="12.75" customHeight="1" thickTop="1" thickBot="1">
      <c r="A121" s="1111"/>
      <c r="B121" s="869">
        <v>37</v>
      </c>
      <c r="C121" s="162"/>
      <c r="D121" s="403" t="s">
        <v>1022</v>
      </c>
      <c r="E121" s="185"/>
      <c r="F121" s="185"/>
      <c r="G121" s="237"/>
      <c r="H121" s="237"/>
      <c r="I121" s="237"/>
      <c r="J121" s="238"/>
      <c r="K121" s="238"/>
      <c r="L121" s="405" t="s">
        <v>524</v>
      </c>
      <c r="M121" s="405">
        <f>B121</f>
        <v>37</v>
      </c>
      <c r="N121" s="1666" t="str">
        <f>IF(OR(NOT(SchDTW_Used),Skip2141,Skip3141,Skip3338),"",MAX(0,SUM(L117,-L120)))</f>
        <v/>
      </c>
      <c r="O121" s="405"/>
      <c r="P121" s="406"/>
      <c r="Q121" s="264"/>
      <c r="R121" s="670"/>
      <c r="S121" s="565"/>
      <c r="T121" s="32"/>
      <c r="X121" s="4472" t="str">
        <f>AA71</f>
        <v/>
      </c>
      <c r="Y121" s="4262" t="e">
        <f>LOOKUP(X121,'Tax Table'!$B$2:$B$2063,'Tax Table'!$D$2:$D$2063)</f>
        <v>#N/A</v>
      </c>
      <c r="Z121" s="4262" t="e">
        <f>LOOKUP(X121,'Tax Table'!$B$2:$B$2063,'Tax Table'!$E$2:$E$2063)</f>
        <v>#N/A</v>
      </c>
      <c r="AA121" s="4262" t="e">
        <f>LOOKUP(X121,'Tax Table'!$B$2:$B$2063,'Tax Table'!$F$2:$F$2063)</f>
        <v>#N/A</v>
      </c>
      <c r="AB121" s="4473" t="e">
        <f>LOOKUP(X121,'Tax Table'!$B$2:$B$2063,'Tax Table'!$G$2:$G$2063)</f>
        <v>#N/A</v>
      </c>
      <c r="AM121" s="4447"/>
      <c r="AN121" s="3169"/>
      <c r="AO121" s="3169"/>
      <c r="AP121" s="3169"/>
      <c r="AQ121" s="3169"/>
      <c r="AR121" s="3169"/>
      <c r="AS121" s="3169"/>
    </row>
    <row r="122" spans="1:45" ht="12.75" customHeight="1" thickBot="1">
      <c r="A122" s="1111"/>
      <c r="B122" s="869">
        <v>38</v>
      </c>
      <c r="C122" s="162"/>
      <c r="D122" s="185" t="str">
        <f>"Multiply line 37 by "&amp;TEXT(R122,"0%")&amp;" ("&amp;TEXT(R122,"0.00")&amp;")"</f>
        <v>Multiply line 37 by 25% (0.25)</v>
      </c>
      <c r="E122" s="185"/>
      <c r="F122" s="185"/>
      <c r="G122" s="237"/>
      <c r="H122" s="237"/>
      <c r="I122" s="237"/>
      <c r="J122" s="238"/>
      <c r="K122" s="238"/>
      <c r="L122" s="238"/>
      <c r="M122" s="238"/>
      <c r="N122" s="405" t="s">
        <v>670</v>
      </c>
      <c r="O122" s="405">
        <f>B122</f>
        <v>38</v>
      </c>
      <c r="P122" s="1666" t="str">
        <f>IF(OR(NOT(SchDTW_Used),Skip2141,Skip3141,Skip3338),"",ROUND((N121*R122),0))</f>
        <v/>
      </c>
      <c r="Q122" s="264"/>
      <c r="R122" s="670">
        <v>0.25</v>
      </c>
      <c r="S122" s="1114" t="b">
        <f>IF(OR(SchDLine18=0,SchDLine18=""),TRUE,FALSE)</f>
        <v>1</v>
      </c>
      <c r="T122" s="32"/>
      <c r="X122" s="4474"/>
      <c r="Y122" s="4264" t="e">
        <f>IF(X121&lt;SectA_a3,"---",IF(X121&lt;=SectA_a4,ROUND((X121*(SectA_b4/100)-SectA_d4),0),IF(X121&lt;=SectA_a5,ROUND((X121*(SectA_b5/100)-SectA_d5),0),IF(X121&lt;=SectA_a6,ROUND((X121*(SectA_b6/100)-SectA_d6),0),ROUND((X121*(SectA_b7/100)-SectA_d7),0)))))</f>
        <v>#VALUE!</v>
      </c>
      <c r="Z122" s="4264" t="e">
        <f>IF(X121&lt;SectB_a2,"---",IF(X121&lt;=SectB_a3,ROUND((X121*(SectB_b3/100)-SectB_d3),0),IF(X121&lt;=SectB_a4,ROUND((X121*(SectB_b4/100)-SectB_d4),0),IF(X121&lt;=SectB_a5,ROUND((X121*(SectB_b5/100)-SectB_d5),0),IF(X121&lt;=SectB_a6,ROUND((X121*(SectB_b6/100)-SectB_d6),0),ROUND((X121*(SectB_b7/100)-SectB_d7),0))))))</f>
        <v>#VALUE!</v>
      </c>
      <c r="AA122" s="4264" t="e">
        <f>IF(X121&lt;SectC_a2,"---",IF(X121&lt;=SectC_a3,ROUND((X121*(SectC_b3/100)-SectC_d3),0),IF(X121&lt;=SectC_a4,ROUND((X121*(SectC_b4/100)-SectC_d4),0),IF(X121&lt;=SectC_a5,ROUND((X121*(SectC_b5/100)-SectC_d5),0),ROUND((X121*(SectC_b6/100)-SectC_d6),0)))))</f>
        <v>#VALUE!</v>
      </c>
      <c r="AB122" s="4475" t="e">
        <f>IF(X121&lt;SectD_a2,"---",IF(X121&lt;=SectD_a3,ROUND((X121*(SectD_b3/100)-SectD_d3),0),IF(X121&lt;=SectD_a4,ROUND((X121*(SectD_b4/100)-SectD_d4),0),IF(X121&lt;=SectD_a5,ROUND((X121*(SectD_b5/100)-SectD_d5),0),IF(X121&lt;=SectD_a6,ROUND((X121*(SectD_b6/100)-SectD_d6),0),ROUND((X121*(SectD_b7/100)-SectD_d7),0))))))</f>
        <v>#VALUE!</v>
      </c>
      <c r="AM122" s="4447"/>
      <c r="AN122" s="3169"/>
      <c r="AO122" s="3169"/>
      <c r="AP122" s="3169"/>
      <c r="AQ122" s="3169"/>
      <c r="AR122" s="3169"/>
      <c r="AS122" s="3169"/>
    </row>
    <row r="123" spans="1:45" ht="12.75" customHeight="1" thickBot="1">
      <c r="A123" s="1111"/>
      <c r="B123" s="240"/>
      <c r="C123" s="162"/>
      <c r="D123" s="225" t="s">
        <v>1036</v>
      </c>
      <c r="E123" s="225"/>
      <c r="F123" s="225"/>
      <c r="G123" s="237"/>
      <c r="H123" s="237"/>
      <c r="I123" s="237"/>
      <c r="J123" s="238"/>
      <c r="K123" s="238"/>
      <c r="L123" s="238"/>
      <c r="M123" s="238"/>
      <c r="N123" s="469"/>
      <c r="O123" s="405"/>
      <c r="P123" s="473"/>
      <c r="Q123" s="264"/>
      <c r="R123" s="670"/>
      <c r="S123" s="565" t="str">
        <f>IF(OR(NOT(SchDTW_Used),Skip2141,Skip3141,Skip3338),"",IF(Skip3941,"Skip lines 39 through 41.","Go to line 39."))</f>
        <v/>
      </c>
      <c r="T123" s="32"/>
      <c r="X123" s="4476" t="str">
        <f>IF(File_Single&lt;&gt;"",Y121,IF(File_Marr_Joint&lt;&gt;"",Z121,IF(File_Marr_Sep&lt;&gt;"", AA121,IF(File_Head&lt;&gt;"",AB121,IF(File_Qual_Widow&lt;&gt;"",Z121,"Filing status?")))))</f>
        <v>Filing status?</v>
      </c>
      <c r="Y123" s="2563" t="str">
        <f>"&lt;100k"</f>
        <v>&lt;100k</v>
      </c>
      <c r="Z123" s="2563"/>
      <c r="AA123" s="2563"/>
      <c r="AB123" s="4477"/>
      <c r="AM123" s="4447"/>
      <c r="AN123" s="3169"/>
      <c r="AO123" s="3169"/>
      <c r="AP123" s="3169"/>
      <c r="AQ123" s="3169"/>
      <c r="AR123" s="3169"/>
      <c r="AS123" s="3169"/>
    </row>
    <row r="124" spans="1:45" ht="12.75" customHeight="1" thickBot="1">
      <c r="A124" s="1111"/>
      <c r="B124" s="871" t="s">
        <v>1027</v>
      </c>
      <c r="C124" s="162"/>
      <c r="D124" s="403" t="s">
        <v>1026</v>
      </c>
      <c r="E124" s="185"/>
      <c r="F124" s="185"/>
      <c r="G124" s="237"/>
      <c r="H124" s="237"/>
      <c r="I124" s="237"/>
      <c r="J124" s="238"/>
      <c r="K124" s="238"/>
      <c r="L124" s="1668" t="s">
        <v>341</v>
      </c>
      <c r="M124" s="405" t="str">
        <f>B124</f>
        <v>39.</v>
      </c>
      <c r="N124" s="1666" t="str">
        <f>IF(OR(NOT(SchDTW_Used),Skip2141,Skip3141,Skip3941),"",SUM(SchDTW_Line19,N97,$N$110,N114,N121))</f>
        <v/>
      </c>
      <c r="O124" s="405"/>
      <c r="P124" s="474"/>
      <c r="Q124" s="264"/>
      <c r="R124" s="670"/>
      <c r="S124" s="565"/>
      <c r="T124" s="32"/>
      <c r="X124" s="4478" t="str">
        <f>IF(File_Single&lt;&gt;"",Y122,IF(OR(File_Marr_Joint&lt;&gt;"",File_Qual_Widow&lt;&gt;""),Z122,IF(File_Marr_Sep&lt;&gt;"", AA122,IF(File_Head&lt;&gt;"",AB122,"Filing status?"))))</f>
        <v>Filing status?</v>
      </c>
      <c r="Y124" s="4260" t="str">
        <f>"&gt;=100k"</f>
        <v>&gt;=100k</v>
      </c>
      <c r="Z124" s="4260"/>
      <c r="AA124" s="4266" t="s">
        <v>3630</v>
      </c>
      <c r="AB124" s="4479" t="str">
        <f>IF(X121&gt;100000,X124,X123)</f>
        <v>Filing status?</v>
      </c>
      <c r="AM124" s="4447"/>
      <c r="AN124" s="3169"/>
      <c r="AO124" s="3169"/>
      <c r="AP124" s="3169"/>
      <c r="AQ124" s="3169"/>
      <c r="AR124" s="3169"/>
      <c r="AS124" s="3169"/>
    </row>
    <row r="125" spans="1:45" ht="12.75" customHeight="1" thickTop="1">
      <c r="A125" s="1111"/>
      <c r="B125" s="871" t="s">
        <v>1029</v>
      </c>
      <c r="C125" s="162"/>
      <c r="D125" s="403" t="s">
        <v>1028</v>
      </c>
      <c r="E125" s="185"/>
      <c r="F125" s="185"/>
      <c r="G125" s="237"/>
      <c r="H125" s="237"/>
      <c r="I125" s="237"/>
      <c r="J125" s="238"/>
      <c r="K125" s="238"/>
      <c r="L125" s="1668" t="s">
        <v>764</v>
      </c>
      <c r="M125" s="405" t="str">
        <f>B125</f>
        <v>40.</v>
      </c>
      <c r="N125" s="1666" t="str">
        <f>IF(OR(NOT(SchDTW_Used),Skip2141,Skip3141,Skip3941),"",SUM(SchDTW_Line1,-N124))</f>
        <v/>
      </c>
      <c r="O125" s="405"/>
      <c r="P125" s="561"/>
      <c r="Q125" s="264"/>
      <c r="R125" s="670"/>
      <c r="S125" s="565"/>
      <c r="T125" s="32"/>
      <c r="X125" s="4480" t="s">
        <v>1034</v>
      </c>
      <c r="Y125" s="4481" t="s">
        <v>3964</v>
      </c>
      <c r="Z125" s="4482"/>
      <c r="AA125" s="4483">
        <f>IF(NOT(AA70),MIN(AA118,AA119))</f>
        <v>0</v>
      </c>
      <c r="AB125" s="4484"/>
      <c r="AM125" s="4447"/>
      <c r="AN125" s="3169"/>
      <c r="AO125" s="3169"/>
      <c r="AP125" s="3169"/>
      <c r="AQ125" s="3169"/>
      <c r="AR125" s="3169"/>
      <c r="AS125" s="3169"/>
    </row>
    <row r="126" spans="1:45" ht="12.75" customHeight="1">
      <c r="A126" s="1111"/>
      <c r="B126" s="871" t="s">
        <v>1030</v>
      </c>
      <c r="C126" s="162"/>
      <c r="D126" s="185" t="str">
        <f>"Multiply line 40 by "&amp;TEXT(R126,"0%")&amp;" ("&amp;TEXT(R126,"0.00")&amp;")"</f>
        <v>Multiply line 40 by 28% (0.28)</v>
      </c>
      <c r="E126" s="185"/>
      <c r="F126" s="185"/>
      <c r="G126" s="237"/>
      <c r="H126" s="237"/>
      <c r="I126" s="237"/>
      <c r="J126" s="238"/>
      <c r="K126" s="238"/>
      <c r="L126" s="238"/>
      <c r="M126" s="238"/>
      <c r="N126" s="405" t="s">
        <v>684</v>
      </c>
      <c r="O126" s="405" t="str">
        <f>B126</f>
        <v>41.</v>
      </c>
      <c r="P126" s="1666" t="str">
        <f>IF(OR(NOT(SchDTW_Used),Skip2141,Skip3141,Skip3941),"",ROUND(N125*R126,0))</f>
        <v/>
      </c>
      <c r="Q126" s="264"/>
      <c r="R126" s="670">
        <v>0.28000000000000003</v>
      </c>
      <c r="S126" s="726" t="s">
        <v>100</v>
      </c>
      <c r="T126" s="32"/>
      <c r="AM126" s="4447"/>
      <c r="AN126" s="3169"/>
      <c r="AO126" s="3169"/>
      <c r="AP126" s="3169"/>
      <c r="AQ126" s="3169"/>
      <c r="AR126" s="3169"/>
      <c r="AS126" s="3169"/>
    </row>
    <row r="127" spans="1:45" ht="12.75" customHeight="1">
      <c r="A127" s="1111"/>
      <c r="B127" s="871" t="s">
        <v>1031</v>
      </c>
      <c r="C127" s="162"/>
      <c r="D127" s="280" t="s">
        <v>2094</v>
      </c>
      <c r="E127" s="185"/>
      <c r="F127" s="185"/>
      <c r="G127" s="237"/>
      <c r="H127" s="237"/>
      <c r="I127" s="237"/>
      <c r="J127" s="238"/>
      <c r="K127" s="238"/>
      <c r="L127" s="238"/>
      <c r="M127" s="238"/>
      <c r="N127" s="405"/>
      <c r="O127" s="405"/>
      <c r="P127" s="467"/>
      <c r="Q127" s="264"/>
      <c r="R127" s="670"/>
      <c r="S127" s="726" t="s">
        <v>468</v>
      </c>
      <c r="T127" s="32"/>
      <c r="AM127" s="4447"/>
      <c r="AN127" s="3169"/>
      <c r="AO127" s="3169"/>
      <c r="AP127" s="3169"/>
      <c r="AQ127" s="3169"/>
      <c r="AR127" s="3169"/>
      <c r="AS127" s="3169"/>
    </row>
    <row r="128" spans="1:45" ht="12.75" customHeight="1" thickBot="1">
      <c r="A128" s="1111"/>
      <c r="B128" s="870"/>
      <c r="C128" s="162"/>
      <c r="D128" s="403" t="s">
        <v>2093</v>
      </c>
      <c r="E128" s="185"/>
      <c r="F128" s="185"/>
      <c r="G128" s="237"/>
      <c r="H128" s="237"/>
      <c r="I128" s="237"/>
      <c r="J128" s="238"/>
      <c r="K128" s="238"/>
      <c r="L128" s="162"/>
      <c r="M128" s="162"/>
      <c r="N128" s="1668" t="s">
        <v>677</v>
      </c>
      <c r="O128" s="405" t="str">
        <f>B127</f>
        <v>42.</v>
      </c>
      <c r="P128" s="1666" t="str">
        <f>IF(S128&lt;&gt;"",S128,IF(NOT(SchDTW_Used),"",AA132))</f>
        <v/>
      </c>
      <c r="Q128" s="264"/>
      <c r="R128" s="670"/>
      <c r="S128" s="1667"/>
      <c r="T128" s="32"/>
      <c r="W128" s="270" t="s">
        <v>671</v>
      </c>
      <c r="X128" s="277" t="s">
        <v>77</v>
      </c>
      <c r="Y128" s="277" t="s">
        <v>3629</v>
      </c>
      <c r="Z128" s="277" t="s">
        <v>531</v>
      </c>
      <c r="AA128" s="277" t="s">
        <v>2508</v>
      </c>
      <c r="AM128" s="4447"/>
      <c r="AN128" s="3169"/>
      <c r="AO128" s="3169"/>
      <c r="AP128" s="3169"/>
      <c r="AQ128" s="3169"/>
      <c r="AR128" s="3169"/>
      <c r="AS128" s="3169"/>
    </row>
    <row r="129" spans="1:45" ht="12.75" customHeight="1" thickTop="1" thickBot="1">
      <c r="A129" s="290"/>
      <c r="B129" s="871" t="s">
        <v>1032</v>
      </c>
      <c r="C129" s="162"/>
      <c r="D129" s="403" t="s">
        <v>1037</v>
      </c>
      <c r="E129" s="185"/>
      <c r="F129" s="185"/>
      <c r="G129" s="237"/>
      <c r="H129" s="162"/>
      <c r="I129" s="162"/>
      <c r="J129" s="237"/>
      <c r="K129" s="237"/>
      <c r="L129" s="237"/>
      <c r="M129" s="237"/>
      <c r="N129" s="405" t="s">
        <v>684</v>
      </c>
      <c r="O129" s="405" t="str">
        <f>B129</f>
        <v>43.</v>
      </c>
      <c r="P129" s="1666" t="str">
        <f>IF(NOT(SchDTW_Used),"",SUM(P111,P115,P122,P126,P128))</f>
        <v/>
      </c>
      <c r="Q129" s="264"/>
      <c r="R129" s="670"/>
      <c r="S129" s="51"/>
      <c r="T129" s="32"/>
      <c r="W129" s="4268" t="str">
        <f>SchDTW_Line19</f>
        <v/>
      </c>
      <c r="X129" s="4262" t="e">
        <f>LOOKUP(W129,'Tax Table'!$B$2:$B$2063,'Tax Table'!$D$2:$D$2063)</f>
        <v>#N/A</v>
      </c>
      <c r="Y129" s="4262" t="e">
        <f>LOOKUP(W129,'Tax Table'!$B$2:$B$2063,'Tax Table'!$E$2:$E$2063)</f>
        <v>#N/A</v>
      </c>
      <c r="Z129" s="4262" t="e">
        <f>LOOKUP(W129,'Tax Table'!$B$2:$B$2063,'Tax Table'!$F$2:$F$2063)</f>
        <v>#N/A</v>
      </c>
      <c r="AA129" s="4263" t="e">
        <f>LOOKUP(W129,'Tax Table'!$B$2:$B$2063,'Tax Table'!$G$2:$G$2063)</f>
        <v>#N/A</v>
      </c>
      <c r="AM129" s="4447"/>
      <c r="AN129" s="3169"/>
      <c r="AO129" s="3169"/>
      <c r="AP129" s="3169"/>
      <c r="AQ129" s="3169"/>
      <c r="AR129" s="3169"/>
      <c r="AS129" s="3169"/>
    </row>
    <row r="130" spans="1:45" ht="12.75" customHeight="1" thickBot="1">
      <c r="A130" s="290"/>
      <c r="B130" s="871" t="s">
        <v>1033</v>
      </c>
      <c r="C130" s="162"/>
      <c r="D130" s="403" t="s">
        <v>3869</v>
      </c>
      <c r="E130" s="185"/>
      <c r="F130" s="185"/>
      <c r="G130" s="237"/>
      <c r="H130" s="162"/>
      <c r="I130" s="162"/>
      <c r="J130" s="237"/>
      <c r="K130" s="237"/>
      <c r="L130" s="237"/>
      <c r="M130" s="237"/>
      <c r="N130" s="405"/>
      <c r="O130" s="405"/>
      <c r="P130" s="467"/>
      <c r="Q130" s="264"/>
      <c r="R130" s="670"/>
      <c r="S130" s="51"/>
      <c r="T130" s="32"/>
      <c r="W130" s="4257"/>
      <c r="X130" s="4264" t="e">
        <f>IF(W129&lt;SectA_a3,"---",IF(W129&lt;=SectA_a4,ROUND((W129*(SectA_b4/100)-SectA_d4),0),IF(W129&lt;=SectA_a5,ROUND((W129*(SectA_b5/100)-SectA_d5),0),IF(W129&lt;=SectA_a6,ROUND((W129*(SectA_b6/100)-SectA_d6),0),ROUND((W129*(SectA_b7/100)-SectA_d7),0)))))</f>
        <v>#VALUE!</v>
      </c>
      <c r="Y130" s="4264" t="e">
        <f>IF(W129&lt;SectB_a2,"---",IF(W129&lt;=SectB_a3,ROUND((W129*(SectB_b3/100)-SectB_d3),0),IF(W129&lt;=SectB_a4,ROUND((W129*(SectB_b4/100)-SectB_d4),0),IF(W129&lt;=SectB_a5,ROUND((W129*(SectB_b5/100)-SectB_d5),0),IF(W129&lt;=SectB_a6,ROUND((W129*(SectB_b6/100)-SectB_d6),0),ROUND((W129*(SectB_b7/100)-SectB_d7),0))))))</f>
        <v>#VALUE!</v>
      </c>
      <c r="Z130" s="4264" t="e">
        <f>IF(W129&lt;SectC_a2,"---",IF(W129&lt;=SectC_a3,ROUND((W129*(SectC_b3/100)-SectC_d3),0),IF(W129&lt;=SectC_a4,ROUND((W129*(SectC_b4/100)-SectC_d4),0),IF(W129&lt;=SectC_a5,ROUND((W129*(SectC_b5/100)-SectC_d5),0),ROUND((W129*(SectC_b6/100)-SectC_d6),0)))))</f>
        <v>#VALUE!</v>
      </c>
      <c r="AA130" s="4265" t="e">
        <f>IF(W129&lt;SectD_a2,"---",IF(W129&lt;=SectD_a3,ROUND((W129*(SectD_b3/100)-SectD_d3),0),IF(W129&lt;=SectD_a4,ROUND((W129*(SectD_b4/100)-SectD_d4),0),IF(W129&lt;=SectD_a5,ROUND((W129*(SectD_b5/100)-SectD_d5),0),IF(W129&lt;=SectD_a6,ROUND((W129*(SectD_b6/100)-SectD_d6),0),ROUND((W129*(SectD_b7/100)-SectD_d7),0))))))</f>
        <v>#VALUE!</v>
      </c>
      <c r="AM130" s="4447"/>
      <c r="AN130" s="3169"/>
      <c r="AO130" s="3169"/>
      <c r="AP130" s="3169"/>
      <c r="AQ130" s="3169"/>
      <c r="AR130" s="3169"/>
      <c r="AS130" s="3169"/>
    </row>
    <row r="131" spans="1:45" ht="12.75" customHeight="1" thickBot="1">
      <c r="A131" s="1111"/>
      <c r="B131" s="870"/>
      <c r="C131" s="162"/>
      <c r="D131" s="403" t="s">
        <v>2095</v>
      </c>
      <c r="E131" s="185"/>
      <c r="F131" s="185"/>
      <c r="G131" s="237"/>
      <c r="H131" s="237"/>
      <c r="I131" s="237"/>
      <c r="J131" s="238"/>
      <c r="K131" s="238"/>
      <c r="L131" s="162"/>
      <c r="M131" s="162"/>
      <c r="N131" s="405" t="s">
        <v>422</v>
      </c>
      <c r="O131" s="405" t="str">
        <f>B130</f>
        <v>44.</v>
      </c>
      <c r="P131" s="1666" t="str">
        <f>IF(S131&lt;&gt;"",S131,IF(NOT(SchDTW_Used),"",AA139))</f>
        <v/>
      </c>
      <c r="Q131" s="264"/>
      <c r="R131" s="670"/>
      <c r="S131" s="1667"/>
      <c r="T131" s="32"/>
      <c r="W131" s="4258" t="str">
        <f>IF(File_Single&lt;&gt;"",X129,IF(File_Marr_Joint&lt;&gt;"",Y129,IF(File_Marr_Sep&lt;&gt;"", Z129,IF(File_Head&lt;&gt;"",AA129,IF(File_Qual_Widow&lt;&gt;"",Y129,"Filing status?")))))</f>
        <v>Filing status?</v>
      </c>
      <c r="X131" s="2563" t="str">
        <f>"&lt;100k"</f>
        <v>&lt;100k</v>
      </c>
      <c r="Y131" s="2563"/>
      <c r="Z131" s="2563"/>
      <c r="AA131" s="4261"/>
      <c r="AM131" s="4447"/>
      <c r="AN131" s="3169"/>
      <c r="AO131" s="3169"/>
      <c r="AP131" s="3169"/>
      <c r="AQ131" s="3169"/>
      <c r="AR131" s="3169"/>
      <c r="AS131" s="3169"/>
    </row>
    <row r="132" spans="1:45" ht="12.75" customHeight="1" thickBot="1">
      <c r="A132" s="290"/>
      <c r="B132" s="871" t="s">
        <v>1034</v>
      </c>
      <c r="C132" s="162"/>
      <c r="D132" s="225" t="s">
        <v>1038</v>
      </c>
      <c r="E132" s="391"/>
      <c r="F132" s="391"/>
      <c r="G132" s="237"/>
      <c r="H132" s="237"/>
      <c r="I132" s="237"/>
      <c r="J132" s="238"/>
      <c r="K132" s="238"/>
      <c r="L132" s="162"/>
      <c r="M132" s="162"/>
      <c r="N132" s="469"/>
      <c r="O132" s="405"/>
      <c r="P132" s="406"/>
      <c r="Q132" s="264"/>
      <c r="R132" s="670"/>
      <c r="S132" s="51"/>
      <c r="T132" s="32"/>
      <c r="W132" s="4259" t="str">
        <f>IF(File_Single&lt;&gt;"",X130,IF(OR(File_Marr_Joint&lt;&gt;"",File_Qual_Widow&lt;&gt;""),Y130,IF(File_Marr_Sep&lt;&gt;"", Z130,IF(File_Head&lt;&gt;"",AA130,"Filing status?"))))</f>
        <v>Filing status?</v>
      </c>
      <c r="X132" s="4260" t="str">
        <f>"&gt;=100k"</f>
        <v>&gt;=100k</v>
      </c>
      <c r="Y132" s="4260"/>
      <c r="Z132" s="4266" t="s">
        <v>3630</v>
      </c>
      <c r="AA132" s="4267" t="str">
        <f>IF(W129&gt;100000,W132,W131)</f>
        <v>Filing status?</v>
      </c>
      <c r="AM132" s="4447"/>
      <c r="AN132" s="3169"/>
      <c r="AO132" s="3169"/>
      <c r="AP132" s="3169"/>
      <c r="AQ132" s="3169"/>
      <c r="AR132" s="3169"/>
      <c r="AS132" s="3169"/>
    </row>
    <row r="133" spans="1:45" ht="12.75" customHeight="1" thickTop="1">
      <c r="A133" s="290"/>
      <c r="B133" s="870"/>
      <c r="C133" s="162"/>
      <c r="D133" s="403" t="s">
        <v>4132</v>
      </c>
      <c r="E133" s="391"/>
      <c r="F133" s="391"/>
      <c r="G133" s="237"/>
      <c r="H133" s="237"/>
      <c r="I133" s="237"/>
      <c r="J133" s="238"/>
      <c r="K133" s="238"/>
      <c r="L133" s="162"/>
      <c r="M133" s="162"/>
      <c r="N133" s="469"/>
      <c r="O133" s="405"/>
      <c r="P133" s="406"/>
      <c r="Q133" s="264"/>
      <c r="R133" s="670"/>
      <c r="S133" s="51"/>
      <c r="T133" s="32"/>
      <c r="AM133" s="4447"/>
      <c r="AN133" s="3169"/>
      <c r="AO133" s="3169"/>
      <c r="AP133" s="3169"/>
      <c r="AQ133" s="3169"/>
      <c r="AR133" s="3169"/>
      <c r="AS133" s="3169"/>
    </row>
    <row r="134" spans="1:45" ht="12" customHeight="1">
      <c r="A134" s="290"/>
      <c r="B134" s="240"/>
      <c r="C134" s="162"/>
      <c r="D134" s="403" t="s">
        <v>4615</v>
      </c>
      <c r="E134" s="185"/>
      <c r="F134" s="185"/>
      <c r="G134" s="237"/>
      <c r="H134" s="237"/>
      <c r="I134" s="237"/>
      <c r="J134" s="238"/>
      <c r="K134" s="238"/>
      <c r="L134" s="162"/>
      <c r="M134" s="162"/>
      <c r="N134" s="405"/>
      <c r="O134" s="405" t="str">
        <f>B132</f>
        <v>45.</v>
      </c>
      <c r="P134" s="1666" t="str">
        <f>IF(S134&lt;&gt;"",S134,IF(NOT(SchDTW_Used),"",MIN(P129,P131)))</f>
        <v/>
      </c>
      <c r="Q134" s="264"/>
      <c r="R134" s="670"/>
      <c r="S134" s="1667"/>
      <c r="T134" s="32"/>
      <c r="AM134" s="4447"/>
      <c r="AN134" s="3169"/>
      <c r="AO134" s="3169"/>
      <c r="AP134" s="3169"/>
      <c r="AQ134" s="3169"/>
      <c r="AR134" s="3169"/>
      <c r="AS134" s="3169"/>
    </row>
    <row r="135" spans="1:45" ht="16.5" thickBot="1">
      <c r="A135" s="290"/>
      <c r="B135" s="240"/>
      <c r="C135" s="162"/>
      <c r="D135" s="403" t="s">
        <v>657</v>
      </c>
      <c r="E135" s="185"/>
      <c r="F135" s="185"/>
      <c r="G135" s="237"/>
      <c r="H135" s="237"/>
      <c r="I135" s="237"/>
      <c r="J135" s="238"/>
      <c r="K135" s="238"/>
      <c r="L135" s="162"/>
      <c r="M135" s="162"/>
      <c r="N135" s="469"/>
      <c r="O135" s="405"/>
      <c r="P135" s="406"/>
      <c r="Q135" s="264"/>
      <c r="R135" s="670"/>
      <c r="S135" s="51"/>
      <c r="T135" s="32"/>
      <c r="W135" s="270" t="s">
        <v>672</v>
      </c>
      <c r="X135" s="277" t="s">
        <v>77</v>
      </c>
      <c r="Y135" s="277" t="s">
        <v>3629</v>
      </c>
      <c r="Z135" s="277" t="s">
        <v>531</v>
      </c>
      <c r="AA135" s="277" t="s">
        <v>2508</v>
      </c>
      <c r="AM135" s="4447"/>
      <c r="AN135" s="3169"/>
      <c r="AO135" s="3169"/>
      <c r="AP135" s="3169"/>
      <c r="AQ135" s="3169"/>
      <c r="AR135" s="3169"/>
      <c r="AS135" s="3169"/>
    </row>
    <row r="136" spans="1:45" ht="14.25" customHeight="1" thickTop="1" thickBot="1">
      <c r="A136" s="290"/>
      <c r="B136" s="240"/>
      <c r="C136" s="162"/>
      <c r="D136" s="403" t="s">
        <v>658</v>
      </c>
      <c r="E136" s="185"/>
      <c r="F136" s="185"/>
      <c r="G136" s="237"/>
      <c r="H136" s="237"/>
      <c r="I136" s="237"/>
      <c r="J136" s="238"/>
      <c r="K136" s="238"/>
      <c r="L136" s="162"/>
      <c r="M136" s="162"/>
      <c r="N136" s="469"/>
      <c r="O136" s="405"/>
      <c r="P136" s="406"/>
      <c r="Q136" s="264"/>
      <c r="R136" s="670"/>
      <c r="S136" s="51"/>
      <c r="T136" s="275"/>
      <c r="W136" s="4268" t="str">
        <f>SchDTW_Line1</f>
        <v/>
      </c>
      <c r="X136" s="4262" t="e">
        <f>LOOKUP(W136,'Tax Table'!$B$2:$B$2063,'Tax Table'!$D$2:$D$2063)</f>
        <v>#N/A</v>
      </c>
      <c r="Y136" s="4262" t="e">
        <f>LOOKUP(W136,'Tax Table'!$B$2:$B$2063,'Tax Table'!$E$2:$E$2063)</f>
        <v>#N/A</v>
      </c>
      <c r="Z136" s="4262" t="e">
        <f>LOOKUP(W136,'Tax Table'!$B$2:$B$2063,'Tax Table'!$F$2:$F$2063)</f>
        <v>#N/A</v>
      </c>
      <c r="AA136" s="4263" t="e">
        <f>LOOKUP(W136,'Tax Table'!$B$2:$B$2063,'Tax Table'!$G$2:$G$2063)</f>
        <v>#N/A</v>
      </c>
      <c r="AM136" s="4447"/>
      <c r="AN136" s="3169"/>
      <c r="AO136" s="3169"/>
      <c r="AP136" s="3169"/>
      <c r="AQ136" s="3169"/>
      <c r="AR136" s="3169"/>
      <c r="AS136" s="3169"/>
    </row>
    <row r="137" spans="1:45" ht="12" customHeight="1" thickBot="1">
      <c r="A137" s="24"/>
      <c r="B137" s="240"/>
      <c r="C137" s="162"/>
      <c r="D137" s="403" t="s">
        <v>4133</v>
      </c>
      <c r="E137" s="185"/>
      <c r="F137" s="185"/>
      <c r="G137" s="237"/>
      <c r="H137" s="237"/>
      <c r="I137" s="237"/>
      <c r="J137" s="238"/>
      <c r="K137" s="238"/>
      <c r="L137" s="162"/>
      <c r="M137" s="162"/>
      <c r="N137" s="469"/>
      <c r="O137" s="405"/>
      <c r="P137" s="406"/>
      <c r="Q137" s="3534"/>
      <c r="R137" s="670"/>
      <c r="S137" s="51"/>
      <c r="T137" s="275"/>
      <c r="W137" s="4257"/>
      <c r="X137" s="4264" t="e">
        <f>IF(W136&lt;SectA_a3,"---",IF(W136&lt;=SectA_a4,ROUND((W136*(SectA_b4/100)-SectA_d4),0),IF(W136&lt;=SectA_a5,ROUND((W136*(SectA_b5/100)-SectA_d5),0),IF(W136&lt;=SectA_a6,ROUND((W136*(SectA_b6/100)-SectA_d6),0),ROUND((W136*(SectA_b7/100)-SectA_d7),0)))))</f>
        <v>#VALUE!</v>
      </c>
      <c r="Y137" s="4264" t="e">
        <f>IF(W136&lt;SectB_a2,"---",IF(W136&lt;=SectB_a3,ROUND((W136*(SectB_b3/100)-SectB_d3),0),IF(W136&lt;=SectB_a4,ROUND((W136*(SectB_b4/100)-SectB_d4),0),IF(W136&lt;=SectB_a5,ROUND((W136*(SectB_b5/100)-SectB_d5),0),IF(W136&lt;=SectB_a6,ROUND((W136*(SectB_b6/100)-SectB_d6),0),ROUND((W136*(SectB_b7/100)-SectB_d7),0))))))</f>
        <v>#VALUE!</v>
      </c>
      <c r="Z137" s="4264" t="e">
        <f>IF(W136&lt;SectC_a2,"---",IF(W136&lt;=SectC_a3,ROUND((W136*(SectC_b3/100)-SectC_d3),0),IF(W136&lt;=SectC_a4,ROUND((W136*(SectC_b4/100)-SectC_d4),0),IF(W136&lt;=SectC_a5,ROUND((W136*(SectC_b5/100)-SectC_d5),0),ROUND((W136*(SectC_b6/100)-SectC_d6),0)))))</f>
        <v>#VALUE!</v>
      </c>
      <c r="AA137" s="4265" t="e">
        <f>IF(W136&lt;SectD_a2,"---",IF(W136&lt;=SectD_a3,ROUND((W136*(SectD_b3/100)-SectD_d3),0),IF(W136&lt;=SectD_a4,ROUND((W136*(SectD_b4/100)-SectD_d4),0),IF(W136&lt;=SectD_a5,ROUND((W136*(SectD_b5/100)-SectD_d5),0),IF(W136&lt;=SectD_a6,ROUND((W136*(SectD_b6/100)-SectD_d6),0),ROUND((W136*(SectD_b7/100)-SectD_d7),0))))))</f>
        <v>#VALUE!</v>
      </c>
      <c r="AM137" s="4447"/>
      <c r="AN137" s="3169"/>
      <c r="AO137" s="3169"/>
      <c r="AP137" s="3169"/>
      <c r="AQ137" s="3169"/>
      <c r="AR137" s="3169"/>
      <c r="AS137" s="3169"/>
    </row>
    <row r="138" spans="1:45" ht="12" customHeight="1" thickBot="1">
      <c r="A138" s="290"/>
      <c r="B138" s="407"/>
      <c r="C138" s="410"/>
      <c r="D138" s="408"/>
      <c r="E138" s="408"/>
      <c r="F138" s="408"/>
      <c r="G138" s="409"/>
      <c r="H138" s="410"/>
      <c r="I138" s="410"/>
      <c r="J138" s="409"/>
      <c r="K138" s="409"/>
      <c r="L138" s="409"/>
      <c r="M138" s="409"/>
      <c r="N138" s="409"/>
      <c r="O138" s="409"/>
      <c r="P138" s="409"/>
      <c r="Q138" s="3535"/>
      <c r="R138" s="670"/>
      <c r="S138" s="51"/>
      <c r="T138" s="275"/>
      <c r="W138" s="4258" t="str">
        <f>IF(File_Single&lt;&gt;"",X136,IF(File_Marr_Joint&lt;&gt;"",Y136,IF(File_Marr_Sep&lt;&gt;"", Z136,IF(File_Head&lt;&gt;"",AA136,IF(File_Qual_Widow&lt;&gt;"",Y136,"Filing status?")))))</f>
        <v>Filing status?</v>
      </c>
      <c r="X138" s="2563" t="str">
        <f>"&lt;100k"</f>
        <v>&lt;100k</v>
      </c>
      <c r="Y138" s="2563"/>
      <c r="Z138" s="2563"/>
      <c r="AA138" s="4261"/>
      <c r="AM138" s="4447"/>
      <c r="AN138" s="3169"/>
      <c r="AO138" s="3169"/>
      <c r="AP138" s="3169"/>
      <c r="AQ138" s="3169"/>
      <c r="AR138" s="3169"/>
      <c r="AS138" s="3169"/>
    </row>
    <row r="139" spans="1:45" ht="12" customHeight="1" thickTop="1" thickBot="1">
      <c r="B139" s="25"/>
      <c r="C139" s="25"/>
      <c r="D139" s="60"/>
      <c r="E139" s="60"/>
      <c r="F139" s="60"/>
      <c r="G139" s="24"/>
      <c r="H139" s="24"/>
      <c r="I139" s="24"/>
      <c r="J139" s="1218"/>
      <c r="K139" s="133"/>
      <c r="L139" s="133"/>
      <c r="M139" s="133"/>
      <c r="N139" s="133"/>
      <c r="O139" s="133"/>
      <c r="P139" s="133"/>
      <c r="Q139" s="133"/>
      <c r="R139" s="7"/>
      <c r="S139" s="275"/>
      <c r="T139" s="5"/>
      <c r="W139" s="4259" t="str">
        <f>IF(File_Single&lt;&gt;"",X137,IF(OR(File_Marr_Joint&lt;&gt;"",File_Qual_Widow&lt;&gt;""),Y137,IF(File_Marr_Sep&lt;&gt;"", Z137,IF(File_Head&lt;&gt;"",AA137,"Filing status?"))))</f>
        <v>Filing status?</v>
      </c>
      <c r="X139" s="4260" t="str">
        <f>"&gt;=100k"</f>
        <v>&gt;=100k</v>
      </c>
      <c r="Y139" s="4260"/>
      <c r="Z139" s="4266" t="s">
        <v>3630</v>
      </c>
      <c r="AA139" s="4267" t="str">
        <f>IF(W136&gt;100000,W139,W138)</f>
        <v>Filing status?</v>
      </c>
      <c r="AM139" s="4447"/>
      <c r="AN139" s="3169"/>
      <c r="AO139" s="3169"/>
      <c r="AP139" s="3169"/>
      <c r="AQ139" s="3169"/>
      <c r="AR139" s="3169"/>
      <c r="AS139" s="3169"/>
    </row>
    <row r="140" spans="1:45" ht="13.5" thickTop="1">
      <c r="B140" s="1144"/>
      <c r="C140" s="1144"/>
      <c r="D140" s="1216"/>
      <c r="E140" s="1216"/>
      <c r="F140" s="1216"/>
      <c r="G140" s="290"/>
      <c r="H140" s="290"/>
      <c r="I140" s="290"/>
      <c r="J140" s="1217"/>
      <c r="K140" s="1217"/>
      <c r="L140" s="1217"/>
      <c r="M140" s="133"/>
      <c r="N140" s="1217"/>
      <c r="O140" s="133"/>
      <c r="P140" s="133"/>
      <c r="Q140" s="133"/>
      <c r="R140" s="133"/>
      <c r="S140" s="275"/>
      <c r="T140" s="5"/>
      <c r="AM140" s="4447"/>
      <c r="AN140" s="3169"/>
      <c r="AO140" s="3169"/>
      <c r="AP140" s="3169"/>
      <c r="AQ140" s="3169"/>
      <c r="AR140" s="3169"/>
      <c r="AS140" s="3169"/>
    </row>
    <row r="141" spans="1:45" ht="13.5" thickBot="1">
      <c r="B141" s="1"/>
      <c r="C141" s="1"/>
      <c r="D141" s="15"/>
      <c r="E141" s="15"/>
      <c r="F141" s="15"/>
      <c r="J141" s="4"/>
      <c r="K141" s="4"/>
      <c r="L141" s="4"/>
      <c r="M141" s="273"/>
      <c r="N141" s="4"/>
      <c r="O141" s="273"/>
      <c r="P141" s="273"/>
      <c r="Q141" s="273"/>
      <c r="R141" s="273"/>
      <c r="S141" s="5"/>
      <c r="T141" s="5"/>
      <c r="AM141" s="4447"/>
      <c r="AN141" s="3169"/>
      <c r="AO141" s="3169"/>
      <c r="AP141" s="3169"/>
      <c r="AQ141" s="3169"/>
      <c r="AR141" s="3169"/>
      <c r="AS141" s="3169"/>
    </row>
    <row r="142" spans="1:45" ht="14.25" thickTop="1" thickBot="1">
      <c r="D142" s="5490" t="s">
        <v>364</v>
      </c>
      <c r="E142" s="5931"/>
      <c r="F142" s="5931"/>
      <c r="G142" s="5931"/>
      <c r="H142" s="5932"/>
      <c r="I142" s="682"/>
      <c r="J142" s="4"/>
      <c r="K142" s="4"/>
      <c r="L142" s="273"/>
      <c r="M142" s="4"/>
      <c r="N142" s="273"/>
      <c r="O142" s="273"/>
      <c r="P142" s="4"/>
      <c r="Q142" s="273"/>
      <c r="R142" s="5"/>
      <c r="S142" s="5"/>
      <c r="T142" s="5"/>
    </row>
    <row r="143" spans="1:45" ht="14.25" thickTop="1" thickBot="1">
      <c r="D143" s="15"/>
      <c r="E143" s="15"/>
      <c r="H143" s="4"/>
      <c r="I143" s="4"/>
      <c r="J143" s="4"/>
      <c r="K143" s="4"/>
      <c r="L143" s="273"/>
      <c r="M143" s="4"/>
      <c r="N143" s="273"/>
      <c r="O143" s="273"/>
      <c r="P143" s="4"/>
      <c r="Q143" s="273"/>
      <c r="R143" s="5"/>
      <c r="S143" s="5"/>
    </row>
    <row r="144" spans="1:45" ht="14.25" thickTop="1" thickBot="1">
      <c r="D144" s="5490" t="s">
        <v>70</v>
      </c>
      <c r="E144" s="5931"/>
      <c r="F144" s="5931"/>
      <c r="G144" s="5931"/>
      <c r="H144" s="5932"/>
      <c r="I144" s="682"/>
      <c r="J144" s="4"/>
      <c r="K144" s="4"/>
      <c r="L144" s="273"/>
      <c r="M144" s="4"/>
      <c r="N144" s="273"/>
      <c r="O144" s="273"/>
      <c r="P144" s="4"/>
      <c r="Q144" s="273"/>
      <c r="R144" s="5"/>
    </row>
    <row r="145" ht="13.5" thickTop="1"/>
  </sheetData>
  <sheetProtection password="F07E" sheet="1" objects="1" scenarios="1"/>
  <mergeCells count="8">
    <mergeCell ref="S63:S64"/>
    <mergeCell ref="D142:H142"/>
    <mergeCell ref="D144:H144"/>
    <mergeCell ref="B65:C65"/>
    <mergeCell ref="B67:C67"/>
    <mergeCell ref="D77:H77"/>
    <mergeCell ref="D76:H76"/>
    <mergeCell ref="S65:S66"/>
  </mergeCells>
  <phoneticPr fontId="12" type="noConversion"/>
  <conditionalFormatting sqref="S62">
    <cfRule type="cellIs" dxfId="1902" priority="380" stopIfTrue="1" operator="equal">
      <formula>"Yes"</formula>
    </cfRule>
  </conditionalFormatting>
  <conditionalFormatting sqref="E67">
    <cfRule type="expression" dxfId="1901" priority="375" stopIfTrue="1">
      <formula>IF($U65&gt;0,TRUE,FALSE)</formula>
    </cfRule>
  </conditionalFormatting>
  <conditionalFormatting sqref="C64">
    <cfRule type="expression" dxfId="1900" priority="370">
      <formula>IF(OR($U63&gt;0,$U64&gt;0,$U65&gt;0),TRUE,FALSE)</formula>
    </cfRule>
  </conditionalFormatting>
  <conditionalFormatting sqref="C61">
    <cfRule type="expression" dxfId="1899" priority="369">
      <formula>IF($U62&gt;0,1,0)</formula>
    </cfRule>
  </conditionalFormatting>
  <conditionalFormatting sqref="E65">
    <cfRule type="expression" dxfId="1898" priority="368">
      <formula>IF(OR($U63&gt;0,$U64&gt;0),TRUE,FALSE)</formula>
    </cfRule>
  </conditionalFormatting>
  <conditionalFormatting sqref="B37:M58 N37:O37 N39:O41 O38 N43:O46 O42 P37:Q46 O48:Q48 N50:Q51 N53:Q53 N55:Q58 B16:P16 B34:Q35 N11:O15 N20:Q21 O29:P30 B32:P32 B6:M6 N4:O4 N6:O9 B5:O5 O23:P23 B25:P25 O27:Q27 P9:Q15">
    <cfRule type="expression" dxfId="1897" priority="362">
      <formula>IF(NoColor,1,0)</formula>
    </cfRule>
  </conditionalFormatting>
  <conditionalFormatting sqref="N47:O47 Q47 N49:O49 Q49 N52:O52 Q52 N54:O54 Q54">
    <cfRule type="expression" dxfId="1896" priority="361">
      <formula>IF(NoColor,1,0)</formula>
    </cfRule>
  </conditionalFormatting>
  <conditionalFormatting sqref="P73">
    <cfRule type="expression" dxfId="1895" priority="360">
      <formula>IF(NoColor,1,0)</formula>
    </cfRule>
  </conditionalFormatting>
  <conditionalFormatting sqref="L75">
    <cfRule type="expression" dxfId="1894" priority="359">
      <formula>IF(NoColor,1,0)</formula>
    </cfRule>
  </conditionalFormatting>
  <conditionalFormatting sqref="J77">
    <cfRule type="expression" dxfId="1893" priority="358">
      <formula>IF(NoColor,1,0)</formula>
    </cfRule>
  </conditionalFormatting>
  <conditionalFormatting sqref="J78">
    <cfRule type="expression" dxfId="1892" priority="357">
      <formula>IF(NoColor,1,0)</formula>
    </cfRule>
  </conditionalFormatting>
  <conditionalFormatting sqref="L79">
    <cfRule type="expression" dxfId="1891" priority="356">
      <formula>IF(NoColor,1,0)</formula>
    </cfRule>
  </conditionalFormatting>
  <conditionalFormatting sqref="N80">
    <cfRule type="expression" dxfId="1890" priority="355">
      <formula>IF(NoColor,1,0)</formula>
    </cfRule>
  </conditionalFormatting>
  <conditionalFormatting sqref="L81">
    <cfRule type="expression" dxfId="1889" priority="354">
      <formula>IF(NoColor,1,0)</formula>
    </cfRule>
  </conditionalFormatting>
  <conditionalFormatting sqref="L82">
    <cfRule type="expression" dxfId="1888" priority="353">
      <formula>IF(NoColor,1,0)</formula>
    </cfRule>
  </conditionalFormatting>
  <conditionalFormatting sqref="N83">
    <cfRule type="expression" dxfId="1887" priority="352">
      <formula>IF(NoColor,1,0)</formula>
    </cfRule>
  </conditionalFormatting>
  <conditionalFormatting sqref="L84">
    <cfRule type="expression" dxfId="1886" priority="351">
      <formula>IF(NoColor,1,0)</formula>
    </cfRule>
  </conditionalFormatting>
  <conditionalFormatting sqref="L86">
    <cfRule type="expression" dxfId="1885" priority="350">
      <formula>IF(NoColor,1,0)</formula>
    </cfRule>
  </conditionalFormatting>
  <conditionalFormatting sqref="N85">
    <cfRule type="expression" dxfId="1884" priority="349">
      <formula>IF(NoColor,1,0)</formula>
    </cfRule>
  </conditionalFormatting>
  <conditionalFormatting sqref="P87">
    <cfRule type="expression" dxfId="1883" priority="348">
      <formula>IF(NoColor,1,0)</formula>
    </cfRule>
  </conditionalFormatting>
  <conditionalFormatting sqref="P88">
    <cfRule type="expression" dxfId="1882" priority="347">
      <formula>IF(NoColor,1,0)</formula>
    </cfRule>
  </conditionalFormatting>
  <conditionalFormatting sqref="L91">
    <cfRule type="expression" dxfId="1881" priority="346">
      <formula>IF(NoColor,1,0)</formula>
    </cfRule>
  </conditionalFormatting>
  <conditionalFormatting sqref="N93">
    <cfRule type="expression" dxfId="1880" priority="345">
      <formula>IF(NoColor,1,0)</formula>
    </cfRule>
  </conditionalFormatting>
  <conditionalFormatting sqref="L94">
    <cfRule type="expression" dxfId="1879" priority="344">
      <formula>IF(NoColor,1,0)</formula>
    </cfRule>
  </conditionalFormatting>
  <conditionalFormatting sqref="L95">
    <cfRule type="expression" dxfId="1878" priority="343">
      <formula>IF(NoColor,1,0)</formula>
    </cfRule>
  </conditionalFormatting>
  <conditionalFormatting sqref="N96">
    <cfRule type="expression" dxfId="1877" priority="342">
      <formula>IF(NoColor,1,0)</formula>
    </cfRule>
  </conditionalFormatting>
  <conditionalFormatting sqref="N97">
    <cfRule type="expression" dxfId="1876" priority="341">
      <formula>IF(NoColor,1,0)</formula>
    </cfRule>
  </conditionalFormatting>
  <conditionalFormatting sqref="L99">
    <cfRule type="expression" dxfId="1875" priority="340">
      <formula>IF(NoColor,1,0)</formula>
    </cfRule>
  </conditionalFormatting>
  <conditionalFormatting sqref="L100">
    <cfRule type="expression" dxfId="1874" priority="339">
      <formula>IF(NoColor,1,0)</formula>
    </cfRule>
  </conditionalFormatting>
  <conditionalFormatting sqref="N101">
    <cfRule type="expression" dxfId="1873" priority="338">
      <formula>IF(NoColor,1,0)</formula>
    </cfRule>
  </conditionalFormatting>
  <conditionalFormatting sqref="L105">
    <cfRule type="expression" dxfId="1872" priority="337">
      <formula>IF(NoColor,1,0)</formula>
    </cfRule>
  </conditionalFormatting>
  <conditionalFormatting sqref="L107">
    <cfRule type="expression" dxfId="1871" priority="336">
      <formula>IF(NoColor,1,0)</formula>
    </cfRule>
  </conditionalFormatting>
  <conditionalFormatting sqref="L108">
    <cfRule type="expression" dxfId="1870" priority="335">
      <formula>IF(NoColor,1,0)</formula>
    </cfRule>
  </conditionalFormatting>
  <conditionalFormatting sqref="L109">
    <cfRule type="expression" dxfId="1869" priority="334">
      <formula>IF(NoColor,1,0)</formula>
    </cfRule>
  </conditionalFormatting>
  <conditionalFormatting sqref="N110">
    <cfRule type="expression" dxfId="1868" priority="333">
      <formula>IF(NoColor,1,0)</formula>
    </cfRule>
  </conditionalFormatting>
  <conditionalFormatting sqref="N114">
    <cfRule type="expression" dxfId="1867" priority="332">
      <formula>IF(NoColor,1,0)</formula>
    </cfRule>
  </conditionalFormatting>
  <conditionalFormatting sqref="L112">
    <cfRule type="expression" dxfId="1866" priority="331">
      <formula>IF(NoColor,1,0)</formula>
    </cfRule>
  </conditionalFormatting>
  <conditionalFormatting sqref="P111">
    <cfRule type="expression" dxfId="1865" priority="330">
      <formula>IF(NoColor,1,0)</formula>
    </cfRule>
  </conditionalFormatting>
  <conditionalFormatting sqref="P115">
    <cfRule type="expression" dxfId="1864" priority="329">
      <formula>IF(NoColor,1,0)</formula>
    </cfRule>
  </conditionalFormatting>
  <conditionalFormatting sqref="L117">
    <cfRule type="expression" dxfId="1863" priority="328">
      <formula>IF(NoColor,1,0)</formula>
    </cfRule>
  </conditionalFormatting>
  <conditionalFormatting sqref="J118">
    <cfRule type="expression" dxfId="1862" priority="325">
      <formula>IF(NoColor,1,0)</formula>
    </cfRule>
  </conditionalFormatting>
  <conditionalFormatting sqref="J119">
    <cfRule type="expression" dxfId="1861" priority="324">
      <formula>IF(NoColor,1,0)</formula>
    </cfRule>
  </conditionalFormatting>
  <conditionalFormatting sqref="L120">
    <cfRule type="expression" dxfId="1860" priority="323">
      <formula>IF(NoColor,1,0)</formula>
    </cfRule>
  </conditionalFormatting>
  <conditionalFormatting sqref="N121">
    <cfRule type="expression" dxfId="1859" priority="322">
      <formula>IF(NoColor,1,0)</formula>
    </cfRule>
  </conditionalFormatting>
  <conditionalFormatting sqref="P122">
    <cfRule type="expression" dxfId="1858" priority="321">
      <formula>IF(NoColor,1,0)</formula>
    </cfRule>
  </conditionalFormatting>
  <conditionalFormatting sqref="N124">
    <cfRule type="expression" dxfId="1857" priority="320">
      <formula>IF(NoColor,1,0)</formula>
    </cfRule>
  </conditionalFormatting>
  <conditionalFormatting sqref="N125">
    <cfRule type="expression" dxfId="1856" priority="319">
      <formula>IF(NoColor,1,0)</formula>
    </cfRule>
  </conditionalFormatting>
  <conditionalFormatting sqref="P126">
    <cfRule type="expression" dxfId="1855" priority="318">
      <formula>IF(NoColor,1,0)</formula>
    </cfRule>
  </conditionalFormatting>
  <conditionalFormatting sqref="P128">
    <cfRule type="expression" dxfId="1854" priority="317">
      <formula>IF(NoColor,1,0)</formula>
    </cfRule>
  </conditionalFormatting>
  <conditionalFormatting sqref="P129">
    <cfRule type="expression" dxfId="1853" priority="316">
      <formula>IF(NoColor,1,0)</formula>
    </cfRule>
  </conditionalFormatting>
  <conditionalFormatting sqref="P131">
    <cfRule type="expression" dxfId="1852" priority="315">
      <formula>IF(NoColor,1,0)</formula>
    </cfRule>
  </conditionalFormatting>
  <conditionalFormatting sqref="P134">
    <cfRule type="expression" dxfId="1851" priority="314">
      <formula>IF(NoColor,1,0)</formula>
    </cfRule>
  </conditionalFormatting>
  <conditionalFormatting sqref="P52">
    <cfRule type="expression" dxfId="1850" priority="311">
      <formula>IF(NoColor,1,0)</formula>
    </cfRule>
  </conditionalFormatting>
  <conditionalFormatting sqref="P49">
    <cfRule type="expression" dxfId="1849" priority="312">
      <formula>IF(NoColor,1,0)</formula>
    </cfRule>
  </conditionalFormatting>
  <conditionalFormatting sqref="P54">
    <cfRule type="expression" dxfId="1848" priority="310">
      <formula>IF(NoColor,1,0)</formula>
    </cfRule>
  </conditionalFormatting>
  <conditionalFormatting sqref="N38">
    <cfRule type="expression" dxfId="1847" priority="309">
      <formula>IF(NoColor,1,0)</formula>
    </cfRule>
  </conditionalFormatting>
  <conditionalFormatting sqref="N42">
    <cfRule type="expression" dxfId="1846" priority="308">
      <formula>IF(NoColor,1,0)</formula>
    </cfRule>
  </conditionalFormatting>
  <conditionalFormatting sqref="N48">
    <cfRule type="expression" dxfId="1845" priority="307">
      <formula>IF(NoColor,1,0)</formula>
    </cfRule>
  </conditionalFormatting>
  <conditionalFormatting sqref="D90">
    <cfRule type="expression" dxfId="1844" priority="306">
      <formula>IF(B90,0,1)</formula>
    </cfRule>
  </conditionalFormatting>
  <conditionalFormatting sqref="D91">
    <cfRule type="expression" dxfId="1843" priority="305">
      <formula>IF(B91,0,1)</formula>
    </cfRule>
  </conditionalFormatting>
  <conditionalFormatting sqref="D92">
    <cfRule type="expression" dxfId="1842" priority="304">
      <formula>IF(B92,0,1)</formula>
    </cfRule>
  </conditionalFormatting>
  <conditionalFormatting sqref="D103:D106">
    <cfRule type="expression" dxfId="1841" priority="303">
      <formula>IF(B103,0,1)</formula>
    </cfRule>
  </conditionalFormatting>
  <conditionalFormatting sqref="D136:D137">
    <cfRule type="expression" dxfId="1840" priority="302">
      <formula>IF(Form2555_Used,1,0)</formula>
    </cfRule>
  </conditionalFormatting>
  <conditionalFormatting sqref="B3:M4 M17:N17 B11:M14 B9 B7:C8 F7:M9">
    <cfRule type="expression" dxfId="1839" priority="296">
      <formula>IF(NoColor,1,0)</formula>
    </cfRule>
  </conditionalFormatting>
  <conditionalFormatting sqref="N3:Q3 Q16 Q5:Q7">
    <cfRule type="expression" dxfId="1838" priority="295">
      <formula>IF(NoColor,1,0)</formula>
    </cfRule>
  </conditionalFormatting>
  <conditionalFormatting sqref="O17">
    <cfRule type="expression" dxfId="1837" priority="277">
      <formula>IF(NoColor,1,0)</formula>
    </cfRule>
  </conditionalFormatting>
  <conditionalFormatting sqref="B17:C17 E17:L17">
    <cfRule type="expression" dxfId="1836" priority="283">
      <formula>IF(NoColor,1,0)</formula>
    </cfRule>
  </conditionalFormatting>
  <conditionalFormatting sqref="Q17">
    <cfRule type="expression" dxfId="1835" priority="282">
      <formula>IF(NoColor,1,0)</formula>
    </cfRule>
  </conditionalFormatting>
  <conditionalFormatting sqref="O17">
    <cfRule type="expression" dxfId="1834" priority="279">
      <formula>IF(NoColor,1,0)</formula>
    </cfRule>
  </conditionalFormatting>
  <conditionalFormatting sqref="B18:M18">
    <cfRule type="expression" dxfId="1833" priority="274">
      <formula>IF(NoColor,1,0)</formula>
    </cfRule>
  </conditionalFormatting>
  <conditionalFormatting sqref="Q18">
    <cfRule type="expression" dxfId="1832" priority="273">
      <formula>IF(NoColor,1,0)</formula>
    </cfRule>
  </conditionalFormatting>
  <conditionalFormatting sqref="O18">
    <cfRule type="expression" dxfId="1831" priority="270">
      <formula>IF(NoColor,1,0)</formula>
    </cfRule>
  </conditionalFormatting>
  <conditionalFormatting sqref="O18">
    <cfRule type="expression" dxfId="1830" priority="269">
      <formula>IF(NoColor,1,0)</formula>
    </cfRule>
  </conditionalFormatting>
  <conditionalFormatting sqref="N18">
    <cfRule type="expression" dxfId="1829" priority="267">
      <formula>IF(NoColor,1,0)</formula>
    </cfRule>
  </conditionalFormatting>
  <conditionalFormatting sqref="B19:M19">
    <cfRule type="expression" dxfId="1828" priority="263">
      <formula>IF(NoColor,1,0)</formula>
    </cfRule>
  </conditionalFormatting>
  <conditionalFormatting sqref="Q19">
    <cfRule type="expression" dxfId="1827" priority="262">
      <formula>IF(NoColor,1,0)</formula>
    </cfRule>
  </conditionalFormatting>
  <conditionalFormatting sqref="P19">
    <cfRule type="expression" dxfId="1826" priority="261">
      <formula>IF(NoColor,1,0)</formula>
    </cfRule>
  </conditionalFormatting>
  <conditionalFormatting sqref="O19">
    <cfRule type="expression" dxfId="1825" priority="259">
      <formula>IF(NoColor,1,0)</formula>
    </cfRule>
  </conditionalFormatting>
  <conditionalFormatting sqref="O19">
    <cfRule type="expression" dxfId="1824" priority="258">
      <formula>IF(NoColor,1,0)</formula>
    </cfRule>
  </conditionalFormatting>
  <conditionalFormatting sqref="B20:K20 M20">
    <cfRule type="expression" dxfId="1823" priority="253">
      <formula>IF(NoColor,1,0)</formula>
    </cfRule>
  </conditionalFormatting>
  <conditionalFormatting sqref="N19">
    <cfRule type="expression" dxfId="1822" priority="250">
      <formula>IF(NoColor,1,0)</formula>
    </cfRule>
  </conditionalFormatting>
  <conditionalFormatting sqref="L20">
    <cfRule type="expression" dxfId="1821" priority="222">
      <formula>IF(NoColor,1,0)</formula>
    </cfRule>
  </conditionalFormatting>
  <conditionalFormatting sqref="B15:M15">
    <cfRule type="expression" dxfId="1820" priority="244">
      <formula>IF(NoColor,1,0)</formula>
    </cfRule>
  </conditionalFormatting>
  <conditionalFormatting sqref="B21:M21">
    <cfRule type="expression" dxfId="1819" priority="240">
      <formula>IF(NoColor,1,0)</formula>
    </cfRule>
  </conditionalFormatting>
  <conditionalFormatting sqref="B22:M22">
    <cfRule type="expression" dxfId="1818" priority="231">
      <formula>IF(NoColor,1,0)</formula>
    </cfRule>
  </conditionalFormatting>
  <conditionalFormatting sqref="Q22">
    <cfRule type="expression" dxfId="1817" priority="230">
      <formula>IF(NoColor,1,0)</formula>
    </cfRule>
  </conditionalFormatting>
  <conditionalFormatting sqref="O22">
    <cfRule type="expression" dxfId="1816" priority="227">
      <formula>IF(NoColor,1,0)</formula>
    </cfRule>
  </conditionalFormatting>
  <conditionalFormatting sqref="O22">
    <cfRule type="expression" dxfId="1815" priority="226">
      <formula>IF(NoColor,1,0)</formula>
    </cfRule>
  </conditionalFormatting>
  <conditionalFormatting sqref="N22">
    <cfRule type="expression" dxfId="1814" priority="224">
      <formula>IF(NoColor,1,0)</formula>
    </cfRule>
  </conditionalFormatting>
  <conditionalFormatting sqref="Q23">
    <cfRule type="expression" dxfId="1813" priority="215">
      <formula>IF(NoColor,1,0)</formula>
    </cfRule>
  </conditionalFormatting>
  <conditionalFormatting sqref="C23 E23:K23">
    <cfRule type="expression" dxfId="1812" priority="216">
      <formula>IF(NoColor,1,0)</formula>
    </cfRule>
  </conditionalFormatting>
  <conditionalFormatting sqref="D23">
    <cfRule type="expression" dxfId="1811" priority="209">
      <formula>IF(NoColor,1,0)</formula>
    </cfRule>
  </conditionalFormatting>
  <conditionalFormatting sqref="B23">
    <cfRule type="expression" dxfId="1810" priority="207">
      <formula>IF(NoColor,1,0)</formula>
    </cfRule>
  </conditionalFormatting>
  <conditionalFormatting sqref="M23">
    <cfRule type="expression" dxfId="1809" priority="205">
      <formula>IF(NoColor,1,0)</formula>
    </cfRule>
  </conditionalFormatting>
  <conditionalFormatting sqref="N23">
    <cfRule type="expression" dxfId="1808" priority="204">
      <formula>IF(NoColor,1,0)</formula>
    </cfRule>
  </conditionalFormatting>
  <conditionalFormatting sqref="L23">
    <cfRule type="expression" dxfId="1807" priority="202">
      <formula>IF(NoColor,1,0)</formula>
    </cfRule>
  </conditionalFormatting>
  <conditionalFormatting sqref="B24:M24">
    <cfRule type="expression" dxfId="1806" priority="198">
      <formula>IF(NoColor,1,0)</formula>
    </cfRule>
  </conditionalFormatting>
  <conditionalFormatting sqref="Q24">
    <cfRule type="expression" dxfId="1805" priority="197">
      <formula>IF(NoColor,1,0)</formula>
    </cfRule>
  </conditionalFormatting>
  <conditionalFormatting sqref="O24">
    <cfRule type="expression" dxfId="1804" priority="194">
      <formula>IF(NoColor,1,0)</formula>
    </cfRule>
  </conditionalFormatting>
  <conditionalFormatting sqref="O24">
    <cfRule type="expression" dxfId="1803" priority="193">
      <formula>IF(NoColor,1,0)</formula>
    </cfRule>
  </conditionalFormatting>
  <conditionalFormatting sqref="N28">
    <cfRule type="expression" dxfId="1802" priority="162">
      <formula>IF(NoColor,1,0)</formula>
    </cfRule>
  </conditionalFormatting>
  <conditionalFormatting sqref="N24">
    <cfRule type="expression" dxfId="1801" priority="189">
      <formula>IF(NoColor,1,0)</formula>
    </cfRule>
  </conditionalFormatting>
  <conditionalFormatting sqref="M26:N26">
    <cfRule type="expression" dxfId="1800" priority="186">
      <formula>IF(NoColor,1,0)</formula>
    </cfRule>
  </conditionalFormatting>
  <conditionalFormatting sqref="Q25">
    <cfRule type="expression" dxfId="1799" priority="185">
      <formula>IF(NoColor,1,0)</formula>
    </cfRule>
  </conditionalFormatting>
  <conditionalFormatting sqref="O26">
    <cfRule type="expression" dxfId="1798" priority="177">
      <formula>IF(NoColor,1,0)</formula>
    </cfRule>
  </conditionalFormatting>
  <conditionalFormatting sqref="B26:L26">
    <cfRule type="expression" dxfId="1797" priority="182">
      <formula>IF(NoColor,1,0)</formula>
    </cfRule>
  </conditionalFormatting>
  <conditionalFormatting sqref="Q26">
    <cfRule type="expression" dxfId="1796" priority="181">
      <formula>IF(NoColor,1,0)</formula>
    </cfRule>
  </conditionalFormatting>
  <conditionalFormatting sqref="O26">
    <cfRule type="expression" dxfId="1795" priority="179">
      <formula>IF(NoColor,1,0)</formula>
    </cfRule>
  </conditionalFormatting>
  <conditionalFormatting sqref="B27:M27">
    <cfRule type="expression" dxfId="1794" priority="174">
      <formula>IF(NoColor,1,0)</formula>
    </cfRule>
  </conditionalFormatting>
  <conditionalFormatting sqref="B28:M28">
    <cfRule type="expression" dxfId="1793" priority="169">
      <formula>IF(NoColor,1,0)</formula>
    </cfRule>
  </conditionalFormatting>
  <conditionalFormatting sqref="Q28">
    <cfRule type="expression" dxfId="1792" priority="168">
      <formula>IF(NoColor,1,0)</formula>
    </cfRule>
  </conditionalFormatting>
  <conditionalFormatting sqref="O28">
    <cfRule type="expression" dxfId="1791" priority="165">
      <formula>IF(NoColor,1,0)</formula>
    </cfRule>
  </conditionalFormatting>
  <conditionalFormatting sqref="O28">
    <cfRule type="expression" dxfId="1790" priority="164">
      <formula>IF(NoColor,1,0)</formula>
    </cfRule>
  </conditionalFormatting>
  <conditionalFormatting sqref="O31">
    <cfRule type="expression" dxfId="1789" priority="119">
      <formula>IF(NoColor,1,0)</formula>
    </cfRule>
  </conditionalFormatting>
  <conditionalFormatting sqref="Q29">
    <cfRule type="expression" dxfId="1788" priority="151">
      <formula>IF(NoColor,1,0)</formula>
    </cfRule>
  </conditionalFormatting>
  <conditionalFormatting sqref="C29 E29:K29">
    <cfRule type="expression" dxfId="1787" priority="152">
      <formula>IF(NoColor,1,0)</formula>
    </cfRule>
  </conditionalFormatting>
  <conditionalFormatting sqref="D29">
    <cfRule type="expression" dxfId="1786" priority="149">
      <formula>IF(NoColor,1,0)</formula>
    </cfRule>
  </conditionalFormatting>
  <conditionalFormatting sqref="B29">
    <cfRule type="expression" dxfId="1785" priority="147">
      <formula>IF(NoColor,1,0)</formula>
    </cfRule>
  </conditionalFormatting>
  <conditionalFormatting sqref="M29">
    <cfRule type="expression" dxfId="1784" priority="145">
      <formula>IF(NoColor,1,0)</formula>
    </cfRule>
  </conditionalFormatting>
  <conditionalFormatting sqref="N29">
    <cfRule type="expression" dxfId="1783" priority="144">
      <formula>IF(NoColor,1,0)</formula>
    </cfRule>
  </conditionalFormatting>
  <conditionalFormatting sqref="L29">
    <cfRule type="expression" dxfId="1782" priority="142">
      <formula>IF(NoColor,1,0)</formula>
    </cfRule>
  </conditionalFormatting>
  <conditionalFormatting sqref="Q30">
    <cfRule type="expression" dxfId="1781" priority="136">
      <formula>IF(NoColor,1,0)</formula>
    </cfRule>
  </conditionalFormatting>
  <conditionalFormatting sqref="C30 E30:K30">
    <cfRule type="expression" dxfId="1780" priority="137">
      <formula>IF(NoColor,1,0)</formula>
    </cfRule>
  </conditionalFormatting>
  <conditionalFormatting sqref="D30">
    <cfRule type="expression" dxfId="1779" priority="134">
      <formula>IF(NoColor,1,0)</formula>
    </cfRule>
  </conditionalFormatting>
  <conditionalFormatting sqref="B30">
    <cfRule type="expression" dxfId="1778" priority="132">
      <formula>IF(NoColor,1,0)</formula>
    </cfRule>
  </conditionalFormatting>
  <conditionalFormatting sqref="M30">
    <cfRule type="expression" dxfId="1777" priority="130">
      <formula>IF(NoColor,1,0)</formula>
    </cfRule>
  </conditionalFormatting>
  <conditionalFormatting sqref="N30">
    <cfRule type="expression" dxfId="1776" priority="129">
      <formula>IF(NoColor,1,0)</formula>
    </cfRule>
  </conditionalFormatting>
  <conditionalFormatting sqref="L30">
    <cfRule type="expression" dxfId="1775" priority="127">
      <formula>IF(NoColor,1,0)</formula>
    </cfRule>
  </conditionalFormatting>
  <conditionalFormatting sqref="B31:M31">
    <cfRule type="expression" dxfId="1774" priority="123">
      <formula>IF(NoColor,1,0)</formula>
    </cfRule>
  </conditionalFormatting>
  <conditionalFormatting sqref="Q31">
    <cfRule type="expression" dxfId="1773" priority="122">
      <formula>IF(NoColor,1,0)</formula>
    </cfRule>
  </conditionalFormatting>
  <conditionalFormatting sqref="O31">
    <cfRule type="expression" dxfId="1772" priority="118">
      <formula>IF(NoColor,1,0)</formula>
    </cfRule>
  </conditionalFormatting>
  <conditionalFormatting sqref="N31">
    <cfRule type="expression" dxfId="1771" priority="116">
      <formula>IF(NoColor,1,0)</formula>
    </cfRule>
  </conditionalFormatting>
  <conditionalFormatting sqref="M33:N33">
    <cfRule type="expression" dxfId="1770" priority="113">
      <formula>IF(NoColor,1,0)</formula>
    </cfRule>
  </conditionalFormatting>
  <conditionalFormatting sqref="Q32">
    <cfRule type="expression" dxfId="1769" priority="112">
      <formula>IF(NoColor,1,0)</formula>
    </cfRule>
  </conditionalFormatting>
  <conditionalFormatting sqref="O33">
    <cfRule type="expression" dxfId="1768" priority="104">
      <formula>IF(NoColor,1,0)</formula>
    </cfRule>
  </conditionalFormatting>
  <conditionalFormatting sqref="B33:L33">
    <cfRule type="expression" dxfId="1767" priority="109">
      <formula>IF(NoColor,1,0)</formula>
    </cfRule>
  </conditionalFormatting>
  <conditionalFormatting sqref="Q33">
    <cfRule type="expression" dxfId="1766" priority="108">
      <formula>IF(NoColor,1,0)</formula>
    </cfRule>
  </conditionalFormatting>
  <conditionalFormatting sqref="O33">
    <cfRule type="expression" dxfId="1765" priority="106">
      <formula>IF(NoColor,1,0)</formula>
    </cfRule>
  </conditionalFormatting>
  <conditionalFormatting sqref="B10 D10:M10">
    <cfRule type="expression" dxfId="1764" priority="100">
      <formula>IF(NoColor,1,0)</formula>
    </cfRule>
  </conditionalFormatting>
  <conditionalFormatting sqref="N10:O10">
    <cfRule type="expression" dxfId="1763" priority="99">
      <formula>IF(NoColor,1,0)</formula>
    </cfRule>
  </conditionalFormatting>
  <conditionalFormatting sqref="C10">
    <cfRule type="expression" dxfId="1762" priority="97">
      <formula>IF(NoColor,1,0)</formula>
    </cfRule>
  </conditionalFormatting>
  <conditionalFormatting sqref="D7">
    <cfRule type="expression" dxfId="1761" priority="95">
      <formula>IF(NoColor,1,0)</formula>
    </cfRule>
  </conditionalFormatting>
  <conditionalFormatting sqref="D8">
    <cfRule type="expression" dxfId="1760" priority="93">
      <formula>IF(NoColor,1,0)</formula>
    </cfRule>
  </conditionalFormatting>
  <conditionalFormatting sqref="C9">
    <cfRule type="expression" dxfId="1759" priority="91">
      <formula>IF(NoColor,1,0)</formula>
    </cfRule>
  </conditionalFormatting>
  <conditionalFormatting sqref="P5">
    <cfRule type="expression" dxfId="1758" priority="90">
      <formula>IF(NoColor,1,0)</formula>
    </cfRule>
  </conditionalFormatting>
  <conditionalFormatting sqref="P6">
    <cfRule type="expression" dxfId="1757" priority="89">
      <formula>IF(NoColor,1,0)</formula>
    </cfRule>
  </conditionalFormatting>
  <conditionalFormatting sqref="P17">
    <cfRule type="expression" dxfId="1756" priority="87">
      <formula>IF(NoColor,1,0)</formula>
    </cfRule>
  </conditionalFormatting>
  <conditionalFormatting sqref="P18">
    <cfRule type="expression" dxfId="1755" priority="86">
      <formula>IF(NoColor,1,0)</formula>
    </cfRule>
  </conditionalFormatting>
  <conditionalFormatting sqref="Q4">
    <cfRule type="expression" dxfId="1754" priority="84">
      <formula>IF(NoColor,1,0)</formula>
    </cfRule>
  </conditionalFormatting>
  <conditionalFormatting sqref="P4">
    <cfRule type="expression" dxfId="1753" priority="83">
      <formula>IF(NoColor,1,0)</formula>
    </cfRule>
  </conditionalFormatting>
  <conditionalFormatting sqref="Q8">
    <cfRule type="expression" dxfId="1752" priority="81">
      <formula>IF(NoColor,1,0)</formula>
    </cfRule>
  </conditionalFormatting>
  <conditionalFormatting sqref="P8">
    <cfRule type="expression" dxfId="1751" priority="80">
      <formula>IF(NoColor,1,0)</formula>
    </cfRule>
  </conditionalFormatting>
  <conditionalFormatting sqref="P22">
    <cfRule type="expression" dxfId="1750" priority="79">
      <formula>IF(NoColor,1,0)</formula>
    </cfRule>
  </conditionalFormatting>
  <conditionalFormatting sqref="P24">
    <cfRule type="expression" dxfId="1749" priority="78">
      <formula>IF(NoColor,1,0)</formula>
    </cfRule>
  </conditionalFormatting>
  <conditionalFormatting sqref="P26">
    <cfRule type="expression" dxfId="1748" priority="77">
      <formula>IF(NoColor,1,0)</formula>
    </cfRule>
  </conditionalFormatting>
  <conditionalFormatting sqref="N27">
    <cfRule type="expression" dxfId="1747" priority="76">
      <formula>IF(NoColor,1,0)</formula>
    </cfRule>
  </conditionalFormatting>
  <conditionalFormatting sqref="P28">
    <cfRule type="expression" dxfId="1746" priority="75">
      <formula>IF(NoColor,1,0)</formula>
    </cfRule>
  </conditionalFormatting>
  <conditionalFormatting sqref="P31">
    <cfRule type="expression" dxfId="1745" priority="74">
      <formula>IF(NoColor,1,0)</formula>
    </cfRule>
  </conditionalFormatting>
  <conditionalFormatting sqref="P33">
    <cfRule type="expression" dxfId="1744" priority="73">
      <formula>IF(NoColor,1,0)</formula>
    </cfRule>
  </conditionalFormatting>
  <conditionalFormatting sqref="D9">
    <cfRule type="expression" dxfId="1743" priority="71">
      <formula>IF(NoColor,1,0)</formula>
    </cfRule>
  </conditionalFormatting>
  <conditionalFormatting sqref="E9">
    <cfRule type="expression" dxfId="1742" priority="68">
      <formula>IF(AND(V3,NOT($V$9)),1,0)</formula>
    </cfRule>
    <cfRule type="expression" dxfId="1741" priority="69">
      <formula>IF(NoColor,1,0)</formula>
    </cfRule>
  </conditionalFormatting>
  <conditionalFormatting sqref="P7">
    <cfRule type="expression" dxfId="1740" priority="65">
      <formula>IF(NoColor,1,0)</formula>
    </cfRule>
  </conditionalFormatting>
  <conditionalFormatting sqref="P47">
    <cfRule type="expression" dxfId="1739" priority="63">
      <formula>IF(NoColor,1,0)</formula>
    </cfRule>
  </conditionalFormatting>
  <conditionalFormatting sqref="U9">
    <cfRule type="expression" dxfId="1738" priority="61">
      <formula>IF(NOT(V3),FALSE,IF(OR(NOT(V4),AND(NOT(V7),NOT(V8))),TRUE,FALSE))</formula>
    </cfRule>
  </conditionalFormatting>
  <conditionalFormatting sqref="AF9">
    <cfRule type="expression" dxfId="1737" priority="59">
      <formula>NOT(V9)</formula>
    </cfRule>
    <cfRule type="expression" dxfId="1736" priority="60">
      <formula>V9</formula>
    </cfRule>
  </conditionalFormatting>
  <conditionalFormatting sqref="AA72">
    <cfRule type="expression" dxfId="1735" priority="55">
      <formula>IF(NoColor,1,0)</formula>
    </cfRule>
  </conditionalFormatting>
  <conditionalFormatting sqref="AA71">
    <cfRule type="expression" dxfId="1734" priority="56">
      <formula>IF(NoColor,1,0)</formula>
    </cfRule>
  </conditionalFormatting>
  <conditionalFormatting sqref="B67:C67">
    <cfRule type="expression" dxfId="1733" priority="53">
      <formula>$W$69</formula>
    </cfRule>
  </conditionalFormatting>
  <conditionalFormatting sqref="B65:C65">
    <cfRule type="expression" dxfId="1732" priority="52">
      <formula>OR($W$67,$W$68)</formula>
    </cfRule>
  </conditionalFormatting>
  <conditionalFormatting sqref="AA75">
    <cfRule type="expression" dxfId="1731" priority="48">
      <formula>IF(NoColor,1,0)</formula>
    </cfRule>
  </conditionalFormatting>
  <conditionalFormatting sqref="AA73">
    <cfRule type="expression" dxfId="1730" priority="50">
      <formula>IF(NoColor,1,0)</formula>
    </cfRule>
  </conditionalFormatting>
  <conditionalFormatting sqref="AA74">
    <cfRule type="expression" dxfId="1729" priority="49">
      <formula>IF(NoColor,1,0)</formula>
    </cfRule>
  </conditionalFormatting>
  <conditionalFormatting sqref="AA76">
    <cfRule type="expression" dxfId="1728" priority="47">
      <formula>IF(NoColor,1,0)</formula>
    </cfRule>
  </conditionalFormatting>
  <conditionalFormatting sqref="AA77">
    <cfRule type="expression" dxfId="1727" priority="46">
      <formula>IF(NoColor,1,0)</formula>
    </cfRule>
  </conditionalFormatting>
  <conditionalFormatting sqref="AA78">
    <cfRule type="expression" dxfId="1726" priority="45">
      <formula>IF(NoColor,1,0)</formula>
    </cfRule>
  </conditionalFormatting>
  <conditionalFormatting sqref="AA79">
    <cfRule type="expression" dxfId="1725" priority="44">
      <formula>IF(NoColor,1,0)</formula>
    </cfRule>
  </conditionalFormatting>
  <conditionalFormatting sqref="AA80">
    <cfRule type="expression" dxfId="1724" priority="43">
      <formula>IF(NoColor,1,0)</formula>
    </cfRule>
  </conditionalFormatting>
  <conditionalFormatting sqref="AA81">
    <cfRule type="expression" dxfId="1723" priority="42">
      <formula>IF(NoColor,1,0)</formula>
    </cfRule>
  </conditionalFormatting>
  <conditionalFormatting sqref="AA82">
    <cfRule type="expression" dxfId="1722" priority="41">
      <formula>IF(NoColor,1,0)</formula>
    </cfRule>
  </conditionalFormatting>
  <conditionalFormatting sqref="AA83">
    <cfRule type="expression" dxfId="1721" priority="40">
      <formula>IF(NoColor,1,0)</formula>
    </cfRule>
  </conditionalFormatting>
  <conditionalFormatting sqref="AA84">
    <cfRule type="expression" dxfId="1720" priority="39">
      <formula>IF(NoColor,1,0)</formula>
    </cfRule>
  </conditionalFormatting>
  <conditionalFormatting sqref="AA85">
    <cfRule type="expression" dxfId="1719" priority="38">
      <formula>IF(NoColor,1,0)</formula>
    </cfRule>
  </conditionalFormatting>
  <conditionalFormatting sqref="AA86">
    <cfRule type="expression" dxfId="1718" priority="37">
      <formula>IF(NoColor,1,0)</formula>
    </cfRule>
  </conditionalFormatting>
  <conditionalFormatting sqref="AA87">
    <cfRule type="expression" dxfId="1717" priority="36">
      <formula>IF(NoColor,1,0)</formula>
    </cfRule>
  </conditionalFormatting>
  <conditionalFormatting sqref="AA88">
    <cfRule type="expression" dxfId="1716" priority="35">
      <formula>IF(NoColor,1,0)</formula>
    </cfRule>
  </conditionalFormatting>
  <conditionalFormatting sqref="AA89">
    <cfRule type="expression" dxfId="1715" priority="34">
      <formula>IF(NoColor,1,0)</formula>
    </cfRule>
  </conditionalFormatting>
  <conditionalFormatting sqref="AA90">
    <cfRule type="expression" dxfId="1714" priority="33">
      <formula>IF(NoColor,1,0)</formula>
    </cfRule>
  </conditionalFormatting>
  <conditionalFormatting sqref="AA91">
    <cfRule type="expression" dxfId="1713" priority="32">
      <formula>IF(NoColor,1,0)</formula>
    </cfRule>
  </conditionalFormatting>
  <conditionalFormatting sqref="AA92">
    <cfRule type="expression" dxfId="1712" priority="31">
      <formula>IF(NoColor,1,0)</formula>
    </cfRule>
  </conditionalFormatting>
  <conditionalFormatting sqref="AA93">
    <cfRule type="expression" dxfId="1711" priority="30">
      <formula>IF(NoColor,1,0)</formula>
    </cfRule>
  </conditionalFormatting>
  <conditionalFormatting sqref="AA94">
    <cfRule type="expression" dxfId="1710" priority="29">
      <formula>IF(NoColor,1,0)</formula>
    </cfRule>
  </conditionalFormatting>
  <conditionalFormatting sqref="AA95">
    <cfRule type="expression" dxfId="1709" priority="28">
      <formula>IF(NoColor,1,0)</formula>
    </cfRule>
  </conditionalFormatting>
  <conditionalFormatting sqref="AA96">
    <cfRule type="expression" dxfId="1708" priority="27">
      <formula>IF(NoColor,1,0)</formula>
    </cfRule>
  </conditionalFormatting>
  <conditionalFormatting sqref="AA97">
    <cfRule type="expression" dxfId="1707" priority="26">
      <formula>IF(NoColor,1,0)</formula>
    </cfRule>
  </conditionalFormatting>
  <conditionalFormatting sqref="AA98">
    <cfRule type="expression" dxfId="1706" priority="25">
      <formula>IF(NoColor,1,0)</formula>
    </cfRule>
  </conditionalFormatting>
  <conditionalFormatting sqref="AA99">
    <cfRule type="expression" dxfId="1705" priority="24">
      <formula>IF(NoColor,1,0)</formula>
    </cfRule>
  </conditionalFormatting>
  <conditionalFormatting sqref="AA100">
    <cfRule type="expression" dxfId="1704" priority="23">
      <formula>IF(NoColor,1,0)</formula>
    </cfRule>
  </conditionalFormatting>
  <conditionalFormatting sqref="AA101">
    <cfRule type="expression" dxfId="1703" priority="22">
      <formula>IF(NoColor,1,0)</formula>
    </cfRule>
  </conditionalFormatting>
  <conditionalFormatting sqref="AA102">
    <cfRule type="expression" dxfId="1702" priority="21">
      <formula>IF(NoColor,1,0)</formula>
    </cfRule>
  </conditionalFormatting>
  <conditionalFormatting sqref="AA103">
    <cfRule type="expression" dxfId="1701" priority="20">
      <formula>IF(NoColor,1,0)</formula>
    </cfRule>
  </conditionalFormatting>
  <conditionalFormatting sqref="AA104">
    <cfRule type="expression" dxfId="1700" priority="19">
      <formula>IF(NoColor,1,0)</formula>
    </cfRule>
  </conditionalFormatting>
  <conditionalFormatting sqref="AA105">
    <cfRule type="expression" dxfId="1699" priority="18">
      <formula>IF(NoColor,1,0)</formula>
    </cfRule>
  </conditionalFormatting>
  <conditionalFormatting sqref="AA106">
    <cfRule type="expression" dxfId="1698" priority="17">
      <formula>IF(NoColor,1,0)</formula>
    </cfRule>
  </conditionalFormatting>
  <conditionalFormatting sqref="AA107">
    <cfRule type="expression" dxfId="1697" priority="16">
      <formula>IF(NoColor,1,0)</formula>
    </cfRule>
  </conditionalFormatting>
  <conditionalFormatting sqref="AA108">
    <cfRule type="expression" dxfId="1696" priority="15">
      <formula>IF(NoColor,1,0)</formula>
    </cfRule>
  </conditionalFormatting>
  <conditionalFormatting sqref="AA109">
    <cfRule type="expression" dxfId="1695" priority="14">
      <formula>IF(NoColor,1,0)</formula>
    </cfRule>
  </conditionalFormatting>
  <conditionalFormatting sqref="AA110">
    <cfRule type="expression" dxfId="1694" priority="13">
      <formula>IF(NoColor,1,0)</formula>
    </cfRule>
  </conditionalFormatting>
  <conditionalFormatting sqref="AA119">
    <cfRule type="expression" dxfId="1693" priority="8">
      <formula>IF(NoColor,1,0)</formula>
    </cfRule>
  </conditionalFormatting>
  <conditionalFormatting sqref="AA111">
    <cfRule type="expression" dxfId="1692" priority="11">
      <formula>IF(NoColor,1,0)</formula>
    </cfRule>
  </conditionalFormatting>
  <conditionalFormatting sqref="AA112">
    <cfRule type="expression" dxfId="1691" priority="10">
      <formula>IF(NoColor,1,0)</formula>
    </cfRule>
  </conditionalFormatting>
  <conditionalFormatting sqref="AA118">
    <cfRule type="expression" dxfId="1690" priority="9">
      <formula>IF(NoColor,1,0)</formula>
    </cfRule>
  </conditionalFormatting>
  <conditionalFormatting sqref="AA125">
    <cfRule type="expression" dxfId="1689" priority="7">
      <formula>IF(NoColor,1,0)</formula>
    </cfRule>
  </conditionalFormatting>
  <conditionalFormatting sqref="B61">
    <cfRule type="expression" dxfId="1688" priority="2516">
      <formula>NOT(AND($W$60,$W$61))</formula>
    </cfRule>
    <cfRule type="expression" dxfId="1687" priority="2517">
      <formula>AND($W$60,$W$61)</formula>
    </cfRule>
  </conditionalFormatting>
  <conditionalFormatting sqref="E7">
    <cfRule type="expression" dxfId="1686" priority="5">
      <formula>IF(NoColor,1,0)</formula>
    </cfRule>
  </conditionalFormatting>
  <conditionalFormatting sqref="E8">
    <cfRule type="expression" dxfId="1685" priority="3">
      <formula>IF(NoColor,1,0)</formula>
    </cfRule>
  </conditionalFormatting>
  <conditionalFormatting sqref="D17">
    <cfRule type="expression" dxfId="1684" priority="1">
      <formula>IF(NoColor,1,0)</formula>
    </cfRule>
  </conditionalFormatting>
  <conditionalFormatting sqref="G45:M57 G58:N58 B37:O37 E44:M44 E45:F46 P48 P50:P51 P53 P55:P58 O38:O58 B35:N35 B38:M43 B47:F58 O34:P35 B32:P32 Q37:R58 F9:R9 O29:Q30 O20:Q21 O23:Q23 B25:P25 O27:Q27 Q16:Q19 Q22 Q24:Q26 Q28 R10:R35 Q31:Q35 O15 B16:P16 P10:Q15 B44:D46 P37:P46 P3 B34:M34 G17:N17 O17:O18 N19:O19 B15:M15 N22:O22 G18:M20 B21:M23 B24:O24 B26:O26 B27:M27 B28:O28 B29:M30 B31:O31 B33:O33 B10:O14 B3:O8 Q3:R8 B9:D9 B17:F20">
    <cfRule type="expression" dxfId="1683" priority="2525" stopIfTrue="1">
      <formula>IF(#REF!&lt;&gt;"",1,0)</formula>
    </cfRule>
  </conditionalFormatting>
  <conditionalFormatting sqref="N18">
    <cfRule type="expression" dxfId="1682" priority="2587">
      <formula>IF(P18&lt;0,1,0)</formula>
    </cfRule>
    <cfRule type="expression" dxfId="1681" priority="2588" stopIfTrue="1">
      <formula>IF(#REF!&lt;&gt;"",1,0)</formula>
    </cfRule>
  </conditionalFormatting>
  <hyperlinks>
    <hyperlink ref="D142:H142" r:id="rId1" display="Download Form 1040 Schedule D"/>
    <hyperlink ref="D144:H144" r:id="rId2" display="Download Form 1040 Schedule D Instructions"/>
  </hyperlinks>
  <printOptions horizontalCentered="1"/>
  <pageMargins left="0.44" right="0.49" top="0.2" bottom="0.2" header="0" footer="0"/>
  <pageSetup scale="77" fitToHeight="0" orientation="portrait" horizontalDpi="120" verticalDpi="144" r:id="rId3"/>
  <headerFooter alignWithMargins="0"/>
  <rowBreaks count="2" manualBreakCount="2">
    <brk id="35" max="16383" man="1"/>
    <brk id="58" min="1" max="16"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258"/>
  <sheetViews>
    <sheetView zoomScaleNormal="100" zoomScaleSheetLayoutView="100" workbookViewId="0">
      <selection activeCell="AJ12" sqref="AJ12"/>
    </sheetView>
  </sheetViews>
  <sheetFormatPr defaultColWidth="3.42578125" defaultRowHeight="12.75"/>
  <cols>
    <col min="1" max="1" width="3.42578125" style="46"/>
    <col min="2" max="2" width="3.85546875" style="46" customWidth="1"/>
    <col min="3" max="4" width="3.42578125" style="46"/>
    <col min="5" max="5" width="2.5703125" style="46" customWidth="1"/>
    <col min="6" max="6" width="4.28515625" style="46" customWidth="1"/>
    <col min="7" max="7" width="3.42578125" style="46"/>
    <col min="8" max="10" width="3.7109375" style="46" customWidth="1"/>
    <col min="11" max="12" width="3.42578125" style="46"/>
    <col min="13" max="14" width="3" style="46" customWidth="1"/>
    <col min="15" max="18" width="2.7109375" style="46" customWidth="1"/>
    <col min="19" max="19" width="3.5703125" style="46" customWidth="1"/>
    <col min="20" max="29" width="2.7109375" style="46" customWidth="1"/>
    <col min="30" max="31" width="3.42578125" style="46"/>
    <col min="32" max="33" width="3.7109375" style="46" customWidth="1"/>
    <col min="34" max="34" width="3.5703125" style="46" customWidth="1"/>
    <col min="35" max="43" width="3.42578125" style="46"/>
    <col min="44" max="46" width="10.28515625" style="46" customWidth="1"/>
    <col min="47" max="47" width="3.85546875" style="46" customWidth="1"/>
    <col min="48" max="55" width="10.28515625" style="46" hidden="1" customWidth="1"/>
    <col min="56" max="56" width="10.140625" style="46" hidden="1" customWidth="1"/>
    <col min="57" max="57" width="10.28515625" style="46" hidden="1" customWidth="1"/>
    <col min="58" max="58" width="3.42578125" style="46"/>
    <col min="59" max="59" width="10.7109375" style="4352" customWidth="1"/>
    <col min="60" max="69" width="10.7109375" style="4351" customWidth="1"/>
    <col min="70" max="16384" width="3.42578125" style="46"/>
  </cols>
  <sheetData>
    <row r="1" spans="1:69" ht="21.75" customHeight="1">
      <c r="A1" s="3350"/>
      <c r="B1" s="3350"/>
      <c r="C1" s="5041" t="s">
        <v>4777</v>
      </c>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3350"/>
      <c r="AJ1" s="3350"/>
      <c r="AK1" s="3350"/>
      <c r="AL1" s="3350"/>
      <c r="AM1" s="3350"/>
      <c r="AN1" s="3350"/>
      <c r="AO1" s="3350"/>
      <c r="AP1" s="3350"/>
      <c r="BG1" s="3741" t="s">
        <v>2552</v>
      </c>
      <c r="BH1" s="3169"/>
      <c r="BI1" s="3169"/>
      <c r="BJ1" s="3169"/>
      <c r="BK1" s="3169"/>
      <c r="BL1" s="3169"/>
      <c r="BM1" s="3169"/>
      <c r="BN1" s="3169"/>
      <c r="BO1" s="3169"/>
      <c r="BP1" s="3169"/>
    </row>
    <row r="2" spans="1:69" ht="18" customHeight="1">
      <c r="A2" s="3350"/>
      <c r="B2" s="4504"/>
      <c r="C2" s="4505"/>
      <c r="D2" s="4505"/>
      <c r="E2" s="3929"/>
      <c r="F2" s="3929"/>
      <c r="G2" s="3930"/>
      <c r="H2" s="3859"/>
      <c r="I2" s="1443"/>
      <c r="J2" s="1443"/>
      <c r="K2" s="1443"/>
      <c r="L2" s="1443"/>
      <c r="M2" s="3861"/>
      <c r="N2" s="1443"/>
      <c r="O2" s="1443"/>
      <c r="P2" s="1443"/>
      <c r="Q2" s="1443"/>
      <c r="R2" s="1443"/>
      <c r="S2" s="1443"/>
      <c r="T2" s="1443"/>
      <c r="U2" s="1443"/>
      <c r="V2" s="1443"/>
      <c r="W2" s="1443"/>
      <c r="X2" s="1443"/>
      <c r="Y2" s="1443"/>
      <c r="Z2" s="1443"/>
      <c r="AA2" s="1443"/>
      <c r="AB2" s="1443"/>
      <c r="AC2" s="1443"/>
      <c r="AD2" s="1443"/>
      <c r="AE2" s="1443"/>
      <c r="AF2" s="1443"/>
      <c r="AG2" s="1443"/>
      <c r="AH2" s="1443"/>
      <c r="AI2" s="6397" t="s">
        <v>169</v>
      </c>
      <c r="AJ2" s="6398"/>
      <c r="AK2" s="6398"/>
      <c r="AL2" s="6398"/>
      <c r="AM2" s="6398"/>
      <c r="AN2" s="6398"/>
      <c r="AO2" s="6398"/>
      <c r="AP2" s="3350"/>
      <c r="BG2" s="4026" t="s">
        <v>4089</v>
      </c>
      <c r="BH2" s="3169"/>
      <c r="BI2" s="3169"/>
      <c r="BJ2" s="3169"/>
      <c r="BK2" s="3169"/>
      <c r="BL2" s="3169"/>
      <c r="BM2" s="3169"/>
      <c r="BN2" s="3169"/>
      <c r="BO2" s="3169"/>
      <c r="BP2" s="3169"/>
    </row>
    <row r="3" spans="1:69" ht="30" customHeight="1">
      <c r="A3" s="3350"/>
      <c r="B3" s="6399" t="s">
        <v>3179</v>
      </c>
      <c r="C3" s="5680"/>
      <c r="D3" s="5680"/>
      <c r="E3" s="5680"/>
      <c r="F3" s="5680"/>
      <c r="G3" s="6400"/>
      <c r="H3" s="4108" t="s">
        <v>822</v>
      </c>
      <c r="I3" s="3915"/>
      <c r="J3" s="3915"/>
      <c r="K3" s="3915"/>
      <c r="L3" s="3915"/>
      <c r="M3" s="3915"/>
      <c r="N3" s="3915"/>
      <c r="O3" s="3915"/>
      <c r="P3" s="3915"/>
      <c r="Q3" s="3915"/>
      <c r="R3" s="3915"/>
      <c r="S3" s="3915"/>
      <c r="T3" s="3915"/>
      <c r="U3" s="3915"/>
      <c r="V3" s="3915"/>
      <c r="W3" s="3915"/>
      <c r="X3" s="3915"/>
      <c r="Y3" s="3915"/>
      <c r="Z3" s="3915"/>
      <c r="AA3" s="3915"/>
      <c r="AB3" s="3915"/>
      <c r="AC3" s="3915"/>
      <c r="AD3" s="3915"/>
      <c r="AE3" s="3915"/>
      <c r="AF3" s="3915"/>
      <c r="AG3" s="3915"/>
      <c r="AH3" s="3916"/>
      <c r="AI3" s="6401">
        <f>TaxYear</f>
        <v>2018</v>
      </c>
      <c r="AJ3" s="6402"/>
      <c r="AK3" s="6402"/>
      <c r="AL3" s="6402"/>
      <c r="AM3" s="6402"/>
      <c r="AN3" s="6402"/>
      <c r="AO3" s="6402"/>
      <c r="AP3" s="3350"/>
      <c r="BG3" s="3742"/>
      <c r="BH3" s="3169"/>
      <c r="BI3" s="3169"/>
      <c r="BJ3" s="3169"/>
      <c r="BK3" s="3169"/>
      <c r="BL3" s="3169"/>
      <c r="BM3" s="3169"/>
      <c r="BN3" s="3169"/>
      <c r="BO3" s="3169"/>
      <c r="BP3" s="3169"/>
    </row>
    <row r="4" spans="1:69">
      <c r="A4" s="3350"/>
      <c r="B4" s="6405" t="s">
        <v>3114</v>
      </c>
      <c r="C4" s="5628"/>
      <c r="D4" s="5628"/>
      <c r="E4" s="5628"/>
      <c r="F4" s="5628"/>
      <c r="G4" s="6406"/>
      <c r="H4" s="3933" t="str">
        <f>"(From rental real estate, royalties, partnerships, S corporations, estates, trusts, REMICs, etc.)"</f>
        <v>(From rental real estate, royalties, partnerships, S corporations, estates, trusts, REMICs, etc.)</v>
      </c>
      <c r="I4" s="2241"/>
      <c r="J4" s="2241"/>
      <c r="K4" s="2241"/>
      <c r="L4" s="2241"/>
      <c r="M4" s="2241"/>
      <c r="N4" s="2241"/>
      <c r="O4" s="2241"/>
      <c r="P4" s="2241"/>
      <c r="Q4" s="2241"/>
      <c r="R4" s="2241"/>
      <c r="S4" s="2241"/>
      <c r="T4" s="3914"/>
      <c r="U4" s="2241"/>
      <c r="V4" s="2241"/>
      <c r="W4" s="2241"/>
      <c r="X4" s="2241"/>
      <c r="Y4" s="2241"/>
      <c r="Z4" s="2241"/>
      <c r="AA4" s="2241"/>
      <c r="AB4" s="2241"/>
      <c r="AC4" s="2241"/>
      <c r="AD4" s="2241"/>
      <c r="AE4" s="2241"/>
      <c r="AF4" s="2241"/>
      <c r="AG4" s="2241"/>
      <c r="AH4" s="2241"/>
      <c r="AI4" s="6403"/>
      <c r="AJ4" s="6404"/>
      <c r="AK4" s="6404"/>
      <c r="AL4" s="6404"/>
      <c r="AM4" s="6404"/>
      <c r="AN4" s="6404"/>
      <c r="AO4" s="6404"/>
      <c r="AP4" s="3350"/>
      <c r="BG4" s="3742"/>
      <c r="BH4" s="3169"/>
      <c r="BI4" s="3169"/>
      <c r="BJ4" s="3169"/>
      <c r="BK4" s="3169"/>
      <c r="BL4" s="3169"/>
      <c r="BM4" s="3169"/>
      <c r="BN4" s="3169"/>
      <c r="BO4" s="3169"/>
      <c r="BP4" s="3169"/>
    </row>
    <row r="5" spans="1:69">
      <c r="A5" s="3350"/>
      <c r="B5" s="6405"/>
      <c r="C5" s="5628"/>
      <c r="D5" s="5628"/>
      <c r="E5" s="5628"/>
      <c r="F5" s="5628"/>
      <c r="G5" s="6406"/>
      <c r="H5" s="1610"/>
      <c r="I5" s="1443"/>
      <c r="J5" s="1443"/>
      <c r="K5" s="1443"/>
      <c r="L5" s="1443"/>
      <c r="M5" s="1443"/>
      <c r="N5" s="1443"/>
      <c r="O5" s="1443"/>
      <c r="P5" s="1443"/>
      <c r="Q5" s="1443"/>
      <c r="R5" s="1443"/>
      <c r="S5" s="1443"/>
      <c r="T5" s="1804" t="s">
        <v>3115</v>
      </c>
      <c r="U5" s="1443"/>
      <c r="V5" s="1443"/>
      <c r="W5" s="1443"/>
      <c r="X5" s="1443"/>
      <c r="Y5" s="1443"/>
      <c r="Z5" s="1443"/>
      <c r="AA5" s="1443"/>
      <c r="AB5" s="1443"/>
      <c r="AC5" s="1443"/>
      <c r="AD5" s="1443"/>
      <c r="AE5" s="1443"/>
      <c r="AF5" s="1443"/>
      <c r="AG5" s="1443"/>
      <c r="AH5" s="1443"/>
      <c r="AI5" s="3931"/>
      <c r="AJ5" s="5676" t="s">
        <v>2597</v>
      </c>
      <c r="AK5" s="6176"/>
      <c r="AL5" s="6176"/>
      <c r="AM5" s="6176"/>
      <c r="AN5" s="3860"/>
      <c r="AO5" s="3860"/>
      <c r="AP5" s="3350"/>
      <c r="BG5" s="3742"/>
      <c r="BH5" s="3169"/>
      <c r="BI5" s="3169"/>
      <c r="BJ5" s="3169"/>
      <c r="BK5" s="3169"/>
      <c r="BL5" s="3169"/>
      <c r="BM5" s="3169"/>
      <c r="BN5" s="3169"/>
      <c r="BO5" s="3169"/>
      <c r="BP5" s="3169"/>
    </row>
    <row r="6" spans="1:69" ht="14.25" customHeight="1" thickBot="1">
      <c r="A6" s="3350"/>
      <c r="B6" s="5629"/>
      <c r="C6" s="5629"/>
      <c r="D6" s="5629"/>
      <c r="E6" s="5629"/>
      <c r="F6" s="5629"/>
      <c r="G6" s="6407"/>
      <c r="H6" s="3862" t="s">
        <v>4078</v>
      </c>
      <c r="I6" s="3745"/>
      <c r="J6" s="3745"/>
      <c r="K6" s="3745"/>
      <c r="L6" s="3745"/>
      <c r="M6" s="3745"/>
      <c r="N6" s="3745"/>
      <c r="O6" s="3745"/>
      <c r="P6" s="3745"/>
      <c r="Q6" s="3745"/>
      <c r="R6" s="3745"/>
      <c r="S6" s="3745"/>
      <c r="T6" s="3745"/>
      <c r="U6" s="3745"/>
      <c r="V6" s="3745"/>
      <c r="W6" s="3745"/>
      <c r="X6" s="3745"/>
      <c r="Y6" s="3745"/>
      <c r="Z6" s="3745"/>
      <c r="AA6" s="3745"/>
      <c r="AB6" s="3745"/>
      <c r="AC6" s="3745"/>
      <c r="AD6" s="3745"/>
      <c r="AE6" s="3745"/>
      <c r="AF6" s="3745"/>
      <c r="AG6" s="3745"/>
      <c r="AH6" s="3745"/>
      <c r="AI6" s="3932"/>
      <c r="AJ6" s="6408"/>
      <c r="AK6" s="6408"/>
      <c r="AL6" s="6408"/>
      <c r="AM6" s="6408"/>
      <c r="AN6" s="6409">
        <v>13</v>
      </c>
      <c r="AO6" s="6410"/>
      <c r="AP6" s="3350"/>
      <c r="BG6" s="3742"/>
      <c r="BH6" s="3169"/>
      <c r="BI6" s="3169"/>
      <c r="BJ6" s="3169"/>
      <c r="BK6" s="3169"/>
      <c r="BL6" s="3169"/>
      <c r="BM6" s="3169"/>
      <c r="BN6" s="3169"/>
      <c r="BO6" s="3169"/>
      <c r="BP6" s="3169"/>
    </row>
    <row r="7" spans="1:69">
      <c r="A7" s="3350"/>
      <c r="B7" s="1607" t="s">
        <v>63</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1443"/>
      <c r="AC7" s="1443"/>
      <c r="AD7" s="1443"/>
      <c r="AE7" s="1443"/>
      <c r="AF7" s="1443"/>
      <c r="AG7" s="6411" t="s">
        <v>99</v>
      </c>
      <c r="AH7" s="6412"/>
      <c r="AI7" s="6412"/>
      <c r="AJ7" s="6412"/>
      <c r="AK7" s="6412"/>
      <c r="AL7" s="6412"/>
      <c r="AM7" s="6412"/>
      <c r="AN7" s="6412"/>
      <c r="AO7" s="6412"/>
      <c r="AP7" s="3350"/>
      <c r="BG7" s="3742"/>
      <c r="BH7" s="3169"/>
      <c r="BI7" s="3169"/>
      <c r="BJ7" s="3169"/>
      <c r="BK7" s="3169"/>
      <c r="BL7" s="3169"/>
      <c r="BM7" s="3169"/>
      <c r="BN7" s="3169"/>
      <c r="BO7" s="3169"/>
      <c r="BP7" s="3169"/>
    </row>
    <row r="8" spans="1:69" ht="9.75" customHeight="1">
      <c r="A8" s="3350"/>
      <c r="B8" s="5600" t="str">
        <f>Names</f>
        <v/>
      </c>
      <c r="C8" s="5601"/>
      <c r="D8" s="5601"/>
      <c r="E8" s="5601"/>
      <c r="F8" s="5601"/>
      <c r="G8" s="5601"/>
      <c r="H8" s="5601"/>
      <c r="I8" s="5601"/>
      <c r="J8" s="5601"/>
      <c r="K8" s="5601"/>
      <c r="L8" s="5601"/>
      <c r="M8" s="5601"/>
      <c r="N8" s="5601"/>
      <c r="O8" s="5601"/>
      <c r="P8" s="5601"/>
      <c r="Q8" s="5601"/>
      <c r="R8" s="5601"/>
      <c r="S8" s="5601"/>
      <c r="T8" s="5601"/>
      <c r="U8" s="5601"/>
      <c r="V8" s="5601"/>
      <c r="W8" s="5601"/>
      <c r="X8" s="5601"/>
      <c r="Y8" s="5601"/>
      <c r="Z8" s="5601"/>
      <c r="AA8" s="5601"/>
      <c r="AB8" s="5601"/>
      <c r="AC8" s="5601"/>
      <c r="AD8" s="5601"/>
      <c r="AE8" s="5601"/>
      <c r="AF8" s="5602"/>
      <c r="AG8" s="6413">
        <f>IF(NoSSN,"",SS_Yours)</f>
        <v>0</v>
      </c>
      <c r="AH8" s="6414"/>
      <c r="AI8" s="6414"/>
      <c r="AJ8" s="6414"/>
      <c r="AK8" s="6414"/>
      <c r="AL8" s="6414"/>
      <c r="AM8" s="6414"/>
      <c r="AN8" s="6414"/>
      <c r="AO8" s="6414"/>
      <c r="AP8" s="3350"/>
      <c r="BG8" s="3742"/>
      <c r="BH8" s="3169"/>
      <c r="BI8" s="3169"/>
      <c r="BJ8" s="3169"/>
      <c r="BK8" s="3169"/>
      <c r="BL8" s="3169"/>
      <c r="BM8" s="3169"/>
      <c r="BN8" s="3169"/>
      <c r="BO8" s="3169"/>
      <c r="BP8" s="3169"/>
    </row>
    <row r="9" spans="1:69" ht="9.75" customHeight="1">
      <c r="A9" s="3350"/>
      <c r="B9" s="5372"/>
      <c r="C9" s="5372"/>
      <c r="D9" s="5372"/>
      <c r="E9" s="5372"/>
      <c r="F9" s="5372"/>
      <c r="G9" s="5372"/>
      <c r="H9" s="5372"/>
      <c r="I9" s="5372"/>
      <c r="J9" s="5372"/>
      <c r="K9" s="5372"/>
      <c r="L9" s="5372"/>
      <c r="M9" s="5372"/>
      <c r="N9" s="5372"/>
      <c r="O9" s="5372"/>
      <c r="P9" s="5372"/>
      <c r="Q9" s="5372"/>
      <c r="R9" s="5372"/>
      <c r="S9" s="5372"/>
      <c r="T9" s="5372"/>
      <c r="U9" s="5372"/>
      <c r="V9" s="5372"/>
      <c r="W9" s="5372"/>
      <c r="X9" s="5372"/>
      <c r="Y9" s="5372"/>
      <c r="Z9" s="5372"/>
      <c r="AA9" s="5372"/>
      <c r="AB9" s="5372"/>
      <c r="AC9" s="5372"/>
      <c r="AD9" s="5372"/>
      <c r="AE9" s="5372"/>
      <c r="AF9" s="5603"/>
      <c r="AG9" s="6415"/>
      <c r="AH9" s="6416"/>
      <c r="AI9" s="6416"/>
      <c r="AJ9" s="6416"/>
      <c r="AK9" s="6416"/>
      <c r="AL9" s="6416"/>
      <c r="AM9" s="6416"/>
      <c r="AN9" s="6416"/>
      <c r="AO9" s="6416"/>
      <c r="AP9" s="3350"/>
      <c r="BG9" s="3742"/>
      <c r="BH9" s="3169"/>
      <c r="BI9" s="3169"/>
      <c r="BJ9" s="3169"/>
      <c r="BK9" s="3169"/>
      <c r="BL9" s="3169"/>
      <c r="BM9" s="3169"/>
      <c r="BN9" s="3169"/>
      <c r="BO9" s="3169"/>
      <c r="BP9" s="3169"/>
    </row>
    <row r="10" spans="1:69" s="3272" customFormat="1" ht="17.25" customHeight="1">
      <c r="A10" s="3351"/>
      <c r="B10" s="6207" t="s">
        <v>58</v>
      </c>
      <c r="C10" s="6207"/>
      <c r="D10" s="6208"/>
      <c r="E10" s="1750"/>
      <c r="F10" s="3868" t="s">
        <v>823</v>
      </c>
      <c r="G10" s="1750"/>
      <c r="H10" s="1750"/>
      <c r="I10" s="1750"/>
      <c r="J10" s="1750"/>
      <c r="K10" s="1750"/>
      <c r="L10" s="1750"/>
      <c r="M10" s="1750"/>
      <c r="N10" s="1750"/>
      <c r="O10" s="1750"/>
      <c r="P10" s="1750"/>
      <c r="Q10" s="1750"/>
      <c r="R10" s="1750"/>
      <c r="S10" s="1750"/>
      <c r="T10" s="1750"/>
      <c r="U10" s="1750"/>
      <c r="V10" s="1750"/>
      <c r="W10" s="1750"/>
      <c r="X10" s="3869" t="s">
        <v>3116</v>
      </c>
      <c r="Y10" s="1750"/>
      <c r="Z10" s="1750"/>
      <c r="AA10" s="1750"/>
      <c r="AB10" s="1750"/>
      <c r="AC10" s="1750"/>
      <c r="AD10" s="1750"/>
      <c r="AE10" s="1750"/>
      <c r="AF10" s="1750"/>
      <c r="AG10" s="1750"/>
      <c r="AH10" s="1750"/>
      <c r="AI10" s="1750"/>
      <c r="AJ10" s="1750"/>
      <c r="AK10" s="1750"/>
      <c r="AL10" s="1750"/>
      <c r="AM10" s="1750"/>
      <c r="AN10" s="1750"/>
      <c r="AO10" s="1750"/>
      <c r="AP10" s="3350"/>
      <c r="BG10" s="3742"/>
      <c r="BH10" s="3169"/>
      <c r="BI10" s="3169"/>
      <c r="BJ10" s="3169"/>
      <c r="BK10" s="3169"/>
      <c r="BL10" s="3169"/>
      <c r="BM10" s="3169"/>
      <c r="BN10" s="3169"/>
      <c r="BO10" s="3169"/>
      <c r="BP10" s="3169"/>
      <c r="BQ10" s="4351"/>
    </row>
    <row r="11" spans="1:69" ht="15.75">
      <c r="A11" s="3350"/>
      <c r="B11" s="3866"/>
      <c r="C11" s="3866"/>
      <c r="D11" s="3867"/>
      <c r="E11" s="2206"/>
      <c r="F11" s="2723" t="s">
        <v>3117</v>
      </c>
      <c r="G11" s="3865"/>
      <c r="H11" s="3865"/>
      <c r="I11" s="3865"/>
      <c r="J11" s="3865"/>
      <c r="K11" s="3865"/>
      <c r="L11" s="3865"/>
      <c r="M11" s="2206"/>
      <c r="N11" s="3865"/>
      <c r="O11" s="3865"/>
      <c r="P11" s="3865"/>
      <c r="Q11" s="3865"/>
      <c r="R11" s="3865"/>
      <c r="S11" s="3865"/>
      <c r="T11" s="3865"/>
      <c r="U11" s="3865"/>
      <c r="V11" s="3865"/>
      <c r="W11" s="3865"/>
      <c r="X11" s="3865"/>
      <c r="Y11" s="3865"/>
      <c r="Z11" s="3865"/>
      <c r="AA11" s="3865"/>
      <c r="AB11" s="3865"/>
      <c r="AC11" s="3865"/>
      <c r="AD11" s="2206"/>
      <c r="AE11" s="3865"/>
      <c r="AF11" s="3865"/>
      <c r="AG11" s="3865"/>
      <c r="AH11" s="3865"/>
      <c r="AI11" s="3865"/>
      <c r="AJ11" s="3865"/>
      <c r="AK11" s="3865"/>
      <c r="AL11" s="3865"/>
      <c r="AM11" s="3865"/>
      <c r="AN11" s="3865"/>
      <c r="AO11" s="3865"/>
      <c r="AP11" s="3350"/>
      <c r="BG11" s="3742"/>
      <c r="BH11" s="3169"/>
      <c r="BI11" s="3169"/>
      <c r="BJ11" s="3169"/>
      <c r="BK11" s="3169"/>
      <c r="BL11" s="3169"/>
      <c r="BM11" s="3169"/>
      <c r="BN11" s="3169"/>
      <c r="BO11" s="3169"/>
      <c r="BP11" s="3169"/>
    </row>
    <row r="12" spans="1:69" ht="15.75">
      <c r="A12" s="3350"/>
      <c r="B12" s="6377" t="s">
        <v>159</v>
      </c>
      <c r="C12" s="6392"/>
      <c r="D12" s="3870" t="str">
        <f>"Did you make any payments in "&amp;TaxYear&amp;" that would require you to file Form(s) 1099? (see instructions)"</f>
        <v>Did you make any payments in 2018 that would require you to file Form(s) 1099? (see instructions)</v>
      </c>
      <c r="E12" s="2850"/>
      <c r="F12" s="2850"/>
      <c r="G12" s="2850"/>
      <c r="H12" s="2850"/>
      <c r="I12" s="2850"/>
      <c r="J12" s="2850"/>
      <c r="K12" s="2850"/>
      <c r="L12" s="2850"/>
      <c r="M12" s="2850"/>
      <c r="N12" s="2850"/>
      <c r="O12" s="2850"/>
      <c r="P12" s="2850"/>
      <c r="Q12" s="2850"/>
      <c r="R12" s="2850"/>
      <c r="S12" s="2850"/>
      <c r="T12" s="2850"/>
      <c r="U12" s="2850"/>
      <c r="V12" s="2850"/>
      <c r="W12" s="2850"/>
      <c r="X12" s="2850"/>
      <c r="Y12" s="2850"/>
      <c r="Z12" s="2850"/>
      <c r="AA12" s="2850"/>
      <c r="AB12" s="2850"/>
      <c r="AC12" s="2850"/>
      <c r="AD12" s="2850"/>
      <c r="AE12" s="2850"/>
      <c r="AF12" s="2850"/>
      <c r="AG12" s="2850"/>
      <c r="AH12" s="2850"/>
      <c r="AI12" s="2850"/>
      <c r="AJ12" s="1444"/>
      <c r="AK12" s="3380" t="s">
        <v>3118</v>
      </c>
      <c r="AL12" s="2850"/>
      <c r="AM12" s="1444"/>
      <c r="AN12" s="3380" t="s">
        <v>596</v>
      </c>
      <c r="AO12" s="2850"/>
      <c r="AP12" s="3350"/>
      <c r="BG12" s="3742"/>
      <c r="BH12" s="3169"/>
      <c r="BI12" s="3169"/>
      <c r="BJ12" s="3169"/>
      <c r="BK12" s="3169"/>
      <c r="BL12" s="3169"/>
      <c r="BM12" s="3169"/>
      <c r="BN12" s="3169"/>
      <c r="BO12" s="3169"/>
      <c r="BP12" s="3169"/>
    </row>
    <row r="13" spans="1:69" ht="15.75">
      <c r="A13" s="3350"/>
      <c r="B13" s="6393" t="s">
        <v>327</v>
      </c>
      <c r="C13" s="6394"/>
      <c r="D13" s="3400" t="s">
        <v>840</v>
      </c>
      <c r="E13" s="3865"/>
      <c r="F13" s="3865"/>
      <c r="G13" s="3865"/>
      <c r="H13" s="3865"/>
      <c r="I13" s="3865"/>
      <c r="J13" s="3865"/>
      <c r="K13" s="3865"/>
      <c r="L13" s="3865"/>
      <c r="M13" s="3865"/>
      <c r="N13" s="3865"/>
      <c r="O13" s="3865"/>
      <c r="P13" s="3865"/>
      <c r="Q13" s="3865"/>
      <c r="R13" s="3865"/>
      <c r="S13" s="3865"/>
      <c r="T13" s="3865"/>
      <c r="U13" s="3865"/>
      <c r="V13" s="3865"/>
      <c r="W13" s="3865"/>
      <c r="X13" s="3865"/>
      <c r="Y13" s="3865"/>
      <c r="Z13" s="3865"/>
      <c r="AA13" s="3865"/>
      <c r="AB13" s="3865"/>
      <c r="AC13" s="3865"/>
      <c r="AD13" s="3865"/>
      <c r="AE13" s="3865"/>
      <c r="AF13" s="3865"/>
      <c r="AG13" s="3865"/>
      <c r="AH13" s="3865"/>
      <c r="AI13" s="3865"/>
      <c r="AJ13" s="1444"/>
      <c r="AK13" s="1955" t="s">
        <v>3118</v>
      </c>
      <c r="AL13" s="3865"/>
      <c r="AM13" s="1444"/>
      <c r="AN13" s="1955" t="s">
        <v>596</v>
      </c>
      <c r="AO13" s="3865"/>
      <c r="AP13" s="3350"/>
      <c r="BG13" s="3742"/>
      <c r="BH13" s="3169"/>
      <c r="BI13" s="3169"/>
      <c r="BJ13" s="3169"/>
      <c r="BK13" s="3169"/>
      <c r="BL13" s="3169"/>
      <c r="BM13" s="3169"/>
      <c r="BN13" s="3169"/>
      <c r="BO13" s="3169"/>
      <c r="BP13" s="3169"/>
    </row>
    <row r="14" spans="1:69" ht="15.75">
      <c r="A14" s="3350"/>
      <c r="B14" s="6366" t="s">
        <v>14</v>
      </c>
      <c r="C14" s="6395"/>
      <c r="D14" s="3856" t="s">
        <v>916</v>
      </c>
      <c r="E14" s="3872"/>
      <c r="F14" s="3872"/>
      <c r="G14" s="3872"/>
      <c r="H14" s="3872"/>
      <c r="I14" s="3872"/>
      <c r="J14" s="3872"/>
      <c r="K14" s="3872"/>
      <c r="L14" s="3872"/>
      <c r="M14" s="3872"/>
      <c r="N14" s="3872"/>
      <c r="O14" s="3872"/>
      <c r="P14" s="3872"/>
      <c r="Q14" s="3872"/>
      <c r="R14" s="3872"/>
      <c r="S14" s="3872"/>
      <c r="T14" s="3872"/>
      <c r="U14" s="3872"/>
      <c r="V14" s="3872"/>
      <c r="W14" s="3872"/>
      <c r="X14" s="3872"/>
      <c r="Y14" s="3872"/>
      <c r="Z14" s="3872"/>
      <c r="AA14" s="3872"/>
      <c r="AB14" s="3872"/>
      <c r="AC14" s="3872"/>
      <c r="AD14" s="3872"/>
      <c r="AE14" s="3872"/>
      <c r="AF14" s="3872"/>
      <c r="AG14" s="3872"/>
      <c r="AH14" s="3872"/>
      <c r="AI14" s="3872"/>
      <c r="AJ14" s="3872"/>
      <c r="AK14" s="3872"/>
      <c r="AL14" s="3872"/>
      <c r="AM14" s="3872"/>
      <c r="AN14" s="3872"/>
      <c r="AO14" s="3872"/>
      <c r="AP14" s="3350"/>
      <c r="BG14" s="3742"/>
      <c r="BH14" s="3169"/>
      <c r="BI14" s="3169"/>
      <c r="BJ14" s="3169"/>
      <c r="BK14" s="3169"/>
      <c r="BL14" s="3169"/>
      <c r="BM14" s="3169"/>
      <c r="BN14" s="3169"/>
      <c r="BO14" s="3169"/>
      <c r="BP14" s="3169"/>
    </row>
    <row r="15" spans="1:69" ht="15.75">
      <c r="A15" s="3350"/>
      <c r="B15" s="6366" t="s">
        <v>159</v>
      </c>
      <c r="C15" s="6185"/>
      <c r="D15" s="6396"/>
      <c r="E15" s="5822"/>
      <c r="F15" s="5822"/>
      <c r="G15" s="5822"/>
      <c r="H15" s="5822"/>
      <c r="I15" s="5822"/>
      <c r="J15" s="5822"/>
      <c r="K15" s="5822"/>
      <c r="L15" s="5822"/>
      <c r="M15" s="5822"/>
      <c r="N15" s="5822"/>
      <c r="O15" s="5822"/>
      <c r="P15" s="5822"/>
      <c r="Q15" s="5822"/>
      <c r="R15" s="5822"/>
      <c r="S15" s="5822"/>
      <c r="T15" s="5822"/>
      <c r="U15" s="5822"/>
      <c r="V15" s="5822"/>
      <c r="W15" s="5822"/>
      <c r="X15" s="5822"/>
      <c r="Y15" s="5822"/>
      <c r="Z15" s="5822"/>
      <c r="AA15" s="5822"/>
      <c r="AB15" s="5822"/>
      <c r="AC15" s="5822"/>
      <c r="AD15" s="5822"/>
      <c r="AE15" s="5822"/>
      <c r="AF15" s="5822"/>
      <c r="AG15" s="5822"/>
      <c r="AH15" s="5822"/>
      <c r="AI15" s="5822"/>
      <c r="AJ15" s="5822"/>
      <c r="AK15" s="5822"/>
      <c r="AL15" s="5822"/>
      <c r="AM15" s="5822"/>
      <c r="AN15" s="5822"/>
      <c r="AO15" s="5822"/>
      <c r="AP15" s="3350"/>
      <c r="BG15" s="3742"/>
      <c r="BH15" s="3169"/>
      <c r="BI15" s="3169"/>
      <c r="BJ15" s="3169"/>
      <c r="BK15" s="3169"/>
      <c r="BL15" s="3169"/>
      <c r="BM15" s="3169"/>
      <c r="BN15" s="3169"/>
      <c r="BO15" s="3169"/>
      <c r="BP15" s="3169"/>
    </row>
    <row r="16" spans="1:69" ht="15.75">
      <c r="A16" s="3350"/>
      <c r="B16" s="6366" t="s">
        <v>327</v>
      </c>
      <c r="C16" s="6185"/>
      <c r="D16" s="6396"/>
      <c r="E16" s="5822"/>
      <c r="F16" s="5822"/>
      <c r="G16" s="5822"/>
      <c r="H16" s="5822"/>
      <c r="I16" s="5822"/>
      <c r="J16" s="5822"/>
      <c r="K16" s="5822"/>
      <c r="L16" s="5822"/>
      <c r="M16" s="5822"/>
      <c r="N16" s="5822"/>
      <c r="O16" s="5822"/>
      <c r="P16" s="5822"/>
      <c r="Q16" s="5822"/>
      <c r="R16" s="5822"/>
      <c r="S16" s="5822"/>
      <c r="T16" s="5822"/>
      <c r="U16" s="5822"/>
      <c r="V16" s="5822"/>
      <c r="W16" s="5822"/>
      <c r="X16" s="5822"/>
      <c r="Y16" s="5822"/>
      <c r="Z16" s="5822"/>
      <c r="AA16" s="5822"/>
      <c r="AB16" s="5822"/>
      <c r="AC16" s="5822"/>
      <c r="AD16" s="5822"/>
      <c r="AE16" s="5822"/>
      <c r="AF16" s="5822"/>
      <c r="AG16" s="5822"/>
      <c r="AH16" s="5822"/>
      <c r="AI16" s="5822"/>
      <c r="AJ16" s="5822"/>
      <c r="AK16" s="5822"/>
      <c r="AL16" s="5822"/>
      <c r="AM16" s="5822"/>
      <c r="AN16" s="5822"/>
      <c r="AO16" s="5822"/>
      <c r="AP16" s="3350"/>
      <c r="BG16" s="3742"/>
      <c r="BH16" s="3169"/>
      <c r="BI16" s="3169"/>
      <c r="BJ16" s="3169"/>
      <c r="BK16" s="3169"/>
      <c r="BL16" s="3169"/>
      <c r="BM16" s="3169"/>
      <c r="BN16" s="3169"/>
      <c r="BO16" s="3169"/>
      <c r="BP16" s="3169"/>
    </row>
    <row r="17" spans="1:68" ht="15.75">
      <c r="A17" s="3350"/>
      <c r="B17" s="6366" t="s">
        <v>160</v>
      </c>
      <c r="C17" s="6185"/>
      <c r="D17" s="6396"/>
      <c r="E17" s="5822"/>
      <c r="F17" s="5822"/>
      <c r="G17" s="5822"/>
      <c r="H17" s="5822"/>
      <c r="I17" s="5822"/>
      <c r="J17" s="5822"/>
      <c r="K17" s="5822"/>
      <c r="L17" s="5822"/>
      <c r="M17" s="5822"/>
      <c r="N17" s="5822"/>
      <c r="O17" s="5822"/>
      <c r="P17" s="5822"/>
      <c r="Q17" s="5822"/>
      <c r="R17" s="5822"/>
      <c r="S17" s="5822"/>
      <c r="T17" s="5822"/>
      <c r="U17" s="5822"/>
      <c r="V17" s="5822"/>
      <c r="W17" s="5822"/>
      <c r="X17" s="5822"/>
      <c r="Y17" s="5822"/>
      <c r="Z17" s="5822"/>
      <c r="AA17" s="5822"/>
      <c r="AB17" s="5822"/>
      <c r="AC17" s="5822"/>
      <c r="AD17" s="5822"/>
      <c r="AE17" s="5822"/>
      <c r="AF17" s="5822"/>
      <c r="AG17" s="5822"/>
      <c r="AH17" s="5822"/>
      <c r="AI17" s="5822"/>
      <c r="AJ17" s="5822"/>
      <c r="AK17" s="5822"/>
      <c r="AL17" s="5822"/>
      <c r="AM17" s="5822"/>
      <c r="AN17" s="5822"/>
      <c r="AO17" s="5822"/>
      <c r="AP17" s="3350"/>
      <c r="AX17" s="46">
        <v>1</v>
      </c>
      <c r="AY17" s="46" t="s">
        <v>1352</v>
      </c>
      <c r="BG17" s="3742"/>
      <c r="BH17" s="3169"/>
      <c r="BI17" s="3169"/>
      <c r="BJ17" s="3169"/>
      <c r="BK17" s="3169"/>
      <c r="BL17" s="3169"/>
      <c r="BM17" s="3169"/>
      <c r="BN17" s="3169"/>
      <c r="BO17" s="3169"/>
      <c r="BP17" s="3169"/>
    </row>
    <row r="18" spans="1:68" ht="15.75" customHeight="1">
      <c r="A18" s="3350"/>
      <c r="B18" s="6377" t="s">
        <v>17</v>
      </c>
      <c r="C18" s="6378"/>
      <c r="D18" s="6247" t="s">
        <v>3119</v>
      </c>
      <c r="E18" s="6379"/>
      <c r="F18" s="6379"/>
      <c r="G18" s="6379"/>
      <c r="H18" s="6380"/>
      <c r="I18" s="6349">
        <v>2</v>
      </c>
      <c r="J18" s="6384"/>
      <c r="K18" s="6385" t="s">
        <v>3121</v>
      </c>
      <c r="L18" s="6078"/>
      <c r="M18" s="6078"/>
      <c r="N18" s="6078"/>
      <c r="O18" s="6078"/>
      <c r="P18" s="6078"/>
      <c r="Q18" s="6078"/>
      <c r="R18" s="6078"/>
      <c r="S18" s="6078"/>
      <c r="T18" s="6078"/>
      <c r="U18" s="6078"/>
      <c r="V18" s="6078"/>
      <c r="W18" s="6078"/>
      <c r="X18" s="3863"/>
      <c r="Y18" s="3863"/>
      <c r="Z18" s="3863"/>
      <c r="AA18" s="6386" t="s">
        <v>3120</v>
      </c>
      <c r="AB18" s="6387"/>
      <c r="AC18" s="6387"/>
      <c r="AD18" s="6387"/>
      <c r="AE18" s="6388"/>
      <c r="AF18" s="6386" t="s">
        <v>842</v>
      </c>
      <c r="AG18" s="6387"/>
      <c r="AH18" s="6387"/>
      <c r="AI18" s="6387"/>
      <c r="AJ18" s="6388"/>
      <c r="AK18" s="6386" t="s">
        <v>841</v>
      </c>
      <c r="AL18" s="6387"/>
      <c r="AM18" s="6387"/>
      <c r="AN18" s="6387"/>
      <c r="AO18" s="6387"/>
      <c r="AP18" s="3350"/>
      <c r="AX18" s="46">
        <v>2</v>
      </c>
      <c r="AY18" s="46" t="s">
        <v>1353</v>
      </c>
      <c r="BG18" s="3742"/>
      <c r="BH18" s="3169"/>
      <c r="BI18" s="3169"/>
      <c r="BJ18" s="3169"/>
      <c r="BK18" s="3169"/>
      <c r="BL18" s="3169"/>
      <c r="BM18" s="3169"/>
      <c r="BN18" s="3169"/>
      <c r="BO18" s="3169"/>
      <c r="BP18" s="3169"/>
    </row>
    <row r="19" spans="1:68" ht="14.25" customHeight="1">
      <c r="A19" s="3350"/>
      <c r="B19" s="3873"/>
      <c r="C19" s="3874"/>
      <c r="D19" s="6381"/>
      <c r="E19" s="6382"/>
      <c r="F19" s="6382"/>
      <c r="G19" s="6382"/>
      <c r="H19" s="6383"/>
      <c r="I19" s="3864"/>
      <c r="J19" s="2850"/>
      <c r="K19" s="5680"/>
      <c r="L19" s="5680"/>
      <c r="M19" s="5680"/>
      <c r="N19" s="5680"/>
      <c r="O19" s="5680"/>
      <c r="P19" s="5680"/>
      <c r="Q19" s="5680"/>
      <c r="R19" s="5680"/>
      <c r="S19" s="5680"/>
      <c r="T19" s="5680"/>
      <c r="U19" s="5680"/>
      <c r="V19" s="5680"/>
      <c r="W19" s="5680"/>
      <c r="X19" s="2850"/>
      <c r="Y19" s="2850"/>
      <c r="Z19" s="2850"/>
      <c r="AA19" s="6389"/>
      <c r="AB19" s="6390"/>
      <c r="AC19" s="6390"/>
      <c r="AD19" s="6390"/>
      <c r="AE19" s="6391"/>
      <c r="AF19" s="6389"/>
      <c r="AG19" s="6390"/>
      <c r="AH19" s="6390"/>
      <c r="AI19" s="6390"/>
      <c r="AJ19" s="6391"/>
      <c r="AK19" s="6389"/>
      <c r="AL19" s="6390"/>
      <c r="AM19" s="6390"/>
      <c r="AN19" s="6390"/>
      <c r="AO19" s="6390"/>
      <c r="AP19" s="3350"/>
      <c r="AV19" s="3942">
        <f>IF(LeapYear,366,365)</f>
        <v>365</v>
      </c>
      <c r="AW19" s="3943"/>
      <c r="AX19" s="46">
        <v>3</v>
      </c>
      <c r="AY19" s="46" t="s">
        <v>1682</v>
      </c>
      <c r="BE19" s="3447" t="s">
        <v>1681</v>
      </c>
      <c r="BG19" s="3742"/>
      <c r="BH19" s="3169"/>
      <c r="BI19" s="3169"/>
      <c r="BJ19" s="3169"/>
      <c r="BK19" s="3169"/>
      <c r="BL19" s="3169"/>
      <c r="BM19" s="3169"/>
      <c r="BN19" s="3169"/>
      <c r="BO19" s="3169"/>
      <c r="BP19" s="3169"/>
    </row>
    <row r="20" spans="1:68" ht="15.75">
      <c r="A20" s="3350"/>
      <c r="B20" s="6366" t="s">
        <v>159</v>
      </c>
      <c r="C20" s="6185"/>
      <c r="D20" s="6367"/>
      <c r="E20" s="6368"/>
      <c r="F20" s="6368"/>
      <c r="G20" s="6368"/>
      <c r="H20" s="6369"/>
      <c r="I20" s="1965"/>
      <c r="J20" s="1443"/>
      <c r="K20" s="5680"/>
      <c r="L20" s="5680"/>
      <c r="M20" s="5680"/>
      <c r="N20" s="5680"/>
      <c r="O20" s="5680"/>
      <c r="P20" s="5680"/>
      <c r="Q20" s="5680"/>
      <c r="R20" s="5680"/>
      <c r="S20" s="5680"/>
      <c r="T20" s="5680"/>
      <c r="U20" s="5680"/>
      <c r="V20" s="5680"/>
      <c r="W20" s="5680"/>
      <c r="X20" s="6370" t="s">
        <v>159</v>
      </c>
      <c r="Y20" s="6371"/>
      <c r="Z20" s="6372"/>
      <c r="AA20" s="5349"/>
      <c r="AB20" s="6301"/>
      <c r="AC20" s="6301"/>
      <c r="AD20" s="6301"/>
      <c r="AE20" s="6302"/>
      <c r="AF20" s="5349"/>
      <c r="AG20" s="6301"/>
      <c r="AH20" s="6301"/>
      <c r="AI20" s="6301"/>
      <c r="AJ20" s="6302"/>
      <c r="AK20" s="3875"/>
      <c r="AL20" s="3876"/>
      <c r="AM20" s="1444"/>
      <c r="AN20" s="3876"/>
      <c r="AO20" s="3876"/>
      <c r="AP20" s="3350"/>
      <c r="AR20" s="1618" t="b">
        <f>D20=8</f>
        <v>0</v>
      </c>
      <c r="AV20" s="3944" t="b">
        <f>AA20&gt;$AV$19</f>
        <v>0</v>
      </c>
      <c r="AW20" s="3945" t="b">
        <f>AF20&gt;$AV$19</f>
        <v>0</v>
      </c>
      <c r="AX20" s="46">
        <v>4</v>
      </c>
      <c r="AY20" s="46" t="s">
        <v>1354</v>
      </c>
      <c r="BE20" s="3448" t="b">
        <f>IF(AND(D20&lt;&gt;"",OR(D20&lt;1,D20&gt;8,ISERROR(V29))),TRUE,FALSE)</f>
        <v>0</v>
      </c>
      <c r="BG20" s="3742"/>
      <c r="BH20" s="3169"/>
      <c r="BI20" s="3169"/>
      <c r="BJ20" s="3169"/>
      <c r="BK20" s="3169"/>
      <c r="BL20" s="3169"/>
      <c r="BM20" s="3169"/>
      <c r="BN20" s="3169"/>
      <c r="BO20" s="3169"/>
      <c r="BP20" s="3169"/>
    </row>
    <row r="21" spans="1:68" ht="15.75">
      <c r="A21" s="3350"/>
      <c r="B21" s="6366" t="s">
        <v>327</v>
      </c>
      <c r="C21" s="6185"/>
      <c r="D21" s="6367"/>
      <c r="E21" s="6368"/>
      <c r="F21" s="6368"/>
      <c r="G21" s="6368"/>
      <c r="H21" s="6369"/>
      <c r="I21" s="1965"/>
      <c r="J21" s="1443"/>
      <c r="K21" s="5680"/>
      <c r="L21" s="5680"/>
      <c r="M21" s="5680"/>
      <c r="N21" s="5680"/>
      <c r="O21" s="5680"/>
      <c r="P21" s="5680"/>
      <c r="Q21" s="5680"/>
      <c r="R21" s="5680"/>
      <c r="S21" s="5680"/>
      <c r="T21" s="5680"/>
      <c r="U21" s="5680"/>
      <c r="V21" s="5680"/>
      <c r="W21" s="5680"/>
      <c r="X21" s="6370" t="s">
        <v>327</v>
      </c>
      <c r="Y21" s="6371"/>
      <c r="Z21" s="6372"/>
      <c r="AA21" s="5349"/>
      <c r="AB21" s="6301"/>
      <c r="AC21" s="6301"/>
      <c r="AD21" s="6301"/>
      <c r="AE21" s="6302"/>
      <c r="AF21" s="5349"/>
      <c r="AG21" s="6301"/>
      <c r="AH21" s="6301"/>
      <c r="AI21" s="6301"/>
      <c r="AJ21" s="6302"/>
      <c r="AK21" s="3875"/>
      <c r="AL21" s="3876"/>
      <c r="AM21" s="1444"/>
      <c r="AN21" s="3876"/>
      <c r="AO21" s="3876"/>
      <c r="AP21" s="3350"/>
      <c r="AR21" s="1618" t="b">
        <f>D21=8</f>
        <v>0</v>
      </c>
      <c r="AV21" s="3944" t="b">
        <f>AA21&gt;$AV$19</f>
        <v>0</v>
      </c>
      <c r="AW21" s="3945" t="b">
        <f>AF21&gt;$AV$19</f>
        <v>0</v>
      </c>
      <c r="AX21" s="46">
        <v>5</v>
      </c>
      <c r="AY21" s="46" t="s">
        <v>1355</v>
      </c>
      <c r="BE21" s="3448" t="b">
        <f>IF(AND(D21&lt;&gt;"",OR(D21&lt;1,D21&gt;8,ISERROR(AD29))),TRUE,FALSE)</f>
        <v>0</v>
      </c>
      <c r="BG21" s="3742"/>
      <c r="BH21" s="3169"/>
      <c r="BI21" s="3169"/>
      <c r="BJ21" s="3169"/>
      <c r="BK21" s="3169"/>
      <c r="BL21" s="3169"/>
      <c r="BM21" s="3169"/>
      <c r="BN21" s="3169"/>
      <c r="BO21" s="3169"/>
      <c r="BP21" s="3169"/>
    </row>
    <row r="22" spans="1:68" ht="15.75">
      <c r="A22" s="3350"/>
      <c r="B22" s="6366" t="s">
        <v>160</v>
      </c>
      <c r="C22" s="6185"/>
      <c r="D22" s="6367"/>
      <c r="E22" s="6368"/>
      <c r="F22" s="6368"/>
      <c r="G22" s="6368"/>
      <c r="H22" s="6369"/>
      <c r="I22" s="1969"/>
      <c r="J22" s="1936"/>
      <c r="K22" s="1808"/>
      <c r="L22" s="1936"/>
      <c r="M22" s="1936"/>
      <c r="N22" s="1936"/>
      <c r="O22" s="1936"/>
      <c r="P22" s="1936"/>
      <c r="Q22" s="1936"/>
      <c r="R22" s="1936"/>
      <c r="S22" s="1936"/>
      <c r="T22" s="1936"/>
      <c r="U22" s="1936"/>
      <c r="V22" s="1936"/>
      <c r="W22" s="1936"/>
      <c r="X22" s="6370" t="s">
        <v>160</v>
      </c>
      <c r="Y22" s="6371"/>
      <c r="Z22" s="6372"/>
      <c r="AA22" s="5349"/>
      <c r="AB22" s="6301"/>
      <c r="AC22" s="6301"/>
      <c r="AD22" s="6301"/>
      <c r="AE22" s="6302"/>
      <c r="AF22" s="5349"/>
      <c r="AG22" s="6301"/>
      <c r="AH22" s="6301"/>
      <c r="AI22" s="6301"/>
      <c r="AJ22" s="6302"/>
      <c r="AK22" s="3875"/>
      <c r="AL22" s="3876"/>
      <c r="AM22" s="1444"/>
      <c r="AN22" s="3876"/>
      <c r="AO22" s="3876"/>
      <c r="AP22" s="3350"/>
      <c r="AR22" s="1618" t="b">
        <f>D22=8</f>
        <v>0</v>
      </c>
      <c r="AV22" s="3946" t="b">
        <f>AA22&gt;$AV$19</f>
        <v>0</v>
      </c>
      <c r="AW22" s="3947" t="b">
        <f>AF22&gt;$AV$19</f>
        <v>0</v>
      </c>
      <c r="AX22" s="46">
        <v>6</v>
      </c>
      <c r="AY22" s="46" t="s">
        <v>1356</v>
      </c>
      <c r="AZ22" s="3938" t="s">
        <v>159</v>
      </c>
      <c r="BA22" s="3938" t="s">
        <v>327</v>
      </c>
      <c r="BB22" s="3938" t="s">
        <v>160</v>
      </c>
      <c r="BC22" s="3938" t="s">
        <v>230</v>
      </c>
      <c r="BE22" s="3448" t="b">
        <f>IF(AND(D22&lt;&gt;"",OR(D22&lt;1,D22&gt;8,ISERROR(AJ29))),TRUE,FALSE)</f>
        <v>0</v>
      </c>
      <c r="BG22" s="3742"/>
      <c r="BH22" s="3169"/>
      <c r="BI22" s="3169"/>
      <c r="BJ22" s="3169"/>
      <c r="BK22" s="3169"/>
      <c r="BL22" s="3169"/>
      <c r="BM22" s="3169"/>
      <c r="BN22" s="3169"/>
      <c r="BO22" s="3169"/>
      <c r="BP22" s="3169"/>
    </row>
    <row r="23" spans="1:68" ht="14.25" customHeight="1">
      <c r="A23" s="3350"/>
      <c r="B23" s="3879" t="s">
        <v>843</v>
      </c>
      <c r="C23" s="3877"/>
      <c r="D23" s="2753"/>
      <c r="E23" s="2719"/>
      <c r="F23" s="2719"/>
      <c r="G23" s="2719"/>
      <c r="H23" s="2719"/>
      <c r="I23" s="3939" t="str">
        <f>IF(BE23,"The 'Type of Property' must be entered as a number (1 - 8).","")</f>
        <v/>
      </c>
      <c r="J23" s="2719"/>
      <c r="K23" s="2719"/>
      <c r="L23" s="2719"/>
      <c r="M23" s="2719"/>
      <c r="N23" s="2719"/>
      <c r="O23" s="2719"/>
      <c r="P23" s="2719"/>
      <c r="Q23" s="2719"/>
      <c r="R23" s="2719"/>
      <c r="S23" s="2719"/>
      <c r="T23" s="2719"/>
      <c r="U23" s="2719"/>
      <c r="V23" s="2719"/>
      <c r="W23" s="2719"/>
      <c r="X23" s="2719"/>
      <c r="Y23" s="2719"/>
      <c r="Z23" s="2719"/>
      <c r="AA23" s="2719"/>
      <c r="AB23" s="2719"/>
      <c r="AC23" s="2719"/>
      <c r="AD23" s="3939" t="str">
        <f>IF(OR(AV20,AV21,AV22,AW20,AW21,AW22),"Must be "&amp;AV19&amp;" or less.","")</f>
        <v/>
      </c>
      <c r="AE23" s="2719"/>
      <c r="AF23" s="2719"/>
      <c r="AG23" s="2719"/>
      <c r="AH23" s="2719"/>
      <c r="AI23" s="2719"/>
      <c r="AJ23" s="2719"/>
      <c r="AK23" s="2719"/>
      <c r="AL23" s="2719"/>
      <c r="AM23" s="2719"/>
      <c r="AN23" s="2719"/>
      <c r="AO23" s="2719"/>
      <c r="AP23" s="3350"/>
      <c r="AR23" s="1618" t="b">
        <f>OR(AR20:AR22)</f>
        <v>0</v>
      </c>
      <c r="AX23" s="46">
        <v>7</v>
      </c>
      <c r="AY23" s="46" t="s">
        <v>1357</v>
      </c>
      <c r="AZ23" s="46">
        <f>IF(D20&lt;&gt;6,V27,0)</f>
        <v>0</v>
      </c>
      <c r="BA23" s="46">
        <f>IF(D21&lt;&gt;6,AD27,0)</f>
        <v>0</v>
      </c>
      <c r="BB23" s="46">
        <f>IF(D22&lt;&gt;6,AJ27,0)</f>
        <v>0</v>
      </c>
      <c r="BC23" s="46">
        <f>SUM(AZ23:BB23)</f>
        <v>0</v>
      </c>
      <c r="BE23" s="3448" t="b">
        <f>OR(BE20,BE21,BE22)</f>
        <v>0</v>
      </c>
      <c r="BG23" s="3742"/>
      <c r="BH23" s="3169"/>
      <c r="BI23" s="3169"/>
      <c r="BJ23" s="3169"/>
      <c r="BK23" s="3169"/>
      <c r="BL23" s="3169"/>
      <c r="BM23" s="3169"/>
      <c r="BN23" s="3169"/>
      <c r="BO23" s="3169"/>
      <c r="BP23" s="3169"/>
    </row>
    <row r="24" spans="1:68" ht="14.25" customHeight="1">
      <c r="A24" s="3350"/>
      <c r="B24" s="3877">
        <v>1</v>
      </c>
      <c r="C24" s="3878" t="s">
        <v>1352</v>
      </c>
      <c r="D24" s="2753"/>
      <c r="E24" s="2719"/>
      <c r="F24" s="2719"/>
      <c r="G24" s="2719"/>
      <c r="H24" s="2719"/>
      <c r="I24" s="2719"/>
      <c r="J24" s="2719"/>
      <c r="K24" s="3881">
        <v>3</v>
      </c>
      <c r="L24" s="3880" t="s">
        <v>3122</v>
      </c>
      <c r="M24" s="2719"/>
      <c r="N24" s="2719"/>
      <c r="O24" s="2719"/>
      <c r="P24" s="2719"/>
      <c r="Q24" s="2719"/>
      <c r="R24" s="2719"/>
      <c r="S24" s="2719"/>
      <c r="T24" s="2719"/>
      <c r="U24" s="3881">
        <v>5</v>
      </c>
      <c r="V24" s="3880" t="s">
        <v>1355</v>
      </c>
      <c r="W24" s="2719"/>
      <c r="X24" s="2719"/>
      <c r="Y24" s="2719"/>
      <c r="Z24" s="3881"/>
      <c r="AA24" s="3881">
        <v>7</v>
      </c>
      <c r="AB24" s="3880" t="s">
        <v>1357</v>
      </c>
      <c r="AC24" s="2719"/>
      <c r="AD24" s="2719"/>
      <c r="AE24" s="2719"/>
      <c r="AF24" s="2719"/>
      <c r="AG24" s="2719"/>
      <c r="AH24" s="2719"/>
      <c r="AI24" s="2719"/>
      <c r="AJ24" s="2719"/>
      <c r="AK24" s="2719"/>
      <c r="AL24" s="2719"/>
      <c r="AM24" s="2719"/>
      <c r="AN24" s="2719"/>
      <c r="AO24" s="2719"/>
      <c r="AP24" s="3350"/>
      <c r="AX24" s="46">
        <v>8</v>
      </c>
      <c r="AY24" s="46" t="s">
        <v>458</v>
      </c>
      <c r="AZ24" s="46">
        <f>IF(D20=6,V28,0)</f>
        <v>0</v>
      </c>
      <c r="BA24" s="46">
        <f>IF(D21=6,AD28,0)</f>
        <v>0</v>
      </c>
      <c r="BB24" s="46">
        <f>IF(D22=6,AJ28,0)</f>
        <v>0</v>
      </c>
      <c r="BC24" s="46">
        <f>SUM(AZ24:BB24)</f>
        <v>0</v>
      </c>
      <c r="BE24" s="3449"/>
      <c r="BG24" s="3742"/>
      <c r="BH24" s="3169"/>
      <c r="BI24" s="3169"/>
      <c r="BJ24" s="3169"/>
      <c r="BK24" s="3169"/>
      <c r="BL24" s="3169"/>
      <c r="BM24" s="3169"/>
      <c r="BN24" s="3169"/>
      <c r="BO24" s="3169"/>
      <c r="BP24" s="3169"/>
    </row>
    <row r="25" spans="1:68" ht="14.25" customHeight="1">
      <c r="A25" s="3350"/>
      <c r="B25" s="3882">
        <v>2</v>
      </c>
      <c r="C25" s="3892" t="s">
        <v>1353</v>
      </c>
      <c r="D25" s="3400"/>
      <c r="E25" s="2723"/>
      <c r="F25" s="2723"/>
      <c r="G25" s="2723"/>
      <c r="H25" s="2723"/>
      <c r="I25" s="2723"/>
      <c r="J25" s="2723"/>
      <c r="K25" s="3883">
        <v>4</v>
      </c>
      <c r="L25" s="3937" t="s">
        <v>1354</v>
      </c>
      <c r="M25" s="2723"/>
      <c r="N25" s="2723"/>
      <c r="O25" s="2723"/>
      <c r="P25" s="2723"/>
      <c r="Q25" s="2723"/>
      <c r="R25" s="2723"/>
      <c r="S25" s="2723"/>
      <c r="T25" s="2723"/>
      <c r="U25" s="3883">
        <v>6</v>
      </c>
      <c r="V25" s="3937" t="s">
        <v>1356</v>
      </c>
      <c r="W25" s="2723"/>
      <c r="X25" s="2723"/>
      <c r="Y25" s="2723"/>
      <c r="Z25" s="3883"/>
      <c r="AA25" s="3883">
        <v>8</v>
      </c>
      <c r="AB25" s="3937" t="s">
        <v>3123</v>
      </c>
      <c r="AC25" s="2723"/>
      <c r="AD25" s="2723"/>
      <c r="AE25" s="2723"/>
      <c r="AF25" s="2723"/>
      <c r="AG25" s="6417"/>
      <c r="AH25" s="6418"/>
      <c r="AI25" s="6418"/>
      <c r="AJ25" s="6418"/>
      <c r="AK25" s="6418"/>
      <c r="AL25" s="6418"/>
      <c r="AM25" s="6418"/>
      <c r="AN25" s="6418"/>
      <c r="AO25" s="6418"/>
      <c r="AP25" s="3350"/>
      <c r="AQ25" s="1075"/>
      <c r="AR25" s="5250" t="str">
        <f>IF($AR$23,"Attach a statement to your return","")</f>
        <v/>
      </c>
      <c r="AS25" s="1623"/>
      <c r="AT25" s="1623"/>
      <c r="BG25" s="3742"/>
      <c r="BH25" s="3169"/>
      <c r="BI25" s="3169"/>
      <c r="BJ25" s="3169"/>
      <c r="BK25" s="3169"/>
      <c r="BL25" s="3169"/>
      <c r="BM25" s="3169"/>
      <c r="BN25" s="3169"/>
      <c r="BO25" s="3169"/>
      <c r="BP25" s="3169"/>
    </row>
    <row r="26" spans="1:68" ht="14.25" customHeight="1">
      <c r="A26" s="3350"/>
      <c r="B26" s="3889" t="s">
        <v>3125</v>
      </c>
      <c r="C26" s="3887"/>
      <c r="D26" s="3856"/>
      <c r="E26" s="3885"/>
      <c r="F26" s="3885"/>
      <c r="G26" s="3885"/>
      <c r="H26" s="3885"/>
      <c r="I26" s="3886"/>
      <c r="J26" s="3884"/>
      <c r="K26" s="3885"/>
      <c r="L26" s="3885"/>
      <c r="M26" s="3885"/>
      <c r="N26" s="3885"/>
      <c r="O26" s="3885"/>
      <c r="P26" s="3885"/>
      <c r="Q26" s="3885"/>
      <c r="R26" s="3888" t="s">
        <v>3124</v>
      </c>
      <c r="S26" s="3885"/>
      <c r="T26" s="3890"/>
      <c r="U26" s="3886"/>
      <c r="V26" s="6320" t="s">
        <v>159</v>
      </c>
      <c r="W26" s="6373"/>
      <c r="X26" s="6373"/>
      <c r="Y26" s="6373"/>
      <c r="Z26" s="6373"/>
      <c r="AA26" s="6373"/>
      <c r="AB26" s="6373"/>
      <c r="AC26" s="6321"/>
      <c r="AD26" s="6374" t="s">
        <v>327</v>
      </c>
      <c r="AE26" s="6375"/>
      <c r="AF26" s="6375"/>
      <c r="AG26" s="6375"/>
      <c r="AH26" s="6375"/>
      <c r="AI26" s="6376"/>
      <c r="AJ26" s="6374" t="s">
        <v>160</v>
      </c>
      <c r="AK26" s="6375"/>
      <c r="AL26" s="6375"/>
      <c r="AM26" s="6375"/>
      <c r="AN26" s="6375"/>
      <c r="AO26" s="6375"/>
      <c r="AP26" s="3350"/>
      <c r="AR26" s="5250" t="str">
        <f>IF($AR$23,"describing the property.","")</f>
        <v/>
      </c>
      <c r="AS26" s="1623"/>
      <c r="AT26" s="1623"/>
      <c r="AZ26" s="46" t="b">
        <f>IF(AND($D$20="",OR($V$27&gt;0,$V$28&gt;0)),TRUE,FALSE)</f>
        <v>0</v>
      </c>
      <c r="BA26" s="46" t="b">
        <f>IF(AND($D$21="",OR($AD$27&gt;0,$AD$28&gt;0)),TRUE,FALSE)</f>
        <v>0</v>
      </c>
      <c r="BB26" s="46" t="b">
        <f>IF(AND($D$22="",OR($AJ$27&gt;0,$AJ$28&gt;0)),TRUE,FALSE)</f>
        <v>0</v>
      </c>
      <c r="BG26" s="3742"/>
      <c r="BH26" s="3169"/>
      <c r="BI26" s="3169"/>
      <c r="BJ26" s="3169"/>
      <c r="BK26" s="3169"/>
      <c r="BL26" s="3169"/>
      <c r="BM26" s="3169"/>
      <c r="BN26" s="3169"/>
      <c r="BO26" s="3169"/>
      <c r="BP26" s="3169"/>
    </row>
    <row r="27" spans="1:68" ht="14.25" customHeight="1">
      <c r="A27" s="3350"/>
      <c r="B27" s="6359">
        <v>3</v>
      </c>
      <c r="C27" s="6360"/>
      <c r="D27" s="3891" t="s">
        <v>917</v>
      </c>
      <c r="E27" s="3885"/>
      <c r="F27" s="3885"/>
      <c r="G27" s="3885"/>
      <c r="H27" s="3885"/>
      <c r="I27" s="3885"/>
      <c r="J27" s="3885"/>
      <c r="K27" s="3885"/>
      <c r="L27" s="3885"/>
      <c r="M27" s="3885"/>
      <c r="N27" s="3885"/>
      <c r="O27" s="3885"/>
      <c r="P27" s="3885"/>
      <c r="Q27" s="3885"/>
      <c r="R27" s="3885"/>
      <c r="S27" s="4496" t="s">
        <v>677</v>
      </c>
      <c r="T27" s="6320">
        <v>3</v>
      </c>
      <c r="U27" s="6321"/>
      <c r="V27" s="6361"/>
      <c r="W27" s="6362"/>
      <c r="X27" s="6362"/>
      <c r="Y27" s="6362"/>
      <c r="Z27" s="6362"/>
      <c r="AA27" s="6362"/>
      <c r="AB27" s="6362"/>
      <c r="AC27" s="6363"/>
      <c r="AD27" s="6361"/>
      <c r="AE27" s="6362"/>
      <c r="AF27" s="6362"/>
      <c r="AG27" s="6362"/>
      <c r="AH27" s="6362"/>
      <c r="AI27" s="6363"/>
      <c r="AJ27" s="6361"/>
      <c r="AK27" s="6362"/>
      <c r="AL27" s="6362"/>
      <c r="AM27" s="6362"/>
      <c r="AN27" s="6362"/>
      <c r="AO27" s="6362"/>
      <c r="AP27" s="3350"/>
      <c r="AR27" s="1623"/>
      <c r="AS27" s="1623"/>
      <c r="AT27" s="1623"/>
      <c r="BG27" s="3742"/>
      <c r="BH27" s="3169"/>
      <c r="BI27" s="3169"/>
      <c r="BJ27" s="3169"/>
      <c r="BK27" s="3169"/>
      <c r="BL27" s="3169"/>
      <c r="BM27" s="3169"/>
      <c r="BN27" s="3169"/>
      <c r="BO27" s="3169"/>
      <c r="BP27" s="3169"/>
    </row>
    <row r="28" spans="1:68" ht="14.25" customHeight="1">
      <c r="A28" s="3350"/>
      <c r="B28" s="6359">
        <v>4</v>
      </c>
      <c r="C28" s="6360"/>
      <c r="D28" s="3891" t="s">
        <v>3126</v>
      </c>
      <c r="E28" s="3885"/>
      <c r="F28" s="3885"/>
      <c r="G28" s="3885"/>
      <c r="H28" s="3885"/>
      <c r="I28" s="3885"/>
      <c r="J28" s="3885"/>
      <c r="K28" s="3885"/>
      <c r="L28" s="3885"/>
      <c r="M28" s="3885"/>
      <c r="N28" s="3885"/>
      <c r="O28" s="3885"/>
      <c r="P28" s="3885"/>
      <c r="Q28" s="3885"/>
      <c r="R28" s="3885"/>
      <c r="S28" s="4496" t="s">
        <v>981</v>
      </c>
      <c r="T28" s="6320">
        <v>4</v>
      </c>
      <c r="U28" s="6321"/>
      <c r="V28" s="6361"/>
      <c r="W28" s="6362"/>
      <c r="X28" s="6362"/>
      <c r="Y28" s="6362"/>
      <c r="Z28" s="6362"/>
      <c r="AA28" s="6362"/>
      <c r="AB28" s="6362"/>
      <c r="AC28" s="6363"/>
      <c r="AD28" s="6361"/>
      <c r="AE28" s="6362"/>
      <c r="AF28" s="6362"/>
      <c r="AG28" s="6362"/>
      <c r="AH28" s="6362"/>
      <c r="AI28" s="6363"/>
      <c r="AJ28" s="6361"/>
      <c r="AK28" s="6362"/>
      <c r="AL28" s="6362"/>
      <c r="AM28" s="6362"/>
      <c r="AN28" s="6362"/>
      <c r="AO28" s="6362"/>
      <c r="AP28" s="3350"/>
      <c r="BG28" s="3742"/>
      <c r="BH28" s="3169"/>
      <c r="BI28" s="3169"/>
      <c r="BJ28" s="3169"/>
      <c r="BK28" s="3169"/>
      <c r="BL28" s="3169"/>
      <c r="BM28" s="3169"/>
      <c r="BN28" s="3169"/>
      <c r="BO28" s="3169"/>
      <c r="BP28" s="3169"/>
    </row>
    <row r="29" spans="1:68" ht="14.25" customHeight="1">
      <c r="A29" s="3350"/>
      <c r="B29" s="3897" t="s">
        <v>824</v>
      </c>
      <c r="C29" s="3893"/>
      <c r="D29" s="3870"/>
      <c r="E29" s="3894"/>
      <c r="F29" s="3940"/>
      <c r="G29" s="3940" t="str">
        <f>IF(OR($AZ$26,$BA$26,$BB$26),"Please enter property type in Line 1b.","")</f>
        <v/>
      </c>
      <c r="H29" s="3894"/>
      <c r="I29" s="3894"/>
      <c r="J29" s="3894"/>
      <c r="K29" s="3894"/>
      <c r="L29" s="3894"/>
      <c r="M29" s="3894"/>
      <c r="N29" s="3894"/>
      <c r="O29" s="3894"/>
      <c r="P29" s="3894"/>
      <c r="Q29" s="3894"/>
      <c r="R29" s="3894"/>
      <c r="S29" s="3894"/>
      <c r="T29" s="3895"/>
      <c r="U29" s="3896"/>
      <c r="V29" s="6364" t="str">
        <f>IF(D20="","",LOOKUP(D20,$AX$17:$AX$24,$AY$17:$AY$24))</f>
        <v/>
      </c>
      <c r="W29" s="6365"/>
      <c r="X29" s="6365"/>
      <c r="Y29" s="6365"/>
      <c r="Z29" s="6365"/>
      <c r="AA29" s="6365"/>
      <c r="AB29" s="6365"/>
      <c r="AC29" s="6149"/>
      <c r="AD29" s="6364" t="str">
        <f>IF(D21="","",LOOKUP(D21,$AX$17:$AX$24,$AY$17:$AY$24))</f>
        <v/>
      </c>
      <c r="AE29" s="6365"/>
      <c r="AF29" s="6365"/>
      <c r="AG29" s="6365"/>
      <c r="AH29" s="6365"/>
      <c r="AI29" s="6149"/>
      <c r="AJ29" s="6364" t="str">
        <f>IF(D22="","",LOOKUP(D22,$AX$17:$AX$24,$AY$17:$AY$24))</f>
        <v/>
      </c>
      <c r="AK29" s="6365"/>
      <c r="AL29" s="6365"/>
      <c r="AM29" s="6365"/>
      <c r="AN29" s="6365"/>
      <c r="AO29" s="6365"/>
      <c r="AP29" s="3350"/>
      <c r="BG29" s="3742"/>
      <c r="BH29" s="3169"/>
      <c r="BI29" s="3169"/>
      <c r="BJ29" s="3169"/>
      <c r="BK29" s="3169"/>
      <c r="BL29" s="3169"/>
      <c r="BM29" s="3169"/>
      <c r="BN29" s="3169"/>
      <c r="BO29" s="3169"/>
      <c r="BP29" s="3169"/>
    </row>
    <row r="30" spans="1:68" ht="14.25" customHeight="1">
      <c r="A30" s="3350"/>
      <c r="B30" s="6319">
        <v>5</v>
      </c>
      <c r="C30" s="6249"/>
      <c r="D30" s="3878" t="s">
        <v>825</v>
      </c>
      <c r="E30" s="2719"/>
      <c r="F30" s="2719"/>
      <c r="G30" s="2719"/>
      <c r="H30" s="2719"/>
      <c r="I30" s="2719"/>
      <c r="J30" s="2719"/>
      <c r="K30" s="2719"/>
      <c r="L30" s="2719"/>
      <c r="M30" s="2719"/>
      <c r="N30" s="2719"/>
      <c r="O30" s="2719"/>
      <c r="P30" s="2719"/>
      <c r="Q30" s="2719"/>
      <c r="R30" s="2719"/>
      <c r="S30" s="4497" t="s">
        <v>524</v>
      </c>
      <c r="T30" s="6336">
        <v>5</v>
      </c>
      <c r="U30" s="6337"/>
      <c r="V30" s="6354"/>
      <c r="W30" s="6354"/>
      <c r="X30" s="6354"/>
      <c r="Y30" s="6354"/>
      <c r="Z30" s="6354"/>
      <c r="AA30" s="6354"/>
      <c r="AB30" s="6354"/>
      <c r="AC30" s="6355"/>
      <c r="AD30" s="6356"/>
      <c r="AE30" s="6354"/>
      <c r="AF30" s="6354"/>
      <c r="AG30" s="6354"/>
      <c r="AH30" s="6354"/>
      <c r="AI30" s="6355"/>
      <c r="AJ30" s="6356"/>
      <c r="AK30" s="6354"/>
      <c r="AL30" s="6354"/>
      <c r="AM30" s="6354"/>
      <c r="AN30" s="6354"/>
      <c r="AO30" s="6354"/>
      <c r="AP30" s="3350"/>
      <c r="BG30" s="3742"/>
      <c r="BH30" s="3169"/>
      <c r="BI30" s="3169"/>
      <c r="BJ30" s="3169"/>
      <c r="BK30" s="3169"/>
      <c r="BL30" s="3169"/>
      <c r="BM30" s="3169"/>
      <c r="BN30" s="3169"/>
      <c r="BO30" s="3169"/>
      <c r="BP30" s="3169"/>
    </row>
    <row r="31" spans="1:68" ht="14.25" customHeight="1">
      <c r="A31" s="3350"/>
      <c r="B31" s="6319">
        <v>6</v>
      </c>
      <c r="C31" s="6249"/>
      <c r="D31" s="3878" t="s">
        <v>844</v>
      </c>
      <c r="E31" s="2719"/>
      <c r="F31" s="2719"/>
      <c r="G31" s="2719"/>
      <c r="H31" s="2719"/>
      <c r="I31" s="2719"/>
      <c r="J31" s="2719"/>
      <c r="K31" s="2719"/>
      <c r="L31" s="2719"/>
      <c r="M31" s="2719"/>
      <c r="N31" s="2719"/>
      <c r="O31" s="2719"/>
      <c r="P31" s="2719"/>
      <c r="Q31" s="2719"/>
      <c r="R31" s="2719"/>
      <c r="S31" s="4497" t="s">
        <v>667</v>
      </c>
      <c r="T31" s="6336">
        <v>6</v>
      </c>
      <c r="U31" s="6337"/>
      <c r="V31" s="6354"/>
      <c r="W31" s="6354"/>
      <c r="X31" s="6354"/>
      <c r="Y31" s="6354"/>
      <c r="Z31" s="6354"/>
      <c r="AA31" s="6354"/>
      <c r="AB31" s="6354"/>
      <c r="AC31" s="6355"/>
      <c r="AD31" s="6356"/>
      <c r="AE31" s="6354"/>
      <c r="AF31" s="6354"/>
      <c r="AG31" s="6354"/>
      <c r="AH31" s="6354"/>
      <c r="AI31" s="6355"/>
      <c r="AJ31" s="6356"/>
      <c r="AK31" s="6354"/>
      <c r="AL31" s="6354"/>
      <c r="AM31" s="6354"/>
      <c r="AN31" s="6354"/>
      <c r="AO31" s="6354"/>
      <c r="AP31" s="3350"/>
      <c r="BG31" s="3742"/>
      <c r="BH31" s="3169"/>
      <c r="BI31" s="3169"/>
      <c r="BJ31" s="3169"/>
      <c r="BK31" s="3169"/>
      <c r="BL31" s="3169"/>
      <c r="BM31" s="3169"/>
      <c r="BN31" s="3169"/>
      <c r="BO31" s="3169"/>
      <c r="BP31" s="3169"/>
    </row>
    <row r="32" spans="1:68" ht="14.25" customHeight="1">
      <c r="A32" s="3350"/>
      <c r="B32" s="6319">
        <v>7</v>
      </c>
      <c r="C32" s="6249"/>
      <c r="D32" s="3878" t="s">
        <v>826</v>
      </c>
      <c r="E32" s="2719"/>
      <c r="F32" s="2719"/>
      <c r="G32" s="2719"/>
      <c r="H32" s="2719"/>
      <c r="I32" s="2719"/>
      <c r="J32" s="2719"/>
      <c r="K32" s="2719"/>
      <c r="L32" s="2719"/>
      <c r="M32" s="2719"/>
      <c r="N32" s="2719"/>
      <c r="O32" s="2719"/>
      <c r="P32" s="2719"/>
      <c r="Q32" s="2719"/>
      <c r="R32" s="2719"/>
      <c r="S32" s="4497" t="s">
        <v>680</v>
      </c>
      <c r="T32" s="6336">
        <v>7</v>
      </c>
      <c r="U32" s="6337"/>
      <c r="V32" s="6354"/>
      <c r="W32" s="6354"/>
      <c r="X32" s="6354"/>
      <c r="Y32" s="6354"/>
      <c r="Z32" s="6354"/>
      <c r="AA32" s="6354"/>
      <c r="AB32" s="6354"/>
      <c r="AC32" s="6355"/>
      <c r="AD32" s="6356"/>
      <c r="AE32" s="6354"/>
      <c r="AF32" s="6354"/>
      <c r="AG32" s="6354"/>
      <c r="AH32" s="6354"/>
      <c r="AI32" s="6355"/>
      <c r="AJ32" s="6356"/>
      <c r="AK32" s="6354"/>
      <c r="AL32" s="6354"/>
      <c r="AM32" s="6354"/>
      <c r="AN32" s="6354"/>
      <c r="AO32" s="6354"/>
      <c r="AP32" s="3350"/>
      <c r="BG32" s="3742"/>
      <c r="BH32" s="3169"/>
      <c r="BI32" s="3169"/>
      <c r="BJ32" s="3169"/>
      <c r="BK32" s="3169"/>
      <c r="BL32" s="3169"/>
      <c r="BM32" s="3169"/>
      <c r="BN32" s="3169"/>
      <c r="BO32" s="3169"/>
      <c r="BP32" s="3169"/>
    </row>
    <row r="33" spans="1:68" ht="14.25" customHeight="1">
      <c r="A33" s="3350"/>
      <c r="B33" s="6319">
        <v>8</v>
      </c>
      <c r="C33" s="6249"/>
      <c r="D33" s="3878" t="s">
        <v>827</v>
      </c>
      <c r="E33" s="2719"/>
      <c r="F33" s="2719"/>
      <c r="G33" s="2719"/>
      <c r="H33" s="2719"/>
      <c r="I33" s="2719"/>
      <c r="J33" s="2719"/>
      <c r="K33" s="2719"/>
      <c r="L33" s="2719"/>
      <c r="M33" s="2719"/>
      <c r="N33" s="2719"/>
      <c r="O33" s="2719"/>
      <c r="P33" s="2719"/>
      <c r="Q33" s="2719"/>
      <c r="R33" s="2719"/>
      <c r="S33" s="4497" t="s">
        <v>422</v>
      </c>
      <c r="T33" s="6336">
        <v>8</v>
      </c>
      <c r="U33" s="6337"/>
      <c r="V33" s="6354"/>
      <c r="W33" s="6354"/>
      <c r="X33" s="6354"/>
      <c r="Y33" s="6354"/>
      <c r="Z33" s="6354"/>
      <c r="AA33" s="6354"/>
      <c r="AB33" s="6354"/>
      <c r="AC33" s="6355"/>
      <c r="AD33" s="6356"/>
      <c r="AE33" s="6354"/>
      <c r="AF33" s="6354"/>
      <c r="AG33" s="6354"/>
      <c r="AH33" s="6354"/>
      <c r="AI33" s="6355"/>
      <c r="AJ33" s="6356"/>
      <c r="AK33" s="6354"/>
      <c r="AL33" s="6354"/>
      <c r="AM33" s="6354"/>
      <c r="AN33" s="6354"/>
      <c r="AO33" s="6354"/>
      <c r="AP33" s="3350"/>
      <c r="BG33" s="3742"/>
      <c r="BH33" s="3169"/>
      <c r="BI33" s="3169"/>
      <c r="BJ33" s="3169"/>
      <c r="BK33" s="3169"/>
      <c r="BL33" s="3169"/>
      <c r="BM33" s="3169"/>
      <c r="BN33" s="3169"/>
      <c r="BO33" s="3169"/>
      <c r="BP33" s="3169"/>
    </row>
    <row r="34" spans="1:68" ht="14.25" customHeight="1">
      <c r="A34" s="3350"/>
      <c r="B34" s="6319">
        <v>9</v>
      </c>
      <c r="C34" s="6249"/>
      <c r="D34" s="3878" t="s">
        <v>828</v>
      </c>
      <c r="E34" s="2719"/>
      <c r="F34" s="2719"/>
      <c r="G34" s="2719"/>
      <c r="H34" s="2719"/>
      <c r="I34" s="2719"/>
      <c r="J34" s="2719"/>
      <c r="K34" s="2719"/>
      <c r="L34" s="2719"/>
      <c r="M34" s="2719"/>
      <c r="N34" s="2719"/>
      <c r="O34" s="2719"/>
      <c r="P34" s="2719"/>
      <c r="Q34" s="2719"/>
      <c r="R34" s="2719"/>
      <c r="S34" s="4497" t="s">
        <v>676</v>
      </c>
      <c r="T34" s="6336">
        <v>9</v>
      </c>
      <c r="U34" s="6337"/>
      <c r="V34" s="6354"/>
      <c r="W34" s="6354"/>
      <c r="X34" s="6354"/>
      <c r="Y34" s="6354"/>
      <c r="Z34" s="6354"/>
      <c r="AA34" s="6354"/>
      <c r="AB34" s="6354"/>
      <c r="AC34" s="6355"/>
      <c r="AD34" s="6356"/>
      <c r="AE34" s="6354"/>
      <c r="AF34" s="6354"/>
      <c r="AG34" s="6354"/>
      <c r="AH34" s="6354"/>
      <c r="AI34" s="6355"/>
      <c r="AJ34" s="6356"/>
      <c r="AK34" s="6354"/>
      <c r="AL34" s="6354"/>
      <c r="AM34" s="6354"/>
      <c r="AN34" s="6354"/>
      <c r="AO34" s="6354"/>
      <c r="AP34" s="3350"/>
      <c r="BG34" s="3742"/>
      <c r="BH34" s="3169"/>
      <c r="BI34" s="3169"/>
      <c r="BJ34" s="3169"/>
      <c r="BK34" s="3169"/>
      <c r="BL34" s="3169"/>
      <c r="BM34" s="3169"/>
      <c r="BN34" s="3169"/>
      <c r="BO34" s="3169"/>
      <c r="BP34" s="3169"/>
    </row>
    <row r="35" spans="1:68" ht="14.25" customHeight="1">
      <c r="A35" s="3350"/>
      <c r="B35" s="6319">
        <v>10</v>
      </c>
      <c r="C35" s="6249"/>
      <c r="D35" s="3878" t="s">
        <v>829</v>
      </c>
      <c r="E35" s="2719"/>
      <c r="F35" s="2719"/>
      <c r="G35" s="2719"/>
      <c r="H35" s="2719"/>
      <c r="I35" s="2719"/>
      <c r="J35" s="2719"/>
      <c r="K35" s="2719"/>
      <c r="L35" s="2719"/>
      <c r="M35" s="2719"/>
      <c r="N35" s="2719"/>
      <c r="O35" s="2719"/>
      <c r="P35" s="2719"/>
      <c r="Q35" s="2719"/>
      <c r="R35" s="2719"/>
      <c r="S35" s="4497" t="s">
        <v>747</v>
      </c>
      <c r="T35" s="6336">
        <v>10</v>
      </c>
      <c r="U35" s="6337"/>
      <c r="V35" s="6354"/>
      <c r="W35" s="6354"/>
      <c r="X35" s="6354"/>
      <c r="Y35" s="6354"/>
      <c r="Z35" s="6354"/>
      <c r="AA35" s="6354"/>
      <c r="AB35" s="6354"/>
      <c r="AC35" s="6355"/>
      <c r="AD35" s="6356"/>
      <c r="AE35" s="6354"/>
      <c r="AF35" s="6354"/>
      <c r="AG35" s="6354"/>
      <c r="AH35" s="6354"/>
      <c r="AI35" s="6355"/>
      <c r="AJ35" s="6356"/>
      <c r="AK35" s="6354"/>
      <c r="AL35" s="6354"/>
      <c r="AM35" s="6354"/>
      <c r="AN35" s="6354"/>
      <c r="AO35" s="6354"/>
      <c r="AP35" s="3350"/>
      <c r="BG35" s="3742"/>
      <c r="BH35" s="3169"/>
      <c r="BI35" s="3169"/>
      <c r="BJ35" s="3169"/>
      <c r="BK35" s="3169"/>
      <c r="BL35" s="3169"/>
      <c r="BM35" s="3169"/>
      <c r="BN35" s="3169"/>
      <c r="BO35" s="3169"/>
      <c r="BP35" s="3169"/>
    </row>
    <row r="36" spans="1:68" ht="14.25" customHeight="1">
      <c r="A36" s="3350"/>
      <c r="B36" s="6319">
        <v>11</v>
      </c>
      <c r="C36" s="6249"/>
      <c r="D36" s="3878" t="s">
        <v>830</v>
      </c>
      <c r="E36" s="2719"/>
      <c r="F36" s="2719"/>
      <c r="G36" s="2719"/>
      <c r="H36" s="2719"/>
      <c r="I36" s="2719"/>
      <c r="J36" s="2719"/>
      <c r="K36" s="2719"/>
      <c r="L36" s="2719"/>
      <c r="M36" s="2719"/>
      <c r="N36" s="2719"/>
      <c r="O36" s="2719"/>
      <c r="P36" s="2719"/>
      <c r="Q36" s="2719"/>
      <c r="R36" s="2719"/>
      <c r="S36" s="4497" t="s">
        <v>981</v>
      </c>
      <c r="T36" s="6336">
        <v>11</v>
      </c>
      <c r="U36" s="6337"/>
      <c r="V36" s="6354"/>
      <c r="W36" s="6354"/>
      <c r="X36" s="6354"/>
      <c r="Y36" s="6354"/>
      <c r="Z36" s="6354"/>
      <c r="AA36" s="6354"/>
      <c r="AB36" s="6354"/>
      <c r="AC36" s="6355"/>
      <c r="AD36" s="6356"/>
      <c r="AE36" s="6354"/>
      <c r="AF36" s="6354"/>
      <c r="AG36" s="6354"/>
      <c r="AH36" s="6354"/>
      <c r="AI36" s="6355"/>
      <c r="AJ36" s="6356"/>
      <c r="AK36" s="6354"/>
      <c r="AL36" s="6354"/>
      <c r="AM36" s="6354"/>
      <c r="AN36" s="6354"/>
      <c r="AO36" s="6354"/>
      <c r="AP36" s="3350"/>
      <c r="BG36" s="3742"/>
      <c r="BH36" s="3169"/>
      <c r="BI36" s="3169"/>
      <c r="BJ36" s="3169"/>
      <c r="BK36" s="3169"/>
      <c r="BL36" s="3169"/>
      <c r="BM36" s="3169"/>
      <c r="BN36" s="3169"/>
      <c r="BO36" s="3169"/>
      <c r="BP36" s="3169"/>
    </row>
    <row r="37" spans="1:68" ht="14.25" customHeight="1">
      <c r="A37" s="3350"/>
      <c r="B37" s="6319">
        <v>12</v>
      </c>
      <c r="C37" s="6249"/>
      <c r="D37" s="3878" t="s">
        <v>845</v>
      </c>
      <c r="E37" s="2719"/>
      <c r="F37" s="2719"/>
      <c r="G37" s="2719"/>
      <c r="H37" s="2719"/>
      <c r="I37" s="2719"/>
      <c r="J37" s="2719"/>
      <c r="K37" s="2719"/>
      <c r="L37" s="2719"/>
      <c r="M37" s="2719"/>
      <c r="N37" s="2719"/>
      <c r="O37" s="2719"/>
      <c r="P37" s="2719"/>
      <c r="Q37" s="2719"/>
      <c r="R37" s="2719"/>
      <c r="S37" s="3570"/>
      <c r="T37" s="6336">
        <v>12</v>
      </c>
      <c r="U37" s="6337"/>
      <c r="V37" s="6354"/>
      <c r="W37" s="6354"/>
      <c r="X37" s="6354"/>
      <c r="Y37" s="6354"/>
      <c r="Z37" s="6354"/>
      <c r="AA37" s="6354"/>
      <c r="AB37" s="6354"/>
      <c r="AC37" s="6355"/>
      <c r="AD37" s="6356"/>
      <c r="AE37" s="6354"/>
      <c r="AF37" s="6354"/>
      <c r="AG37" s="6354"/>
      <c r="AH37" s="6354"/>
      <c r="AI37" s="6355"/>
      <c r="AJ37" s="6356"/>
      <c r="AK37" s="6354"/>
      <c r="AL37" s="6354"/>
      <c r="AM37" s="6354"/>
      <c r="AN37" s="6354"/>
      <c r="AO37" s="6354"/>
      <c r="AP37" s="3350"/>
      <c r="BG37" s="3742"/>
      <c r="BH37" s="3169"/>
      <c r="BI37" s="3169"/>
      <c r="BJ37" s="3169"/>
      <c r="BK37" s="3169"/>
      <c r="BL37" s="3169"/>
      <c r="BM37" s="3169"/>
      <c r="BN37" s="3169"/>
      <c r="BO37" s="3169"/>
      <c r="BP37" s="3169"/>
    </row>
    <row r="38" spans="1:68" ht="14.25" customHeight="1">
      <c r="A38" s="3350"/>
      <c r="B38" s="6319">
        <v>13</v>
      </c>
      <c r="C38" s="6249"/>
      <c r="D38" s="3878" t="s">
        <v>4079</v>
      </c>
      <c r="E38" s="2719"/>
      <c r="F38" s="2719"/>
      <c r="G38" s="2719"/>
      <c r="H38" s="2719"/>
      <c r="I38" s="2719"/>
      <c r="J38" s="2719"/>
      <c r="K38" s="2719"/>
      <c r="L38" s="2719"/>
      <c r="M38" s="2719"/>
      <c r="N38" s="2719"/>
      <c r="O38" s="2719"/>
      <c r="P38" s="2719"/>
      <c r="Q38" s="2719"/>
      <c r="R38" s="2719"/>
      <c r="S38" s="4497" t="s">
        <v>422</v>
      </c>
      <c r="T38" s="6336">
        <v>13</v>
      </c>
      <c r="U38" s="6337"/>
      <c r="V38" s="6354"/>
      <c r="W38" s="6354"/>
      <c r="X38" s="6354"/>
      <c r="Y38" s="6354"/>
      <c r="Z38" s="6354"/>
      <c r="AA38" s="6354"/>
      <c r="AB38" s="6354"/>
      <c r="AC38" s="6355"/>
      <c r="AD38" s="6356"/>
      <c r="AE38" s="6354"/>
      <c r="AF38" s="6354"/>
      <c r="AG38" s="6354"/>
      <c r="AH38" s="6354"/>
      <c r="AI38" s="6355"/>
      <c r="AJ38" s="6356"/>
      <c r="AK38" s="6354"/>
      <c r="AL38" s="6354"/>
      <c r="AM38" s="6354"/>
      <c r="AN38" s="6354"/>
      <c r="AO38" s="6354"/>
      <c r="AP38" s="3350"/>
      <c r="BG38" s="3742"/>
      <c r="BH38" s="3169"/>
      <c r="BI38" s="3169"/>
      <c r="BJ38" s="3169"/>
      <c r="BK38" s="3169"/>
      <c r="BL38" s="3169"/>
      <c r="BM38" s="3169"/>
      <c r="BN38" s="3169"/>
      <c r="BO38" s="3169"/>
      <c r="BP38" s="3169"/>
    </row>
    <row r="39" spans="1:68" ht="14.25" customHeight="1">
      <c r="A39" s="3350"/>
      <c r="B39" s="6319">
        <v>14</v>
      </c>
      <c r="C39" s="6249"/>
      <c r="D39" s="3878" t="s">
        <v>831</v>
      </c>
      <c r="E39" s="2719"/>
      <c r="F39" s="2719"/>
      <c r="G39" s="2719"/>
      <c r="H39" s="2719"/>
      <c r="I39" s="2719"/>
      <c r="J39" s="2719"/>
      <c r="K39" s="2719"/>
      <c r="L39" s="2719"/>
      <c r="M39" s="2719"/>
      <c r="N39" s="2719"/>
      <c r="O39" s="2719"/>
      <c r="P39" s="2719"/>
      <c r="Q39" s="2719"/>
      <c r="R39" s="2719"/>
      <c r="S39" s="4497" t="s">
        <v>676</v>
      </c>
      <c r="T39" s="6336">
        <v>14</v>
      </c>
      <c r="U39" s="6337"/>
      <c r="V39" s="6354"/>
      <c r="W39" s="6354"/>
      <c r="X39" s="6354"/>
      <c r="Y39" s="6354"/>
      <c r="Z39" s="6354"/>
      <c r="AA39" s="6354"/>
      <c r="AB39" s="6354"/>
      <c r="AC39" s="6355"/>
      <c r="AD39" s="6356"/>
      <c r="AE39" s="6354"/>
      <c r="AF39" s="6354"/>
      <c r="AG39" s="6354"/>
      <c r="AH39" s="6354"/>
      <c r="AI39" s="6355"/>
      <c r="AJ39" s="6356"/>
      <c r="AK39" s="6354"/>
      <c r="AL39" s="6354"/>
      <c r="AM39" s="6354"/>
      <c r="AN39" s="6354"/>
      <c r="AO39" s="6354"/>
      <c r="AP39" s="3350"/>
      <c r="BG39" s="3742"/>
      <c r="BH39" s="3169"/>
      <c r="BI39" s="3169"/>
      <c r="BJ39" s="3169"/>
      <c r="BK39" s="3169"/>
      <c r="BL39" s="3169"/>
      <c r="BM39" s="3169"/>
      <c r="BN39" s="3169"/>
      <c r="BO39" s="3169"/>
      <c r="BP39" s="3169"/>
    </row>
    <row r="40" spans="1:68" ht="14.25" customHeight="1">
      <c r="A40" s="3350"/>
      <c r="B40" s="6319">
        <v>15</v>
      </c>
      <c r="C40" s="6249"/>
      <c r="D40" s="3878" t="s">
        <v>832</v>
      </c>
      <c r="E40" s="2719"/>
      <c r="F40" s="2719"/>
      <c r="G40" s="2719"/>
      <c r="H40" s="2719"/>
      <c r="I40" s="2719"/>
      <c r="J40" s="2719"/>
      <c r="K40" s="2719"/>
      <c r="L40" s="2719"/>
      <c r="M40" s="2719"/>
      <c r="N40" s="2719"/>
      <c r="O40" s="2719"/>
      <c r="P40" s="2719"/>
      <c r="Q40" s="2719"/>
      <c r="R40" s="2719"/>
      <c r="S40" s="4497" t="s">
        <v>676</v>
      </c>
      <c r="T40" s="6336">
        <v>15</v>
      </c>
      <c r="U40" s="6337"/>
      <c r="V40" s="6354"/>
      <c r="W40" s="6354"/>
      <c r="X40" s="6354"/>
      <c r="Y40" s="6354"/>
      <c r="Z40" s="6354"/>
      <c r="AA40" s="6354"/>
      <c r="AB40" s="6354"/>
      <c r="AC40" s="6355"/>
      <c r="AD40" s="6356"/>
      <c r="AE40" s="6354"/>
      <c r="AF40" s="6354"/>
      <c r="AG40" s="6354"/>
      <c r="AH40" s="6354"/>
      <c r="AI40" s="6355"/>
      <c r="AJ40" s="6356"/>
      <c r="AK40" s="6354"/>
      <c r="AL40" s="6354"/>
      <c r="AM40" s="6354"/>
      <c r="AN40" s="6354"/>
      <c r="AO40" s="6354"/>
      <c r="AP40" s="3350"/>
      <c r="BG40" s="3742"/>
      <c r="BH40" s="3169"/>
      <c r="BI40" s="3169"/>
      <c r="BJ40" s="3169"/>
      <c r="BK40" s="3169"/>
      <c r="BL40" s="3169"/>
      <c r="BM40" s="3169"/>
      <c r="BN40" s="3169"/>
      <c r="BO40" s="3169"/>
      <c r="BP40" s="3169"/>
    </row>
    <row r="41" spans="1:68" ht="14.25" customHeight="1">
      <c r="A41" s="3350"/>
      <c r="B41" s="6319">
        <v>16</v>
      </c>
      <c r="C41" s="6249"/>
      <c r="D41" s="3878" t="s">
        <v>833</v>
      </c>
      <c r="E41" s="2719"/>
      <c r="F41" s="2719"/>
      <c r="G41" s="2719"/>
      <c r="H41" s="2719"/>
      <c r="I41" s="2719"/>
      <c r="J41" s="2719"/>
      <c r="K41" s="2719"/>
      <c r="L41" s="2719"/>
      <c r="M41" s="2719"/>
      <c r="N41" s="2719"/>
      <c r="O41" s="2719"/>
      <c r="P41" s="2719"/>
      <c r="Q41" s="2719"/>
      <c r="R41" s="2719"/>
      <c r="S41" s="4497" t="s">
        <v>2680</v>
      </c>
      <c r="T41" s="6336">
        <v>16</v>
      </c>
      <c r="U41" s="6337"/>
      <c r="V41" s="6354"/>
      <c r="W41" s="6354"/>
      <c r="X41" s="6354"/>
      <c r="Y41" s="6354"/>
      <c r="Z41" s="6354"/>
      <c r="AA41" s="6354"/>
      <c r="AB41" s="6354"/>
      <c r="AC41" s="6355"/>
      <c r="AD41" s="6356"/>
      <c r="AE41" s="6354"/>
      <c r="AF41" s="6354"/>
      <c r="AG41" s="6354"/>
      <c r="AH41" s="6354"/>
      <c r="AI41" s="6355"/>
      <c r="AJ41" s="6356"/>
      <c r="AK41" s="6354"/>
      <c r="AL41" s="6354"/>
      <c r="AM41" s="6354"/>
      <c r="AN41" s="6354"/>
      <c r="AO41" s="6354"/>
      <c r="AP41" s="3350"/>
      <c r="BG41" s="3742"/>
      <c r="BH41" s="3169"/>
      <c r="BI41" s="3169"/>
      <c r="BJ41" s="3169"/>
      <c r="BK41" s="3169"/>
      <c r="BL41" s="3169"/>
      <c r="BM41" s="3169"/>
      <c r="BN41" s="3169"/>
      <c r="BO41" s="3169"/>
      <c r="BP41" s="3169"/>
    </row>
    <row r="42" spans="1:68" ht="14.25" customHeight="1">
      <c r="A42" s="3350"/>
      <c r="B42" s="6319">
        <v>17</v>
      </c>
      <c r="C42" s="6249"/>
      <c r="D42" s="3878" t="s">
        <v>834</v>
      </c>
      <c r="E42" s="2719"/>
      <c r="F42" s="2719"/>
      <c r="G42" s="2719"/>
      <c r="H42" s="2719"/>
      <c r="I42" s="2719"/>
      <c r="J42" s="2719"/>
      <c r="K42" s="2719"/>
      <c r="L42" s="2719"/>
      <c r="M42" s="2719"/>
      <c r="N42" s="2719"/>
      <c r="O42" s="2719"/>
      <c r="P42" s="2719"/>
      <c r="Q42" s="2719"/>
      <c r="R42" s="2719"/>
      <c r="S42" s="4497" t="s">
        <v>2680</v>
      </c>
      <c r="T42" s="6336">
        <v>17</v>
      </c>
      <c r="U42" s="6337"/>
      <c r="V42" s="6354"/>
      <c r="W42" s="6354"/>
      <c r="X42" s="6354"/>
      <c r="Y42" s="6354"/>
      <c r="Z42" s="6354"/>
      <c r="AA42" s="6354"/>
      <c r="AB42" s="6354"/>
      <c r="AC42" s="6355"/>
      <c r="AD42" s="6356"/>
      <c r="AE42" s="6354"/>
      <c r="AF42" s="6354"/>
      <c r="AG42" s="6354"/>
      <c r="AH42" s="6354"/>
      <c r="AI42" s="6355"/>
      <c r="AJ42" s="6356"/>
      <c r="AK42" s="6354"/>
      <c r="AL42" s="6354"/>
      <c r="AM42" s="6354"/>
      <c r="AN42" s="6354"/>
      <c r="AO42" s="6354"/>
      <c r="AP42" s="3350"/>
      <c r="AQ42" s="396"/>
      <c r="AR42" s="396"/>
      <c r="AS42" s="396"/>
      <c r="AT42" s="396"/>
      <c r="AU42" s="396"/>
      <c r="BG42" s="3742"/>
      <c r="BH42" s="3169"/>
      <c r="BI42" s="3169"/>
      <c r="BJ42" s="3169"/>
      <c r="BK42" s="3169"/>
      <c r="BL42" s="3169"/>
      <c r="BM42" s="3169"/>
      <c r="BN42" s="3169"/>
      <c r="BO42" s="3169"/>
      <c r="BP42" s="3169"/>
    </row>
    <row r="43" spans="1:68" ht="14.25" customHeight="1">
      <c r="A43" s="3350"/>
      <c r="B43" s="6319">
        <v>18</v>
      </c>
      <c r="C43" s="6249"/>
      <c r="D43" s="3878" t="s">
        <v>835</v>
      </c>
      <c r="E43" s="2719"/>
      <c r="F43" s="2719"/>
      <c r="G43" s="2719"/>
      <c r="H43" s="2719"/>
      <c r="I43" s="2719"/>
      <c r="J43" s="2719"/>
      <c r="K43" s="2719"/>
      <c r="L43" s="2719"/>
      <c r="M43" s="2719"/>
      <c r="N43" s="2719"/>
      <c r="O43" s="2719"/>
      <c r="P43" s="2719"/>
      <c r="Q43" s="2719"/>
      <c r="R43" s="2719"/>
      <c r="S43" s="4497" t="s">
        <v>747</v>
      </c>
      <c r="T43" s="6336">
        <v>18</v>
      </c>
      <c r="U43" s="6337"/>
      <c r="V43" s="6354"/>
      <c r="W43" s="6354"/>
      <c r="X43" s="6354"/>
      <c r="Y43" s="6354"/>
      <c r="Z43" s="6354"/>
      <c r="AA43" s="6354"/>
      <c r="AB43" s="6354"/>
      <c r="AC43" s="6355"/>
      <c r="AD43" s="6356"/>
      <c r="AE43" s="6354"/>
      <c r="AF43" s="6354"/>
      <c r="AG43" s="6354"/>
      <c r="AH43" s="6354"/>
      <c r="AI43" s="6355"/>
      <c r="AJ43" s="6356"/>
      <c r="AK43" s="6354"/>
      <c r="AL43" s="6354"/>
      <c r="AM43" s="6354"/>
      <c r="AN43" s="6354"/>
      <c r="AO43" s="6354"/>
      <c r="AP43" s="3350"/>
      <c r="AQ43" s="396"/>
      <c r="AR43" s="6178" t="s">
        <v>2331</v>
      </c>
      <c r="AS43" s="6357"/>
      <c r="AT43" s="6357"/>
      <c r="AU43" s="396"/>
      <c r="BG43" s="3742"/>
      <c r="BH43" s="3169"/>
      <c r="BI43" s="3169"/>
      <c r="BJ43" s="3169"/>
      <c r="BK43" s="3169"/>
      <c r="BL43" s="3169"/>
      <c r="BM43" s="3169"/>
      <c r="BN43" s="3169"/>
      <c r="BO43" s="3169"/>
      <c r="BP43" s="3169"/>
    </row>
    <row r="44" spans="1:68" ht="14.25" customHeight="1">
      <c r="A44" s="3350"/>
      <c r="B44" s="6319">
        <v>19</v>
      </c>
      <c r="C44" s="6249"/>
      <c r="D44" s="3878" t="s">
        <v>3127</v>
      </c>
      <c r="E44" s="2719"/>
      <c r="F44" s="2719"/>
      <c r="G44" s="2719"/>
      <c r="H44" s="6358"/>
      <c r="I44" s="6358"/>
      <c r="J44" s="6358"/>
      <c r="K44" s="6358"/>
      <c r="L44" s="6358"/>
      <c r="M44" s="6358"/>
      <c r="N44" s="6358"/>
      <c r="O44" s="6358"/>
      <c r="P44" s="6358"/>
      <c r="Q44" s="6358"/>
      <c r="R44" s="6358"/>
      <c r="S44" s="3570"/>
      <c r="T44" s="6336">
        <v>19</v>
      </c>
      <c r="U44" s="6337"/>
      <c r="V44" s="6354"/>
      <c r="W44" s="6354"/>
      <c r="X44" s="6354"/>
      <c r="Y44" s="6354"/>
      <c r="Z44" s="6354"/>
      <c r="AA44" s="6354"/>
      <c r="AB44" s="6354"/>
      <c r="AC44" s="6355"/>
      <c r="AD44" s="6356"/>
      <c r="AE44" s="6354"/>
      <c r="AF44" s="6354"/>
      <c r="AG44" s="6354"/>
      <c r="AH44" s="6354"/>
      <c r="AI44" s="6355"/>
      <c r="AJ44" s="6356"/>
      <c r="AK44" s="6354"/>
      <c r="AL44" s="6354"/>
      <c r="AM44" s="6354"/>
      <c r="AN44" s="6354"/>
      <c r="AO44" s="6354"/>
      <c r="AP44" s="3350"/>
      <c r="AQ44" s="396"/>
      <c r="AR44" s="396"/>
      <c r="AS44" s="396"/>
      <c r="AT44" s="396"/>
      <c r="AU44" s="396"/>
      <c r="BG44" s="3742"/>
      <c r="BH44" s="3169"/>
      <c r="BI44" s="3169"/>
      <c r="BJ44" s="3169"/>
      <c r="BK44" s="3169"/>
      <c r="BL44" s="3169"/>
      <c r="BM44" s="3169"/>
      <c r="BN44" s="3169"/>
      <c r="BO44" s="3169"/>
      <c r="BP44" s="3169"/>
    </row>
    <row r="45" spans="1:68" ht="14.25" customHeight="1">
      <c r="A45" s="3350"/>
      <c r="B45" s="6319">
        <v>20</v>
      </c>
      <c r="C45" s="6249"/>
      <c r="D45" s="3878" t="s">
        <v>846</v>
      </c>
      <c r="E45" s="2719"/>
      <c r="F45" s="2719"/>
      <c r="G45" s="2719"/>
      <c r="H45" s="2719"/>
      <c r="I45" s="2719"/>
      <c r="J45" s="2719"/>
      <c r="K45" s="2719"/>
      <c r="L45" s="2719"/>
      <c r="M45" s="2719"/>
      <c r="N45" s="2719"/>
      <c r="O45" s="2719"/>
      <c r="P45" s="2719"/>
      <c r="Q45" s="2719"/>
      <c r="R45" s="2719"/>
      <c r="S45" s="4497" t="s">
        <v>682</v>
      </c>
      <c r="T45" s="6336">
        <v>20</v>
      </c>
      <c r="U45" s="6337"/>
      <c r="V45" s="6334">
        <f>IF(AR45&lt;&gt;"",ROUND(AR45,0),ROUND(SUM(V30:AC44),0))</f>
        <v>0</v>
      </c>
      <c r="W45" s="6334"/>
      <c r="X45" s="6334"/>
      <c r="Y45" s="6334"/>
      <c r="Z45" s="6334"/>
      <c r="AA45" s="6334"/>
      <c r="AB45" s="6334"/>
      <c r="AC45" s="6335"/>
      <c r="AD45" s="6333">
        <f>IF(AS45&lt;&gt;"",ROUND(AS45,0),ROUND(SUM(AD30:AI44),0))</f>
        <v>0</v>
      </c>
      <c r="AE45" s="6334"/>
      <c r="AF45" s="6334"/>
      <c r="AG45" s="6334"/>
      <c r="AH45" s="6334"/>
      <c r="AI45" s="6335"/>
      <c r="AJ45" s="6348">
        <f>IF(AT45&lt;&gt;"",ROUND(AT45,0),ROUND(SUM(AJ30:AO44),0))</f>
        <v>0</v>
      </c>
      <c r="AK45" s="6322"/>
      <c r="AL45" s="6322"/>
      <c r="AM45" s="6322"/>
      <c r="AN45" s="6322"/>
      <c r="AO45" s="6322"/>
      <c r="AP45" s="3350"/>
      <c r="AQ45" s="396"/>
      <c r="AR45" s="3948"/>
      <c r="AS45" s="3948"/>
      <c r="AT45" s="3948"/>
      <c r="AU45" s="396"/>
      <c r="BG45" s="3742"/>
      <c r="BH45" s="3169"/>
      <c r="BI45" s="3169"/>
      <c r="BJ45" s="3169"/>
      <c r="BK45" s="3169"/>
      <c r="BL45" s="3169"/>
      <c r="BM45" s="3169"/>
      <c r="BN45" s="3169"/>
      <c r="BO45" s="3169"/>
      <c r="BP45" s="3169"/>
    </row>
    <row r="46" spans="1:68" ht="14.25" customHeight="1">
      <c r="A46" s="3350"/>
      <c r="B46" s="6319">
        <v>21</v>
      </c>
      <c r="C46" s="6249"/>
      <c r="D46" s="3878" t="s">
        <v>4083</v>
      </c>
      <c r="E46" s="2719"/>
      <c r="F46" s="2719"/>
      <c r="G46" s="2719"/>
      <c r="H46" s="2719"/>
      <c r="I46" s="2719"/>
      <c r="J46" s="2719"/>
      <c r="K46" s="2719"/>
      <c r="L46" s="2719"/>
      <c r="M46" s="2719"/>
      <c r="N46" s="2719"/>
      <c r="O46" s="2719"/>
      <c r="P46" s="2719"/>
      <c r="Q46" s="2719"/>
      <c r="R46" s="2719"/>
      <c r="S46" s="3570"/>
      <c r="T46" s="6349"/>
      <c r="U46" s="6350"/>
      <c r="V46" s="6351"/>
      <c r="W46" s="6352"/>
      <c r="X46" s="6352"/>
      <c r="Y46" s="6352"/>
      <c r="Z46" s="6352"/>
      <c r="AA46" s="6352"/>
      <c r="AB46" s="6352"/>
      <c r="AC46" s="6353"/>
      <c r="AD46" s="6351"/>
      <c r="AE46" s="6352"/>
      <c r="AF46" s="6352"/>
      <c r="AG46" s="6352"/>
      <c r="AH46" s="6352"/>
      <c r="AI46" s="6353"/>
      <c r="AJ46" s="6351"/>
      <c r="AK46" s="6352"/>
      <c r="AL46" s="6352"/>
      <c r="AM46" s="6352"/>
      <c r="AN46" s="6352"/>
      <c r="AO46" s="6352"/>
      <c r="AP46" s="3350"/>
      <c r="AQ46" s="396"/>
      <c r="AR46" s="396"/>
      <c r="AS46" s="396"/>
      <c r="AT46" s="396"/>
      <c r="AU46" s="396"/>
      <c r="AX46" s="154"/>
      <c r="AY46" s="6346" t="s">
        <v>159</v>
      </c>
      <c r="AZ46" s="6347"/>
      <c r="BA46" s="6346" t="s">
        <v>327</v>
      </c>
      <c r="BB46" s="6347"/>
      <c r="BC46" s="6346" t="s">
        <v>160</v>
      </c>
      <c r="BD46" s="6347"/>
      <c r="BG46" s="3742"/>
      <c r="BH46" s="3169"/>
      <c r="BI46" s="3169"/>
      <c r="BJ46" s="3169"/>
      <c r="BK46" s="3169"/>
      <c r="BL46" s="3169"/>
      <c r="BM46" s="3169"/>
      <c r="BN46" s="3169"/>
      <c r="BO46" s="3169"/>
      <c r="BP46" s="3169"/>
    </row>
    <row r="47" spans="1:68" ht="14.25" customHeight="1">
      <c r="A47" s="3350"/>
      <c r="B47" s="6319"/>
      <c r="C47" s="6249"/>
      <c r="D47" s="3878" t="s">
        <v>4082</v>
      </c>
      <c r="E47" s="2719"/>
      <c r="F47" s="2719"/>
      <c r="G47" s="2719"/>
      <c r="H47" s="2719"/>
      <c r="I47" s="2719"/>
      <c r="J47" s="2719"/>
      <c r="K47" s="2719"/>
      <c r="L47" s="2719"/>
      <c r="M47" s="2719"/>
      <c r="N47" s="2719"/>
      <c r="O47" s="2719"/>
      <c r="P47" s="2719"/>
      <c r="Q47" s="2719"/>
      <c r="R47" s="2719"/>
      <c r="S47" s="3570"/>
      <c r="T47" s="6340"/>
      <c r="U47" s="6341"/>
      <c r="V47" s="6342"/>
      <c r="W47" s="6343"/>
      <c r="X47" s="6343"/>
      <c r="Y47" s="6343"/>
      <c r="Z47" s="6343"/>
      <c r="AA47" s="6343"/>
      <c r="AB47" s="6343"/>
      <c r="AC47" s="6344"/>
      <c r="AD47" s="6342"/>
      <c r="AE47" s="6343"/>
      <c r="AF47" s="6343"/>
      <c r="AG47" s="6343"/>
      <c r="AH47" s="6343"/>
      <c r="AI47" s="6344"/>
      <c r="AJ47" s="6342"/>
      <c r="AK47" s="6343"/>
      <c r="AL47" s="6343"/>
      <c r="AM47" s="6343"/>
      <c r="AN47" s="6343"/>
      <c r="AO47" s="6343"/>
      <c r="AP47" s="3350"/>
      <c r="AQ47" s="396"/>
      <c r="AR47" s="396"/>
      <c r="AS47" s="396"/>
      <c r="AT47" s="396"/>
      <c r="AU47" s="396"/>
      <c r="AX47" s="154"/>
      <c r="AY47" s="1405" t="s">
        <v>858</v>
      </c>
      <c r="AZ47" s="1405" t="s">
        <v>859</v>
      </c>
      <c r="BA47" s="1405" t="s">
        <v>858</v>
      </c>
      <c r="BB47" s="1405" t="s">
        <v>859</v>
      </c>
      <c r="BC47" s="1405" t="s">
        <v>858</v>
      </c>
      <c r="BD47" s="1405" t="s">
        <v>859</v>
      </c>
      <c r="BG47" s="3742"/>
      <c r="BH47" s="3169"/>
      <c r="BI47" s="3169"/>
      <c r="BJ47" s="3169"/>
      <c r="BK47" s="3169"/>
      <c r="BL47" s="3169"/>
      <c r="BM47" s="3169"/>
      <c r="BN47" s="3169"/>
      <c r="BO47" s="3169"/>
      <c r="BP47" s="3169"/>
    </row>
    <row r="48" spans="1:68" ht="14.25" customHeight="1">
      <c r="A48" s="3350"/>
      <c r="B48" s="6319"/>
      <c r="C48" s="6249"/>
      <c r="D48" s="3878" t="s">
        <v>4081</v>
      </c>
      <c r="E48" s="2719"/>
      <c r="F48" s="2719"/>
      <c r="G48" s="2719"/>
      <c r="H48" s="2719"/>
      <c r="I48" s="2719"/>
      <c r="J48" s="2719"/>
      <c r="K48" s="2719"/>
      <c r="L48" s="2719"/>
      <c r="M48" s="2719"/>
      <c r="N48" s="2719"/>
      <c r="O48" s="2719"/>
      <c r="P48" s="2719"/>
      <c r="Q48" s="2719"/>
      <c r="R48" s="2719"/>
      <c r="S48" s="4497" t="s">
        <v>312</v>
      </c>
      <c r="T48" s="6336">
        <v>21</v>
      </c>
      <c r="U48" s="6337"/>
      <c r="V48" s="6333">
        <f>IF(AR48&lt;&gt;"",ROUND(AR48,0),ROUND(SUM(V27,V28,-V45),0))</f>
        <v>0</v>
      </c>
      <c r="W48" s="6334"/>
      <c r="X48" s="6334"/>
      <c r="Y48" s="6334"/>
      <c r="Z48" s="6334"/>
      <c r="AA48" s="6334"/>
      <c r="AB48" s="6334"/>
      <c r="AC48" s="6335"/>
      <c r="AD48" s="6333">
        <f>IF(AS48&lt;&gt;"",ROUND(AS48,0),ROUND(SUM(AD27,AD28,-AD45),0))</f>
        <v>0</v>
      </c>
      <c r="AE48" s="6334"/>
      <c r="AF48" s="6334"/>
      <c r="AG48" s="6334"/>
      <c r="AH48" s="6334"/>
      <c r="AI48" s="6335"/>
      <c r="AJ48" s="6333">
        <f>IF(AT48&lt;&gt;"",ROUND(AT48,0),ROUND(SUM(AJ27,AJ28,-AJ45),0))</f>
        <v>0</v>
      </c>
      <c r="AK48" s="6334"/>
      <c r="AL48" s="6334"/>
      <c r="AM48" s="6334"/>
      <c r="AN48" s="6334"/>
      <c r="AO48" s="6334"/>
      <c r="AP48" s="3350"/>
      <c r="AQ48" s="396"/>
      <c r="AR48" s="3948"/>
      <c r="AS48" s="3948"/>
      <c r="AT48" s="3948"/>
      <c r="AU48" s="396"/>
      <c r="AX48" s="1407" t="s">
        <v>861</v>
      </c>
      <c r="AY48" s="1404">
        <f>IF(V48&gt;0,V48,0)</f>
        <v>0</v>
      </c>
      <c r="AZ48" s="1404">
        <f>IF(V48&lt;0,V48,0)</f>
        <v>0</v>
      </c>
      <c r="BA48" s="1404">
        <f>IF(AD48&gt;0,AD48,0)</f>
        <v>0</v>
      </c>
      <c r="BB48" s="1404">
        <f>IF(AD48&lt;0,AD48,0)</f>
        <v>0</v>
      </c>
      <c r="BC48" s="1404">
        <f>IF(AJ48&gt;0,AJ48,0)</f>
        <v>0</v>
      </c>
      <c r="BD48" s="1404">
        <f>IF(AJ48&lt;0,AJ48,0)</f>
        <v>0</v>
      </c>
      <c r="BG48" s="3742"/>
      <c r="BH48" s="3169"/>
      <c r="BI48" s="3169"/>
      <c r="BJ48" s="3169"/>
      <c r="BK48" s="3169"/>
      <c r="BL48" s="3169"/>
      <c r="BM48" s="3169"/>
      <c r="BN48" s="3169"/>
      <c r="BO48" s="3169"/>
      <c r="BP48" s="3169"/>
    </row>
    <row r="49" spans="1:68" ht="14.25" customHeight="1">
      <c r="A49" s="3350"/>
      <c r="B49" s="6319">
        <v>22</v>
      </c>
      <c r="C49" s="6249"/>
      <c r="D49" s="3878" t="s">
        <v>3128</v>
      </c>
      <c r="E49" s="2719"/>
      <c r="F49" s="2719"/>
      <c r="G49" s="2719"/>
      <c r="H49" s="2719"/>
      <c r="I49" s="2719"/>
      <c r="J49" s="2719"/>
      <c r="K49" s="2719"/>
      <c r="L49" s="2719"/>
      <c r="M49" s="2719"/>
      <c r="N49" s="2719"/>
      <c r="O49" s="2719"/>
      <c r="P49" s="2719"/>
      <c r="Q49" s="2719"/>
      <c r="R49" s="2719"/>
      <c r="S49" s="3570"/>
      <c r="T49" s="6340"/>
      <c r="U49" s="6341"/>
      <c r="V49" s="6342"/>
      <c r="W49" s="6343"/>
      <c r="X49" s="6343"/>
      <c r="Y49" s="6343"/>
      <c r="Z49" s="6343"/>
      <c r="AA49" s="6343"/>
      <c r="AB49" s="6343"/>
      <c r="AC49" s="6344"/>
      <c r="AD49" s="6342"/>
      <c r="AE49" s="6343"/>
      <c r="AF49" s="6343"/>
      <c r="AG49" s="6343"/>
      <c r="AH49" s="6343"/>
      <c r="AI49" s="6344"/>
      <c r="AJ49" s="6342"/>
      <c r="AK49" s="6343"/>
      <c r="AL49" s="6343"/>
      <c r="AM49" s="6343"/>
      <c r="AN49" s="6343"/>
      <c r="AO49" s="6343"/>
      <c r="AP49" s="3350"/>
      <c r="AQ49" s="396"/>
      <c r="AR49" s="396"/>
      <c r="AS49" s="396"/>
      <c r="AT49" s="396"/>
      <c r="AU49" s="396"/>
      <c r="AX49" s="1407" t="s">
        <v>836</v>
      </c>
      <c r="AY49" s="1424" t="s">
        <v>868</v>
      </c>
      <c r="AZ49" s="1404">
        <f>IF(W50&lt;&gt;"",-W50,0)</f>
        <v>0</v>
      </c>
      <c r="BA49" s="1424" t="s">
        <v>868</v>
      </c>
      <c r="BB49" s="1404">
        <f>IF(AE50&lt;&gt;"",-AE50,0)</f>
        <v>0</v>
      </c>
      <c r="BC49" s="1424" t="s">
        <v>868</v>
      </c>
      <c r="BD49" s="1404">
        <f>IF(AK50&lt;&gt;"",-AK50,0)</f>
        <v>0</v>
      </c>
      <c r="BG49" s="3742"/>
      <c r="BH49" s="3169"/>
      <c r="BI49" s="3169"/>
      <c r="BJ49" s="3169"/>
      <c r="BK49" s="3169"/>
      <c r="BL49" s="3169"/>
      <c r="BM49" s="3169"/>
      <c r="BN49" s="3169"/>
      <c r="BO49" s="3169"/>
      <c r="BP49" s="3169"/>
    </row>
    <row r="50" spans="1:68" ht="14.25" customHeight="1">
      <c r="A50" s="3350"/>
      <c r="B50" s="6319"/>
      <c r="C50" s="6249"/>
      <c r="D50" s="3878" t="s">
        <v>4080</v>
      </c>
      <c r="E50" s="2719"/>
      <c r="F50" s="2719"/>
      <c r="G50" s="2719"/>
      <c r="H50" s="2719"/>
      <c r="I50" s="2719"/>
      <c r="J50" s="2719"/>
      <c r="K50" s="2719"/>
      <c r="L50" s="2719"/>
      <c r="M50" s="2719"/>
      <c r="N50" s="2719"/>
      <c r="O50" s="2719"/>
      <c r="P50" s="2719"/>
      <c r="Q50" s="2719"/>
      <c r="R50" s="2719"/>
      <c r="S50" s="4497" t="s">
        <v>667</v>
      </c>
      <c r="T50" s="6336">
        <v>22</v>
      </c>
      <c r="U50" s="6337"/>
      <c r="V50" s="3952" t="s">
        <v>1147</v>
      </c>
      <c r="W50" s="6334" t="str">
        <f>IF(AR50&lt;&gt;"",ROUND(AR50,0),IF(AND(D20&lt;&gt;6,V48&lt;0,OR(V28="",V28=0)),ROUND(-V48,0),""))</f>
        <v/>
      </c>
      <c r="X50" s="6345"/>
      <c r="Y50" s="6345"/>
      <c r="Z50" s="6345"/>
      <c r="AA50" s="6345"/>
      <c r="AB50" s="6345"/>
      <c r="AC50" s="3951" t="s">
        <v>1148</v>
      </c>
      <c r="AD50" s="3952" t="s">
        <v>1147</v>
      </c>
      <c r="AE50" s="6334" t="str">
        <f>IF(AS50&lt;&gt;"",ROUND(AS50,0),IF(AND(D21&lt;&gt;6,AD48&lt;0,OR(AD28="",AD28=0)),ROUND(-AD48,0),""))</f>
        <v/>
      </c>
      <c r="AF50" s="6345"/>
      <c r="AG50" s="6345"/>
      <c r="AH50" s="6345"/>
      <c r="AI50" s="3951" t="s">
        <v>1148</v>
      </c>
      <c r="AJ50" s="3952" t="s">
        <v>1147</v>
      </c>
      <c r="AK50" s="6334" t="str">
        <f>IF(AT50&lt;&gt;"",ROUND(AT50,0),IF(AND(D22&lt;&gt;6,AJ48&lt;0,OR(AJ28="",AJ28=0)),ROUND(-AJ48,0),""))</f>
        <v/>
      </c>
      <c r="AL50" s="6345"/>
      <c r="AM50" s="6345"/>
      <c r="AN50" s="6345"/>
      <c r="AO50" s="3950" t="s">
        <v>1148</v>
      </c>
      <c r="AP50" s="3350"/>
      <c r="AQ50" s="396"/>
      <c r="AR50" s="3948"/>
      <c r="AS50" s="3948"/>
      <c r="AT50" s="3948"/>
      <c r="AU50" s="396"/>
      <c r="AX50" s="1407"/>
      <c r="AY50" s="1406" t="s">
        <v>860</v>
      </c>
      <c r="AZ50" s="1404">
        <f>IF(D20=6,AZ48,0)</f>
        <v>0</v>
      </c>
      <c r="BA50"/>
      <c r="BB50" s="1404">
        <f>IF(D21=6,BB48,0)</f>
        <v>0</v>
      </c>
      <c r="BC50"/>
      <c r="BD50" s="1404">
        <f>IF(D22=6,BD48,0)</f>
        <v>0</v>
      </c>
      <c r="BG50" s="3742"/>
      <c r="BH50" s="3169"/>
      <c r="BI50" s="3169"/>
      <c r="BJ50" s="3169"/>
      <c r="BK50" s="3169"/>
      <c r="BL50" s="3169"/>
      <c r="BM50" s="3169"/>
      <c r="BN50" s="3169"/>
      <c r="BO50" s="3169"/>
      <c r="BP50" s="3169"/>
    </row>
    <row r="51" spans="1:68" ht="14.25" customHeight="1">
      <c r="A51" s="3350"/>
      <c r="B51" s="6319" t="s">
        <v>847</v>
      </c>
      <c r="C51" s="6249"/>
      <c r="D51" s="3878" t="s">
        <v>918</v>
      </c>
      <c r="E51" s="2719"/>
      <c r="F51" s="2719"/>
      <c r="G51" s="2719"/>
      <c r="H51" s="2719"/>
      <c r="I51" s="2719"/>
      <c r="J51" s="2719"/>
      <c r="K51" s="2719"/>
      <c r="L51" s="2719"/>
      <c r="M51" s="2719"/>
      <c r="N51" s="2719"/>
      <c r="O51" s="2719"/>
      <c r="P51" s="2719"/>
      <c r="Q51" s="2719"/>
      <c r="R51" s="2719"/>
      <c r="S51" s="2719"/>
      <c r="T51" s="2719"/>
      <c r="U51" s="2719"/>
      <c r="V51" s="2719"/>
      <c r="W51" s="2719"/>
      <c r="X51" s="2719"/>
      <c r="Y51" s="2719"/>
      <c r="Z51" s="2719"/>
      <c r="AA51" s="4497" t="s">
        <v>625</v>
      </c>
      <c r="AB51" s="6320" t="s">
        <v>847</v>
      </c>
      <c r="AC51" s="6321"/>
      <c r="AD51" s="6333">
        <f>IF(AR51&lt;&gt;"",ROUND(AR51,0),ROUND(BC23,0))</f>
        <v>0</v>
      </c>
      <c r="AE51" s="6334"/>
      <c r="AF51" s="6334"/>
      <c r="AG51" s="6334"/>
      <c r="AH51" s="6334"/>
      <c r="AI51" s="6335"/>
      <c r="AJ51" s="3350"/>
      <c r="AK51" s="3350"/>
      <c r="AL51" s="3350"/>
      <c r="AM51" s="3350"/>
      <c r="AN51" s="3350"/>
      <c r="AO51" s="3350"/>
      <c r="AP51" s="3350"/>
      <c r="AQ51" s="396"/>
      <c r="AR51" s="3948"/>
      <c r="AS51" s="396"/>
      <c r="AT51" s="396"/>
      <c r="AU51" s="396"/>
      <c r="AX51" s="154"/>
      <c r="AY51" s="1406" t="s">
        <v>862</v>
      </c>
      <c r="AZ51" s="1404">
        <f>IF(D20&lt;&gt;6,AZ48,0)</f>
        <v>0</v>
      </c>
      <c r="BA51"/>
      <c r="BB51" s="1404">
        <f>IF(D21&lt;&gt;6,BB48,0)</f>
        <v>0</v>
      </c>
      <c r="BC51"/>
      <c r="BD51" s="1404">
        <f>IF(D22&lt;&gt;6,BD48,0)</f>
        <v>0</v>
      </c>
      <c r="BG51" s="3742"/>
      <c r="BH51" s="3169"/>
      <c r="BI51" s="3169"/>
      <c r="BJ51" s="3169"/>
      <c r="BK51" s="3169"/>
      <c r="BL51" s="3169"/>
      <c r="BM51" s="3169"/>
      <c r="BN51" s="3169"/>
      <c r="BO51" s="3169"/>
      <c r="BP51" s="3169"/>
    </row>
    <row r="52" spans="1:68" ht="14.25" customHeight="1">
      <c r="A52" s="3350"/>
      <c r="B52" s="6331" t="s">
        <v>54</v>
      </c>
      <c r="C52" s="6332"/>
      <c r="D52" s="3878" t="s">
        <v>849</v>
      </c>
      <c r="E52" s="2719"/>
      <c r="F52" s="2719"/>
      <c r="G52" s="2719"/>
      <c r="H52" s="2719"/>
      <c r="I52" s="2719"/>
      <c r="J52" s="2719"/>
      <c r="K52" s="2719"/>
      <c r="L52" s="2719"/>
      <c r="M52" s="2719"/>
      <c r="N52" s="2719"/>
      <c r="O52" s="2719"/>
      <c r="P52" s="2719"/>
      <c r="Q52" s="2719"/>
      <c r="R52" s="2719"/>
      <c r="S52" s="2719"/>
      <c r="T52" s="2719"/>
      <c r="U52" s="2719"/>
      <c r="V52" s="2719"/>
      <c r="W52" s="2719"/>
      <c r="X52" s="2719"/>
      <c r="Y52" s="2719"/>
      <c r="Z52" s="2719"/>
      <c r="AA52" s="4497" t="s">
        <v>682</v>
      </c>
      <c r="AB52" s="6320" t="s">
        <v>848</v>
      </c>
      <c r="AC52" s="6321"/>
      <c r="AD52" s="6333">
        <f>IF(AR52&lt;&gt;"",ROUND(AR52,0),ROUND(BC24,0))</f>
        <v>0</v>
      </c>
      <c r="AE52" s="6334"/>
      <c r="AF52" s="6334"/>
      <c r="AG52" s="6334"/>
      <c r="AH52" s="6334"/>
      <c r="AI52" s="6335"/>
      <c r="AJ52" s="3350"/>
      <c r="AK52" s="3350"/>
      <c r="AL52" s="3350"/>
      <c r="AM52" s="3350"/>
      <c r="AN52" s="3350"/>
      <c r="AO52" s="3350"/>
      <c r="AP52" s="3350"/>
      <c r="AQ52" s="396"/>
      <c r="AR52" s="3948"/>
      <c r="AS52" s="396"/>
      <c r="AT52" s="396"/>
      <c r="AU52" s="396"/>
      <c r="BG52" s="3742"/>
      <c r="BH52" s="3169"/>
      <c r="BI52" s="3169"/>
      <c r="BJ52" s="3169"/>
      <c r="BK52" s="3169"/>
      <c r="BL52" s="3169"/>
      <c r="BM52" s="3169"/>
      <c r="BN52" s="3169"/>
      <c r="BO52" s="3169"/>
      <c r="BP52" s="3169"/>
    </row>
    <row r="53" spans="1:68" ht="14.25" customHeight="1">
      <c r="A53" s="3350"/>
      <c r="B53" s="6331" t="s">
        <v>55</v>
      </c>
      <c r="C53" s="6332"/>
      <c r="D53" s="3878" t="s">
        <v>850</v>
      </c>
      <c r="E53" s="2719"/>
      <c r="F53" s="2719"/>
      <c r="G53" s="2719"/>
      <c r="H53" s="2719"/>
      <c r="I53" s="2719"/>
      <c r="J53" s="2719"/>
      <c r="K53" s="2719"/>
      <c r="L53" s="2719"/>
      <c r="M53" s="2719"/>
      <c r="N53" s="2719"/>
      <c r="O53" s="2719"/>
      <c r="P53" s="2719"/>
      <c r="Q53" s="2719"/>
      <c r="R53" s="2719"/>
      <c r="S53" s="2719"/>
      <c r="T53" s="2719"/>
      <c r="U53" s="2719"/>
      <c r="V53" s="2719"/>
      <c r="W53" s="2719"/>
      <c r="X53" s="2719"/>
      <c r="Y53" s="2719"/>
      <c r="Z53" s="2719"/>
      <c r="AA53" s="4497" t="s">
        <v>667</v>
      </c>
      <c r="AB53" s="6320" t="s">
        <v>853</v>
      </c>
      <c r="AC53" s="6321"/>
      <c r="AD53" s="6333">
        <f>IF(AR53&lt;&gt;"",ROUND(AR53,0),ROUND(SUM(V37,AD37,AJ37),0))</f>
        <v>0</v>
      </c>
      <c r="AE53" s="6334"/>
      <c r="AF53" s="6334"/>
      <c r="AG53" s="6334"/>
      <c r="AH53" s="6334"/>
      <c r="AI53" s="6335"/>
      <c r="AJ53" s="3350"/>
      <c r="AK53" s="3350"/>
      <c r="AL53" s="3350"/>
      <c r="AM53" s="3350"/>
      <c r="AN53" s="3350"/>
      <c r="AO53" s="3350"/>
      <c r="AP53" s="3350"/>
      <c r="AQ53" s="396"/>
      <c r="AR53" s="3948"/>
      <c r="AS53" s="396"/>
      <c r="AT53" s="396"/>
      <c r="AU53" s="396"/>
      <c r="BG53" s="3742"/>
      <c r="BH53" s="3169"/>
      <c r="BI53" s="3169"/>
      <c r="BJ53" s="3169"/>
      <c r="BK53" s="3169"/>
      <c r="BL53" s="3169"/>
      <c r="BM53" s="3169"/>
      <c r="BN53" s="3169"/>
      <c r="BO53" s="3169"/>
      <c r="BP53" s="3169"/>
    </row>
    <row r="54" spans="1:68" ht="14.25" customHeight="1">
      <c r="A54" s="3350"/>
      <c r="B54" s="6331" t="s">
        <v>102</v>
      </c>
      <c r="C54" s="6332"/>
      <c r="D54" s="3878" t="s">
        <v>851</v>
      </c>
      <c r="E54" s="2719"/>
      <c r="F54" s="2719"/>
      <c r="G54" s="2719"/>
      <c r="H54" s="2719"/>
      <c r="I54" s="2719"/>
      <c r="J54" s="2719"/>
      <c r="K54" s="2719"/>
      <c r="L54" s="2719"/>
      <c r="M54" s="2719"/>
      <c r="N54" s="2719"/>
      <c r="O54" s="2719"/>
      <c r="P54" s="2719"/>
      <c r="Q54" s="2719"/>
      <c r="R54" s="2719"/>
      <c r="S54" s="2719"/>
      <c r="T54" s="2719"/>
      <c r="U54" s="2719"/>
      <c r="V54" s="2719"/>
      <c r="W54" s="2719"/>
      <c r="X54" s="2719"/>
      <c r="Y54" s="2719"/>
      <c r="Z54" s="2719"/>
      <c r="AA54" s="4497" t="s">
        <v>667</v>
      </c>
      <c r="AB54" s="6320" t="s">
        <v>854</v>
      </c>
      <c r="AC54" s="6321"/>
      <c r="AD54" s="6333">
        <f>IF(AR54&lt;&gt;"",ROUND(AR54,0),ROUND(SUM(V43,AD43,AJ43),0))</f>
        <v>0</v>
      </c>
      <c r="AE54" s="6334"/>
      <c r="AF54" s="6334"/>
      <c r="AG54" s="6334"/>
      <c r="AH54" s="6334"/>
      <c r="AI54" s="6335"/>
      <c r="AJ54" s="3350"/>
      <c r="AK54" s="3350"/>
      <c r="AL54" s="3350"/>
      <c r="AM54" s="3350"/>
      <c r="AN54" s="3350"/>
      <c r="AO54" s="3350"/>
      <c r="AP54" s="3350"/>
      <c r="AQ54" s="396"/>
      <c r="AR54" s="3948"/>
      <c r="AS54" s="396"/>
      <c r="AT54" s="396"/>
      <c r="AU54" s="396"/>
      <c r="BG54" s="3742"/>
      <c r="BH54" s="3169"/>
      <c r="BI54" s="3169"/>
      <c r="BJ54" s="3169"/>
      <c r="BK54" s="3169"/>
      <c r="BL54" s="3169"/>
      <c r="BM54" s="3169"/>
      <c r="BN54" s="3169"/>
      <c r="BO54" s="3169"/>
      <c r="BP54" s="3169"/>
    </row>
    <row r="55" spans="1:68" ht="14.25" customHeight="1">
      <c r="A55" s="3350"/>
      <c r="B55" s="6331" t="s">
        <v>1201</v>
      </c>
      <c r="C55" s="6332"/>
      <c r="D55" s="3878" t="s">
        <v>852</v>
      </c>
      <c r="E55" s="2719"/>
      <c r="F55" s="2719"/>
      <c r="G55" s="2719"/>
      <c r="H55" s="2719"/>
      <c r="I55" s="2719"/>
      <c r="J55" s="2719"/>
      <c r="K55" s="2719"/>
      <c r="L55" s="2719"/>
      <c r="M55" s="2719"/>
      <c r="N55" s="2719"/>
      <c r="O55" s="2719"/>
      <c r="P55" s="2719"/>
      <c r="Q55" s="2719"/>
      <c r="R55" s="2719"/>
      <c r="S55" s="2719"/>
      <c r="T55" s="2719"/>
      <c r="U55" s="2719"/>
      <c r="V55" s="2719"/>
      <c r="W55" s="2719"/>
      <c r="X55" s="2719"/>
      <c r="Y55" s="2719"/>
      <c r="Z55" s="2719"/>
      <c r="AA55" s="4497" t="s">
        <v>667</v>
      </c>
      <c r="AB55" s="6320" t="s">
        <v>855</v>
      </c>
      <c r="AC55" s="6321"/>
      <c r="AD55" s="6333">
        <f>IF(AR55&lt;&gt;"",ROUND(AR55,0),ROUND(SUM(V45,AD45,AJ45),0))</f>
        <v>0</v>
      </c>
      <c r="AE55" s="6334"/>
      <c r="AF55" s="6334"/>
      <c r="AG55" s="6334"/>
      <c r="AH55" s="6334"/>
      <c r="AI55" s="6335"/>
      <c r="AJ55" s="3350"/>
      <c r="AK55" s="3350"/>
      <c r="AL55" s="3350"/>
      <c r="AM55" s="3350"/>
      <c r="AN55" s="3350"/>
      <c r="AO55" s="3350"/>
      <c r="AP55" s="3350"/>
      <c r="AQ55" s="396"/>
      <c r="AR55" s="3948"/>
      <c r="AS55" s="396"/>
      <c r="AT55" s="396"/>
      <c r="AU55" s="396"/>
      <c r="BG55" s="3742"/>
      <c r="BH55" s="3169"/>
      <c r="BI55" s="3169"/>
      <c r="BJ55" s="3169"/>
      <c r="BK55" s="3169"/>
      <c r="BL55" s="3169"/>
      <c r="BM55" s="3169"/>
      <c r="BN55" s="3169"/>
      <c r="BO55" s="3169"/>
      <c r="BP55" s="3169"/>
    </row>
    <row r="56" spans="1:68" ht="14.25" customHeight="1">
      <c r="A56" s="3350"/>
      <c r="B56" s="6319">
        <v>24</v>
      </c>
      <c r="C56" s="6249"/>
      <c r="D56" s="3878" t="s">
        <v>3129</v>
      </c>
      <c r="E56" s="2719"/>
      <c r="F56" s="2719"/>
      <c r="G56" s="2719"/>
      <c r="H56" s="2719"/>
      <c r="I56" s="2719"/>
      <c r="J56" s="2719"/>
      <c r="K56" s="2719"/>
      <c r="L56" s="2719"/>
      <c r="M56" s="2719"/>
      <c r="N56" s="2719"/>
      <c r="O56" s="2719"/>
      <c r="P56" s="2719"/>
      <c r="Q56" s="2719"/>
      <c r="R56" s="2719"/>
      <c r="S56" s="2719"/>
      <c r="T56" s="2719"/>
      <c r="U56" s="2719"/>
      <c r="V56" s="2719"/>
      <c r="W56" s="2719"/>
      <c r="X56" s="2719"/>
      <c r="Y56" s="2719"/>
      <c r="Z56" s="2719"/>
      <c r="AA56" s="2719"/>
      <c r="AB56" s="2719"/>
      <c r="AC56" s="2719"/>
      <c r="AD56" s="2719"/>
      <c r="AE56" s="2719"/>
      <c r="AF56" s="2719"/>
      <c r="AG56" s="4497" t="s">
        <v>857</v>
      </c>
      <c r="AH56" s="6336">
        <v>24</v>
      </c>
      <c r="AI56" s="6337"/>
      <c r="AJ56" s="6338">
        <f>IF(AR56&lt;&gt;"",ROUND(AR56,0),ROUND(SUM(AY48,BA48,BC48),0))</f>
        <v>0</v>
      </c>
      <c r="AK56" s="6339"/>
      <c r="AL56" s="6339"/>
      <c r="AM56" s="6339"/>
      <c r="AN56" s="6339"/>
      <c r="AO56" s="6339"/>
      <c r="AP56" s="3350"/>
      <c r="AQ56" s="396"/>
      <c r="AR56" s="3948"/>
      <c r="AS56" s="396"/>
      <c r="AT56" s="396"/>
      <c r="AU56" s="396"/>
      <c r="BG56" s="3742"/>
      <c r="BH56" s="3169"/>
      <c r="BI56" s="3169"/>
      <c r="BJ56" s="3169"/>
      <c r="BK56" s="3169"/>
      <c r="BL56" s="3169"/>
      <c r="BM56" s="3169"/>
      <c r="BN56" s="3169"/>
      <c r="BO56" s="3169"/>
      <c r="BP56" s="3169"/>
    </row>
    <row r="57" spans="1:68" ht="14.25" customHeight="1">
      <c r="A57" s="3350"/>
      <c r="B57" s="6319">
        <v>25</v>
      </c>
      <c r="C57" s="6249"/>
      <c r="D57" s="3901" t="s">
        <v>3130</v>
      </c>
      <c r="E57" s="2719"/>
      <c r="F57" s="2719"/>
      <c r="G57" s="2719"/>
      <c r="H57" s="2719"/>
      <c r="I57" s="2719"/>
      <c r="J57" s="2719"/>
      <c r="K57" s="2719"/>
      <c r="L57" s="2719"/>
      <c r="M57" s="2719"/>
      <c r="N57" s="2719"/>
      <c r="O57" s="2719"/>
      <c r="P57" s="2719"/>
      <c r="Q57" s="2719"/>
      <c r="R57" s="2719"/>
      <c r="S57" s="2719"/>
      <c r="T57" s="2719"/>
      <c r="U57" s="2719"/>
      <c r="V57" s="2719"/>
      <c r="W57" s="2719"/>
      <c r="X57" s="2719"/>
      <c r="Y57" s="2719"/>
      <c r="Z57" s="2719"/>
      <c r="AA57" s="2719"/>
      <c r="AB57" s="2719"/>
      <c r="AC57" s="2719"/>
      <c r="AD57" s="2719"/>
      <c r="AE57" s="2719"/>
      <c r="AF57" s="2719"/>
      <c r="AG57" s="2719"/>
      <c r="AH57" s="6320">
        <v>25</v>
      </c>
      <c r="AI57" s="6321"/>
      <c r="AJ57" s="3953" t="s">
        <v>1147</v>
      </c>
      <c r="AK57" s="6322">
        <f>-AK58</f>
        <v>0</v>
      </c>
      <c r="AL57" s="6323"/>
      <c r="AM57" s="6323"/>
      <c r="AN57" s="6323"/>
      <c r="AO57" s="3954" t="s">
        <v>1148</v>
      </c>
      <c r="AP57" s="3350"/>
      <c r="AQ57" s="396"/>
      <c r="AR57" s="3948"/>
      <c r="AS57" s="396"/>
      <c r="AT57" s="396"/>
      <c r="AU57" s="396"/>
      <c r="BG57" s="3742"/>
      <c r="BH57" s="3169"/>
      <c r="BI57" s="3169"/>
      <c r="BJ57" s="3169"/>
      <c r="BK57" s="3169"/>
      <c r="BL57" s="3169"/>
      <c r="BM57" s="3169"/>
      <c r="BN57" s="3169"/>
      <c r="BO57" s="3169"/>
      <c r="BP57" s="3169"/>
    </row>
    <row r="58" spans="1:68" ht="14.25" customHeight="1">
      <c r="A58" s="3350"/>
      <c r="B58" s="6319">
        <v>26</v>
      </c>
      <c r="C58" s="6249"/>
      <c r="D58" s="3878" t="s">
        <v>4084</v>
      </c>
      <c r="E58" s="2719"/>
      <c r="F58" s="2719"/>
      <c r="G58" s="2719"/>
      <c r="H58" s="2719"/>
      <c r="I58" s="2719"/>
      <c r="J58" s="2719"/>
      <c r="K58" s="2719"/>
      <c r="L58" s="2719"/>
      <c r="M58" s="2719"/>
      <c r="N58" s="2719"/>
      <c r="O58" s="2719"/>
      <c r="P58" s="2719"/>
      <c r="Q58" s="2719"/>
      <c r="R58" s="2719"/>
      <c r="S58" s="2719"/>
      <c r="T58" s="3605"/>
      <c r="U58" s="3899"/>
      <c r="V58" s="3900"/>
      <c r="W58" s="3900"/>
      <c r="X58" s="3900"/>
      <c r="Y58" s="3900"/>
      <c r="Z58" s="3900"/>
      <c r="AA58" s="3900"/>
      <c r="AB58" s="3900"/>
      <c r="AC58" s="3900"/>
      <c r="AD58" s="3900"/>
      <c r="AE58" s="3900"/>
      <c r="AF58" s="3900"/>
      <c r="AG58" s="3900"/>
      <c r="AH58" s="3902"/>
      <c r="AI58" s="3903"/>
      <c r="AJ58" s="3900"/>
      <c r="AK58" s="6330">
        <f>IF(AND(AR57&lt;&gt;"",AR57&gt;=0),-ROUND(AR57,0),IF(AND(AR57&lt;&gt;"",AR57&lt;0),ROUND(AR57,0),SUM(AZ49,AZ50,BB49,BB50,BD49,BD50)))</f>
        <v>0</v>
      </c>
      <c r="AL58" s="6330"/>
      <c r="AM58" s="6330"/>
      <c r="AN58" s="6330"/>
      <c r="AO58" s="3900"/>
      <c r="AP58" s="3350"/>
      <c r="AQ58" s="396"/>
      <c r="AR58" s="396"/>
      <c r="AS58" s="396"/>
      <c r="AT58" s="396"/>
      <c r="AU58" s="396"/>
      <c r="BG58" s="3742"/>
      <c r="BH58" s="3169"/>
      <c r="BI58" s="3169"/>
      <c r="BJ58" s="3169"/>
      <c r="BK58" s="3169"/>
      <c r="BL58" s="3169"/>
      <c r="BM58" s="3169"/>
      <c r="BN58" s="3169"/>
      <c r="BO58" s="3169"/>
      <c r="BP58" s="3169"/>
    </row>
    <row r="59" spans="1:68" ht="14.25" customHeight="1">
      <c r="A59" s="3350"/>
      <c r="B59" s="6319"/>
      <c r="C59" s="6249"/>
      <c r="D59" s="3878" t="s">
        <v>3131</v>
      </c>
      <c r="E59" s="2719"/>
      <c r="F59" s="2719"/>
      <c r="G59" s="2719"/>
      <c r="H59" s="2719"/>
      <c r="I59" s="2719"/>
      <c r="J59" s="2719"/>
      <c r="K59" s="2719"/>
      <c r="L59" s="2719"/>
      <c r="M59" s="2719"/>
      <c r="N59" s="2719"/>
      <c r="O59" s="2719"/>
      <c r="P59" s="2719"/>
      <c r="Q59" s="2719"/>
      <c r="R59" s="2719"/>
      <c r="S59" s="2719"/>
      <c r="T59" s="3605"/>
      <c r="U59" s="3899"/>
      <c r="V59" s="3900"/>
      <c r="W59" s="3900"/>
      <c r="X59" s="3900"/>
      <c r="Y59" s="3900"/>
      <c r="Z59" s="3900"/>
      <c r="AA59" s="3900"/>
      <c r="AB59" s="3900"/>
      <c r="AC59" s="3900"/>
      <c r="AD59" s="3900"/>
      <c r="AE59" s="3900"/>
      <c r="AF59" s="3900"/>
      <c r="AG59" s="3900"/>
      <c r="AH59" s="3904"/>
      <c r="AI59" s="3905"/>
      <c r="AJ59" s="3900"/>
      <c r="AK59" s="3900"/>
      <c r="AL59" s="3900"/>
      <c r="AM59" s="3900"/>
      <c r="AN59" s="3900"/>
      <c r="AO59" s="3900"/>
      <c r="AP59" s="3350"/>
      <c r="AQ59" s="396"/>
      <c r="AR59" s="396"/>
      <c r="AS59" s="396"/>
      <c r="AT59" s="396"/>
      <c r="AU59" s="396"/>
      <c r="BG59" s="3742"/>
      <c r="BH59" s="3169"/>
      <c r="BI59" s="3169"/>
      <c r="BJ59" s="3169"/>
      <c r="BK59" s="3169"/>
      <c r="BL59" s="3169"/>
      <c r="BM59" s="3169"/>
      <c r="BN59" s="3169"/>
      <c r="BO59" s="3169"/>
      <c r="BP59" s="3169"/>
    </row>
    <row r="60" spans="1:68" ht="14.25" customHeight="1">
      <c r="A60" s="3350"/>
      <c r="B60" s="6319"/>
      <c r="C60" s="6249"/>
      <c r="D60" s="3878" t="s">
        <v>3132</v>
      </c>
      <c r="E60" s="2719"/>
      <c r="F60" s="2719"/>
      <c r="G60" s="2719"/>
      <c r="H60" s="2719"/>
      <c r="I60" s="2719"/>
      <c r="J60" s="2719"/>
      <c r="K60" s="2719"/>
      <c r="L60" s="2719"/>
      <c r="M60" s="2719"/>
      <c r="N60" s="2719"/>
      <c r="O60" s="2719"/>
      <c r="P60" s="2719"/>
      <c r="Q60" s="2719"/>
      <c r="R60" s="2719"/>
      <c r="S60" s="2719"/>
      <c r="T60" s="3605"/>
      <c r="U60" s="3899"/>
      <c r="V60" s="3900"/>
      <c r="W60" s="3900"/>
      <c r="X60" s="3900"/>
      <c r="Y60" s="3900"/>
      <c r="Z60" s="3900"/>
      <c r="AA60" s="3900"/>
      <c r="AB60" s="3900"/>
      <c r="AC60" s="3900"/>
      <c r="AD60" s="3900"/>
      <c r="AE60" s="3900"/>
      <c r="AF60" s="3900"/>
      <c r="AG60" s="3900"/>
      <c r="AH60" s="3904"/>
      <c r="AI60" s="3905"/>
      <c r="AJ60" s="3900"/>
      <c r="AK60" s="3900"/>
      <c r="AL60" s="3900"/>
      <c r="AM60" s="3900"/>
      <c r="AN60" s="3900"/>
      <c r="AO60" s="3900"/>
      <c r="AP60" s="3350"/>
      <c r="AQ60" s="396"/>
      <c r="AR60" s="396"/>
      <c r="AS60" s="396"/>
      <c r="AT60" s="396"/>
      <c r="AU60" s="396"/>
      <c r="BG60" s="3742"/>
      <c r="BH60" s="3169"/>
      <c r="BI60" s="3169"/>
      <c r="BJ60" s="3169"/>
      <c r="BK60" s="3169"/>
      <c r="BL60" s="3169"/>
      <c r="BM60" s="3169"/>
      <c r="BN60" s="3169"/>
      <c r="BO60" s="3169"/>
      <c r="BP60" s="3169"/>
    </row>
    <row r="61" spans="1:68" ht="14.25" customHeight="1" thickBot="1">
      <c r="A61" s="3350"/>
      <c r="B61" s="3906"/>
      <c r="C61" s="3907"/>
      <c r="D61" s="3908" t="s">
        <v>3133</v>
      </c>
      <c r="E61" s="3909"/>
      <c r="F61" s="3909"/>
      <c r="G61" s="3909"/>
      <c r="H61" s="3909"/>
      <c r="I61" s="3909"/>
      <c r="J61" s="3909"/>
      <c r="K61" s="3909"/>
      <c r="L61" s="3909"/>
      <c r="M61" s="3909"/>
      <c r="N61" s="3909"/>
      <c r="O61" s="3909"/>
      <c r="P61" s="3909"/>
      <c r="Q61" s="3909"/>
      <c r="R61" s="3909"/>
      <c r="S61" s="3909"/>
      <c r="T61" s="3909"/>
      <c r="U61" s="3909"/>
      <c r="V61" s="3909"/>
      <c r="W61" s="3909"/>
      <c r="X61" s="3909"/>
      <c r="Y61" s="3909"/>
      <c r="Z61" s="3909"/>
      <c r="AA61" s="3909"/>
      <c r="AB61" s="3910"/>
      <c r="AC61" s="3911"/>
      <c r="AD61" s="3912"/>
      <c r="AE61" s="3912"/>
      <c r="AF61" s="3912"/>
      <c r="AG61" s="4499" t="s">
        <v>635</v>
      </c>
      <c r="AH61" s="6324">
        <v>26</v>
      </c>
      <c r="AI61" s="6325"/>
      <c r="AJ61" s="6326">
        <f>IF(AR61&lt;&gt;"",ROUND(AR61,0),SUM(AJ56,AK58))</f>
        <v>0</v>
      </c>
      <c r="AK61" s="6327"/>
      <c r="AL61" s="6327"/>
      <c r="AM61" s="6327"/>
      <c r="AN61" s="6327"/>
      <c r="AO61" s="6327"/>
      <c r="AP61" s="3350"/>
      <c r="AQ61" s="396"/>
      <c r="AR61" s="3941"/>
      <c r="AS61" s="396"/>
      <c r="AT61" s="396"/>
      <c r="AU61" s="396"/>
      <c r="BG61" s="3742"/>
      <c r="BH61" s="3169"/>
      <c r="BI61" s="3169"/>
      <c r="BJ61" s="3169"/>
      <c r="BK61" s="3169"/>
      <c r="BL61" s="3169"/>
      <c r="BM61" s="3169"/>
      <c r="BN61" s="3169"/>
      <c r="BO61" s="3169"/>
      <c r="BP61" s="3169"/>
    </row>
    <row r="62" spans="1:68" ht="14.25" customHeight="1">
      <c r="A62" s="3350"/>
      <c r="B62" s="3871" t="s">
        <v>1295</v>
      </c>
      <c r="C62" s="3898"/>
      <c r="D62" s="3878"/>
      <c r="E62" s="2719"/>
      <c r="F62" s="2719"/>
      <c r="G62" s="2719"/>
      <c r="H62" s="2719"/>
      <c r="I62" s="2719"/>
      <c r="J62" s="2719"/>
      <c r="K62" s="2719"/>
      <c r="L62" s="2719"/>
      <c r="M62" s="2719"/>
      <c r="N62" s="2719"/>
      <c r="O62" s="2719"/>
      <c r="P62" s="2719"/>
      <c r="Q62" s="2719"/>
      <c r="R62" s="2719"/>
      <c r="S62" s="2719"/>
      <c r="T62" s="2719"/>
      <c r="U62" s="2719"/>
      <c r="V62" s="2719"/>
      <c r="W62" s="2719"/>
      <c r="X62" s="2719"/>
      <c r="Y62" s="2719" t="s">
        <v>837</v>
      </c>
      <c r="Z62" s="2719"/>
      <c r="AA62" s="2719"/>
      <c r="AB62" s="3605"/>
      <c r="AC62" s="3899"/>
      <c r="AD62" s="3900"/>
      <c r="AE62" s="3900"/>
      <c r="AF62" s="3900"/>
      <c r="AG62" s="3900"/>
      <c r="AH62" s="3900"/>
      <c r="AI62" s="3900"/>
      <c r="AJ62" s="1443"/>
      <c r="AK62" s="1443"/>
      <c r="AL62" s="1443"/>
      <c r="AM62" s="1443"/>
      <c r="AN62" s="1443"/>
      <c r="AO62" s="3913" t="str">
        <f>"Schedule E (Form 1040) "&amp;TaxYear</f>
        <v>Schedule E (Form 1040) 2018</v>
      </c>
      <c r="AP62" s="3350"/>
      <c r="AQ62" s="396"/>
      <c r="AR62" s="396"/>
      <c r="AS62" s="396"/>
      <c r="AT62" s="396"/>
      <c r="AU62" s="396"/>
      <c r="BG62" s="3742"/>
      <c r="BH62" s="3169"/>
      <c r="BI62" s="3169"/>
      <c r="BJ62" s="3169"/>
      <c r="BK62" s="3169"/>
      <c r="BL62" s="3169"/>
      <c r="BM62" s="3169"/>
      <c r="BN62" s="3169"/>
      <c r="BO62" s="3169"/>
      <c r="BP62" s="3169"/>
    </row>
    <row r="63" spans="1:68" ht="21" customHeight="1">
      <c r="A63" s="3350"/>
      <c r="B63" s="3376" t="s">
        <v>3134</v>
      </c>
      <c r="C63" s="1936"/>
      <c r="D63" s="1936"/>
      <c r="E63" s="1936"/>
      <c r="F63" s="1936"/>
      <c r="G63" s="1936"/>
      <c r="H63" s="1936"/>
      <c r="I63" s="3934"/>
      <c r="J63" s="1936"/>
      <c r="K63" s="1936"/>
      <c r="L63" s="1936"/>
      <c r="M63" s="1936"/>
      <c r="N63" s="1936"/>
      <c r="O63" s="1936"/>
      <c r="P63" s="3935"/>
      <c r="Q63" s="1936"/>
      <c r="R63" s="1936"/>
      <c r="S63" s="1936"/>
      <c r="T63" s="1936"/>
      <c r="U63" s="1936"/>
      <c r="V63" s="1936"/>
      <c r="W63" s="1936"/>
      <c r="X63" s="1936"/>
      <c r="Y63" s="1936"/>
      <c r="Z63" s="1936"/>
      <c r="AA63" s="3376" t="s">
        <v>550</v>
      </c>
      <c r="AB63" s="1936"/>
      <c r="AC63" s="1936"/>
      <c r="AD63" s="1936"/>
      <c r="AE63" s="1936"/>
      <c r="AF63" s="1936"/>
      <c r="AG63" s="3917">
        <v>13</v>
      </c>
      <c r="AH63" s="1936"/>
      <c r="AI63" s="1936"/>
      <c r="AJ63" s="1936"/>
      <c r="AK63" s="1936"/>
      <c r="AL63" s="1936"/>
      <c r="AM63" s="1936"/>
      <c r="AN63" s="1936"/>
      <c r="AO63" s="3918" t="s">
        <v>182</v>
      </c>
      <c r="AP63" s="3350"/>
      <c r="BG63" s="3742"/>
      <c r="BH63" s="3169"/>
      <c r="BI63" s="3169"/>
      <c r="BJ63" s="3169"/>
      <c r="BK63" s="3169"/>
      <c r="BL63" s="3169"/>
      <c r="BM63" s="3169"/>
      <c r="BN63" s="3169"/>
      <c r="BO63" s="3169"/>
      <c r="BP63" s="3169"/>
    </row>
    <row r="64" spans="1:68" ht="12.75" customHeight="1">
      <c r="A64" s="3350"/>
      <c r="B64" s="1450" t="s">
        <v>5101</v>
      </c>
      <c r="C64" s="1443"/>
      <c r="D64" s="1443"/>
      <c r="E64" s="1443"/>
      <c r="F64" s="1443"/>
      <c r="G64" s="1443"/>
      <c r="H64" s="1607" t="s">
        <v>5102</v>
      </c>
      <c r="I64" s="1443"/>
      <c r="J64" s="1443"/>
      <c r="K64" s="1443"/>
      <c r="L64" s="1443"/>
      <c r="M64" s="1443"/>
      <c r="N64" s="1443"/>
      <c r="O64" s="1443"/>
      <c r="P64" s="1443"/>
      <c r="Q64" s="1443"/>
      <c r="R64" s="1443"/>
      <c r="S64" s="1443"/>
      <c r="T64" s="1443"/>
      <c r="U64" s="1443"/>
      <c r="V64" s="1443"/>
      <c r="W64" s="1443"/>
      <c r="X64" s="1443"/>
      <c r="Y64" s="1443"/>
      <c r="Z64" s="1443"/>
      <c r="AA64" s="1443"/>
      <c r="AB64" s="1443"/>
      <c r="AC64" s="1443"/>
      <c r="AD64" s="1443"/>
      <c r="AE64" s="1443"/>
      <c r="AF64" s="6328" t="s">
        <v>99</v>
      </c>
      <c r="AG64" s="6329"/>
      <c r="AH64" s="6329"/>
      <c r="AI64" s="6329"/>
      <c r="AJ64" s="6329"/>
      <c r="AK64" s="6329"/>
      <c r="AL64" s="6329"/>
      <c r="AM64" s="6329"/>
      <c r="AN64" s="6329"/>
      <c r="AO64" s="6329"/>
      <c r="AP64" s="3350"/>
      <c r="AQ64" s="5283"/>
      <c r="AR64" s="5281" t="b">
        <f>OR(AND(AF65&lt;&gt;"",AF65=AG8),AND(B8&lt;&gt;"",B65&lt;&gt;""))</f>
        <v>0</v>
      </c>
      <c r="BG64" s="3742"/>
      <c r="BH64" s="3169"/>
      <c r="BI64" s="3169"/>
      <c r="BJ64" s="3169"/>
      <c r="BK64" s="3169"/>
      <c r="BL64" s="3169"/>
      <c r="BM64" s="3169"/>
      <c r="BN64" s="3169"/>
      <c r="BO64" s="3169"/>
      <c r="BP64" s="3169"/>
    </row>
    <row r="65" spans="1:69" ht="16.5" customHeight="1">
      <c r="A65" s="3350"/>
      <c r="B65" s="5666"/>
      <c r="C65" s="5666"/>
      <c r="D65" s="5666"/>
      <c r="E65" s="5666"/>
      <c r="F65" s="5666"/>
      <c r="G65" s="5666"/>
      <c r="H65" s="5666"/>
      <c r="I65" s="5666"/>
      <c r="J65" s="5666"/>
      <c r="K65" s="5666"/>
      <c r="L65" s="5666"/>
      <c r="M65" s="5666"/>
      <c r="N65" s="5666"/>
      <c r="O65" s="5666"/>
      <c r="P65" s="5666"/>
      <c r="Q65" s="5666"/>
      <c r="R65" s="5666"/>
      <c r="S65" s="5666"/>
      <c r="T65" s="5666"/>
      <c r="U65" s="5666"/>
      <c r="V65" s="5666"/>
      <c r="W65" s="5666"/>
      <c r="X65" s="5666"/>
      <c r="Y65" s="5666"/>
      <c r="Z65" s="5666"/>
      <c r="AA65" s="5666"/>
      <c r="AB65" s="5666"/>
      <c r="AC65" s="5666"/>
      <c r="AD65" s="5666"/>
      <c r="AE65" s="5667"/>
      <c r="AF65" s="5403"/>
      <c r="AG65" s="6309"/>
      <c r="AH65" s="6309"/>
      <c r="AI65" s="6309"/>
      <c r="AJ65" s="6309"/>
      <c r="AK65" s="6309"/>
      <c r="AL65" s="6309"/>
      <c r="AM65" s="6309"/>
      <c r="AN65" s="6309"/>
      <c r="AO65" s="6309"/>
      <c r="AP65" s="3757"/>
      <c r="AQ65" s="5282" t="str">
        <f>IF($AR64,"Hide emphasis.","")</f>
        <v/>
      </c>
      <c r="AR65" s="5282"/>
      <c r="BG65" s="3742"/>
      <c r="BH65" s="3169"/>
      <c r="BI65" s="3169"/>
      <c r="BJ65" s="3169"/>
      <c r="BK65" s="3169"/>
      <c r="BL65" s="3169"/>
      <c r="BM65" s="3169"/>
      <c r="BN65" s="3169"/>
      <c r="BO65" s="3169"/>
      <c r="BP65" s="3169"/>
    </row>
    <row r="66" spans="1:69" ht="15" customHeight="1">
      <c r="A66" s="3350"/>
      <c r="B66" s="3269" t="s">
        <v>3135</v>
      </c>
      <c r="C66" s="1443"/>
      <c r="D66" s="1443"/>
      <c r="E66" s="1443"/>
      <c r="F66" s="1443"/>
      <c r="G66" s="1443"/>
      <c r="H66" s="1443"/>
      <c r="I66" s="1443"/>
      <c r="J66" s="1443"/>
      <c r="K66" s="1443"/>
      <c r="L66" s="1443"/>
      <c r="M66" s="1443"/>
      <c r="N66" s="1443"/>
      <c r="O66" s="1443"/>
      <c r="P66" s="1443"/>
      <c r="Q66" s="1443"/>
      <c r="R66" s="1443"/>
      <c r="S66" s="1443"/>
      <c r="T66" s="1443"/>
      <c r="U66" s="1443"/>
      <c r="V66" s="1443"/>
      <c r="W66" s="1443"/>
      <c r="X66" s="1443"/>
      <c r="Y66" s="1443"/>
      <c r="Z66" s="1443"/>
      <c r="AA66" s="1443"/>
      <c r="AB66" s="1443"/>
      <c r="AC66" s="1443"/>
      <c r="AD66" s="1443"/>
      <c r="AE66" s="1443"/>
      <c r="AF66" s="1443"/>
      <c r="AG66" s="1443"/>
      <c r="AH66" s="1443"/>
      <c r="AI66" s="1443"/>
      <c r="AJ66" s="1443"/>
      <c r="AK66" s="1443"/>
      <c r="AL66" s="1443"/>
      <c r="AM66" s="1443"/>
      <c r="AN66" s="1443"/>
      <c r="AO66" s="1443"/>
      <c r="AP66" s="3350"/>
      <c r="BG66" s="3742"/>
      <c r="BH66" s="3169"/>
      <c r="BI66" s="3169"/>
      <c r="BJ66" s="3169"/>
      <c r="BK66" s="3169"/>
      <c r="BL66" s="3169"/>
      <c r="BM66" s="3169"/>
      <c r="BN66" s="3169"/>
      <c r="BO66" s="3169"/>
      <c r="BP66" s="3169"/>
    </row>
    <row r="67" spans="1:69" s="3272" customFormat="1" ht="17.25" customHeight="1">
      <c r="A67" s="3351"/>
      <c r="B67" s="6207" t="s">
        <v>130</v>
      </c>
      <c r="C67" s="6207"/>
      <c r="D67" s="6208"/>
      <c r="E67" s="1750"/>
      <c r="F67" s="3868" t="s">
        <v>3136</v>
      </c>
      <c r="G67" s="1750"/>
      <c r="H67" s="1750"/>
      <c r="I67" s="1750"/>
      <c r="J67" s="1750"/>
      <c r="K67" s="1750"/>
      <c r="L67" s="1750"/>
      <c r="M67" s="1750"/>
      <c r="N67" s="1750"/>
      <c r="O67" s="1750"/>
      <c r="P67" s="1750"/>
      <c r="Q67" s="1750"/>
      <c r="R67" s="1750"/>
      <c r="S67" s="1750"/>
      <c r="T67" s="1750"/>
      <c r="U67" s="1750"/>
      <c r="V67" s="1750"/>
      <c r="W67" s="1750"/>
      <c r="X67" s="3869"/>
      <c r="Y67" s="1750"/>
      <c r="Z67" s="1750"/>
      <c r="AA67" s="1750"/>
      <c r="AB67" s="1750"/>
      <c r="AC67" s="1750"/>
      <c r="AD67" s="1750"/>
      <c r="AE67" s="1750"/>
      <c r="AF67" s="1750"/>
      <c r="AG67" s="1750"/>
      <c r="AH67" s="1750"/>
      <c r="AI67" s="1750"/>
      <c r="AJ67" s="1750"/>
      <c r="AK67" s="1750"/>
      <c r="AL67" s="1750"/>
      <c r="AM67" s="1750"/>
      <c r="AN67" s="1750"/>
      <c r="AO67" s="1750"/>
      <c r="AP67" s="3350"/>
      <c r="AX67" s="46"/>
      <c r="AY67" s="46"/>
      <c r="AZ67" s="46"/>
      <c r="BA67" s="46"/>
      <c r="BB67" s="46"/>
      <c r="BC67" s="46"/>
      <c r="BD67" s="46"/>
      <c r="BG67" s="3742"/>
      <c r="BH67" s="3169"/>
      <c r="BI67" s="3169"/>
      <c r="BJ67" s="3169"/>
      <c r="BK67" s="3169"/>
      <c r="BL67" s="3169"/>
      <c r="BM67" s="3169"/>
      <c r="BN67" s="3169"/>
      <c r="BO67" s="3169"/>
      <c r="BP67" s="3169"/>
      <c r="BQ67" s="4351"/>
    </row>
    <row r="68" spans="1:69" ht="12.75" customHeight="1">
      <c r="A68" s="3350"/>
      <c r="B68" s="1443"/>
      <c r="C68" s="1443"/>
      <c r="D68" s="1443"/>
      <c r="E68" s="1443"/>
      <c r="F68" s="1607" t="s">
        <v>4085</v>
      </c>
      <c r="G68" s="1443"/>
      <c r="H68" s="1443"/>
      <c r="I68" s="1443"/>
      <c r="J68" s="1443"/>
      <c r="K68" s="1443"/>
      <c r="L68" s="1443"/>
      <c r="M68" s="1443"/>
      <c r="N68" s="1443"/>
      <c r="O68" s="1443"/>
      <c r="P68" s="1443"/>
      <c r="Q68" s="1443"/>
      <c r="R68" s="1443"/>
      <c r="S68" s="1443"/>
      <c r="T68" s="1443"/>
      <c r="U68" s="1443"/>
      <c r="V68" s="1443"/>
      <c r="W68" s="1443"/>
      <c r="X68" s="1443"/>
      <c r="Y68" s="1443"/>
      <c r="Z68" s="1443"/>
      <c r="AA68" s="1443"/>
      <c r="AB68" s="1443"/>
      <c r="AC68" s="1443"/>
      <c r="AD68" s="1443"/>
      <c r="AE68" s="1443"/>
      <c r="AF68" s="1443"/>
      <c r="AG68" s="1443"/>
      <c r="AH68" s="1443"/>
      <c r="AI68" s="1443"/>
      <c r="AJ68" s="1443"/>
      <c r="AK68" s="1443"/>
      <c r="AL68" s="1443"/>
      <c r="AM68" s="1443"/>
      <c r="AN68" s="1443"/>
      <c r="AO68" s="1443"/>
      <c r="AP68" s="3350"/>
      <c r="BG68" s="3742"/>
      <c r="BH68" s="3169"/>
      <c r="BI68" s="3169"/>
      <c r="BJ68" s="3169"/>
      <c r="BK68" s="3169"/>
      <c r="BL68" s="3169"/>
      <c r="BM68" s="3169"/>
      <c r="BN68" s="3169"/>
      <c r="BO68" s="3169"/>
      <c r="BP68" s="3169"/>
    </row>
    <row r="69" spans="1:69" ht="12.75" customHeight="1">
      <c r="A69" s="3350"/>
      <c r="B69" s="1443"/>
      <c r="C69" s="1443"/>
      <c r="D69" s="1443"/>
      <c r="E69" s="1443"/>
      <c r="F69" s="1607" t="s">
        <v>3137</v>
      </c>
      <c r="G69" s="1443"/>
      <c r="H69" s="1443"/>
      <c r="I69" s="1443"/>
      <c r="J69" s="1443"/>
      <c r="K69" s="1443"/>
      <c r="L69" s="1443"/>
      <c r="M69" s="1443"/>
      <c r="N69" s="1443"/>
      <c r="O69" s="1443"/>
      <c r="P69" s="1443"/>
      <c r="Q69" s="1443"/>
      <c r="R69" s="1443"/>
      <c r="S69" s="1443"/>
      <c r="T69" s="1443"/>
      <c r="U69" s="1443"/>
      <c r="V69" s="1443"/>
      <c r="W69" s="1443"/>
      <c r="X69" s="1443"/>
      <c r="Y69" s="1443"/>
      <c r="Z69" s="1443"/>
      <c r="AA69" s="1443"/>
      <c r="AB69" s="1443"/>
      <c r="AC69" s="1443"/>
      <c r="AD69" s="1443"/>
      <c r="AE69" s="1443"/>
      <c r="AF69" s="1443"/>
      <c r="AG69" s="1443"/>
      <c r="AH69" s="1443"/>
      <c r="AI69" s="1443"/>
      <c r="AJ69" s="1443"/>
      <c r="AK69" s="1443"/>
      <c r="AL69" s="1443"/>
      <c r="AM69" s="1443"/>
      <c r="AN69" s="1443"/>
      <c r="AO69" s="1443"/>
      <c r="AP69" s="3350"/>
      <c r="AX69" s="3272"/>
      <c r="AY69" s="3272"/>
      <c r="AZ69" s="3272"/>
      <c r="BA69" s="3272"/>
      <c r="BB69" s="3272"/>
      <c r="BC69" s="3272"/>
      <c r="BD69" s="3272"/>
      <c r="BG69" s="3742"/>
      <c r="BH69" s="3169"/>
      <c r="BI69" s="3169"/>
      <c r="BJ69" s="3169"/>
      <c r="BK69" s="3169"/>
      <c r="BL69" s="3169"/>
      <c r="BM69" s="3169"/>
      <c r="BN69" s="3169"/>
      <c r="BO69" s="3169"/>
      <c r="BP69" s="3169"/>
    </row>
    <row r="70" spans="1:69" ht="12.75" customHeight="1">
      <c r="A70" s="3350"/>
      <c r="B70" s="1936"/>
      <c r="C70" s="1936"/>
      <c r="D70" s="1936"/>
      <c r="E70" s="1936"/>
      <c r="F70" s="2128" t="s">
        <v>3138</v>
      </c>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6"/>
      <c r="AJ70" s="1936"/>
      <c r="AK70" s="1936"/>
      <c r="AL70" s="1936"/>
      <c r="AM70" s="1936"/>
      <c r="AN70" s="1936"/>
      <c r="AO70" s="1936"/>
      <c r="AP70" s="3350"/>
      <c r="BG70" s="3742"/>
      <c r="BH70" s="3169"/>
      <c r="BI70" s="3169"/>
      <c r="BJ70" s="3169"/>
      <c r="BK70" s="3169"/>
      <c r="BL70" s="3169"/>
      <c r="BM70" s="3169"/>
      <c r="BN70" s="3169"/>
      <c r="BO70" s="3169"/>
      <c r="BP70" s="3169"/>
    </row>
    <row r="71" spans="1:69" ht="18.75" customHeight="1">
      <c r="A71" s="3350"/>
      <c r="B71" s="6236">
        <v>27</v>
      </c>
      <c r="C71" s="5527"/>
      <c r="D71" s="1443"/>
      <c r="E71" s="3269" t="s">
        <v>1296</v>
      </c>
      <c r="F71" s="1607"/>
      <c r="G71" s="1443"/>
      <c r="H71" s="1443"/>
      <c r="I71" s="1443"/>
      <c r="J71" s="1443"/>
      <c r="K71" s="1443"/>
      <c r="L71" s="1443"/>
      <c r="M71" s="1443"/>
      <c r="N71" s="1443"/>
      <c r="O71" s="1443"/>
      <c r="P71" s="1443"/>
      <c r="Q71" s="1443"/>
      <c r="R71" s="1443"/>
      <c r="S71" s="1443"/>
      <c r="T71" s="1443"/>
      <c r="U71" s="1443"/>
      <c r="V71" s="1443"/>
      <c r="W71" s="1443"/>
      <c r="X71" s="1443"/>
      <c r="Y71" s="1443"/>
      <c r="Z71" s="1443"/>
      <c r="AA71" s="1443"/>
      <c r="AB71" s="1443"/>
      <c r="AC71" s="1443"/>
      <c r="AD71" s="1443"/>
      <c r="AE71" s="1443"/>
      <c r="AF71" s="1443"/>
      <c r="AG71" s="1443"/>
      <c r="AH71" s="1443"/>
      <c r="AI71" s="1443"/>
      <c r="AJ71" s="1443"/>
      <c r="AK71" s="1443"/>
      <c r="AL71" s="1443"/>
      <c r="AM71" s="1443"/>
      <c r="AN71" s="1443"/>
      <c r="AO71" s="1443"/>
      <c r="AP71" s="3350"/>
      <c r="BG71" s="3742"/>
      <c r="BH71" s="3169"/>
      <c r="BI71" s="3169"/>
      <c r="BJ71" s="3169"/>
      <c r="BK71" s="3169"/>
      <c r="BL71" s="3169"/>
      <c r="BM71" s="3169"/>
      <c r="BN71" s="3169"/>
      <c r="BO71" s="3169"/>
      <c r="BP71" s="3169"/>
    </row>
    <row r="72" spans="1:69" ht="12.75" customHeight="1">
      <c r="A72" s="3350"/>
      <c r="B72" s="3605"/>
      <c r="C72" s="2118"/>
      <c r="D72" s="1443"/>
      <c r="E72" s="3269" t="s">
        <v>1297</v>
      </c>
      <c r="F72" s="1607"/>
      <c r="G72" s="1443"/>
      <c r="H72" s="1443"/>
      <c r="I72" s="1443"/>
      <c r="J72" s="1443"/>
      <c r="K72" s="1443"/>
      <c r="L72" s="1443"/>
      <c r="M72" s="1443"/>
      <c r="N72" s="1443"/>
      <c r="O72" s="1443"/>
      <c r="P72" s="1443"/>
      <c r="Q72" s="1443"/>
      <c r="R72" s="1443"/>
      <c r="S72" s="1443"/>
      <c r="T72" s="1443"/>
      <c r="U72" s="1443"/>
      <c r="V72" s="1443"/>
      <c r="W72" s="1443"/>
      <c r="X72" s="1443"/>
      <c r="Y72" s="1443"/>
      <c r="Z72" s="1443"/>
      <c r="AA72" s="1443"/>
      <c r="AB72" s="1443"/>
      <c r="AC72" s="1443"/>
      <c r="AD72" s="1443"/>
      <c r="AE72" s="1443"/>
      <c r="AF72" s="1443"/>
      <c r="AG72" s="1443"/>
      <c r="AH72" s="1443"/>
      <c r="AI72" s="1443"/>
      <c r="AJ72" s="1443"/>
      <c r="AK72" s="1443"/>
      <c r="AL72" s="1443"/>
      <c r="AM72" s="1443"/>
      <c r="AN72" s="1443"/>
      <c r="AO72" s="1443"/>
      <c r="AP72" s="3350"/>
      <c r="BG72" s="3742"/>
      <c r="BH72" s="3169"/>
      <c r="BI72" s="3169"/>
      <c r="BJ72" s="3169"/>
      <c r="BK72" s="3169"/>
      <c r="BL72" s="3169"/>
      <c r="BM72" s="3169"/>
      <c r="BN72" s="3169"/>
      <c r="BO72" s="3169"/>
      <c r="BP72" s="3169"/>
    </row>
    <row r="73" spans="1:69" ht="12.75" customHeight="1">
      <c r="A73" s="3350"/>
      <c r="B73" s="1443"/>
      <c r="C73" s="1443"/>
      <c r="D73" s="1443"/>
      <c r="E73" s="3269" t="s">
        <v>2488</v>
      </c>
      <c r="F73" s="1607"/>
      <c r="G73" s="1443"/>
      <c r="H73" s="1443"/>
      <c r="I73" s="1443"/>
      <c r="J73" s="1443"/>
      <c r="K73" s="1443"/>
      <c r="L73" s="1443"/>
      <c r="M73" s="1443"/>
      <c r="N73" s="1443"/>
      <c r="O73" s="1443"/>
      <c r="P73" s="1443"/>
      <c r="Q73" s="1443"/>
      <c r="R73" s="1443"/>
      <c r="S73" s="1443"/>
      <c r="T73" s="1443"/>
      <c r="U73" s="1443"/>
      <c r="V73" s="1443"/>
      <c r="W73" s="1443"/>
      <c r="X73" s="1443"/>
      <c r="Y73" s="1443"/>
      <c r="Z73" s="1443"/>
      <c r="AA73" s="1443"/>
      <c r="AB73" s="1443"/>
      <c r="AC73" s="1443"/>
      <c r="AD73" s="1443"/>
      <c r="AE73" s="1443"/>
      <c r="AF73" s="1443"/>
      <c r="AG73" s="1443"/>
      <c r="AH73" s="1443"/>
      <c r="AI73" s="1443"/>
      <c r="AJ73" s="1444"/>
      <c r="AK73" s="3380" t="s">
        <v>3118</v>
      </c>
      <c r="AL73" s="2850"/>
      <c r="AM73" s="1444"/>
      <c r="AN73" s="3380" t="s">
        <v>596</v>
      </c>
      <c r="AO73" s="2850"/>
      <c r="AP73" s="3350"/>
      <c r="BG73" s="3742"/>
      <c r="BH73" s="3169"/>
      <c r="BI73" s="3169"/>
      <c r="BJ73" s="3169"/>
      <c r="BK73" s="3169"/>
      <c r="BL73" s="3169"/>
      <c r="BM73" s="3169"/>
      <c r="BN73" s="3169"/>
      <c r="BO73" s="3169"/>
      <c r="BP73" s="3169"/>
    </row>
    <row r="74" spans="1:69" ht="4.5" customHeight="1">
      <c r="A74" s="3350"/>
      <c r="B74" s="1936"/>
      <c r="C74" s="1936"/>
      <c r="D74" s="1936"/>
      <c r="E74" s="1936"/>
      <c r="F74" s="2128"/>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6"/>
      <c r="AJ74" s="1936"/>
      <c r="AK74" s="1936"/>
      <c r="AL74" s="1936"/>
      <c r="AM74" s="1936"/>
      <c r="AN74" s="1936"/>
      <c r="AO74" s="1936"/>
      <c r="AP74" s="3350"/>
      <c r="BG74" s="3742"/>
      <c r="BH74" s="3169"/>
      <c r="BI74" s="3169"/>
      <c r="BJ74" s="3169"/>
      <c r="BK74" s="3169"/>
      <c r="BL74" s="3169"/>
      <c r="BM74" s="3169"/>
      <c r="BN74" s="3169"/>
      <c r="BO74" s="3169"/>
      <c r="BP74" s="3169"/>
    </row>
    <row r="75" spans="1:69" ht="12.75" customHeight="1">
      <c r="A75" s="3350"/>
      <c r="B75" s="1443"/>
      <c r="C75" s="1443"/>
      <c r="D75" s="1443"/>
      <c r="E75" s="1443"/>
      <c r="F75" s="1607"/>
      <c r="G75" s="1443"/>
      <c r="H75" s="1443"/>
      <c r="I75" s="1443"/>
      <c r="J75" s="1443"/>
      <c r="K75" s="1443"/>
      <c r="L75" s="1443"/>
      <c r="M75" s="1443"/>
      <c r="N75" s="1443"/>
      <c r="O75" s="6310" t="s">
        <v>3140</v>
      </c>
      <c r="P75" s="6311"/>
      <c r="Q75" s="6311"/>
      <c r="R75" s="6311"/>
      <c r="S75" s="6312"/>
      <c r="T75" s="6310" t="s">
        <v>3141</v>
      </c>
      <c r="U75" s="6311"/>
      <c r="V75" s="6311"/>
      <c r="W75" s="6311"/>
      <c r="X75" s="6312"/>
      <c r="Y75" s="6310" t="s">
        <v>3142</v>
      </c>
      <c r="Z75" s="6311"/>
      <c r="AA75" s="6311"/>
      <c r="AB75" s="6311"/>
      <c r="AC75" s="6311"/>
      <c r="AD75" s="6311"/>
      <c r="AE75" s="6312"/>
      <c r="AF75" s="6310" t="s">
        <v>3144</v>
      </c>
      <c r="AG75" s="6311"/>
      <c r="AH75" s="6311"/>
      <c r="AI75" s="6311"/>
      <c r="AJ75" s="6312"/>
      <c r="AK75" s="6310" t="s">
        <v>3143</v>
      </c>
      <c r="AL75" s="6311"/>
      <c r="AM75" s="6311"/>
      <c r="AN75" s="6311"/>
      <c r="AO75" s="6311"/>
      <c r="AP75" s="3350"/>
      <c r="BG75" s="3742"/>
      <c r="BH75" s="3169"/>
      <c r="BI75" s="3169"/>
      <c r="BJ75" s="3169"/>
      <c r="BK75" s="3169"/>
      <c r="BL75" s="3169"/>
      <c r="BM75" s="3169"/>
      <c r="BN75" s="3169"/>
      <c r="BO75" s="3169"/>
      <c r="BP75" s="3169"/>
    </row>
    <row r="76" spans="1:69" ht="12.75" customHeight="1">
      <c r="A76" s="3350"/>
      <c r="B76" s="6236">
        <v>28</v>
      </c>
      <c r="C76" s="5527"/>
      <c r="D76" s="1443"/>
      <c r="E76" s="1443"/>
      <c r="F76" s="1443"/>
      <c r="G76" s="1443"/>
      <c r="H76" s="1607" t="s">
        <v>3139</v>
      </c>
      <c r="I76" s="1443"/>
      <c r="J76" s="1443"/>
      <c r="K76" s="1443"/>
      <c r="L76" s="1443"/>
      <c r="M76" s="1443"/>
      <c r="N76" s="1443"/>
      <c r="O76" s="6313"/>
      <c r="P76" s="6314"/>
      <c r="Q76" s="6314"/>
      <c r="R76" s="6314"/>
      <c r="S76" s="6315"/>
      <c r="T76" s="6313"/>
      <c r="U76" s="6314"/>
      <c r="V76" s="6314"/>
      <c r="W76" s="6314"/>
      <c r="X76" s="6315"/>
      <c r="Y76" s="6313"/>
      <c r="Z76" s="6314"/>
      <c r="AA76" s="6314"/>
      <c r="AB76" s="6314"/>
      <c r="AC76" s="6314"/>
      <c r="AD76" s="6314"/>
      <c r="AE76" s="6315"/>
      <c r="AF76" s="6313"/>
      <c r="AG76" s="6314"/>
      <c r="AH76" s="6314"/>
      <c r="AI76" s="6314"/>
      <c r="AJ76" s="6315"/>
      <c r="AK76" s="6313"/>
      <c r="AL76" s="6314"/>
      <c r="AM76" s="6314"/>
      <c r="AN76" s="6314"/>
      <c r="AO76" s="6314"/>
      <c r="AP76" s="3350"/>
      <c r="BG76" s="3742"/>
      <c r="BH76" s="3169"/>
      <c r="BI76" s="3169"/>
      <c r="BJ76" s="3169"/>
      <c r="BK76" s="3169"/>
      <c r="BL76" s="3169"/>
      <c r="BM76" s="3169"/>
      <c r="BN76" s="3169"/>
      <c r="BO76" s="3169"/>
      <c r="BP76" s="3169"/>
    </row>
    <row r="77" spans="1:69" ht="12.75" customHeight="1">
      <c r="A77" s="3350"/>
      <c r="B77" s="1936"/>
      <c r="C77" s="1936"/>
      <c r="D77" s="1936"/>
      <c r="E77" s="1936"/>
      <c r="F77" s="1936"/>
      <c r="G77" s="1936"/>
      <c r="H77" s="1936"/>
      <c r="I77" s="1936"/>
      <c r="J77" s="1936"/>
      <c r="K77" s="1936"/>
      <c r="L77" s="1936"/>
      <c r="M77" s="1936"/>
      <c r="N77" s="1936"/>
      <c r="O77" s="6316"/>
      <c r="P77" s="6317"/>
      <c r="Q77" s="6317"/>
      <c r="R77" s="6317"/>
      <c r="S77" s="6318"/>
      <c r="T77" s="6316"/>
      <c r="U77" s="6317"/>
      <c r="V77" s="6317"/>
      <c r="W77" s="6317"/>
      <c r="X77" s="6318"/>
      <c r="Y77" s="6316"/>
      <c r="Z77" s="6317"/>
      <c r="AA77" s="6317"/>
      <c r="AB77" s="6317"/>
      <c r="AC77" s="6317"/>
      <c r="AD77" s="6317"/>
      <c r="AE77" s="6318"/>
      <c r="AF77" s="6316"/>
      <c r="AG77" s="6317"/>
      <c r="AH77" s="6317"/>
      <c r="AI77" s="6317"/>
      <c r="AJ77" s="6318"/>
      <c r="AK77" s="6316"/>
      <c r="AL77" s="6317"/>
      <c r="AM77" s="6317"/>
      <c r="AN77" s="6317"/>
      <c r="AO77" s="6317"/>
      <c r="AP77" s="3350"/>
      <c r="BG77" s="3742"/>
      <c r="BH77" s="3169"/>
      <c r="BI77" s="3169"/>
      <c r="BJ77" s="3169"/>
      <c r="BK77" s="3169"/>
      <c r="BL77" s="3169"/>
      <c r="BM77" s="3169"/>
      <c r="BN77" s="3169"/>
      <c r="BO77" s="3169"/>
      <c r="BP77" s="3169"/>
    </row>
    <row r="78" spans="1:69" ht="13.5" customHeight="1">
      <c r="A78" s="3350"/>
      <c r="B78" s="3921" t="s">
        <v>159</v>
      </c>
      <c r="C78" s="6298"/>
      <c r="D78" s="6299"/>
      <c r="E78" s="6299"/>
      <c r="F78" s="6299"/>
      <c r="G78" s="6299"/>
      <c r="H78" s="6299"/>
      <c r="I78" s="6299"/>
      <c r="J78" s="6299"/>
      <c r="K78" s="6299"/>
      <c r="L78" s="6299"/>
      <c r="M78" s="6299"/>
      <c r="N78" s="6300"/>
      <c r="O78" s="5349"/>
      <c r="P78" s="6301"/>
      <c r="Q78" s="6301"/>
      <c r="R78" s="6301"/>
      <c r="S78" s="6302"/>
      <c r="T78" s="3919"/>
      <c r="U78" s="1937"/>
      <c r="V78" s="1444"/>
      <c r="W78" s="1937"/>
      <c r="X78" s="3920"/>
      <c r="Y78" s="6197"/>
      <c r="Z78" s="6198"/>
      <c r="AA78" s="6198"/>
      <c r="AB78" s="6198"/>
      <c r="AC78" s="6198"/>
      <c r="AD78" s="6198"/>
      <c r="AE78" s="6199"/>
      <c r="AF78" s="3919"/>
      <c r="AG78" s="1937"/>
      <c r="AH78" s="1444"/>
      <c r="AI78" s="1937"/>
      <c r="AJ78" s="3920"/>
      <c r="AK78" s="3919"/>
      <c r="AL78" s="1937"/>
      <c r="AM78" s="1444"/>
      <c r="AN78" s="1937"/>
      <c r="AO78" s="1937"/>
      <c r="AP78" s="3350"/>
      <c r="BG78" s="3742"/>
      <c r="BH78" s="3169"/>
      <c r="BI78" s="3169"/>
      <c r="BJ78" s="3169"/>
      <c r="BK78" s="3169"/>
      <c r="BL78" s="3169"/>
      <c r="BM78" s="3169"/>
      <c r="BN78" s="3169"/>
      <c r="BO78" s="3169"/>
      <c r="BP78" s="3169"/>
    </row>
    <row r="79" spans="1:69" ht="13.5" customHeight="1">
      <c r="A79" s="3350"/>
      <c r="B79" s="3921" t="s">
        <v>327</v>
      </c>
      <c r="C79" s="6298"/>
      <c r="D79" s="6299"/>
      <c r="E79" s="6299"/>
      <c r="F79" s="6299"/>
      <c r="G79" s="6299"/>
      <c r="H79" s="6299"/>
      <c r="I79" s="6299"/>
      <c r="J79" s="6299"/>
      <c r="K79" s="6299"/>
      <c r="L79" s="6299"/>
      <c r="M79" s="6299"/>
      <c r="N79" s="6300"/>
      <c r="O79" s="5349"/>
      <c r="P79" s="6301"/>
      <c r="Q79" s="6301"/>
      <c r="R79" s="6301"/>
      <c r="S79" s="6302"/>
      <c r="T79" s="3919"/>
      <c r="U79" s="1937"/>
      <c r="V79" s="1444"/>
      <c r="W79" s="1937"/>
      <c r="X79" s="3920"/>
      <c r="Y79" s="6197"/>
      <c r="Z79" s="6198"/>
      <c r="AA79" s="6198"/>
      <c r="AB79" s="6198"/>
      <c r="AC79" s="6198"/>
      <c r="AD79" s="6198"/>
      <c r="AE79" s="6199"/>
      <c r="AF79" s="3919"/>
      <c r="AG79" s="1937"/>
      <c r="AH79" s="1444"/>
      <c r="AI79" s="1937"/>
      <c r="AJ79" s="3920"/>
      <c r="AK79" s="3919"/>
      <c r="AL79" s="1937"/>
      <c r="AM79" s="1444"/>
      <c r="AN79" s="1937"/>
      <c r="AO79" s="1937"/>
      <c r="AP79" s="3350"/>
      <c r="BG79" s="3742"/>
      <c r="BH79" s="3169"/>
      <c r="BI79" s="3169"/>
      <c r="BJ79" s="3169"/>
      <c r="BK79" s="3169"/>
      <c r="BL79" s="3169"/>
      <c r="BM79" s="3169"/>
      <c r="BN79" s="3169"/>
      <c r="BO79" s="3169"/>
      <c r="BP79" s="3169"/>
    </row>
    <row r="80" spans="1:69" ht="13.5" customHeight="1">
      <c r="A80" s="3350"/>
      <c r="B80" s="3921" t="s">
        <v>160</v>
      </c>
      <c r="C80" s="6298"/>
      <c r="D80" s="6299"/>
      <c r="E80" s="6299"/>
      <c r="F80" s="6299"/>
      <c r="G80" s="6299"/>
      <c r="H80" s="6299"/>
      <c r="I80" s="6299"/>
      <c r="J80" s="6299"/>
      <c r="K80" s="6299"/>
      <c r="L80" s="6299"/>
      <c r="M80" s="6299"/>
      <c r="N80" s="6300"/>
      <c r="O80" s="5349"/>
      <c r="P80" s="6301"/>
      <c r="Q80" s="6301"/>
      <c r="R80" s="6301"/>
      <c r="S80" s="6302"/>
      <c r="T80" s="3919"/>
      <c r="U80" s="1937"/>
      <c r="V80" s="1444"/>
      <c r="W80" s="1937"/>
      <c r="X80" s="3920"/>
      <c r="Y80" s="6197"/>
      <c r="Z80" s="6198"/>
      <c r="AA80" s="6198"/>
      <c r="AB80" s="6198"/>
      <c r="AC80" s="6198"/>
      <c r="AD80" s="6198"/>
      <c r="AE80" s="6199"/>
      <c r="AF80" s="3919"/>
      <c r="AG80" s="1937"/>
      <c r="AH80" s="1444"/>
      <c r="AI80" s="1937"/>
      <c r="AJ80" s="3920"/>
      <c r="AK80" s="3919"/>
      <c r="AL80" s="1937"/>
      <c r="AM80" s="1444"/>
      <c r="AN80" s="1937"/>
      <c r="AO80" s="1937"/>
      <c r="AP80" s="3350"/>
      <c r="BG80" s="3742"/>
      <c r="BH80" s="3169"/>
      <c r="BI80" s="3169"/>
      <c r="BJ80" s="3169"/>
      <c r="BK80" s="3169"/>
      <c r="BL80" s="3169"/>
      <c r="BM80" s="3169"/>
      <c r="BN80" s="3169"/>
      <c r="BO80" s="3169"/>
      <c r="BP80" s="3169"/>
    </row>
    <row r="81" spans="1:69" ht="13.5" customHeight="1">
      <c r="A81" s="3350"/>
      <c r="B81" s="3921" t="s">
        <v>329</v>
      </c>
      <c r="C81" s="6298"/>
      <c r="D81" s="6299"/>
      <c r="E81" s="6299"/>
      <c r="F81" s="6299"/>
      <c r="G81" s="6299"/>
      <c r="H81" s="6299"/>
      <c r="I81" s="6299"/>
      <c r="J81" s="6299"/>
      <c r="K81" s="6299"/>
      <c r="L81" s="6299"/>
      <c r="M81" s="6299"/>
      <c r="N81" s="6300"/>
      <c r="O81" s="5349"/>
      <c r="P81" s="6301"/>
      <c r="Q81" s="6301"/>
      <c r="R81" s="6301"/>
      <c r="S81" s="6302"/>
      <c r="T81" s="3919"/>
      <c r="U81" s="1937"/>
      <c r="V81" s="1444"/>
      <c r="W81" s="1937"/>
      <c r="X81" s="3920"/>
      <c r="Y81" s="6197"/>
      <c r="Z81" s="6198"/>
      <c r="AA81" s="6198"/>
      <c r="AB81" s="6198"/>
      <c r="AC81" s="6198"/>
      <c r="AD81" s="6198"/>
      <c r="AE81" s="6199"/>
      <c r="AF81" s="3919"/>
      <c r="AG81" s="1937"/>
      <c r="AH81" s="1444"/>
      <c r="AI81" s="1937"/>
      <c r="AJ81" s="3920"/>
      <c r="AK81" s="3919"/>
      <c r="AL81" s="1937"/>
      <c r="AM81" s="1444"/>
      <c r="AN81" s="1937"/>
      <c r="AO81" s="1937"/>
      <c r="AP81" s="3350"/>
      <c r="BG81" s="3742"/>
      <c r="BH81" s="3169"/>
      <c r="BI81" s="3169"/>
      <c r="BJ81" s="3169"/>
      <c r="BK81" s="3169"/>
      <c r="BL81" s="3169"/>
      <c r="BM81" s="3169"/>
      <c r="BN81" s="3169"/>
      <c r="BO81" s="3169"/>
      <c r="BP81" s="3169"/>
    </row>
    <row r="82" spans="1:69" ht="17.25" customHeight="1">
      <c r="A82" s="3350"/>
      <c r="B82" s="6183" t="s">
        <v>838</v>
      </c>
      <c r="C82" s="6303"/>
      <c r="D82" s="6303"/>
      <c r="E82" s="6303"/>
      <c r="F82" s="6303"/>
      <c r="G82" s="6303"/>
      <c r="H82" s="6303"/>
      <c r="I82" s="6303"/>
      <c r="J82" s="6303"/>
      <c r="K82" s="6303"/>
      <c r="L82" s="6303"/>
      <c r="M82" s="6303"/>
      <c r="N82" s="6303"/>
      <c r="O82" s="6303"/>
      <c r="P82" s="6303"/>
      <c r="Q82" s="6303"/>
      <c r="R82" s="5849"/>
      <c r="S82" s="6275" t="s">
        <v>839</v>
      </c>
      <c r="T82" s="6304"/>
      <c r="U82" s="6304"/>
      <c r="V82" s="6304"/>
      <c r="W82" s="6304"/>
      <c r="X82" s="6304"/>
      <c r="Y82" s="6304"/>
      <c r="Z82" s="6304"/>
      <c r="AA82" s="6304"/>
      <c r="AB82" s="6304"/>
      <c r="AC82" s="6304"/>
      <c r="AD82" s="6304"/>
      <c r="AE82" s="6304"/>
      <c r="AF82" s="6304"/>
      <c r="AG82" s="6304"/>
      <c r="AH82" s="6304"/>
      <c r="AI82" s="6304"/>
      <c r="AJ82" s="6304"/>
      <c r="AK82" s="6304"/>
      <c r="AL82" s="6304"/>
      <c r="AM82" s="6304"/>
      <c r="AN82" s="6304"/>
      <c r="AO82" s="6304"/>
      <c r="AP82" s="3350"/>
      <c r="BG82" s="3742"/>
      <c r="BH82" s="3169"/>
      <c r="BI82" s="3169"/>
      <c r="BJ82" s="3169"/>
      <c r="BK82" s="3169"/>
      <c r="BL82" s="3169"/>
      <c r="BM82" s="3169"/>
      <c r="BN82" s="3169"/>
      <c r="BO82" s="3169"/>
      <c r="BP82" s="3169"/>
    </row>
    <row r="83" spans="1:69" ht="12.75" customHeight="1">
      <c r="A83" s="3350"/>
      <c r="B83" s="1957"/>
      <c r="C83" s="6305" t="s">
        <v>3145</v>
      </c>
      <c r="D83" s="6228"/>
      <c r="E83" s="6228"/>
      <c r="F83" s="6228"/>
      <c r="G83" s="6228"/>
      <c r="H83" s="6228"/>
      <c r="I83" s="6228"/>
      <c r="J83" s="6229"/>
      <c r="K83" s="6227" t="s">
        <v>3146</v>
      </c>
      <c r="L83" s="6228"/>
      <c r="M83" s="6228"/>
      <c r="N83" s="6228"/>
      <c r="O83" s="6228"/>
      <c r="P83" s="6228"/>
      <c r="Q83" s="6228"/>
      <c r="R83" s="6228"/>
      <c r="S83" s="6306" t="s">
        <v>3147</v>
      </c>
      <c r="T83" s="6228"/>
      <c r="U83" s="6228"/>
      <c r="V83" s="6228"/>
      <c r="W83" s="6228"/>
      <c r="X83" s="6228"/>
      <c r="Y83" s="6229"/>
      <c r="Z83" s="6227" t="s">
        <v>3148</v>
      </c>
      <c r="AA83" s="6228"/>
      <c r="AB83" s="6228"/>
      <c r="AC83" s="6228"/>
      <c r="AD83" s="6228"/>
      <c r="AE83" s="6228"/>
      <c r="AF83" s="6228"/>
      <c r="AG83" s="6229"/>
      <c r="AH83" s="6227" t="s">
        <v>3149</v>
      </c>
      <c r="AI83" s="6228"/>
      <c r="AJ83" s="6228"/>
      <c r="AK83" s="6228"/>
      <c r="AL83" s="6228"/>
      <c r="AM83" s="6228"/>
      <c r="AN83" s="6228"/>
      <c r="AO83" s="6228"/>
      <c r="AP83" s="3350"/>
      <c r="BG83" s="3742"/>
      <c r="BH83" s="3169"/>
      <c r="BI83" s="3169"/>
      <c r="BJ83" s="3169"/>
      <c r="BK83" s="3169"/>
      <c r="BL83" s="3169"/>
      <c r="BM83" s="3169"/>
      <c r="BN83" s="3169"/>
      <c r="BO83" s="3169"/>
      <c r="BP83" s="3169"/>
    </row>
    <row r="84" spans="1:69" ht="12.75" customHeight="1">
      <c r="A84" s="3350"/>
      <c r="B84" s="1443"/>
      <c r="C84" s="6231"/>
      <c r="D84" s="6231"/>
      <c r="E84" s="6231"/>
      <c r="F84" s="6231"/>
      <c r="G84" s="6231"/>
      <c r="H84" s="6231"/>
      <c r="I84" s="6231"/>
      <c r="J84" s="6232"/>
      <c r="K84" s="6230"/>
      <c r="L84" s="6231"/>
      <c r="M84" s="6231"/>
      <c r="N84" s="6231"/>
      <c r="O84" s="6231"/>
      <c r="P84" s="6231"/>
      <c r="Q84" s="6231"/>
      <c r="R84" s="6231"/>
      <c r="S84" s="6307"/>
      <c r="T84" s="6231"/>
      <c r="U84" s="6231"/>
      <c r="V84" s="6231"/>
      <c r="W84" s="6231"/>
      <c r="X84" s="6231"/>
      <c r="Y84" s="6232"/>
      <c r="Z84" s="6230"/>
      <c r="AA84" s="6231"/>
      <c r="AB84" s="6231"/>
      <c r="AC84" s="6231"/>
      <c r="AD84" s="6231"/>
      <c r="AE84" s="6231"/>
      <c r="AF84" s="6231"/>
      <c r="AG84" s="6232"/>
      <c r="AH84" s="6230"/>
      <c r="AI84" s="6231"/>
      <c r="AJ84" s="6231"/>
      <c r="AK84" s="6231"/>
      <c r="AL84" s="6231"/>
      <c r="AM84" s="6231"/>
      <c r="AN84" s="6231"/>
      <c r="AO84" s="6231"/>
      <c r="AP84" s="3350"/>
      <c r="BG84" s="3742"/>
      <c r="BH84" s="3169"/>
      <c r="BI84" s="3169"/>
      <c r="BJ84" s="3169"/>
      <c r="BK84" s="3169"/>
      <c r="BL84" s="3169"/>
      <c r="BM84" s="3169"/>
      <c r="BN84" s="3169"/>
      <c r="BO84" s="3169"/>
      <c r="BP84" s="3169"/>
    </row>
    <row r="85" spans="1:69" ht="12.75" customHeight="1">
      <c r="A85" s="3350"/>
      <c r="B85" s="1936"/>
      <c r="C85" s="6234"/>
      <c r="D85" s="6234"/>
      <c r="E85" s="6234"/>
      <c r="F85" s="6234"/>
      <c r="G85" s="6234"/>
      <c r="H85" s="6234"/>
      <c r="I85" s="6234"/>
      <c r="J85" s="6235"/>
      <c r="K85" s="6233"/>
      <c r="L85" s="6234"/>
      <c r="M85" s="6234"/>
      <c r="N85" s="6234"/>
      <c r="O85" s="6234"/>
      <c r="P85" s="6234"/>
      <c r="Q85" s="6234"/>
      <c r="R85" s="6234"/>
      <c r="S85" s="6308"/>
      <c r="T85" s="6234"/>
      <c r="U85" s="6234"/>
      <c r="V85" s="6234"/>
      <c r="W85" s="6234"/>
      <c r="X85" s="6234"/>
      <c r="Y85" s="6235"/>
      <c r="Z85" s="6233"/>
      <c r="AA85" s="6234"/>
      <c r="AB85" s="6234"/>
      <c r="AC85" s="6234"/>
      <c r="AD85" s="6234"/>
      <c r="AE85" s="6234"/>
      <c r="AF85" s="6234"/>
      <c r="AG85" s="6235"/>
      <c r="AH85" s="6233"/>
      <c r="AI85" s="6234"/>
      <c r="AJ85" s="6234"/>
      <c r="AK85" s="6234"/>
      <c r="AL85" s="6234"/>
      <c r="AM85" s="6234"/>
      <c r="AN85" s="6234"/>
      <c r="AO85" s="6234"/>
      <c r="AP85" s="3350"/>
      <c r="BG85" s="3742"/>
      <c r="BH85" s="3169"/>
      <c r="BI85" s="3169"/>
      <c r="BJ85" s="3169"/>
      <c r="BK85" s="3169"/>
      <c r="BL85" s="3169"/>
      <c r="BM85" s="3169"/>
      <c r="BN85" s="3169"/>
      <c r="BO85" s="3169"/>
      <c r="BP85" s="3169"/>
    </row>
    <row r="86" spans="1:69" ht="13.5" customHeight="1">
      <c r="A86" s="3350"/>
      <c r="B86" s="3922" t="s">
        <v>159</v>
      </c>
      <c r="C86" s="6201"/>
      <c r="D86" s="6202"/>
      <c r="E86" s="6202"/>
      <c r="F86" s="6202"/>
      <c r="G86" s="6202"/>
      <c r="H86" s="6202"/>
      <c r="I86" s="6202"/>
      <c r="J86" s="6203"/>
      <c r="K86" s="6201"/>
      <c r="L86" s="6202"/>
      <c r="M86" s="6202"/>
      <c r="N86" s="6202"/>
      <c r="O86" s="6202"/>
      <c r="P86" s="6202"/>
      <c r="Q86" s="6202"/>
      <c r="R86" s="6297"/>
      <c r="S86" s="6201"/>
      <c r="T86" s="6202"/>
      <c r="U86" s="6202"/>
      <c r="V86" s="6202"/>
      <c r="W86" s="6202"/>
      <c r="X86" s="6202"/>
      <c r="Y86" s="6202"/>
      <c r="Z86" s="6201"/>
      <c r="AA86" s="6202"/>
      <c r="AB86" s="6202"/>
      <c r="AC86" s="6202"/>
      <c r="AD86" s="6202"/>
      <c r="AE86" s="6202"/>
      <c r="AF86" s="6202"/>
      <c r="AG86" s="6203"/>
      <c r="AH86" s="6201"/>
      <c r="AI86" s="6202"/>
      <c r="AJ86" s="6202"/>
      <c r="AK86" s="6202"/>
      <c r="AL86" s="6202"/>
      <c r="AM86" s="6202"/>
      <c r="AN86" s="6202"/>
      <c r="AO86" s="6202"/>
      <c r="AP86" s="3350"/>
      <c r="BG86" s="3742"/>
      <c r="BH86" s="3169"/>
      <c r="BI86" s="3169"/>
      <c r="BJ86" s="3169"/>
      <c r="BK86" s="3169"/>
      <c r="BL86" s="3169"/>
      <c r="BM86" s="3169"/>
      <c r="BN86" s="3169"/>
      <c r="BO86" s="3169"/>
      <c r="BP86" s="3169"/>
    </row>
    <row r="87" spans="1:69" ht="13.5" customHeight="1">
      <c r="A87" s="3350"/>
      <c r="B87" s="3921" t="s">
        <v>327</v>
      </c>
      <c r="C87" s="6201"/>
      <c r="D87" s="6202"/>
      <c r="E87" s="6202"/>
      <c r="F87" s="6202"/>
      <c r="G87" s="6202"/>
      <c r="H87" s="6202"/>
      <c r="I87" s="6202"/>
      <c r="J87" s="6203"/>
      <c r="K87" s="6201"/>
      <c r="L87" s="6202"/>
      <c r="M87" s="6202"/>
      <c r="N87" s="6202"/>
      <c r="O87" s="6202"/>
      <c r="P87" s="6202"/>
      <c r="Q87" s="6202"/>
      <c r="R87" s="6297"/>
      <c r="S87" s="6201"/>
      <c r="T87" s="6202"/>
      <c r="U87" s="6202"/>
      <c r="V87" s="6202"/>
      <c r="W87" s="6202"/>
      <c r="X87" s="6202"/>
      <c r="Y87" s="6202"/>
      <c r="Z87" s="6201"/>
      <c r="AA87" s="6202"/>
      <c r="AB87" s="6202"/>
      <c r="AC87" s="6202"/>
      <c r="AD87" s="6202"/>
      <c r="AE87" s="6202"/>
      <c r="AF87" s="6202"/>
      <c r="AG87" s="6203"/>
      <c r="AH87" s="6201"/>
      <c r="AI87" s="6202"/>
      <c r="AJ87" s="6202"/>
      <c r="AK87" s="6202"/>
      <c r="AL87" s="6202"/>
      <c r="AM87" s="6202"/>
      <c r="AN87" s="6202"/>
      <c r="AO87" s="6202"/>
      <c r="AP87" s="3350"/>
      <c r="BG87" s="3742"/>
      <c r="BH87" s="3169"/>
      <c r="BI87" s="3169"/>
      <c r="BJ87" s="3169"/>
      <c r="BK87" s="3169"/>
      <c r="BL87" s="3169"/>
      <c r="BM87" s="3169"/>
      <c r="BN87" s="3169"/>
      <c r="BO87" s="3169"/>
      <c r="BP87" s="3169"/>
    </row>
    <row r="88" spans="1:69" ht="13.5" customHeight="1">
      <c r="A88" s="3350"/>
      <c r="B88" s="3921" t="s">
        <v>160</v>
      </c>
      <c r="C88" s="6201"/>
      <c r="D88" s="6202"/>
      <c r="E88" s="6202"/>
      <c r="F88" s="6202"/>
      <c r="G88" s="6202"/>
      <c r="H88" s="6202"/>
      <c r="I88" s="6202"/>
      <c r="J88" s="6203"/>
      <c r="K88" s="6201"/>
      <c r="L88" s="6202"/>
      <c r="M88" s="6202"/>
      <c r="N88" s="6202"/>
      <c r="O88" s="6202"/>
      <c r="P88" s="6202"/>
      <c r="Q88" s="6202"/>
      <c r="R88" s="6297"/>
      <c r="S88" s="6201"/>
      <c r="T88" s="6202"/>
      <c r="U88" s="6202"/>
      <c r="V88" s="6202"/>
      <c r="W88" s="6202"/>
      <c r="X88" s="6202"/>
      <c r="Y88" s="6202"/>
      <c r="Z88" s="6201"/>
      <c r="AA88" s="6202"/>
      <c r="AB88" s="6202"/>
      <c r="AC88" s="6202"/>
      <c r="AD88" s="6202"/>
      <c r="AE88" s="6202"/>
      <c r="AF88" s="6202"/>
      <c r="AG88" s="6203"/>
      <c r="AH88" s="6201"/>
      <c r="AI88" s="6202"/>
      <c r="AJ88" s="6202"/>
      <c r="AK88" s="6202"/>
      <c r="AL88" s="6202"/>
      <c r="AM88" s="6202"/>
      <c r="AN88" s="6202"/>
      <c r="AO88" s="6202"/>
      <c r="AP88" s="3350"/>
      <c r="BG88" s="3742"/>
      <c r="BH88" s="3169"/>
      <c r="BI88" s="3169"/>
      <c r="BJ88" s="3169"/>
      <c r="BK88" s="3169"/>
      <c r="BL88" s="3169"/>
      <c r="BM88" s="3169"/>
      <c r="BN88" s="3169"/>
      <c r="BO88" s="3169"/>
      <c r="BP88" s="3169"/>
    </row>
    <row r="89" spans="1:69" ht="13.5" customHeight="1">
      <c r="A89" s="3350"/>
      <c r="B89" s="3921" t="s">
        <v>329</v>
      </c>
      <c r="C89" s="6201"/>
      <c r="D89" s="6202"/>
      <c r="E89" s="6202"/>
      <c r="F89" s="6202"/>
      <c r="G89" s="6202"/>
      <c r="H89" s="6202"/>
      <c r="I89" s="6202"/>
      <c r="J89" s="6203"/>
      <c r="K89" s="6201"/>
      <c r="L89" s="6202"/>
      <c r="M89" s="6202"/>
      <c r="N89" s="6202"/>
      <c r="O89" s="6202"/>
      <c r="P89" s="6202"/>
      <c r="Q89" s="6202"/>
      <c r="R89" s="6297"/>
      <c r="S89" s="6201"/>
      <c r="T89" s="6202"/>
      <c r="U89" s="6202"/>
      <c r="V89" s="6202"/>
      <c r="W89" s="6202"/>
      <c r="X89" s="6202"/>
      <c r="Y89" s="6202"/>
      <c r="Z89" s="6201"/>
      <c r="AA89" s="6202"/>
      <c r="AB89" s="6202"/>
      <c r="AC89" s="6202"/>
      <c r="AD89" s="6202"/>
      <c r="AE89" s="6202"/>
      <c r="AF89" s="6202"/>
      <c r="AG89" s="6203"/>
      <c r="AH89" s="6201"/>
      <c r="AI89" s="6202"/>
      <c r="AJ89" s="6202"/>
      <c r="AK89" s="6202"/>
      <c r="AL89" s="6202"/>
      <c r="AM89" s="6202"/>
      <c r="AN89" s="6202"/>
      <c r="AO89" s="6202"/>
      <c r="AP89" s="3350"/>
      <c r="BG89" s="3742"/>
      <c r="BH89" s="3169"/>
      <c r="BI89" s="3169"/>
      <c r="BJ89" s="3169"/>
      <c r="BK89" s="3169"/>
      <c r="BL89" s="3169"/>
      <c r="BM89" s="3169"/>
      <c r="BN89" s="3169"/>
      <c r="BO89" s="3169"/>
      <c r="BP89" s="3169"/>
    </row>
    <row r="90" spans="1:69" ht="13.5" customHeight="1">
      <c r="A90" s="3350"/>
      <c r="B90" s="6183" t="s">
        <v>2046</v>
      </c>
      <c r="C90" s="6183"/>
      <c r="D90" s="4498"/>
      <c r="E90" s="4498" t="s">
        <v>3150</v>
      </c>
      <c r="F90" s="1497"/>
      <c r="G90" s="3751"/>
      <c r="H90" s="3751"/>
      <c r="I90" s="3751"/>
      <c r="J90" s="1498"/>
      <c r="K90" s="6237">
        <f>ROUND(SUM(K86:K89),0)</f>
        <v>0</v>
      </c>
      <c r="L90" s="6238"/>
      <c r="M90" s="6238"/>
      <c r="N90" s="6238"/>
      <c r="O90" s="6238"/>
      <c r="P90" s="6238"/>
      <c r="Q90" s="6238"/>
      <c r="R90" s="6239"/>
      <c r="S90" s="6285"/>
      <c r="T90" s="6286"/>
      <c r="U90" s="6286"/>
      <c r="V90" s="6286"/>
      <c r="W90" s="6286"/>
      <c r="X90" s="6286"/>
      <c r="Y90" s="6286"/>
      <c r="Z90" s="3751"/>
      <c r="AA90" s="3751"/>
      <c r="AB90" s="3751"/>
      <c r="AC90" s="3751"/>
      <c r="AD90" s="3751"/>
      <c r="AE90" s="3751"/>
      <c r="AF90" s="3751"/>
      <c r="AG90" s="1498"/>
      <c r="AH90" s="6205">
        <f>ROUND(SUM(AH86:AH89),0)</f>
        <v>0</v>
      </c>
      <c r="AI90" s="6287"/>
      <c r="AJ90" s="6287"/>
      <c r="AK90" s="6287"/>
      <c r="AL90" s="6287"/>
      <c r="AM90" s="6287"/>
      <c r="AN90" s="6287"/>
      <c r="AO90" s="6287"/>
      <c r="AP90" s="3350"/>
      <c r="BG90" s="3742"/>
      <c r="BH90" s="3169"/>
      <c r="BI90" s="3169"/>
      <c r="BJ90" s="3169"/>
      <c r="BK90" s="3169"/>
      <c r="BL90" s="3169"/>
      <c r="BM90" s="3169"/>
      <c r="BN90" s="3169"/>
      <c r="BO90" s="3169"/>
      <c r="BP90" s="3169"/>
    </row>
    <row r="91" spans="1:69" ht="13.5" customHeight="1">
      <c r="A91" s="3350"/>
      <c r="B91" s="6240" t="s">
        <v>54</v>
      </c>
      <c r="C91" s="6240"/>
      <c r="D91" s="3269"/>
      <c r="E91" s="4498" t="s">
        <v>3150</v>
      </c>
      <c r="F91" s="6205">
        <f>ROUND(SUM(C86:C89),0)</f>
        <v>0</v>
      </c>
      <c r="G91" s="6287"/>
      <c r="H91" s="6287"/>
      <c r="I91" s="6287"/>
      <c r="J91" s="6288"/>
      <c r="K91" s="6289"/>
      <c r="L91" s="6290"/>
      <c r="M91" s="6290"/>
      <c r="N91" s="6290"/>
      <c r="O91" s="6290"/>
      <c r="P91" s="6290"/>
      <c r="Q91" s="6290"/>
      <c r="R91" s="6291"/>
      <c r="S91" s="6292">
        <f>ROUND(SUM(S86:S89),0)</f>
        <v>0</v>
      </c>
      <c r="T91" s="6238"/>
      <c r="U91" s="6238"/>
      <c r="V91" s="6238"/>
      <c r="W91" s="6238"/>
      <c r="X91" s="6238"/>
      <c r="Y91" s="6293"/>
      <c r="Z91" s="6294">
        <f>ROUND(SUM(Z86:Z89),0)</f>
        <v>0</v>
      </c>
      <c r="AA91" s="6294"/>
      <c r="AB91" s="6294"/>
      <c r="AC91" s="6294"/>
      <c r="AD91" s="6294"/>
      <c r="AE91" s="6294"/>
      <c r="AF91" s="6294"/>
      <c r="AG91" s="6294"/>
      <c r="AH91" s="6295"/>
      <c r="AI91" s="6295"/>
      <c r="AJ91" s="6295"/>
      <c r="AK91" s="6295"/>
      <c r="AL91" s="6295"/>
      <c r="AM91" s="6295"/>
      <c r="AN91" s="6295"/>
      <c r="AO91" s="6296"/>
      <c r="AP91" s="3350"/>
      <c r="BG91" s="3742"/>
      <c r="BH91" s="3169"/>
      <c r="BI91" s="3169"/>
      <c r="BJ91" s="3169"/>
      <c r="BK91" s="3169"/>
      <c r="BL91" s="3169"/>
      <c r="BM91" s="3169"/>
      <c r="BN91" s="3169"/>
      <c r="BO91" s="3169"/>
      <c r="BP91" s="3169"/>
    </row>
    <row r="92" spans="1:69" ht="12.75" customHeight="1">
      <c r="A92" s="3350"/>
      <c r="B92" s="6178">
        <v>30</v>
      </c>
      <c r="C92" s="6178"/>
      <c r="D92" s="3269" t="s">
        <v>3151</v>
      </c>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4497" t="s">
        <v>492</v>
      </c>
      <c r="AF92" s="6276">
        <v>30</v>
      </c>
      <c r="AG92" s="6277"/>
      <c r="AH92" s="6210">
        <f>SUM(K90,AH90)</f>
        <v>0</v>
      </c>
      <c r="AI92" s="6278"/>
      <c r="AJ92" s="6278"/>
      <c r="AK92" s="6278"/>
      <c r="AL92" s="6278"/>
      <c r="AM92" s="6278"/>
      <c r="AN92" s="6278"/>
      <c r="AO92" s="6278"/>
      <c r="AP92" s="3350"/>
      <c r="AQ92" s="396"/>
      <c r="AR92" s="396"/>
      <c r="AS92" s="396"/>
      <c r="BG92" s="3742"/>
      <c r="BH92" s="3169"/>
      <c r="BI92" s="3169"/>
      <c r="BJ92" s="3169"/>
      <c r="BK92" s="3169"/>
      <c r="BL92" s="3169"/>
      <c r="BM92" s="3169"/>
      <c r="BN92" s="3169"/>
      <c r="BO92" s="3169"/>
      <c r="BP92" s="3169"/>
    </row>
    <row r="93" spans="1:69" ht="12.75" customHeight="1" thickBot="1">
      <c r="A93" s="3350"/>
      <c r="B93" s="6178">
        <v>31</v>
      </c>
      <c r="C93" s="6178"/>
      <c r="D93" s="3269" t="s">
        <v>3152</v>
      </c>
      <c r="E93" s="1443"/>
      <c r="F93" s="1443"/>
      <c r="G93" s="1443"/>
      <c r="H93" s="1443"/>
      <c r="I93" s="1443"/>
      <c r="J93" s="1443"/>
      <c r="K93" s="1443"/>
      <c r="L93" s="1443"/>
      <c r="M93" s="1443"/>
      <c r="N93" s="1443"/>
      <c r="O93" s="1443"/>
      <c r="P93" s="1443"/>
      <c r="Q93" s="1443"/>
      <c r="R93" s="1443"/>
      <c r="S93" s="1443"/>
      <c r="T93" s="1443"/>
      <c r="U93" s="1443"/>
      <c r="V93" s="1443"/>
      <c r="W93" s="1443"/>
      <c r="X93" s="1443"/>
      <c r="Y93" s="1443"/>
      <c r="Z93" s="1443"/>
      <c r="AA93" s="1443"/>
      <c r="AB93" s="1443"/>
      <c r="AC93" s="1443"/>
      <c r="AD93" s="1443"/>
      <c r="AE93" s="4497" t="s">
        <v>104</v>
      </c>
      <c r="AF93" s="6276">
        <v>31</v>
      </c>
      <c r="AG93" s="6277"/>
      <c r="AH93" s="4502" t="s">
        <v>1147</v>
      </c>
      <c r="AI93" s="6279">
        <f>SUM(F91,S91,Z91)</f>
        <v>0</v>
      </c>
      <c r="AJ93" s="6135"/>
      <c r="AK93" s="6135"/>
      <c r="AL93" s="6135"/>
      <c r="AM93" s="6135"/>
      <c r="AN93" s="6135"/>
      <c r="AO93" s="4503" t="s">
        <v>1148</v>
      </c>
      <c r="AP93" s="3350"/>
      <c r="AQ93" s="396"/>
      <c r="AR93" s="2940" t="s">
        <v>101</v>
      </c>
      <c r="AS93" s="396"/>
      <c r="BG93" s="3742"/>
      <c r="BH93" s="3169"/>
      <c r="BI93" s="3169"/>
      <c r="BJ93" s="3169"/>
      <c r="BK93" s="3169"/>
      <c r="BL93" s="3169"/>
      <c r="BM93" s="3169"/>
      <c r="BN93" s="3169"/>
      <c r="BO93" s="3169"/>
      <c r="BP93" s="3169"/>
    </row>
    <row r="94" spans="1:69" ht="12.75" customHeight="1" thickBot="1">
      <c r="A94" s="3350"/>
      <c r="B94" s="6280">
        <v>32</v>
      </c>
      <c r="C94" s="6280"/>
      <c r="D94" s="3288" t="s">
        <v>3153</v>
      </c>
      <c r="E94" s="1612"/>
      <c r="F94" s="1612"/>
      <c r="G94" s="1612"/>
      <c r="H94" s="1612"/>
      <c r="I94" s="1612"/>
      <c r="J94" s="1612"/>
      <c r="K94" s="1612"/>
      <c r="L94" s="1612"/>
      <c r="M94" s="1612"/>
      <c r="N94" s="1612"/>
      <c r="O94" s="1612"/>
      <c r="P94" s="1612"/>
      <c r="Q94" s="1612"/>
      <c r="R94" s="1612"/>
      <c r="S94" s="1612"/>
      <c r="T94" s="1612"/>
      <c r="U94" s="1612"/>
      <c r="V94" s="1612"/>
      <c r="W94" s="1612"/>
      <c r="X94" s="1612"/>
      <c r="Y94" s="1612"/>
      <c r="Z94" s="1612"/>
      <c r="AA94" s="1612"/>
      <c r="AB94" s="1612"/>
      <c r="AC94" s="1612"/>
      <c r="AD94" s="1612"/>
      <c r="AE94" s="4499" t="s">
        <v>856</v>
      </c>
      <c r="AF94" s="6281">
        <v>32</v>
      </c>
      <c r="AG94" s="6282"/>
      <c r="AH94" s="6283">
        <f>IF(AR94&lt;&gt;"",ROUND(AR94,0),SUM(AH92,-AI93))</f>
        <v>0</v>
      </c>
      <c r="AI94" s="6284"/>
      <c r="AJ94" s="6284"/>
      <c r="AK94" s="6284"/>
      <c r="AL94" s="6284"/>
      <c r="AM94" s="6284"/>
      <c r="AN94" s="6284"/>
      <c r="AO94" s="6284"/>
      <c r="AP94" s="3350"/>
      <c r="AQ94" s="396"/>
      <c r="AR94" s="3941"/>
      <c r="AS94" s="396"/>
      <c r="BG94" s="3742"/>
      <c r="BH94" s="3169"/>
      <c r="BI94" s="3169"/>
      <c r="BJ94" s="3169"/>
      <c r="BK94" s="3169"/>
      <c r="BL94" s="3169"/>
      <c r="BM94" s="3169"/>
      <c r="BN94" s="3169"/>
      <c r="BO94" s="3169"/>
      <c r="BP94" s="3169"/>
    </row>
    <row r="95" spans="1:69" s="3272" customFormat="1" ht="17.25" customHeight="1">
      <c r="A95" s="3351"/>
      <c r="B95" s="6260" t="s">
        <v>363</v>
      </c>
      <c r="C95" s="6260"/>
      <c r="D95" s="6261"/>
      <c r="E95" s="1751"/>
      <c r="F95" s="4501" t="s">
        <v>3154</v>
      </c>
      <c r="G95" s="1751"/>
      <c r="H95" s="1751"/>
      <c r="I95" s="1751"/>
      <c r="J95" s="1751"/>
      <c r="K95" s="1751"/>
      <c r="L95" s="1751"/>
      <c r="M95" s="1751"/>
      <c r="N95" s="1751"/>
      <c r="O95" s="1751"/>
      <c r="P95" s="1751"/>
      <c r="Q95" s="1751"/>
      <c r="R95" s="1751"/>
      <c r="S95" s="1751"/>
      <c r="T95" s="1751"/>
      <c r="U95" s="1751"/>
      <c r="V95" s="1751"/>
      <c r="W95" s="1751"/>
      <c r="X95" s="3388"/>
      <c r="Y95" s="1751"/>
      <c r="Z95" s="1751"/>
      <c r="AA95" s="1751"/>
      <c r="AB95" s="1751"/>
      <c r="AC95" s="1751"/>
      <c r="AD95" s="1751"/>
      <c r="AE95" s="1751"/>
      <c r="AF95" s="1751"/>
      <c r="AG95" s="1751"/>
      <c r="AH95" s="1751"/>
      <c r="AI95" s="1751"/>
      <c r="AJ95" s="1751"/>
      <c r="AK95" s="1751"/>
      <c r="AL95" s="1751"/>
      <c r="AM95" s="1751"/>
      <c r="AN95" s="1751"/>
      <c r="AO95" s="1751"/>
      <c r="AP95" s="3350"/>
      <c r="AQ95" s="396"/>
      <c r="AR95" s="396"/>
      <c r="AS95" s="396"/>
      <c r="AX95" s="46"/>
      <c r="AY95" s="46"/>
      <c r="AZ95" s="46"/>
      <c r="BA95" s="46"/>
      <c r="BB95" s="46"/>
      <c r="BC95" s="46"/>
      <c r="BD95" s="46"/>
      <c r="BG95" s="3742"/>
      <c r="BH95" s="3169"/>
      <c r="BI95" s="3169"/>
      <c r="BJ95" s="3169"/>
      <c r="BK95" s="3169"/>
      <c r="BL95" s="3169"/>
      <c r="BM95" s="3169"/>
      <c r="BN95" s="3169"/>
      <c r="BO95" s="3169"/>
      <c r="BP95" s="3169"/>
      <c r="BQ95" s="4351"/>
    </row>
    <row r="96" spans="1:69" ht="12.75" customHeight="1">
      <c r="A96" s="3350"/>
      <c r="B96" s="1957"/>
      <c r="C96" s="1957"/>
      <c r="D96" s="1957"/>
      <c r="E96" s="1957"/>
      <c r="F96" s="1957"/>
      <c r="G96" s="1957"/>
      <c r="H96" s="1957"/>
      <c r="I96" s="1957"/>
      <c r="J96" s="1957"/>
      <c r="K96" s="1957"/>
      <c r="L96" s="1957"/>
      <c r="M96" s="1957"/>
      <c r="N96" s="1957"/>
      <c r="O96" s="1957"/>
      <c r="P96" s="1957"/>
      <c r="Q96" s="1957"/>
      <c r="R96" s="1957"/>
      <c r="S96" s="1957"/>
      <c r="T96" s="1957"/>
      <c r="U96" s="1957"/>
      <c r="V96" s="1957"/>
      <c r="W96" s="1957"/>
      <c r="X96" s="1957"/>
      <c r="Y96" s="1957"/>
      <c r="Z96" s="1957"/>
      <c r="AA96" s="1957"/>
      <c r="AB96" s="1957"/>
      <c r="AC96" s="1957"/>
      <c r="AD96" s="1957"/>
      <c r="AE96" s="1957"/>
      <c r="AF96" s="1957"/>
      <c r="AG96" s="1958"/>
      <c r="AH96" s="6227" t="s">
        <v>3155</v>
      </c>
      <c r="AI96" s="6262"/>
      <c r="AJ96" s="6262"/>
      <c r="AK96" s="6262"/>
      <c r="AL96" s="6262"/>
      <c r="AM96" s="6262"/>
      <c r="AN96" s="6262"/>
      <c r="AO96" s="6262"/>
      <c r="AP96" s="3350"/>
      <c r="BG96" s="3742"/>
      <c r="BH96" s="3169"/>
      <c r="BI96" s="3169"/>
      <c r="BJ96" s="3169"/>
      <c r="BK96" s="3169"/>
      <c r="BL96" s="3169"/>
      <c r="BM96" s="3169"/>
      <c r="BN96" s="3169"/>
      <c r="BO96" s="3169"/>
      <c r="BP96" s="3169"/>
    </row>
    <row r="97" spans="1:69" ht="12.75" customHeight="1">
      <c r="A97" s="3350"/>
      <c r="B97" s="6236">
        <v>33</v>
      </c>
      <c r="C97" s="5527"/>
      <c r="D97" s="1443"/>
      <c r="E97" s="1443"/>
      <c r="F97" s="1443"/>
      <c r="G97" s="1443"/>
      <c r="H97" s="1443"/>
      <c r="I97" s="1443"/>
      <c r="J97" s="1443"/>
      <c r="K97" s="1443"/>
      <c r="L97" s="1443"/>
      <c r="M97" s="1443"/>
      <c r="N97" s="1443"/>
      <c r="O97" s="1443"/>
      <c r="P97" s="1607" t="s">
        <v>3139</v>
      </c>
      <c r="Q97" s="1443"/>
      <c r="R97" s="1443"/>
      <c r="S97" s="1443"/>
      <c r="T97" s="1443"/>
      <c r="U97" s="1443"/>
      <c r="V97" s="1443"/>
      <c r="W97" s="1443"/>
      <c r="X97" s="1443"/>
      <c r="Y97" s="1443"/>
      <c r="Z97" s="1443"/>
      <c r="AA97" s="1443"/>
      <c r="AB97" s="1443"/>
      <c r="AC97" s="1443"/>
      <c r="AD97" s="1443"/>
      <c r="AE97" s="1443"/>
      <c r="AF97" s="1443"/>
      <c r="AG97" s="1966"/>
      <c r="AH97" s="6263"/>
      <c r="AI97" s="6264"/>
      <c r="AJ97" s="6264"/>
      <c r="AK97" s="6264"/>
      <c r="AL97" s="6264"/>
      <c r="AM97" s="6264"/>
      <c r="AN97" s="6264"/>
      <c r="AO97" s="6264"/>
      <c r="AP97" s="3350"/>
      <c r="AX97" s="3272"/>
      <c r="AY97" s="3272"/>
      <c r="AZ97" s="3272"/>
      <c r="BA97" s="3272"/>
      <c r="BB97" s="3272"/>
      <c r="BC97" s="3272"/>
      <c r="BD97" s="3272"/>
      <c r="BG97" s="3742"/>
      <c r="BH97" s="3169"/>
      <c r="BI97" s="3169"/>
      <c r="BJ97" s="3169"/>
      <c r="BK97" s="3169"/>
      <c r="BL97" s="3169"/>
      <c r="BM97" s="3169"/>
      <c r="BN97" s="3169"/>
      <c r="BO97" s="3169"/>
      <c r="BP97" s="3169"/>
    </row>
    <row r="98" spans="1:69" ht="12.75" customHeight="1">
      <c r="A98" s="3350"/>
      <c r="B98" s="1936"/>
      <c r="C98" s="1936"/>
      <c r="D98" s="1936"/>
      <c r="E98" s="1936"/>
      <c r="F98" s="1936"/>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3737"/>
      <c r="AH98" s="6265"/>
      <c r="AI98" s="5640"/>
      <c r="AJ98" s="5640"/>
      <c r="AK98" s="5640"/>
      <c r="AL98" s="5640"/>
      <c r="AM98" s="5640"/>
      <c r="AN98" s="5640"/>
      <c r="AO98" s="5640"/>
      <c r="AP98" s="3350"/>
      <c r="BG98" s="3742"/>
      <c r="BH98" s="3169"/>
      <c r="BI98" s="3169"/>
      <c r="BJ98" s="3169"/>
      <c r="BK98" s="3169"/>
      <c r="BL98" s="3169"/>
      <c r="BM98" s="3169"/>
      <c r="BN98" s="3169"/>
      <c r="BO98" s="3169"/>
      <c r="BP98" s="3169"/>
    </row>
    <row r="99" spans="1:69" ht="13.5" customHeight="1">
      <c r="A99" s="3350"/>
      <c r="B99" s="3922" t="s">
        <v>159</v>
      </c>
      <c r="C99" s="6266"/>
      <c r="D99" s="6267"/>
      <c r="E99" s="6267"/>
      <c r="F99" s="6267"/>
      <c r="G99" s="6267"/>
      <c r="H99" s="6267"/>
      <c r="I99" s="6267"/>
      <c r="J99" s="6267"/>
      <c r="K99" s="6268"/>
      <c r="L99" s="6268"/>
      <c r="M99" s="6268"/>
      <c r="N99" s="6268"/>
      <c r="O99" s="6268"/>
      <c r="P99" s="6268"/>
      <c r="Q99" s="6268"/>
      <c r="R99" s="6268"/>
      <c r="S99" s="6268"/>
      <c r="T99" s="6268"/>
      <c r="U99" s="6268"/>
      <c r="V99" s="6268"/>
      <c r="W99" s="6268"/>
      <c r="X99" s="6268"/>
      <c r="Y99" s="6268"/>
      <c r="Z99" s="6268"/>
      <c r="AA99" s="6268"/>
      <c r="AB99" s="6268"/>
      <c r="AC99" s="6268"/>
      <c r="AD99" s="6268"/>
      <c r="AE99" s="6268"/>
      <c r="AF99" s="6268"/>
      <c r="AG99" s="6269"/>
      <c r="AH99" s="6270"/>
      <c r="AI99" s="6271"/>
      <c r="AJ99" s="6271"/>
      <c r="AK99" s="6271"/>
      <c r="AL99" s="6271"/>
      <c r="AM99" s="6271"/>
      <c r="AN99" s="6271"/>
      <c r="AO99" s="6271"/>
      <c r="AP99" s="3350"/>
      <c r="BG99" s="3742"/>
      <c r="BH99" s="3169"/>
      <c r="BI99" s="3169"/>
      <c r="BJ99" s="3169"/>
      <c r="BK99" s="3169"/>
      <c r="BL99" s="3169"/>
      <c r="BM99" s="3169"/>
      <c r="BN99" s="3169"/>
      <c r="BO99" s="3169"/>
      <c r="BP99" s="3169"/>
    </row>
    <row r="100" spans="1:69" ht="13.5" customHeight="1">
      <c r="A100" s="3350"/>
      <c r="B100" s="3921" t="s">
        <v>327</v>
      </c>
      <c r="C100" s="6266"/>
      <c r="D100" s="6267"/>
      <c r="E100" s="6267"/>
      <c r="F100" s="6267"/>
      <c r="G100" s="6267"/>
      <c r="H100" s="6267"/>
      <c r="I100" s="6267"/>
      <c r="J100" s="6267"/>
      <c r="K100" s="6268"/>
      <c r="L100" s="6268"/>
      <c r="M100" s="6268"/>
      <c r="N100" s="6268"/>
      <c r="O100" s="6268"/>
      <c r="P100" s="6268"/>
      <c r="Q100" s="6268"/>
      <c r="R100" s="6268"/>
      <c r="S100" s="6268"/>
      <c r="T100" s="6268"/>
      <c r="U100" s="6268"/>
      <c r="V100" s="6268"/>
      <c r="W100" s="6268"/>
      <c r="X100" s="6268"/>
      <c r="Y100" s="6268"/>
      <c r="Z100" s="6268"/>
      <c r="AA100" s="6268"/>
      <c r="AB100" s="6268"/>
      <c r="AC100" s="6268"/>
      <c r="AD100" s="6268"/>
      <c r="AE100" s="6268"/>
      <c r="AF100" s="6268"/>
      <c r="AG100" s="6269"/>
      <c r="AH100" s="6270"/>
      <c r="AI100" s="6271"/>
      <c r="AJ100" s="6271"/>
      <c r="AK100" s="6271"/>
      <c r="AL100" s="6271"/>
      <c r="AM100" s="6271"/>
      <c r="AN100" s="6271"/>
      <c r="AO100" s="6271"/>
      <c r="AP100" s="3350"/>
      <c r="BG100" s="3742"/>
      <c r="BH100" s="3169"/>
      <c r="BI100" s="3169"/>
      <c r="BJ100" s="3169"/>
      <c r="BK100" s="3169"/>
      <c r="BL100" s="3169"/>
      <c r="BM100" s="3169"/>
      <c r="BN100" s="3169"/>
      <c r="BO100" s="3169"/>
      <c r="BP100" s="3169"/>
    </row>
    <row r="101" spans="1:69" ht="17.25" customHeight="1">
      <c r="A101" s="3350"/>
      <c r="B101" s="6272" t="s">
        <v>838</v>
      </c>
      <c r="C101" s="6273"/>
      <c r="D101" s="6273"/>
      <c r="E101" s="6273"/>
      <c r="F101" s="6273"/>
      <c r="G101" s="6273"/>
      <c r="H101" s="6273"/>
      <c r="I101" s="6273"/>
      <c r="J101" s="6273"/>
      <c r="K101" s="6273"/>
      <c r="L101" s="6273"/>
      <c r="M101" s="6273"/>
      <c r="N101" s="6273"/>
      <c r="O101" s="6273"/>
      <c r="P101" s="6273"/>
      <c r="Q101" s="6273"/>
      <c r="R101" s="6273"/>
      <c r="S101" s="6273"/>
      <c r="T101" s="6273"/>
      <c r="U101" s="6273"/>
      <c r="V101" s="6273"/>
      <c r="W101" s="6273"/>
      <c r="X101" s="6274"/>
      <c r="Y101" s="6275" t="s">
        <v>839</v>
      </c>
      <c r="Z101" s="6273"/>
      <c r="AA101" s="6273"/>
      <c r="AB101" s="6273"/>
      <c r="AC101" s="6273"/>
      <c r="AD101" s="6273"/>
      <c r="AE101" s="6273"/>
      <c r="AF101" s="6273"/>
      <c r="AG101" s="6273"/>
      <c r="AH101" s="6273"/>
      <c r="AI101" s="6273"/>
      <c r="AJ101" s="6273"/>
      <c r="AK101" s="6273"/>
      <c r="AL101" s="6273"/>
      <c r="AM101" s="6273"/>
      <c r="AN101" s="6273"/>
      <c r="AO101" s="6273"/>
      <c r="AP101" s="3350"/>
      <c r="BG101" s="3742"/>
      <c r="BH101" s="3169"/>
      <c r="BI101" s="3169"/>
      <c r="BJ101" s="3169"/>
      <c r="BK101" s="3169"/>
      <c r="BL101" s="3169"/>
      <c r="BM101" s="3169"/>
      <c r="BN101" s="3169"/>
      <c r="BO101" s="3169"/>
      <c r="BP101" s="3169"/>
    </row>
    <row r="102" spans="1:69" ht="12.75" customHeight="1">
      <c r="A102" s="3350"/>
      <c r="B102" s="6243" t="s">
        <v>3159</v>
      </c>
      <c r="C102" s="5582"/>
      <c r="D102" s="5582"/>
      <c r="E102" s="5582"/>
      <c r="F102" s="5582"/>
      <c r="G102" s="5582"/>
      <c r="H102" s="5582"/>
      <c r="I102" s="5582"/>
      <c r="J102" s="5582"/>
      <c r="K102" s="5582"/>
      <c r="L102" s="5582"/>
      <c r="M102" s="5582"/>
      <c r="N102" s="6244"/>
      <c r="O102" s="6247" t="s">
        <v>3157</v>
      </c>
      <c r="P102" s="5872"/>
      <c r="Q102" s="5872"/>
      <c r="R102" s="5872"/>
      <c r="S102" s="5872"/>
      <c r="T102" s="5872"/>
      <c r="U102" s="5872"/>
      <c r="V102" s="5872"/>
      <c r="W102" s="5872"/>
      <c r="X102" s="5872"/>
      <c r="Y102" s="6252" t="s">
        <v>3156</v>
      </c>
      <c r="Z102" s="5582"/>
      <c r="AA102" s="5582"/>
      <c r="AB102" s="5582"/>
      <c r="AC102" s="5582"/>
      <c r="AD102" s="5582"/>
      <c r="AE102" s="5582"/>
      <c r="AF102" s="5582"/>
      <c r="AG102" s="6244"/>
      <c r="AH102" s="6247" t="s">
        <v>3158</v>
      </c>
      <c r="AI102" s="5872"/>
      <c r="AJ102" s="5872"/>
      <c r="AK102" s="5872"/>
      <c r="AL102" s="5872"/>
      <c r="AM102" s="5872"/>
      <c r="AN102" s="5872"/>
      <c r="AO102" s="5872"/>
      <c r="AP102" s="3350"/>
      <c r="BG102" s="3742"/>
      <c r="BH102" s="3169"/>
      <c r="BI102" s="3169"/>
      <c r="BJ102" s="3169"/>
      <c r="BK102" s="3169"/>
      <c r="BL102" s="3169"/>
      <c r="BM102" s="3169"/>
      <c r="BN102" s="3169"/>
      <c r="BO102" s="3169"/>
      <c r="BP102" s="3169"/>
    </row>
    <row r="103" spans="1:69" ht="12.75" customHeight="1">
      <c r="A103" s="3350"/>
      <c r="B103" s="5579"/>
      <c r="C103" s="5579"/>
      <c r="D103" s="5579"/>
      <c r="E103" s="5579"/>
      <c r="F103" s="5579"/>
      <c r="G103" s="5579"/>
      <c r="H103" s="5579"/>
      <c r="I103" s="5579"/>
      <c r="J103" s="5579"/>
      <c r="K103" s="5579"/>
      <c r="L103" s="5579"/>
      <c r="M103" s="5579"/>
      <c r="N103" s="6245"/>
      <c r="O103" s="6248"/>
      <c r="P103" s="6249"/>
      <c r="Q103" s="6249"/>
      <c r="R103" s="6249"/>
      <c r="S103" s="6249"/>
      <c r="T103" s="6249"/>
      <c r="U103" s="6249"/>
      <c r="V103" s="6249"/>
      <c r="W103" s="6249"/>
      <c r="X103" s="6249"/>
      <c r="Y103" s="5583"/>
      <c r="Z103" s="5579"/>
      <c r="AA103" s="5579"/>
      <c r="AB103" s="5579"/>
      <c r="AC103" s="5579"/>
      <c r="AD103" s="5579"/>
      <c r="AE103" s="5579"/>
      <c r="AF103" s="5579"/>
      <c r="AG103" s="6245"/>
      <c r="AH103" s="6248"/>
      <c r="AI103" s="6249"/>
      <c r="AJ103" s="6249"/>
      <c r="AK103" s="6249"/>
      <c r="AL103" s="6249"/>
      <c r="AM103" s="6249"/>
      <c r="AN103" s="6249"/>
      <c r="AO103" s="6249"/>
      <c r="AP103" s="3350"/>
      <c r="BG103" s="3742"/>
      <c r="BH103" s="3169"/>
      <c r="BI103" s="3169"/>
      <c r="BJ103" s="3169"/>
      <c r="BK103" s="3169"/>
      <c r="BL103" s="3169"/>
      <c r="BM103" s="3169"/>
      <c r="BN103" s="3169"/>
      <c r="BO103" s="3169"/>
      <c r="BP103" s="3169"/>
    </row>
    <row r="104" spans="1:69" ht="12.75" customHeight="1">
      <c r="A104" s="3350"/>
      <c r="B104" s="5577"/>
      <c r="C104" s="5577"/>
      <c r="D104" s="5577"/>
      <c r="E104" s="5577"/>
      <c r="F104" s="5577"/>
      <c r="G104" s="5577"/>
      <c r="H104" s="5577"/>
      <c r="I104" s="5577"/>
      <c r="J104" s="5577"/>
      <c r="K104" s="5577"/>
      <c r="L104" s="5577"/>
      <c r="M104" s="5577"/>
      <c r="N104" s="6246"/>
      <c r="O104" s="6250"/>
      <c r="P104" s="6251"/>
      <c r="Q104" s="6251"/>
      <c r="R104" s="6251"/>
      <c r="S104" s="6251"/>
      <c r="T104" s="6251"/>
      <c r="U104" s="6251"/>
      <c r="V104" s="6251"/>
      <c r="W104" s="6251"/>
      <c r="X104" s="6251"/>
      <c r="Y104" s="6253"/>
      <c r="Z104" s="5577"/>
      <c r="AA104" s="5577"/>
      <c r="AB104" s="5577"/>
      <c r="AC104" s="5577"/>
      <c r="AD104" s="5577"/>
      <c r="AE104" s="5577"/>
      <c r="AF104" s="5577"/>
      <c r="AG104" s="6246"/>
      <c r="AH104" s="6250"/>
      <c r="AI104" s="6251"/>
      <c r="AJ104" s="6251"/>
      <c r="AK104" s="6251"/>
      <c r="AL104" s="6251"/>
      <c r="AM104" s="6251"/>
      <c r="AN104" s="6251"/>
      <c r="AO104" s="6251"/>
      <c r="AP104" s="3350"/>
      <c r="BG104" s="3742"/>
      <c r="BH104" s="3169"/>
      <c r="BI104" s="3169"/>
      <c r="BJ104" s="3169"/>
      <c r="BK104" s="3169"/>
      <c r="BL104" s="3169"/>
      <c r="BM104" s="3169"/>
      <c r="BN104" s="3169"/>
      <c r="BO104" s="3169"/>
      <c r="BP104" s="3169"/>
    </row>
    <row r="105" spans="1:69" ht="13.5" customHeight="1">
      <c r="A105" s="3350"/>
      <c r="B105" s="3922" t="s">
        <v>159</v>
      </c>
      <c r="C105" s="6186"/>
      <c r="D105" s="6187"/>
      <c r="E105" s="6187"/>
      <c r="F105" s="6187"/>
      <c r="G105" s="6187"/>
      <c r="H105" s="6187"/>
      <c r="I105" s="6187"/>
      <c r="J105" s="6187"/>
      <c r="K105" s="6187"/>
      <c r="L105" s="6187"/>
      <c r="M105" s="6187"/>
      <c r="N105" s="6254"/>
      <c r="O105" s="6255"/>
      <c r="P105" s="6256"/>
      <c r="Q105" s="6256"/>
      <c r="R105" s="6256"/>
      <c r="S105" s="6256"/>
      <c r="T105" s="6256"/>
      <c r="U105" s="6256"/>
      <c r="V105" s="6256"/>
      <c r="W105" s="6256"/>
      <c r="X105" s="6257"/>
      <c r="Y105" s="6258"/>
      <c r="Z105" s="6259"/>
      <c r="AA105" s="6259"/>
      <c r="AB105" s="6259"/>
      <c r="AC105" s="6259"/>
      <c r="AD105" s="6259"/>
      <c r="AE105" s="6259"/>
      <c r="AF105" s="6259"/>
      <c r="AG105" s="6259"/>
      <c r="AH105" s="6259"/>
      <c r="AI105" s="6259"/>
      <c r="AJ105" s="6259"/>
      <c r="AK105" s="6259"/>
      <c r="AL105" s="6259"/>
      <c r="AM105" s="6259"/>
      <c r="AN105" s="6259"/>
      <c r="AO105" s="6255"/>
      <c r="AP105" s="3350"/>
      <c r="BG105" s="3742"/>
      <c r="BH105" s="3169"/>
      <c r="BI105" s="3169"/>
      <c r="BJ105" s="3169"/>
      <c r="BK105" s="3169"/>
      <c r="BL105" s="3169"/>
      <c r="BM105" s="3169"/>
      <c r="BN105" s="3169"/>
      <c r="BO105" s="3169"/>
      <c r="BP105" s="3169"/>
    </row>
    <row r="106" spans="1:69" ht="13.5" customHeight="1">
      <c r="A106" s="3350"/>
      <c r="B106" s="3922" t="s">
        <v>327</v>
      </c>
      <c r="C106" s="6186"/>
      <c r="D106" s="6187"/>
      <c r="E106" s="6187"/>
      <c r="F106" s="6187"/>
      <c r="G106" s="6187"/>
      <c r="H106" s="6187"/>
      <c r="I106" s="6187"/>
      <c r="J106" s="6187"/>
      <c r="K106" s="6187"/>
      <c r="L106" s="6187"/>
      <c r="M106" s="6187"/>
      <c r="N106" s="6254"/>
      <c r="O106" s="6255"/>
      <c r="P106" s="6256"/>
      <c r="Q106" s="6256"/>
      <c r="R106" s="6256"/>
      <c r="S106" s="6256"/>
      <c r="T106" s="6256"/>
      <c r="U106" s="6256"/>
      <c r="V106" s="6256"/>
      <c r="W106" s="6256"/>
      <c r="X106" s="6257"/>
      <c r="Y106" s="6258"/>
      <c r="Z106" s="6259"/>
      <c r="AA106" s="6259"/>
      <c r="AB106" s="6259"/>
      <c r="AC106" s="6259"/>
      <c r="AD106" s="6259"/>
      <c r="AE106" s="6259"/>
      <c r="AF106" s="6259"/>
      <c r="AG106" s="6259"/>
      <c r="AH106" s="6259"/>
      <c r="AI106" s="6259"/>
      <c r="AJ106" s="6259"/>
      <c r="AK106" s="6259"/>
      <c r="AL106" s="6259"/>
      <c r="AM106" s="6259"/>
      <c r="AN106" s="6259"/>
      <c r="AO106" s="6255"/>
      <c r="AP106" s="3350"/>
      <c r="BG106" s="3742"/>
      <c r="BH106" s="3169"/>
      <c r="BI106" s="3169"/>
      <c r="BJ106" s="3169"/>
      <c r="BK106" s="3169"/>
      <c r="BL106" s="3169"/>
      <c r="BM106" s="3169"/>
      <c r="BN106" s="3169"/>
      <c r="BO106" s="3169"/>
      <c r="BP106" s="3169"/>
    </row>
    <row r="107" spans="1:69" ht="13.5" customHeight="1">
      <c r="A107" s="3350"/>
      <c r="B107" s="6183" t="s">
        <v>3160</v>
      </c>
      <c r="C107" s="6183"/>
      <c r="D107" s="3269" t="s">
        <v>3150</v>
      </c>
      <c r="E107" s="1443"/>
      <c r="F107" s="1497"/>
      <c r="G107" s="3751"/>
      <c r="H107" s="3751"/>
      <c r="I107" s="3751"/>
      <c r="J107" s="3751"/>
      <c r="K107" s="3751"/>
      <c r="L107" s="3751"/>
      <c r="M107" s="3751"/>
      <c r="N107" s="1498"/>
      <c r="O107" s="6237">
        <f>ROUND(SUM(O105:O106),0)</f>
        <v>0</v>
      </c>
      <c r="P107" s="6238"/>
      <c r="Q107" s="6238"/>
      <c r="R107" s="6238"/>
      <c r="S107" s="6238"/>
      <c r="T107" s="6238"/>
      <c r="U107" s="6238"/>
      <c r="V107" s="6238"/>
      <c r="W107" s="6238"/>
      <c r="X107" s="6239"/>
      <c r="Y107" s="3923"/>
      <c r="Z107" s="3751"/>
      <c r="AA107" s="3751"/>
      <c r="AB107" s="3751"/>
      <c r="AC107" s="3751"/>
      <c r="AD107" s="3751"/>
      <c r="AE107" s="3751"/>
      <c r="AF107" s="3751"/>
      <c r="AG107" s="1498"/>
      <c r="AH107" s="6205">
        <f>ROUND(SUM(AH105:AH106),0)</f>
        <v>0</v>
      </c>
      <c r="AI107" s="6206"/>
      <c r="AJ107" s="6206"/>
      <c r="AK107" s="6206"/>
      <c r="AL107" s="6206"/>
      <c r="AM107" s="6206"/>
      <c r="AN107" s="6206"/>
      <c r="AO107" s="6206"/>
      <c r="AP107" s="3350"/>
      <c r="BG107" s="3742"/>
      <c r="BH107" s="3169"/>
      <c r="BI107" s="3169"/>
      <c r="BJ107" s="3169"/>
      <c r="BK107" s="3169"/>
      <c r="BL107" s="3169"/>
      <c r="BM107" s="3169"/>
      <c r="BN107" s="3169"/>
      <c r="BO107" s="3169"/>
      <c r="BP107" s="3169"/>
    </row>
    <row r="108" spans="1:69" ht="13.5" customHeight="1">
      <c r="A108" s="3350"/>
      <c r="B108" s="6240" t="s">
        <v>54</v>
      </c>
      <c r="C108" s="6240"/>
      <c r="D108" s="3269" t="s">
        <v>3150</v>
      </c>
      <c r="E108" s="1443"/>
      <c r="F108" s="6205">
        <f>ROUND(SUM(C105:C106),0)</f>
        <v>0</v>
      </c>
      <c r="G108" s="6241"/>
      <c r="H108" s="6241"/>
      <c r="I108" s="6241"/>
      <c r="J108" s="6241"/>
      <c r="K108" s="6241"/>
      <c r="L108" s="6241"/>
      <c r="M108" s="6241"/>
      <c r="N108" s="6242"/>
      <c r="O108" s="3924"/>
      <c r="P108" s="3732"/>
      <c r="Q108" s="3732"/>
      <c r="R108" s="3732"/>
      <c r="S108" s="3732"/>
      <c r="T108" s="3732"/>
      <c r="U108" s="3732"/>
      <c r="V108" s="3732"/>
      <c r="W108" s="3732"/>
      <c r="X108" s="3925"/>
      <c r="Y108" s="6205">
        <f>ROUND(SUM(Y105:Y106),0)</f>
        <v>0</v>
      </c>
      <c r="Z108" s="6241"/>
      <c r="AA108" s="6241"/>
      <c r="AB108" s="6241"/>
      <c r="AC108" s="6241"/>
      <c r="AD108" s="6241"/>
      <c r="AE108" s="6241"/>
      <c r="AF108" s="6241"/>
      <c r="AG108" s="6242"/>
      <c r="AH108" s="1497"/>
      <c r="AI108" s="3751"/>
      <c r="AJ108" s="3751"/>
      <c r="AK108" s="3751"/>
      <c r="AL108" s="3751"/>
      <c r="AM108" s="3751"/>
      <c r="AN108" s="3751"/>
      <c r="AO108" s="3751"/>
      <c r="AP108" s="3350"/>
      <c r="BG108" s="3742"/>
      <c r="BH108" s="3169"/>
      <c r="BI108" s="3169"/>
      <c r="BJ108" s="3169"/>
      <c r="BK108" s="3169"/>
      <c r="BL108" s="3169"/>
      <c r="BM108" s="3169"/>
      <c r="BN108" s="3169"/>
      <c r="BO108" s="3169"/>
      <c r="BP108" s="3169"/>
    </row>
    <row r="109" spans="1:69" ht="13.5" customHeight="1">
      <c r="A109" s="3350"/>
      <c r="B109" s="6178">
        <v>35</v>
      </c>
      <c r="C109" s="6178"/>
      <c r="D109" s="3269" t="s">
        <v>3161</v>
      </c>
      <c r="E109" s="1443"/>
      <c r="F109" s="1443"/>
      <c r="G109" s="1443"/>
      <c r="H109" s="1443"/>
      <c r="I109" s="1443"/>
      <c r="J109" s="1443"/>
      <c r="K109" s="1443"/>
      <c r="L109" s="1443"/>
      <c r="M109" s="1443"/>
      <c r="N109" s="1443"/>
      <c r="O109" s="1443"/>
      <c r="P109" s="1443"/>
      <c r="Q109" s="1443"/>
      <c r="R109" s="1443"/>
      <c r="S109" s="1443"/>
      <c r="T109" s="1443"/>
      <c r="U109" s="1443"/>
      <c r="V109" s="1443"/>
      <c r="W109" s="1443"/>
      <c r="X109" s="1443"/>
      <c r="Y109" s="1443"/>
      <c r="Z109" s="1443"/>
      <c r="AA109" s="1443"/>
      <c r="AB109" s="1443"/>
      <c r="AC109" s="1443"/>
      <c r="AD109" s="1443"/>
      <c r="AE109" s="1443"/>
      <c r="AF109" s="1443"/>
      <c r="AG109" s="4497" t="s">
        <v>763</v>
      </c>
      <c r="AH109" s="6184">
        <v>35</v>
      </c>
      <c r="AI109" s="6209"/>
      <c r="AJ109" s="6210">
        <f>SUM(O107,AH107)</f>
        <v>0</v>
      </c>
      <c r="AK109" s="6211"/>
      <c r="AL109" s="6211"/>
      <c r="AM109" s="6211"/>
      <c r="AN109" s="6211"/>
      <c r="AO109" s="6211"/>
      <c r="AP109" s="3350"/>
      <c r="BG109" s="3742"/>
      <c r="BH109" s="3169"/>
      <c r="BI109" s="3169"/>
      <c r="BJ109" s="3169"/>
      <c r="BK109" s="3169"/>
      <c r="BL109" s="3169"/>
      <c r="BM109" s="3169"/>
      <c r="BN109" s="3169"/>
      <c r="BO109" s="3169"/>
      <c r="BP109" s="3169"/>
    </row>
    <row r="110" spans="1:69" ht="13.5" customHeight="1">
      <c r="A110" s="3350"/>
      <c r="B110" s="6178">
        <v>36</v>
      </c>
      <c r="C110" s="6178"/>
      <c r="D110" s="3269" t="s">
        <v>3162</v>
      </c>
      <c r="E110" s="1443"/>
      <c r="F110" s="1443"/>
      <c r="G110" s="1443"/>
      <c r="H110" s="1443"/>
      <c r="I110" s="1443"/>
      <c r="J110" s="1443"/>
      <c r="K110" s="1443"/>
      <c r="L110" s="1443"/>
      <c r="M110" s="1443"/>
      <c r="N110" s="1443"/>
      <c r="O110" s="1443"/>
      <c r="P110" s="1443"/>
      <c r="Q110" s="1443"/>
      <c r="R110" s="1443"/>
      <c r="S110" s="1443"/>
      <c r="T110" s="1443"/>
      <c r="U110" s="1443"/>
      <c r="V110" s="1443"/>
      <c r="W110" s="1443"/>
      <c r="X110" s="1443"/>
      <c r="Y110" s="1443"/>
      <c r="Z110" s="1443"/>
      <c r="AA110" s="1443"/>
      <c r="AB110" s="1443"/>
      <c r="AC110" s="1443"/>
      <c r="AD110" s="1443"/>
      <c r="AE110" s="1443"/>
      <c r="AF110" s="1443"/>
      <c r="AG110" s="4497" t="s">
        <v>763</v>
      </c>
      <c r="AH110" s="6184">
        <v>36</v>
      </c>
      <c r="AI110" s="6209"/>
      <c r="AJ110" s="3936" t="s">
        <v>1147</v>
      </c>
      <c r="AK110" s="6189">
        <f>SUM(F108,Y108)</f>
        <v>0</v>
      </c>
      <c r="AL110" s="5456"/>
      <c r="AM110" s="5456"/>
      <c r="AN110" s="5456"/>
      <c r="AO110" s="3949" t="s">
        <v>1148</v>
      </c>
      <c r="AP110" s="3350"/>
      <c r="BG110" s="3742"/>
      <c r="BH110" s="3169"/>
      <c r="BI110" s="3169"/>
      <c r="BJ110" s="3169"/>
      <c r="BK110" s="3169"/>
      <c r="BL110" s="3169"/>
      <c r="BM110" s="3169"/>
      <c r="BN110" s="3169"/>
      <c r="BO110" s="3169"/>
      <c r="BP110" s="3169"/>
    </row>
    <row r="111" spans="1:69" ht="13.5" customHeight="1">
      <c r="A111" s="3350"/>
      <c r="B111" s="6204">
        <v>37</v>
      </c>
      <c r="C111" s="6204"/>
      <c r="D111" s="3388" t="s">
        <v>3163</v>
      </c>
      <c r="E111" s="1936"/>
      <c r="F111" s="1936"/>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4500" t="s">
        <v>680</v>
      </c>
      <c r="AH111" s="6184">
        <v>37</v>
      </c>
      <c r="AI111" s="6209"/>
      <c r="AJ111" s="6210">
        <f>SUM(AJ109,-AK110)</f>
        <v>0</v>
      </c>
      <c r="AK111" s="6211"/>
      <c r="AL111" s="6211"/>
      <c r="AM111" s="6211"/>
      <c r="AN111" s="6211"/>
      <c r="AO111" s="6211"/>
      <c r="AP111" s="3350"/>
      <c r="BG111" s="3742"/>
      <c r="BH111" s="3169"/>
      <c r="BI111" s="3169"/>
      <c r="BJ111" s="3169"/>
      <c r="BK111" s="3169"/>
      <c r="BL111" s="3169"/>
      <c r="BM111" s="3169"/>
      <c r="BN111" s="3169"/>
      <c r="BO111" s="3169"/>
      <c r="BP111" s="3169"/>
    </row>
    <row r="112" spans="1:69" s="3272" customFormat="1" ht="17.25" customHeight="1">
      <c r="A112" s="3351"/>
      <c r="B112" s="6207" t="s">
        <v>546</v>
      </c>
      <c r="C112" s="6207"/>
      <c r="D112" s="6208"/>
      <c r="E112" s="3273"/>
      <c r="F112" s="3372" t="s">
        <v>3164</v>
      </c>
      <c r="G112" s="3273"/>
      <c r="H112" s="3273"/>
      <c r="I112" s="3273"/>
      <c r="J112" s="3273"/>
      <c r="K112" s="3273"/>
      <c r="L112" s="3273"/>
      <c r="M112" s="3273"/>
      <c r="N112" s="3273"/>
      <c r="O112" s="3273"/>
      <c r="P112" s="3273"/>
      <c r="Q112" s="3273"/>
      <c r="R112" s="3273"/>
      <c r="S112" s="3273"/>
      <c r="T112" s="3273"/>
      <c r="U112" s="3273"/>
      <c r="V112" s="3273"/>
      <c r="W112" s="3273"/>
      <c r="X112" s="3271"/>
      <c r="Y112" s="3273"/>
      <c r="Z112" s="3273"/>
      <c r="AA112" s="3273"/>
      <c r="AB112" s="3273"/>
      <c r="AC112" s="3273"/>
      <c r="AD112" s="3273"/>
      <c r="AE112" s="3273"/>
      <c r="AF112" s="3273"/>
      <c r="AG112" s="1751"/>
      <c r="AH112" s="3273"/>
      <c r="AI112" s="3273"/>
      <c r="AJ112" s="3273"/>
      <c r="AK112" s="3273"/>
      <c r="AL112" s="3273"/>
      <c r="AM112" s="3273"/>
      <c r="AN112" s="3273"/>
      <c r="AO112" s="3273"/>
      <c r="AP112" s="3350"/>
      <c r="AX112" s="46"/>
      <c r="AY112" s="46"/>
      <c r="AZ112" s="46"/>
      <c r="BA112" s="46"/>
      <c r="BB112" s="46"/>
      <c r="BC112" s="46"/>
      <c r="BD112" s="46"/>
      <c r="BG112" s="3742"/>
      <c r="BH112" s="3169"/>
      <c r="BI112" s="3169"/>
      <c r="BJ112" s="3169"/>
      <c r="BK112" s="3169"/>
      <c r="BL112" s="3169"/>
      <c r="BM112" s="3169"/>
      <c r="BN112" s="3169"/>
      <c r="BO112" s="3169"/>
      <c r="BP112" s="3169"/>
      <c r="BQ112" s="4351"/>
    </row>
    <row r="113" spans="1:69" ht="12.75" customHeight="1">
      <c r="A113" s="3350"/>
      <c r="B113" s="1957"/>
      <c r="C113" s="3855"/>
      <c r="D113" s="6212" t="s">
        <v>3166</v>
      </c>
      <c r="E113" s="6213"/>
      <c r="F113" s="6213"/>
      <c r="G113" s="6213"/>
      <c r="H113" s="6213"/>
      <c r="I113" s="6213"/>
      <c r="J113" s="6214"/>
      <c r="K113" s="6219" t="s">
        <v>3165</v>
      </c>
      <c r="L113" s="6220"/>
      <c r="M113" s="6220"/>
      <c r="N113" s="6220"/>
      <c r="O113" s="6220"/>
      <c r="P113" s="6220"/>
      <c r="Q113" s="6220"/>
      <c r="R113" s="6220"/>
      <c r="S113" s="6223" t="s">
        <v>3167</v>
      </c>
      <c r="T113" s="6224"/>
      <c r="U113" s="6224"/>
      <c r="V113" s="6224"/>
      <c r="W113" s="6224"/>
      <c r="X113" s="6224"/>
      <c r="Y113" s="6224"/>
      <c r="Z113" s="6227" t="s">
        <v>3168</v>
      </c>
      <c r="AA113" s="6228"/>
      <c r="AB113" s="6228"/>
      <c r="AC113" s="6228"/>
      <c r="AD113" s="6228"/>
      <c r="AE113" s="6228"/>
      <c r="AF113" s="6228"/>
      <c r="AG113" s="6229"/>
      <c r="AH113" s="6227" t="s">
        <v>3169</v>
      </c>
      <c r="AI113" s="6228"/>
      <c r="AJ113" s="6228"/>
      <c r="AK113" s="6228"/>
      <c r="AL113" s="6228"/>
      <c r="AM113" s="6228"/>
      <c r="AN113" s="6228"/>
      <c r="AO113" s="6228"/>
      <c r="AP113" s="3350"/>
      <c r="BG113" s="3742"/>
      <c r="BH113" s="3169"/>
      <c r="BI113" s="3169"/>
      <c r="BJ113" s="3169"/>
      <c r="BK113" s="3169"/>
      <c r="BL113" s="3169"/>
      <c r="BM113" s="3169"/>
      <c r="BN113" s="3169"/>
      <c r="BO113" s="3169"/>
      <c r="BP113" s="3169"/>
    </row>
    <row r="114" spans="1:69" ht="12.75" customHeight="1">
      <c r="A114" s="3350"/>
      <c r="B114" s="6236">
        <v>38</v>
      </c>
      <c r="C114" s="5527"/>
      <c r="D114" s="6215"/>
      <c r="E114" s="6215"/>
      <c r="F114" s="6215"/>
      <c r="G114" s="6215"/>
      <c r="H114" s="6215"/>
      <c r="I114" s="6215"/>
      <c r="J114" s="6216"/>
      <c r="K114" s="6221"/>
      <c r="L114" s="6221"/>
      <c r="M114" s="6221"/>
      <c r="N114" s="6221"/>
      <c r="O114" s="6221"/>
      <c r="P114" s="6221"/>
      <c r="Q114" s="6221"/>
      <c r="R114" s="6221"/>
      <c r="S114" s="6225"/>
      <c r="T114" s="6225"/>
      <c r="U114" s="6225"/>
      <c r="V114" s="6225"/>
      <c r="W114" s="6225"/>
      <c r="X114" s="6225"/>
      <c r="Y114" s="6225"/>
      <c r="Z114" s="6230"/>
      <c r="AA114" s="6231"/>
      <c r="AB114" s="6231"/>
      <c r="AC114" s="6231"/>
      <c r="AD114" s="6231"/>
      <c r="AE114" s="6231"/>
      <c r="AF114" s="6231"/>
      <c r="AG114" s="6232"/>
      <c r="AH114" s="6230"/>
      <c r="AI114" s="6231"/>
      <c r="AJ114" s="6231"/>
      <c r="AK114" s="6231"/>
      <c r="AL114" s="6231"/>
      <c r="AM114" s="6231"/>
      <c r="AN114" s="6231"/>
      <c r="AO114" s="6231"/>
      <c r="AP114" s="3350"/>
      <c r="AX114" s="3272"/>
      <c r="AY114" s="3272"/>
      <c r="AZ114" s="3272"/>
      <c r="BA114" s="3272"/>
      <c r="BB114" s="3272"/>
      <c r="BC114" s="3272"/>
      <c r="BD114" s="3272"/>
      <c r="BG114" s="3742"/>
      <c r="BH114" s="3169"/>
      <c r="BI114" s="3169"/>
      <c r="BJ114" s="3169"/>
      <c r="BK114" s="3169"/>
      <c r="BL114" s="3169"/>
      <c r="BM114" s="3169"/>
      <c r="BN114" s="3169"/>
      <c r="BO114" s="3169"/>
      <c r="BP114" s="3169"/>
    </row>
    <row r="115" spans="1:69" ht="12.75" customHeight="1">
      <c r="A115" s="3350"/>
      <c r="B115" s="1936"/>
      <c r="C115" s="3854"/>
      <c r="D115" s="6217"/>
      <c r="E115" s="6217"/>
      <c r="F115" s="6217"/>
      <c r="G115" s="6217"/>
      <c r="H115" s="6217"/>
      <c r="I115" s="6217"/>
      <c r="J115" s="6218"/>
      <c r="K115" s="6222"/>
      <c r="L115" s="6222"/>
      <c r="M115" s="6222"/>
      <c r="N115" s="6222"/>
      <c r="O115" s="6222"/>
      <c r="P115" s="6222"/>
      <c r="Q115" s="6222"/>
      <c r="R115" s="6222"/>
      <c r="S115" s="6226"/>
      <c r="T115" s="6226"/>
      <c r="U115" s="6226"/>
      <c r="V115" s="6226"/>
      <c r="W115" s="6226"/>
      <c r="X115" s="6226"/>
      <c r="Y115" s="6226"/>
      <c r="Z115" s="6233"/>
      <c r="AA115" s="6234"/>
      <c r="AB115" s="6234"/>
      <c r="AC115" s="6234"/>
      <c r="AD115" s="6234"/>
      <c r="AE115" s="6234"/>
      <c r="AF115" s="6234"/>
      <c r="AG115" s="6235"/>
      <c r="AH115" s="6233"/>
      <c r="AI115" s="6234"/>
      <c r="AJ115" s="6234"/>
      <c r="AK115" s="6234"/>
      <c r="AL115" s="6234"/>
      <c r="AM115" s="6234"/>
      <c r="AN115" s="6234"/>
      <c r="AO115" s="6234"/>
      <c r="AP115" s="3350"/>
      <c r="AQ115" s="396"/>
      <c r="AR115" s="396"/>
      <c r="AS115" s="396"/>
      <c r="BG115" s="3742"/>
      <c r="BH115" s="3169"/>
      <c r="BI115" s="3169"/>
      <c r="BJ115" s="3169"/>
      <c r="BK115" s="3169"/>
      <c r="BL115" s="3169"/>
      <c r="BM115" s="3169"/>
      <c r="BN115" s="3169"/>
      <c r="BO115" s="3169"/>
      <c r="BP115" s="3169"/>
    </row>
    <row r="116" spans="1:69" ht="12.75" customHeight="1">
      <c r="A116" s="3350"/>
      <c r="B116" s="6194"/>
      <c r="C116" s="6195"/>
      <c r="D116" s="6195"/>
      <c r="E116" s="6195"/>
      <c r="F116" s="6195"/>
      <c r="G116" s="6195"/>
      <c r="H116" s="6195"/>
      <c r="I116" s="6195"/>
      <c r="J116" s="6196"/>
      <c r="K116" s="6197"/>
      <c r="L116" s="6198"/>
      <c r="M116" s="6198"/>
      <c r="N116" s="6198"/>
      <c r="O116" s="6198"/>
      <c r="P116" s="6198"/>
      <c r="Q116" s="6198"/>
      <c r="R116" s="6199"/>
      <c r="S116" s="6200"/>
      <c r="T116" s="6200"/>
      <c r="U116" s="6200"/>
      <c r="V116" s="6200"/>
      <c r="W116" s="6200"/>
      <c r="X116" s="6200"/>
      <c r="Y116" s="6200"/>
      <c r="Z116" s="6201"/>
      <c r="AA116" s="6202"/>
      <c r="AB116" s="6202"/>
      <c r="AC116" s="6202"/>
      <c r="AD116" s="6202"/>
      <c r="AE116" s="6202"/>
      <c r="AF116" s="6202"/>
      <c r="AG116" s="6203"/>
      <c r="AH116" s="6201"/>
      <c r="AI116" s="6202"/>
      <c r="AJ116" s="6202"/>
      <c r="AK116" s="6202"/>
      <c r="AL116" s="6202"/>
      <c r="AM116" s="6202"/>
      <c r="AN116" s="6202"/>
      <c r="AO116" s="6202"/>
      <c r="AP116" s="3350"/>
      <c r="AQ116" s="396"/>
      <c r="AR116" s="2940" t="s">
        <v>101</v>
      </c>
      <c r="AS116" s="396"/>
      <c r="BG116" s="3742"/>
      <c r="BH116" s="3169"/>
      <c r="BI116" s="3169"/>
      <c r="BJ116" s="3169"/>
      <c r="BK116" s="3169"/>
      <c r="BL116" s="3169"/>
      <c r="BM116" s="3169"/>
      <c r="BN116" s="3169"/>
      <c r="BO116" s="3169"/>
      <c r="BP116" s="3169"/>
    </row>
    <row r="117" spans="1:69" ht="13.5" customHeight="1">
      <c r="A117" s="3350"/>
      <c r="B117" s="6204">
        <v>39</v>
      </c>
      <c r="C117" s="6204"/>
      <c r="D117" s="3388" t="s">
        <v>3170</v>
      </c>
      <c r="E117" s="1936"/>
      <c r="F117" s="1936"/>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3737"/>
      <c r="AH117" s="6184">
        <v>39</v>
      </c>
      <c r="AI117" s="6185"/>
      <c r="AJ117" s="6205">
        <f>IF(AR117&lt;&gt;"",ROUND(AR117,0),ROUND(SUM(Z116,AH116),0))</f>
        <v>0</v>
      </c>
      <c r="AK117" s="6206"/>
      <c r="AL117" s="6206"/>
      <c r="AM117" s="6206"/>
      <c r="AN117" s="6206"/>
      <c r="AO117" s="6206"/>
      <c r="AP117" s="3350"/>
      <c r="AQ117" s="396"/>
      <c r="AR117" s="3941"/>
      <c r="AS117" s="396"/>
      <c r="BG117" s="3742"/>
      <c r="BH117" s="3169"/>
      <c r="BI117" s="3169"/>
      <c r="BJ117" s="3169"/>
      <c r="BK117" s="3169"/>
      <c r="BL117" s="3169"/>
      <c r="BM117" s="3169"/>
      <c r="BN117" s="3169"/>
      <c r="BO117" s="3169"/>
      <c r="BP117" s="3169"/>
    </row>
    <row r="118" spans="1:69" s="3272" customFormat="1" ht="17.25" customHeight="1">
      <c r="A118" s="3351"/>
      <c r="B118" s="6207" t="s">
        <v>135</v>
      </c>
      <c r="C118" s="6207"/>
      <c r="D118" s="6208"/>
      <c r="E118" s="3273"/>
      <c r="F118" s="3372" t="s">
        <v>3171</v>
      </c>
      <c r="G118" s="3273"/>
      <c r="H118" s="3273"/>
      <c r="I118" s="3273"/>
      <c r="J118" s="3273"/>
      <c r="K118" s="3273"/>
      <c r="L118" s="3273"/>
      <c r="M118" s="3273"/>
      <c r="N118" s="3273"/>
      <c r="O118" s="3273"/>
      <c r="P118" s="3273"/>
      <c r="Q118" s="3273"/>
      <c r="R118" s="3273"/>
      <c r="S118" s="3273"/>
      <c r="T118" s="3273"/>
      <c r="U118" s="3273"/>
      <c r="V118" s="3273"/>
      <c r="W118" s="3273"/>
      <c r="X118" s="3271"/>
      <c r="Y118" s="3273"/>
      <c r="Z118" s="3273"/>
      <c r="AA118" s="3273"/>
      <c r="AB118" s="3273"/>
      <c r="AC118" s="3273"/>
      <c r="AD118" s="3273"/>
      <c r="AE118" s="3273"/>
      <c r="AF118" s="3273"/>
      <c r="AG118" s="3273"/>
      <c r="AH118" s="3273"/>
      <c r="AI118" s="3273"/>
      <c r="AJ118" s="3273"/>
      <c r="AK118" s="3273"/>
      <c r="AL118" s="3273"/>
      <c r="AM118" s="3273"/>
      <c r="AN118" s="3273"/>
      <c r="AO118" s="3273"/>
      <c r="AP118" s="3350"/>
      <c r="AQ118" s="396"/>
      <c r="AR118" s="396"/>
      <c r="AS118" s="396"/>
      <c r="AX118" s="46"/>
      <c r="AY118" s="46"/>
      <c r="AZ118" s="46"/>
      <c r="BA118" s="46"/>
      <c r="BB118" s="46"/>
      <c r="BC118" s="46"/>
      <c r="BD118" s="46"/>
      <c r="BG118" s="3742"/>
      <c r="BH118" s="3169"/>
      <c r="BI118" s="3169"/>
      <c r="BJ118" s="3169"/>
      <c r="BK118" s="3169"/>
      <c r="BL118" s="3169"/>
      <c r="BM118" s="3169"/>
      <c r="BN118" s="3169"/>
      <c r="BO118" s="3169"/>
      <c r="BP118" s="3169"/>
      <c r="BQ118" s="4351"/>
    </row>
    <row r="119" spans="1:69" ht="13.5" customHeight="1">
      <c r="A119" s="3350"/>
      <c r="B119" s="6183">
        <v>40</v>
      </c>
      <c r="C119" s="6183"/>
      <c r="D119" s="3869" t="s">
        <v>3172</v>
      </c>
      <c r="E119" s="1957"/>
      <c r="F119" s="1957"/>
      <c r="G119" s="1957"/>
      <c r="H119" s="1957"/>
      <c r="I119" s="1957"/>
      <c r="J119" s="1957"/>
      <c r="K119" s="1957"/>
      <c r="L119" s="1957"/>
      <c r="M119" s="1957"/>
      <c r="N119" s="1957"/>
      <c r="O119" s="1957"/>
      <c r="P119" s="1957"/>
      <c r="Q119" s="1957"/>
      <c r="R119" s="1957"/>
      <c r="S119" s="1957"/>
      <c r="T119" s="1957"/>
      <c r="U119" s="1957"/>
      <c r="V119" s="1957"/>
      <c r="W119" s="1957"/>
      <c r="X119" s="1957"/>
      <c r="Y119" s="1957"/>
      <c r="Z119" s="1957"/>
      <c r="AA119" s="1957"/>
      <c r="AB119" s="1957"/>
      <c r="AC119" s="1957"/>
      <c r="AD119" s="1957"/>
      <c r="AE119" s="1957"/>
      <c r="AF119" s="1957"/>
      <c r="AG119" s="1958"/>
      <c r="AH119" s="6184">
        <v>40</v>
      </c>
      <c r="AI119" s="6185"/>
      <c r="AJ119" s="6186"/>
      <c r="AK119" s="6187"/>
      <c r="AL119" s="6187"/>
      <c r="AM119" s="6187"/>
      <c r="AN119" s="6187"/>
      <c r="AO119" s="6187"/>
      <c r="AP119" s="3350"/>
      <c r="AQ119" s="396"/>
      <c r="AR119" s="396"/>
      <c r="AS119" s="396"/>
      <c r="BG119" s="3742"/>
      <c r="BH119" s="3169"/>
      <c r="BI119" s="3169"/>
      <c r="BJ119" s="3169"/>
      <c r="BK119" s="3169"/>
      <c r="BL119" s="3169"/>
      <c r="BM119" s="3169"/>
      <c r="BN119" s="3169"/>
      <c r="BO119" s="3169"/>
      <c r="BP119" s="3169"/>
    </row>
    <row r="120" spans="1:69" ht="13.5" customHeight="1">
      <c r="A120" s="3350"/>
      <c r="B120" s="6178">
        <v>41</v>
      </c>
      <c r="C120" s="6178"/>
      <c r="D120" s="3926" t="s">
        <v>3173</v>
      </c>
      <c r="E120" s="1443"/>
      <c r="F120" s="1443"/>
      <c r="G120" s="1443"/>
      <c r="H120" s="1443"/>
      <c r="I120" s="1443"/>
      <c r="J120" s="1443"/>
      <c r="K120" s="1443"/>
      <c r="L120" s="1443"/>
      <c r="M120" s="1443"/>
      <c r="N120" s="1443"/>
      <c r="O120" s="1443"/>
      <c r="P120" s="1443"/>
      <c r="Q120" s="1443"/>
      <c r="R120" s="1443"/>
      <c r="S120" s="1443"/>
      <c r="T120" s="1443"/>
      <c r="U120" s="1443"/>
      <c r="V120" s="1443"/>
      <c r="W120" s="1443"/>
      <c r="X120" s="1443"/>
      <c r="Y120" s="1443"/>
      <c r="Z120" s="1443"/>
      <c r="AA120" s="1443"/>
      <c r="AB120" s="1443"/>
      <c r="AC120" s="1443"/>
      <c r="AD120" s="1443"/>
      <c r="AE120" s="1443"/>
      <c r="AF120" s="1443"/>
      <c r="AG120" s="1966"/>
      <c r="AH120" s="6184">
        <v>41</v>
      </c>
      <c r="AI120" s="6185"/>
      <c r="AJ120" s="6188">
        <f>IF(AR120&lt;&gt;"",ROUND(AR120,0),ROUND(SUM(AJ61,AH94,AJ111,AJ117,AJ119),0))</f>
        <v>0</v>
      </c>
      <c r="AK120" s="6189"/>
      <c r="AL120" s="6189"/>
      <c r="AM120" s="6189"/>
      <c r="AN120" s="6189"/>
      <c r="AO120" s="6189"/>
      <c r="AP120" s="3350"/>
      <c r="AQ120" s="396"/>
      <c r="AR120" s="3941"/>
      <c r="AS120" s="396"/>
      <c r="AV120" s="46" t="b">
        <f>OR(SchE2_Line32&lt;&gt;0,SchE2_Line37&lt;&gt;0,SchE2_Line39&lt;&gt;0,SchE2_Line41&lt;&gt;0,AH222&lt;&gt;0,AJ239&lt;&gt;0,AJ245&lt;&gt;0,AJ248&lt;&gt;0)</f>
        <v>0</v>
      </c>
      <c r="AX120" s="3272"/>
      <c r="AY120" s="3272"/>
      <c r="AZ120" s="3272"/>
      <c r="BA120" s="3272"/>
      <c r="BB120" s="3272"/>
      <c r="BC120" s="3272"/>
      <c r="BD120" s="3272"/>
      <c r="BG120" s="3742"/>
      <c r="BH120" s="3169"/>
      <c r="BI120" s="3169"/>
      <c r="BJ120" s="3169"/>
      <c r="BK120" s="3169"/>
      <c r="BL120" s="3169"/>
      <c r="BM120" s="3169"/>
      <c r="BN120" s="3169"/>
      <c r="BO120" s="3169"/>
      <c r="BP120" s="3169"/>
    </row>
    <row r="121" spans="1:69" ht="12.75" customHeight="1">
      <c r="A121" s="3350"/>
      <c r="B121" s="6178">
        <v>42</v>
      </c>
      <c r="C121" s="6178"/>
      <c r="D121" s="3269" t="s">
        <v>4088</v>
      </c>
      <c r="E121" s="1443"/>
      <c r="F121" s="1443"/>
      <c r="G121" s="1443"/>
      <c r="H121" s="1443"/>
      <c r="I121" s="1443"/>
      <c r="J121" s="1443"/>
      <c r="K121" s="1443"/>
      <c r="L121" s="1443"/>
      <c r="M121" s="1443"/>
      <c r="N121" s="1443"/>
      <c r="O121" s="1443"/>
      <c r="P121" s="1443"/>
      <c r="Q121" s="1443"/>
      <c r="R121" s="1443"/>
      <c r="S121" s="1443"/>
      <c r="T121" s="1443"/>
      <c r="U121" s="1443"/>
      <c r="V121" s="1443"/>
      <c r="W121" s="1443"/>
      <c r="X121" s="1443"/>
      <c r="Y121" s="2255"/>
      <c r="Z121" s="3289"/>
      <c r="AA121" s="3289"/>
      <c r="AB121" s="3289"/>
      <c r="AC121" s="3289"/>
      <c r="AD121" s="3289"/>
      <c r="AE121" s="3289"/>
      <c r="AF121" s="3289"/>
      <c r="AG121" s="2256"/>
      <c r="AH121" s="1945"/>
      <c r="AI121" s="1945"/>
      <c r="AJ121" s="1945"/>
      <c r="AK121" s="1945"/>
      <c r="AL121" s="1945"/>
      <c r="AM121" s="1945"/>
      <c r="AN121" s="1945"/>
      <c r="AO121" s="1945"/>
      <c r="AP121" s="3350"/>
      <c r="AQ121" s="396"/>
      <c r="AR121" s="396"/>
      <c r="AS121" s="396"/>
      <c r="AV121" s="3955">
        <f>IF(SchE2_Completed,SchE2_Line41,SchE1_Line26)</f>
        <v>0</v>
      </c>
      <c r="BG121" s="3742"/>
      <c r="BH121" s="3169"/>
      <c r="BI121" s="3169"/>
      <c r="BJ121" s="3169"/>
      <c r="BK121" s="3169"/>
      <c r="BL121" s="3169"/>
      <c r="BM121" s="3169"/>
      <c r="BN121" s="3169"/>
      <c r="BO121" s="3169"/>
      <c r="BP121" s="3169"/>
    </row>
    <row r="122" spans="1:69" ht="12.75" customHeight="1">
      <c r="A122" s="3350"/>
      <c r="B122" s="3366"/>
      <c r="C122" s="1443"/>
      <c r="D122" s="1607" t="s">
        <v>919</v>
      </c>
      <c r="E122" s="1443"/>
      <c r="F122" s="1443"/>
      <c r="G122" s="1443"/>
      <c r="H122" s="1443"/>
      <c r="I122" s="1443"/>
      <c r="J122" s="1443"/>
      <c r="K122" s="1443"/>
      <c r="L122" s="1443"/>
      <c r="M122" s="1443"/>
      <c r="N122" s="1443"/>
      <c r="O122" s="1443"/>
      <c r="P122" s="1443"/>
      <c r="Q122" s="1443"/>
      <c r="R122" s="1443"/>
      <c r="S122" s="1443"/>
      <c r="T122" s="1443"/>
      <c r="U122" s="1443"/>
      <c r="V122" s="1443"/>
      <c r="W122" s="1443"/>
      <c r="X122" s="1443"/>
      <c r="Y122" s="2257"/>
      <c r="Z122" s="1945"/>
      <c r="AA122" s="1945"/>
      <c r="AB122" s="1945"/>
      <c r="AC122" s="1945"/>
      <c r="AD122" s="1945"/>
      <c r="AE122" s="1945"/>
      <c r="AF122" s="1945"/>
      <c r="AG122" s="2258"/>
      <c r="AH122" s="1945"/>
      <c r="AI122" s="1945"/>
      <c r="AJ122" s="1945"/>
      <c r="AK122" s="1945"/>
      <c r="AL122" s="1945"/>
      <c r="AM122" s="1945"/>
      <c r="AN122" s="1945"/>
      <c r="AO122" s="1945"/>
      <c r="AP122" s="3350"/>
      <c r="BG122" s="3742"/>
      <c r="BH122" s="3169"/>
      <c r="BI122" s="3169"/>
      <c r="BJ122" s="3169"/>
      <c r="BK122" s="3169"/>
      <c r="BL122" s="3169"/>
      <c r="BM122" s="3169"/>
      <c r="BN122" s="3169"/>
      <c r="BO122" s="3169"/>
      <c r="BP122" s="3169"/>
    </row>
    <row r="123" spans="1:69" ht="12.75" customHeight="1">
      <c r="A123" s="3350"/>
      <c r="B123" s="3366"/>
      <c r="C123" s="1443"/>
      <c r="D123" s="1607" t="s">
        <v>3174</v>
      </c>
      <c r="E123" s="1443"/>
      <c r="F123" s="1443"/>
      <c r="G123" s="1443"/>
      <c r="H123" s="1443"/>
      <c r="I123" s="1443"/>
      <c r="J123" s="1443"/>
      <c r="K123" s="1443"/>
      <c r="L123" s="1443"/>
      <c r="M123" s="1443"/>
      <c r="N123" s="1443"/>
      <c r="O123" s="1443"/>
      <c r="P123" s="1443"/>
      <c r="Q123" s="1443"/>
      <c r="R123" s="1443"/>
      <c r="S123" s="1443"/>
      <c r="T123" s="1443"/>
      <c r="U123" s="1443"/>
      <c r="V123" s="1443"/>
      <c r="W123" s="1443"/>
      <c r="X123" s="1443"/>
      <c r="Y123" s="2257"/>
      <c r="Z123" s="1945"/>
      <c r="AA123" s="1945"/>
      <c r="AB123" s="1945"/>
      <c r="AC123" s="1945"/>
      <c r="AD123" s="1945"/>
      <c r="AE123" s="1945"/>
      <c r="AF123" s="1945"/>
      <c r="AG123" s="2258"/>
      <c r="AH123" s="1945"/>
      <c r="AI123" s="1945"/>
      <c r="AJ123" s="1945"/>
      <c r="AK123" s="1945"/>
      <c r="AL123" s="1945"/>
      <c r="AM123" s="1945"/>
      <c r="AN123" s="1945"/>
      <c r="AO123" s="1945"/>
      <c r="AP123" s="3350"/>
      <c r="BG123" s="3742"/>
      <c r="BH123" s="3169"/>
      <c r="BI123" s="3169"/>
      <c r="BJ123" s="3169"/>
      <c r="BK123" s="3169"/>
      <c r="BL123" s="3169"/>
      <c r="BM123" s="3169"/>
      <c r="BN123" s="3169"/>
      <c r="BO123" s="3169"/>
      <c r="BP123" s="3169"/>
    </row>
    <row r="124" spans="1:69" ht="13.5" customHeight="1">
      <c r="A124" s="3350"/>
      <c r="B124" s="3366"/>
      <c r="C124" s="1443"/>
      <c r="D124" s="1443" t="s">
        <v>3175</v>
      </c>
      <c r="E124" s="1443"/>
      <c r="F124" s="1443"/>
      <c r="G124" s="1443"/>
      <c r="H124" s="1443"/>
      <c r="I124" s="1443"/>
      <c r="J124" s="1443"/>
      <c r="K124" s="1443"/>
      <c r="L124" s="1443"/>
      <c r="M124" s="1443"/>
      <c r="N124" s="1443"/>
      <c r="O124" s="1443"/>
      <c r="P124" s="1443"/>
      <c r="Q124" s="1443"/>
      <c r="R124" s="1443"/>
      <c r="S124" s="1443"/>
      <c r="T124" s="1443"/>
      <c r="U124" s="1443"/>
      <c r="V124" s="1443"/>
      <c r="W124" s="1443"/>
      <c r="X124" s="1943" t="s">
        <v>4086</v>
      </c>
      <c r="Y124" s="6190">
        <v>42</v>
      </c>
      <c r="Z124" s="6191"/>
      <c r="AA124" s="6192"/>
      <c r="AB124" s="6193"/>
      <c r="AC124" s="6193"/>
      <c r="AD124" s="6193"/>
      <c r="AE124" s="6193"/>
      <c r="AF124" s="6193"/>
      <c r="AG124" s="6193"/>
      <c r="AH124" s="1945"/>
      <c r="AI124" s="1945"/>
      <c r="AJ124" s="1945"/>
      <c r="AK124" s="1945"/>
      <c r="AL124" s="1945"/>
      <c r="AM124" s="1945"/>
      <c r="AN124" s="1945"/>
      <c r="AO124" s="1945"/>
      <c r="AP124" s="3350"/>
      <c r="BG124" s="3742"/>
      <c r="BH124" s="3169"/>
      <c r="BI124" s="3169"/>
      <c r="BJ124" s="3169"/>
      <c r="BK124" s="3169"/>
      <c r="BL124" s="3169"/>
      <c r="BM124" s="3169"/>
      <c r="BN124" s="3169"/>
      <c r="BO124" s="3169"/>
      <c r="BP124" s="3169"/>
    </row>
    <row r="125" spans="1:69" ht="12.75" customHeight="1">
      <c r="A125" s="3350"/>
      <c r="B125" s="6178">
        <v>43</v>
      </c>
      <c r="C125" s="6178"/>
      <c r="D125" s="1607" t="s">
        <v>4087</v>
      </c>
      <c r="E125" s="1443"/>
      <c r="F125" s="1443"/>
      <c r="G125" s="1443"/>
      <c r="H125" s="1443"/>
      <c r="I125" s="1443"/>
      <c r="J125" s="1443"/>
      <c r="K125" s="1443"/>
      <c r="L125" s="1443"/>
      <c r="M125" s="1443"/>
      <c r="N125" s="1443"/>
      <c r="O125" s="1443"/>
      <c r="P125" s="1443"/>
      <c r="Q125" s="1443"/>
      <c r="R125" s="1443"/>
      <c r="S125" s="1443"/>
      <c r="T125" s="1443"/>
      <c r="U125" s="1443"/>
      <c r="V125" s="1443"/>
      <c r="W125" s="1443"/>
      <c r="X125" s="1443"/>
      <c r="Y125" s="2255"/>
      <c r="Z125" s="3289"/>
      <c r="AA125" s="3289"/>
      <c r="AB125" s="3289"/>
      <c r="AC125" s="3289"/>
      <c r="AD125" s="3289"/>
      <c r="AE125" s="3289"/>
      <c r="AF125" s="3289"/>
      <c r="AG125" s="2256"/>
      <c r="AH125" s="1945"/>
      <c r="AI125" s="1945"/>
      <c r="AJ125" s="1945"/>
      <c r="AK125" s="1945"/>
      <c r="AL125" s="1945"/>
      <c r="AM125" s="1945"/>
      <c r="AN125" s="1945"/>
      <c r="AO125" s="1945"/>
      <c r="AP125" s="3350"/>
      <c r="BG125" s="3742"/>
      <c r="BH125" s="3169"/>
      <c r="BI125" s="3169"/>
      <c r="BJ125" s="3169"/>
      <c r="BK125" s="3169"/>
      <c r="BL125" s="3169"/>
      <c r="BM125" s="3169"/>
      <c r="BN125" s="3169"/>
      <c r="BO125" s="3169"/>
      <c r="BP125" s="3169"/>
    </row>
    <row r="126" spans="1:69" ht="12.75" customHeight="1">
      <c r="A126" s="3350"/>
      <c r="B126" s="3366"/>
      <c r="C126" s="1443"/>
      <c r="D126" s="1607" t="s">
        <v>3176</v>
      </c>
      <c r="E126" s="1443"/>
      <c r="F126" s="1443"/>
      <c r="G126" s="1443"/>
      <c r="H126" s="1443"/>
      <c r="I126" s="1443"/>
      <c r="J126" s="1443"/>
      <c r="K126" s="1443"/>
      <c r="L126" s="1443"/>
      <c r="M126" s="1443"/>
      <c r="N126" s="1443"/>
      <c r="O126" s="1443"/>
      <c r="P126" s="1443"/>
      <c r="Q126" s="1443"/>
      <c r="R126" s="1443"/>
      <c r="S126" s="1443"/>
      <c r="T126" s="1443"/>
      <c r="U126" s="1443"/>
      <c r="V126" s="1443"/>
      <c r="W126" s="1443"/>
      <c r="X126" s="1443"/>
      <c r="Y126" s="2257"/>
      <c r="Z126" s="1945"/>
      <c r="AA126" s="1945"/>
      <c r="AB126" s="1945"/>
      <c r="AC126" s="1945"/>
      <c r="AD126" s="1945"/>
      <c r="AE126" s="1945"/>
      <c r="AF126" s="1945"/>
      <c r="AG126" s="2258"/>
      <c r="AH126" s="1945"/>
      <c r="AI126" s="1945"/>
      <c r="AJ126" s="1945"/>
      <c r="AK126" s="1945"/>
      <c r="AL126" s="1945"/>
      <c r="AM126" s="1945"/>
      <c r="AN126" s="1945"/>
      <c r="AO126" s="1945"/>
      <c r="AP126" s="3350"/>
      <c r="BG126" s="3742"/>
      <c r="BH126" s="3169"/>
      <c r="BI126" s="3169"/>
      <c r="BJ126" s="3169"/>
      <c r="BK126" s="3169"/>
      <c r="BL126" s="3169"/>
      <c r="BM126" s="3169"/>
      <c r="BN126" s="3169"/>
      <c r="BO126" s="3169"/>
      <c r="BP126" s="3169"/>
    </row>
    <row r="127" spans="1:69" ht="12.75" customHeight="1">
      <c r="A127" s="3350"/>
      <c r="B127" s="3366"/>
      <c r="C127" s="1443"/>
      <c r="D127" s="1607" t="s">
        <v>3177</v>
      </c>
      <c r="E127" s="1443"/>
      <c r="F127" s="1443"/>
      <c r="G127" s="1443"/>
      <c r="H127" s="1443"/>
      <c r="I127" s="1443"/>
      <c r="J127" s="1443"/>
      <c r="K127" s="1443"/>
      <c r="L127" s="1443"/>
      <c r="M127" s="1443"/>
      <c r="N127" s="1443"/>
      <c r="O127" s="1443"/>
      <c r="P127" s="1443"/>
      <c r="Q127" s="1443"/>
      <c r="R127" s="1443"/>
      <c r="S127" s="1443"/>
      <c r="T127" s="1443"/>
      <c r="U127" s="1443"/>
      <c r="V127" s="1443"/>
      <c r="W127" s="1443"/>
      <c r="X127" s="1443"/>
      <c r="Y127" s="2257"/>
      <c r="Z127" s="1945"/>
      <c r="AA127" s="1945"/>
      <c r="AB127" s="1945"/>
      <c r="AC127" s="1945"/>
      <c r="AD127" s="1945"/>
      <c r="AE127" s="1945"/>
      <c r="AF127" s="1945"/>
      <c r="AG127" s="2258"/>
      <c r="AH127" s="1945"/>
      <c r="AI127" s="1945"/>
      <c r="AJ127" s="1945"/>
      <c r="AK127" s="1945"/>
      <c r="AL127" s="1945"/>
      <c r="AM127" s="1945"/>
      <c r="AN127" s="1945"/>
      <c r="AO127" s="1945"/>
      <c r="AP127" s="3350"/>
      <c r="BG127" s="3742"/>
      <c r="BH127" s="3169"/>
      <c r="BI127" s="3169"/>
      <c r="BJ127" s="3169"/>
      <c r="BK127" s="3169"/>
      <c r="BL127" s="3169"/>
      <c r="BM127" s="3169"/>
      <c r="BN127" s="3169"/>
      <c r="BO127" s="3169"/>
      <c r="BP127" s="3169"/>
    </row>
    <row r="128" spans="1:69" ht="13.5" customHeight="1" thickBot="1">
      <c r="A128" s="3350"/>
      <c r="B128" s="3927"/>
      <c r="C128" s="1612"/>
      <c r="D128" s="2123" t="s">
        <v>3178</v>
      </c>
      <c r="E128" s="1612"/>
      <c r="F128" s="1612"/>
      <c r="G128" s="1612"/>
      <c r="H128" s="1612"/>
      <c r="I128" s="1612"/>
      <c r="J128" s="1612"/>
      <c r="K128" s="1612"/>
      <c r="L128" s="1612"/>
      <c r="M128" s="1612"/>
      <c r="N128" s="1612"/>
      <c r="O128" s="1612"/>
      <c r="P128" s="1612"/>
      <c r="Q128" s="1612"/>
      <c r="R128" s="1612"/>
      <c r="S128" s="1612"/>
      <c r="T128" s="1612"/>
      <c r="U128" s="1612"/>
      <c r="V128" s="1612"/>
      <c r="W128" s="1612"/>
      <c r="X128" s="4210" t="s">
        <v>1280</v>
      </c>
      <c r="Y128" s="6179">
        <v>43</v>
      </c>
      <c r="Z128" s="6180"/>
      <c r="AA128" s="6181"/>
      <c r="AB128" s="6182"/>
      <c r="AC128" s="6182"/>
      <c r="AD128" s="6182"/>
      <c r="AE128" s="6182"/>
      <c r="AF128" s="6182"/>
      <c r="AG128" s="6182"/>
      <c r="AH128" s="3928"/>
      <c r="AI128" s="3928"/>
      <c r="AJ128" s="3928"/>
      <c r="AK128" s="3928"/>
      <c r="AL128" s="3928"/>
      <c r="AM128" s="3928"/>
      <c r="AN128" s="3928"/>
      <c r="AO128" s="3928"/>
      <c r="AP128" s="3350"/>
      <c r="BG128" s="3742"/>
      <c r="BH128" s="3169"/>
      <c r="BI128" s="3169"/>
      <c r="BJ128" s="3169"/>
      <c r="BK128" s="3169"/>
      <c r="BL128" s="3169"/>
      <c r="BM128" s="3169"/>
      <c r="BN128" s="3169"/>
      <c r="BO128" s="3169"/>
      <c r="BP128" s="3169"/>
    </row>
    <row r="129" spans="1:69" ht="12.75" customHeight="1">
      <c r="A129" s="3350"/>
      <c r="B129" s="3366"/>
      <c r="C129" s="1443"/>
      <c r="D129" s="1443"/>
      <c r="E129" s="1443"/>
      <c r="F129" s="1443"/>
      <c r="G129" s="1443"/>
      <c r="H129" s="1443"/>
      <c r="I129" s="1443"/>
      <c r="J129" s="1443"/>
      <c r="K129" s="1443"/>
      <c r="L129" s="1443"/>
      <c r="M129" s="1443"/>
      <c r="N129" s="1443"/>
      <c r="O129" s="1443"/>
      <c r="P129" s="1443"/>
      <c r="Q129" s="1443"/>
      <c r="R129" s="1443"/>
      <c r="S129" s="1443"/>
      <c r="T129" s="1443"/>
      <c r="U129" s="1443"/>
      <c r="V129" s="1443"/>
      <c r="W129" s="1443"/>
      <c r="X129" s="1443"/>
      <c r="Y129" s="1443"/>
      <c r="Z129" s="1443"/>
      <c r="AA129" s="1443"/>
      <c r="AB129" s="1443"/>
      <c r="AC129" s="1443"/>
      <c r="AD129" s="1443"/>
      <c r="AE129" s="1443"/>
      <c r="AF129" s="1443"/>
      <c r="AG129" s="1443"/>
      <c r="AH129" s="1443"/>
      <c r="AI129" s="1443"/>
      <c r="AJ129" s="1443"/>
      <c r="AK129" s="1443"/>
      <c r="AL129" s="1443"/>
      <c r="AM129" s="1443"/>
      <c r="AN129" s="1443"/>
      <c r="AO129" s="3913" t="str">
        <f>"Schedule E (Form 1040) "&amp;TaxYear</f>
        <v>Schedule E (Form 1040) 2018</v>
      </c>
      <c r="AP129" s="3350"/>
      <c r="BG129" s="3742"/>
      <c r="BH129" s="3169"/>
      <c r="BI129" s="3169"/>
      <c r="BJ129" s="3169"/>
      <c r="BK129" s="3169"/>
      <c r="BL129" s="3169"/>
      <c r="BM129" s="3169"/>
      <c r="BN129" s="3169"/>
      <c r="BO129" s="3169"/>
      <c r="BP129" s="3169"/>
    </row>
    <row r="130" spans="1:69" ht="18" customHeight="1">
      <c r="A130" s="3350"/>
      <c r="B130" s="4504"/>
      <c r="C130" s="4505"/>
      <c r="D130" s="4505"/>
      <c r="E130" s="3929"/>
      <c r="F130" s="3929"/>
      <c r="G130" s="3930"/>
      <c r="H130" s="3859"/>
      <c r="I130" s="1443"/>
      <c r="J130" s="1443"/>
      <c r="K130" s="1443"/>
      <c r="L130" s="1443"/>
      <c r="M130" s="3861"/>
      <c r="N130" s="1443"/>
      <c r="O130" s="1443"/>
      <c r="P130" s="1443"/>
      <c r="Q130" s="1443"/>
      <c r="R130" s="1443"/>
      <c r="S130" s="1443"/>
      <c r="T130" s="1443"/>
      <c r="U130" s="1443"/>
      <c r="V130" s="1443"/>
      <c r="W130" s="1443"/>
      <c r="X130" s="1443"/>
      <c r="Y130" s="1443"/>
      <c r="Z130" s="1443"/>
      <c r="AA130" s="1443"/>
      <c r="AB130" s="1443"/>
      <c r="AC130" s="1443"/>
      <c r="AD130" s="1443"/>
      <c r="AE130" s="1443"/>
      <c r="AF130" s="1443"/>
      <c r="AG130" s="1443"/>
      <c r="AH130" s="1443"/>
      <c r="AI130" s="6397" t="s">
        <v>169</v>
      </c>
      <c r="AJ130" s="6398"/>
      <c r="AK130" s="6398"/>
      <c r="AL130" s="6398"/>
      <c r="AM130" s="6398"/>
      <c r="AN130" s="6398"/>
      <c r="AO130" s="6398"/>
      <c r="AP130" s="3350"/>
      <c r="BG130" s="4026" t="s">
        <v>4089</v>
      </c>
      <c r="BH130" s="3169"/>
      <c r="BI130" s="3169"/>
      <c r="BJ130" s="3169"/>
      <c r="BK130" s="3169"/>
      <c r="BL130" s="3169"/>
      <c r="BM130" s="3169"/>
      <c r="BN130" s="3169"/>
      <c r="BO130" s="3169"/>
      <c r="BP130" s="3169"/>
    </row>
    <row r="131" spans="1:69" ht="30" customHeight="1">
      <c r="A131" s="3350"/>
      <c r="B131" s="6399" t="s">
        <v>3179</v>
      </c>
      <c r="C131" s="5680"/>
      <c r="D131" s="5680"/>
      <c r="E131" s="5680"/>
      <c r="F131" s="5680"/>
      <c r="G131" s="6400"/>
      <c r="H131" s="4108" t="s">
        <v>822</v>
      </c>
      <c r="I131" s="3915"/>
      <c r="J131" s="3915"/>
      <c r="K131" s="3915"/>
      <c r="L131" s="3915"/>
      <c r="M131" s="3915"/>
      <c r="N131" s="3915"/>
      <c r="O131" s="3915"/>
      <c r="P131" s="3915"/>
      <c r="Q131" s="3915"/>
      <c r="R131" s="3915"/>
      <c r="S131" s="3915"/>
      <c r="T131" s="3915"/>
      <c r="U131" s="3915"/>
      <c r="V131" s="3915"/>
      <c r="W131" s="3915"/>
      <c r="X131" s="3915"/>
      <c r="Y131" s="3915"/>
      <c r="Z131" s="3915"/>
      <c r="AA131" s="3915"/>
      <c r="AB131" s="3915"/>
      <c r="AC131" s="3915"/>
      <c r="AD131" s="3915"/>
      <c r="AE131" s="3915"/>
      <c r="AF131" s="3915"/>
      <c r="AG131" s="3915"/>
      <c r="AH131" s="3916"/>
      <c r="AI131" s="6401">
        <f>TaxYear</f>
        <v>2018</v>
      </c>
      <c r="AJ131" s="6402"/>
      <c r="AK131" s="6402"/>
      <c r="AL131" s="6402"/>
      <c r="AM131" s="6402"/>
      <c r="AN131" s="6402"/>
      <c r="AO131" s="6402"/>
      <c r="AP131" s="3350"/>
      <c r="BG131" s="3742"/>
      <c r="BH131" s="3169"/>
      <c r="BI131" s="3169"/>
      <c r="BJ131" s="3169"/>
      <c r="BK131" s="3169"/>
      <c r="BL131" s="3169"/>
      <c r="BM131" s="3169"/>
      <c r="BN131" s="3169"/>
      <c r="BO131" s="3169"/>
      <c r="BP131" s="3169"/>
    </row>
    <row r="132" spans="1:69">
      <c r="A132" s="3350"/>
      <c r="B132" s="6405" t="s">
        <v>3114</v>
      </c>
      <c r="C132" s="5628"/>
      <c r="D132" s="5628"/>
      <c r="E132" s="5628"/>
      <c r="F132" s="5628"/>
      <c r="G132" s="6406"/>
      <c r="H132" s="3933" t="str">
        <f>"(From rental real estate, royalties, partnerships, S corporations, estates, trusts, REMICs, etc.)"</f>
        <v>(From rental real estate, royalties, partnerships, S corporations, estates, trusts, REMICs, etc.)</v>
      </c>
      <c r="I132" s="2241"/>
      <c r="J132" s="2241"/>
      <c r="K132" s="2241"/>
      <c r="L132" s="2241"/>
      <c r="M132" s="2241"/>
      <c r="N132" s="2241"/>
      <c r="O132" s="2241"/>
      <c r="P132" s="2241"/>
      <c r="Q132" s="2241"/>
      <c r="R132" s="2241"/>
      <c r="S132" s="2241"/>
      <c r="T132" s="3914"/>
      <c r="U132" s="2241"/>
      <c r="V132" s="2241"/>
      <c r="W132" s="2241"/>
      <c r="X132" s="2241"/>
      <c r="Y132" s="2241"/>
      <c r="Z132" s="2241"/>
      <c r="AA132" s="2241"/>
      <c r="AB132" s="2241"/>
      <c r="AC132" s="2241"/>
      <c r="AD132" s="2241"/>
      <c r="AE132" s="2241"/>
      <c r="AF132" s="2241"/>
      <c r="AG132" s="2241"/>
      <c r="AH132" s="2241"/>
      <c r="AI132" s="6403"/>
      <c r="AJ132" s="6404"/>
      <c r="AK132" s="6404"/>
      <c r="AL132" s="6404"/>
      <c r="AM132" s="6404"/>
      <c r="AN132" s="6404"/>
      <c r="AO132" s="6404"/>
      <c r="AP132" s="3350"/>
      <c r="BG132" s="3742"/>
      <c r="BH132" s="3169"/>
      <c r="BI132" s="3169"/>
      <c r="BJ132" s="3169"/>
      <c r="BK132" s="3169"/>
      <c r="BL132" s="3169"/>
      <c r="BM132" s="3169"/>
      <c r="BN132" s="3169"/>
      <c r="BO132" s="3169"/>
      <c r="BP132" s="3169"/>
    </row>
    <row r="133" spans="1:69">
      <c r="A133" s="3350"/>
      <c r="B133" s="6405"/>
      <c r="C133" s="5628"/>
      <c r="D133" s="5628"/>
      <c r="E133" s="5628"/>
      <c r="F133" s="5628"/>
      <c r="G133" s="6406"/>
      <c r="H133" s="1610"/>
      <c r="I133" s="1443"/>
      <c r="J133" s="1443"/>
      <c r="K133" s="1443"/>
      <c r="L133" s="1443"/>
      <c r="M133" s="1443"/>
      <c r="N133" s="1443"/>
      <c r="O133" s="1443"/>
      <c r="P133" s="1443"/>
      <c r="Q133" s="1443"/>
      <c r="R133" s="1443"/>
      <c r="S133" s="1443"/>
      <c r="T133" s="1804" t="s">
        <v>3115</v>
      </c>
      <c r="U133" s="1443"/>
      <c r="V133" s="1443"/>
      <c r="W133" s="1443"/>
      <c r="X133" s="1443"/>
      <c r="Y133" s="1443"/>
      <c r="Z133" s="1443"/>
      <c r="AA133" s="1443"/>
      <c r="AB133" s="1443"/>
      <c r="AC133" s="1443"/>
      <c r="AD133" s="1443"/>
      <c r="AE133" s="1443"/>
      <c r="AF133" s="1443"/>
      <c r="AG133" s="1443"/>
      <c r="AH133" s="1443"/>
      <c r="AI133" s="3931"/>
      <c r="AJ133" s="5676" t="s">
        <v>2597</v>
      </c>
      <c r="AK133" s="6176"/>
      <c r="AL133" s="6176"/>
      <c r="AM133" s="6176"/>
      <c r="AN133" s="3860"/>
      <c r="AO133" s="3860"/>
      <c r="AP133" s="3350"/>
      <c r="BG133" s="3742"/>
      <c r="BH133" s="3169"/>
      <c r="BI133" s="3169"/>
      <c r="BJ133" s="3169"/>
      <c r="BK133" s="3169"/>
      <c r="BL133" s="3169"/>
      <c r="BM133" s="3169"/>
      <c r="BN133" s="3169"/>
      <c r="BO133" s="3169"/>
      <c r="BP133" s="3169"/>
    </row>
    <row r="134" spans="1:69" ht="14.25" customHeight="1" thickBot="1">
      <c r="A134" s="3350"/>
      <c r="B134" s="5629"/>
      <c r="C134" s="5629"/>
      <c r="D134" s="5629"/>
      <c r="E134" s="5629"/>
      <c r="F134" s="5629"/>
      <c r="G134" s="6407"/>
      <c r="H134" s="3862" t="s">
        <v>4078</v>
      </c>
      <c r="I134" s="3745"/>
      <c r="J134" s="3745"/>
      <c r="K134" s="3745"/>
      <c r="L134" s="3745"/>
      <c r="M134" s="3745"/>
      <c r="N134" s="3745"/>
      <c r="O134" s="3745"/>
      <c r="P134" s="3745"/>
      <c r="Q134" s="3745"/>
      <c r="R134" s="3745"/>
      <c r="S134" s="3745"/>
      <c r="T134" s="3745"/>
      <c r="U134" s="3745"/>
      <c r="V134" s="3745"/>
      <c r="W134" s="3745"/>
      <c r="X134" s="3745"/>
      <c r="Y134" s="3745"/>
      <c r="Z134" s="3745"/>
      <c r="AA134" s="3745"/>
      <c r="AB134" s="3745"/>
      <c r="AC134" s="3745"/>
      <c r="AD134" s="3745"/>
      <c r="AE134" s="3745"/>
      <c r="AF134" s="3745"/>
      <c r="AG134" s="3745"/>
      <c r="AH134" s="3745"/>
      <c r="AI134" s="3932"/>
      <c r="AJ134" s="6408"/>
      <c r="AK134" s="6408"/>
      <c r="AL134" s="6408"/>
      <c r="AM134" s="6408"/>
      <c r="AN134" s="6409">
        <v>13</v>
      </c>
      <c r="AO134" s="6410"/>
      <c r="AP134" s="3350"/>
      <c r="BG134" s="3742"/>
      <c r="BH134" s="3169"/>
      <c r="BI134" s="3169"/>
      <c r="BJ134" s="3169"/>
      <c r="BK134" s="3169"/>
      <c r="BL134" s="3169"/>
      <c r="BM134" s="3169"/>
      <c r="BN134" s="3169"/>
      <c r="BO134" s="3169"/>
      <c r="BP134" s="3169"/>
    </row>
    <row r="135" spans="1:69">
      <c r="A135" s="3350"/>
      <c r="B135" s="1607" t="s">
        <v>63</v>
      </c>
      <c r="C135" s="1443"/>
      <c r="D135" s="1443"/>
      <c r="E135" s="1443"/>
      <c r="F135" s="1443"/>
      <c r="G135" s="1443"/>
      <c r="H135" s="1443"/>
      <c r="I135" s="1443"/>
      <c r="J135" s="1443"/>
      <c r="K135" s="1443"/>
      <c r="L135" s="1443"/>
      <c r="M135" s="1443"/>
      <c r="N135" s="1443"/>
      <c r="O135" s="1443"/>
      <c r="P135" s="1443"/>
      <c r="Q135" s="1443"/>
      <c r="R135" s="1443"/>
      <c r="S135" s="1443"/>
      <c r="T135" s="1443"/>
      <c r="U135" s="1443"/>
      <c r="V135" s="1443"/>
      <c r="W135" s="1443"/>
      <c r="X135" s="1443"/>
      <c r="Y135" s="1443"/>
      <c r="Z135" s="1443"/>
      <c r="AA135" s="1443"/>
      <c r="AB135" s="1443"/>
      <c r="AC135" s="1443"/>
      <c r="AD135" s="1443"/>
      <c r="AE135" s="1443"/>
      <c r="AF135" s="1443"/>
      <c r="AG135" s="6411" t="s">
        <v>99</v>
      </c>
      <c r="AH135" s="6412"/>
      <c r="AI135" s="6412"/>
      <c r="AJ135" s="6412"/>
      <c r="AK135" s="6412"/>
      <c r="AL135" s="6412"/>
      <c r="AM135" s="6412"/>
      <c r="AN135" s="6412"/>
      <c r="AO135" s="6412"/>
      <c r="AP135" s="3350"/>
      <c r="BG135" s="3742"/>
      <c r="BH135" s="3169"/>
      <c r="BI135" s="3169"/>
      <c r="BJ135" s="3169"/>
      <c r="BK135" s="3169"/>
      <c r="BL135" s="3169"/>
      <c r="BM135" s="3169"/>
      <c r="BN135" s="3169"/>
      <c r="BO135" s="3169"/>
      <c r="BP135" s="3169"/>
    </row>
    <row r="136" spans="1:69" ht="9.75" customHeight="1">
      <c r="A136" s="3350"/>
      <c r="B136" s="5600" t="str">
        <f>Names</f>
        <v/>
      </c>
      <c r="C136" s="5601"/>
      <c r="D136" s="5601"/>
      <c r="E136" s="5601"/>
      <c r="F136" s="5601"/>
      <c r="G136" s="5601"/>
      <c r="H136" s="5601"/>
      <c r="I136" s="5601"/>
      <c r="J136" s="5601"/>
      <c r="K136" s="5601"/>
      <c r="L136" s="5601"/>
      <c r="M136" s="5601"/>
      <c r="N136" s="5601"/>
      <c r="O136" s="5601"/>
      <c r="P136" s="5601"/>
      <c r="Q136" s="5601"/>
      <c r="R136" s="5601"/>
      <c r="S136" s="5601"/>
      <c r="T136" s="5601"/>
      <c r="U136" s="5601"/>
      <c r="V136" s="5601"/>
      <c r="W136" s="5601"/>
      <c r="X136" s="5601"/>
      <c r="Y136" s="5601"/>
      <c r="Z136" s="5601"/>
      <c r="AA136" s="5601"/>
      <c r="AB136" s="5601"/>
      <c r="AC136" s="5601"/>
      <c r="AD136" s="5601"/>
      <c r="AE136" s="5601"/>
      <c r="AF136" s="5602"/>
      <c r="AG136" s="6413">
        <f>IF(NoSSN,"",SS_Yours)</f>
        <v>0</v>
      </c>
      <c r="AH136" s="6414"/>
      <c r="AI136" s="6414"/>
      <c r="AJ136" s="6414"/>
      <c r="AK136" s="6414"/>
      <c r="AL136" s="6414"/>
      <c r="AM136" s="6414"/>
      <c r="AN136" s="6414"/>
      <c r="AO136" s="6414"/>
      <c r="AP136" s="3350"/>
      <c r="BG136" s="3742"/>
      <c r="BH136" s="3169"/>
      <c r="BI136" s="3169"/>
      <c r="BJ136" s="3169"/>
      <c r="BK136" s="3169"/>
      <c r="BL136" s="3169"/>
      <c r="BM136" s="3169"/>
      <c r="BN136" s="3169"/>
      <c r="BO136" s="3169"/>
      <c r="BP136" s="3169"/>
    </row>
    <row r="137" spans="1:69" ht="9.75" customHeight="1">
      <c r="A137" s="3350"/>
      <c r="B137" s="5372"/>
      <c r="C137" s="5372"/>
      <c r="D137" s="5372"/>
      <c r="E137" s="5372"/>
      <c r="F137" s="5372"/>
      <c r="G137" s="5372"/>
      <c r="H137" s="5372"/>
      <c r="I137" s="5372"/>
      <c r="J137" s="5372"/>
      <c r="K137" s="5372"/>
      <c r="L137" s="5372"/>
      <c r="M137" s="5372"/>
      <c r="N137" s="5372"/>
      <c r="O137" s="5372"/>
      <c r="P137" s="5372"/>
      <c r="Q137" s="5372"/>
      <c r="R137" s="5372"/>
      <c r="S137" s="5372"/>
      <c r="T137" s="5372"/>
      <c r="U137" s="5372"/>
      <c r="V137" s="5372"/>
      <c r="W137" s="5372"/>
      <c r="X137" s="5372"/>
      <c r="Y137" s="5372"/>
      <c r="Z137" s="5372"/>
      <c r="AA137" s="5372"/>
      <c r="AB137" s="5372"/>
      <c r="AC137" s="5372"/>
      <c r="AD137" s="5372"/>
      <c r="AE137" s="5372"/>
      <c r="AF137" s="5603"/>
      <c r="AG137" s="6415"/>
      <c r="AH137" s="6416"/>
      <c r="AI137" s="6416"/>
      <c r="AJ137" s="6416"/>
      <c r="AK137" s="6416"/>
      <c r="AL137" s="6416"/>
      <c r="AM137" s="6416"/>
      <c r="AN137" s="6416"/>
      <c r="AO137" s="6416"/>
      <c r="AP137" s="3350"/>
      <c r="BG137" s="3742"/>
      <c r="BH137" s="3169"/>
      <c r="BI137" s="3169"/>
      <c r="BJ137" s="3169"/>
      <c r="BK137" s="3169"/>
      <c r="BL137" s="3169"/>
      <c r="BM137" s="3169"/>
      <c r="BN137" s="3169"/>
      <c r="BO137" s="3169"/>
      <c r="BP137" s="3169"/>
    </row>
    <row r="138" spans="1:69" s="3272" customFormat="1" ht="17.25" customHeight="1">
      <c r="A138" s="3351"/>
      <c r="B138" s="6207" t="s">
        <v>58</v>
      </c>
      <c r="C138" s="6207"/>
      <c r="D138" s="6208"/>
      <c r="E138" s="1750"/>
      <c r="F138" s="3868" t="s">
        <v>823</v>
      </c>
      <c r="G138" s="1750"/>
      <c r="H138" s="1750"/>
      <c r="I138" s="1750"/>
      <c r="J138" s="1750"/>
      <c r="K138" s="1750"/>
      <c r="L138" s="1750"/>
      <c r="M138" s="1750"/>
      <c r="N138" s="1750"/>
      <c r="O138" s="1750"/>
      <c r="P138" s="1750"/>
      <c r="Q138" s="1750"/>
      <c r="R138" s="1750"/>
      <c r="S138" s="1750"/>
      <c r="T138" s="1750"/>
      <c r="U138" s="1750"/>
      <c r="V138" s="1750"/>
      <c r="W138" s="1750"/>
      <c r="X138" s="3869" t="s">
        <v>3116</v>
      </c>
      <c r="Y138" s="1750"/>
      <c r="Z138" s="1750"/>
      <c r="AA138" s="1750"/>
      <c r="AB138" s="1750"/>
      <c r="AC138" s="1750"/>
      <c r="AD138" s="1750"/>
      <c r="AE138" s="1750"/>
      <c r="AF138" s="1750"/>
      <c r="AG138" s="1750"/>
      <c r="AH138" s="1750"/>
      <c r="AI138" s="1750"/>
      <c r="AJ138" s="1750"/>
      <c r="AK138" s="1750"/>
      <c r="AL138" s="1750"/>
      <c r="AM138" s="1750"/>
      <c r="AN138" s="1750"/>
      <c r="AO138" s="1750"/>
      <c r="AP138" s="3350"/>
      <c r="BG138" s="3742"/>
      <c r="BH138" s="3169"/>
      <c r="BI138" s="3169"/>
      <c r="BJ138" s="3169"/>
      <c r="BK138" s="3169"/>
      <c r="BL138" s="3169"/>
      <c r="BM138" s="3169"/>
      <c r="BN138" s="3169"/>
      <c r="BO138" s="3169"/>
      <c r="BP138" s="3169"/>
      <c r="BQ138" s="4351"/>
    </row>
    <row r="139" spans="1:69" ht="15.75">
      <c r="A139" s="3350"/>
      <c r="B139" s="3866"/>
      <c r="C139" s="3866"/>
      <c r="D139" s="3867"/>
      <c r="E139" s="2206"/>
      <c r="F139" s="2723" t="s">
        <v>3117</v>
      </c>
      <c r="G139" s="3865"/>
      <c r="H139" s="3865"/>
      <c r="I139" s="3865"/>
      <c r="J139" s="3865"/>
      <c r="K139" s="3865"/>
      <c r="L139" s="3865"/>
      <c r="M139" s="2206"/>
      <c r="N139" s="3865"/>
      <c r="O139" s="3865"/>
      <c r="P139" s="3865"/>
      <c r="Q139" s="3865"/>
      <c r="R139" s="3865"/>
      <c r="S139" s="3865"/>
      <c r="T139" s="3865"/>
      <c r="U139" s="3865"/>
      <c r="V139" s="3865"/>
      <c r="W139" s="3865"/>
      <c r="X139" s="3865"/>
      <c r="Y139" s="3865"/>
      <c r="Z139" s="3865"/>
      <c r="AA139" s="3865"/>
      <c r="AB139" s="3865"/>
      <c r="AC139" s="3865"/>
      <c r="AD139" s="2206"/>
      <c r="AE139" s="3865"/>
      <c r="AF139" s="3865"/>
      <c r="AG139" s="3865"/>
      <c r="AH139" s="3865"/>
      <c r="AI139" s="3865"/>
      <c r="AJ139" s="3865"/>
      <c r="AK139" s="3865"/>
      <c r="AL139" s="3865"/>
      <c r="AM139" s="3865"/>
      <c r="AN139" s="3865"/>
      <c r="AO139" s="3865"/>
      <c r="AP139" s="3350"/>
      <c r="BG139" s="3742"/>
      <c r="BH139" s="3169"/>
      <c r="BI139" s="3169"/>
      <c r="BJ139" s="3169"/>
      <c r="BK139" s="3169"/>
      <c r="BL139" s="3169"/>
      <c r="BM139" s="3169"/>
      <c r="BN139" s="3169"/>
      <c r="BO139" s="3169"/>
      <c r="BP139" s="3169"/>
    </row>
    <row r="140" spans="1:69" ht="15.75">
      <c r="A140" s="3350"/>
      <c r="B140" s="6377" t="s">
        <v>159</v>
      </c>
      <c r="C140" s="6392"/>
      <c r="D140" s="3870" t="str">
        <f>"Did you make any payments in "&amp;TaxYear&amp;" that would require you to file Form(s) 1099? (see instructions)"</f>
        <v>Did you make any payments in 2018 that would require you to file Form(s) 1099? (see instructions)</v>
      </c>
      <c r="E140" s="2850"/>
      <c r="F140" s="2850"/>
      <c r="G140" s="2850"/>
      <c r="H140" s="2850"/>
      <c r="I140" s="2850"/>
      <c r="J140" s="2850"/>
      <c r="K140" s="2850"/>
      <c r="L140" s="2850"/>
      <c r="M140" s="2850"/>
      <c r="N140" s="2850"/>
      <c r="O140" s="2850"/>
      <c r="P140" s="2850"/>
      <c r="Q140" s="2850"/>
      <c r="R140" s="2850"/>
      <c r="S140" s="2850"/>
      <c r="T140" s="2850"/>
      <c r="U140" s="2850"/>
      <c r="V140" s="2850"/>
      <c r="W140" s="2850"/>
      <c r="X140" s="2850"/>
      <c r="Y140" s="2850"/>
      <c r="Z140" s="2850"/>
      <c r="AA140" s="2850"/>
      <c r="AB140" s="2850"/>
      <c r="AC140" s="2850"/>
      <c r="AD140" s="2850"/>
      <c r="AE140" s="2850"/>
      <c r="AF140" s="2850"/>
      <c r="AG140" s="2850"/>
      <c r="AH140" s="2850"/>
      <c r="AI140" s="2850"/>
      <c r="AJ140" s="1444"/>
      <c r="AK140" s="3380" t="s">
        <v>3118</v>
      </c>
      <c r="AL140" s="2850"/>
      <c r="AM140" s="1444"/>
      <c r="AN140" s="3380" t="s">
        <v>596</v>
      </c>
      <c r="AO140" s="2850"/>
      <c r="AP140" s="3350"/>
      <c r="BG140" s="3742"/>
      <c r="BH140" s="3169"/>
      <c r="BI140" s="3169"/>
      <c r="BJ140" s="3169"/>
      <c r="BK140" s="3169"/>
      <c r="BL140" s="3169"/>
      <c r="BM140" s="3169"/>
      <c r="BN140" s="3169"/>
      <c r="BO140" s="3169"/>
      <c r="BP140" s="3169"/>
    </row>
    <row r="141" spans="1:69" ht="15.75">
      <c r="A141" s="3350"/>
      <c r="B141" s="6393" t="s">
        <v>327</v>
      </c>
      <c r="C141" s="6394"/>
      <c r="D141" s="3400" t="s">
        <v>840</v>
      </c>
      <c r="E141" s="3865"/>
      <c r="F141" s="3865"/>
      <c r="G141" s="3865"/>
      <c r="H141" s="3865"/>
      <c r="I141" s="3865"/>
      <c r="J141" s="3865"/>
      <c r="K141" s="3865"/>
      <c r="L141" s="3865"/>
      <c r="M141" s="3865"/>
      <c r="N141" s="3865"/>
      <c r="O141" s="3865"/>
      <c r="P141" s="3865"/>
      <c r="Q141" s="3865"/>
      <c r="R141" s="3865"/>
      <c r="S141" s="3865"/>
      <c r="T141" s="3865"/>
      <c r="U141" s="3865"/>
      <c r="V141" s="3865"/>
      <c r="W141" s="3865"/>
      <c r="X141" s="3865"/>
      <c r="Y141" s="3865"/>
      <c r="Z141" s="3865"/>
      <c r="AA141" s="3865"/>
      <c r="AB141" s="3865"/>
      <c r="AC141" s="3865"/>
      <c r="AD141" s="3865"/>
      <c r="AE141" s="3865"/>
      <c r="AF141" s="3865"/>
      <c r="AG141" s="3865"/>
      <c r="AH141" s="3865"/>
      <c r="AI141" s="3865"/>
      <c r="AJ141" s="1444"/>
      <c r="AK141" s="1955" t="s">
        <v>3118</v>
      </c>
      <c r="AL141" s="3865"/>
      <c r="AM141" s="1444"/>
      <c r="AN141" s="1955" t="s">
        <v>596</v>
      </c>
      <c r="AO141" s="3865"/>
      <c r="AP141" s="3350"/>
      <c r="BG141" s="3742"/>
      <c r="BH141" s="3169"/>
      <c r="BI141" s="3169"/>
      <c r="BJ141" s="3169"/>
      <c r="BK141" s="3169"/>
      <c r="BL141" s="3169"/>
      <c r="BM141" s="3169"/>
      <c r="BN141" s="3169"/>
      <c r="BO141" s="3169"/>
      <c r="BP141" s="3169"/>
    </row>
    <row r="142" spans="1:69" ht="15.75">
      <c r="A142" s="3350"/>
      <c r="B142" s="6366" t="s">
        <v>14</v>
      </c>
      <c r="C142" s="6395"/>
      <c r="D142" s="3856" t="s">
        <v>916</v>
      </c>
      <c r="E142" s="3872"/>
      <c r="F142" s="3872"/>
      <c r="G142" s="3872"/>
      <c r="H142" s="3872"/>
      <c r="I142" s="3872"/>
      <c r="J142" s="3872"/>
      <c r="K142" s="3872"/>
      <c r="L142" s="3872"/>
      <c r="M142" s="3872"/>
      <c r="N142" s="3872"/>
      <c r="O142" s="3872"/>
      <c r="P142" s="3872"/>
      <c r="Q142" s="3872"/>
      <c r="R142" s="3872"/>
      <c r="S142" s="3872"/>
      <c r="T142" s="3872"/>
      <c r="U142" s="3872"/>
      <c r="V142" s="3872"/>
      <c r="W142" s="3872"/>
      <c r="X142" s="3872"/>
      <c r="Y142" s="3872"/>
      <c r="Z142" s="3872"/>
      <c r="AA142" s="3872"/>
      <c r="AB142" s="3872"/>
      <c r="AC142" s="3872"/>
      <c r="AD142" s="3872"/>
      <c r="AE142" s="3872"/>
      <c r="AF142" s="3872"/>
      <c r="AG142" s="3872"/>
      <c r="AH142" s="3872"/>
      <c r="AI142" s="3872"/>
      <c r="AJ142" s="3872"/>
      <c r="AK142" s="3872"/>
      <c r="AL142" s="3872"/>
      <c r="AM142" s="3872"/>
      <c r="AN142" s="3872"/>
      <c r="AO142" s="3872"/>
      <c r="AP142" s="3350"/>
      <c r="BG142" s="3742"/>
      <c r="BH142" s="3169"/>
      <c r="BI142" s="3169"/>
      <c r="BJ142" s="3169"/>
      <c r="BK142" s="3169"/>
      <c r="BL142" s="3169"/>
      <c r="BM142" s="3169"/>
      <c r="BN142" s="3169"/>
      <c r="BO142" s="3169"/>
      <c r="BP142" s="3169"/>
    </row>
    <row r="143" spans="1:69" ht="15.75">
      <c r="A143" s="3350"/>
      <c r="B143" s="6366" t="s">
        <v>159</v>
      </c>
      <c r="C143" s="6185"/>
      <c r="D143" s="6396"/>
      <c r="E143" s="5822"/>
      <c r="F143" s="5822"/>
      <c r="G143" s="5822"/>
      <c r="H143" s="5822"/>
      <c r="I143" s="5822"/>
      <c r="J143" s="5822"/>
      <c r="K143" s="5822"/>
      <c r="L143" s="5822"/>
      <c r="M143" s="5822"/>
      <c r="N143" s="5822"/>
      <c r="O143" s="5822"/>
      <c r="P143" s="5822"/>
      <c r="Q143" s="5822"/>
      <c r="R143" s="5822"/>
      <c r="S143" s="5822"/>
      <c r="T143" s="5822"/>
      <c r="U143" s="5822"/>
      <c r="V143" s="5822"/>
      <c r="W143" s="5822"/>
      <c r="X143" s="5822"/>
      <c r="Y143" s="5822"/>
      <c r="Z143" s="5822"/>
      <c r="AA143" s="5822"/>
      <c r="AB143" s="5822"/>
      <c r="AC143" s="5822"/>
      <c r="AD143" s="5822"/>
      <c r="AE143" s="5822"/>
      <c r="AF143" s="5822"/>
      <c r="AG143" s="5822"/>
      <c r="AH143" s="5822"/>
      <c r="AI143" s="5822"/>
      <c r="AJ143" s="5822"/>
      <c r="AK143" s="5822"/>
      <c r="AL143" s="5822"/>
      <c r="AM143" s="5822"/>
      <c r="AN143" s="5822"/>
      <c r="AO143" s="5822"/>
      <c r="AP143" s="3350"/>
      <c r="BG143" s="3742"/>
      <c r="BH143" s="3169"/>
      <c r="BI143" s="3169"/>
      <c r="BJ143" s="3169"/>
      <c r="BK143" s="3169"/>
      <c r="BL143" s="3169"/>
      <c r="BM143" s="3169"/>
      <c r="BN143" s="3169"/>
      <c r="BO143" s="3169"/>
      <c r="BP143" s="3169"/>
    </row>
    <row r="144" spans="1:69" ht="15.75">
      <c r="A144" s="3350"/>
      <c r="B144" s="6366" t="s">
        <v>327</v>
      </c>
      <c r="C144" s="6185"/>
      <c r="D144" s="6396"/>
      <c r="E144" s="5822"/>
      <c r="F144" s="5822"/>
      <c r="G144" s="5822"/>
      <c r="H144" s="5822"/>
      <c r="I144" s="5822"/>
      <c r="J144" s="5822"/>
      <c r="K144" s="5822"/>
      <c r="L144" s="5822"/>
      <c r="M144" s="5822"/>
      <c r="N144" s="5822"/>
      <c r="O144" s="5822"/>
      <c r="P144" s="5822"/>
      <c r="Q144" s="5822"/>
      <c r="R144" s="5822"/>
      <c r="S144" s="5822"/>
      <c r="T144" s="5822"/>
      <c r="U144" s="5822"/>
      <c r="V144" s="5822"/>
      <c r="W144" s="5822"/>
      <c r="X144" s="5822"/>
      <c r="Y144" s="5822"/>
      <c r="Z144" s="5822"/>
      <c r="AA144" s="5822"/>
      <c r="AB144" s="5822"/>
      <c r="AC144" s="5822"/>
      <c r="AD144" s="5822"/>
      <c r="AE144" s="5822"/>
      <c r="AF144" s="5822"/>
      <c r="AG144" s="5822"/>
      <c r="AH144" s="5822"/>
      <c r="AI144" s="5822"/>
      <c r="AJ144" s="5822"/>
      <c r="AK144" s="5822"/>
      <c r="AL144" s="5822"/>
      <c r="AM144" s="5822"/>
      <c r="AN144" s="5822"/>
      <c r="AO144" s="5822"/>
      <c r="AP144" s="3350"/>
      <c r="BG144" s="3742"/>
      <c r="BH144" s="3169"/>
      <c r="BI144" s="3169"/>
      <c r="BJ144" s="3169"/>
      <c r="BK144" s="3169"/>
      <c r="BL144" s="3169"/>
      <c r="BM144" s="3169"/>
      <c r="BN144" s="3169"/>
      <c r="BO144" s="3169"/>
      <c r="BP144" s="3169"/>
    </row>
    <row r="145" spans="1:68" ht="15.75">
      <c r="A145" s="3350"/>
      <c r="B145" s="6366" t="s">
        <v>160</v>
      </c>
      <c r="C145" s="6185"/>
      <c r="D145" s="6396"/>
      <c r="E145" s="5822"/>
      <c r="F145" s="5822"/>
      <c r="G145" s="5822"/>
      <c r="H145" s="5822"/>
      <c r="I145" s="5822"/>
      <c r="J145" s="5822"/>
      <c r="K145" s="5822"/>
      <c r="L145" s="5822"/>
      <c r="M145" s="5822"/>
      <c r="N145" s="5822"/>
      <c r="O145" s="5822"/>
      <c r="P145" s="5822"/>
      <c r="Q145" s="5822"/>
      <c r="R145" s="5822"/>
      <c r="S145" s="5822"/>
      <c r="T145" s="5822"/>
      <c r="U145" s="5822"/>
      <c r="V145" s="5822"/>
      <c r="W145" s="5822"/>
      <c r="X145" s="5822"/>
      <c r="Y145" s="5822"/>
      <c r="Z145" s="5822"/>
      <c r="AA145" s="5822"/>
      <c r="AB145" s="5822"/>
      <c r="AC145" s="5822"/>
      <c r="AD145" s="5822"/>
      <c r="AE145" s="5822"/>
      <c r="AF145" s="5822"/>
      <c r="AG145" s="5822"/>
      <c r="AH145" s="5822"/>
      <c r="AI145" s="5822"/>
      <c r="AJ145" s="5822"/>
      <c r="AK145" s="5822"/>
      <c r="AL145" s="5822"/>
      <c r="AM145" s="5822"/>
      <c r="AN145" s="5822"/>
      <c r="AO145" s="5822"/>
      <c r="AP145" s="3350"/>
      <c r="AX145" s="46">
        <v>1</v>
      </c>
      <c r="AY145" s="46" t="s">
        <v>1352</v>
      </c>
      <c r="BG145" s="3742"/>
      <c r="BH145" s="3169"/>
      <c r="BI145" s="3169"/>
      <c r="BJ145" s="3169"/>
      <c r="BK145" s="3169"/>
      <c r="BL145" s="3169"/>
      <c r="BM145" s="3169"/>
      <c r="BN145" s="3169"/>
      <c r="BO145" s="3169"/>
      <c r="BP145" s="3169"/>
    </row>
    <row r="146" spans="1:68" ht="15.75" customHeight="1">
      <c r="A146" s="3350"/>
      <c r="B146" s="6377" t="s">
        <v>17</v>
      </c>
      <c r="C146" s="6378"/>
      <c r="D146" s="6247" t="s">
        <v>3119</v>
      </c>
      <c r="E146" s="6379"/>
      <c r="F146" s="6379"/>
      <c r="G146" s="6379"/>
      <c r="H146" s="6380"/>
      <c r="I146" s="6349">
        <v>2</v>
      </c>
      <c r="J146" s="6384"/>
      <c r="K146" s="6385" t="s">
        <v>3121</v>
      </c>
      <c r="L146" s="6078"/>
      <c r="M146" s="6078"/>
      <c r="N146" s="6078"/>
      <c r="O146" s="6078"/>
      <c r="P146" s="6078"/>
      <c r="Q146" s="6078"/>
      <c r="R146" s="6078"/>
      <c r="S146" s="6078"/>
      <c r="T146" s="6078"/>
      <c r="U146" s="6078"/>
      <c r="V146" s="6078"/>
      <c r="W146" s="6078"/>
      <c r="X146" s="3863"/>
      <c r="Y146" s="3863"/>
      <c r="Z146" s="3863"/>
      <c r="AA146" s="6386" t="s">
        <v>3120</v>
      </c>
      <c r="AB146" s="6387"/>
      <c r="AC146" s="6387"/>
      <c r="AD146" s="6387"/>
      <c r="AE146" s="6388"/>
      <c r="AF146" s="6386" t="s">
        <v>842</v>
      </c>
      <c r="AG146" s="6387"/>
      <c r="AH146" s="6387"/>
      <c r="AI146" s="6387"/>
      <c r="AJ146" s="6388"/>
      <c r="AK146" s="6386" t="s">
        <v>841</v>
      </c>
      <c r="AL146" s="6387"/>
      <c r="AM146" s="6387"/>
      <c r="AN146" s="6387"/>
      <c r="AO146" s="6387"/>
      <c r="AP146" s="3350"/>
      <c r="AX146" s="46">
        <v>2</v>
      </c>
      <c r="AY146" s="46" t="s">
        <v>1353</v>
      </c>
      <c r="BG146" s="3742"/>
      <c r="BH146" s="3169"/>
      <c r="BI146" s="3169"/>
      <c r="BJ146" s="3169"/>
      <c r="BK146" s="3169"/>
      <c r="BL146" s="3169"/>
      <c r="BM146" s="3169"/>
      <c r="BN146" s="3169"/>
      <c r="BO146" s="3169"/>
      <c r="BP146" s="3169"/>
    </row>
    <row r="147" spans="1:68" ht="14.25" customHeight="1">
      <c r="A147" s="3350"/>
      <c r="B147" s="3873"/>
      <c r="C147" s="3874"/>
      <c r="D147" s="6381"/>
      <c r="E147" s="6382"/>
      <c r="F147" s="6382"/>
      <c r="G147" s="6382"/>
      <c r="H147" s="6383"/>
      <c r="I147" s="3864"/>
      <c r="J147" s="2850"/>
      <c r="K147" s="5680"/>
      <c r="L147" s="5680"/>
      <c r="M147" s="5680"/>
      <c r="N147" s="5680"/>
      <c r="O147" s="5680"/>
      <c r="P147" s="5680"/>
      <c r="Q147" s="5680"/>
      <c r="R147" s="5680"/>
      <c r="S147" s="5680"/>
      <c r="T147" s="5680"/>
      <c r="U147" s="5680"/>
      <c r="V147" s="5680"/>
      <c r="W147" s="5680"/>
      <c r="X147" s="2850"/>
      <c r="Y147" s="2850"/>
      <c r="Z147" s="2850"/>
      <c r="AA147" s="6389"/>
      <c r="AB147" s="6390"/>
      <c r="AC147" s="6390"/>
      <c r="AD147" s="6390"/>
      <c r="AE147" s="6391"/>
      <c r="AF147" s="6389"/>
      <c r="AG147" s="6390"/>
      <c r="AH147" s="6390"/>
      <c r="AI147" s="6390"/>
      <c r="AJ147" s="6391"/>
      <c r="AK147" s="6389"/>
      <c r="AL147" s="6390"/>
      <c r="AM147" s="6390"/>
      <c r="AN147" s="6390"/>
      <c r="AO147" s="6390"/>
      <c r="AP147" s="3350"/>
      <c r="AV147" s="3942">
        <f>IF(LeapYear,366,365)</f>
        <v>365</v>
      </c>
      <c r="AW147" s="3943"/>
      <c r="AX147" s="46">
        <v>3</v>
      </c>
      <c r="AY147" s="46" t="s">
        <v>1682</v>
      </c>
      <c r="BE147" s="3447" t="s">
        <v>1681</v>
      </c>
      <c r="BG147" s="3742"/>
      <c r="BH147" s="3169"/>
      <c r="BI147" s="3169"/>
      <c r="BJ147" s="3169"/>
      <c r="BK147" s="3169"/>
      <c r="BL147" s="3169"/>
      <c r="BM147" s="3169"/>
      <c r="BN147" s="3169"/>
      <c r="BO147" s="3169"/>
      <c r="BP147" s="3169"/>
    </row>
    <row r="148" spans="1:68" ht="15.75">
      <c r="A148" s="3350"/>
      <c r="B148" s="6366" t="s">
        <v>159</v>
      </c>
      <c r="C148" s="6185"/>
      <c r="D148" s="6367"/>
      <c r="E148" s="6368"/>
      <c r="F148" s="6368"/>
      <c r="G148" s="6368"/>
      <c r="H148" s="6369"/>
      <c r="I148" s="1965"/>
      <c r="J148" s="1443"/>
      <c r="K148" s="5680"/>
      <c r="L148" s="5680"/>
      <c r="M148" s="5680"/>
      <c r="N148" s="5680"/>
      <c r="O148" s="5680"/>
      <c r="P148" s="5680"/>
      <c r="Q148" s="5680"/>
      <c r="R148" s="5680"/>
      <c r="S148" s="5680"/>
      <c r="T148" s="5680"/>
      <c r="U148" s="5680"/>
      <c r="V148" s="5680"/>
      <c r="W148" s="5680"/>
      <c r="X148" s="6370" t="s">
        <v>159</v>
      </c>
      <c r="Y148" s="6371"/>
      <c r="Z148" s="6372"/>
      <c r="AA148" s="5349"/>
      <c r="AB148" s="6301"/>
      <c r="AC148" s="6301"/>
      <c r="AD148" s="6301"/>
      <c r="AE148" s="6302"/>
      <c r="AF148" s="5349"/>
      <c r="AG148" s="6301"/>
      <c r="AH148" s="6301"/>
      <c r="AI148" s="6301"/>
      <c r="AJ148" s="6302"/>
      <c r="AK148" s="3875"/>
      <c r="AL148" s="3876"/>
      <c r="AM148" s="1444"/>
      <c r="AN148" s="3876"/>
      <c r="AO148" s="3876"/>
      <c r="AP148" s="3350"/>
      <c r="AR148" s="1618" t="b">
        <f>D148=8</f>
        <v>0</v>
      </c>
      <c r="AV148" s="3944" t="b">
        <f>AA148&gt;$AV$19</f>
        <v>0</v>
      </c>
      <c r="AW148" s="3945" t="b">
        <f>AF148&gt;$AV$19</f>
        <v>0</v>
      </c>
      <c r="AX148" s="46">
        <v>4</v>
      </c>
      <c r="AY148" s="46" t="s">
        <v>1354</v>
      </c>
      <c r="BE148" s="3448" t="b">
        <f>IF(AND(D148&lt;&gt;"",OR(D148&lt;1,D148&gt;8,ISERROR(V157))),TRUE,FALSE)</f>
        <v>0</v>
      </c>
      <c r="BG148" s="3742"/>
      <c r="BH148" s="3169"/>
      <c r="BI148" s="3169"/>
      <c r="BJ148" s="3169"/>
      <c r="BK148" s="3169"/>
      <c r="BL148" s="3169"/>
      <c r="BM148" s="3169"/>
      <c r="BN148" s="3169"/>
      <c r="BO148" s="3169"/>
      <c r="BP148" s="3169"/>
    </row>
    <row r="149" spans="1:68" ht="15.75">
      <c r="A149" s="3350"/>
      <c r="B149" s="6366" t="s">
        <v>327</v>
      </c>
      <c r="C149" s="6185"/>
      <c r="D149" s="6367"/>
      <c r="E149" s="6368"/>
      <c r="F149" s="6368"/>
      <c r="G149" s="6368"/>
      <c r="H149" s="6369"/>
      <c r="I149" s="1965"/>
      <c r="J149" s="1443"/>
      <c r="K149" s="5680"/>
      <c r="L149" s="5680"/>
      <c r="M149" s="5680"/>
      <c r="N149" s="5680"/>
      <c r="O149" s="5680"/>
      <c r="P149" s="5680"/>
      <c r="Q149" s="5680"/>
      <c r="R149" s="5680"/>
      <c r="S149" s="5680"/>
      <c r="T149" s="5680"/>
      <c r="U149" s="5680"/>
      <c r="V149" s="5680"/>
      <c r="W149" s="5680"/>
      <c r="X149" s="6370" t="s">
        <v>327</v>
      </c>
      <c r="Y149" s="6371"/>
      <c r="Z149" s="6372"/>
      <c r="AA149" s="5349"/>
      <c r="AB149" s="6301"/>
      <c r="AC149" s="6301"/>
      <c r="AD149" s="6301"/>
      <c r="AE149" s="6302"/>
      <c r="AF149" s="5349"/>
      <c r="AG149" s="6301"/>
      <c r="AH149" s="6301"/>
      <c r="AI149" s="6301"/>
      <c r="AJ149" s="6302"/>
      <c r="AK149" s="3875"/>
      <c r="AL149" s="3876"/>
      <c r="AM149" s="1444"/>
      <c r="AN149" s="3876"/>
      <c r="AO149" s="3876"/>
      <c r="AP149" s="3350"/>
      <c r="AR149" s="1618" t="b">
        <f>D149=8</f>
        <v>0</v>
      </c>
      <c r="AV149" s="3944" t="b">
        <f>AA149&gt;$AV$19</f>
        <v>0</v>
      </c>
      <c r="AW149" s="3945" t="b">
        <f>AF149&gt;$AV$19</f>
        <v>0</v>
      </c>
      <c r="AX149" s="46">
        <v>5</v>
      </c>
      <c r="AY149" s="46" t="s">
        <v>1355</v>
      </c>
      <c r="BE149" s="3448" t="b">
        <f>IF(AND(D149&lt;&gt;"",OR(D149&lt;1,D149&gt;8,ISERROR(AD157))),TRUE,FALSE)</f>
        <v>0</v>
      </c>
      <c r="BG149" s="3742"/>
      <c r="BH149" s="3169"/>
      <c r="BI149" s="3169"/>
      <c r="BJ149" s="3169"/>
      <c r="BK149" s="3169"/>
      <c r="BL149" s="3169"/>
      <c r="BM149" s="3169"/>
      <c r="BN149" s="3169"/>
      <c r="BO149" s="3169"/>
      <c r="BP149" s="3169"/>
    </row>
    <row r="150" spans="1:68" ht="15.75">
      <c r="A150" s="3350"/>
      <c r="B150" s="6366" t="s">
        <v>160</v>
      </c>
      <c r="C150" s="6185"/>
      <c r="D150" s="6367"/>
      <c r="E150" s="6368"/>
      <c r="F150" s="6368"/>
      <c r="G150" s="6368"/>
      <c r="H150" s="6369"/>
      <c r="I150" s="1969"/>
      <c r="J150" s="1936"/>
      <c r="K150" s="1808"/>
      <c r="L150" s="1936"/>
      <c r="M150" s="1936"/>
      <c r="N150" s="1936"/>
      <c r="O150" s="1936"/>
      <c r="P150" s="1936"/>
      <c r="Q150" s="1936"/>
      <c r="R150" s="1936"/>
      <c r="S150" s="1936"/>
      <c r="T150" s="1936"/>
      <c r="U150" s="1936"/>
      <c r="V150" s="1936"/>
      <c r="W150" s="1936"/>
      <c r="X150" s="6370" t="s">
        <v>160</v>
      </c>
      <c r="Y150" s="6371"/>
      <c r="Z150" s="6372"/>
      <c r="AA150" s="5349"/>
      <c r="AB150" s="6301"/>
      <c r="AC150" s="6301"/>
      <c r="AD150" s="6301"/>
      <c r="AE150" s="6302"/>
      <c r="AF150" s="5349"/>
      <c r="AG150" s="6301"/>
      <c r="AH150" s="6301"/>
      <c r="AI150" s="6301"/>
      <c r="AJ150" s="6302"/>
      <c r="AK150" s="3875"/>
      <c r="AL150" s="3876"/>
      <c r="AM150" s="1444"/>
      <c r="AN150" s="3876"/>
      <c r="AO150" s="3876"/>
      <c r="AP150" s="3350"/>
      <c r="AR150" s="1618" t="b">
        <f>D150=8</f>
        <v>0</v>
      </c>
      <c r="AV150" s="3946" t="b">
        <f>AA150&gt;$AV$19</f>
        <v>0</v>
      </c>
      <c r="AW150" s="3947" t="b">
        <f>AF150&gt;$AV$19</f>
        <v>0</v>
      </c>
      <c r="AX150" s="46">
        <v>6</v>
      </c>
      <c r="AY150" s="46" t="s">
        <v>1356</v>
      </c>
      <c r="AZ150" s="3938" t="s">
        <v>159</v>
      </c>
      <c r="BA150" s="3938" t="s">
        <v>327</v>
      </c>
      <c r="BB150" s="3938" t="s">
        <v>160</v>
      </c>
      <c r="BC150" s="3938" t="s">
        <v>230</v>
      </c>
      <c r="BE150" s="3448" t="b">
        <f>IF(AND(D150&lt;&gt;"",OR(D150&lt;1,D150&gt;8,ISERROR(AJ157))),TRUE,FALSE)</f>
        <v>0</v>
      </c>
      <c r="BG150" s="3742"/>
      <c r="BH150" s="3169"/>
      <c r="BI150" s="3169"/>
      <c r="BJ150" s="3169"/>
      <c r="BK150" s="3169"/>
      <c r="BL150" s="3169"/>
      <c r="BM150" s="3169"/>
      <c r="BN150" s="3169"/>
      <c r="BO150" s="3169"/>
      <c r="BP150" s="3169"/>
    </row>
    <row r="151" spans="1:68" ht="14.25" customHeight="1">
      <c r="A151" s="3350"/>
      <c r="B151" s="3879" t="s">
        <v>843</v>
      </c>
      <c r="C151" s="3877"/>
      <c r="D151" s="2753"/>
      <c r="E151" s="2719"/>
      <c r="F151" s="2719"/>
      <c r="G151" s="2719"/>
      <c r="H151" s="2719"/>
      <c r="I151" s="3939" t="str">
        <f>IF(BE151,"The 'Type of Property' must be entered as a number (1 - 8).","")</f>
        <v/>
      </c>
      <c r="J151" s="2719"/>
      <c r="K151" s="2719"/>
      <c r="L151" s="2719"/>
      <c r="M151" s="2719"/>
      <c r="N151" s="2719"/>
      <c r="O151" s="2719"/>
      <c r="P151" s="2719"/>
      <c r="Q151" s="2719"/>
      <c r="R151" s="2719"/>
      <c r="S151" s="2719"/>
      <c r="T151" s="2719"/>
      <c r="U151" s="2719"/>
      <c r="V151" s="2719"/>
      <c r="W151" s="2719"/>
      <c r="X151" s="2719"/>
      <c r="Y151" s="2719"/>
      <c r="Z151" s="2719"/>
      <c r="AA151" s="2719"/>
      <c r="AB151" s="2719"/>
      <c r="AC151" s="2719"/>
      <c r="AD151" s="3939" t="str">
        <f>IF(OR(AV148,AV149,AV150,AW148,AW149,AW150),"Must be "&amp;AV147&amp;" or less.","")</f>
        <v/>
      </c>
      <c r="AE151" s="2719"/>
      <c r="AF151" s="2719"/>
      <c r="AG151" s="2719"/>
      <c r="AH151" s="2719"/>
      <c r="AI151" s="2719"/>
      <c r="AJ151" s="2719"/>
      <c r="AK151" s="2719"/>
      <c r="AL151" s="2719"/>
      <c r="AM151" s="2719"/>
      <c r="AN151" s="2719"/>
      <c r="AO151" s="2719"/>
      <c r="AP151" s="3350"/>
      <c r="AR151" s="1618" t="b">
        <f>OR(AR148:AR150)</f>
        <v>0</v>
      </c>
      <c r="AX151" s="46">
        <v>7</v>
      </c>
      <c r="AY151" s="46" t="s">
        <v>1357</v>
      </c>
      <c r="AZ151" s="46">
        <f>IF(D148&lt;&gt;6,V155,0)</f>
        <v>0</v>
      </c>
      <c r="BA151" s="46">
        <f>IF(D149&lt;&gt;6,AD155,0)</f>
        <v>0</v>
      </c>
      <c r="BB151" s="46">
        <f>IF(D150&lt;&gt;6,AJ155,0)</f>
        <v>0</v>
      </c>
      <c r="BC151" s="46">
        <f>SUM(AZ151:BB151)</f>
        <v>0</v>
      </c>
      <c r="BE151" s="3448" t="b">
        <f>OR(BE148,BE149,BE150)</f>
        <v>0</v>
      </c>
      <c r="BG151" s="3742"/>
      <c r="BH151" s="3169"/>
      <c r="BI151" s="3169"/>
      <c r="BJ151" s="3169"/>
      <c r="BK151" s="3169"/>
      <c r="BL151" s="3169"/>
      <c r="BM151" s="3169"/>
      <c r="BN151" s="3169"/>
      <c r="BO151" s="3169"/>
      <c r="BP151" s="3169"/>
    </row>
    <row r="152" spans="1:68" ht="14.25" customHeight="1">
      <c r="A152" s="3350"/>
      <c r="B152" s="3877">
        <v>1</v>
      </c>
      <c r="C152" s="3878" t="s">
        <v>1352</v>
      </c>
      <c r="D152" s="2753"/>
      <c r="E152" s="2719"/>
      <c r="F152" s="2719"/>
      <c r="G152" s="2719"/>
      <c r="H152" s="2719"/>
      <c r="I152" s="2719"/>
      <c r="J152" s="2719"/>
      <c r="K152" s="3881">
        <v>3</v>
      </c>
      <c r="L152" s="3880" t="s">
        <v>3122</v>
      </c>
      <c r="M152" s="2719"/>
      <c r="N152" s="2719"/>
      <c r="O152" s="2719"/>
      <c r="P152" s="2719"/>
      <c r="Q152" s="2719"/>
      <c r="R152" s="2719"/>
      <c r="S152" s="2719"/>
      <c r="T152" s="2719"/>
      <c r="U152" s="3881">
        <v>5</v>
      </c>
      <c r="V152" s="3880" t="s">
        <v>1355</v>
      </c>
      <c r="W152" s="2719"/>
      <c r="X152" s="2719"/>
      <c r="Y152" s="2719"/>
      <c r="Z152" s="3881"/>
      <c r="AA152" s="3881">
        <v>7</v>
      </c>
      <c r="AB152" s="3880" t="s">
        <v>1357</v>
      </c>
      <c r="AC152" s="2719"/>
      <c r="AD152" s="2719"/>
      <c r="AE152" s="2719"/>
      <c r="AF152" s="2719"/>
      <c r="AG152" s="2719"/>
      <c r="AH152" s="2719"/>
      <c r="AI152" s="2719"/>
      <c r="AJ152" s="2719"/>
      <c r="AK152" s="2719"/>
      <c r="AL152" s="2719"/>
      <c r="AM152" s="2719"/>
      <c r="AN152" s="2719"/>
      <c r="AO152" s="2719"/>
      <c r="AP152" s="3350"/>
      <c r="AX152" s="46">
        <v>8</v>
      </c>
      <c r="AY152" s="46" t="s">
        <v>458</v>
      </c>
      <c r="AZ152" s="46">
        <f>IF(D148=6,V156,0)</f>
        <v>0</v>
      </c>
      <c r="BA152" s="46">
        <f>IF(D149=6,AD156,0)</f>
        <v>0</v>
      </c>
      <c r="BB152" s="46">
        <f>IF(D150=6,AJ156,0)</f>
        <v>0</v>
      </c>
      <c r="BC152" s="46">
        <f>SUM(AZ152:BB152)</f>
        <v>0</v>
      </c>
      <c r="BE152" s="3449"/>
      <c r="BG152" s="3742"/>
      <c r="BH152" s="3169"/>
      <c r="BI152" s="3169"/>
      <c r="BJ152" s="3169"/>
      <c r="BK152" s="3169"/>
      <c r="BL152" s="3169"/>
      <c r="BM152" s="3169"/>
      <c r="BN152" s="3169"/>
      <c r="BO152" s="3169"/>
      <c r="BP152" s="3169"/>
    </row>
    <row r="153" spans="1:68" ht="14.25" customHeight="1">
      <c r="A153" s="3350"/>
      <c r="B153" s="3882">
        <v>2</v>
      </c>
      <c r="C153" s="3892" t="s">
        <v>1353</v>
      </c>
      <c r="D153" s="3400"/>
      <c r="E153" s="2723"/>
      <c r="F153" s="2723"/>
      <c r="G153" s="2723"/>
      <c r="H153" s="2723"/>
      <c r="I153" s="2723"/>
      <c r="J153" s="2723"/>
      <c r="K153" s="3883">
        <v>4</v>
      </c>
      <c r="L153" s="3937" t="s">
        <v>1354</v>
      </c>
      <c r="M153" s="2723"/>
      <c r="N153" s="2723"/>
      <c r="O153" s="2723"/>
      <c r="P153" s="2723"/>
      <c r="Q153" s="2723"/>
      <c r="R153" s="2723"/>
      <c r="S153" s="2723"/>
      <c r="T153" s="2723"/>
      <c r="U153" s="3883">
        <v>6</v>
      </c>
      <c r="V153" s="3937" t="s">
        <v>1356</v>
      </c>
      <c r="W153" s="2723"/>
      <c r="X153" s="2723"/>
      <c r="Y153" s="2723"/>
      <c r="Z153" s="3883"/>
      <c r="AA153" s="3883">
        <v>8</v>
      </c>
      <c r="AB153" s="3937" t="s">
        <v>3123</v>
      </c>
      <c r="AC153" s="2723"/>
      <c r="AD153" s="2723"/>
      <c r="AE153" s="2723"/>
      <c r="AF153" s="2723"/>
      <c r="AG153" s="6417"/>
      <c r="AH153" s="6418"/>
      <c r="AI153" s="6418"/>
      <c r="AJ153" s="6418"/>
      <c r="AK153" s="6418"/>
      <c r="AL153" s="6418"/>
      <c r="AM153" s="6418"/>
      <c r="AN153" s="6418"/>
      <c r="AO153" s="6418"/>
      <c r="AP153" s="3350"/>
      <c r="AQ153" s="1075"/>
      <c r="AR153" s="5250" t="str">
        <f>IF($AR$151,"Attach a statement to your return","")</f>
        <v/>
      </c>
      <c r="AS153" s="1075"/>
      <c r="BG153" s="3742"/>
      <c r="BH153" s="3169"/>
      <c r="BI153" s="3169"/>
      <c r="BJ153" s="3169"/>
      <c r="BK153" s="3169"/>
      <c r="BL153" s="3169"/>
      <c r="BM153" s="3169"/>
      <c r="BN153" s="3169"/>
      <c r="BO153" s="3169"/>
      <c r="BP153" s="3169"/>
    </row>
    <row r="154" spans="1:68" ht="14.25" customHeight="1">
      <c r="A154" s="3350"/>
      <c r="B154" s="3889" t="s">
        <v>3125</v>
      </c>
      <c r="C154" s="3887"/>
      <c r="D154" s="3856"/>
      <c r="E154" s="3885"/>
      <c r="F154" s="3885"/>
      <c r="G154" s="3885"/>
      <c r="H154" s="3885"/>
      <c r="I154" s="3886"/>
      <c r="J154" s="3884"/>
      <c r="K154" s="3885"/>
      <c r="L154" s="3885"/>
      <c r="M154" s="3885"/>
      <c r="N154" s="3885"/>
      <c r="O154" s="3885"/>
      <c r="P154" s="3885"/>
      <c r="Q154" s="3885"/>
      <c r="R154" s="3888" t="s">
        <v>3124</v>
      </c>
      <c r="S154" s="3885"/>
      <c r="T154" s="3890"/>
      <c r="U154" s="3886"/>
      <c r="V154" s="6320" t="s">
        <v>159</v>
      </c>
      <c r="W154" s="6373"/>
      <c r="X154" s="6373"/>
      <c r="Y154" s="6373"/>
      <c r="Z154" s="6373"/>
      <c r="AA154" s="6373"/>
      <c r="AB154" s="6373"/>
      <c r="AC154" s="6321"/>
      <c r="AD154" s="6374" t="s">
        <v>327</v>
      </c>
      <c r="AE154" s="6375"/>
      <c r="AF154" s="6375"/>
      <c r="AG154" s="6375"/>
      <c r="AH154" s="6375"/>
      <c r="AI154" s="6376"/>
      <c r="AJ154" s="6374" t="s">
        <v>160</v>
      </c>
      <c r="AK154" s="6375"/>
      <c r="AL154" s="6375"/>
      <c r="AM154" s="6375"/>
      <c r="AN154" s="6375"/>
      <c r="AO154" s="6375"/>
      <c r="AP154" s="3350"/>
      <c r="AR154" s="5250" t="str">
        <f>IF($AR$151,"describing the property.","")</f>
        <v/>
      </c>
      <c r="AZ154" s="46" t="b">
        <f>IF(AND($D$20="",OR($V$27&gt;0,$V$28&gt;0)),TRUE,FALSE)</f>
        <v>0</v>
      </c>
      <c r="BA154" s="46" t="b">
        <f>IF(AND($D$21="",OR($AD$27&gt;0,$AD$28&gt;0)),TRUE,FALSE)</f>
        <v>0</v>
      </c>
      <c r="BB154" s="46" t="b">
        <f>IF(AND($D$22="",OR($AJ$27&gt;0,$AJ$28&gt;0)),TRUE,FALSE)</f>
        <v>0</v>
      </c>
      <c r="BG154" s="3742"/>
      <c r="BH154" s="3169"/>
      <c r="BI154" s="3169"/>
      <c r="BJ154" s="3169"/>
      <c r="BK154" s="3169"/>
      <c r="BL154" s="3169"/>
      <c r="BM154" s="3169"/>
      <c r="BN154" s="3169"/>
      <c r="BO154" s="3169"/>
      <c r="BP154" s="3169"/>
    </row>
    <row r="155" spans="1:68" ht="14.25" customHeight="1">
      <c r="A155" s="3350"/>
      <c r="B155" s="6359">
        <v>3</v>
      </c>
      <c r="C155" s="6360"/>
      <c r="D155" s="3891" t="s">
        <v>917</v>
      </c>
      <c r="E155" s="3885"/>
      <c r="F155" s="3885"/>
      <c r="G155" s="3885"/>
      <c r="H155" s="3885"/>
      <c r="I155" s="3885"/>
      <c r="J155" s="3885"/>
      <c r="K155" s="3885"/>
      <c r="L155" s="3885"/>
      <c r="M155" s="3885"/>
      <c r="N155" s="3885"/>
      <c r="O155" s="3885"/>
      <c r="P155" s="3885"/>
      <c r="Q155" s="3885"/>
      <c r="R155" s="3885"/>
      <c r="S155" s="4496" t="s">
        <v>677</v>
      </c>
      <c r="T155" s="6320">
        <v>3</v>
      </c>
      <c r="U155" s="6321"/>
      <c r="V155" s="6361"/>
      <c r="W155" s="6362"/>
      <c r="X155" s="6362"/>
      <c r="Y155" s="6362"/>
      <c r="Z155" s="6362"/>
      <c r="AA155" s="6362"/>
      <c r="AB155" s="6362"/>
      <c r="AC155" s="6363"/>
      <c r="AD155" s="6361"/>
      <c r="AE155" s="6362"/>
      <c r="AF155" s="6362"/>
      <c r="AG155" s="6362"/>
      <c r="AH155" s="6362"/>
      <c r="AI155" s="6363"/>
      <c r="AJ155" s="6361"/>
      <c r="AK155" s="6362"/>
      <c r="AL155" s="6362"/>
      <c r="AM155" s="6362"/>
      <c r="AN155" s="6362"/>
      <c r="AO155" s="6362"/>
      <c r="AP155" s="3350"/>
      <c r="BG155" s="3742"/>
      <c r="BH155" s="3169"/>
      <c r="BI155" s="3169"/>
      <c r="BJ155" s="3169"/>
      <c r="BK155" s="3169"/>
      <c r="BL155" s="3169"/>
      <c r="BM155" s="3169"/>
      <c r="BN155" s="3169"/>
      <c r="BO155" s="3169"/>
      <c r="BP155" s="3169"/>
    </row>
    <row r="156" spans="1:68" ht="14.25" customHeight="1">
      <c r="A156" s="3350"/>
      <c r="B156" s="6359">
        <v>4</v>
      </c>
      <c r="C156" s="6360"/>
      <c r="D156" s="3891" t="s">
        <v>3126</v>
      </c>
      <c r="E156" s="3885"/>
      <c r="F156" s="3885"/>
      <c r="G156" s="3885"/>
      <c r="H156" s="3885"/>
      <c r="I156" s="3885"/>
      <c r="J156" s="3885"/>
      <c r="K156" s="3885"/>
      <c r="L156" s="3885"/>
      <c r="M156" s="3885"/>
      <c r="N156" s="3885"/>
      <c r="O156" s="3885"/>
      <c r="P156" s="3885"/>
      <c r="Q156" s="3885"/>
      <c r="R156" s="3885"/>
      <c r="S156" s="4496" t="s">
        <v>981</v>
      </c>
      <c r="T156" s="6320">
        <v>4</v>
      </c>
      <c r="U156" s="6321"/>
      <c r="V156" s="6361"/>
      <c r="W156" s="6362"/>
      <c r="X156" s="6362"/>
      <c r="Y156" s="6362"/>
      <c r="Z156" s="6362"/>
      <c r="AA156" s="6362"/>
      <c r="AB156" s="6362"/>
      <c r="AC156" s="6363"/>
      <c r="AD156" s="6361"/>
      <c r="AE156" s="6362"/>
      <c r="AF156" s="6362"/>
      <c r="AG156" s="6362"/>
      <c r="AH156" s="6362"/>
      <c r="AI156" s="6363"/>
      <c r="AJ156" s="6361"/>
      <c r="AK156" s="6362"/>
      <c r="AL156" s="6362"/>
      <c r="AM156" s="6362"/>
      <c r="AN156" s="6362"/>
      <c r="AO156" s="6362"/>
      <c r="AP156" s="3350"/>
      <c r="BG156" s="3742"/>
      <c r="BH156" s="3169"/>
      <c r="BI156" s="3169"/>
      <c r="BJ156" s="3169"/>
      <c r="BK156" s="3169"/>
      <c r="BL156" s="3169"/>
      <c r="BM156" s="3169"/>
      <c r="BN156" s="3169"/>
      <c r="BO156" s="3169"/>
      <c r="BP156" s="3169"/>
    </row>
    <row r="157" spans="1:68" ht="14.25" customHeight="1">
      <c r="A157" s="3350"/>
      <c r="B157" s="3897" t="s">
        <v>824</v>
      </c>
      <c r="C157" s="3893"/>
      <c r="D157" s="3870"/>
      <c r="E157" s="3894"/>
      <c r="F157" s="3940"/>
      <c r="G157" s="3940" t="str">
        <f>IF(OR($AZ$26,$BA$26,$BB$26),"Please enter property type in Line 1b.","")</f>
        <v/>
      </c>
      <c r="H157" s="3894"/>
      <c r="I157" s="3894"/>
      <c r="J157" s="3894"/>
      <c r="K157" s="3894"/>
      <c r="L157" s="3894"/>
      <c r="M157" s="3894"/>
      <c r="N157" s="3894"/>
      <c r="O157" s="3894"/>
      <c r="P157" s="3894"/>
      <c r="Q157" s="3894"/>
      <c r="R157" s="3894"/>
      <c r="S157" s="3894"/>
      <c r="T157" s="3895"/>
      <c r="U157" s="3896"/>
      <c r="V157" s="6364" t="str">
        <f>IF(D148="","",LOOKUP(D148,$AX$17:$AX$24,$AY$17:$AY$24))</f>
        <v/>
      </c>
      <c r="W157" s="6365"/>
      <c r="X157" s="6365"/>
      <c r="Y157" s="6365"/>
      <c r="Z157" s="6365"/>
      <c r="AA157" s="6365"/>
      <c r="AB157" s="6365"/>
      <c r="AC157" s="6149"/>
      <c r="AD157" s="6364" t="str">
        <f>IF(D149="","",LOOKUP(D149,$AX$17:$AX$24,$AY$17:$AY$24))</f>
        <v/>
      </c>
      <c r="AE157" s="6365"/>
      <c r="AF157" s="6365"/>
      <c r="AG157" s="6365"/>
      <c r="AH157" s="6365"/>
      <c r="AI157" s="6149"/>
      <c r="AJ157" s="6364" t="str">
        <f>IF(D150="","",LOOKUP(D150,$AX$17:$AX$24,$AY$17:$AY$24))</f>
        <v/>
      </c>
      <c r="AK157" s="6365"/>
      <c r="AL157" s="6365"/>
      <c r="AM157" s="6365"/>
      <c r="AN157" s="6365"/>
      <c r="AO157" s="6365"/>
      <c r="AP157" s="3350"/>
      <c r="BG157" s="3742"/>
      <c r="BH157" s="3169"/>
      <c r="BI157" s="3169"/>
      <c r="BJ157" s="3169"/>
      <c r="BK157" s="3169"/>
      <c r="BL157" s="3169"/>
      <c r="BM157" s="3169"/>
      <c r="BN157" s="3169"/>
      <c r="BO157" s="3169"/>
      <c r="BP157" s="3169"/>
    </row>
    <row r="158" spans="1:68" ht="14.25" customHeight="1">
      <c r="A158" s="3350"/>
      <c r="B158" s="6319">
        <v>5</v>
      </c>
      <c r="C158" s="6249"/>
      <c r="D158" s="3878" t="s">
        <v>825</v>
      </c>
      <c r="E158" s="2719"/>
      <c r="F158" s="2719"/>
      <c r="G158" s="2719"/>
      <c r="H158" s="2719"/>
      <c r="I158" s="2719"/>
      <c r="J158" s="2719"/>
      <c r="K158" s="2719"/>
      <c r="L158" s="2719"/>
      <c r="M158" s="2719"/>
      <c r="N158" s="2719"/>
      <c r="O158" s="2719"/>
      <c r="P158" s="2719"/>
      <c r="Q158" s="2719"/>
      <c r="R158" s="2719"/>
      <c r="S158" s="4497" t="s">
        <v>524</v>
      </c>
      <c r="T158" s="6336">
        <v>5</v>
      </c>
      <c r="U158" s="6337"/>
      <c r="V158" s="6354"/>
      <c r="W158" s="6354"/>
      <c r="X158" s="6354"/>
      <c r="Y158" s="6354"/>
      <c r="Z158" s="6354"/>
      <c r="AA158" s="6354"/>
      <c r="AB158" s="6354"/>
      <c r="AC158" s="6355"/>
      <c r="AD158" s="6356"/>
      <c r="AE158" s="6354"/>
      <c r="AF158" s="6354"/>
      <c r="AG158" s="6354"/>
      <c r="AH158" s="6354"/>
      <c r="AI158" s="6355"/>
      <c r="AJ158" s="6356"/>
      <c r="AK158" s="6354"/>
      <c r="AL158" s="6354"/>
      <c r="AM158" s="6354"/>
      <c r="AN158" s="6354"/>
      <c r="AO158" s="6354"/>
      <c r="AP158" s="3350"/>
      <c r="BG158" s="3742"/>
      <c r="BH158" s="3169"/>
      <c r="BI158" s="3169"/>
      <c r="BJ158" s="3169"/>
      <c r="BK158" s="3169"/>
      <c r="BL158" s="3169"/>
      <c r="BM158" s="3169"/>
      <c r="BN158" s="3169"/>
      <c r="BO158" s="3169"/>
      <c r="BP158" s="3169"/>
    </row>
    <row r="159" spans="1:68" ht="14.25" customHeight="1">
      <c r="A159" s="3350"/>
      <c r="B159" s="6319">
        <v>6</v>
      </c>
      <c r="C159" s="6249"/>
      <c r="D159" s="3878" t="s">
        <v>844</v>
      </c>
      <c r="E159" s="2719"/>
      <c r="F159" s="2719"/>
      <c r="G159" s="2719"/>
      <c r="H159" s="2719"/>
      <c r="I159" s="2719"/>
      <c r="J159" s="2719"/>
      <c r="K159" s="2719"/>
      <c r="L159" s="2719"/>
      <c r="M159" s="2719"/>
      <c r="N159" s="2719"/>
      <c r="O159" s="2719"/>
      <c r="P159" s="2719"/>
      <c r="Q159" s="2719"/>
      <c r="R159" s="2719"/>
      <c r="S159" s="4497" t="s">
        <v>667</v>
      </c>
      <c r="T159" s="6336">
        <v>6</v>
      </c>
      <c r="U159" s="6337"/>
      <c r="V159" s="6354"/>
      <c r="W159" s="6354"/>
      <c r="X159" s="6354"/>
      <c r="Y159" s="6354"/>
      <c r="Z159" s="6354"/>
      <c r="AA159" s="6354"/>
      <c r="AB159" s="6354"/>
      <c r="AC159" s="6355"/>
      <c r="AD159" s="6356"/>
      <c r="AE159" s="6354"/>
      <c r="AF159" s="6354"/>
      <c r="AG159" s="6354"/>
      <c r="AH159" s="6354"/>
      <c r="AI159" s="6355"/>
      <c r="AJ159" s="6356"/>
      <c r="AK159" s="6354"/>
      <c r="AL159" s="6354"/>
      <c r="AM159" s="6354"/>
      <c r="AN159" s="6354"/>
      <c r="AO159" s="6354"/>
      <c r="AP159" s="3350"/>
      <c r="BG159" s="3742"/>
      <c r="BH159" s="3169"/>
      <c r="BI159" s="3169"/>
      <c r="BJ159" s="3169"/>
      <c r="BK159" s="3169"/>
      <c r="BL159" s="3169"/>
      <c r="BM159" s="3169"/>
      <c r="BN159" s="3169"/>
      <c r="BO159" s="3169"/>
      <c r="BP159" s="3169"/>
    </row>
    <row r="160" spans="1:68" ht="14.25" customHeight="1">
      <c r="A160" s="3350"/>
      <c r="B160" s="6319">
        <v>7</v>
      </c>
      <c r="C160" s="6249"/>
      <c r="D160" s="3878" t="s">
        <v>826</v>
      </c>
      <c r="E160" s="2719"/>
      <c r="F160" s="2719"/>
      <c r="G160" s="2719"/>
      <c r="H160" s="2719"/>
      <c r="I160" s="2719"/>
      <c r="J160" s="2719"/>
      <c r="K160" s="2719"/>
      <c r="L160" s="2719"/>
      <c r="M160" s="2719"/>
      <c r="N160" s="2719"/>
      <c r="O160" s="2719"/>
      <c r="P160" s="2719"/>
      <c r="Q160" s="2719"/>
      <c r="R160" s="2719"/>
      <c r="S160" s="4497" t="s">
        <v>680</v>
      </c>
      <c r="T160" s="6336">
        <v>7</v>
      </c>
      <c r="U160" s="6337"/>
      <c r="V160" s="6354"/>
      <c r="W160" s="6354"/>
      <c r="X160" s="6354"/>
      <c r="Y160" s="6354"/>
      <c r="Z160" s="6354"/>
      <c r="AA160" s="6354"/>
      <c r="AB160" s="6354"/>
      <c r="AC160" s="6355"/>
      <c r="AD160" s="6356"/>
      <c r="AE160" s="6354"/>
      <c r="AF160" s="6354"/>
      <c r="AG160" s="6354"/>
      <c r="AH160" s="6354"/>
      <c r="AI160" s="6355"/>
      <c r="AJ160" s="6356"/>
      <c r="AK160" s="6354"/>
      <c r="AL160" s="6354"/>
      <c r="AM160" s="6354"/>
      <c r="AN160" s="6354"/>
      <c r="AO160" s="6354"/>
      <c r="AP160" s="3350"/>
      <c r="BG160" s="3742"/>
      <c r="BH160" s="3169"/>
      <c r="BI160" s="3169"/>
      <c r="BJ160" s="3169"/>
      <c r="BK160" s="3169"/>
      <c r="BL160" s="3169"/>
      <c r="BM160" s="3169"/>
      <c r="BN160" s="3169"/>
      <c r="BO160" s="3169"/>
      <c r="BP160" s="3169"/>
    </row>
    <row r="161" spans="1:68" ht="14.25" customHeight="1">
      <c r="A161" s="3350"/>
      <c r="B161" s="6319">
        <v>8</v>
      </c>
      <c r="C161" s="6249"/>
      <c r="D161" s="3878" t="s">
        <v>827</v>
      </c>
      <c r="E161" s="2719"/>
      <c r="F161" s="2719"/>
      <c r="G161" s="2719"/>
      <c r="H161" s="2719"/>
      <c r="I161" s="2719"/>
      <c r="J161" s="2719"/>
      <c r="K161" s="2719"/>
      <c r="L161" s="2719"/>
      <c r="M161" s="2719"/>
      <c r="N161" s="2719"/>
      <c r="O161" s="2719"/>
      <c r="P161" s="2719"/>
      <c r="Q161" s="2719"/>
      <c r="R161" s="2719"/>
      <c r="S161" s="4497" t="s">
        <v>422</v>
      </c>
      <c r="T161" s="6336">
        <v>8</v>
      </c>
      <c r="U161" s="6337"/>
      <c r="V161" s="6354"/>
      <c r="W161" s="6354"/>
      <c r="X161" s="6354"/>
      <c r="Y161" s="6354"/>
      <c r="Z161" s="6354"/>
      <c r="AA161" s="6354"/>
      <c r="AB161" s="6354"/>
      <c r="AC161" s="6355"/>
      <c r="AD161" s="6356"/>
      <c r="AE161" s="6354"/>
      <c r="AF161" s="6354"/>
      <c r="AG161" s="6354"/>
      <c r="AH161" s="6354"/>
      <c r="AI161" s="6355"/>
      <c r="AJ161" s="6356"/>
      <c r="AK161" s="6354"/>
      <c r="AL161" s="6354"/>
      <c r="AM161" s="6354"/>
      <c r="AN161" s="6354"/>
      <c r="AO161" s="6354"/>
      <c r="AP161" s="3350"/>
      <c r="BG161" s="3742"/>
      <c r="BH161" s="3169"/>
      <c r="BI161" s="3169"/>
      <c r="BJ161" s="3169"/>
      <c r="BK161" s="3169"/>
      <c r="BL161" s="3169"/>
      <c r="BM161" s="3169"/>
      <c r="BN161" s="3169"/>
      <c r="BO161" s="3169"/>
      <c r="BP161" s="3169"/>
    </row>
    <row r="162" spans="1:68" ht="14.25" customHeight="1">
      <c r="A162" s="3350"/>
      <c r="B162" s="6319">
        <v>9</v>
      </c>
      <c r="C162" s="6249"/>
      <c r="D162" s="3878" t="s">
        <v>828</v>
      </c>
      <c r="E162" s="2719"/>
      <c r="F162" s="2719"/>
      <c r="G162" s="2719"/>
      <c r="H162" s="2719"/>
      <c r="I162" s="2719"/>
      <c r="J162" s="2719"/>
      <c r="K162" s="2719"/>
      <c r="L162" s="2719"/>
      <c r="M162" s="2719"/>
      <c r="N162" s="2719"/>
      <c r="O162" s="2719"/>
      <c r="P162" s="2719"/>
      <c r="Q162" s="2719"/>
      <c r="R162" s="2719"/>
      <c r="S162" s="4497" t="s">
        <v>676</v>
      </c>
      <c r="T162" s="6336">
        <v>9</v>
      </c>
      <c r="U162" s="6337"/>
      <c r="V162" s="6354"/>
      <c r="W162" s="6354"/>
      <c r="X162" s="6354"/>
      <c r="Y162" s="6354"/>
      <c r="Z162" s="6354"/>
      <c r="AA162" s="6354"/>
      <c r="AB162" s="6354"/>
      <c r="AC162" s="6355"/>
      <c r="AD162" s="6356"/>
      <c r="AE162" s="6354"/>
      <c r="AF162" s="6354"/>
      <c r="AG162" s="6354"/>
      <c r="AH162" s="6354"/>
      <c r="AI162" s="6355"/>
      <c r="AJ162" s="6356"/>
      <c r="AK162" s="6354"/>
      <c r="AL162" s="6354"/>
      <c r="AM162" s="6354"/>
      <c r="AN162" s="6354"/>
      <c r="AO162" s="6354"/>
      <c r="AP162" s="3350"/>
      <c r="BG162" s="3742"/>
      <c r="BH162" s="3169"/>
      <c r="BI162" s="3169"/>
      <c r="BJ162" s="3169"/>
      <c r="BK162" s="3169"/>
      <c r="BL162" s="3169"/>
      <c r="BM162" s="3169"/>
      <c r="BN162" s="3169"/>
      <c r="BO162" s="3169"/>
      <c r="BP162" s="3169"/>
    </row>
    <row r="163" spans="1:68" ht="14.25" customHeight="1">
      <c r="A163" s="3350"/>
      <c r="B163" s="6319">
        <v>10</v>
      </c>
      <c r="C163" s="6249"/>
      <c r="D163" s="3878" t="s">
        <v>829</v>
      </c>
      <c r="E163" s="2719"/>
      <c r="F163" s="2719"/>
      <c r="G163" s="2719"/>
      <c r="H163" s="2719"/>
      <c r="I163" s="2719"/>
      <c r="J163" s="2719"/>
      <c r="K163" s="2719"/>
      <c r="L163" s="2719"/>
      <c r="M163" s="2719"/>
      <c r="N163" s="2719"/>
      <c r="O163" s="2719"/>
      <c r="P163" s="2719"/>
      <c r="Q163" s="2719"/>
      <c r="R163" s="2719"/>
      <c r="S163" s="4497" t="s">
        <v>747</v>
      </c>
      <c r="T163" s="6336">
        <v>10</v>
      </c>
      <c r="U163" s="6337"/>
      <c r="V163" s="6354"/>
      <c r="W163" s="6354"/>
      <c r="X163" s="6354"/>
      <c r="Y163" s="6354"/>
      <c r="Z163" s="6354"/>
      <c r="AA163" s="6354"/>
      <c r="AB163" s="6354"/>
      <c r="AC163" s="6355"/>
      <c r="AD163" s="6356"/>
      <c r="AE163" s="6354"/>
      <c r="AF163" s="6354"/>
      <c r="AG163" s="6354"/>
      <c r="AH163" s="6354"/>
      <c r="AI163" s="6355"/>
      <c r="AJ163" s="6356"/>
      <c r="AK163" s="6354"/>
      <c r="AL163" s="6354"/>
      <c r="AM163" s="6354"/>
      <c r="AN163" s="6354"/>
      <c r="AO163" s="6354"/>
      <c r="AP163" s="3350"/>
      <c r="BG163" s="3742"/>
      <c r="BH163" s="3169"/>
      <c r="BI163" s="3169"/>
      <c r="BJ163" s="3169"/>
      <c r="BK163" s="3169"/>
      <c r="BL163" s="3169"/>
      <c r="BM163" s="3169"/>
      <c r="BN163" s="3169"/>
      <c r="BO163" s="3169"/>
      <c r="BP163" s="3169"/>
    </row>
    <row r="164" spans="1:68" ht="14.25" customHeight="1">
      <c r="A164" s="3350"/>
      <c r="B164" s="6319">
        <v>11</v>
      </c>
      <c r="C164" s="6249"/>
      <c r="D164" s="3878" t="s">
        <v>830</v>
      </c>
      <c r="E164" s="2719"/>
      <c r="F164" s="2719"/>
      <c r="G164" s="2719"/>
      <c r="H164" s="2719"/>
      <c r="I164" s="2719"/>
      <c r="J164" s="2719"/>
      <c r="K164" s="2719"/>
      <c r="L164" s="2719"/>
      <c r="M164" s="2719"/>
      <c r="N164" s="2719"/>
      <c r="O164" s="2719"/>
      <c r="P164" s="2719"/>
      <c r="Q164" s="2719"/>
      <c r="R164" s="2719"/>
      <c r="S164" s="4497" t="s">
        <v>981</v>
      </c>
      <c r="T164" s="6336">
        <v>11</v>
      </c>
      <c r="U164" s="6337"/>
      <c r="V164" s="6354"/>
      <c r="W164" s="6354"/>
      <c r="X164" s="6354"/>
      <c r="Y164" s="6354"/>
      <c r="Z164" s="6354"/>
      <c r="AA164" s="6354"/>
      <c r="AB164" s="6354"/>
      <c r="AC164" s="6355"/>
      <c r="AD164" s="6356"/>
      <c r="AE164" s="6354"/>
      <c r="AF164" s="6354"/>
      <c r="AG164" s="6354"/>
      <c r="AH164" s="6354"/>
      <c r="AI164" s="6355"/>
      <c r="AJ164" s="6356"/>
      <c r="AK164" s="6354"/>
      <c r="AL164" s="6354"/>
      <c r="AM164" s="6354"/>
      <c r="AN164" s="6354"/>
      <c r="AO164" s="6354"/>
      <c r="AP164" s="3350"/>
      <c r="BG164" s="3742"/>
      <c r="BH164" s="3169"/>
      <c r="BI164" s="3169"/>
      <c r="BJ164" s="3169"/>
      <c r="BK164" s="3169"/>
      <c r="BL164" s="3169"/>
      <c r="BM164" s="3169"/>
      <c r="BN164" s="3169"/>
      <c r="BO164" s="3169"/>
      <c r="BP164" s="3169"/>
    </row>
    <row r="165" spans="1:68" ht="14.25" customHeight="1">
      <c r="A165" s="3350"/>
      <c r="B165" s="6319">
        <v>12</v>
      </c>
      <c r="C165" s="6249"/>
      <c r="D165" s="3878" t="s">
        <v>845</v>
      </c>
      <c r="E165" s="2719"/>
      <c r="F165" s="2719"/>
      <c r="G165" s="2719"/>
      <c r="H165" s="2719"/>
      <c r="I165" s="2719"/>
      <c r="J165" s="2719"/>
      <c r="K165" s="2719"/>
      <c r="L165" s="2719"/>
      <c r="M165" s="2719"/>
      <c r="N165" s="2719"/>
      <c r="O165" s="2719"/>
      <c r="P165" s="2719"/>
      <c r="Q165" s="2719"/>
      <c r="R165" s="2719"/>
      <c r="S165" s="3570"/>
      <c r="T165" s="6336">
        <v>12</v>
      </c>
      <c r="U165" s="6337"/>
      <c r="V165" s="6354"/>
      <c r="W165" s="6354"/>
      <c r="X165" s="6354"/>
      <c r="Y165" s="6354"/>
      <c r="Z165" s="6354"/>
      <c r="AA165" s="6354"/>
      <c r="AB165" s="6354"/>
      <c r="AC165" s="6355"/>
      <c r="AD165" s="6356"/>
      <c r="AE165" s="6354"/>
      <c r="AF165" s="6354"/>
      <c r="AG165" s="6354"/>
      <c r="AH165" s="6354"/>
      <c r="AI165" s="6355"/>
      <c r="AJ165" s="6356"/>
      <c r="AK165" s="6354"/>
      <c r="AL165" s="6354"/>
      <c r="AM165" s="6354"/>
      <c r="AN165" s="6354"/>
      <c r="AO165" s="6354"/>
      <c r="AP165" s="3350"/>
      <c r="BG165" s="3742"/>
      <c r="BH165" s="3169"/>
      <c r="BI165" s="3169"/>
      <c r="BJ165" s="3169"/>
      <c r="BK165" s="3169"/>
      <c r="BL165" s="3169"/>
      <c r="BM165" s="3169"/>
      <c r="BN165" s="3169"/>
      <c r="BO165" s="3169"/>
      <c r="BP165" s="3169"/>
    </row>
    <row r="166" spans="1:68" ht="14.25" customHeight="1">
      <c r="A166" s="3350"/>
      <c r="B166" s="6319">
        <v>13</v>
      </c>
      <c r="C166" s="6249"/>
      <c r="D166" s="3878" t="s">
        <v>4079</v>
      </c>
      <c r="E166" s="2719"/>
      <c r="F166" s="2719"/>
      <c r="G166" s="2719"/>
      <c r="H166" s="2719"/>
      <c r="I166" s="2719"/>
      <c r="J166" s="2719"/>
      <c r="K166" s="2719"/>
      <c r="L166" s="2719"/>
      <c r="M166" s="2719"/>
      <c r="N166" s="2719"/>
      <c r="O166" s="2719"/>
      <c r="P166" s="2719"/>
      <c r="Q166" s="2719"/>
      <c r="R166" s="2719"/>
      <c r="S166" s="4497" t="s">
        <v>422</v>
      </c>
      <c r="T166" s="6336">
        <v>13</v>
      </c>
      <c r="U166" s="6337"/>
      <c r="V166" s="6354"/>
      <c r="W166" s="6354"/>
      <c r="X166" s="6354"/>
      <c r="Y166" s="6354"/>
      <c r="Z166" s="6354"/>
      <c r="AA166" s="6354"/>
      <c r="AB166" s="6354"/>
      <c r="AC166" s="6355"/>
      <c r="AD166" s="6356"/>
      <c r="AE166" s="6354"/>
      <c r="AF166" s="6354"/>
      <c r="AG166" s="6354"/>
      <c r="AH166" s="6354"/>
      <c r="AI166" s="6355"/>
      <c r="AJ166" s="6356"/>
      <c r="AK166" s="6354"/>
      <c r="AL166" s="6354"/>
      <c r="AM166" s="6354"/>
      <c r="AN166" s="6354"/>
      <c r="AO166" s="6354"/>
      <c r="AP166" s="3350"/>
      <c r="BG166" s="3742"/>
      <c r="BH166" s="3169"/>
      <c r="BI166" s="3169"/>
      <c r="BJ166" s="3169"/>
      <c r="BK166" s="3169"/>
      <c r="BL166" s="3169"/>
      <c r="BM166" s="3169"/>
      <c r="BN166" s="3169"/>
      <c r="BO166" s="3169"/>
      <c r="BP166" s="3169"/>
    </row>
    <row r="167" spans="1:68" ht="14.25" customHeight="1">
      <c r="A167" s="3350"/>
      <c r="B167" s="6319">
        <v>14</v>
      </c>
      <c r="C167" s="6249"/>
      <c r="D167" s="3878" t="s">
        <v>831</v>
      </c>
      <c r="E167" s="2719"/>
      <c r="F167" s="2719"/>
      <c r="G167" s="2719"/>
      <c r="H167" s="2719"/>
      <c r="I167" s="2719"/>
      <c r="J167" s="2719"/>
      <c r="K167" s="2719"/>
      <c r="L167" s="2719"/>
      <c r="M167" s="2719"/>
      <c r="N167" s="2719"/>
      <c r="O167" s="2719"/>
      <c r="P167" s="2719"/>
      <c r="Q167" s="2719"/>
      <c r="R167" s="2719"/>
      <c r="S167" s="4497" t="s">
        <v>676</v>
      </c>
      <c r="T167" s="6336">
        <v>14</v>
      </c>
      <c r="U167" s="6337"/>
      <c r="V167" s="6354"/>
      <c r="W167" s="6354"/>
      <c r="X167" s="6354"/>
      <c r="Y167" s="6354"/>
      <c r="Z167" s="6354"/>
      <c r="AA167" s="6354"/>
      <c r="AB167" s="6354"/>
      <c r="AC167" s="6355"/>
      <c r="AD167" s="6356"/>
      <c r="AE167" s="6354"/>
      <c r="AF167" s="6354"/>
      <c r="AG167" s="6354"/>
      <c r="AH167" s="6354"/>
      <c r="AI167" s="6355"/>
      <c r="AJ167" s="6356"/>
      <c r="AK167" s="6354"/>
      <c r="AL167" s="6354"/>
      <c r="AM167" s="6354"/>
      <c r="AN167" s="6354"/>
      <c r="AO167" s="6354"/>
      <c r="AP167" s="3350"/>
      <c r="BG167" s="3742"/>
      <c r="BH167" s="3169"/>
      <c r="BI167" s="3169"/>
      <c r="BJ167" s="3169"/>
      <c r="BK167" s="3169"/>
      <c r="BL167" s="3169"/>
      <c r="BM167" s="3169"/>
      <c r="BN167" s="3169"/>
      <c r="BO167" s="3169"/>
      <c r="BP167" s="3169"/>
    </row>
    <row r="168" spans="1:68" ht="14.25" customHeight="1">
      <c r="A168" s="3350"/>
      <c r="B168" s="6319">
        <v>15</v>
      </c>
      <c r="C168" s="6249"/>
      <c r="D168" s="3878" t="s">
        <v>832</v>
      </c>
      <c r="E168" s="2719"/>
      <c r="F168" s="2719"/>
      <c r="G168" s="2719"/>
      <c r="H168" s="2719"/>
      <c r="I168" s="2719"/>
      <c r="J168" s="2719"/>
      <c r="K168" s="2719"/>
      <c r="L168" s="2719"/>
      <c r="M168" s="2719"/>
      <c r="N168" s="2719"/>
      <c r="O168" s="2719"/>
      <c r="P168" s="2719"/>
      <c r="Q168" s="2719"/>
      <c r="R168" s="2719"/>
      <c r="S168" s="4497" t="s">
        <v>676</v>
      </c>
      <c r="T168" s="6336">
        <v>15</v>
      </c>
      <c r="U168" s="6337"/>
      <c r="V168" s="6354"/>
      <c r="W168" s="6354"/>
      <c r="X168" s="6354"/>
      <c r="Y168" s="6354"/>
      <c r="Z168" s="6354"/>
      <c r="AA168" s="6354"/>
      <c r="AB168" s="6354"/>
      <c r="AC168" s="6355"/>
      <c r="AD168" s="6356"/>
      <c r="AE168" s="6354"/>
      <c r="AF168" s="6354"/>
      <c r="AG168" s="6354"/>
      <c r="AH168" s="6354"/>
      <c r="AI168" s="6355"/>
      <c r="AJ168" s="6356"/>
      <c r="AK168" s="6354"/>
      <c r="AL168" s="6354"/>
      <c r="AM168" s="6354"/>
      <c r="AN168" s="6354"/>
      <c r="AO168" s="6354"/>
      <c r="AP168" s="3350"/>
      <c r="BG168" s="3742"/>
      <c r="BH168" s="3169"/>
      <c r="BI168" s="3169"/>
      <c r="BJ168" s="3169"/>
      <c r="BK168" s="3169"/>
      <c r="BL168" s="3169"/>
      <c r="BM168" s="3169"/>
      <c r="BN168" s="3169"/>
      <c r="BO168" s="3169"/>
      <c r="BP168" s="3169"/>
    </row>
    <row r="169" spans="1:68" ht="14.25" customHeight="1">
      <c r="A169" s="3350"/>
      <c r="B169" s="6319">
        <v>16</v>
      </c>
      <c r="C169" s="6249"/>
      <c r="D169" s="3878" t="s">
        <v>833</v>
      </c>
      <c r="E169" s="2719"/>
      <c r="F169" s="2719"/>
      <c r="G169" s="2719"/>
      <c r="H169" s="2719"/>
      <c r="I169" s="2719"/>
      <c r="J169" s="2719"/>
      <c r="K169" s="2719"/>
      <c r="L169" s="2719"/>
      <c r="M169" s="2719"/>
      <c r="N169" s="2719"/>
      <c r="O169" s="2719"/>
      <c r="P169" s="2719"/>
      <c r="Q169" s="2719"/>
      <c r="R169" s="2719"/>
      <c r="S169" s="4497" t="s">
        <v>2680</v>
      </c>
      <c r="T169" s="6336">
        <v>16</v>
      </c>
      <c r="U169" s="6337"/>
      <c r="V169" s="6354"/>
      <c r="W169" s="6354"/>
      <c r="X169" s="6354"/>
      <c r="Y169" s="6354"/>
      <c r="Z169" s="6354"/>
      <c r="AA169" s="6354"/>
      <c r="AB169" s="6354"/>
      <c r="AC169" s="6355"/>
      <c r="AD169" s="6356"/>
      <c r="AE169" s="6354"/>
      <c r="AF169" s="6354"/>
      <c r="AG169" s="6354"/>
      <c r="AH169" s="6354"/>
      <c r="AI169" s="6355"/>
      <c r="AJ169" s="6356"/>
      <c r="AK169" s="6354"/>
      <c r="AL169" s="6354"/>
      <c r="AM169" s="6354"/>
      <c r="AN169" s="6354"/>
      <c r="AO169" s="6354"/>
      <c r="AP169" s="3350"/>
      <c r="BG169" s="3742"/>
      <c r="BH169" s="3169"/>
      <c r="BI169" s="3169"/>
      <c r="BJ169" s="3169"/>
      <c r="BK169" s="3169"/>
      <c r="BL169" s="3169"/>
      <c r="BM169" s="3169"/>
      <c r="BN169" s="3169"/>
      <c r="BO169" s="3169"/>
      <c r="BP169" s="3169"/>
    </row>
    <row r="170" spans="1:68" ht="14.25" customHeight="1">
      <c r="A170" s="3350"/>
      <c r="B170" s="6319">
        <v>17</v>
      </c>
      <c r="C170" s="6249"/>
      <c r="D170" s="3878" t="s">
        <v>834</v>
      </c>
      <c r="E170" s="2719"/>
      <c r="F170" s="2719"/>
      <c r="G170" s="2719"/>
      <c r="H170" s="2719"/>
      <c r="I170" s="2719"/>
      <c r="J170" s="2719"/>
      <c r="K170" s="2719"/>
      <c r="L170" s="2719"/>
      <c r="M170" s="2719"/>
      <c r="N170" s="2719"/>
      <c r="O170" s="2719"/>
      <c r="P170" s="2719"/>
      <c r="Q170" s="2719"/>
      <c r="R170" s="2719"/>
      <c r="S170" s="4497" t="s">
        <v>2680</v>
      </c>
      <c r="T170" s="6336">
        <v>17</v>
      </c>
      <c r="U170" s="6337"/>
      <c r="V170" s="6354"/>
      <c r="W170" s="6354"/>
      <c r="X170" s="6354"/>
      <c r="Y170" s="6354"/>
      <c r="Z170" s="6354"/>
      <c r="AA170" s="6354"/>
      <c r="AB170" s="6354"/>
      <c r="AC170" s="6355"/>
      <c r="AD170" s="6356"/>
      <c r="AE170" s="6354"/>
      <c r="AF170" s="6354"/>
      <c r="AG170" s="6354"/>
      <c r="AH170" s="6354"/>
      <c r="AI170" s="6355"/>
      <c r="AJ170" s="6356"/>
      <c r="AK170" s="6354"/>
      <c r="AL170" s="6354"/>
      <c r="AM170" s="6354"/>
      <c r="AN170" s="6354"/>
      <c r="AO170" s="6354"/>
      <c r="AP170" s="3350"/>
      <c r="AQ170" s="396"/>
      <c r="AR170" s="396"/>
      <c r="AS170" s="396"/>
      <c r="AT170" s="396"/>
      <c r="AU170" s="396"/>
      <c r="BG170" s="3742"/>
      <c r="BH170" s="3169"/>
      <c r="BI170" s="3169"/>
      <c r="BJ170" s="3169"/>
      <c r="BK170" s="3169"/>
      <c r="BL170" s="3169"/>
      <c r="BM170" s="3169"/>
      <c r="BN170" s="3169"/>
      <c r="BO170" s="3169"/>
      <c r="BP170" s="3169"/>
    </row>
    <row r="171" spans="1:68" ht="14.25" customHeight="1">
      <c r="A171" s="3350"/>
      <c r="B171" s="6319">
        <v>18</v>
      </c>
      <c r="C171" s="6249"/>
      <c r="D171" s="3878" t="s">
        <v>835</v>
      </c>
      <c r="E171" s="2719"/>
      <c r="F171" s="2719"/>
      <c r="G171" s="2719"/>
      <c r="H171" s="2719"/>
      <c r="I171" s="2719"/>
      <c r="J171" s="2719"/>
      <c r="K171" s="2719"/>
      <c r="L171" s="2719"/>
      <c r="M171" s="2719"/>
      <c r="N171" s="2719"/>
      <c r="O171" s="2719"/>
      <c r="P171" s="2719"/>
      <c r="Q171" s="2719"/>
      <c r="R171" s="2719"/>
      <c r="S171" s="4497" t="s">
        <v>747</v>
      </c>
      <c r="T171" s="6336">
        <v>18</v>
      </c>
      <c r="U171" s="6337"/>
      <c r="V171" s="6354"/>
      <c r="W171" s="6354"/>
      <c r="X171" s="6354"/>
      <c r="Y171" s="6354"/>
      <c r="Z171" s="6354"/>
      <c r="AA171" s="6354"/>
      <c r="AB171" s="6354"/>
      <c r="AC171" s="6355"/>
      <c r="AD171" s="6356"/>
      <c r="AE171" s="6354"/>
      <c r="AF171" s="6354"/>
      <c r="AG171" s="6354"/>
      <c r="AH171" s="6354"/>
      <c r="AI171" s="6355"/>
      <c r="AJ171" s="6356"/>
      <c r="AK171" s="6354"/>
      <c r="AL171" s="6354"/>
      <c r="AM171" s="6354"/>
      <c r="AN171" s="6354"/>
      <c r="AO171" s="6354"/>
      <c r="AP171" s="3350"/>
      <c r="AQ171" s="396"/>
      <c r="AR171" s="6178" t="s">
        <v>2331</v>
      </c>
      <c r="AS171" s="6357"/>
      <c r="AT171" s="6357"/>
      <c r="AU171" s="396"/>
      <c r="BG171" s="3742"/>
      <c r="BH171" s="3169"/>
      <c r="BI171" s="3169"/>
      <c r="BJ171" s="3169"/>
      <c r="BK171" s="3169"/>
      <c r="BL171" s="3169"/>
      <c r="BM171" s="3169"/>
      <c r="BN171" s="3169"/>
      <c r="BO171" s="3169"/>
      <c r="BP171" s="3169"/>
    </row>
    <row r="172" spans="1:68" ht="14.25" customHeight="1">
      <c r="A172" s="3350"/>
      <c r="B172" s="6319">
        <v>19</v>
      </c>
      <c r="C172" s="6249"/>
      <c r="D172" s="3878" t="s">
        <v>3127</v>
      </c>
      <c r="E172" s="2719"/>
      <c r="F172" s="2719"/>
      <c r="G172" s="2719"/>
      <c r="H172" s="6358"/>
      <c r="I172" s="6358"/>
      <c r="J172" s="6358"/>
      <c r="K172" s="6358"/>
      <c r="L172" s="6358"/>
      <c r="M172" s="6358"/>
      <c r="N172" s="6358"/>
      <c r="O172" s="6358"/>
      <c r="P172" s="6358"/>
      <c r="Q172" s="6358"/>
      <c r="R172" s="6358"/>
      <c r="S172" s="3570"/>
      <c r="T172" s="6336">
        <v>19</v>
      </c>
      <c r="U172" s="6337"/>
      <c r="V172" s="6354"/>
      <c r="W172" s="6354"/>
      <c r="X172" s="6354"/>
      <c r="Y172" s="6354"/>
      <c r="Z172" s="6354"/>
      <c r="AA172" s="6354"/>
      <c r="AB172" s="6354"/>
      <c r="AC172" s="6355"/>
      <c r="AD172" s="6356"/>
      <c r="AE172" s="6354"/>
      <c r="AF172" s="6354"/>
      <c r="AG172" s="6354"/>
      <c r="AH172" s="6354"/>
      <c r="AI172" s="6355"/>
      <c r="AJ172" s="6356"/>
      <c r="AK172" s="6354"/>
      <c r="AL172" s="6354"/>
      <c r="AM172" s="6354"/>
      <c r="AN172" s="6354"/>
      <c r="AO172" s="6354"/>
      <c r="AP172" s="3350"/>
      <c r="AQ172" s="396"/>
      <c r="AR172" s="396"/>
      <c r="AS172" s="396"/>
      <c r="AT172" s="396"/>
      <c r="AU172" s="396"/>
      <c r="BG172" s="3742"/>
      <c r="BH172" s="3169"/>
      <c r="BI172" s="3169"/>
      <c r="BJ172" s="3169"/>
      <c r="BK172" s="3169"/>
      <c r="BL172" s="3169"/>
      <c r="BM172" s="3169"/>
      <c r="BN172" s="3169"/>
      <c r="BO172" s="3169"/>
      <c r="BP172" s="3169"/>
    </row>
    <row r="173" spans="1:68" ht="14.25" customHeight="1">
      <c r="A173" s="3350"/>
      <c r="B173" s="6319">
        <v>20</v>
      </c>
      <c r="C173" s="6249"/>
      <c r="D173" s="3878" t="s">
        <v>846</v>
      </c>
      <c r="E173" s="2719"/>
      <c r="F173" s="2719"/>
      <c r="G173" s="2719"/>
      <c r="H173" s="2719"/>
      <c r="I173" s="2719"/>
      <c r="J173" s="2719"/>
      <c r="K173" s="2719"/>
      <c r="L173" s="2719"/>
      <c r="M173" s="2719"/>
      <c r="N173" s="2719"/>
      <c r="O173" s="2719"/>
      <c r="P173" s="2719"/>
      <c r="Q173" s="2719"/>
      <c r="R173" s="2719"/>
      <c r="S173" s="4497" t="s">
        <v>682</v>
      </c>
      <c r="T173" s="6336">
        <v>20</v>
      </c>
      <c r="U173" s="6337"/>
      <c r="V173" s="6334">
        <f>IF(AR173&lt;&gt;"",ROUND(AR173,0),ROUND(SUM(V158:AC172),0))</f>
        <v>0</v>
      </c>
      <c r="W173" s="6334"/>
      <c r="X173" s="6334"/>
      <c r="Y173" s="6334"/>
      <c r="Z173" s="6334"/>
      <c r="AA173" s="6334"/>
      <c r="AB173" s="6334"/>
      <c r="AC173" s="6335"/>
      <c r="AD173" s="6333">
        <f>IF(AS173&lt;&gt;"",ROUND(AS173,0),ROUND(SUM(AD158:AI172),0))</f>
        <v>0</v>
      </c>
      <c r="AE173" s="6334"/>
      <c r="AF173" s="6334"/>
      <c r="AG173" s="6334"/>
      <c r="AH173" s="6334"/>
      <c r="AI173" s="6335"/>
      <c r="AJ173" s="6348">
        <f>IF(AT173&lt;&gt;"",ROUND(AT173,0),ROUND(SUM(AJ158:AO172),0))</f>
        <v>0</v>
      </c>
      <c r="AK173" s="6322"/>
      <c r="AL173" s="6322"/>
      <c r="AM173" s="6322"/>
      <c r="AN173" s="6322"/>
      <c r="AO173" s="6322"/>
      <c r="AP173" s="3350"/>
      <c r="AQ173" s="396"/>
      <c r="AR173" s="3948"/>
      <c r="AS173" s="3948"/>
      <c r="AT173" s="3948"/>
      <c r="AU173" s="396"/>
      <c r="BG173" s="3742"/>
      <c r="BH173" s="3169"/>
      <c r="BI173" s="3169"/>
      <c r="BJ173" s="3169"/>
      <c r="BK173" s="3169"/>
      <c r="BL173" s="3169"/>
      <c r="BM173" s="3169"/>
      <c r="BN173" s="3169"/>
      <c r="BO173" s="3169"/>
      <c r="BP173" s="3169"/>
    </row>
    <row r="174" spans="1:68" ht="14.25" customHeight="1">
      <c r="A174" s="3350"/>
      <c r="B174" s="6319">
        <v>21</v>
      </c>
      <c r="C174" s="6249"/>
      <c r="D174" s="3878" t="s">
        <v>4083</v>
      </c>
      <c r="E174" s="2719"/>
      <c r="F174" s="2719"/>
      <c r="G174" s="2719"/>
      <c r="H174" s="2719"/>
      <c r="I174" s="2719"/>
      <c r="J174" s="2719"/>
      <c r="K174" s="2719"/>
      <c r="L174" s="2719"/>
      <c r="M174" s="2719"/>
      <c r="N174" s="2719"/>
      <c r="O174" s="2719"/>
      <c r="P174" s="2719"/>
      <c r="Q174" s="2719"/>
      <c r="R174" s="2719"/>
      <c r="S174" s="3570"/>
      <c r="T174" s="6349"/>
      <c r="U174" s="6350"/>
      <c r="V174" s="6351"/>
      <c r="W174" s="6352"/>
      <c r="X174" s="6352"/>
      <c r="Y174" s="6352"/>
      <c r="Z174" s="6352"/>
      <c r="AA174" s="6352"/>
      <c r="AB174" s="6352"/>
      <c r="AC174" s="6353"/>
      <c r="AD174" s="6351"/>
      <c r="AE174" s="6352"/>
      <c r="AF174" s="6352"/>
      <c r="AG174" s="6352"/>
      <c r="AH174" s="6352"/>
      <c r="AI174" s="6353"/>
      <c r="AJ174" s="6351"/>
      <c r="AK174" s="6352"/>
      <c r="AL174" s="6352"/>
      <c r="AM174" s="6352"/>
      <c r="AN174" s="6352"/>
      <c r="AO174" s="6352"/>
      <c r="AP174" s="3350"/>
      <c r="AQ174" s="396"/>
      <c r="AR174" s="396"/>
      <c r="AS174" s="396"/>
      <c r="AT174" s="396"/>
      <c r="AU174" s="396"/>
      <c r="AX174" s="154"/>
      <c r="AY174" s="6346" t="s">
        <v>159</v>
      </c>
      <c r="AZ174" s="6347"/>
      <c r="BA174" s="6346" t="s">
        <v>327</v>
      </c>
      <c r="BB174" s="6347"/>
      <c r="BC174" s="6346" t="s">
        <v>160</v>
      </c>
      <c r="BD174" s="6347"/>
      <c r="BG174" s="3742"/>
      <c r="BH174" s="3169"/>
      <c r="BI174" s="3169"/>
      <c r="BJ174" s="3169"/>
      <c r="BK174" s="3169"/>
      <c r="BL174" s="3169"/>
      <c r="BM174" s="3169"/>
      <c r="BN174" s="3169"/>
      <c r="BO174" s="3169"/>
      <c r="BP174" s="3169"/>
    </row>
    <row r="175" spans="1:68" ht="14.25" customHeight="1">
      <c r="A175" s="3350"/>
      <c r="B175" s="6319"/>
      <c r="C175" s="6249"/>
      <c r="D175" s="3878" t="s">
        <v>4082</v>
      </c>
      <c r="E175" s="2719"/>
      <c r="F175" s="2719"/>
      <c r="G175" s="2719"/>
      <c r="H175" s="2719"/>
      <c r="I175" s="2719"/>
      <c r="J175" s="2719"/>
      <c r="K175" s="2719"/>
      <c r="L175" s="2719"/>
      <c r="M175" s="2719"/>
      <c r="N175" s="2719"/>
      <c r="O175" s="2719"/>
      <c r="P175" s="2719"/>
      <c r="Q175" s="2719"/>
      <c r="R175" s="2719"/>
      <c r="S175" s="3570"/>
      <c r="T175" s="6340"/>
      <c r="U175" s="6341"/>
      <c r="V175" s="6342"/>
      <c r="W175" s="6343"/>
      <c r="X175" s="6343"/>
      <c r="Y175" s="6343"/>
      <c r="Z175" s="6343"/>
      <c r="AA175" s="6343"/>
      <c r="AB175" s="6343"/>
      <c r="AC175" s="6344"/>
      <c r="AD175" s="6342"/>
      <c r="AE175" s="6343"/>
      <c r="AF175" s="6343"/>
      <c r="AG175" s="6343"/>
      <c r="AH175" s="6343"/>
      <c r="AI175" s="6344"/>
      <c r="AJ175" s="6342"/>
      <c r="AK175" s="6343"/>
      <c r="AL175" s="6343"/>
      <c r="AM175" s="6343"/>
      <c r="AN175" s="6343"/>
      <c r="AO175" s="6343"/>
      <c r="AP175" s="3350"/>
      <c r="AQ175" s="396"/>
      <c r="AR175" s="396"/>
      <c r="AS175" s="396"/>
      <c r="AT175" s="396"/>
      <c r="AU175" s="396"/>
      <c r="AX175" s="154"/>
      <c r="AY175" s="1405" t="s">
        <v>858</v>
      </c>
      <c r="AZ175" s="1405" t="s">
        <v>859</v>
      </c>
      <c r="BA175" s="1405" t="s">
        <v>858</v>
      </c>
      <c r="BB175" s="1405" t="s">
        <v>859</v>
      </c>
      <c r="BC175" s="1405" t="s">
        <v>858</v>
      </c>
      <c r="BD175" s="1405" t="s">
        <v>859</v>
      </c>
      <c r="BG175" s="3742"/>
      <c r="BH175" s="3169"/>
      <c r="BI175" s="3169"/>
      <c r="BJ175" s="3169"/>
      <c r="BK175" s="3169"/>
      <c r="BL175" s="3169"/>
      <c r="BM175" s="3169"/>
      <c r="BN175" s="3169"/>
      <c r="BO175" s="3169"/>
      <c r="BP175" s="3169"/>
    </row>
    <row r="176" spans="1:68" ht="14.25" customHeight="1">
      <c r="A176" s="3350"/>
      <c r="B176" s="6319"/>
      <c r="C176" s="6249"/>
      <c r="D176" s="3878" t="s">
        <v>4081</v>
      </c>
      <c r="E176" s="2719"/>
      <c r="F176" s="2719"/>
      <c r="G176" s="2719"/>
      <c r="H176" s="2719"/>
      <c r="I176" s="2719"/>
      <c r="J176" s="2719"/>
      <c r="K176" s="2719"/>
      <c r="L176" s="2719"/>
      <c r="M176" s="2719"/>
      <c r="N176" s="2719"/>
      <c r="O176" s="2719"/>
      <c r="P176" s="2719"/>
      <c r="Q176" s="2719"/>
      <c r="R176" s="2719"/>
      <c r="S176" s="4497" t="s">
        <v>312</v>
      </c>
      <c r="T176" s="6336">
        <v>21</v>
      </c>
      <c r="U176" s="6337"/>
      <c r="V176" s="6333">
        <f>IF(AR176&lt;&gt;"",ROUND(AR176,0),ROUND(SUM(V155,V156,-V173),0))</f>
        <v>0</v>
      </c>
      <c r="W176" s="6334"/>
      <c r="X176" s="6334"/>
      <c r="Y176" s="6334"/>
      <c r="Z176" s="6334"/>
      <c r="AA176" s="6334"/>
      <c r="AB176" s="6334"/>
      <c r="AC176" s="6335"/>
      <c r="AD176" s="6333">
        <f>IF(AS176&lt;&gt;"",ROUND(AS176,0),ROUND(SUM(AD155,AD156,-AD173),0))</f>
        <v>0</v>
      </c>
      <c r="AE176" s="6334"/>
      <c r="AF176" s="6334"/>
      <c r="AG176" s="6334"/>
      <c r="AH176" s="6334"/>
      <c r="AI176" s="6335"/>
      <c r="AJ176" s="6333">
        <f>IF(AT176&lt;&gt;"",ROUND(AT176,0),ROUND(SUM(AJ155,AJ156,-AJ173),0))</f>
        <v>0</v>
      </c>
      <c r="AK176" s="6334"/>
      <c r="AL176" s="6334"/>
      <c r="AM176" s="6334"/>
      <c r="AN176" s="6334"/>
      <c r="AO176" s="6334"/>
      <c r="AP176" s="3350"/>
      <c r="AQ176" s="396"/>
      <c r="AR176" s="3948"/>
      <c r="AS176" s="3948"/>
      <c r="AT176" s="3948"/>
      <c r="AU176" s="396"/>
      <c r="AX176" s="1407" t="s">
        <v>861</v>
      </c>
      <c r="AY176" s="1404">
        <f>IF(V176&gt;0,V176,0)</f>
        <v>0</v>
      </c>
      <c r="AZ176" s="1404">
        <f>IF(V176&lt;0,V176,0)</f>
        <v>0</v>
      </c>
      <c r="BA176" s="1404">
        <f>IF(AD176&gt;0,AD176,0)</f>
        <v>0</v>
      </c>
      <c r="BB176" s="1404">
        <f>IF(AD176&lt;0,AD176,0)</f>
        <v>0</v>
      </c>
      <c r="BC176" s="1404">
        <f>IF(AJ176&gt;0,AJ176,0)</f>
        <v>0</v>
      </c>
      <c r="BD176" s="1404">
        <f>IF(AJ176&lt;0,AJ176,0)</f>
        <v>0</v>
      </c>
      <c r="BG176" s="3742"/>
      <c r="BH176" s="3169"/>
      <c r="BI176" s="3169"/>
      <c r="BJ176" s="3169"/>
      <c r="BK176" s="3169"/>
      <c r="BL176" s="3169"/>
      <c r="BM176" s="3169"/>
      <c r="BN176" s="3169"/>
      <c r="BO176" s="3169"/>
      <c r="BP176" s="3169"/>
    </row>
    <row r="177" spans="1:68" ht="14.25" customHeight="1">
      <c r="A177" s="3350"/>
      <c r="B177" s="6319">
        <v>22</v>
      </c>
      <c r="C177" s="6249"/>
      <c r="D177" s="3878" t="s">
        <v>3128</v>
      </c>
      <c r="E177" s="2719"/>
      <c r="F177" s="2719"/>
      <c r="G177" s="2719"/>
      <c r="H177" s="2719"/>
      <c r="I177" s="2719"/>
      <c r="J177" s="2719"/>
      <c r="K177" s="2719"/>
      <c r="L177" s="2719"/>
      <c r="M177" s="2719"/>
      <c r="N177" s="2719"/>
      <c r="O177" s="2719"/>
      <c r="P177" s="2719"/>
      <c r="Q177" s="2719"/>
      <c r="R177" s="2719"/>
      <c r="S177" s="3570"/>
      <c r="T177" s="6340"/>
      <c r="U177" s="6341"/>
      <c r="V177" s="6342"/>
      <c r="W177" s="6343"/>
      <c r="X177" s="6343"/>
      <c r="Y177" s="6343"/>
      <c r="Z177" s="6343"/>
      <c r="AA177" s="6343"/>
      <c r="AB177" s="6343"/>
      <c r="AC177" s="6344"/>
      <c r="AD177" s="6342"/>
      <c r="AE177" s="6343"/>
      <c r="AF177" s="6343"/>
      <c r="AG177" s="6343"/>
      <c r="AH177" s="6343"/>
      <c r="AI177" s="6344"/>
      <c r="AJ177" s="6342"/>
      <c r="AK177" s="6343"/>
      <c r="AL177" s="6343"/>
      <c r="AM177" s="6343"/>
      <c r="AN177" s="6343"/>
      <c r="AO177" s="6343"/>
      <c r="AP177" s="3350"/>
      <c r="AQ177" s="396"/>
      <c r="AR177" s="396"/>
      <c r="AS177" s="396"/>
      <c r="AT177" s="396"/>
      <c r="AU177" s="396"/>
      <c r="AX177" s="1407" t="s">
        <v>836</v>
      </c>
      <c r="AY177" s="1424" t="s">
        <v>868</v>
      </c>
      <c r="AZ177" s="1404">
        <f>IF(W178&lt;&gt;"",-W178,0)</f>
        <v>0</v>
      </c>
      <c r="BA177" s="1424" t="s">
        <v>868</v>
      </c>
      <c r="BB177" s="1404">
        <f>IF(AE178&lt;&gt;"",-AE178,0)</f>
        <v>0</v>
      </c>
      <c r="BC177" s="1424" t="s">
        <v>868</v>
      </c>
      <c r="BD177" s="1404">
        <f>IF(AK178&lt;&gt;"",-AK178,0)</f>
        <v>0</v>
      </c>
      <c r="BG177" s="3742"/>
      <c r="BH177" s="3169"/>
      <c r="BI177" s="3169"/>
      <c r="BJ177" s="3169"/>
      <c r="BK177" s="3169"/>
      <c r="BL177" s="3169"/>
      <c r="BM177" s="3169"/>
      <c r="BN177" s="3169"/>
      <c r="BO177" s="3169"/>
      <c r="BP177" s="3169"/>
    </row>
    <row r="178" spans="1:68" ht="14.25" customHeight="1">
      <c r="A178" s="3350"/>
      <c r="B178" s="6319"/>
      <c r="C178" s="6249"/>
      <c r="D178" s="3878" t="s">
        <v>4080</v>
      </c>
      <c r="E178" s="2719"/>
      <c r="F178" s="2719"/>
      <c r="G178" s="2719"/>
      <c r="H178" s="2719"/>
      <c r="I178" s="2719"/>
      <c r="J178" s="2719"/>
      <c r="K178" s="2719"/>
      <c r="L178" s="2719"/>
      <c r="M178" s="2719"/>
      <c r="N178" s="2719"/>
      <c r="O178" s="2719"/>
      <c r="P178" s="2719"/>
      <c r="Q178" s="2719"/>
      <c r="R178" s="2719"/>
      <c r="S178" s="4497" t="s">
        <v>667</v>
      </c>
      <c r="T178" s="6336">
        <v>22</v>
      </c>
      <c r="U178" s="6337"/>
      <c r="V178" s="3952" t="s">
        <v>1147</v>
      </c>
      <c r="W178" s="6334" t="str">
        <f>IF(AR178&lt;&gt;"",ROUND(AR178,0),IF(AND(D148&lt;&gt;6,V176&lt;0,OR(V156="",V156=0)),ROUND(-V176,0),""))</f>
        <v/>
      </c>
      <c r="X178" s="6345"/>
      <c r="Y178" s="6345"/>
      <c r="Z178" s="6345"/>
      <c r="AA178" s="6345"/>
      <c r="AB178" s="6345"/>
      <c r="AC178" s="3951" t="s">
        <v>1148</v>
      </c>
      <c r="AD178" s="3952" t="s">
        <v>1147</v>
      </c>
      <c r="AE178" s="6334" t="str">
        <f>IF(AS178&lt;&gt;"",ROUND(AS178,0),IF(AND(D149&lt;&gt;6,AD176&lt;0,OR(AD156="",AD156=0)),ROUND(-AD176,0),""))</f>
        <v/>
      </c>
      <c r="AF178" s="6345"/>
      <c r="AG178" s="6345"/>
      <c r="AH178" s="6345"/>
      <c r="AI178" s="3951" t="s">
        <v>1148</v>
      </c>
      <c r="AJ178" s="3952" t="s">
        <v>1147</v>
      </c>
      <c r="AK178" s="6334" t="str">
        <f>IF(AT178&lt;&gt;"",ROUND(AT178,0),IF(AND(D150&lt;&gt;6,AJ176&lt;0,OR(AJ156="",AJ156=0)),ROUND(-AJ176,0),""))</f>
        <v/>
      </c>
      <c r="AL178" s="6345"/>
      <c r="AM178" s="6345"/>
      <c r="AN178" s="6345"/>
      <c r="AO178" s="3950" t="s">
        <v>1148</v>
      </c>
      <c r="AP178" s="3350"/>
      <c r="AQ178" s="396"/>
      <c r="AR178" s="3948"/>
      <c r="AS178" s="3948"/>
      <c r="AT178" s="3948"/>
      <c r="AU178" s="396"/>
      <c r="AX178" s="1407"/>
      <c r="AY178" s="1406" t="s">
        <v>860</v>
      </c>
      <c r="AZ178" s="1404">
        <f>IF(D148=6,AZ176,0)</f>
        <v>0</v>
      </c>
      <c r="BA178"/>
      <c r="BB178" s="1404">
        <f>IF(D149=6,BB176,0)</f>
        <v>0</v>
      </c>
      <c r="BC178"/>
      <c r="BD178" s="1404">
        <f>IF(D150=6,BD176,0)</f>
        <v>0</v>
      </c>
      <c r="BG178" s="3742"/>
      <c r="BH178" s="3169"/>
      <c r="BI178" s="3169"/>
      <c r="BJ178" s="3169"/>
      <c r="BK178" s="3169"/>
      <c r="BL178" s="3169"/>
      <c r="BM178" s="3169"/>
      <c r="BN178" s="3169"/>
      <c r="BO178" s="3169"/>
      <c r="BP178" s="3169"/>
    </row>
    <row r="179" spans="1:68" ht="14.25" customHeight="1">
      <c r="A179" s="3350"/>
      <c r="B179" s="6319" t="s">
        <v>847</v>
      </c>
      <c r="C179" s="6249"/>
      <c r="D179" s="3878" t="s">
        <v>918</v>
      </c>
      <c r="E179" s="2719"/>
      <c r="F179" s="2719"/>
      <c r="G179" s="2719"/>
      <c r="H179" s="2719"/>
      <c r="I179" s="2719"/>
      <c r="J179" s="2719"/>
      <c r="K179" s="2719"/>
      <c r="L179" s="2719"/>
      <c r="M179" s="2719"/>
      <c r="N179" s="2719"/>
      <c r="O179" s="2719"/>
      <c r="P179" s="2719"/>
      <c r="Q179" s="2719"/>
      <c r="R179" s="2719"/>
      <c r="S179" s="2719"/>
      <c r="T179" s="2719"/>
      <c r="U179" s="2719"/>
      <c r="V179" s="2719"/>
      <c r="W179" s="2719"/>
      <c r="X179" s="2719"/>
      <c r="Y179" s="2719"/>
      <c r="Z179" s="2719"/>
      <c r="AA179" s="4497" t="s">
        <v>625</v>
      </c>
      <c r="AB179" s="6320" t="s">
        <v>847</v>
      </c>
      <c r="AC179" s="6321"/>
      <c r="AD179" s="6333">
        <f>IF(AR179&lt;&gt;"",ROUND(AR179,0),ROUND(BC151,0))</f>
        <v>0</v>
      </c>
      <c r="AE179" s="6334"/>
      <c r="AF179" s="6334"/>
      <c r="AG179" s="6334"/>
      <c r="AH179" s="6334"/>
      <c r="AI179" s="6335"/>
      <c r="AJ179" s="3350"/>
      <c r="AK179" s="3350"/>
      <c r="AL179" s="3350"/>
      <c r="AM179" s="3350"/>
      <c r="AN179" s="3350"/>
      <c r="AO179" s="3350"/>
      <c r="AP179" s="3350"/>
      <c r="AQ179" s="396"/>
      <c r="AR179" s="3948"/>
      <c r="AS179" s="396"/>
      <c r="AT179" s="396"/>
      <c r="AU179" s="396"/>
      <c r="AX179" s="154"/>
      <c r="AY179" s="1406" t="s">
        <v>862</v>
      </c>
      <c r="AZ179" s="1404">
        <f>IF(D148&lt;&gt;6,AZ176,0)</f>
        <v>0</v>
      </c>
      <c r="BA179"/>
      <c r="BB179" s="1404">
        <f>IF(D149&lt;&gt;6,BB176,0)</f>
        <v>0</v>
      </c>
      <c r="BC179"/>
      <c r="BD179" s="1404">
        <f>IF(D150&lt;&gt;6,BD176,0)</f>
        <v>0</v>
      </c>
      <c r="BG179" s="3742"/>
      <c r="BH179" s="3169"/>
      <c r="BI179" s="3169"/>
      <c r="BJ179" s="3169"/>
      <c r="BK179" s="3169"/>
      <c r="BL179" s="3169"/>
      <c r="BM179" s="3169"/>
      <c r="BN179" s="3169"/>
      <c r="BO179" s="3169"/>
      <c r="BP179" s="3169"/>
    </row>
    <row r="180" spans="1:68" ht="14.25" customHeight="1">
      <c r="A180" s="3350"/>
      <c r="B180" s="6331" t="s">
        <v>54</v>
      </c>
      <c r="C180" s="6332"/>
      <c r="D180" s="3878" t="s">
        <v>849</v>
      </c>
      <c r="E180" s="2719"/>
      <c r="F180" s="2719"/>
      <c r="G180" s="2719"/>
      <c r="H180" s="2719"/>
      <c r="I180" s="2719"/>
      <c r="J180" s="2719"/>
      <c r="K180" s="2719"/>
      <c r="L180" s="2719"/>
      <c r="M180" s="2719"/>
      <c r="N180" s="2719"/>
      <c r="O180" s="2719"/>
      <c r="P180" s="2719"/>
      <c r="Q180" s="2719"/>
      <c r="R180" s="2719"/>
      <c r="S180" s="2719"/>
      <c r="T180" s="2719"/>
      <c r="U180" s="2719"/>
      <c r="V180" s="2719"/>
      <c r="W180" s="2719"/>
      <c r="X180" s="2719"/>
      <c r="Y180" s="2719"/>
      <c r="Z180" s="2719"/>
      <c r="AA180" s="4497" t="s">
        <v>682</v>
      </c>
      <c r="AB180" s="6320" t="s">
        <v>848</v>
      </c>
      <c r="AC180" s="6321"/>
      <c r="AD180" s="6333">
        <f>IF(AR180&lt;&gt;"",ROUND(AR180,0),ROUND(BC152,0))</f>
        <v>0</v>
      </c>
      <c r="AE180" s="6334"/>
      <c r="AF180" s="6334"/>
      <c r="AG180" s="6334"/>
      <c r="AH180" s="6334"/>
      <c r="AI180" s="6335"/>
      <c r="AJ180" s="3350"/>
      <c r="AK180" s="3350"/>
      <c r="AL180" s="3350"/>
      <c r="AM180" s="3350"/>
      <c r="AN180" s="3350"/>
      <c r="AO180" s="3350"/>
      <c r="AP180" s="3350"/>
      <c r="AQ180" s="396"/>
      <c r="AR180" s="3948"/>
      <c r="AS180" s="396"/>
      <c r="AT180" s="396"/>
      <c r="AU180" s="396"/>
      <c r="BG180" s="3742"/>
      <c r="BH180" s="3169"/>
      <c r="BI180" s="3169"/>
      <c r="BJ180" s="3169"/>
      <c r="BK180" s="3169"/>
      <c r="BL180" s="3169"/>
      <c r="BM180" s="3169"/>
      <c r="BN180" s="3169"/>
      <c r="BO180" s="3169"/>
      <c r="BP180" s="3169"/>
    </row>
    <row r="181" spans="1:68" ht="14.25" customHeight="1">
      <c r="A181" s="3350"/>
      <c r="B181" s="6331" t="s">
        <v>55</v>
      </c>
      <c r="C181" s="6332"/>
      <c r="D181" s="3878" t="s">
        <v>850</v>
      </c>
      <c r="E181" s="2719"/>
      <c r="F181" s="2719"/>
      <c r="G181" s="2719"/>
      <c r="H181" s="2719"/>
      <c r="I181" s="2719"/>
      <c r="J181" s="2719"/>
      <c r="K181" s="2719"/>
      <c r="L181" s="2719"/>
      <c r="M181" s="2719"/>
      <c r="N181" s="2719"/>
      <c r="O181" s="2719"/>
      <c r="P181" s="2719"/>
      <c r="Q181" s="2719"/>
      <c r="R181" s="2719"/>
      <c r="S181" s="2719"/>
      <c r="T181" s="2719"/>
      <c r="U181" s="2719"/>
      <c r="V181" s="2719"/>
      <c r="W181" s="2719"/>
      <c r="X181" s="2719"/>
      <c r="Y181" s="2719"/>
      <c r="Z181" s="2719"/>
      <c r="AA181" s="4497" t="s">
        <v>667</v>
      </c>
      <c r="AB181" s="6320" t="s">
        <v>853</v>
      </c>
      <c r="AC181" s="6321"/>
      <c r="AD181" s="6333">
        <f>IF(AR181&lt;&gt;"",ROUND(AR181,0),ROUND(SUM(V165,AD165,AJ165),0))</f>
        <v>0</v>
      </c>
      <c r="AE181" s="6334"/>
      <c r="AF181" s="6334"/>
      <c r="AG181" s="6334"/>
      <c r="AH181" s="6334"/>
      <c r="AI181" s="6335"/>
      <c r="AJ181" s="3350"/>
      <c r="AK181" s="3350"/>
      <c r="AL181" s="3350"/>
      <c r="AM181" s="3350"/>
      <c r="AN181" s="3350"/>
      <c r="AO181" s="3350"/>
      <c r="AP181" s="3350"/>
      <c r="AQ181" s="396"/>
      <c r="AR181" s="3948"/>
      <c r="AS181" s="396"/>
      <c r="AT181" s="396"/>
      <c r="AU181" s="396"/>
      <c r="BG181" s="3742"/>
      <c r="BH181" s="3169"/>
      <c r="BI181" s="3169"/>
      <c r="BJ181" s="3169"/>
      <c r="BK181" s="3169"/>
      <c r="BL181" s="3169"/>
      <c r="BM181" s="3169"/>
      <c r="BN181" s="3169"/>
      <c r="BO181" s="3169"/>
      <c r="BP181" s="3169"/>
    </row>
    <row r="182" spans="1:68" ht="14.25" customHeight="1">
      <c r="A182" s="3350"/>
      <c r="B182" s="6331" t="s">
        <v>102</v>
      </c>
      <c r="C182" s="6332"/>
      <c r="D182" s="3878" t="s">
        <v>851</v>
      </c>
      <c r="E182" s="2719"/>
      <c r="F182" s="2719"/>
      <c r="G182" s="2719"/>
      <c r="H182" s="2719"/>
      <c r="I182" s="2719"/>
      <c r="J182" s="2719"/>
      <c r="K182" s="2719"/>
      <c r="L182" s="2719"/>
      <c r="M182" s="2719"/>
      <c r="N182" s="2719"/>
      <c r="O182" s="2719"/>
      <c r="P182" s="2719"/>
      <c r="Q182" s="2719"/>
      <c r="R182" s="2719"/>
      <c r="S182" s="2719"/>
      <c r="T182" s="2719"/>
      <c r="U182" s="2719"/>
      <c r="V182" s="2719"/>
      <c r="W182" s="2719"/>
      <c r="X182" s="2719"/>
      <c r="Y182" s="2719"/>
      <c r="Z182" s="2719"/>
      <c r="AA182" s="4497" t="s">
        <v>667</v>
      </c>
      <c r="AB182" s="6320" t="s">
        <v>854</v>
      </c>
      <c r="AC182" s="6321"/>
      <c r="AD182" s="6333">
        <f>IF(AR182&lt;&gt;"",ROUND(AR182,0),ROUND(SUM(V171,AD171,AJ171),0))</f>
        <v>0</v>
      </c>
      <c r="AE182" s="6334"/>
      <c r="AF182" s="6334"/>
      <c r="AG182" s="6334"/>
      <c r="AH182" s="6334"/>
      <c r="AI182" s="6335"/>
      <c r="AJ182" s="3350"/>
      <c r="AK182" s="3350"/>
      <c r="AL182" s="3350"/>
      <c r="AM182" s="3350"/>
      <c r="AN182" s="3350"/>
      <c r="AO182" s="3350"/>
      <c r="AP182" s="3350"/>
      <c r="AQ182" s="396"/>
      <c r="AR182" s="3948"/>
      <c r="AS182" s="396"/>
      <c r="AT182" s="396"/>
      <c r="AU182" s="396"/>
      <c r="BG182" s="3742"/>
      <c r="BH182" s="3169"/>
      <c r="BI182" s="3169"/>
      <c r="BJ182" s="3169"/>
      <c r="BK182" s="3169"/>
      <c r="BL182" s="3169"/>
      <c r="BM182" s="3169"/>
      <c r="BN182" s="3169"/>
      <c r="BO182" s="3169"/>
      <c r="BP182" s="3169"/>
    </row>
    <row r="183" spans="1:68" ht="14.25" customHeight="1">
      <c r="A183" s="3350"/>
      <c r="B183" s="6331" t="s">
        <v>1201</v>
      </c>
      <c r="C183" s="6332"/>
      <c r="D183" s="3878" t="s">
        <v>852</v>
      </c>
      <c r="E183" s="2719"/>
      <c r="F183" s="2719"/>
      <c r="G183" s="2719"/>
      <c r="H183" s="2719"/>
      <c r="I183" s="2719"/>
      <c r="J183" s="2719"/>
      <c r="K183" s="2719"/>
      <c r="L183" s="2719"/>
      <c r="M183" s="2719"/>
      <c r="N183" s="2719"/>
      <c r="O183" s="2719"/>
      <c r="P183" s="2719"/>
      <c r="Q183" s="2719"/>
      <c r="R183" s="2719"/>
      <c r="S183" s="2719"/>
      <c r="T183" s="2719"/>
      <c r="U183" s="2719"/>
      <c r="V183" s="2719"/>
      <c r="W183" s="2719"/>
      <c r="X183" s="2719"/>
      <c r="Y183" s="2719"/>
      <c r="Z183" s="2719"/>
      <c r="AA183" s="4497" t="s">
        <v>667</v>
      </c>
      <c r="AB183" s="6320" t="s">
        <v>855</v>
      </c>
      <c r="AC183" s="6321"/>
      <c r="AD183" s="6333">
        <f>IF(AR183&lt;&gt;"",ROUND(AR183,0),ROUND(SUM(V173,AD173,AJ173),0))</f>
        <v>0</v>
      </c>
      <c r="AE183" s="6334"/>
      <c r="AF183" s="6334"/>
      <c r="AG183" s="6334"/>
      <c r="AH183" s="6334"/>
      <c r="AI183" s="6335"/>
      <c r="AJ183" s="3350"/>
      <c r="AK183" s="3350"/>
      <c r="AL183" s="3350"/>
      <c r="AM183" s="3350"/>
      <c r="AN183" s="3350"/>
      <c r="AO183" s="3350"/>
      <c r="AP183" s="3350"/>
      <c r="AQ183" s="396"/>
      <c r="AR183" s="3948"/>
      <c r="AS183" s="396"/>
      <c r="AT183" s="396"/>
      <c r="AU183" s="396"/>
      <c r="BG183" s="3742"/>
      <c r="BH183" s="3169"/>
      <c r="BI183" s="3169"/>
      <c r="BJ183" s="3169"/>
      <c r="BK183" s="3169"/>
      <c r="BL183" s="3169"/>
      <c r="BM183" s="3169"/>
      <c r="BN183" s="3169"/>
      <c r="BO183" s="3169"/>
      <c r="BP183" s="3169"/>
    </row>
    <row r="184" spans="1:68" ht="14.25" customHeight="1">
      <c r="A184" s="3350"/>
      <c r="B184" s="6319">
        <v>24</v>
      </c>
      <c r="C184" s="6249"/>
      <c r="D184" s="3878" t="s">
        <v>3129</v>
      </c>
      <c r="E184" s="2719"/>
      <c r="F184" s="2719"/>
      <c r="G184" s="2719"/>
      <c r="H184" s="2719"/>
      <c r="I184" s="2719"/>
      <c r="J184" s="2719"/>
      <c r="K184" s="2719"/>
      <c r="L184" s="2719"/>
      <c r="M184" s="2719"/>
      <c r="N184" s="2719"/>
      <c r="O184" s="2719"/>
      <c r="P184" s="2719"/>
      <c r="Q184" s="2719"/>
      <c r="R184" s="2719"/>
      <c r="S184" s="2719"/>
      <c r="T184" s="2719"/>
      <c r="U184" s="2719"/>
      <c r="V184" s="2719"/>
      <c r="W184" s="2719"/>
      <c r="X184" s="2719"/>
      <c r="Y184" s="2719"/>
      <c r="Z184" s="2719"/>
      <c r="AA184" s="2719"/>
      <c r="AB184" s="2719"/>
      <c r="AC184" s="2719"/>
      <c r="AD184" s="2719"/>
      <c r="AE184" s="2719"/>
      <c r="AF184" s="2719"/>
      <c r="AG184" s="4497" t="s">
        <v>857</v>
      </c>
      <c r="AH184" s="6336">
        <v>24</v>
      </c>
      <c r="AI184" s="6337"/>
      <c r="AJ184" s="6338">
        <f>IF(AR184&lt;&gt;"",ROUND(AR184,0),ROUND(SUM(AY176,BA176,BC176),0))</f>
        <v>0</v>
      </c>
      <c r="AK184" s="6339"/>
      <c r="AL184" s="6339"/>
      <c r="AM184" s="6339"/>
      <c r="AN184" s="6339"/>
      <c r="AO184" s="6339"/>
      <c r="AP184" s="3350"/>
      <c r="AQ184" s="396"/>
      <c r="AR184" s="3948"/>
      <c r="AS184" s="396"/>
      <c r="AT184" s="396"/>
      <c r="AU184" s="396"/>
      <c r="BG184" s="3742"/>
      <c r="BH184" s="3169"/>
      <c r="BI184" s="3169"/>
      <c r="BJ184" s="3169"/>
      <c r="BK184" s="3169"/>
      <c r="BL184" s="3169"/>
      <c r="BM184" s="3169"/>
      <c r="BN184" s="3169"/>
      <c r="BO184" s="3169"/>
      <c r="BP184" s="3169"/>
    </row>
    <row r="185" spans="1:68" ht="14.25" customHeight="1">
      <c r="A185" s="3350"/>
      <c r="B185" s="6319">
        <v>25</v>
      </c>
      <c r="C185" s="6249"/>
      <c r="D185" s="3901" t="s">
        <v>3130</v>
      </c>
      <c r="E185" s="2719"/>
      <c r="F185" s="2719"/>
      <c r="G185" s="2719"/>
      <c r="H185" s="2719"/>
      <c r="I185" s="2719"/>
      <c r="J185" s="2719"/>
      <c r="K185" s="2719"/>
      <c r="L185" s="2719"/>
      <c r="M185" s="2719"/>
      <c r="N185" s="2719"/>
      <c r="O185" s="2719"/>
      <c r="P185" s="2719"/>
      <c r="Q185" s="2719"/>
      <c r="R185" s="2719"/>
      <c r="S185" s="2719"/>
      <c r="T185" s="2719"/>
      <c r="U185" s="2719"/>
      <c r="V185" s="2719"/>
      <c r="W185" s="2719"/>
      <c r="X185" s="2719"/>
      <c r="Y185" s="2719"/>
      <c r="Z185" s="2719"/>
      <c r="AA185" s="2719"/>
      <c r="AB185" s="2719"/>
      <c r="AC185" s="2719"/>
      <c r="AD185" s="2719"/>
      <c r="AE185" s="2719"/>
      <c r="AF185" s="2719"/>
      <c r="AG185" s="2719"/>
      <c r="AH185" s="6320">
        <v>25</v>
      </c>
      <c r="AI185" s="6321"/>
      <c r="AJ185" s="3953" t="s">
        <v>1147</v>
      </c>
      <c r="AK185" s="6322">
        <f>-AK186</f>
        <v>0</v>
      </c>
      <c r="AL185" s="6323"/>
      <c r="AM185" s="6323"/>
      <c r="AN185" s="6323"/>
      <c r="AO185" s="3954" t="s">
        <v>1148</v>
      </c>
      <c r="AP185" s="3350"/>
      <c r="AQ185" s="396"/>
      <c r="AR185" s="3948"/>
      <c r="AS185" s="396"/>
      <c r="AT185" s="396"/>
      <c r="AU185" s="396"/>
      <c r="BG185" s="3742"/>
      <c r="BH185" s="3169"/>
      <c r="BI185" s="3169"/>
      <c r="BJ185" s="3169"/>
      <c r="BK185" s="3169"/>
      <c r="BL185" s="3169"/>
      <c r="BM185" s="3169"/>
      <c r="BN185" s="3169"/>
      <c r="BO185" s="3169"/>
      <c r="BP185" s="3169"/>
    </row>
    <row r="186" spans="1:68" ht="14.25" customHeight="1">
      <c r="A186" s="3350"/>
      <c r="B186" s="6319">
        <v>26</v>
      </c>
      <c r="C186" s="6249"/>
      <c r="D186" s="3878" t="s">
        <v>4084</v>
      </c>
      <c r="E186" s="2719"/>
      <c r="F186" s="2719"/>
      <c r="G186" s="2719"/>
      <c r="H186" s="2719"/>
      <c r="I186" s="2719"/>
      <c r="J186" s="2719"/>
      <c r="K186" s="2719"/>
      <c r="L186" s="2719"/>
      <c r="M186" s="2719"/>
      <c r="N186" s="2719"/>
      <c r="O186" s="2719"/>
      <c r="P186" s="2719"/>
      <c r="Q186" s="2719"/>
      <c r="R186" s="2719"/>
      <c r="S186" s="2719"/>
      <c r="T186" s="3605"/>
      <c r="U186" s="3899"/>
      <c r="V186" s="3900"/>
      <c r="W186" s="3900"/>
      <c r="X186" s="3900"/>
      <c r="Y186" s="3900"/>
      <c r="Z186" s="3900"/>
      <c r="AA186" s="3900"/>
      <c r="AB186" s="3900"/>
      <c r="AC186" s="3900"/>
      <c r="AD186" s="3900"/>
      <c r="AE186" s="3900"/>
      <c r="AF186" s="3900"/>
      <c r="AG186" s="3900"/>
      <c r="AH186" s="3902"/>
      <c r="AI186" s="3903"/>
      <c r="AJ186" s="3900"/>
      <c r="AK186" s="6330">
        <f>IF(AND(AR185&lt;&gt;"",AR185&gt;=0),-ROUND(AR185,0),IF(AND(AR185&lt;&gt;"",AR185&lt;0),ROUND(AR185,0),SUM(AZ177,AZ178,BB177,BB178,BD177,BD178)))</f>
        <v>0</v>
      </c>
      <c r="AL186" s="6330"/>
      <c r="AM186" s="6330"/>
      <c r="AN186" s="6330"/>
      <c r="AO186" s="3900"/>
      <c r="AP186" s="3350"/>
      <c r="AQ186" s="396"/>
      <c r="AR186" s="396"/>
      <c r="AS186" s="396"/>
      <c r="AT186" s="396"/>
      <c r="AU186" s="396"/>
      <c r="BG186" s="3742"/>
      <c r="BH186" s="3169"/>
      <c r="BI186" s="3169"/>
      <c r="BJ186" s="3169"/>
      <c r="BK186" s="3169"/>
      <c r="BL186" s="3169"/>
      <c r="BM186" s="3169"/>
      <c r="BN186" s="3169"/>
      <c r="BO186" s="3169"/>
      <c r="BP186" s="3169"/>
    </row>
    <row r="187" spans="1:68" ht="14.25" customHeight="1">
      <c r="A187" s="3350"/>
      <c r="B187" s="6319"/>
      <c r="C187" s="6249"/>
      <c r="D187" s="3878" t="s">
        <v>3131</v>
      </c>
      <c r="E187" s="2719"/>
      <c r="F187" s="2719"/>
      <c r="G187" s="2719"/>
      <c r="H187" s="2719"/>
      <c r="I187" s="2719"/>
      <c r="J187" s="2719"/>
      <c r="K187" s="2719"/>
      <c r="L187" s="2719"/>
      <c r="M187" s="2719"/>
      <c r="N187" s="2719"/>
      <c r="O187" s="2719"/>
      <c r="P187" s="2719"/>
      <c r="Q187" s="2719"/>
      <c r="R187" s="2719"/>
      <c r="S187" s="2719"/>
      <c r="T187" s="3605"/>
      <c r="U187" s="3899"/>
      <c r="V187" s="3900"/>
      <c r="W187" s="3900"/>
      <c r="X187" s="3900"/>
      <c r="Y187" s="3900"/>
      <c r="Z187" s="3900"/>
      <c r="AA187" s="3900"/>
      <c r="AB187" s="3900"/>
      <c r="AC187" s="3900"/>
      <c r="AD187" s="3900"/>
      <c r="AE187" s="3900"/>
      <c r="AF187" s="3900"/>
      <c r="AG187" s="3900"/>
      <c r="AH187" s="3904"/>
      <c r="AI187" s="3905"/>
      <c r="AJ187" s="3900"/>
      <c r="AK187" s="3900"/>
      <c r="AL187" s="3900"/>
      <c r="AM187" s="3900"/>
      <c r="AN187" s="3900"/>
      <c r="AO187" s="3900"/>
      <c r="AP187" s="3350"/>
      <c r="AQ187" s="396"/>
      <c r="AR187" s="396"/>
      <c r="AS187" s="396"/>
      <c r="AT187" s="396"/>
      <c r="AU187" s="396"/>
      <c r="BG187" s="3742"/>
      <c r="BH187" s="3169"/>
      <c r="BI187" s="3169"/>
      <c r="BJ187" s="3169"/>
      <c r="BK187" s="3169"/>
      <c r="BL187" s="3169"/>
      <c r="BM187" s="3169"/>
      <c r="BN187" s="3169"/>
      <c r="BO187" s="3169"/>
      <c r="BP187" s="3169"/>
    </row>
    <row r="188" spans="1:68" ht="14.25" customHeight="1">
      <c r="A188" s="3350"/>
      <c r="B188" s="6319"/>
      <c r="C188" s="6249"/>
      <c r="D188" s="3878" t="s">
        <v>3132</v>
      </c>
      <c r="E188" s="2719"/>
      <c r="F188" s="2719"/>
      <c r="G188" s="2719"/>
      <c r="H188" s="2719"/>
      <c r="I188" s="2719"/>
      <c r="J188" s="2719"/>
      <c r="K188" s="2719"/>
      <c r="L188" s="2719"/>
      <c r="M188" s="2719"/>
      <c r="N188" s="2719"/>
      <c r="O188" s="2719"/>
      <c r="P188" s="2719"/>
      <c r="Q188" s="2719"/>
      <c r="R188" s="2719"/>
      <c r="S188" s="2719"/>
      <c r="T188" s="3605"/>
      <c r="U188" s="3899"/>
      <c r="V188" s="3900"/>
      <c r="W188" s="3900"/>
      <c r="X188" s="3900"/>
      <c r="Y188" s="3900"/>
      <c r="Z188" s="3900"/>
      <c r="AA188" s="3900"/>
      <c r="AB188" s="3900"/>
      <c r="AC188" s="3900"/>
      <c r="AD188" s="3900"/>
      <c r="AE188" s="3900"/>
      <c r="AF188" s="3900"/>
      <c r="AG188" s="3900"/>
      <c r="AH188" s="3904"/>
      <c r="AI188" s="3905"/>
      <c r="AJ188" s="3900"/>
      <c r="AK188" s="3900"/>
      <c r="AL188" s="3900"/>
      <c r="AM188" s="3900"/>
      <c r="AN188" s="3900"/>
      <c r="AO188" s="3900"/>
      <c r="AP188" s="3350"/>
      <c r="AQ188" s="396"/>
      <c r="AR188" s="396"/>
      <c r="AS188" s="396"/>
      <c r="AT188" s="396"/>
      <c r="AU188" s="396"/>
      <c r="BG188" s="3742"/>
      <c r="BH188" s="3169"/>
      <c r="BI188" s="3169"/>
      <c r="BJ188" s="3169"/>
      <c r="BK188" s="3169"/>
      <c r="BL188" s="3169"/>
      <c r="BM188" s="3169"/>
      <c r="BN188" s="3169"/>
      <c r="BO188" s="3169"/>
      <c r="BP188" s="3169"/>
    </row>
    <row r="189" spans="1:68" ht="14.25" customHeight="1" thickBot="1">
      <c r="A189" s="3350"/>
      <c r="B189" s="3906"/>
      <c r="C189" s="3907"/>
      <c r="D189" s="3908" t="s">
        <v>3133</v>
      </c>
      <c r="E189" s="3909"/>
      <c r="F189" s="3909"/>
      <c r="G189" s="3909"/>
      <c r="H189" s="3909"/>
      <c r="I189" s="3909"/>
      <c r="J189" s="3909"/>
      <c r="K189" s="3909"/>
      <c r="L189" s="3909"/>
      <c r="M189" s="3909"/>
      <c r="N189" s="3909"/>
      <c r="O189" s="3909"/>
      <c r="P189" s="3909"/>
      <c r="Q189" s="3909"/>
      <c r="R189" s="3909"/>
      <c r="S189" s="3909"/>
      <c r="T189" s="3909"/>
      <c r="U189" s="3909"/>
      <c r="V189" s="3909"/>
      <c r="W189" s="3909"/>
      <c r="X189" s="3909"/>
      <c r="Y189" s="3909"/>
      <c r="Z189" s="3909"/>
      <c r="AA189" s="3909"/>
      <c r="AB189" s="3910"/>
      <c r="AC189" s="3911"/>
      <c r="AD189" s="3912"/>
      <c r="AE189" s="3912"/>
      <c r="AF189" s="3912"/>
      <c r="AG189" s="4499" t="s">
        <v>635</v>
      </c>
      <c r="AH189" s="6324">
        <v>26</v>
      </c>
      <c r="AI189" s="6325"/>
      <c r="AJ189" s="6326">
        <f>IF(AR189&lt;&gt;"",ROUND(AR189,0),SUM(AJ184,AK186))</f>
        <v>0</v>
      </c>
      <c r="AK189" s="6327"/>
      <c r="AL189" s="6327"/>
      <c r="AM189" s="6327"/>
      <c r="AN189" s="6327"/>
      <c r="AO189" s="6327"/>
      <c r="AP189" s="3350"/>
      <c r="AQ189" s="396"/>
      <c r="AR189" s="3941"/>
      <c r="AS189" s="396"/>
      <c r="AT189" s="396"/>
      <c r="AU189" s="396"/>
      <c r="BG189" s="3742"/>
      <c r="BH189" s="3169"/>
      <c r="BI189" s="3169"/>
      <c r="BJ189" s="3169"/>
      <c r="BK189" s="3169"/>
      <c r="BL189" s="3169"/>
      <c r="BM189" s="3169"/>
      <c r="BN189" s="3169"/>
      <c r="BO189" s="3169"/>
      <c r="BP189" s="3169"/>
    </row>
    <row r="190" spans="1:68" ht="14.25" customHeight="1">
      <c r="A190" s="3350"/>
      <c r="B190" s="3871" t="s">
        <v>1295</v>
      </c>
      <c r="C190" s="3898"/>
      <c r="D190" s="3878"/>
      <c r="E190" s="2719"/>
      <c r="F190" s="2719"/>
      <c r="G190" s="2719"/>
      <c r="H190" s="2719"/>
      <c r="I190" s="2719"/>
      <c r="J190" s="2719"/>
      <c r="K190" s="2719"/>
      <c r="L190" s="2719"/>
      <c r="M190" s="2719"/>
      <c r="N190" s="2719"/>
      <c r="O190" s="2719"/>
      <c r="P190" s="2719"/>
      <c r="Q190" s="2719"/>
      <c r="R190" s="2719"/>
      <c r="S190" s="2719"/>
      <c r="T190" s="2719"/>
      <c r="U190" s="2719"/>
      <c r="V190" s="2719"/>
      <c r="W190" s="2719"/>
      <c r="X190" s="2719"/>
      <c r="Y190" s="2719" t="s">
        <v>837</v>
      </c>
      <c r="Z190" s="2719"/>
      <c r="AA190" s="2719"/>
      <c r="AB190" s="3605"/>
      <c r="AC190" s="3899"/>
      <c r="AD190" s="3900"/>
      <c r="AE190" s="3900"/>
      <c r="AF190" s="3900"/>
      <c r="AG190" s="3900"/>
      <c r="AH190" s="3900"/>
      <c r="AI190" s="3900"/>
      <c r="AJ190" s="1443"/>
      <c r="AK190" s="1443"/>
      <c r="AL190" s="1443"/>
      <c r="AM190" s="1443"/>
      <c r="AN190" s="1443"/>
      <c r="AO190" s="3913" t="str">
        <f>"Schedule E (Form 1040) "&amp;TaxYear</f>
        <v>Schedule E (Form 1040) 2018</v>
      </c>
      <c r="AP190" s="3350"/>
      <c r="AQ190" s="396"/>
      <c r="AR190" s="396"/>
      <c r="AS190" s="396"/>
      <c r="AT190" s="396"/>
      <c r="AU190" s="396"/>
      <c r="BG190" s="3742"/>
      <c r="BH190" s="3169"/>
      <c r="BI190" s="3169"/>
      <c r="BJ190" s="3169"/>
      <c r="BK190" s="3169"/>
      <c r="BL190" s="3169"/>
      <c r="BM190" s="3169"/>
      <c r="BN190" s="3169"/>
      <c r="BO190" s="3169"/>
      <c r="BP190" s="3169"/>
    </row>
    <row r="191" spans="1:68" ht="21" customHeight="1">
      <c r="A191" s="3350"/>
      <c r="B191" s="3376" t="s">
        <v>3134</v>
      </c>
      <c r="C191" s="1936"/>
      <c r="D191" s="1936"/>
      <c r="E191" s="1936"/>
      <c r="F191" s="1936"/>
      <c r="G191" s="1936"/>
      <c r="H191" s="1936"/>
      <c r="I191" s="3934"/>
      <c r="J191" s="1936"/>
      <c r="K191" s="1936"/>
      <c r="L191" s="1936"/>
      <c r="M191" s="1936"/>
      <c r="N191" s="1936"/>
      <c r="O191" s="1936"/>
      <c r="P191" s="3935"/>
      <c r="Q191" s="1936"/>
      <c r="R191" s="1936"/>
      <c r="S191" s="1936"/>
      <c r="T191" s="1936"/>
      <c r="U191" s="1936"/>
      <c r="V191" s="1936"/>
      <c r="W191" s="1936"/>
      <c r="X191" s="1936"/>
      <c r="Y191" s="1936"/>
      <c r="Z191" s="1936"/>
      <c r="AA191" s="3376" t="s">
        <v>550</v>
      </c>
      <c r="AB191" s="1936"/>
      <c r="AC191" s="1936"/>
      <c r="AD191" s="1936"/>
      <c r="AE191" s="1936"/>
      <c r="AF191" s="1936"/>
      <c r="AG191" s="3917">
        <v>13</v>
      </c>
      <c r="AH191" s="1936"/>
      <c r="AI191" s="1936"/>
      <c r="AJ191" s="1936"/>
      <c r="AK191" s="1936"/>
      <c r="AL191" s="1936"/>
      <c r="AM191" s="1936"/>
      <c r="AN191" s="1936"/>
      <c r="AO191" s="3918" t="s">
        <v>182</v>
      </c>
      <c r="AP191" s="3350"/>
      <c r="BG191" s="3742"/>
      <c r="BH191" s="3169"/>
      <c r="BI191" s="3169"/>
      <c r="BJ191" s="3169"/>
      <c r="BK191" s="3169"/>
      <c r="BL191" s="3169"/>
      <c r="BM191" s="3169"/>
      <c r="BN191" s="3169"/>
      <c r="BO191" s="3169"/>
      <c r="BP191" s="3169"/>
    </row>
    <row r="192" spans="1:68" ht="12.75" customHeight="1">
      <c r="A192" s="3350"/>
      <c r="B192" s="1450" t="s">
        <v>5101</v>
      </c>
      <c r="C192" s="5280"/>
      <c r="D192" s="5280"/>
      <c r="E192" s="5280"/>
      <c r="F192" s="5280"/>
      <c r="G192" s="5280"/>
      <c r="H192" s="1607" t="s">
        <v>5102</v>
      </c>
      <c r="I192" s="1443"/>
      <c r="J192" s="1443"/>
      <c r="K192" s="1443"/>
      <c r="L192" s="1443"/>
      <c r="M192" s="1443"/>
      <c r="N192" s="1443"/>
      <c r="O192" s="1443"/>
      <c r="P192" s="1443"/>
      <c r="Q192" s="1443"/>
      <c r="R192" s="1443"/>
      <c r="S192" s="1443"/>
      <c r="T192" s="1443"/>
      <c r="U192" s="1443"/>
      <c r="V192" s="1443"/>
      <c r="W192" s="1443"/>
      <c r="X192" s="1443"/>
      <c r="Y192" s="1443"/>
      <c r="Z192" s="1443"/>
      <c r="AA192" s="1443"/>
      <c r="AB192" s="1443"/>
      <c r="AC192" s="1443"/>
      <c r="AD192" s="1443"/>
      <c r="AE192" s="1443"/>
      <c r="AF192" s="6328" t="s">
        <v>99</v>
      </c>
      <c r="AG192" s="6329"/>
      <c r="AH192" s="6329"/>
      <c r="AI192" s="6329"/>
      <c r="AJ192" s="6329"/>
      <c r="AK192" s="6329"/>
      <c r="AL192" s="6329"/>
      <c r="AM192" s="6329"/>
      <c r="AN192" s="6329"/>
      <c r="AO192" s="6329"/>
      <c r="AP192" s="3350"/>
      <c r="AQ192" s="5283"/>
      <c r="AR192" s="5281" t="b">
        <f>OR(AND(AF193&lt;&gt;"",AF193=AG136),AND(B136&lt;&gt;"",B193&lt;&gt;""))</f>
        <v>0</v>
      </c>
      <c r="BG192" s="3742"/>
      <c r="BH192" s="3169"/>
      <c r="BI192" s="3169"/>
      <c r="BJ192" s="3169"/>
      <c r="BK192" s="3169"/>
      <c r="BL192" s="3169"/>
      <c r="BM192" s="3169"/>
      <c r="BN192" s="3169"/>
      <c r="BO192" s="3169"/>
      <c r="BP192" s="3169"/>
    </row>
    <row r="193" spans="1:69" ht="16.5" customHeight="1">
      <c r="A193" s="3350"/>
      <c r="B193" s="5666"/>
      <c r="C193" s="5666"/>
      <c r="D193" s="5666"/>
      <c r="E193" s="5666"/>
      <c r="F193" s="5666"/>
      <c r="G193" s="5666"/>
      <c r="H193" s="5666"/>
      <c r="I193" s="5666"/>
      <c r="J193" s="5666"/>
      <c r="K193" s="5666"/>
      <c r="L193" s="5666"/>
      <c r="M193" s="5666"/>
      <c r="N193" s="5666"/>
      <c r="O193" s="5666"/>
      <c r="P193" s="5666"/>
      <c r="Q193" s="5666"/>
      <c r="R193" s="5666"/>
      <c r="S193" s="5666"/>
      <c r="T193" s="5666"/>
      <c r="U193" s="5666"/>
      <c r="V193" s="5666"/>
      <c r="W193" s="5666"/>
      <c r="X193" s="5666"/>
      <c r="Y193" s="5666"/>
      <c r="Z193" s="5666"/>
      <c r="AA193" s="5666"/>
      <c r="AB193" s="5666"/>
      <c r="AC193" s="5666"/>
      <c r="AD193" s="5666"/>
      <c r="AE193" s="5667"/>
      <c r="AF193" s="5403"/>
      <c r="AG193" s="6309"/>
      <c r="AH193" s="6309"/>
      <c r="AI193" s="6309"/>
      <c r="AJ193" s="6309"/>
      <c r="AK193" s="6309"/>
      <c r="AL193" s="6309"/>
      <c r="AM193" s="6309"/>
      <c r="AN193" s="6309"/>
      <c r="AO193" s="6309"/>
      <c r="AP193" s="3757"/>
      <c r="AQ193" s="5282" t="str">
        <f>IF($AR192,"Hide emphasis.","")</f>
        <v/>
      </c>
      <c r="AR193" s="5282"/>
      <c r="BG193" s="3742"/>
      <c r="BH193" s="3169"/>
      <c r="BI193" s="3169"/>
      <c r="BJ193" s="3169"/>
      <c r="BK193" s="3169"/>
      <c r="BL193" s="3169"/>
      <c r="BM193" s="3169"/>
      <c r="BN193" s="3169"/>
      <c r="BO193" s="3169"/>
      <c r="BP193" s="3169"/>
    </row>
    <row r="194" spans="1:69" ht="15" customHeight="1">
      <c r="A194" s="3350"/>
      <c r="B194" s="3269" t="s">
        <v>3135</v>
      </c>
      <c r="C194" s="1443"/>
      <c r="D194" s="1443"/>
      <c r="E194" s="1443"/>
      <c r="F194" s="1443"/>
      <c r="G194" s="1443"/>
      <c r="H194" s="1443"/>
      <c r="I194" s="1443"/>
      <c r="J194" s="1443"/>
      <c r="K194" s="1443"/>
      <c r="L194" s="1443"/>
      <c r="M194" s="1443"/>
      <c r="N194" s="1443"/>
      <c r="O194" s="1443"/>
      <c r="P194" s="1443"/>
      <c r="Q194" s="1443"/>
      <c r="R194" s="1443"/>
      <c r="S194" s="1443"/>
      <c r="T194" s="1443"/>
      <c r="U194" s="1443"/>
      <c r="V194" s="1443"/>
      <c r="W194" s="1443"/>
      <c r="X194" s="1443"/>
      <c r="Y194" s="1443"/>
      <c r="Z194" s="1443"/>
      <c r="AA194" s="1443"/>
      <c r="AB194" s="1443"/>
      <c r="AC194" s="1443"/>
      <c r="AD194" s="1443"/>
      <c r="AE194" s="1443"/>
      <c r="AF194" s="1443"/>
      <c r="AG194" s="1443"/>
      <c r="AH194" s="1443"/>
      <c r="AI194" s="1443"/>
      <c r="AJ194" s="1443"/>
      <c r="AK194" s="1443"/>
      <c r="AL194" s="1443"/>
      <c r="AM194" s="1443"/>
      <c r="AN194" s="1443"/>
      <c r="AO194" s="1443"/>
      <c r="AP194" s="3350"/>
      <c r="BG194" s="3742"/>
      <c r="BH194" s="3169"/>
      <c r="BI194" s="3169"/>
      <c r="BJ194" s="3169"/>
      <c r="BK194" s="3169"/>
      <c r="BL194" s="3169"/>
      <c r="BM194" s="3169"/>
      <c r="BN194" s="3169"/>
      <c r="BO194" s="3169"/>
      <c r="BP194" s="3169"/>
    </row>
    <row r="195" spans="1:69" s="3272" customFormat="1" ht="17.25" customHeight="1">
      <c r="A195" s="3351"/>
      <c r="B195" s="6207" t="s">
        <v>130</v>
      </c>
      <c r="C195" s="6207"/>
      <c r="D195" s="6208"/>
      <c r="E195" s="1750"/>
      <c r="F195" s="3868" t="s">
        <v>3136</v>
      </c>
      <c r="G195" s="1750"/>
      <c r="H195" s="1750"/>
      <c r="I195" s="1750"/>
      <c r="J195" s="1750"/>
      <c r="K195" s="1750"/>
      <c r="L195" s="1750"/>
      <c r="M195" s="1750"/>
      <c r="N195" s="1750"/>
      <c r="O195" s="1750"/>
      <c r="P195" s="1750"/>
      <c r="Q195" s="1750"/>
      <c r="R195" s="1750"/>
      <c r="S195" s="1750"/>
      <c r="T195" s="1750"/>
      <c r="U195" s="1750"/>
      <c r="V195" s="1750"/>
      <c r="W195" s="1750"/>
      <c r="X195" s="3869"/>
      <c r="Y195" s="1750"/>
      <c r="Z195" s="1750"/>
      <c r="AA195" s="1750"/>
      <c r="AB195" s="1750"/>
      <c r="AC195" s="1750"/>
      <c r="AD195" s="1750"/>
      <c r="AE195" s="1750"/>
      <c r="AF195" s="1750"/>
      <c r="AG195" s="1750"/>
      <c r="AH195" s="1750"/>
      <c r="AI195" s="1750"/>
      <c r="AJ195" s="1750"/>
      <c r="AK195" s="1750"/>
      <c r="AL195" s="1750"/>
      <c r="AM195" s="1750"/>
      <c r="AN195" s="1750"/>
      <c r="AO195" s="1750"/>
      <c r="AP195" s="3350"/>
      <c r="AX195" s="46"/>
      <c r="AY195" s="46"/>
      <c r="AZ195" s="46"/>
      <c r="BA195" s="46"/>
      <c r="BB195" s="46"/>
      <c r="BC195" s="46"/>
      <c r="BD195" s="46"/>
      <c r="BG195" s="3742"/>
      <c r="BH195" s="3169"/>
      <c r="BI195" s="3169"/>
      <c r="BJ195" s="3169"/>
      <c r="BK195" s="3169"/>
      <c r="BL195" s="3169"/>
      <c r="BM195" s="3169"/>
      <c r="BN195" s="3169"/>
      <c r="BO195" s="3169"/>
      <c r="BP195" s="3169"/>
      <c r="BQ195" s="4351"/>
    </row>
    <row r="196" spans="1:69" ht="12.75" customHeight="1">
      <c r="A196" s="3350"/>
      <c r="B196" s="1443"/>
      <c r="C196" s="1443"/>
      <c r="D196" s="1443"/>
      <c r="E196" s="1443"/>
      <c r="F196" s="1607" t="s">
        <v>4085</v>
      </c>
      <c r="G196" s="1443"/>
      <c r="H196" s="1443"/>
      <c r="I196" s="1443"/>
      <c r="J196" s="1443"/>
      <c r="K196" s="1443"/>
      <c r="L196" s="1443"/>
      <c r="M196" s="1443"/>
      <c r="N196" s="1443"/>
      <c r="O196" s="1443"/>
      <c r="P196" s="1443"/>
      <c r="Q196" s="1443"/>
      <c r="R196" s="1443"/>
      <c r="S196" s="1443"/>
      <c r="T196" s="1443"/>
      <c r="U196" s="1443"/>
      <c r="V196" s="1443"/>
      <c r="W196" s="1443"/>
      <c r="X196" s="1443"/>
      <c r="Y196" s="1443"/>
      <c r="Z196" s="1443"/>
      <c r="AA196" s="1443"/>
      <c r="AB196" s="1443"/>
      <c r="AC196" s="1443"/>
      <c r="AD196" s="1443"/>
      <c r="AE196" s="1443"/>
      <c r="AF196" s="1443"/>
      <c r="AG196" s="1443"/>
      <c r="AH196" s="1443"/>
      <c r="AI196" s="1443"/>
      <c r="AJ196" s="1443"/>
      <c r="AK196" s="1443"/>
      <c r="AL196" s="1443"/>
      <c r="AM196" s="1443"/>
      <c r="AN196" s="1443"/>
      <c r="AO196" s="1443"/>
      <c r="AP196" s="3350"/>
      <c r="BG196" s="3742"/>
      <c r="BH196" s="3169"/>
      <c r="BI196" s="3169"/>
      <c r="BJ196" s="3169"/>
      <c r="BK196" s="3169"/>
      <c r="BL196" s="3169"/>
      <c r="BM196" s="3169"/>
      <c r="BN196" s="3169"/>
      <c r="BO196" s="3169"/>
      <c r="BP196" s="3169"/>
    </row>
    <row r="197" spans="1:69" ht="12.75" customHeight="1">
      <c r="A197" s="3350"/>
      <c r="B197" s="1443"/>
      <c r="C197" s="1443"/>
      <c r="D197" s="1443"/>
      <c r="E197" s="1443"/>
      <c r="F197" s="1607" t="s">
        <v>3137</v>
      </c>
      <c r="G197" s="1443"/>
      <c r="H197" s="1443"/>
      <c r="I197" s="1443"/>
      <c r="J197" s="1443"/>
      <c r="K197" s="1443"/>
      <c r="L197" s="1443"/>
      <c r="M197" s="1443"/>
      <c r="N197" s="1443"/>
      <c r="O197" s="1443"/>
      <c r="P197" s="1443"/>
      <c r="Q197" s="1443"/>
      <c r="R197" s="1443"/>
      <c r="S197" s="1443"/>
      <c r="T197" s="1443"/>
      <c r="U197" s="1443"/>
      <c r="V197" s="1443"/>
      <c r="W197" s="1443"/>
      <c r="X197" s="1443"/>
      <c r="Y197" s="1443"/>
      <c r="Z197" s="1443"/>
      <c r="AA197" s="1443"/>
      <c r="AB197" s="1443"/>
      <c r="AC197" s="1443"/>
      <c r="AD197" s="1443"/>
      <c r="AE197" s="1443"/>
      <c r="AF197" s="1443"/>
      <c r="AG197" s="1443"/>
      <c r="AH197" s="1443"/>
      <c r="AI197" s="1443"/>
      <c r="AJ197" s="1443"/>
      <c r="AK197" s="1443"/>
      <c r="AL197" s="1443"/>
      <c r="AM197" s="1443"/>
      <c r="AN197" s="1443"/>
      <c r="AO197" s="1443"/>
      <c r="AP197" s="3350"/>
      <c r="AX197" s="3272"/>
      <c r="AY197" s="3272"/>
      <c r="AZ197" s="3272"/>
      <c r="BA197" s="3272"/>
      <c r="BB197" s="3272"/>
      <c r="BC197" s="3272"/>
      <c r="BD197" s="3272"/>
      <c r="BG197" s="3742"/>
      <c r="BH197" s="3169"/>
      <c r="BI197" s="3169"/>
      <c r="BJ197" s="3169"/>
      <c r="BK197" s="3169"/>
      <c r="BL197" s="3169"/>
      <c r="BM197" s="3169"/>
      <c r="BN197" s="3169"/>
      <c r="BO197" s="3169"/>
      <c r="BP197" s="3169"/>
    </row>
    <row r="198" spans="1:69" ht="12.75" customHeight="1">
      <c r="A198" s="3350"/>
      <c r="B198" s="1936"/>
      <c r="C198" s="1936"/>
      <c r="D198" s="1936"/>
      <c r="E198" s="1936"/>
      <c r="F198" s="2128" t="s">
        <v>3138</v>
      </c>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6"/>
      <c r="AJ198" s="1936"/>
      <c r="AK198" s="1936"/>
      <c r="AL198" s="1936"/>
      <c r="AM198" s="1936"/>
      <c r="AN198" s="1936"/>
      <c r="AO198" s="1936"/>
      <c r="AP198" s="3350"/>
      <c r="BG198" s="3742"/>
      <c r="BH198" s="3169"/>
      <c r="BI198" s="3169"/>
      <c r="BJ198" s="3169"/>
      <c r="BK198" s="3169"/>
      <c r="BL198" s="3169"/>
      <c r="BM198" s="3169"/>
      <c r="BN198" s="3169"/>
      <c r="BO198" s="3169"/>
      <c r="BP198" s="3169"/>
    </row>
    <row r="199" spans="1:69" ht="18.75" customHeight="1">
      <c r="A199" s="3350"/>
      <c r="B199" s="6236">
        <v>27</v>
      </c>
      <c r="C199" s="5527"/>
      <c r="D199" s="1443"/>
      <c r="E199" s="3269" t="s">
        <v>1296</v>
      </c>
      <c r="F199" s="1607"/>
      <c r="G199" s="1443"/>
      <c r="H199" s="1443"/>
      <c r="I199" s="1443"/>
      <c r="J199" s="1443"/>
      <c r="K199" s="1443"/>
      <c r="L199" s="1443"/>
      <c r="M199" s="1443"/>
      <c r="N199" s="1443"/>
      <c r="O199" s="1443"/>
      <c r="P199" s="1443"/>
      <c r="Q199" s="1443"/>
      <c r="R199" s="1443"/>
      <c r="S199" s="1443"/>
      <c r="T199" s="1443"/>
      <c r="U199" s="1443"/>
      <c r="V199" s="1443"/>
      <c r="W199" s="1443"/>
      <c r="X199" s="1443"/>
      <c r="Y199" s="1443"/>
      <c r="Z199" s="1443"/>
      <c r="AA199" s="1443"/>
      <c r="AB199" s="1443"/>
      <c r="AC199" s="1443"/>
      <c r="AD199" s="1443"/>
      <c r="AE199" s="1443"/>
      <c r="AF199" s="1443"/>
      <c r="AG199" s="1443"/>
      <c r="AH199" s="1443"/>
      <c r="AI199" s="1443"/>
      <c r="AJ199" s="1443"/>
      <c r="AK199" s="1443"/>
      <c r="AL199" s="1443"/>
      <c r="AM199" s="1443"/>
      <c r="AN199" s="1443"/>
      <c r="AO199" s="1443"/>
      <c r="AP199" s="3350"/>
      <c r="BG199" s="3742"/>
      <c r="BH199" s="3169"/>
      <c r="BI199" s="3169"/>
      <c r="BJ199" s="3169"/>
      <c r="BK199" s="3169"/>
      <c r="BL199" s="3169"/>
      <c r="BM199" s="3169"/>
      <c r="BN199" s="3169"/>
      <c r="BO199" s="3169"/>
      <c r="BP199" s="3169"/>
    </row>
    <row r="200" spans="1:69" ht="12.75" customHeight="1">
      <c r="A200" s="3350"/>
      <c r="B200" s="3605"/>
      <c r="C200" s="2118"/>
      <c r="D200" s="1443"/>
      <c r="E200" s="3269" t="s">
        <v>1297</v>
      </c>
      <c r="F200" s="1607"/>
      <c r="G200" s="1443"/>
      <c r="H200" s="1443"/>
      <c r="I200" s="1443"/>
      <c r="J200" s="1443"/>
      <c r="K200" s="1443"/>
      <c r="L200" s="1443"/>
      <c r="M200" s="1443"/>
      <c r="N200" s="1443"/>
      <c r="O200" s="1443"/>
      <c r="P200" s="1443"/>
      <c r="Q200" s="1443"/>
      <c r="R200" s="1443"/>
      <c r="S200" s="1443"/>
      <c r="T200" s="1443"/>
      <c r="U200" s="1443"/>
      <c r="V200" s="1443"/>
      <c r="W200" s="1443"/>
      <c r="X200" s="1443"/>
      <c r="Y200" s="1443"/>
      <c r="Z200" s="1443"/>
      <c r="AA200" s="1443"/>
      <c r="AB200" s="1443"/>
      <c r="AC200" s="1443"/>
      <c r="AD200" s="1443"/>
      <c r="AE200" s="1443"/>
      <c r="AF200" s="1443"/>
      <c r="AG200" s="1443"/>
      <c r="AH200" s="1443"/>
      <c r="AI200" s="1443"/>
      <c r="AJ200" s="1443"/>
      <c r="AK200" s="1443"/>
      <c r="AL200" s="1443"/>
      <c r="AM200" s="1443"/>
      <c r="AN200" s="1443"/>
      <c r="AO200" s="1443"/>
      <c r="AP200" s="3350"/>
      <c r="BG200" s="3742"/>
      <c r="BH200" s="3169"/>
      <c r="BI200" s="3169"/>
      <c r="BJ200" s="3169"/>
      <c r="BK200" s="3169"/>
      <c r="BL200" s="3169"/>
      <c r="BM200" s="3169"/>
      <c r="BN200" s="3169"/>
      <c r="BO200" s="3169"/>
      <c r="BP200" s="3169"/>
    </row>
    <row r="201" spans="1:69" ht="12.75" customHeight="1">
      <c r="A201" s="3350"/>
      <c r="B201" s="1443"/>
      <c r="C201" s="1443"/>
      <c r="D201" s="1443"/>
      <c r="E201" s="3269" t="s">
        <v>2488</v>
      </c>
      <c r="F201" s="1607"/>
      <c r="G201" s="1443"/>
      <c r="H201" s="1443"/>
      <c r="I201" s="1443"/>
      <c r="J201" s="1443"/>
      <c r="K201" s="1443"/>
      <c r="L201" s="1443"/>
      <c r="M201" s="1443"/>
      <c r="N201" s="1443"/>
      <c r="O201" s="1443"/>
      <c r="P201" s="1443"/>
      <c r="Q201" s="1443"/>
      <c r="R201" s="1443"/>
      <c r="S201" s="1443"/>
      <c r="T201" s="1443"/>
      <c r="U201" s="1443"/>
      <c r="V201" s="1443"/>
      <c r="W201" s="1443"/>
      <c r="X201" s="1443"/>
      <c r="Y201" s="1443"/>
      <c r="Z201" s="1443"/>
      <c r="AA201" s="1443"/>
      <c r="AB201" s="1443"/>
      <c r="AC201" s="1443"/>
      <c r="AD201" s="1443"/>
      <c r="AE201" s="1443"/>
      <c r="AF201" s="1443"/>
      <c r="AG201" s="1443"/>
      <c r="AH201" s="1443"/>
      <c r="AI201" s="1443"/>
      <c r="AJ201" s="1444"/>
      <c r="AK201" s="3380" t="s">
        <v>3118</v>
      </c>
      <c r="AL201" s="2850"/>
      <c r="AM201" s="1444"/>
      <c r="AN201" s="3380" t="s">
        <v>596</v>
      </c>
      <c r="AO201" s="2850"/>
      <c r="AP201" s="3350"/>
      <c r="BG201" s="3742"/>
      <c r="BH201" s="3169"/>
      <c r="BI201" s="3169"/>
      <c r="BJ201" s="3169"/>
      <c r="BK201" s="3169"/>
      <c r="BL201" s="3169"/>
      <c r="BM201" s="3169"/>
      <c r="BN201" s="3169"/>
      <c r="BO201" s="3169"/>
      <c r="BP201" s="3169"/>
    </row>
    <row r="202" spans="1:69" ht="4.5" customHeight="1">
      <c r="A202" s="3350"/>
      <c r="B202" s="1936"/>
      <c r="C202" s="1936"/>
      <c r="D202" s="1936"/>
      <c r="E202" s="1936"/>
      <c r="F202" s="2128"/>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6"/>
      <c r="AJ202" s="1936"/>
      <c r="AK202" s="1936"/>
      <c r="AL202" s="1936"/>
      <c r="AM202" s="1936"/>
      <c r="AN202" s="1936"/>
      <c r="AO202" s="1936"/>
      <c r="AP202" s="3350"/>
      <c r="BG202" s="3742"/>
      <c r="BH202" s="3169"/>
      <c r="BI202" s="3169"/>
      <c r="BJ202" s="3169"/>
      <c r="BK202" s="3169"/>
      <c r="BL202" s="3169"/>
      <c r="BM202" s="3169"/>
      <c r="BN202" s="3169"/>
      <c r="BO202" s="3169"/>
      <c r="BP202" s="3169"/>
    </row>
    <row r="203" spans="1:69" ht="12.75" customHeight="1">
      <c r="A203" s="3350"/>
      <c r="B203" s="1443"/>
      <c r="C203" s="1443"/>
      <c r="D203" s="1443"/>
      <c r="E203" s="1443"/>
      <c r="F203" s="1607"/>
      <c r="G203" s="1443"/>
      <c r="H203" s="1443"/>
      <c r="I203" s="1443"/>
      <c r="J203" s="1443"/>
      <c r="K203" s="1443"/>
      <c r="L203" s="1443"/>
      <c r="M203" s="1443"/>
      <c r="N203" s="1443"/>
      <c r="O203" s="6310" t="s">
        <v>3140</v>
      </c>
      <c r="P203" s="6311"/>
      <c r="Q203" s="6311"/>
      <c r="R203" s="6311"/>
      <c r="S203" s="6312"/>
      <c r="T203" s="6310" t="s">
        <v>3141</v>
      </c>
      <c r="U203" s="6311"/>
      <c r="V203" s="6311"/>
      <c r="W203" s="6311"/>
      <c r="X203" s="6312"/>
      <c r="Y203" s="6310" t="s">
        <v>3142</v>
      </c>
      <c r="Z203" s="6311"/>
      <c r="AA203" s="6311"/>
      <c r="AB203" s="6311"/>
      <c r="AC203" s="6311"/>
      <c r="AD203" s="6311"/>
      <c r="AE203" s="6312"/>
      <c r="AF203" s="6310" t="s">
        <v>3144</v>
      </c>
      <c r="AG203" s="6311"/>
      <c r="AH203" s="6311"/>
      <c r="AI203" s="6311"/>
      <c r="AJ203" s="6312"/>
      <c r="AK203" s="6310" t="s">
        <v>3143</v>
      </c>
      <c r="AL203" s="6311"/>
      <c r="AM203" s="6311"/>
      <c r="AN203" s="6311"/>
      <c r="AO203" s="6311"/>
      <c r="AP203" s="3350"/>
      <c r="BG203" s="3742"/>
      <c r="BH203" s="3169"/>
      <c r="BI203" s="3169"/>
      <c r="BJ203" s="3169"/>
      <c r="BK203" s="3169"/>
      <c r="BL203" s="3169"/>
      <c r="BM203" s="3169"/>
      <c r="BN203" s="3169"/>
      <c r="BO203" s="3169"/>
      <c r="BP203" s="3169"/>
    </row>
    <row r="204" spans="1:69" ht="12.75" customHeight="1">
      <c r="A204" s="3350"/>
      <c r="B204" s="6236">
        <v>28</v>
      </c>
      <c r="C204" s="5527"/>
      <c r="D204" s="1443"/>
      <c r="E204" s="1443"/>
      <c r="F204" s="1443"/>
      <c r="G204" s="1443"/>
      <c r="H204" s="1607" t="s">
        <v>3139</v>
      </c>
      <c r="I204" s="1443"/>
      <c r="J204" s="1443"/>
      <c r="K204" s="1443"/>
      <c r="L204" s="1443"/>
      <c r="M204" s="1443"/>
      <c r="N204" s="1443"/>
      <c r="O204" s="6313"/>
      <c r="P204" s="6314"/>
      <c r="Q204" s="6314"/>
      <c r="R204" s="6314"/>
      <c r="S204" s="6315"/>
      <c r="T204" s="6313"/>
      <c r="U204" s="6314"/>
      <c r="V204" s="6314"/>
      <c r="W204" s="6314"/>
      <c r="X204" s="6315"/>
      <c r="Y204" s="6313"/>
      <c r="Z204" s="6314"/>
      <c r="AA204" s="6314"/>
      <c r="AB204" s="6314"/>
      <c r="AC204" s="6314"/>
      <c r="AD204" s="6314"/>
      <c r="AE204" s="6315"/>
      <c r="AF204" s="6313"/>
      <c r="AG204" s="6314"/>
      <c r="AH204" s="6314"/>
      <c r="AI204" s="6314"/>
      <c r="AJ204" s="6315"/>
      <c r="AK204" s="6313"/>
      <c r="AL204" s="6314"/>
      <c r="AM204" s="6314"/>
      <c r="AN204" s="6314"/>
      <c r="AO204" s="6314"/>
      <c r="AP204" s="3350"/>
      <c r="BG204" s="3742"/>
      <c r="BH204" s="3169"/>
      <c r="BI204" s="3169"/>
      <c r="BJ204" s="3169"/>
      <c r="BK204" s="3169"/>
      <c r="BL204" s="3169"/>
      <c r="BM204" s="3169"/>
      <c r="BN204" s="3169"/>
      <c r="BO204" s="3169"/>
      <c r="BP204" s="3169"/>
    </row>
    <row r="205" spans="1:69" ht="12.75" customHeight="1">
      <c r="A205" s="3350"/>
      <c r="B205" s="1936"/>
      <c r="C205" s="1936"/>
      <c r="D205" s="1936"/>
      <c r="E205" s="1936"/>
      <c r="F205" s="1936"/>
      <c r="G205" s="1936"/>
      <c r="H205" s="1936"/>
      <c r="I205" s="1936"/>
      <c r="J205" s="1936"/>
      <c r="K205" s="1936"/>
      <c r="L205" s="1936"/>
      <c r="M205" s="1936"/>
      <c r="N205" s="1936"/>
      <c r="O205" s="6316"/>
      <c r="P205" s="6317"/>
      <c r="Q205" s="6317"/>
      <c r="R205" s="6317"/>
      <c r="S205" s="6318"/>
      <c r="T205" s="6316"/>
      <c r="U205" s="6317"/>
      <c r="V205" s="6317"/>
      <c r="W205" s="6317"/>
      <c r="X205" s="6318"/>
      <c r="Y205" s="6316"/>
      <c r="Z205" s="6317"/>
      <c r="AA205" s="6317"/>
      <c r="AB205" s="6317"/>
      <c r="AC205" s="6317"/>
      <c r="AD205" s="6317"/>
      <c r="AE205" s="6318"/>
      <c r="AF205" s="6316"/>
      <c r="AG205" s="6317"/>
      <c r="AH205" s="6317"/>
      <c r="AI205" s="6317"/>
      <c r="AJ205" s="6318"/>
      <c r="AK205" s="6316"/>
      <c r="AL205" s="6317"/>
      <c r="AM205" s="6317"/>
      <c r="AN205" s="6317"/>
      <c r="AO205" s="6317"/>
      <c r="AP205" s="3350"/>
      <c r="BG205" s="3742"/>
      <c r="BH205" s="3169"/>
      <c r="BI205" s="3169"/>
      <c r="BJ205" s="3169"/>
      <c r="BK205" s="3169"/>
      <c r="BL205" s="3169"/>
      <c r="BM205" s="3169"/>
      <c r="BN205" s="3169"/>
      <c r="BO205" s="3169"/>
      <c r="BP205" s="3169"/>
    </row>
    <row r="206" spans="1:69" ht="13.5" customHeight="1">
      <c r="A206" s="3350"/>
      <c r="B206" s="3921" t="s">
        <v>159</v>
      </c>
      <c r="C206" s="6298"/>
      <c r="D206" s="6299"/>
      <c r="E206" s="6299"/>
      <c r="F206" s="6299"/>
      <c r="G206" s="6299"/>
      <c r="H206" s="6299"/>
      <c r="I206" s="6299"/>
      <c r="J206" s="6299"/>
      <c r="K206" s="6299"/>
      <c r="L206" s="6299"/>
      <c r="M206" s="6299"/>
      <c r="N206" s="6300"/>
      <c r="O206" s="5349"/>
      <c r="P206" s="6301"/>
      <c r="Q206" s="6301"/>
      <c r="R206" s="6301"/>
      <c r="S206" s="6302"/>
      <c r="T206" s="3919"/>
      <c r="U206" s="1937"/>
      <c r="V206" s="1444"/>
      <c r="W206" s="1937"/>
      <c r="X206" s="3920"/>
      <c r="Y206" s="6197"/>
      <c r="Z206" s="6198"/>
      <c r="AA206" s="6198"/>
      <c r="AB206" s="6198"/>
      <c r="AC206" s="6198"/>
      <c r="AD206" s="6198"/>
      <c r="AE206" s="6199"/>
      <c r="AF206" s="3919"/>
      <c r="AG206" s="1937"/>
      <c r="AH206" s="1444"/>
      <c r="AI206" s="1937"/>
      <c r="AJ206" s="3920"/>
      <c r="AK206" s="3919"/>
      <c r="AL206" s="1937"/>
      <c r="AM206" s="1444"/>
      <c r="AN206" s="1937"/>
      <c r="AO206" s="1937"/>
      <c r="AP206" s="3350"/>
      <c r="BG206" s="3742"/>
      <c r="BH206" s="3169"/>
      <c r="BI206" s="3169"/>
      <c r="BJ206" s="3169"/>
      <c r="BK206" s="3169"/>
      <c r="BL206" s="3169"/>
      <c r="BM206" s="3169"/>
      <c r="BN206" s="3169"/>
      <c r="BO206" s="3169"/>
      <c r="BP206" s="3169"/>
    </row>
    <row r="207" spans="1:69" ht="13.5" customHeight="1">
      <c r="A207" s="3350"/>
      <c r="B207" s="3921" t="s">
        <v>327</v>
      </c>
      <c r="C207" s="6298"/>
      <c r="D207" s="6299"/>
      <c r="E207" s="6299"/>
      <c r="F207" s="6299"/>
      <c r="G207" s="6299"/>
      <c r="H207" s="6299"/>
      <c r="I207" s="6299"/>
      <c r="J207" s="6299"/>
      <c r="K207" s="6299"/>
      <c r="L207" s="6299"/>
      <c r="M207" s="6299"/>
      <c r="N207" s="6300"/>
      <c r="O207" s="5349"/>
      <c r="P207" s="6301"/>
      <c r="Q207" s="6301"/>
      <c r="R207" s="6301"/>
      <c r="S207" s="6302"/>
      <c r="T207" s="3919"/>
      <c r="U207" s="1937"/>
      <c r="V207" s="1444"/>
      <c r="W207" s="1937"/>
      <c r="X207" s="3920"/>
      <c r="Y207" s="6197"/>
      <c r="Z207" s="6198"/>
      <c r="AA207" s="6198"/>
      <c r="AB207" s="6198"/>
      <c r="AC207" s="6198"/>
      <c r="AD207" s="6198"/>
      <c r="AE207" s="6199"/>
      <c r="AF207" s="3919"/>
      <c r="AG207" s="1937"/>
      <c r="AH207" s="1444"/>
      <c r="AI207" s="1937"/>
      <c r="AJ207" s="3920"/>
      <c r="AK207" s="3919"/>
      <c r="AL207" s="1937"/>
      <c r="AM207" s="1444"/>
      <c r="AN207" s="1937"/>
      <c r="AO207" s="1937"/>
      <c r="AP207" s="3350"/>
      <c r="BG207" s="3742"/>
      <c r="BH207" s="3169"/>
      <c r="BI207" s="3169"/>
      <c r="BJ207" s="3169"/>
      <c r="BK207" s="3169"/>
      <c r="BL207" s="3169"/>
      <c r="BM207" s="3169"/>
      <c r="BN207" s="3169"/>
      <c r="BO207" s="3169"/>
      <c r="BP207" s="3169"/>
    </row>
    <row r="208" spans="1:69" ht="13.5" customHeight="1">
      <c r="A208" s="3350"/>
      <c r="B208" s="3921" t="s">
        <v>160</v>
      </c>
      <c r="C208" s="6298"/>
      <c r="D208" s="6299"/>
      <c r="E208" s="6299"/>
      <c r="F208" s="6299"/>
      <c r="G208" s="6299"/>
      <c r="H208" s="6299"/>
      <c r="I208" s="6299"/>
      <c r="J208" s="6299"/>
      <c r="K208" s="6299"/>
      <c r="L208" s="6299"/>
      <c r="M208" s="6299"/>
      <c r="N208" s="6300"/>
      <c r="O208" s="5349"/>
      <c r="P208" s="6301"/>
      <c r="Q208" s="6301"/>
      <c r="R208" s="6301"/>
      <c r="S208" s="6302"/>
      <c r="T208" s="3919"/>
      <c r="U208" s="1937"/>
      <c r="V208" s="1444"/>
      <c r="W208" s="1937"/>
      <c r="X208" s="3920"/>
      <c r="Y208" s="6197"/>
      <c r="Z208" s="6198"/>
      <c r="AA208" s="6198"/>
      <c r="AB208" s="6198"/>
      <c r="AC208" s="6198"/>
      <c r="AD208" s="6198"/>
      <c r="AE208" s="6199"/>
      <c r="AF208" s="3919"/>
      <c r="AG208" s="1937"/>
      <c r="AH208" s="1444"/>
      <c r="AI208" s="1937"/>
      <c r="AJ208" s="3920"/>
      <c r="AK208" s="3919"/>
      <c r="AL208" s="1937"/>
      <c r="AM208" s="1444"/>
      <c r="AN208" s="1937"/>
      <c r="AO208" s="1937"/>
      <c r="AP208" s="3350"/>
      <c r="BG208" s="3742"/>
      <c r="BH208" s="3169"/>
      <c r="BI208" s="3169"/>
      <c r="BJ208" s="3169"/>
      <c r="BK208" s="3169"/>
      <c r="BL208" s="3169"/>
      <c r="BM208" s="3169"/>
      <c r="BN208" s="3169"/>
      <c r="BO208" s="3169"/>
      <c r="BP208" s="3169"/>
    </row>
    <row r="209" spans="1:69" ht="13.5" customHeight="1">
      <c r="A209" s="3350"/>
      <c r="B209" s="3921" t="s">
        <v>329</v>
      </c>
      <c r="C209" s="6298"/>
      <c r="D209" s="6299"/>
      <c r="E209" s="6299"/>
      <c r="F209" s="6299"/>
      <c r="G209" s="6299"/>
      <c r="H209" s="6299"/>
      <c r="I209" s="6299"/>
      <c r="J209" s="6299"/>
      <c r="K209" s="6299"/>
      <c r="L209" s="6299"/>
      <c r="M209" s="6299"/>
      <c r="N209" s="6300"/>
      <c r="O209" s="5349"/>
      <c r="P209" s="6301"/>
      <c r="Q209" s="6301"/>
      <c r="R209" s="6301"/>
      <c r="S209" s="6302"/>
      <c r="T209" s="3919"/>
      <c r="U209" s="1937"/>
      <c r="V209" s="1444"/>
      <c r="W209" s="1937"/>
      <c r="X209" s="3920"/>
      <c r="Y209" s="6197"/>
      <c r="Z209" s="6198"/>
      <c r="AA209" s="6198"/>
      <c r="AB209" s="6198"/>
      <c r="AC209" s="6198"/>
      <c r="AD209" s="6198"/>
      <c r="AE209" s="6199"/>
      <c r="AF209" s="3919"/>
      <c r="AG209" s="1937"/>
      <c r="AH209" s="1444"/>
      <c r="AI209" s="1937"/>
      <c r="AJ209" s="3920"/>
      <c r="AK209" s="3919"/>
      <c r="AL209" s="1937"/>
      <c r="AM209" s="1444"/>
      <c r="AN209" s="1937"/>
      <c r="AO209" s="1937"/>
      <c r="AP209" s="3350"/>
      <c r="BG209" s="3742"/>
      <c r="BH209" s="3169"/>
      <c r="BI209" s="3169"/>
      <c r="BJ209" s="3169"/>
      <c r="BK209" s="3169"/>
      <c r="BL209" s="3169"/>
      <c r="BM209" s="3169"/>
      <c r="BN209" s="3169"/>
      <c r="BO209" s="3169"/>
      <c r="BP209" s="3169"/>
    </row>
    <row r="210" spans="1:69" ht="17.25" customHeight="1">
      <c r="A210" s="3350"/>
      <c r="B210" s="6183" t="s">
        <v>838</v>
      </c>
      <c r="C210" s="6303"/>
      <c r="D210" s="6303"/>
      <c r="E210" s="6303"/>
      <c r="F210" s="6303"/>
      <c r="G210" s="6303"/>
      <c r="H210" s="6303"/>
      <c r="I210" s="6303"/>
      <c r="J210" s="6303"/>
      <c r="K210" s="6303"/>
      <c r="L210" s="6303"/>
      <c r="M210" s="6303"/>
      <c r="N210" s="6303"/>
      <c r="O210" s="6303"/>
      <c r="P210" s="6303"/>
      <c r="Q210" s="6303"/>
      <c r="R210" s="5849"/>
      <c r="S210" s="6275" t="s">
        <v>839</v>
      </c>
      <c r="T210" s="6304"/>
      <c r="U210" s="6304"/>
      <c r="V210" s="6304"/>
      <c r="W210" s="6304"/>
      <c r="X210" s="6304"/>
      <c r="Y210" s="6304"/>
      <c r="Z210" s="6304"/>
      <c r="AA210" s="6304"/>
      <c r="AB210" s="6304"/>
      <c r="AC210" s="6304"/>
      <c r="AD210" s="6304"/>
      <c r="AE210" s="6304"/>
      <c r="AF210" s="6304"/>
      <c r="AG210" s="6304"/>
      <c r="AH210" s="6304"/>
      <c r="AI210" s="6304"/>
      <c r="AJ210" s="6304"/>
      <c r="AK210" s="6304"/>
      <c r="AL210" s="6304"/>
      <c r="AM210" s="6304"/>
      <c r="AN210" s="6304"/>
      <c r="AO210" s="6304"/>
      <c r="AP210" s="3350"/>
      <c r="BG210" s="3742"/>
      <c r="BH210" s="3169"/>
      <c r="BI210" s="3169"/>
      <c r="BJ210" s="3169"/>
      <c r="BK210" s="3169"/>
      <c r="BL210" s="3169"/>
      <c r="BM210" s="3169"/>
      <c r="BN210" s="3169"/>
      <c r="BO210" s="3169"/>
      <c r="BP210" s="3169"/>
    </row>
    <row r="211" spans="1:69" ht="12.75" customHeight="1">
      <c r="A211" s="3350"/>
      <c r="B211" s="1957"/>
      <c r="C211" s="6305" t="s">
        <v>3145</v>
      </c>
      <c r="D211" s="6228"/>
      <c r="E211" s="6228"/>
      <c r="F211" s="6228"/>
      <c r="G211" s="6228"/>
      <c r="H211" s="6228"/>
      <c r="I211" s="6228"/>
      <c r="J211" s="6229"/>
      <c r="K211" s="6227" t="s">
        <v>3146</v>
      </c>
      <c r="L211" s="6228"/>
      <c r="M211" s="6228"/>
      <c r="N211" s="6228"/>
      <c r="O211" s="6228"/>
      <c r="P211" s="6228"/>
      <c r="Q211" s="6228"/>
      <c r="R211" s="6228"/>
      <c r="S211" s="6306" t="s">
        <v>3147</v>
      </c>
      <c r="T211" s="6228"/>
      <c r="U211" s="6228"/>
      <c r="V211" s="6228"/>
      <c r="W211" s="6228"/>
      <c r="X211" s="6228"/>
      <c r="Y211" s="6229"/>
      <c r="Z211" s="6227" t="s">
        <v>3148</v>
      </c>
      <c r="AA211" s="6228"/>
      <c r="AB211" s="6228"/>
      <c r="AC211" s="6228"/>
      <c r="AD211" s="6228"/>
      <c r="AE211" s="6228"/>
      <c r="AF211" s="6228"/>
      <c r="AG211" s="6229"/>
      <c r="AH211" s="6227" t="s">
        <v>3149</v>
      </c>
      <c r="AI211" s="6228"/>
      <c r="AJ211" s="6228"/>
      <c r="AK211" s="6228"/>
      <c r="AL211" s="6228"/>
      <c r="AM211" s="6228"/>
      <c r="AN211" s="6228"/>
      <c r="AO211" s="6228"/>
      <c r="AP211" s="3350"/>
      <c r="BG211" s="3742"/>
      <c r="BH211" s="3169"/>
      <c r="BI211" s="3169"/>
      <c r="BJ211" s="3169"/>
      <c r="BK211" s="3169"/>
      <c r="BL211" s="3169"/>
      <c r="BM211" s="3169"/>
      <c r="BN211" s="3169"/>
      <c r="BO211" s="3169"/>
      <c r="BP211" s="3169"/>
    </row>
    <row r="212" spans="1:69" ht="12.75" customHeight="1">
      <c r="A212" s="3350"/>
      <c r="B212" s="1443"/>
      <c r="C212" s="6231"/>
      <c r="D212" s="6231"/>
      <c r="E212" s="6231"/>
      <c r="F212" s="6231"/>
      <c r="G212" s="6231"/>
      <c r="H212" s="6231"/>
      <c r="I212" s="6231"/>
      <c r="J212" s="6232"/>
      <c r="K212" s="6230"/>
      <c r="L212" s="6231"/>
      <c r="M212" s="6231"/>
      <c r="N212" s="6231"/>
      <c r="O212" s="6231"/>
      <c r="P212" s="6231"/>
      <c r="Q212" s="6231"/>
      <c r="R212" s="6231"/>
      <c r="S212" s="6307"/>
      <c r="T212" s="6231"/>
      <c r="U212" s="6231"/>
      <c r="V212" s="6231"/>
      <c r="W212" s="6231"/>
      <c r="X212" s="6231"/>
      <c r="Y212" s="6232"/>
      <c r="Z212" s="6230"/>
      <c r="AA212" s="6231"/>
      <c r="AB212" s="6231"/>
      <c r="AC212" s="6231"/>
      <c r="AD212" s="6231"/>
      <c r="AE212" s="6231"/>
      <c r="AF212" s="6231"/>
      <c r="AG212" s="6232"/>
      <c r="AH212" s="6230"/>
      <c r="AI212" s="6231"/>
      <c r="AJ212" s="6231"/>
      <c r="AK212" s="6231"/>
      <c r="AL212" s="6231"/>
      <c r="AM212" s="6231"/>
      <c r="AN212" s="6231"/>
      <c r="AO212" s="6231"/>
      <c r="AP212" s="3350"/>
      <c r="BG212" s="3742"/>
      <c r="BH212" s="3169"/>
      <c r="BI212" s="3169"/>
      <c r="BJ212" s="3169"/>
      <c r="BK212" s="3169"/>
      <c r="BL212" s="3169"/>
      <c r="BM212" s="3169"/>
      <c r="BN212" s="3169"/>
      <c r="BO212" s="3169"/>
      <c r="BP212" s="3169"/>
    </row>
    <row r="213" spans="1:69" ht="12.75" customHeight="1">
      <c r="A213" s="3350"/>
      <c r="B213" s="1936"/>
      <c r="C213" s="6234"/>
      <c r="D213" s="6234"/>
      <c r="E213" s="6234"/>
      <c r="F213" s="6234"/>
      <c r="G213" s="6234"/>
      <c r="H213" s="6234"/>
      <c r="I213" s="6234"/>
      <c r="J213" s="6235"/>
      <c r="K213" s="6233"/>
      <c r="L213" s="6234"/>
      <c r="M213" s="6234"/>
      <c r="N213" s="6234"/>
      <c r="O213" s="6234"/>
      <c r="P213" s="6234"/>
      <c r="Q213" s="6234"/>
      <c r="R213" s="6234"/>
      <c r="S213" s="6308"/>
      <c r="T213" s="6234"/>
      <c r="U213" s="6234"/>
      <c r="V213" s="6234"/>
      <c r="W213" s="6234"/>
      <c r="X213" s="6234"/>
      <c r="Y213" s="6235"/>
      <c r="Z213" s="6233"/>
      <c r="AA213" s="6234"/>
      <c r="AB213" s="6234"/>
      <c r="AC213" s="6234"/>
      <c r="AD213" s="6234"/>
      <c r="AE213" s="6234"/>
      <c r="AF213" s="6234"/>
      <c r="AG213" s="6235"/>
      <c r="AH213" s="6233"/>
      <c r="AI213" s="6234"/>
      <c r="AJ213" s="6234"/>
      <c r="AK213" s="6234"/>
      <c r="AL213" s="6234"/>
      <c r="AM213" s="6234"/>
      <c r="AN213" s="6234"/>
      <c r="AO213" s="6234"/>
      <c r="AP213" s="3350"/>
      <c r="BG213" s="3742"/>
      <c r="BH213" s="3169"/>
      <c r="BI213" s="3169"/>
      <c r="BJ213" s="3169"/>
      <c r="BK213" s="3169"/>
      <c r="BL213" s="3169"/>
      <c r="BM213" s="3169"/>
      <c r="BN213" s="3169"/>
      <c r="BO213" s="3169"/>
      <c r="BP213" s="3169"/>
    </row>
    <row r="214" spans="1:69" ht="13.5" customHeight="1">
      <c r="A214" s="3350"/>
      <c r="B214" s="3922" t="s">
        <v>159</v>
      </c>
      <c r="C214" s="6201"/>
      <c r="D214" s="6202"/>
      <c r="E214" s="6202"/>
      <c r="F214" s="6202"/>
      <c r="G214" s="6202"/>
      <c r="H214" s="6202"/>
      <c r="I214" s="6202"/>
      <c r="J214" s="6203"/>
      <c r="K214" s="6201"/>
      <c r="L214" s="6202"/>
      <c r="M214" s="6202"/>
      <c r="N214" s="6202"/>
      <c r="O214" s="6202"/>
      <c r="P214" s="6202"/>
      <c r="Q214" s="6202"/>
      <c r="R214" s="6297"/>
      <c r="S214" s="6201"/>
      <c r="T214" s="6202"/>
      <c r="U214" s="6202"/>
      <c r="V214" s="6202"/>
      <c r="W214" s="6202"/>
      <c r="X214" s="6202"/>
      <c r="Y214" s="6202"/>
      <c r="Z214" s="6201"/>
      <c r="AA214" s="6202"/>
      <c r="AB214" s="6202"/>
      <c r="AC214" s="6202"/>
      <c r="AD214" s="6202"/>
      <c r="AE214" s="6202"/>
      <c r="AF214" s="6202"/>
      <c r="AG214" s="6203"/>
      <c r="AH214" s="6201"/>
      <c r="AI214" s="6202"/>
      <c r="AJ214" s="6202"/>
      <c r="AK214" s="6202"/>
      <c r="AL214" s="6202"/>
      <c r="AM214" s="6202"/>
      <c r="AN214" s="6202"/>
      <c r="AO214" s="6202"/>
      <c r="AP214" s="3350"/>
      <c r="BG214" s="3742"/>
      <c r="BH214" s="3169"/>
      <c r="BI214" s="3169"/>
      <c r="BJ214" s="3169"/>
      <c r="BK214" s="3169"/>
      <c r="BL214" s="3169"/>
      <c r="BM214" s="3169"/>
      <c r="BN214" s="3169"/>
      <c r="BO214" s="3169"/>
      <c r="BP214" s="3169"/>
    </row>
    <row r="215" spans="1:69" ht="13.5" customHeight="1">
      <c r="A215" s="3350"/>
      <c r="B215" s="3921" t="s">
        <v>327</v>
      </c>
      <c r="C215" s="6201"/>
      <c r="D215" s="6202"/>
      <c r="E215" s="6202"/>
      <c r="F215" s="6202"/>
      <c r="G215" s="6202"/>
      <c r="H215" s="6202"/>
      <c r="I215" s="6202"/>
      <c r="J215" s="6203"/>
      <c r="K215" s="6201"/>
      <c r="L215" s="6202"/>
      <c r="M215" s="6202"/>
      <c r="N215" s="6202"/>
      <c r="O215" s="6202"/>
      <c r="P215" s="6202"/>
      <c r="Q215" s="6202"/>
      <c r="R215" s="6297"/>
      <c r="S215" s="6201"/>
      <c r="T215" s="6202"/>
      <c r="U215" s="6202"/>
      <c r="V215" s="6202"/>
      <c r="W215" s="6202"/>
      <c r="X215" s="6202"/>
      <c r="Y215" s="6202"/>
      <c r="Z215" s="6201"/>
      <c r="AA215" s="6202"/>
      <c r="AB215" s="6202"/>
      <c r="AC215" s="6202"/>
      <c r="AD215" s="6202"/>
      <c r="AE215" s="6202"/>
      <c r="AF215" s="6202"/>
      <c r="AG215" s="6203"/>
      <c r="AH215" s="6201"/>
      <c r="AI215" s="6202"/>
      <c r="AJ215" s="6202"/>
      <c r="AK215" s="6202"/>
      <c r="AL215" s="6202"/>
      <c r="AM215" s="6202"/>
      <c r="AN215" s="6202"/>
      <c r="AO215" s="6202"/>
      <c r="AP215" s="3350"/>
      <c r="BG215" s="3742"/>
      <c r="BH215" s="3169"/>
      <c r="BI215" s="3169"/>
      <c r="BJ215" s="3169"/>
      <c r="BK215" s="3169"/>
      <c r="BL215" s="3169"/>
      <c r="BM215" s="3169"/>
      <c r="BN215" s="3169"/>
      <c r="BO215" s="3169"/>
      <c r="BP215" s="3169"/>
    </row>
    <row r="216" spans="1:69" ht="13.5" customHeight="1">
      <c r="A216" s="3350"/>
      <c r="B216" s="3921" t="s">
        <v>160</v>
      </c>
      <c r="C216" s="6201"/>
      <c r="D216" s="6202"/>
      <c r="E216" s="6202"/>
      <c r="F216" s="6202"/>
      <c r="G216" s="6202"/>
      <c r="H216" s="6202"/>
      <c r="I216" s="6202"/>
      <c r="J216" s="6203"/>
      <c r="K216" s="6201"/>
      <c r="L216" s="6202"/>
      <c r="M216" s="6202"/>
      <c r="N216" s="6202"/>
      <c r="O216" s="6202"/>
      <c r="P216" s="6202"/>
      <c r="Q216" s="6202"/>
      <c r="R216" s="6297"/>
      <c r="S216" s="6201"/>
      <c r="T216" s="6202"/>
      <c r="U216" s="6202"/>
      <c r="V216" s="6202"/>
      <c r="W216" s="6202"/>
      <c r="X216" s="6202"/>
      <c r="Y216" s="6202"/>
      <c r="Z216" s="6201"/>
      <c r="AA216" s="6202"/>
      <c r="AB216" s="6202"/>
      <c r="AC216" s="6202"/>
      <c r="AD216" s="6202"/>
      <c r="AE216" s="6202"/>
      <c r="AF216" s="6202"/>
      <c r="AG216" s="6203"/>
      <c r="AH216" s="6201"/>
      <c r="AI216" s="6202"/>
      <c r="AJ216" s="6202"/>
      <c r="AK216" s="6202"/>
      <c r="AL216" s="6202"/>
      <c r="AM216" s="6202"/>
      <c r="AN216" s="6202"/>
      <c r="AO216" s="6202"/>
      <c r="AP216" s="3350"/>
      <c r="BG216" s="3742"/>
      <c r="BH216" s="3169"/>
      <c r="BI216" s="3169"/>
      <c r="BJ216" s="3169"/>
      <c r="BK216" s="3169"/>
      <c r="BL216" s="3169"/>
      <c r="BM216" s="3169"/>
      <c r="BN216" s="3169"/>
      <c r="BO216" s="3169"/>
      <c r="BP216" s="3169"/>
    </row>
    <row r="217" spans="1:69" ht="13.5" customHeight="1">
      <c r="A217" s="3350"/>
      <c r="B217" s="3921" t="s">
        <v>329</v>
      </c>
      <c r="C217" s="6201"/>
      <c r="D217" s="6202"/>
      <c r="E217" s="6202"/>
      <c r="F217" s="6202"/>
      <c r="G217" s="6202"/>
      <c r="H217" s="6202"/>
      <c r="I217" s="6202"/>
      <c r="J217" s="6203"/>
      <c r="K217" s="6201"/>
      <c r="L217" s="6202"/>
      <c r="M217" s="6202"/>
      <c r="N217" s="6202"/>
      <c r="O217" s="6202"/>
      <c r="P217" s="6202"/>
      <c r="Q217" s="6202"/>
      <c r="R217" s="6297"/>
      <c r="S217" s="6201"/>
      <c r="T217" s="6202"/>
      <c r="U217" s="6202"/>
      <c r="V217" s="6202"/>
      <c r="W217" s="6202"/>
      <c r="X217" s="6202"/>
      <c r="Y217" s="6202"/>
      <c r="Z217" s="6201"/>
      <c r="AA217" s="6202"/>
      <c r="AB217" s="6202"/>
      <c r="AC217" s="6202"/>
      <c r="AD217" s="6202"/>
      <c r="AE217" s="6202"/>
      <c r="AF217" s="6202"/>
      <c r="AG217" s="6203"/>
      <c r="AH217" s="6201"/>
      <c r="AI217" s="6202"/>
      <c r="AJ217" s="6202"/>
      <c r="AK217" s="6202"/>
      <c r="AL217" s="6202"/>
      <c r="AM217" s="6202"/>
      <c r="AN217" s="6202"/>
      <c r="AO217" s="6202"/>
      <c r="AP217" s="3350"/>
      <c r="BG217" s="3742"/>
      <c r="BH217" s="3169"/>
      <c r="BI217" s="3169"/>
      <c r="BJ217" s="3169"/>
      <c r="BK217" s="3169"/>
      <c r="BL217" s="3169"/>
      <c r="BM217" s="3169"/>
      <c r="BN217" s="3169"/>
      <c r="BO217" s="3169"/>
      <c r="BP217" s="3169"/>
    </row>
    <row r="218" spans="1:69" ht="13.5" customHeight="1">
      <c r="A218" s="3350"/>
      <c r="B218" s="6183" t="s">
        <v>2046</v>
      </c>
      <c r="C218" s="6183"/>
      <c r="D218" s="4498"/>
      <c r="E218" s="4498" t="s">
        <v>3150</v>
      </c>
      <c r="F218" s="1497"/>
      <c r="G218" s="3751"/>
      <c r="H218" s="3751"/>
      <c r="I218" s="3751"/>
      <c r="J218" s="1498"/>
      <c r="K218" s="6237">
        <f>ROUND(SUM(K214:K217),0)</f>
        <v>0</v>
      </c>
      <c r="L218" s="6238"/>
      <c r="M218" s="6238"/>
      <c r="N218" s="6238"/>
      <c r="O218" s="6238"/>
      <c r="P218" s="6238"/>
      <c r="Q218" s="6238"/>
      <c r="R218" s="6239"/>
      <c r="S218" s="6285"/>
      <c r="T218" s="6286"/>
      <c r="U218" s="6286"/>
      <c r="V218" s="6286"/>
      <c r="W218" s="6286"/>
      <c r="X218" s="6286"/>
      <c r="Y218" s="6286"/>
      <c r="Z218" s="3751"/>
      <c r="AA218" s="3751"/>
      <c r="AB218" s="3751"/>
      <c r="AC218" s="3751"/>
      <c r="AD218" s="3751"/>
      <c r="AE218" s="3751"/>
      <c r="AF218" s="3751"/>
      <c r="AG218" s="1498"/>
      <c r="AH218" s="6205">
        <f>ROUND(SUM(AH214:AH217),0)</f>
        <v>0</v>
      </c>
      <c r="AI218" s="6287"/>
      <c r="AJ218" s="6287"/>
      <c r="AK218" s="6287"/>
      <c r="AL218" s="6287"/>
      <c r="AM218" s="6287"/>
      <c r="AN218" s="6287"/>
      <c r="AO218" s="6287"/>
      <c r="AP218" s="3350"/>
      <c r="BG218" s="3742"/>
      <c r="BH218" s="3169"/>
      <c r="BI218" s="3169"/>
      <c r="BJ218" s="3169"/>
      <c r="BK218" s="3169"/>
      <c r="BL218" s="3169"/>
      <c r="BM218" s="3169"/>
      <c r="BN218" s="3169"/>
      <c r="BO218" s="3169"/>
      <c r="BP218" s="3169"/>
    </row>
    <row r="219" spans="1:69" ht="13.5" customHeight="1">
      <c r="A219" s="3350"/>
      <c r="B219" s="6240" t="s">
        <v>54</v>
      </c>
      <c r="C219" s="6240"/>
      <c r="D219" s="3269"/>
      <c r="E219" s="4498" t="s">
        <v>3150</v>
      </c>
      <c r="F219" s="6205">
        <f>ROUND(SUM(C214:C217),0)</f>
        <v>0</v>
      </c>
      <c r="G219" s="6287"/>
      <c r="H219" s="6287"/>
      <c r="I219" s="6287"/>
      <c r="J219" s="6288"/>
      <c r="K219" s="6289"/>
      <c r="L219" s="6290"/>
      <c r="M219" s="6290"/>
      <c r="N219" s="6290"/>
      <c r="O219" s="6290"/>
      <c r="P219" s="6290"/>
      <c r="Q219" s="6290"/>
      <c r="R219" s="6291"/>
      <c r="S219" s="6292">
        <f>ROUND(SUM(S214:S217),0)</f>
        <v>0</v>
      </c>
      <c r="T219" s="6238"/>
      <c r="U219" s="6238"/>
      <c r="V219" s="6238"/>
      <c r="W219" s="6238"/>
      <c r="X219" s="6238"/>
      <c r="Y219" s="6293"/>
      <c r="Z219" s="6294">
        <f>ROUND(SUM(Z214:Z217),0)</f>
        <v>0</v>
      </c>
      <c r="AA219" s="6294"/>
      <c r="AB219" s="6294"/>
      <c r="AC219" s="6294"/>
      <c r="AD219" s="6294"/>
      <c r="AE219" s="6294"/>
      <c r="AF219" s="6294"/>
      <c r="AG219" s="6294"/>
      <c r="AH219" s="6295"/>
      <c r="AI219" s="6295"/>
      <c r="AJ219" s="6295"/>
      <c r="AK219" s="6295"/>
      <c r="AL219" s="6295"/>
      <c r="AM219" s="6295"/>
      <c r="AN219" s="6295"/>
      <c r="AO219" s="6296"/>
      <c r="AP219" s="3350"/>
      <c r="BG219" s="3742"/>
      <c r="BH219" s="3169"/>
      <c r="BI219" s="3169"/>
      <c r="BJ219" s="3169"/>
      <c r="BK219" s="3169"/>
      <c r="BL219" s="3169"/>
      <c r="BM219" s="3169"/>
      <c r="BN219" s="3169"/>
      <c r="BO219" s="3169"/>
      <c r="BP219" s="3169"/>
    </row>
    <row r="220" spans="1:69" ht="12.75" customHeight="1">
      <c r="A220" s="3350"/>
      <c r="B220" s="6178">
        <v>30</v>
      </c>
      <c r="C220" s="6178"/>
      <c r="D220" s="3269" t="s">
        <v>3151</v>
      </c>
      <c r="E220" s="1443"/>
      <c r="F220" s="1443"/>
      <c r="G220" s="1443"/>
      <c r="H220" s="1443"/>
      <c r="I220" s="1443"/>
      <c r="J220" s="1443"/>
      <c r="K220" s="1443"/>
      <c r="L220" s="1443"/>
      <c r="M220" s="1443"/>
      <c r="N220" s="1443"/>
      <c r="O220" s="1443"/>
      <c r="P220" s="1443"/>
      <c r="Q220" s="1443"/>
      <c r="R220" s="1443"/>
      <c r="S220" s="1443"/>
      <c r="T220" s="1443"/>
      <c r="U220" s="1443"/>
      <c r="V220" s="1443"/>
      <c r="W220" s="1443"/>
      <c r="X220" s="1443"/>
      <c r="Y220" s="1443"/>
      <c r="Z220" s="1443"/>
      <c r="AA220" s="1443"/>
      <c r="AB220" s="1443"/>
      <c r="AC220" s="1443"/>
      <c r="AD220" s="1443"/>
      <c r="AE220" s="4497" t="s">
        <v>492</v>
      </c>
      <c r="AF220" s="6276">
        <v>30</v>
      </c>
      <c r="AG220" s="6277"/>
      <c r="AH220" s="6210">
        <f>SUM(K218,AH218)</f>
        <v>0</v>
      </c>
      <c r="AI220" s="6278"/>
      <c r="AJ220" s="6278"/>
      <c r="AK220" s="6278"/>
      <c r="AL220" s="6278"/>
      <c r="AM220" s="6278"/>
      <c r="AN220" s="6278"/>
      <c r="AO220" s="6278"/>
      <c r="AP220" s="3350"/>
      <c r="AQ220" s="396"/>
      <c r="AR220" s="396"/>
      <c r="AS220" s="396"/>
      <c r="BG220" s="3742"/>
      <c r="BH220" s="3169"/>
      <c r="BI220" s="3169"/>
      <c r="BJ220" s="3169"/>
      <c r="BK220" s="3169"/>
      <c r="BL220" s="3169"/>
      <c r="BM220" s="3169"/>
      <c r="BN220" s="3169"/>
      <c r="BO220" s="3169"/>
      <c r="BP220" s="3169"/>
    </row>
    <row r="221" spans="1:69" ht="12.75" customHeight="1" thickBot="1">
      <c r="A221" s="3350"/>
      <c r="B221" s="6178">
        <v>31</v>
      </c>
      <c r="C221" s="6178"/>
      <c r="D221" s="3269" t="s">
        <v>3152</v>
      </c>
      <c r="E221" s="1443"/>
      <c r="F221" s="1443"/>
      <c r="G221" s="1443"/>
      <c r="H221" s="1443"/>
      <c r="I221" s="1443"/>
      <c r="J221" s="1443"/>
      <c r="K221" s="1443"/>
      <c r="L221" s="1443"/>
      <c r="M221" s="1443"/>
      <c r="N221" s="1443"/>
      <c r="O221" s="1443"/>
      <c r="P221" s="1443"/>
      <c r="Q221" s="1443"/>
      <c r="R221" s="1443"/>
      <c r="S221" s="1443"/>
      <c r="T221" s="1443"/>
      <c r="U221" s="1443"/>
      <c r="V221" s="1443"/>
      <c r="W221" s="1443"/>
      <c r="X221" s="1443"/>
      <c r="Y221" s="1443"/>
      <c r="Z221" s="1443"/>
      <c r="AA221" s="1443"/>
      <c r="AB221" s="1443"/>
      <c r="AC221" s="1443"/>
      <c r="AD221" s="1443"/>
      <c r="AE221" s="4497" t="s">
        <v>104</v>
      </c>
      <c r="AF221" s="6276">
        <v>31</v>
      </c>
      <c r="AG221" s="6277"/>
      <c r="AH221" s="4502" t="s">
        <v>1147</v>
      </c>
      <c r="AI221" s="6279">
        <f>SUM(F219,S219,Z219)</f>
        <v>0</v>
      </c>
      <c r="AJ221" s="6135"/>
      <c r="AK221" s="6135"/>
      <c r="AL221" s="6135"/>
      <c r="AM221" s="6135"/>
      <c r="AN221" s="6135"/>
      <c r="AO221" s="4503" t="s">
        <v>1148</v>
      </c>
      <c r="AP221" s="3350"/>
      <c r="AQ221" s="396"/>
      <c r="AR221" s="2940" t="s">
        <v>101</v>
      </c>
      <c r="AS221" s="396"/>
      <c r="BG221" s="3742"/>
      <c r="BH221" s="3169"/>
      <c r="BI221" s="3169"/>
      <c r="BJ221" s="3169"/>
      <c r="BK221" s="3169"/>
      <c r="BL221" s="3169"/>
      <c r="BM221" s="3169"/>
      <c r="BN221" s="3169"/>
      <c r="BO221" s="3169"/>
      <c r="BP221" s="3169"/>
    </row>
    <row r="222" spans="1:69" ht="12.75" customHeight="1" thickBot="1">
      <c r="A222" s="3350"/>
      <c r="B222" s="6280">
        <v>32</v>
      </c>
      <c r="C222" s="6280"/>
      <c r="D222" s="3288" t="s">
        <v>3153</v>
      </c>
      <c r="E222" s="1612"/>
      <c r="F222" s="1612"/>
      <c r="G222" s="1612"/>
      <c r="H222" s="1612"/>
      <c r="I222" s="1612"/>
      <c r="J222" s="1612"/>
      <c r="K222" s="1612"/>
      <c r="L222" s="1612"/>
      <c r="M222" s="1612"/>
      <c r="N222" s="1612"/>
      <c r="O222" s="1612"/>
      <c r="P222" s="1612"/>
      <c r="Q222" s="1612"/>
      <c r="R222" s="1612"/>
      <c r="S222" s="1612"/>
      <c r="T222" s="1612"/>
      <c r="U222" s="1612"/>
      <c r="V222" s="1612"/>
      <c r="W222" s="1612"/>
      <c r="X222" s="1612"/>
      <c r="Y222" s="1612"/>
      <c r="Z222" s="1612"/>
      <c r="AA222" s="1612"/>
      <c r="AB222" s="1612"/>
      <c r="AC222" s="1612"/>
      <c r="AD222" s="1612"/>
      <c r="AE222" s="4499" t="s">
        <v>856</v>
      </c>
      <c r="AF222" s="6281">
        <v>32</v>
      </c>
      <c r="AG222" s="6282"/>
      <c r="AH222" s="6283">
        <f>IF(AR222&lt;&gt;"",ROUND(AR222,0),SUM(AH220,-AI221))</f>
        <v>0</v>
      </c>
      <c r="AI222" s="6284"/>
      <c r="AJ222" s="6284"/>
      <c r="AK222" s="6284"/>
      <c r="AL222" s="6284"/>
      <c r="AM222" s="6284"/>
      <c r="AN222" s="6284"/>
      <c r="AO222" s="6284"/>
      <c r="AP222" s="3350"/>
      <c r="AQ222" s="396"/>
      <c r="AR222" s="3941"/>
      <c r="AS222" s="396"/>
      <c r="BG222" s="3742"/>
      <c r="BH222" s="3169"/>
      <c r="BI222" s="3169"/>
      <c r="BJ222" s="3169"/>
      <c r="BK222" s="3169"/>
      <c r="BL222" s="3169"/>
      <c r="BM222" s="3169"/>
      <c r="BN222" s="3169"/>
      <c r="BO222" s="3169"/>
      <c r="BP222" s="3169"/>
    </row>
    <row r="223" spans="1:69" s="3272" customFormat="1" ht="17.25" customHeight="1">
      <c r="A223" s="3351"/>
      <c r="B223" s="6260" t="s">
        <v>363</v>
      </c>
      <c r="C223" s="6260"/>
      <c r="D223" s="6261"/>
      <c r="E223" s="1751"/>
      <c r="F223" s="4501" t="s">
        <v>3154</v>
      </c>
      <c r="G223" s="1751"/>
      <c r="H223" s="1751"/>
      <c r="I223" s="1751"/>
      <c r="J223" s="1751"/>
      <c r="K223" s="1751"/>
      <c r="L223" s="1751"/>
      <c r="M223" s="1751"/>
      <c r="N223" s="1751"/>
      <c r="O223" s="1751"/>
      <c r="P223" s="1751"/>
      <c r="Q223" s="1751"/>
      <c r="R223" s="1751"/>
      <c r="S223" s="1751"/>
      <c r="T223" s="1751"/>
      <c r="U223" s="1751"/>
      <c r="V223" s="1751"/>
      <c r="W223" s="1751"/>
      <c r="X223" s="3388"/>
      <c r="Y223" s="1751"/>
      <c r="Z223" s="1751"/>
      <c r="AA223" s="1751"/>
      <c r="AB223" s="1751"/>
      <c r="AC223" s="1751"/>
      <c r="AD223" s="1751"/>
      <c r="AE223" s="1751"/>
      <c r="AF223" s="1751"/>
      <c r="AG223" s="1751"/>
      <c r="AH223" s="1751"/>
      <c r="AI223" s="1751"/>
      <c r="AJ223" s="1751"/>
      <c r="AK223" s="1751"/>
      <c r="AL223" s="1751"/>
      <c r="AM223" s="1751"/>
      <c r="AN223" s="1751"/>
      <c r="AO223" s="1751"/>
      <c r="AP223" s="3350"/>
      <c r="AQ223" s="396"/>
      <c r="AR223" s="396"/>
      <c r="AS223" s="396"/>
      <c r="AX223" s="46"/>
      <c r="AY223" s="46"/>
      <c r="AZ223" s="46"/>
      <c r="BA223" s="46"/>
      <c r="BB223" s="46"/>
      <c r="BC223" s="46"/>
      <c r="BD223" s="46"/>
      <c r="BG223" s="3742"/>
      <c r="BH223" s="3169"/>
      <c r="BI223" s="3169"/>
      <c r="BJ223" s="3169"/>
      <c r="BK223" s="3169"/>
      <c r="BL223" s="3169"/>
      <c r="BM223" s="3169"/>
      <c r="BN223" s="3169"/>
      <c r="BO223" s="3169"/>
      <c r="BP223" s="3169"/>
      <c r="BQ223" s="4351"/>
    </row>
    <row r="224" spans="1:69" ht="12.75" customHeight="1">
      <c r="A224" s="3350"/>
      <c r="B224" s="1957"/>
      <c r="C224" s="1957"/>
      <c r="D224" s="1957"/>
      <c r="E224" s="1957"/>
      <c r="F224" s="1957"/>
      <c r="G224" s="1957"/>
      <c r="H224" s="1957"/>
      <c r="I224" s="1957"/>
      <c r="J224" s="1957"/>
      <c r="K224" s="1957"/>
      <c r="L224" s="1957"/>
      <c r="M224" s="1957"/>
      <c r="N224" s="1957"/>
      <c r="O224" s="1957"/>
      <c r="P224" s="1957"/>
      <c r="Q224" s="1957"/>
      <c r="R224" s="1957"/>
      <c r="S224" s="1957"/>
      <c r="T224" s="1957"/>
      <c r="U224" s="1957"/>
      <c r="V224" s="1957"/>
      <c r="W224" s="1957"/>
      <c r="X224" s="1957"/>
      <c r="Y224" s="1957"/>
      <c r="Z224" s="1957"/>
      <c r="AA224" s="1957"/>
      <c r="AB224" s="1957"/>
      <c r="AC224" s="1957"/>
      <c r="AD224" s="1957"/>
      <c r="AE224" s="1957"/>
      <c r="AF224" s="1957"/>
      <c r="AG224" s="1958"/>
      <c r="AH224" s="6227" t="s">
        <v>3155</v>
      </c>
      <c r="AI224" s="6262"/>
      <c r="AJ224" s="6262"/>
      <c r="AK224" s="6262"/>
      <c r="AL224" s="6262"/>
      <c r="AM224" s="6262"/>
      <c r="AN224" s="6262"/>
      <c r="AO224" s="6262"/>
      <c r="AP224" s="3350"/>
      <c r="BG224" s="3742"/>
      <c r="BH224" s="3169"/>
      <c r="BI224" s="3169"/>
      <c r="BJ224" s="3169"/>
      <c r="BK224" s="3169"/>
      <c r="BL224" s="3169"/>
      <c r="BM224" s="3169"/>
      <c r="BN224" s="3169"/>
      <c r="BO224" s="3169"/>
      <c r="BP224" s="3169"/>
    </row>
    <row r="225" spans="1:69" ht="12.75" customHeight="1">
      <c r="A225" s="3350"/>
      <c r="B225" s="6236">
        <v>33</v>
      </c>
      <c r="C225" s="5527"/>
      <c r="D225" s="1443"/>
      <c r="E225" s="1443"/>
      <c r="F225" s="1443"/>
      <c r="G225" s="1443"/>
      <c r="H225" s="1443"/>
      <c r="I225" s="1443"/>
      <c r="J225" s="1443"/>
      <c r="K225" s="1443"/>
      <c r="L225" s="1443"/>
      <c r="M225" s="1443"/>
      <c r="N225" s="1443"/>
      <c r="O225" s="1443"/>
      <c r="P225" s="1607" t="s">
        <v>3139</v>
      </c>
      <c r="Q225" s="1443"/>
      <c r="R225" s="1443"/>
      <c r="S225" s="1443"/>
      <c r="T225" s="1443"/>
      <c r="U225" s="1443"/>
      <c r="V225" s="1443"/>
      <c r="W225" s="1443"/>
      <c r="X225" s="1443"/>
      <c r="Y225" s="1443"/>
      <c r="Z225" s="1443"/>
      <c r="AA225" s="1443"/>
      <c r="AB225" s="1443"/>
      <c r="AC225" s="1443"/>
      <c r="AD225" s="1443"/>
      <c r="AE225" s="1443"/>
      <c r="AF225" s="1443"/>
      <c r="AG225" s="1966"/>
      <c r="AH225" s="6263"/>
      <c r="AI225" s="6264"/>
      <c r="AJ225" s="6264"/>
      <c r="AK225" s="6264"/>
      <c r="AL225" s="6264"/>
      <c r="AM225" s="6264"/>
      <c r="AN225" s="6264"/>
      <c r="AO225" s="6264"/>
      <c r="AP225" s="3350"/>
      <c r="AX225" s="3272"/>
      <c r="AY225" s="3272"/>
      <c r="AZ225" s="3272"/>
      <c r="BA225" s="3272"/>
      <c r="BB225" s="3272"/>
      <c r="BC225" s="3272"/>
      <c r="BD225" s="3272"/>
      <c r="BG225" s="3742"/>
      <c r="BH225" s="3169"/>
      <c r="BI225" s="3169"/>
      <c r="BJ225" s="3169"/>
      <c r="BK225" s="3169"/>
      <c r="BL225" s="3169"/>
      <c r="BM225" s="3169"/>
      <c r="BN225" s="3169"/>
      <c r="BO225" s="3169"/>
      <c r="BP225" s="3169"/>
    </row>
    <row r="226" spans="1:69" ht="12.75" customHeight="1">
      <c r="A226" s="3350"/>
      <c r="B226" s="1936"/>
      <c r="C226" s="1936"/>
      <c r="D226" s="1936"/>
      <c r="E226" s="1936"/>
      <c r="F226" s="1936"/>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3737"/>
      <c r="AH226" s="6265"/>
      <c r="AI226" s="5640"/>
      <c r="AJ226" s="5640"/>
      <c r="AK226" s="5640"/>
      <c r="AL226" s="5640"/>
      <c r="AM226" s="5640"/>
      <c r="AN226" s="5640"/>
      <c r="AO226" s="5640"/>
      <c r="AP226" s="3350"/>
      <c r="BG226" s="3742"/>
      <c r="BH226" s="3169"/>
      <c r="BI226" s="3169"/>
      <c r="BJ226" s="3169"/>
      <c r="BK226" s="3169"/>
      <c r="BL226" s="3169"/>
      <c r="BM226" s="3169"/>
      <c r="BN226" s="3169"/>
      <c r="BO226" s="3169"/>
      <c r="BP226" s="3169"/>
    </row>
    <row r="227" spans="1:69" ht="13.5" customHeight="1">
      <c r="A227" s="3350"/>
      <c r="B227" s="3922" t="s">
        <v>159</v>
      </c>
      <c r="C227" s="6266"/>
      <c r="D227" s="6267"/>
      <c r="E227" s="6267"/>
      <c r="F227" s="6267"/>
      <c r="G227" s="6267"/>
      <c r="H227" s="6267"/>
      <c r="I227" s="6267"/>
      <c r="J227" s="6267"/>
      <c r="K227" s="6268"/>
      <c r="L227" s="6268"/>
      <c r="M227" s="6268"/>
      <c r="N227" s="6268"/>
      <c r="O227" s="6268"/>
      <c r="P227" s="6268"/>
      <c r="Q227" s="6268"/>
      <c r="R227" s="6268"/>
      <c r="S227" s="6268"/>
      <c r="T227" s="6268"/>
      <c r="U227" s="6268"/>
      <c r="V227" s="6268"/>
      <c r="W227" s="6268"/>
      <c r="X227" s="6268"/>
      <c r="Y227" s="6268"/>
      <c r="Z227" s="6268"/>
      <c r="AA227" s="6268"/>
      <c r="AB227" s="6268"/>
      <c r="AC227" s="6268"/>
      <c r="AD227" s="6268"/>
      <c r="AE227" s="6268"/>
      <c r="AF227" s="6268"/>
      <c r="AG227" s="6269"/>
      <c r="AH227" s="6270"/>
      <c r="AI227" s="6271"/>
      <c r="AJ227" s="6271"/>
      <c r="AK227" s="6271"/>
      <c r="AL227" s="6271"/>
      <c r="AM227" s="6271"/>
      <c r="AN227" s="6271"/>
      <c r="AO227" s="6271"/>
      <c r="AP227" s="3350"/>
      <c r="BG227" s="3742"/>
      <c r="BH227" s="3169"/>
      <c r="BI227" s="3169"/>
      <c r="BJ227" s="3169"/>
      <c r="BK227" s="3169"/>
      <c r="BL227" s="3169"/>
      <c r="BM227" s="3169"/>
      <c r="BN227" s="3169"/>
      <c r="BO227" s="3169"/>
      <c r="BP227" s="3169"/>
    </row>
    <row r="228" spans="1:69" ht="13.5" customHeight="1">
      <c r="A228" s="3350"/>
      <c r="B228" s="3921" t="s">
        <v>327</v>
      </c>
      <c r="C228" s="6266"/>
      <c r="D228" s="6267"/>
      <c r="E228" s="6267"/>
      <c r="F228" s="6267"/>
      <c r="G228" s="6267"/>
      <c r="H228" s="6267"/>
      <c r="I228" s="6267"/>
      <c r="J228" s="6267"/>
      <c r="K228" s="6268"/>
      <c r="L228" s="6268"/>
      <c r="M228" s="6268"/>
      <c r="N228" s="6268"/>
      <c r="O228" s="6268"/>
      <c r="P228" s="6268"/>
      <c r="Q228" s="6268"/>
      <c r="R228" s="6268"/>
      <c r="S228" s="6268"/>
      <c r="T228" s="6268"/>
      <c r="U228" s="6268"/>
      <c r="V228" s="6268"/>
      <c r="W228" s="6268"/>
      <c r="X228" s="6268"/>
      <c r="Y228" s="6268"/>
      <c r="Z228" s="6268"/>
      <c r="AA228" s="6268"/>
      <c r="AB228" s="6268"/>
      <c r="AC228" s="6268"/>
      <c r="AD228" s="6268"/>
      <c r="AE228" s="6268"/>
      <c r="AF228" s="6268"/>
      <c r="AG228" s="6269"/>
      <c r="AH228" s="6270"/>
      <c r="AI228" s="6271"/>
      <c r="AJ228" s="6271"/>
      <c r="AK228" s="6271"/>
      <c r="AL228" s="6271"/>
      <c r="AM228" s="6271"/>
      <c r="AN228" s="6271"/>
      <c r="AO228" s="6271"/>
      <c r="AP228" s="3350"/>
      <c r="BG228" s="3742"/>
      <c r="BH228" s="3169"/>
      <c r="BI228" s="3169"/>
      <c r="BJ228" s="3169"/>
      <c r="BK228" s="3169"/>
      <c r="BL228" s="3169"/>
      <c r="BM228" s="3169"/>
      <c r="BN228" s="3169"/>
      <c r="BO228" s="3169"/>
      <c r="BP228" s="3169"/>
    </row>
    <row r="229" spans="1:69" ht="17.25" customHeight="1">
      <c r="A229" s="3350"/>
      <c r="B229" s="6272" t="s">
        <v>838</v>
      </c>
      <c r="C229" s="6273"/>
      <c r="D229" s="6273"/>
      <c r="E229" s="6273"/>
      <c r="F229" s="6273"/>
      <c r="G229" s="6273"/>
      <c r="H229" s="6273"/>
      <c r="I229" s="6273"/>
      <c r="J229" s="6273"/>
      <c r="K229" s="6273"/>
      <c r="L229" s="6273"/>
      <c r="M229" s="6273"/>
      <c r="N229" s="6273"/>
      <c r="O229" s="6273"/>
      <c r="P229" s="6273"/>
      <c r="Q229" s="6273"/>
      <c r="R229" s="6273"/>
      <c r="S229" s="6273"/>
      <c r="T229" s="6273"/>
      <c r="U229" s="6273"/>
      <c r="V229" s="6273"/>
      <c r="W229" s="6273"/>
      <c r="X229" s="6274"/>
      <c r="Y229" s="6275" t="s">
        <v>839</v>
      </c>
      <c r="Z229" s="6273"/>
      <c r="AA229" s="6273"/>
      <c r="AB229" s="6273"/>
      <c r="AC229" s="6273"/>
      <c r="AD229" s="6273"/>
      <c r="AE229" s="6273"/>
      <c r="AF229" s="6273"/>
      <c r="AG229" s="6273"/>
      <c r="AH229" s="6273"/>
      <c r="AI229" s="6273"/>
      <c r="AJ229" s="6273"/>
      <c r="AK229" s="6273"/>
      <c r="AL229" s="6273"/>
      <c r="AM229" s="6273"/>
      <c r="AN229" s="6273"/>
      <c r="AO229" s="6273"/>
      <c r="AP229" s="3350"/>
      <c r="BG229" s="3742"/>
      <c r="BH229" s="3169"/>
      <c r="BI229" s="3169"/>
      <c r="BJ229" s="3169"/>
      <c r="BK229" s="3169"/>
      <c r="BL229" s="3169"/>
      <c r="BM229" s="3169"/>
      <c r="BN229" s="3169"/>
      <c r="BO229" s="3169"/>
      <c r="BP229" s="3169"/>
    </row>
    <row r="230" spans="1:69" ht="12.75" customHeight="1">
      <c r="A230" s="3350"/>
      <c r="B230" s="6243" t="s">
        <v>3159</v>
      </c>
      <c r="C230" s="5582"/>
      <c r="D230" s="5582"/>
      <c r="E230" s="5582"/>
      <c r="F230" s="5582"/>
      <c r="G230" s="5582"/>
      <c r="H230" s="5582"/>
      <c r="I230" s="5582"/>
      <c r="J230" s="5582"/>
      <c r="K230" s="5582"/>
      <c r="L230" s="5582"/>
      <c r="M230" s="5582"/>
      <c r="N230" s="6244"/>
      <c r="O230" s="6247" t="s">
        <v>3157</v>
      </c>
      <c r="P230" s="5872"/>
      <c r="Q230" s="5872"/>
      <c r="R230" s="5872"/>
      <c r="S230" s="5872"/>
      <c r="T230" s="5872"/>
      <c r="U230" s="5872"/>
      <c r="V230" s="5872"/>
      <c r="W230" s="5872"/>
      <c r="X230" s="5872"/>
      <c r="Y230" s="6252" t="s">
        <v>3156</v>
      </c>
      <c r="Z230" s="5582"/>
      <c r="AA230" s="5582"/>
      <c r="AB230" s="5582"/>
      <c r="AC230" s="5582"/>
      <c r="AD230" s="5582"/>
      <c r="AE230" s="5582"/>
      <c r="AF230" s="5582"/>
      <c r="AG230" s="6244"/>
      <c r="AH230" s="6247" t="s">
        <v>3158</v>
      </c>
      <c r="AI230" s="5872"/>
      <c r="AJ230" s="5872"/>
      <c r="AK230" s="5872"/>
      <c r="AL230" s="5872"/>
      <c r="AM230" s="5872"/>
      <c r="AN230" s="5872"/>
      <c r="AO230" s="5872"/>
      <c r="AP230" s="3350"/>
      <c r="BG230" s="3742"/>
      <c r="BH230" s="3169"/>
      <c r="BI230" s="3169"/>
      <c r="BJ230" s="3169"/>
      <c r="BK230" s="3169"/>
      <c r="BL230" s="3169"/>
      <c r="BM230" s="3169"/>
      <c r="BN230" s="3169"/>
      <c r="BO230" s="3169"/>
      <c r="BP230" s="3169"/>
    </row>
    <row r="231" spans="1:69" ht="12.75" customHeight="1">
      <c r="A231" s="3350"/>
      <c r="B231" s="5579"/>
      <c r="C231" s="5579"/>
      <c r="D231" s="5579"/>
      <c r="E231" s="5579"/>
      <c r="F231" s="5579"/>
      <c r="G231" s="5579"/>
      <c r="H231" s="5579"/>
      <c r="I231" s="5579"/>
      <c r="J231" s="5579"/>
      <c r="K231" s="5579"/>
      <c r="L231" s="5579"/>
      <c r="M231" s="5579"/>
      <c r="N231" s="6245"/>
      <c r="O231" s="6248"/>
      <c r="P231" s="6249"/>
      <c r="Q231" s="6249"/>
      <c r="R231" s="6249"/>
      <c r="S231" s="6249"/>
      <c r="T231" s="6249"/>
      <c r="U231" s="6249"/>
      <c r="V231" s="6249"/>
      <c r="W231" s="6249"/>
      <c r="X231" s="6249"/>
      <c r="Y231" s="5583"/>
      <c r="Z231" s="5579"/>
      <c r="AA231" s="5579"/>
      <c r="AB231" s="5579"/>
      <c r="AC231" s="5579"/>
      <c r="AD231" s="5579"/>
      <c r="AE231" s="5579"/>
      <c r="AF231" s="5579"/>
      <c r="AG231" s="6245"/>
      <c r="AH231" s="6248"/>
      <c r="AI231" s="6249"/>
      <c r="AJ231" s="6249"/>
      <c r="AK231" s="6249"/>
      <c r="AL231" s="6249"/>
      <c r="AM231" s="6249"/>
      <c r="AN231" s="6249"/>
      <c r="AO231" s="6249"/>
      <c r="AP231" s="3350"/>
      <c r="BG231" s="3742"/>
      <c r="BH231" s="3169"/>
      <c r="BI231" s="3169"/>
      <c r="BJ231" s="3169"/>
      <c r="BK231" s="3169"/>
      <c r="BL231" s="3169"/>
      <c r="BM231" s="3169"/>
      <c r="BN231" s="3169"/>
      <c r="BO231" s="3169"/>
      <c r="BP231" s="3169"/>
    </row>
    <row r="232" spans="1:69" ht="12.75" customHeight="1">
      <c r="A232" s="3350"/>
      <c r="B232" s="5577"/>
      <c r="C232" s="5577"/>
      <c r="D232" s="5577"/>
      <c r="E232" s="5577"/>
      <c r="F232" s="5577"/>
      <c r="G232" s="5577"/>
      <c r="H232" s="5577"/>
      <c r="I232" s="5577"/>
      <c r="J232" s="5577"/>
      <c r="K232" s="5577"/>
      <c r="L232" s="5577"/>
      <c r="M232" s="5577"/>
      <c r="N232" s="6246"/>
      <c r="O232" s="6250"/>
      <c r="P232" s="6251"/>
      <c r="Q232" s="6251"/>
      <c r="R232" s="6251"/>
      <c r="S232" s="6251"/>
      <c r="T232" s="6251"/>
      <c r="U232" s="6251"/>
      <c r="V232" s="6251"/>
      <c r="W232" s="6251"/>
      <c r="X232" s="6251"/>
      <c r="Y232" s="6253"/>
      <c r="Z232" s="5577"/>
      <c r="AA232" s="5577"/>
      <c r="AB232" s="5577"/>
      <c r="AC232" s="5577"/>
      <c r="AD232" s="5577"/>
      <c r="AE232" s="5577"/>
      <c r="AF232" s="5577"/>
      <c r="AG232" s="6246"/>
      <c r="AH232" s="6250"/>
      <c r="AI232" s="6251"/>
      <c r="AJ232" s="6251"/>
      <c r="AK232" s="6251"/>
      <c r="AL232" s="6251"/>
      <c r="AM232" s="6251"/>
      <c r="AN232" s="6251"/>
      <c r="AO232" s="6251"/>
      <c r="AP232" s="3350"/>
      <c r="BG232" s="3742"/>
      <c r="BH232" s="3169"/>
      <c r="BI232" s="3169"/>
      <c r="BJ232" s="3169"/>
      <c r="BK232" s="3169"/>
      <c r="BL232" s="3169"/>
      <c r="BM232" s="3169"/>
      <c r="BN232" s="3169"/>
      <c r="BO232" s="3169"/>
      <c r="BP232" s="3169"/>
    </row>
    <row r="233" spans="1:69" ht="13.5" customHeight="1">
      <c r="A233" s="3350"/>
      <c r="B233" s="3922" t="s">
        <v>159</v>
      </c>
      <c r="C233" s="6186"/>
      <c r="D233" s="6187"/>
      <c r="E233" s="6187"/>
      <c r="F233" s="6187"/>
      <c r="G233" s="6187"/>
      <c r="H233" s="6187"/>
      <c r="I233" s="6187"/>
      <c r="J233" s="6187"/>
      <c r="K233" s="6187"/>
      <c r="L233" s="6187"/>
      <c r="M233" s="6187"/>
      <c r="N233" s="6254"/>
      <c r="O233" s="6255"/>
      <c r="P233" s="6256"/>
      <c r="Q233" s="6256"/>
      <c r="R233" s="6256"/>
      <c r="S233" s="6256"/>
      <c r="T233" s="6256"/>
      <c r="U233" s="6256"/>
      <c r="V233" s="6256"/>
      <c r="W233" s="6256"/>
      <c r="X233" s="6257"/>
      <c r="Y233" s="6258"/>
      <c r="Z233" s="6259"/>
      <c r="AA233" s="6259"/>
      <c r="AB233" s="6259"/>
      <c r="AC233" s="6259"/>
      <c r="AD233" s="6259"/>
      <c r="AE233" s="6259"/>
      <c r="AF233" s="6259"/>
      <c r="AG233" s="6259"/>
      <c r="AH233" s="6259"/>
      <c r="AI233" s="6259"/>
      <c r="AJ233" s="6259"/>
      <c r="AK233" s="6259"/>
      <c r="AL233" s="6259"/>
      <c r="AM233" s="6259"/>
      <c r="AN233" s="6259"/>
      <c r="AO233" s="6255"/>
      <c r="AP233" s="3350"/>
      <c r="BG233" s="3742"/>
      <c r="BH233" s="3169"/>
      <c r="BI233" s="3169"/>
      <c r="BJ233" s="3169"/>
      <c r="BK233" s="3169"/>
      <c r="BL233" s="3169"/>
      <c r="BM233" s="3169"/>
      <c r="BN233" s="3169"/>
      <c r="BO233" s="3169"/>
      <c r="BP233" s="3169"/>
    </row>
    <row r="234" spans="1:69" ht="13.5" customHeight="1">
      <c r="A234" s="3350"/>
      <c r="B234" s="3922" t="s">
        <v>327</v>
      </c>
      <c r="C234" s="6186"/>
      <c r="D234" s="6187"/>
      <c r="E234" s="6187"/>
      <c r="F234" s="6187"/>
      <c r="G234" s="6187"/>
      <c r="H234" s="6187"/>
      <c r="I234" s="6187"/>
      <c r="J234" s="6187"/>
      <c r="K234" s="6187"/>
      <c r="L234" s="6187"/>
      <c r="M234" s="6187"/>
      <c r="N234" s="6254"/>
      <c r="O234" s="6255"/>
      <c r="P234" s="6256"/>
      <c r="Q234" s="6256"/>
      <c r="R234" s="6256"/>
      <c r="S234" s="6256"/>
      <c r="T234" s="6256"/>
      <c r="U234" s="6256"/>
      <c r="V234" s="6256"/>
      <c r="W234" s="6256"/>
      <c r="X234" s="6257"/>
      <c r="Y234" s="6258"/>
      <c r="Z234" s="6259"/>
      <c r="AA234" s="6259"/>
      <c r="AB234" s="6259"/>
      <c r="AC234" s="6259"/>
      <c r="AD234" s="6259"/>
      <c r="AE234" s="6259"/>
      <c r="AF234" s="6259"/>
      <c r="AG234" s="6259"/>
      <c r="AH234" s="6259"/>
      <c r="AI234" s="6259"/>
      <c r="AJ234" s="6259"/>
      <c r="AK234" s="6259"/>
      <c r="AL234" s="6259"/>
      <c r="AM234" s="6259"/>
      <c r="AN234" s="6259"/>
      <c r="AO234" s="6255"/>
      <c r="AP234" s="3350"/>
      <c r="BG234" s="3742"/>
      <c r="BH234" s="3169"/>
      <c r="BI234" s="3169"/>
      <c r="BJ234" s="3169"/>
      <c r="BK234" s="3169"/>
      <c r="BL234" s="3169"/>
      <c r="BM234" s="3169"/>
      <c r="BN234" s="3169"/>
      <c r="BO234" s="3169"/>
      <c r="BP234" s="3169"/>
    </row>
    <row r="235" spans="1:69" ht="13.5" customHeight="1">
      <c r="A235" s="3350"/>
      <c r="B235" s="6183" t="s">
        <v>3160</v>
      </c>
      <c r="C235" s="6183"/>
      <c r="D235" s="3269" t="s">
        <v>3150</v>
      </c>
      <c r="E235" s="1443"/>
      <c r="F235" s="1497"/>
      <c r="G235" s="3751"/>
      <c r="H235" s="3751"/>
      <c r="I235" s="3751"/>
      <c r="J235" s="3751"/>
      <c r="K235" s="3751"/>
      <c r="L235" s="3751"/>
      <c r="M235" s="3751"/>
      <c r="N235" s="1498"/>
      <c r="O235" s="6237">
        <f>ROUND(SUM(O233:O234),0)</f>
        <v>0</v>
      </c>
      <c r="P235" s="6238"/>
      <c r="Q235" s="6238"/>
      <c r="R235" s="6238"/>
      <c r="S235" s="6238"/>
      <c r="T235" s="6238"/>
      <c r="U235" s="6238"/>
      <c r="V235" s="6238"/>
      <c r="W235" s="6238"/>
      <c r="X235" s="6239"/>
      <c r="Y235" s="3923"/>
      <c r="Z235" s="3751"/>
      <c r="AA235" s="3751"/>
      <c r="AB235" s="3751"/>
      <c r="AC235" s="3751"/>
      <c r="AD235" s="3751"/>
      <c r="AE235" s="3751"/>
      <c r="AF235" s="3751"/>
      <c r="AG235" s="1498"/>
      <c r="AH235" s="6205">
        <f>ROUND(SUM(AH233:AH234),0)</f>
        <v>0</v>
      </c>
      <c r="AI235" s="6206"/>
      <c r="AJ235" s="6206"/>
      <c r="AK235" s="6206"/>
      <c r="AL235" s="6206"/>
      <c r="AM235" s="6206"/>
      <c r="AN235" s="6206"/>
      <c r="AO235" s="6206"/>
      <c r="AP235" s="3350"/>
      <c r="BG235" s="3742"/>
      <c r="BH235" s="3169"/>
      <c r="BI235" s="3169"/>
      <c r="BJ235" s="3169"/>
      <c r="BK235" s="3169"/>
      <c r="BL235" s="3169"/>
      <c r="BM235" s="3169"/>
      <c r="BN235" s="3169"/>
      <c r="BO235" s="3169"/>
      <c r="BP235" s="3169"/>
    </row>
    <row r="236" spans="1:69" ht="13.5" customHeight="1">
      <c r="A236" s="3350"/>
      <c r="B236" s="6240" t="s">
        <v>54</v>
      </c>
      <c r="C236" s="6240"/>
      <c r="D236" s="3269" t="s">
        <v>3150</v>
      </c>
      <c r="E236" s="1443"/>
      <c r="F236" s="6205">
        <f>ROUND(SUM(C233:C234),0)</f>
        <v>0</v>
      </c>
      <c r="G236" s="6241"/>
      <c r="H236" s="6241"/>
      <c r="I236" s="6241"/>
      <c r="J236" s="6241"/>
      <c r="K236" s="6241"/>
      <c r="L236" s="6241"/>
      <c r="M236" s="6241"/>
      <c r="N236" s="6242"/>
      <c r="O236" s="3924"/>
      <c r="P236" s="3732"/>
      <c r="Q236" s="3732"/>
      <c r="R236" s="3732"/>
      <c r="S236" s="3732"/>
      <c r="T236" s="3732"/>
      <c r="U236" s="3732"/>
      <c r="V236" s="3732"/>
      <c r="W236" s="3732"/>
      <c r="X236" s="3925"/>
      <c r="Y236" s="6205">
        <f>ROUND(SUM(Y233:Y234),0)</f>
        <v>0</v>
      </c>
      <c r="Z236" s="6241"/>
      <c r="AA236" s="6241"/>
      <c r="AB236" s="6241"/>
      <c r="AC236" s="6241"/>
      <c r="AD236" s="6241"/>
      <c r="AE236" s="6241"/>
      <c r="AF236" s="6241"/>
      <c r="AG236" s="6242"/>
      <c r="AH236" s="1497"/>
      <c r="AI236" s="3751"/>
      <c r="AJ236" s="3751"/>
      <c r="AK236" s="3751"/>
      <c r="AL236" s="3751"/>
      <c r="AM236" s="3751"/>
      <c r="AN236" s="3751"/>
      <c r="AO236" s="3751"/>
      <c r="AP236" s="3350"/>
      <c r="BG236" s="3742"/>
      <c r="BH236" s="3169"/>
      <c r="BI236" s="3169"/>
      <c r="BJ236" s="3169"/>
      <c r="BK236" s="3169"/>
      <c r="BL236" s="3169"/>
      <c r="BM236" s="3169"/>
      <c r="BN236" s="3169"/>
      <c r="BO236" s="3169"/>
      <c r="BP236" s="3169"/>
    </row>
    <row r="237" spans="1:69" ht="13.5" customHeight="1">
      <c r="A237" s="3350"/>
      <c r="B237" s="6178">
        <v>35</v>
      </c>
      <c r="C237" s="6178"/>
      <c r="D237" s="3269" t="s">
        <v>3161</v>
      </c>
      <c r="E237" s="1443"/>
      <c r="F237" s="1443"/>
      <c r="G237" s="1443"/>
      <c r="H237" s="1443"/>
      <c r="I237" s="1443"/>
      <c r="J237" s="1443"/>
      <c r="K237" s="1443"/>
      <c r="L237" s="1443"/>
      <c r="M237" s="1443"/>
      <c r="N237" s="1443"/>
      <c r="O237" s="1443"/>
      <c r="P237" s="1443"/>
      <c r="Q237" s="1443"/>
      <c r="R237" s="1443"/>
      <c r="S237" s="1443"/>
      <c r="T237" s="1443"/>
      <c r="U237" s="1443"/>
      <c r="V237" s="1443"/>
      <c r="W237" s="1443"/>
      <c r="X237" s="1443"/>
      <c r="Y237" s="1443"/>
      <c r="Z237" s="1443"/>
      <c r="AA237" s="1443"/>
      <c r="AB237" s="1443"/>
      <c r="AC237" s="1443"/>
      <c r="AD237" s="1443"/>
      <c r="AE237" s="1443"/>
      <c r="AF237" s="1443"/>
      <c r="AG237" s="4497" t="s">
        <v>763</v>
      </c>
      <c r="AH237" s="6184">
        <v>35</v>
      </c>
      <c r="AI237" s="6209"/>
      <c r="AJ237" s="6210">
        <f>SUM(O235,AH235)</f>
        <v>0</v>
      </c>
      <c r="AK237" s="6211"/>
      <c r="AL237" s="6211"/>
      <c r="AM237" s="6211"/>
      <c r="AN237" s="6211"/>
      <c r="AO237" s="6211"/>
      <c r="AP237" s="3350"/>
      <c r="BG237" s="3742"/>
      <c r="BH237" s="3169"/>
      <c r="BI237" s="3169"/>
      <c r="BJ237" s="3169"/>
      <c r="BK237" s="3169"/>
      <c r="BL237" s="3169"/>
      <c r="BM237" s="3169"/>
      <c r="BN237" s="3169"/>
      <c r="BO237" s="3169"/>
      <c r="BP237" s="3169"/>
    </row>
    <row r="238" spans="1:69" ht="13.5" customHeight="1">
      <c r="A238" s="3350"/>
      <c r="B238" s="6178">
        <v>36</v>
      </c>
      <c r="C238" s="6178"/>
      <c r="D238" s="3269" t="s">
        <v>3162</v>
      </c>
      <c r="E238" s="1443"/>
      <c r="F238" s="1443"/>
      <c r="G238" s="1443"/>
      <c r="H238" s="1443"/>
      <c r="I238" s="1443"/>
      <c r="J238" s="1443"/>
      <c r="K238" s="1443"/>
      <c r="L238" s="1443"/>
      <c r="M238" s="1443"/>
      <c r="N238" s="1443"/>
      <c r="O238" s="1443"/>
      <c r="P238" s="1443"/>
      <c r="Q238" s="1443"/>
      <c r="R238" s="1443"/>
      <c r="S238" s="1443"/>
      <c r="T238" s="1443"/>
      <c r="U238" s="1443"/>
      <c r="V238" s="1443"/>
      <c r="W238" s="1443"/>
      <c r="X238" s="1443"/>
      <c r="Y238" s="1443"/>
      <c r="Z238" s="1443"/>
      <c r="AA238" s="1443"/>
      <c r="AB238" s="1443"/>
      <c r="AC238" s="1443"/>
      <c r="AD238" s="1443"/>
      <c r="AE238" s="1443"/>
      <c r="AF238" s="1443"/>
      <c r="AG238" s="4497" t="s">
        <v>763</v>
      </c>
      <c r="AH238" s="6184">
        <v>36</v>
      </c>
      <c r="AI238" s="6209"/>
      <c r="AJ238" s="3936" t="s">
        <v>1147</v>
      </c>
      <c r="AK238" s="6189">
        <f>SUM(F236,Y236)</f>
        <v>0</v>
      </c>
      <c r="AL238" s="5456"/>
      <c r="AM238" s="5456"/>
      <c r="AN238" s="5456"/>
      <c r="AO238" s="3949" t="s">
        <v>1148</v>
      </c>
      <c r="AP238" s="3350"/>
      <c r="BG238" s="3742"/>
      <c r="BH238" s="3169"/>
      <c r="BI238" s="3169"/>
      <c r="BJ238" s="3169"/>
      <c r="BK238" s="3169"/>
      <c r="BL238" s="3169"/>
      <c r="BM238" s="3169"/>
      <c r="BN238" s="3169"/>
      <c r="BO238" s="3169"/>
      <c r="BP238" s="3169"/>
    </row>
    <row r="239" spans="1:69" ht="13.5" customHeight="1">
      <c r="A239" s="3350"/>
      <c r="B239" s="6204">
        <v>37</v>
      </c>
      <c r="C239" s="6204"/>
      <c r="D239" s="3388" t="s">
        <v>3163</v>
      </c>
      <c r="E239" s="1936"/>
      <c r="F239" s="1936"/>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4500" t="s">
        <v>680</v>
      </c>
      <c r="AH239" s="6184">
        <v>37</v>
      </c>
      <c r="AI239" s="6209"/>
      <c r="AJ239" s="6210">
        <f>SUM(AJ237,-AK238)</f>
        <v>0</v>
      </c>
      <c r="AK239" s="6211"/>
      <c r="AL239" s="6211"/>
      <c r="AM239" s="6211"/>
      <c r="AN239" s="6211"/>
      <c r="AO239" s="6211"/>
      <c r="AP239" s="3350"/>
      <c r="BG239" s="3742"/>
      <c r="BH239" s="3169"/>
      <c r="BI239" s="3169"/>
      <c r="BJ239" s="3169"/>
      <c r="BK239" s="3169"/>
      <c r="BL239" s="3169"/>
      <c r="BM239" s="3169"/>
      <c r="BN239" s="3169"/>
      <c r="BO239" s="3169"/>
      <c r="BP239" s="3169"/>
    </row>
    <row r="240" spans="1:69" s="3272" customFormat="1" ht="17.25" customHeight="1">
      <c r="A240" s="3351"/>
      <c r="B240" s="6207" t="s">
        <v>546</v>
      </c>
      <c r="C240" s="6207"/>
      <c r="D240" s="6208"/>
      <c r="E240" s="3273"/>
      <c r="F240" s="3372" t="s">
        <v>3164</v>
      </c>
      <c r="G240" s="3273"/>
      <c r="H240" s="3273"/>
      <c r="I240" s="3273"/>
      <c r="J240" s="3273"/>
      <c r="K240" s="3273"/>
      <c r="L240" s="3273"/>
      <c r="M240" s="3273"/>
      <c r="N240" s="3273"/>
      <c r="O240" s="3273"/>
      <c r="P240" s="3273"/>
      <c r="Q240" s="3273"/>
      <c r="R240" s="3273"/>
      <c r="S240" s="3273"/>
      <c r="T240" s="3273"/>
      <c r="U240" s="3273"/>
      <c r="V240" s="3273"/>
      <c r="W240" s="3273"/>
      <c r="X240" s="3271"/>
      <c r="Y240" s="3273"/>
      <c r="Z240" s="3273"/>
      <c r="AA240" s="3273"/>
      <c r="AB240" s="3273"/>
      <c r="AC240" s="3273"/>
      <c r="AD240" s="3273"/>
      <c r="AE240" s="3273"/>
      <c r="AF240" s="3273"/>
      <c r="AG240" s="1751"/>
      <c r="AH240" s="3273"/>
      <c r="AI240" s="3273"/>
      <c r="AJ240" s="3273"/>
      <c r="AK240" s="3273"/>
      <c r="AL240" s="3273"/>
      <c r="AM240" s="3273"/>
      <c r="AN240" s="3273"/>
      <c r="AO240" s="3273"/>
      <c r="AP240" s="3350"/>
      <c r="AX240" s="46"/>
      <c r="AY240" s="46"/>
      <c r="AZ240" s="46"/>
      <c r="BA240" s="46"/>
      <c r="BB240" s="46"/>
      <c r="BC240" s="46"/>
      <c r="BD240" s="46"/>
      <c r="BG240" s="3742"/>
      <c r="BH240" s="3169"/>
      <c r="BI240" s="3169"/>
      <c r="BJ240" s="3169"/>
      <c r="BK240" s="3169"/>
      <c r="BL240" s="3169"/>
      <c r="BM240" s="3169"/>
      <c r="BN240" s="3169"/>
      <c r="BO240" s="3169"/>
      <c r="BP240" s="3169"/>
      <c r="BQ240" s="4351"/>
    </row>
    <row r="241" spans="1:69" ht="12.75" customHeight="1">
      <c r="A241" s="3350"/>
      <c r="B241" s="1957"/>
      <c r="C241" s="3855"/>
      <c r="D241" s="6212" t="s">
        <v>3166</v>
      </c>
      <c r="E241" s="6213"/>
      <c r="F241" s="6213"/>
      <c r="G241" s="6213"/>
      <c r="H241" s="6213"/>
      <c r="I241" s="6213"/>
      <c r="J241" s="6214"/>
      <c r="K241" s="6219" t="s">
        <v>3165</v>
      </c>
      <c r="L241" s="6220"/>
      <c r="M241" s="6220"/>
      <c r="N241" s="6220"/>
      <c r="O241" s="6220"/>
      <c r="P241" s="6220"/>
      <c r="Q241" s="6220"/>
      <c r="R241" s="6220"/>
      <c r="S241" s="6223" t="s">
        <v>3167</v>
      </c>
      <c r="T241" s="6224"/>
      <c r="U241" s="6224"/>
      <c r="V241" s="6224"/>
      <c r="W241" s="6224"/>
      <c r="X241" s="6224"/>
      <c r="Y241" s="6224"/>
      <c r="Z241" s="6227" t="s">
        <v>3168</v>
      </c>
      <c r="AA241" s="6228"/>
      <c r="AB241" s="6228"/>
      <c r="AC241" s="6228"/>
      <c r="AD241" s="6228"/>
      <c r="AE241" s="6228"/>
      <c r="AF241" s="6228"/>
      <c r="AG241" s="6229"/>
      <c r="AH241" s="6227" t="s">
        <v>3169</v>
      </c>
      <c r="AI241" s="6228"/>
      <c r="AJ241" s="6228"/>
      <c r="AK241" s="6228"/>
      <c r="AL241" s="6228"/>
      <c r="AM241" s="6228"/>
      <c r="AN241" s="6228"/>
      <c r="AO241" s="6228"/>
      <c r="AP241" s="3350"/>
      <c r="BG241" s="3742"/>
      <c r="BH241" s="3169"/>
      <c r="BI241" s="3169"/>
      <c r="BJ241" s="3169"/>
      <c r="BK241" s="3169"/>
      <c r="BL241" s="3169"/>
      <c r="BM241" s="3169"/>
      <c r="BN241" s="3169"/>
      <c r="BO241" s="3169"/>
      <c r="BP241" s="3169"/>
    </row>
    <row r="242" spans="1:69" ht="12.75" customHeight="1">
      <c r="A242" s="3350"/>
      <c r="B242" s="6236">
        <v>38</v>
      </c>
      <c r="C242" s="5527"/>
      <c r="D242" s="6215"/>
      <c r="E242" s="6215"/>
      <c r="F242" s="6215"/>
      <c r="G242" s="6215"/>
      <c r="H242" s="6215"/>
      <c r="I242" s="6215"/>
      <c r="J242" s="6216"/>
      <c r="K242" s="6221"/>
      <c r="L242" s="6221"/>
      <c r="M242" s="6221"/>
      <c r="N242" s="6221"/>
      <c r="O242" s="6221"/>
      <c r="P242" s="6221"/>
      <c r="Q242" s="6221"/>
      <c r="R242" s="6221"/>
      <c r="S242" s="6225"/>
      <c r="T242" s="6225"/>
      <c r="U242" s="6225"/>
      <c r="V242" s="6225"/>
      <c r="W242" s="6225"/>
      <c r="X242" s="6225"/>
      <c r="Y242" s="6225"/>
      <c r="Z242" s="6230"/>
      <c r="AA242" s="6231"/>
      <c r="AB242" s="6231"/>
      <c r="AC242" s="6231"/>
      <c r="AD242" s="6231"/>
      <c r="AE242" s="6231"/>
      <c r="AF242" s="6231"/>
      <c r="AG242" s="6232"/>
      <c r="AH242" s="6230"/>
      <c r="AI242" s="6231"/>
      <c r="AJ242" s="6231"/>
      <c r="AK242" s="6231"/>
      <c r="AL242" s="6231"/>
      <c r="AM242" s="6231"/>
      <c r="AN242" s="6231"/>
      <c r="AO242" s="6231"/>
      <c r="AP242" s="3350"/>
      <c r="AX242" s="3272"/>
      <c r="AY242" s="3272"/>
      <c r="AZ242" s="3272"/>
      <c r="BA242" s="3272"/>
      <c r="BB242" s="3272"/>
      <c r="BC242" s="3272"/>
      <c r="BD242" s="3272"/>
      <c r="BG242" s="3742"/>
      <c r="BH242" s="3169"/>
      <c r="BI242" s="3169"/>
      <c r="BJ242" s="3169"/>
      <c r="BK242" s="3169"/>
      <c r="BL242" s="3169"/>
      <c r="BM242" s="3169"/>
      <c r="BN242" s="3169"/>
      <c r="BO242" s="3169"/>
      <c r="BP242" s="3169"/>
    </row>
    <row r="243" spans="1:69" ht="12.75" customHeight="1">
      <c r="A243" s="3350"/>
      <c r="B243" s="1936"/>
      <c r="C243" s="3854"/>
      <c r="D243" s="6217"/>
      <c r="E243" s="6217"/>
      <c r="F243" s="6217"/>
      <c r="G243" s="6217"/>
      <c r="H243" s="6217"/>
      <c r="I243" s="6217"/>
      <c r="J243" s="6218"/>
      <c r="K243" s="6222"/>
      <c r="L243" s="6222"/>
      <c r="M243" s="6222"/>
      <c r="N243" s="6222"/>
      <c r="O243" s="6222"/>
      <c r="P243" s="6222"/>
      <c r="Q243" s="6222"/>
      <c r="R243" s="6222"/>
      <c r="S243" s="6226"/>
      <c r="T243" s="6226"/>
      <c r="U243" s="6226"/>
      <c r="V243" s="6226"/>
      <c r="W243" s="6226"/>
      <c r="X243" s="6226"/>
      <c r="Y243" s="6226"/>
      <c r="Z243" s="6233"/>
      <c r="AA243" s="6234"/>
      <c r="AB243" s="6234"/>
      <c r="AC243" s="6234"/>
      <c r="AD243" s="6234"/>
      <c r="AE243" s="6234"/>
      <c r="AF243" s="6234"/>
      <c r="AG243" s="6235"/>
      <c r="AH243" s="6233"/>
      <c r="AI243" s="6234"/>
      <c r="AJ243" s="6234"/>
      <c r="AK243" s="6234"/>
      <c r="AL243" s="6234"/>
      <c r="AM243" s="6234"/>
      <c r="AN243" s="6234"/>
      <c r="AO243" s="6234"/>
      <c r="AP243" s="3350"/>
      <c r="AQ243" s="396"/>
      <c r="AR243" s="396"/>
      <c r="AS243" s="396"/>
      <c r="BG243" s="3742"/>
      <c r="BH243" s="3169"/>
      <c r="BI243" s="3169"/>
      <c r="BJ243" s="3169"/>
      <c r="BK243" s="3169"/>
      <c r="BL243" s="3169"/>
      <c r="BM243" s="3169"/>
      <c r="BN243" s="3169"/>
      <c r="BO243" s="3169"/>
      <c r="BP243" s="3169"/>
    </row>
    <row r="244" spans="1:69" ht="12.75" customHeight="1">
      <c r="A244" s="3350"/>
      <c r="B244" s="6194"/>
      <c r="C244" s="6195"/>
      <c r="D244" s="6195"/>
      <c r="E244" s="6195"/>
      <c r="F244" s="6195"/>
      <c r="G244" s="6195"/>
      <c r="H244" s="6195"/>
      <c r="I244" s="6195"/>
      <c r="J244" s="6196"/>
      <c r="K244" s="6197"/>
      <c r="L244" s="6198"/>
      <c r="M244" s="6198"/>
      <c r="N244" s="6198"/>
      <c r="O244" s="6198"/>
      <c r="P244" s="6198"/>
      <c r="Q244" s="6198"/>
      <c r="R244" s="6199"/>
      <c r="S244" s="6200"/>
      <c r="T244" s="6200"/>
      <c r="U244" s="6200"/>
      <c r="V244" s="6200"/>
      <c r="W244" s="6200"/>
      <c r="X244" s="6200"/>
      <c r="Y244" s="6200"/>
      <c r="Z244" s="6201"/>
      <c r="AA244" s="6202"/>
      <c r="AB244" s="6202"/>
      <c r="AC244" s="6202"/>
      <c r="AD244" s="6202"/>
      <c r="AE244" s="6202"/>
      <c r="AF244" s="6202"/>
      <c r="AG244" s="6203"/>
      <c r="AH244" s="6201"/>
      <c r="AI244" s="6202"/>
      <c r="AJ244" s="6202"/>
      <c r="AK244" s="6202"/>
      <c r="AL244" s="6202"/>
      <c r="AM244" s="6202"/>
      <c r="AN244" s="6202"/>
      <c r="AO244" s="6202"/>
      <c r="AP244" s="3350"/>
      <c r="AQ244" s="396"/>
      <c r="AR244" s="2940" t="s">
        <v>101</v>
      </c>
      <c r="AS244" s="396"/>
      <c r="BG244" s="3742"/>
      <c r="BH244" s="3169"/>
      <c r="BI244" s="3169"/>
      <c r="BJ244" s="3169"/>
      <c r="BK244" s="3169"/>
      <c r="BL244" s="3169"/>
      <c r="BM244" s="3169"/>
      <c r="BN244" s="3169"/>
      <c r="BO244" s="3169"/>
      <c r="BP244" s="3169"/>
    </row>
    <row r="245" spans="1:69" ht="13.5" customHeight="1">
      <c r="A245" s="3350"/>
      <c r="B245" s="6204">
        <v>39</v>
      </c>
      <c r="C245" s="6204"/>
      <c r="D245" s="3388" t="s">
        <v>3170</v>
      </c>
      <c r="E245" s="1936"/>
      <c r="F245" s="1936"/>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3737"/>
      <c r="AH245" s="6184">
        <v>39</v>
      </c>
      <c r="AI245" s="6185"/>
      <c r="AJ245" s="6205">
        <f>IF(AR245&lt;&gt;"",ROUND(AR245,0),ROUND(SUM(Z244,AH244),0))</f>
        <v>0</v>
      </c>
      <c r="AK245" s="6206"/>
      <c r="AL245" s="6206"/>
      <c r="AM245" s="6206"/>
      <c r="AN245" s="6206"/>
      <c r="AO245" s="6206"/>
      <c r="AP245" s="3350"/>
      <c r="AQ245" s="396"/>
      <c r="AR245" s="3941"/>
      <c r="AS245" s="396"/>
      <c r="BG245" s="3742"/>
      <c r="BH245" s="3169"/>
      <c r="BI245" s="3169"/>
      <c r="BJ245" s="3169"/>
      <c r="BK245" s="3169"/>
      <c r="BL245" s="3169"/>
      <c r="BM245" s="3169"/>
      <c r="BN245" s="3169"/>
      <c r="BO245" s="3169"/>
      <c r="BP245" s="3169"/>
    </row>
    <row r="246" spans="1:69" s="3272" customFormat="1" ht="17.25" customHeight="1">
      <c r="A246" s="3351"/>
      <c r="B246" s="6207" t="s">
        <v>135</v>
      </c>
      <c r="C246" s="6207"/>
      <c r="D246" s="6208"/>
      <c r="E246" s="3273"/>
      <c r="F246" s="3372" t="s">
        <v>3171</v>
      </c>
      <c r="G246" s="3273"/>
      <c r="H246" s="3273"/>
      <c r="I246" s="3273"/>
      <c r="J246" s="3273"/>
      <c r="K246" s="3273"/>
      <c r="L246" s="3273"/>
      <c r="M246" s="3273"/>
      <c r="N246" s="3273"/>
      <c r="O246" s="3273"/>
      <c r="P246" s="3273"/>
      <c r="Q246" s="3273"/>
      <c r="R246" s="3273"/>
      <c r="S246" s="3273"/>
      <c r="T246" s="3273"/>
      <c r="U246" s="3273"/>
      <c r="V246" s="3273"/>
      <c r="W246" s="3273"/>
      <c r="X246" s="3271"/>
      <c r="Y246" s="3273"/>
      <c r="Z246" s="3273"/>
      <c r="AA246" s="3273"/>
      <c r="AB246" s="3273"/>
      <c r="AC246" s="3273"/>
      <c r="AD246" s="3273"/>
      <c r="AE246" s="3273"/>
      <c r="AF246" s="3273"/>
      <c r="AG246" s="3273"/>
      <c r="AH246" s="3273"/>
      <c r="AI246" s="3273"/>
      <c r="AJ246" s="3273"/>
      <c r="AK246" s="3273"/>
      <c r="AL246" s="3273"/>
      <c r="AM246" s="3273"/>
      <c r="AN246" s="3273"/>
      <c r="AO246" s="3273"/>
      <c r="AP246" s="3350"/>
      <c r="AQ246" s="396"/>
      <c r="AR246" s="396"/>
      <c r="AS246" s="396"/>
      <c r="AX246" s="46"/>
      <c r="AY246" s="46"/>
      <c r="AZ246" s="46"/>
      <c r="BA246" s="46"/>
      <c r="BB246" s="46"/>
      <c r="BC246" s="46"/>
      <c r="BD246" s="46"/>
      <c r="BG246" s="3742"/>
      <c r="BH246" s="3169"/>
      <c r="BI246" s="3169"/>
      <c r="BJ246" s="3169"/>
      <c r="BK246" s="3169"/>
      <c r="BL246" s="3169"/>
      <c r="BM246" s="3169"/>
      <c r="BN246" s="3169"/>
      <c r="BO246" s="3169"/>
      <c r="BP246" s="3169"/>
      <c r="BQ246" s="4351"/>
    </row>
    <row r="247" spans="1:69" ht="13.5" customHeight="1">
      <c r="A247" s="3350"/>
      <c r="B247" s="6183">
        <v>40</v>
      </c>
      <c r="C247" s="6183"/>
      <c r="D247" s="3869" t="s">
        <v>3172</v>
      </c>
      <c r="E247" s="1957"/>
      <c r="F247" s="1957"/>
      <c r="G247" s="1957"/>
      <c r="H247" s="1957"/>
      <c r="I247" s="1957"/>
      <c r="J247" s="1957"/>
      <c r="K247" s="1957"/>
      <c r="L247" s="1957"/>
      <c r="M247" s="1957"/>
      <c r="N247" s="1957"/>
      <c r="O247" s="1957"/>
      <c r="P247" s="1957"/>
      <c r="Q247" s="1957"/>
      <c r="R247" s="1957"/>
      <c r="S247" s="1957"/>
      <c r="T247" s="1957"/>
      <c r="U247" s="1957"/>
      <c r="V247" s="1957"/>
      <c r="W247" s="1957"/>
      <c r="X247" s="1957"/>
      <c r="Y247" s="1957"/>
      <c r="Z247" s="1957"/>
      <c r="AA247" s="1957"/>
      <c r="AB247" s="1957"/>
      <c r="AC247" s="1957"/>
      <c r="AD247" s="1957"/>
      <c r="AE247" s="1957"/>
      <c r="AF247" s="1957"/>
      <c r="AG247" s="1958"/>
      <c r="AH247" s="6184">
        <v>40</v>
      </c>
      <c r="AI247" s="6185"/>
      <c r="AJ247" s="6186"/>
      <c r="AK247" s="6187"/>
      <c r="AL247" s="6187"/>
      <c r="AM247" s="6187"/>
      <c r="AN247" s="6187"/>
      <c r="AO247" s="6187"/>
      <c r="AP247" s="3350"/>
      <c r="AQ247" s="396"/>
      <c r="AR247" s="396"/>
      <c r="AS247" s="396"/>
      <c r="BG247" s="3742"/>
      <c r="BH247" s="3169"/>
      <c r="BI247" s="3169"/>
      <c r="BJ247" s="3169"/>
      <c r="BK247" s="3169"/>
      <c r="BL247" s="3169"/>
      <c r="BM247" s="3169"/>
      <c r="BN247" s="3169"/>
      <c r="BO247" s="3169"/>
      <c r="BP247" s="3169"/>
    </row>
    <row r="248" spans="1:69" ht="13.5" customHeight="1">
      <c r="A248" s="3350"/>
      <c r="B248" s="6178">
        <v>41</v>
      </c>
      <c r="C248" s="6178"/>
      <c r="D248" s="3926" t="s">
        <v>3173</v>
      </c>
      <c r="E248" s="1443"/>
      <c r="F248" s="1443"/>
      <c r="G248" s="1443"/>
      <c r="H248" s="1443"/>
      <c r="I248" s="1443"/>
      <c r="J248" s="1443"/>
      <c r="K248" s="1443"/>
      <c r="L248" s="1443"/>
      <c r="M248" s="1443"/>
      <c r="N248" s="1443"/>
      <c r="O248" s="1443"/>
      <c r="P248" s="1443"/>
      <c r="Q248" s="1443"/>
      <c r="R248" s="1443"/>
      <c r="S248" s="1443"/>
      <c r="T248" s="1443"/>
      <c r="U248" s="1443"/>
      <c r="V248" s="1443"/>
      <c r="W248" s="1443"/>
      <c r="X248" s="1443"/>
      <c r="Y248" s="1443"/>
      <c r="Z248" s="1443"/>
      <c r="AA248" s="1443"/>
      <c r="AB248" s="1443"/>
      <c r="AC248" s="1443"/>
      <c r="AD248" s="1443"/>
      <c r="AE248" s="1443"/>
      <c r="AF248" s="1443"/>
      <c r="AG248" s="1966"/>
      <c r="AH248" s="6184">
        <v>41</v>
      </c>
      <c r="AI248" s="6185"/>
      <c r="AJ248" s="6188">
        <f>IF(AR248&lt;&gt;"",ROUND(AR248,0),ROUND(SUM(AJ189,AH222,AJ239,AJ245,AJ247),0))</f>
        <v>0</v>
      </c>
      <c r="AK248" s="6189"/>
      <c r="AL248" s="6189"/>
      <c r="AM248" s="6189"/>
      <c r="AN248" s="6189"/>
      <c r="AO248" s="6189"/>
      <c r="AP248" s="3350"/>
      <c r="AQ248" s="396"/>
      <c r="AR248" s="3941"/>
      <c r="AS248" s="396"/>
      <c r="AV248" s="46" t="b">
        <f>OR(AH222&lt;&gt;0,AJ239&lt;&gt;0,AJ245&lt;&gt;0,AJ248&lt;&gt;0)</f>
        <v>0</v>
      </c>
      <c r="AX248" s="3272"/>
      <c r="AY248" s="3272"/>
      <c r="AZ248" s="3272"/>
      <c r="BA248" s="3272"/>
      <c r="BB248" s="3272"/>
      <c r="BC248" s="3272"/>
      <c r="BD248" s="3272"/>
      <c r="BG248" s="3742"/>
      <c r="BH248" s="3169"/>
      <c r="BI248" s="3169"/>
      <c r="BJ248" s="3169"/>
      <c r="BK248" s="3169"/>
      <c r="BL248" s="3169"/>
      <c r="BM248" s="3169"/>
      <c r="BN248" s="3169"/>
      <c r="BO248" s="3169"/>
      <c r="BP248" s="3169"/>
    </row>
    <row r="249" spans="1:69" ht="12.75" customHeight="1">
      <c r="A249" s="3350"/>
      <c r="B249" s="6178">
        <v>42</v>
      </c>
      <c r="C249" s="6178"/>
      <c r="D249" s="3269" t="s">
        <v>4088</v>
      </c>
      <c r="E249" s="1443"/>
      <c r="F249" s="1443"/>
      <c r="G249" s="1443"/>
      <c r="H249" s="1443"/>
      <c r="I249" s="1443"/>
      <c r="J249" s="1443"/>
      <c r="K249" s="1443"/>
      <c r="L249" s="1443"/>
      <c r="M249" s="1443"/>
      <c r="N249" s="1443"/>
      <c r="O249" s="1443"/>
      <c r="P249" s="1443"/>
      <c r="Q249" s="1443"/>
      <c r="R249" s="1443"/>
      <c r="S249" s="1443"/>
      <c r="T249" s="1443"/>
      <c r="U249" s="1443"/>
      <c r="V249" s="1443"/>
      <c r="W249" s="1443"/>
      <c r="X249" s="1443"/>
      <c r="Y249" s="2255"/>
      <c r="Z249" s="3289"/>
      <c r="AA249" s="3289"/>
      <c r="AB249" s="3289"/>
      <c r="AC249" s="3289"/>
      <c r="AD249" s="3289"/>
      <c r="AE249" s="3289"/>
      <c r="AF249" s="3289"/>
      <c r="AG249" s="2256"/>
      <c r="AH249" s="1945"/>
      <c r="AI249" s="1945"/>
      <c r="AJ249" s="1945"/>
      <c r="AK249" s="1945"/>
      <c r="AL249" s="1945"/>
      <c r="AM249" s="1945"/>
      <c r="AN249" s="1945"/>
      <c r="AO249" s="1945"/>
      <c r="AP249" s="3350"/>
      <c r="AQ249" s="396"/>
      <c r="AR249" s="396"/>
      <c r="AS249" s="396"/>
      <c r="AV249" s="3955">
        <f>IF(AV248,AJ248,AJ189)</f>
        <v>0</v>
      </c>
      <c r="BG249" s="3742"/>
      <c r="BH249" s="3169"/>
      <c r="BI249" s="3169"/>
      <c r="BJ249" s="3169"/>
      <c r="BK249" s="3169"/>
      <c r="BL249" s="3169"/>
      <c r="BM249" s="3169"/>
      <c r="BN249" s="3169"/>
      <c r="BO249" s="3169"/>
      <c r="BP249" s="3169"/>
    </row>
    <row r="250" spans="1:69" ht="12.75" customHeight="1">
      <c r="A250" s="3350"/>
      <c r="B250" s="3366"/>
      <c r="C250" s="1443"/>
      <c r="D250" s="1607" t="s">
        <v>919</v>
      </c>
      <c r="E250" s="1443"/>
      <c r="F250" s="1443"/>
      <c r="G250" s="1443"/>
      <c r="H250" s="1443"/>
      <c r="I250" s="1443"/>
      <c r="J250" s="1443"/>
      <c r="K250" s="1443"/>
      <c r="L250" s="1443"/>
      <c r="M250" s="1443"/>
      <c r="N250" s="1443"/>
      <c r="O250" s="1443"/>
      <c r="P250" s="1443"/>
      <c r="Q250" s="1443"/>
      <c r="R250" s="1443"/>
      <c r="S250" s="1443"/>
      <c r="T250" s="1443"/>
      <c r="U250" s="1443"/>
      <c r="V250" s="1443"/>
      <c r="W250" s="1443"/>
      <c r="X250" s="1443"/>
      <c r="Y250" s="2257"/>
      <c r="Z250" s="1945"/>
      <c r="AA250" s="1945"/>
      <c r="AB250" s="1945"/>
      <c r="AC250" s="1945"/>
      <c r="AD250" s="1945"/>
      <c r="AE250" s="1945"/>
      <c r="AF250" s="1945"/>
      <c r="AG250" s="2258"/>
      <c r="AH250" s="1945"/>
      <c r="AI250" s="1945"/>
      <c r="AJ250" s="1945"/>
      <c r="AK250" s="1945"/>
      <c r="AL250" s="1945"/>
      <c r="AM250" s="1945"/>
      <c r="AN250" s="1945"/>
      <c r="AO250" s="1945"/>
      <c r="AP250" s="3350"/>
      <c r="BG250" s="3742"/>
      <c r="BH250" s="3169"/>
      <c r="BI250" s="3169"/>
      <c r="BJ250" s="3169"/>
      <c r="BK250" s="3169"/>
      <c r="BL250" s="3169"/>
      <c r="BM250" s="3169"/>
      <c r="BN250" s="3169"/>
      <c r="BO250" s="3169"/>
      <c r="BP250" s="3169"/>
    </row>
    <row r="251" spans="1:69" ht="12.75" customHeight="1">
      <c r="A251" s="3350"/>
      <c r="B251" s="3366"/>
      <c r="C251" s="1443"/>
      <c r="D251" s="1607" t="s">
        <v>3174</v>
      </c>
      <c r="E251" s="1443"/>
      <c r="F251" s="1443"/>
      <c r="G251" s="1443"/>
      <c r="H251" s="1443"/>
      <c r="I251" s="1443"/>
      <c r="J251" s="1443"/>
      <c r="K251" s="1443"/>
      <c r="L251" s="1443"/>
      <c r="M251" s="1443"/>
      <c r="N251" s="1443"/>
      <c r="O251" s="1443"/>
      <c r="P251" s="1443"/>
      <c r="Q251" s="1443"/>
      <c r="R251" s="1443"/>
      <c r="S251" s="1443"/>
      <c r="T251" s="1443"/>
      <c r="U251" s="1443"/>
      <c r="V251" s="1443"/>
      <c r="W251" s="1443"/>
      <c r="X251" s="1443"/>
      <c r="Y251" s="2257"/>
      <c r="Z251" s="1945"/>
      <c r="AA251" s="1945"/>
      <c r="AB251" s="1945"/>
      <c r="AC251" s="1945"/>
      <c r="AD251" s="1945"/>
      <c r="AE251" s="1945"/>
      <c r="AF251" s="1945"/>
      <c r="AG251" s="2258"/>
      <c r="AH251" s="1945"/>
      <c r="AI251" s="1945"/>
      <c r="AJ251" s="1945"/>
      <c r="AK251" s="1945"/>
      <c r="AL251" s="1945"/>
      <c r="AM251" s="1945"/>
      <c r="AN251" s="1945"/>
      <c r="AO251" s="1945"/>
      <c r="AP251" s="3350"/>
      <c r="BG251" s="3742"/>
      <c r="BH251" s="3169"/>
      <c r="BI251" s="3169"/>
      <c r="BJ251" s="3169"/>
      <c r="BK251" s="3169"/>
      <c r="BL251" s="3169"/>
      <c r="BM251" s="3169"/>
      <c r="BN251" s="3169"/>
      <c r="BO251" s="3169"/>
      <c r="BP251" s="3169"/>
    </row>
    <row r="252" spans="1:69" ht="13.5" customHeight="1">
      <c r="A252" s="3350"/>
      <c r="B252" s="3366"/>
      <c r="C252" s="1443"/>
      <c r="D252" s="1443" t="s">
        <v>3175</v>
      </c>
      <c r="E252" s="1443"/>
      <c r="F252" s="1443"/>
      <c r="G252" s="1443"/>
      <c r="H252" s="1443"/>
      <c r="I252" s="1443"/>
      <c r="J252" s="1443"/>
      <c r="K252" s="1443"/>
      <c r="L252" s="1443"/>
      <c r="M252" s="1443"/>
      <c r="N252" s="1443"/>
      <c r="O252" s="1443"/>
      <c r="P252" s="1443"/>
      <c r="Q252" s="1443"/>
      <c r="R252" s="1443"/>
      <c r="S252" s="1443"/>
      <c r="T252" s="1443"/>
      <c r="U252" s="1443"/>
      <c r="V252" s="1443"/>
      <c r="W252" s="1443"/>
      <c r="X252" s="1943" t="s">
        <v>4086</v>
      </c>
      <c r="Y252" s="6190">
        <v>42</v>
      </c>
      <c r="Z252" s="6191"/>
      <c r="AA252" s="6192"/>
      <c r="AB252" s="6193"/>
      <c r="AC252" s="6193"/>
      <c r="AD252" s="6193"/>
      <c r="AE252" s="6193"/>
      <c r="AF252" s="6193"/>
      <c r="AG252" s="6193"/>
      <c r="AH252" s="1945"/>
      <c r="AI252" s="1945"/>
      <c r="AJ252" s="1945"/>
      <c r="AK252" s="1945"/>
      <c r="AL252" s="1945"/>
      <c r="AM252" s="1945"/>
      <c r="AN252" s="1945"/>
      <c r="AO252" s="1945"/>
      <c r="AP252" s="3350"/>
      <c r="BG252" s="3742"/>
      <c r="BH252" s="3169"/>
      <c r="BI252" s="3169"/>
      <c r="BJ252" s="3169"/>
      <c r="BK252" s="3169"/>
      <c r="BL252" s="3169"/>
      <c r="BM252" s="3169"/>
      <c r="BN252" s="3169"/>
      <c r="BO252" s="3169"/>
      <c r="BP252" s="3169"/>
    </row>
    <row r="253" spans="1:69" ht="12.75" customHeight="1">
      <c r="A253" s="3350"/>
      <c r="B253" s="6178">
        <v>43</v>
      </c>
      <c r="C253" s="6178"/>
      <c r="D253" s="1607" t="s">
        <v>4087</v>
      </c>
      <c r="E253" s="1443"/>
      <c r="F253" s="1443"/>
      <c r="G253" s="1443"/>
      <c r="H253" s="1443"/>
      <c r="I253" s="1443"/>
      <c r="J253" s="1443"/>
      <c r="K253" s="1443"/>
      <c r="L253" s="1443"/>
      <c r="M253" s="1443"/>
      <c r="N253" s="1443"/>
      <c r="O253" s="1443"/>
      <c r="P253" s="1443"/>
      <c r="Q253" s="1443"/>
      <c r="R253" s="1443"/>
      <c r="S253" s="1443"/>
      <c r="T253" s="1443"/>
      <c r="U253" s="1443"/>
      <c r="V253" s="1443"/>
      <c r="W253" s="1443"/>
      <c r="X253" s="1443"/>
      <c r="Y253" s="2255"/>
      <c r="Z253" s="3289"/>
      <c r="AA253" s="3289"/>
      <c r="AB253" s="3289"/>
      <c r="AC253" s="3289"/>
      <c r="AD253" s="3289"/>
      <c r="AE253" s="3289"/>
      <c r="AF253" s="3289"/>
      <c r="AG253" s="2256"/>
      <c r="AH253" s="1945"/>
      <c r="AI253" s="1945"/>
      <c r="AJ253" s="1945"/>
      <c r="AK253" s="1945"/>
      <c r="AL253" s="1945"/>
      <c r="AM253" s="1945"/>
      <c r="AN253" s="1945"/>
      <c r="AO253" s="1945"/>
      <c r="AP253" s="3350"/>
      <c r="BG253" s="3742"/>
      <c r="BH253" s="3169"/>
      <c r="BI253" s="3169"/>
      <c r="BJ253" s="3169"/>
      <c r="BK253" s="3169"/>
      <c r="BL253" s="3169"/>
      <c r="BM253" s="3169"/>
      <c r="BN253" s="3169"/>
      <c r="BO253" s="3169"/>
      <c r="BP253" s="3169"/>
    </row>
    <row r="254" spans="1:69" ht="12.75" customHeight="1">
      <c r="A254" s="3350"/>
      <c r="B254" s="3366"/>
      <c r="C254" s="1443"/>
      <c r="D254" s="1607" t="s">
        <v>3176</v>
      </c>
      <c r="E254" s="1443"/>
      <c r="F254" s="1443"/>
      <c r="G254" s="1443"/>
      <c r="H254" s="1443"/>
      <c r="I254" s="1443"/>
      <c r="J254" s="1443"/>
      <c r="K254" s="1443"/>
      <c r="L254" s="1443"/>
      <c r="M254" s="1443"/>
      <c r="N254" s="1443"/>
      <c r="O254" s="1443"/>
      <c r="P254" s="1443"/>
      <c r="Q254" s="1443"/>
      <c r="R254" s="1443"/>
      <c r="S254" s="1443"/>
      <c r="T254" s="1443"/>
      <c r="U254" s="1443"/>
      <c r="V254" s="1443"/>
      <c r="W254" s="1443"/>
      <c r="X254" s="1443"/>
      <c r="Y254" s="2257"/>
      <c r="Z254" s="1945"/>
      <c r="AA254" s="1945"/>
      <c r="AB254" s="1945"/>
      <c r="AC254" s="1945"/>
      <c r="AD254" s="1945"/>
      <c r="AE254" s="1945"/>
      <c r="AF254" s="1945"/>
      <c r="AG254" s="2258"/>
      <c r="AH254" s="1945"/>
      <c r="AI254" s="1945"/>
      <c r="AJ254" s="1945"/>
      <c r="AK254" s="1945"/>
      <c r="AL254" s="1945"/>
      <c r="AM254" s="1945"/>
      <c r="AN254" s="1945"/>
      <c r="AO254" s="1945"/>
      <c r="AP254" s="3350"/>
      <c r="BG254" s="3742"/>
      <c r="BH254" s="3169"/>
      <c r="BI254" s="3169"/>
      <c r="BJ254" s="3169"/>
      <c r="BK254" s="3169"/>
      <c r="BL254" s="3169"/>
      <c r="BM254" s="3169"/>
      <c r="BN254" s="3169"/>
      <c r="BO254" s="3169"/>
      <c r="BP254" s="3169"/>
    </row>
    <row r="255" spans="1:69" ht="12.75" customHeight="1">
      <c r="A255" s="3350"/>
      <c r="B255" s="3366"/>
      <c r="C255" s="1443"/>
      <c r="D255" s="1607" t="s">
        <v>3177</v>
      </c>
      <c r="E255" s="1443"/>
      <c r="F255" s="1443"/>
      <c r="G255" s="1443"/>
      <c r="H255" s="1443"/>
      <c r="I255" s="1443"/>
      <c r="J255" s="1443"/>
      <c r="K255" s="1443"/>
      <c r="L255" s="1443"/>
      <c r="M255" s="1443"/>
      <c r="N255" s="1443"/>
      <c r="O255" s="1443"/>
      <c r="P255" s="1443"/>
      <c r="Q255" s="1443"/>
      <c r="R255" s="1443"/>
      <c r="S255" s="1443"/>
      <c r="T255" s="1443"/>
      <c r="U255" s="1443"/>
      <c r="V255" s="1443"/>
      <c r="W255" s="1443"/>
      <c r="X255" s="1443"/>
      <c r="Y255" s="2257"/>
      <c r="Z255" s="1945"/>
      <c r="AA255" s="1945"/>
      <c r="AB255" s="1945"/>
      <c r="AC255" s="1945"/>
      <c r="AD255" s="1945"/>
      <c r="AE255" s="1945"/>
      <c r="AF255" s="1945"/>
      <c r="AG255" s="2258"/>
      <c r="AH255" s="1945"/>
      <c r="AI255" s="1945"/>
      <c r="AJ255" s="1945"/>
      <c r="AK255" s="1945"/>
      <c r="AL255" s="1945"/>
      <c r="AM255" s="1945"/>
      <c r="AN255" s="1945"/>
      <c r="AO255" s="1945"/>
      <c r="AP255" s="3350"/>
      <c r="BG255" s="3742"/>
      <c r="BH255" s="3169"/>
      <c r="BI255" s="3169"/>
      <c r="BJ255" s="3169"/>
      <c r="BK255" s="3169"/>
      <c r="BL255" s="3169"/>
      <c r="BM255" s="3169"/>
      <c r="BN255" s="3169"/>
      <c r="BO255" s="3169"/>
      <c r="BP255" s="3169"/>
    </row>
    <row r="256" spans="1:69" ht="13.5" customHeight="1" thickBot="1">
      <c r="A256" s="3350"/>
      <c r="B256" s="3927"/>
      <c r="C256" s="1612"/>
      <c r="D256" s="2123" t="s">
        <v>3178</v>
      </c>
      <c r="E256" s="1612"/>
      <c r="F256" s="1612"/>
      <c r="G256" s="1612"/>
      <c r="H256" s="1612"/>
      <c r="I256" s="1612"/>
      <c r="J256" s="1612"/>
      <c r="K256" s="1612"/>
      <c r="L256" s="1612"/>
      <c r="M256" s="1612"/>
      <c r="N256" s="1612"/>
      <c r="O256" s="1612"/>
      <c r="P256" s="1612"/>
      <c r="Q256" s="1612"/>
      <c r="R256" s="1612"/>
      <c r="S256" s="1612"/>
      <c r="T256" s="1612"/>
      <c r="U256" s="1612"/>
      <c r="V256" s="1612"/>
      <c r="W256" s="1612"/>
      <c r="X256" s="4210" t="s">
        <v>1280</v>
      </c>
      <c r="Y256" s="6179">
        <v>43</v>
      </c>
      <c r="Z256" s="6180"/>
      <c r="AA256" s="6181"/>
      <c r="AB256" s="6182"/>
      <c r="AC256" s="6182"/>
      <c r="AD256" s="6182"/>
      <c r="AE256" s="6182"/>
      <c r="AF256" s="6182"/>
      <c r="AG256" s="6182"/>
      <c r="AH256" s="3928"/>
      <c r="AI256" s="3928"/>
      <c r="AJ256" s="3928"/>
      <c r="AK256" s="3928"/>
      <c r="AL256" s="3928"/>
      <c r="AM256" s="3928"/>
      <c r="AN256" s="3928"/>
      <c r="AO256" s="3928"/>
      <c r="AP256" s="3350"/>
      <c r="BG256" s="3742"/>
      <c r="BH256" s="3169"/>
      <c r="BI256" s="3169"/>
      <c r="BJ256" s="3169"/>
      <c r="BK256" s="3169"/>
      <c r="BL256" s="3169"/>
      <c r="BM256" s="3169"/>
      <c r="BN256" s="3169"/>
      <c r="BO256" s="3169"/>
      <c r="BP256" s="3169"/>
    </row>
    <row r="257" spans="1:68" ht="12.75" customHeight="1">
      <c r="A257" s="3350"/>
      <c r="B257" s="3366"/>
      <c r="C257" s="1443"/>
      <c r="D257" s="1443"/>
      <c r="E257" s="1443"/>
      <c r="F257" s="1443"/>
      <c r="G257" s="1443"/>
      <c r="H257" s="1443"/>
      <c r="I257" s="1443"/>
      <c r="J257" s="1443"/>
      <c r="K257" s="1443"/>
      <c r="L257" s="1443"/>
      <c r="M257" s="1443"/>
      <c r="N257" s="1443"/>
      <c r="O257" s="1443"/>
      <c r="P257" s="1443"/>
      <c r="Q257" s="1443"/>
      <c r="R257" s="1443"/>
      <c r="S257" s="1443"/>
      <c r="T257" s="1443"/>
      <c r="U257" s="1443"/>
      <c r="V257" s="1443"/>
      <c r="W257" s="1443"/>
      <c r="X257" s="1443"/>
      <c r="Y257" s="1443"/>
      <c r="Z257" s="1443"/>
      <c r="AA257" s="1443"/>
      <c r="AB257" s="1443"/>
      <c r="AC257" s="1443"/>
      <c r="AD257" s="1443"/>
      <c r="AE257" s="1443"/>
      <c r="AF257" s="1443"/>
      <c r="AG257" s="1443"/>
      <c r="AH257" s="1443"/>
      <c r="AI257" s="1443"/>
      <c r="AJ257" s="1443"/>
      <c r="AK257" s="1443"/>
      <c r="AL257" s="1443"/>
      <c r="AM257" s="1443"/>
      <c r="AN257" s="1443"/>
      <c r="AO257" s="3913" t="str">
        <f>"Schedule E (Form 1040) "&amp;TaxYear</f>
        <v>Schedule E (Form 1040) 2018</v>
      </c>
      <c r="AP257" s="3350"/>
      <c r="BG257" s="3742"/>
      <c r="BH257" s="3169"/>
      <c r="BI257" s="3169"/>
      <c r="BJ257" s="3169"/>
      <c r="BK257" s="3169"/>
      <c r="BL257" s="3169"/>
      <c r="BM257" s="3169"/>
      <c r="BN257" s="3169"/>
      <c r="BO257" s="3169"/>
      <c r="BP257" s="3169"/>
    </row>
    <row r="258" spans="1:68">
      <c r="A258" s="3350"/>
      <c r="B258" s="3350"/>
      <c r="C258" s="3350"/>
      <c r="D258" s="3350"/>
      <c r="E258" s="3350"/>
      <c r="F258" s="3350"/>
      <c r="G258" s="3350"/>
      <c r="H258" s="3350"/>
      <c r="I258" s="3350"/>
      <c r="J258" s="3350"/>
      <c r="K258" s="3350"/>
      <c r="L258" s="3350"/>
      <c r="M258" s="3350"/>
      <c r="N258" s="3350"/>
      <c r="O258" s="3350"/>
      <c r="P258" s="3350"/>
      <c r="Q258" s="3350"/>
      <c r="R258" s="3350"/>
      <c r="S258" s="3350"/>
      <c r="T258" s="3350"/>
      <c r="U258" s="3350"/>
      <c r="V258" s="3350"/>
      <c r="W258" s="3350"/>
      <c r="X258" s="3350"/>
      <c r="Y258" s="3350"/>
      <c r="Z258" s="3350"/>
      <c r="AA258" s="3350"/>
      <c r="AB258" s="3350"/>
      <c r="AC258" s="3350"/>
      <c r="AD258" s="3350"/>
      <c r="AE258" s="3350"/>
      <c r="AF258" s="3350"/>
      <c r="AG258" s="3350"/>
      <c r="AH258" s="3350"/>
      <c r="AI258" s="3350"/>
      <c r="AJ258" s="3350"/>
      <c r="AK258" s="3350"/>
      <c r="AL258" s="3350"/>
      <c r="AM258" s="3350"/>
      <c r="AN258" s="3350"/>
      <c r="AO258" s="3350"/>
      <c r="AP258" s="3350"/>
      <c r="BG258" s="3742"/>
      <c r="BH258" s="3169"/>
      <c r="BI258" s="3169"/>
      <c r="BJ258" s="3169"/>
      <c r="BK258" s="3169"/>
      <c r="BL258" s="3169"/>
      <c r="BM258" s="3169"/>
      <c r="BN258" s="3169"/>
      <c r="BO258" s="3169"/>
      <c r="BP258" s="3169"/>
    </row>
  </sheetData>
  <sheetProtection password="F7BE" sheet="1" objects="1" scenarios="1"/>
  <mergeCells count="656">
    <mergeCell ref="AG25:AO25"/>
    <mergeCell ref="AG153:AO153"/>
    <mergeCell ref="AY46:AZ46"/>
    <mergeCell ref="BA46:BB46"/>
    <mergeCell ref="BC46:BD46"/>
    <mergeCell ref="AR43:AT43"/>
    <mergeCell ref="AI93:AN93"/>
    <mergeCell ref="AK50:AN50"/>
    <mergeCell ref="AK57:AN57"/>
    <mergeCell ref="AH83:AO85"/>
    <mergeCell ref="S82:AO82"/>
    <mergeCell ref="AF65:AO65"/>
    <mergeCell ref="B65:AE65"/>
    <mergeCell ref="B67:D67"/>
    <mergeCell ref="C105:N105"/>
    <mergeCell ref="Y128:Z128"/>
    <mergeCell ref="AA128:AG128"/>
    <mergeCell ref="B125:C125"/>
    <mergeCell ref="B111:C111"/>
    <mergeCell ref="F108:N108"/>
    <mergeCell ref="O107:X107"/>
    <mergeCell ref="B120:C120"/>
    <mergeCell ref="B121:C121"/>
    <mergeCell ref="B114:C114"/>
    <mergeCell ref="Y124:Z124"/>
    <mergeCell ref="AA124:AG124"/>
    <mergeCell ref="AJ119:AO119"/>
    <mergeCell ref="AJ120:AO120"/>
    <mergeCell ref="AJ109:AO109"/>
    <mergeCell ref="AJ111:AO111"/>
    <mergeCell ref="AH92:AO92"/>
    <mergeCell ref="AH94:AO94"/>
    <mergeCell ref="AF92:AG92"/>
    <mergeCell ref="AF93:AG93"/>
    <mergeCell ref="AF94:AG94"/>
    <mergeCell ref="AK110:AN110"/>
    <mergeCell ref="AH107:AO107"/>
    <mergeCell ref="Y108:AG108"/>
    <mergeCell ref="AH109:AI109"/>
    <mergeCell ref="AH110:AI110"/>
    <mergeCell ref="B8:AF9"/>
    <mergeCell ref="V29:AC29"/>
    <mergeCell ref="AD29:AI29"/>
    <mergeCell ref="W50:AB50"/>
    <mergeCell ref="B118:D118"/>
    <mergeCell ref="B119:C119"/>
    <mergeCell ref="AH119:AI119"/>
    <mergeCell ref="AH120:AI120"/>
    <mergeCell ref="Z116:AG116"/>
    <mergeCell ref="AH116:AO116"/>
    <mergeCell ref="B116:J116"/>
    <mergeCell ref="B117:C117"/>
    <mergeCell ref="AH117:AI117"/>
    <mergeCell ref="AJ117:AO117"/>
    <mergeCell ref="B112:D112"/>
    <mergeCell ref="K113:R115"/>
    <mergeCell ref="S113:Y115"/>
    <mergeCell ref="Z113:AG115"/>
    <mergeCell ref="AH113:AO115"/>
    <mergeCell ref="D113:J115"/>
    <mergeCell ref="AH111:AI111"/>
    <mergeCell ref="AJ29:AO29"/>
    <mergeCell ref="B109:C109"/>
    <mergeCell ref="B110:C110"/>
    <mergeCell ref="S91:Y91"/>
    <mergeCell ref="AH99:AO99"/>
    <mergeCell ref="B97:C97"/>
    <mergeCell ref="K116:R116"/>
    <mergeCell ref="S116:Y116"/>
    <mergeCell ref="B107:C107"/>
    <mergeCell ref="B108:C108"/>
    <mergeCell ref="AH100:AO100"/>
    <mergeCell ref="C99:AG99"/>
    <mergeCell ref="B95:D95"/>
    <mergeCell ref="C100:AG100"/>
    <mergeCell ref="AH96:AO98"/>
    <mergeCell ref="O105:X105"/>
    <mergeCell ref="Y105:AG105"/>
    <mergeCell ref="AH105:AO105"/>
    <mergeCell ref="Y101:AO101"/>
    <mergeCell ref="B101:X101"/>
    <mergeCell ref="B102:N104"/>
    <mergeCell ref="O102:X104"/>
    <mergeCell ref="Y102:AG104"/>
    <mergeCell ref="AH102:AO104"/>
    <mergeCell ref="B59:C59"/>
    <mergeCell ref="B60:C60"/>
    <mergeCell ref="B57:C57"/>
    <mergeCell ref="AH57:AI57"/>
    <mergeCell ref="B58:C58"/>
    <mergeCell ref="B56:C56"/>
    <mergeCell ref="AJ56:AO56"/>
    <mergeCell ref="AH56:AI56"/>
    <mergeCell ref="AH61:AI61"/>
    <mergeCell ref="AJ61:AO61"/>
    <mergeCell ref="AK58:AN58"/>
    <mergeCell ref="AF64:AO64"/>
    <mergeCell ref="AH91:AO91"/>
    <mergeCell ref="F91:J91"/>
    <mergeCell ref="Z91:AG91"/>
    <mergeCell ref="C87:J87"/>
    <mergeCell ref="K87:R87"/>
    <mergeCell ref="S87:Y87"/>
    <mergeCell ref="Z87:AG87"/>
    <mergeCell ref="AH87:AO87"/>
    <mergeCell ref="B82:R82"/>
    <mergeCell ref="C86:J86"/>
    <mergeCell ref="K86:R86"/>
    <mergeCell ref="S86:Y86"/>
    <mergeCell ref="S89:Y89"/>
    <mergeCell ref="B71:C71"/>
    <mergeCell ref="C78:N78"/>
    <mergeCell ref="O78:S78"/>
    <mergeCell ref="Y78:AE78"/>
    <mergeCell ref="O75:S77"/>
    <mergeCell ref="T75:X77"/>
    <mergeCell ref="Y75:AE77"/>
    <mergeCell ref="O81:S81"/>
    <mergeCell ref="Y81:AE81"/>
    <mergeCell ref="B76:C76"/>
    <mergeCell ref="B54:C54"/>
    <mergeCell ref="AB54:AC54"/>
    <mergeCell ref="AD54:AI54"/>
    <mergeCell ref="B55:C55"/>
    <mergeCell ref="AB55:AC55"/>
    <mergeCell ref="AD55:AI55"/>
    <mergeCell ref="B52:C52"/>
    <mergeCell ref="AB52:AC52"/>
    <mergeCell ref="AD52:AI52"/>
    <mergeCell ref="B53:C53"/>
    <mergeCell ref="AB53:AC53"/>
    <mergeCell ref="AD53:AI53"/>
    <mergeCell ref="B50:C50"/>
    <mergeCell ref="T50:U50"/>
    <mergeCell ref="AB51:AC51"/>
    <mergeCell ref="AD51:AI51"/>
    <mergeCell ref="B51:C51"/>
    <mergeCell ref="AE50:AH50"/>
    <mergeCell ref="B48:C48"/>
    <mergeCell ref="T48:U48"/>
    <mergeCell ref="V48:AC48"/>
    <mergeCell ref="AD48:AI48"/>
    <mergeCell ref="AJ48:AO48"/>
    <mergeCell ref="B49:C49"/>
    <mergeCell ref="T49:U49"/>
    <mergeCell ref="V49:AC49"/>
    <mergeCell ref="AD49:AI49"/>
    <mergeCell ref="AJ49:AO49"/>
    <mergeCell ref="B46:C46"/>
    <mergeCell ref="T46:U46"/>
    <mergeCell ref="V46:AC46"/>
    <mergeCell ref="AD46:AI46"/>
    <mergeCell ref="AJ46:AO46"/>
    <mergeCell ref="B47:C47"/>
    <mergeCell ref="T47:U47"/>
    <mergeCell ref="V47:AC47"/>
    <mergeCell ref="AD47:AI47"/>
    <mergeCell ref="AJ47:AO47"/>
    <mergeCell ref="B44:C44"/>
    <mergeCell ref="T44:U44"/>
    <mergeCell ref="V44:AC44"/>
    <mergeCell ref="AD44:AI44"/>
    <mergeCell ref="AJ44:AO44"/>
    <mergeCell ref="B45:C45"/>
    <mergeCell ref="T45:U45"/>
    <mergeCell ref="V45:AC45"/>
    <mergeCell ref="AD45:AI45"/>
    <mergeCell ref="AJ45:AO45"/>
    <mergeCell ref="H44:R44"/>
    <mergeCell ref="B42:C42"/>
    <mergeCell ref="T42:U42"/>
    <mergeCell ref="V42:AC42"/>
    <mergeCell ref="AD42:AI42"/>
    <mergeCell ref="AJ42:AO42"/>
    <mergeCell ref="B43:C43"/>
    <mergeCell ref="T43:U43"/>
    <mergeCell ref="V43:AC43"/>
    <mergeCell ref="AD43:AI43"/>
    <mergeCell ref="AJ43:AO43"/>
    <mergeCell ref="B40:C40"/>
    <mergeCell ref="T40:U40"/>
    <mergeCell ref="V40:AC40"/>
    <mergeCell ref="AD40:AI40"/>
    <mergeCell ref="AJ40:AO40"/>
    <mergeCell ref="B41:C41"/>
    <mergeCell ref="T41:U41"/>
    <mergeCell ref="V41:AC41"/>
    <mergeCell ref="AD41:AI41"/>
    <mergeCell ref="AJ41:AO41"/>
    <mergeCell ref="B38:C38"/>
    <mergeCell ref="T38:U38"/>
    <mergeCell ref="V38:AC38"/>
    <mergeCell ref="AD38:AI38"/>
    <mergeCell ref="AJ38:AO38"/>
    <mergeCell ref="B39:C39"/>
    <mergeCell ref="T39:U39"/>
    <mergeCell ref="V39:AC39"/>
    <mergeCell ref="AD39:AI39"/>
    <mergeCell ref="AJ39:AO39"/>
    <mergeCell ref="B36:C36"/>
    <mergeCell ref="T36:U36"/>
    <mergeCell ref="V36:AC36"/>
    <mergeCell ref="AD36:AI36"/>
    <mergeCell ref="AJ36:AO36"/>
    <mergeCell ref="B37:C37"/>
    <mergeCell ref="T37:U37"/>
    <mergeCell ref="V37:AC37"/>
    <mergeCell ref="AD37:AI37"/>
    <mergeCell ref="AJ37:AO37"/>
    <mergeCell ref="B34:C34"/>
    <mergeCell ref="T34:U34"/>
    <mergeCell ref="V34:AC34"/>
    <mergeCell ref="AD34:AI34"/>
    <mergeCell ref="AJ34:AO34"/>
    <mergeCell ref="B35:C35"/>
    <mergeCell ref="T35:U35"/>
    <mergeCell ref="V35:AC35"/>
    <mergeCell ref="AD35:AI35"/>
    <mergeCell ref="AJ35:AO35"/>
    <mergeCell ref="B32:C32"/>
    <mergeCell ref="T32:U32"/>
    <mergeCell ref="V32:AC32"/>
    <mergeCell ref="AD32:AI32"/>
    <mergeCell ref="AJ32:AO32"/>
    <mergeCell ref="B33:C33"/>
    <mergeCell ref="T33:U33"/>
    <mergeCell ref="V33:AC33"/>
    <mergeCell ref="AD33:AI33"/>
    <mergeCell ref="AJ33:AO33"/>
    <mergeCell ref="B30:C30"/>
    <mergeCell ref="T30:U30"/>
    <mergeCell ref="V30:AC30"/>
    <mergeCell ref="AD30:AI30"/>
    <mergeCell ref="AJ30:AO30"/>
    <mergeCell ref="B31:C31"/>
    <mergeCell ref="T31:U31"/>
    <mergeCell ref="V31:AC31"/>
    <mergeCell ref="AD31:AI31"/>
    <mergeCell ref="AJ31:AO31"/>
    <mergeCell ref="B22:C22"/>
    <mergeCell ref="D20:H20"/>
    <mergeCell ref="D21:H21"/>
    <mergeCell ref="D22:H22"/>
    <mergeCell ref="X20:Z20"/>
    <mergeCell ref="X21:Z21"/>
    <mergeCell ref="X22:Z22"/>
    <mergeCell ref="AA20:AE20"/>
    <mergeCell ref="AA21:AE21"/>
    <mergeCell ref="B16:C16"/>
    <mergeCell ref="B17:C17"/>
    <mergeCell ref="B18:C18"/>
    <mergeCell ref="D16:AO16"/>
    <mergeCell ref="D17:AO17"/>
    <mergeCell ref="D18:H19"/>
    <mergeCell ref="AK18:AO19"/>
    <mergeCell ref="AF18:AJ19"/>
    <mergeCell ref="AA18:AE19"/>
    <mergeCell ref="B12:C12"/>
    <mergeCell ref="K18:W21"/>
    <mergeCell ref="I18:J18"/>
    <mergeCell ref="C106:N106"/>
    <mergeCell ref="O106:X106"/>
    <mergeCell ref="Y106:AG106"/>
    <mergeCell ref="AD26:AI26"/>
    <mergeCell ref="AA22:AE22"/>
    <mergeCell ref="Z86:AG86"/>
    <mergeCell ref="AH86:AO86"/>
    <mergeCell ref="C83:J85"/>
    <mergeCell ref="K83:R85"/>
    <mergeCell ref="S83:Y85"/>
    <mergeCell ref="Z83:AG85"/>
    <mergeCell ref="S88:Y88"/>
    <mergeCell ref="Z88:AG88"/>
    <mergeCell ref="AH88:AO88"/>
    <mergeCell ref="AJ27:AO27"/>
    <mergeCell ref="B28:C28"/>
    <mergeCell ref="T28:U28"/>
    <mergeCell ref="V28:AC28"/>
    <mergeCell ref="AD28:AI28"/>
    <mergeCell ref="AJ28:AO28"/>
    <mergeCell ref="AH106:AO106"/>
    <mergeCell ref="AI2:AO2"/>
    <mergeCell ref="B4:G6"/>
    <mergeCell ref="B3:G3"/>
    <mergeCell ref="AJ5:AM6"/>
    <mergeCell ref="AI3:AO4"/>
    <mergeCell ref="B27:C27"/>
    <mergeCell ref="T27:U27"/>
    <mergeCell ref="V27:AC27"/>
    <mergeCell ref="AD27:AI27"/>
    <mergeCell ref="B20:C20"/>
    <mergeCell ref="B21:C21"/>
    <mergeCell ref="B10:D10"/>
    <mergeCell ref="B13:C13"/>
    <mergeCell ref="B14:C14"/>
    <mergeCell ref="AN6:AO6"/>
    <mergeCell ref="AG8:AO9"/>
    <mergeCell ref="AG7:AO7"/>
    <mergeCell ref="AF20:AJ20"/>
    <mergeCell ref="AF21:AJ21"/>
    <mergeCell ref="AF22:AJ22"/>
    <mergeCell ref="V26:AC26"/>
    <mergeCell ref="AJ26:AO26"/>
    <mergeCell ref="B15:C15"/>
    <mergeCell ref="D15:AO15"/>
    <mergeCell ref="AI130:AO130"/>
    <mergeCell ref="B131:G131"/>
    <mergeCell ref="AI131:AO132"/>
    <mergeCell ref="B132:G134"/>
    <mergeCell ref="AJ133:AM134"/>
    <mergeCell ref="AN134:AO134"/>
    <mergeCell ref="AG135:AO135"/>
    <mergeCell ref="B136:AF137"/>
    <mergeCell ref="AG136:AO137"/>
    <mergeCell ref="AF75:AJ77"/>
    <mergeCell ref="AK75:AO77"/>
    <mergeCell ref="C79:N79"/>
    <mergeCell ref="O79:S79"/>
    <mergeCell ref="B94:C94"/>
    <mergeCell ref="B92:C92"/>
    <mergeCell ref="B93:C93"/>
    <mergeCell ref="C88:J88"/>
    <mergeCell ref="K88:R88"/>
    <mergeCell ref="Y79:AE79"/>
    <mergeCell ref="C80:N80"/>
    <mergeCell ref="O80:S80"/>
    <mergeCell ref="Y80:AE80"/>
    <mergeCell ref="C81:N81"/>
    <mergeCell ref="C89:J89"/>
    <mergeCell ref="K89:R89"/>
    <mergeCell ref="Z89:AG89"/>
    <mergeCell ref="AH89:AO89"/>
    <mergeCell ref="B90:C90"/>
    <mergeCell ref="K90:R90"/>
    <mergeCell ref="S90:Y90"/>
    <mergeCell ref="AH90:AO90"/>
    <mergeCell ref="B91:C91"/>
    <mergeCell ref="K91:R91"/>
    <mergeCell ref="B138:D138"/>
    <mergeCell ref="B140:C140"/>
    <mergeCell ref="B141:C141"/>
    <mergeCell ref="B142:C142"/>
    <mergeCell ref="B143:C143"/>
    <mergeCell ref="D143:AO143"/>
    <mergeCell ref="B144:C144"/>
    <mergeCell ref="D144:AO144"/>
    <mergeCell ref="B145:C145"/>
    <mergeCell ref="D145:AO145"/>
    <mergeCell ref="B146:C146"/>
    <mergeCell ref="D146:H147"/>
    <mergeCell ref="I146:J146"/>
    <mergeCell ref="K146:W149"/>
    <mergeCell ref="AA146:AE147"/>
    <mergeCell ref="AF146:AJ147"/>
    <mergeCell ref="AK146:AO147"/>
    <mergeCell ref="B148:C148"/>
    <mergeCell ref="D148:H148"/>
    <mergeCell ref="X148:Z148"/>
    <mergeCell ref="AA148:AE148"/>
    <mergeCell ref="AF148:AJ148"/>
    <mergeCell ref="B149:C149"/>
    <mergeCell ref="D149:H149"/>
    <mergeCell ref="X149:Z149"/>
    <mergeCell ref="AA149:AE149"/>
    <mergeCell ref="AF149:AJ149"/>
    <mergeCell ref="B150:C150"/>
    <mergeCell ref="D150:H150"/>
    <mergeCell ref="X150:Z150"/>
    <mergeCell ref="AA150:AE150"/>
    <mergeCell ref="AF150:AJ150"/>
    <mergeCell ref="V154:AC154"/>
    <mergeCell ref="AD154:AI154"/>
    <mergeCell ref="AJ154:AO154"/>
    <mergeCell ref="B155:C155"/>
    <mergeCell ref="T155:U155"/>
    <mergeCell ref="V155:AC155"/>
    <mergeCell ref="AD155:AI155"/>
    <mergeCell ref="AJ155:AO155"/>
    <mergeCell ref="B156:C156"/>
    <mergeCell ref="T156:U156"/>
    <mergeCell ref="V156:AC156"/>
    <mergeCell ref="AD156:AI156"/>
    <mergeCell ref="AJ156:AO156"/>
    <mergeCell ref="V157:AC157"/>
    <mergeCell ref="AD157:AI157"/>
    <mergeCell ref="AJ157:AO157"/>
    <mergeCell ref="B158:C158"/>
    <mergeCell ref="T158:U158"/>
    <mergeCell ref="V158:AC158"/>
    <mergeCell ref="AD158:AI158"/>
    <mergeCell ref="AJ158:AO158"/>
    <mergeCell ref="B159:C159"/>
    <mergeCell ref="T159:U159"/>
    <mergeCell ref="V159:AC159"/>
    <mergeCell ref="AD159:AI159"/>
    <mergeCell ref="AJ159:AO159"/>
    <mergeCell ref="B160:C160"/>
    <mergeCell ref="T160:U160"/>
    <mergeCell ref="V160:AC160"/>
    <mergeCell ref="AD160:AI160"/>
    <mergeCell ref="AJ160:AO160"/>
    <mergeCell ref="B161:C161"/>
    <mergeCell ref="T161:U161"/>
    <mergeCell ref="V161:AC161"/>
    <mergeCell ref="AD161:AI161"/>
    <mergeCell ref="AJ161:AO161"/>
    <mergeCell ref="B162:C162"/>
    <mergeCell ref="T162:U162"/>
    <mergeCell ref="V162:AC162"/>
    <mergeCell ref="AD162:AI162"/>
    <mergeCell ref="AJ162:AO162"/>
    <mergeCell ref="B163:C163"/>
    <mergeCell ref="T163:U163"/>
    <mergeCell ref="V163:AC163"/>
    <mergeCell ref="AD163:AI163"/>
    <mergeCell ref="AJ163:AO163"/>
    <mergeCell ref="B164:C164"/>
    <mergeCell ref="T164:U164"/>
    <mergeCell ref="V164:AC164"/>
    <mergeCell ref="AD164:AI164"/>
    <mergeCell ref="AJ164:AO164"/>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AR171:AT171"/>
    <mergeCell ref="B172:C172"/>
    <mergeCell ref="H172:R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AY174:AZ174"/>
    <mergeCell ref="BA174:BB174"/>
    <mergeCell ref="BC174:BD174"/>
    <mergeCell ref="B175:C175"/>
    <mergeCell ref="T175:U175"/>
    <mergeCell ref="V175:AC175"/>
    <mergeCell ref="AD175:AI175"/>
    <mergeCell ref="AJ175:AO175"/>
    <mergeCell ref="B176:C176"/>
    <mergeCell ref="T176:U176"/>
    <mergeCell ref="V176:AC176"/>
    <mergeCell ref="AD176:AI176"/>
    <mergeCell ref="AJ176:AO176"/>
    <mergeCell ref="B177:C177"/>
    <mergeCell ref="T177:U177"/>
    <mergeCell ref="V177:AC177"/>
    <mergeCell ref="AD177:AI177"/>
    <mergeCell ref="AJ177:AO177"/>
    <mergeCell ref="B178:C178"/>
    <mergeCell ref="T178:U178"/>
    <mergeCell ref="W178:AB178"/>
    <mergeCell ref="AE178:AH178"/>
    <mergeCell ref="AK178:AN178"/>
    <mergeCell ref="B179:C179"/>
    <mergeCell ref="AB179:AC179"/>
    <mergeCell ref="AD179:AI179"/>
    <mergeCell ref="B180:C180"/>
    <mergeCell ref="AB180:AC180"/>
    <mergeCell ref="AD180:AI180"/>
    <mergeCell ref="B181:C181"/>
    <mergeCell ref="AB181:AC181"/>
    <mergeCell ref="AD181:AI181"/>
    <mergeCell ref="B182:C182"/>
    <mergeCell ref="AB182:AC182"/>
    <mergeCell ref="AD182:AI182"/>
    <mergeCell ref="B183:C183"/>
    <mergeCell ref="AB183:AC183"/>
    <mergeCell ref="AD183:AI183"/>
    <mergeCell ref="B184:C184"/>
    <mergeCell ref="AH184:AI184"/>
    <mergeCell ref="AJ184:AO184"/>
    <mergeCell ref="B185:C185"/>
    <mergeCell ref="AH185:AI185"/>
    <mergeCell ref="AK185:AN185"/>
    <mergeCell ref="B186:C186"/>
    <mergeCell ref="B187:C187"/>
    <mergeCell ref="B188:C188"/>
    <mergeCell ref="AH189:AI189"/>
    <mergeCell ref="AJ189:AO189"/>
    <mergeCell ref="AF192:AO192"/>
    <mergeCell ref="AK186:AN186"/>
    <mergeCell ref="B193:AE193"/>
    <mergeCell ref="AF193:AO193"/>
    <mergeCell ref="B195:D195"/>
    <mergeCell ref="B199:C199"/>
    <mergeCell ref="O203:S205"/>
    <mergeCell ref="T203:X205"/>
    <mergeCell ref="Y203:AE205"/>
    <mergeCell ref="AF203:AJ205"/>
    <mergeCell ref="AK203:AO205"/>
    <mergeCell ref="B204:C204"/>
    <mergeCell ref="C206:N206"/>
    <mergeCell ref="O206:S206"/>
    <mergeCell ref="Y206:AE206"/>
    <mergeCell ref="C207:N207"/>
    <mergeCell ref="O207:S207"/>
    <mergeCell ref="Y207:AE207"/>
    <mergeCell ref="C208:N208"/>
    <mergeCell ref="O208:S208"/>
    <mergeCell ref="Y208:AE208"/>
    <mergeCell ref="C209:N209"/>
    <mergeCell ref="O209:S209"/>
    <mergeCell ref="Y209:AE209"/>
    <mergeCell ref="B210:R210"/>
    <mergeCell ref="S210:AO210"/>
    <mergeCell ref="C211:J213"/>
    <mergeCell ref="K211:R213"/>
    <mergeCell ref="S211:Y213"/>
    <mergeCell ref="Z211:AG213"/>
    <mergeCell ref="AH211:AO213"/>
    <mergeCell ref="C214:J214"/>
    <mergeCell ref="K214:R214"/>
    <mergeCell ref="S214:Y214"/>
    <mergeCell ref="Z214:AG214"/>
    <mergeCell ref="AH214:AO214"/>
    <mergeCell ref="C215:J215"/>
    <mergeCell ref="K215:R215"/>
    <mergeCell ref="S215:Y215"/>
    <mergeCell ref="Z215:AG215"/>
    <mergeCell ref="AH215:AO215"/>
    <mergeCell ref="C216:J216"/>
    <mergeCell ref="K216:R216"/>
    <mergeCell ref="S216:Y216"/>
    <mergeCell ref="Z216:AG216"/>
    <mergeCell ref="AH216:AO216"/>
    <mergeCell ref="C217:J217"/>
    <mergeCell ref="K217:R217"/>
    <mergeCell ref="S217:Y217"/>
    <mergeCell ref="Z217:AG217"/>
    <mergeCell ref="AH217:AO217"/>
    <mergeCell ref="B218:C218"/>
    <mergeCell ref="K218:R218"/>
    <mergeCell ref="S218:Y218"/>
    <mergeCell ref="AH218:AO218"/>
    <mergeCell ref="B219:C219"/>
    <mergeCell ref="F219:J219"/>
    <mergeCell ref="K219:R219"/>
    <mergeCell ref="S219:Y219"/>
    <mergeCell ref="Z219:AG219"/>
    <mergeCell ref="AH219:AO219"/>
    <mergeCell ref="B220:C220"/>
    <mergeCell ref="AF220:AG220"/>
    <mergeCell ref="AH220:AO220"/>
    <mergeCell ref="B221:C221"/>
    <mergeCell ref="AF221:AG221"/>
    <mergeCell ref="AI221:AN221"/>
    <mergeCell ref="B222:C222"/>
    <mergeCell ref="AF222:AG222"/>
    <mergeCell ref="AH222:AO222"/>
    <mergeCell ref="B223:D223"/>
    <mergeCell ref="AH224:AO226"/>
    <mergeCell ref="B225:C225"/>
    <mergeCell ref="C227:AG227"/>
    <mergeCell ref="AH227:AO227"/>
    <mergeCell ref="C228:AG228"/>
    <mergeCell ref="AH228:AO228"/>
    <mergeCell ref="B229:X229"/>
    <mergeCell ref="Y229:AO229"/>
    <mergeCell ref="B230:N232"/>
    <mergeCell ref="O230:X232"/>
    <mergeCell ref="Y230:AG232"/>
    <mergeCell ref="AH230:AO232"/>
    <mergeCell ref="C233:N233"/>
    <mergeCell ref="O233:X233"/>
    <mergeCell ref="Y233:AG233"/>
    <mergeCell ref="AH233:AO233"/>
    <mergeCell ref="C234:N234"/>
    <mergeCell ref="O234:X234"/>
    <mergeCell ref="Y234:AG234"/>
    <mergeCell ref="AH234:AO234"/>
    <mergeCell ref="B235:C235"/>
    <mergeCell ref="O235:X235"/>
    <mergeCell ref="AH235:AO235"/>
    <mergeCell ref="B236:C236"/>
    <mergeCell ref="F236:N236"/>
    <mergeCell ref="Y236:AG236"/>
    <mergeCell ref="B237:C237"/>
    <mergeCell ref="AH237:AI237"/>
    <mergeCell ref="AJ237:AO237"/>
    <mergeCell ref="B238:C238"/>
    <mergeCell ref="AH238:AI238"/>
    <mergeCell ref="AK238:AN238"/>
    <mergeCell ref="B239:C239"/>
    <mergeCell ref="AH239:AI239"/>
    <mergeCell ref="AJ239:AO239"/>
    <mergeCell ref="B240:D240"/>
    <mergeCell ref="D241:J243"/>
    <mergeCell ref="K241:R243"/>
    <mergeCell ref="S241:Y243"/>
    <mergeCell ref="Z241:AG243"/>
    <mergeCell ref="AH241:AO243"/>
    <mergeCell ref="B242:C242"/>
    <mergeCell ref="B244:J244"/>
    <mergeCell ref="K244:R244"/>
    <mergeCell ref="S244:Y244"/>
    <mergeCell ref="Z244:AG244"/>
    <mergeCell ref="AH244:AO244"/>
    <mergeCell ref="B245:C245"/>
    <mergeCell ref="AH245:AI245"/>
    <mergeCell ref="AJ245:AO245"/>
    <mergeCell ref="B246:D246"/>
    <mergeCell ref="B253:C253"/>
    <mergeCell ref="Y256:Z256"/>
    <mergeCell ref="AA256:AG256"/>
    <mergeCell ref="B247:C247"/>
    <mergeCell ref="AH247:AI247"/>
    <mergeCell ref="AJ247:AO247"/>
    <mergeCell ref="B248:C248"/>
    <mergeCell ref="AH248:AI248"/>
    <mergeCell ref="AJ248:AO248"/>
    <mergeCell ref="B249:C249"/>
    <mergeCell ref="Y252:Z252"/>
    <mergeCell ref="AA252:AG252"/>
  </mergeCells>
  <conditionalFormatting sqref="B8 AG8">
    <cfRule type="expression" dxfId="1680" priority="184">
      <formula>NoColor</formula>
    </cfRule>
  </conditionalFormatting>
  <conditionalFormatting sqref="D15:AO17">
    <cfRule type="expression" dxfId="1679" priority="114">
      <formula>NoColor</formula>
    </cfRule>
  </conditionalFormatting>
  <conditionalFormatting sqref="D20:H22">
    <cfRule type="expression" dxfId="1678" priority="113">
      <formula>NoColor</formula>
    </cfRule>
  </conditionalFormatting>
  <conditionalFormatting sqref="AA20:AJ22">
    <cfRule type="expression" dxfId="1677" priority="112">
      <formula>NoColor</formula>
    </cfRule>
  </conditionalFormatting>
  <conditionalFormatting sqref="AM20:AM22">
    <cfRule type="expression" dxfId="1676" priority="111">
      <formula>NoColor</formula>
    </cfRule>
  </conditionalFormatting>
  <conditionalFormatting sqref="AJ12:AJ13">
    <cfRule type="expression" dxfId="1675" priority="110">
      <formula>NoColor</formula>
    </cfRule>
  </conditionalFormatting>
  <conditionalFormatting sqref="AM12:AM13">
    <cfRule type="expression" dxfId="1674" priority="109">
      <formula>NoColor</formula>
    </cfRule>
  </conditionalFormatting>
  <conditionalFormatting sqref="V27:AO28">
    <cfRule type="expression" dxfId="1673" priority="108">
      <formula>NoColor</formula>
    </cfRule>
  </conditionalFormatting>
  <conditionalFormatting sqref="V30:AO44">
    <cfRule type="expression" dxfId="1672" priority="107">
      <formula>NoColor</formula>
    </cfRule>
  </conditionalFormatting>
  <conditionalFormatting sqref="V45:AO45">
    <cfRule type="expression" dxfId="1671" priority="106">
      <formula>NoColor</formula>
    </cfRule>
  </conditionalFormatting>
  <conditionalFormatting sqref="V48:AO48">
    <cfRule type="expression" dxfId="1670" priority="105">
      <formula>NoColor</formula>
    </cfRule>
  </conditionalFormatting>
  <conditionalFormatting sqref="V50:W50 AC50:AE50 AI50:AK50 AO50">
    <cfRule type="expression" dxfId="1669" priority="104">
      <formula>NoColor</formula>
    </cfRule>
  </conditionalFormatting>
  <conditionalFormatting sqref="AD51:AI55 AD62:AI62 AD61:AF61">
    <cfRule type="expression" dxfId="1668" priority="103">
      <formula>NoColor</formula>
    </cfRule>
  </conditionalFormatting>
  <conditionalFormatting sqref="H44:R45">
    <cfRule type="expression" dxfId="1667" priority="102">
      <formula>NoColor</formula>
    </cfRule>
  </conditionalFormatting>
  <conditionalFormatting sqref="AJ56:AO56">
    <cfRule type="expression" dxfId="1666" priority="101">
      <formula>NoColor</formula>
    </cfRule>
  </conditionalFormatting>
  <conditionalFormatting sqref="H56:AF56">
    <cfRule type="expression" dxfId="1665" priority="100">
      <formula>NoColor</formula>
    </cfRule>
  </conditionalFormatting>
  <conditionalFormatting sqref="AJ57 AO57">
    <cfRule type="expression" dxfId="1664" priority="99">
      <formula>NoColor</formula>
    </cfRule>
  </conditionalFormatting>
  <conditionalFormatting sqref="H57:AG57">
    <cfRule type="expression" dxfId="1663" priority="98">
      <formula>NoColor</formula>
    </cfRule>
  </conditionalFormatting>
  <conditionalFormatting sqref="AJ61:AO61">
    <cfRule type="expression" dxfId="1662" priority="97">
      <formula>NoColor</formula>
    </cfRule>
  </conditionalFormatting>
  <conditionalFormatting sqref="AJ73">
    <cfRule type="expression" dxfId="1661" priority="96">
      <formula>NoColor</formula>
    </cfRule>
  </conditionalFormatting>
  <conditionalFormatting sqref="AM73">
    <cfRule type="expression" dxfId="1660" priority="95">
      <formula>NoColor</formula>
    </cfRule>
  </conditionalFormatting>
  <conditionalFormatting sqref="B65:AO65">
    <cfRule type="expression" dxfId="1659" priority="94">
      <formula>NoColor</formula>
    </cfRule>
  </conditionalFormatting>
  <conditionalFormatting sqref="C78:AO81">
    <cfRule type="expression" dxfId="1658" priority="93">
      <formula>NoColor</formula>
    </cfRule>
  </conditionalFormatting>
  <conditionalFormatting sqref="C86:AO89">
    <cfRule type="expression" dxfId="1657" priority="92">
      <formula>NoColor</formula>
    </cfRule>
  </conditionalFormatting>
  <conditionalFormatting sqref="F91:J91">
    <cfRule type="expression" dxfId="1656" priority="91">
      <formula>NoColor</formula>
    </cfRule>
  </conditionalFormatting>
  <conditionalFormatting sqref="K90:R90">
    <cfRule type="expression" dxfId="1655" priority="90">
      <formula>NoColor</formula>
    </cfRule>
  </conditionalFormatting>
  <conditionalFormatting sqref="S91:Y91">
    <cfRule type="expression" dxfId="1654" priority="89">
      <formula>NoColor</formula>
    </cfRule>
  </conditionalFormatting>
  <conditionalFormatting sqref="AH90:AO90">
    <cfRule type="expression" dxfId="1653" priority="88">
      <formula>NoColor</formula>
    </cfRule>
  </conditionalFormatting>
  <conditionalFormatting sqref="Z91:AG91">
    <cfRule type="expression" dxfId="1652" priority="87">
      <formula>NoColor</formula>
    </cfRule>
  </conditionalFormatting>
  <conditionalFormatting sqref="AH92:AO92 AH94:AO94 AH93:AI93 AO93">
    <cfRule type="expression" dxfId="1651" priority="86">
      <formula>NoColor</formula>
    </cfRule>
  </conditionalFormatting>
  <conditionalFormatting sqref="C99:J99 AH99:AO100">
    <cfRule type="expression" dxfId="1650" priority="85">
      <formula>NoColor</formula>
    </cfRule>
  </conditionalFormatting>
  <conditionalFormatting sqref="C100:J100">
    <cfRule type="expression" dxfId="1649" priority="84">
      <formula>NoColor</formula>
    </cfRule>
  </conditionalFormatting>
  <conditionalFormatting sqref="K116:AO116">
    <cfRule type="expression" dxfId="1648" priority="83">
      <formula>NoColor</formula>
    </cfRule>
  </conditionalFormatting>
  <conditionalFormatting sqref="C105:AO106">
    <cfRule type="expression" dxfId="1647" priority="82">
      <formula>NoColor</formula>
    </cfRule>
  </conditionalFormatting>
  <conditionalFormatting sqref="F108:N108">
    <cfRule type="expression" dxfId="1646" priority="81">
      <formula>NoColor</formula>
    </cfRule>
  </conditionalFormatting>
  <conditionalFormatting sqref="O107:X107">
    <cfRule type="expression" dxfId="1645" priority="80">
      <formula>NoColor</formula>
    </cfRule>
  </conditionalFormatting>
  <conditionalFormatting sqref="Y108:AG108">
    <cfRule type="expression" dxfId="1644" priority="79">
      <formula>NoColor</formula>
    </cfRule>
  </conditionalFormatting>
  <conditionalFormatting sqref="AH107:AO107">
    <cfRule type="expression" dxfId="1643" priority="78">
      <formula>NoColor</formula>
    </cfRule>
  </conditionalFormatting>
  <conditionalFormatting sqref="AJ109:AO109 AJ111:AO111 AJ110:AK110 AO110">
    <cfRule type="expression" dxfId="1642" priority="77">
      <formula>NoColor</formula>
    </cfRule>
  </conditionalFormatting>
  <conditionalFormatting sqref="AJ117:AO117">
    <cfRule type="expression" dxfId="1641" priority="76">
      <formula>NoColor</formula>
    </cfRule>
  </conditionalFormatting>
  <conditionalFormatting sqref="AJ119:AO119">
    <cfRule type="expression" dxfId="1640" priority="75">
      <formula>NoColor</formula>
    </cfRule>
  </conditionalFormatting>
  <conditionalFormatting sqref="AJ120:AO120">
    <cfRule type="expression" dxfId="1639" priority="74">
      <formula>NoColor</formula>
    </cfRule>
  </conditionalFormatting>
  <conditionalFormatting sqref="AA124:AG124">
    <cfRule type="expression" dxfId="1638" priority="73">
      <formula>NoColor</formula>
    </cfRule>
  </conditionalFormatting>
  <conditionalFormatting sqref="AA128:AG128">
    <cfRule type="expression" dxfId="1637" priority="72">
      <formula>NoColor</formula>
    </cfRule>
  </conditionalFormatting>
  <conditionalFormatting sqref="V29:AC29">
    <cfRule type="expression" dxfId="1636" priority="71">
      <formula>$BE$20</formula>
    </cfRule>
  </conditionalFormatting>
  <conditionalFormatting sqref="AD29:AI29">
    <cfRule type="expression" dxfId="1635" priority="70">
      <formula>$BE$21</formula>
    </cfRule>
  </conditionalFormatting>
  <conditionalFormatting sqref="AJ29:AO29">
    <cfRule type="expression" dxfId="1634" priority="69">
      <formula>$BE$22</formula>
    </cfRule>
  </conditionalFormatting>
  <conditionalFormatting sqref="AF20:AJ22">
    <cfRule type="expression" dxfId="1633" priority="68">
      <formula>AW20</formula>
    </cfRule>
  </conditionalFormatting>
  <conditionalFormatting sqref="AA20:AE22">
    <cfRule type="expression" dxfId="1632" priority="67">
      <formula>AV20</formula>
    </cfRule>
  </conditionalFormatting>
  <conditionalFormatting sqref="AJ12">
    <cfRule type="expression" dxfId="1631" priority="66">
      <formula>NOT(Draft)</formula>
    </cfRule>
  </conditionalFormatting>
  <conditionalFormatting sqref="B2">
    <cfRule type="expression" dxfId="1630" priority="65">
      <formula>NOT(Draft)</formula>
    </cfRule>
  </conditionalFormatting>
  <conditionalFormatting sqref="H2">
    <cfRule type="expression" dxfId="1629" priority="64">
      <formula>NOT(Draft)</formula>
    </cfRule>
  </conditionalFormatting>
  <conditionalFormatting sqref="B116:J116">
    <cfRule type="expression" dxfId="1628" priority="63">
      <formula>NoColor</formula>
    </cfRule>
  </conditionalFormatting>
  <conditionalFormatting sqref="B136 AG136">
    <cfRule type="expression" dxfId="1627" priority="62">
      <formula>NoColor</formula>
    </cfRule>
  </conditionalFormatting>
  <conditionalFormatting sqref="D143:AO145">
    <cfRule type="expression" dxfId="1626" priority="61">
      <formula>NoColor</formula>
    </cfRule>
  </conditionalFormatting>
  <conditionalFormatting sqref="D148:H150">
    <cfRule type="expression" dxfId="1625" priority="60">
      <formula>NoColor</formula>
    </cfRule>
  </conditionalFormatting>
  <conditionalFormatting sqref="AA148:AJ150">
    <cfRule type="expression" dxfId="1624" priority="59">
      <formula>NoColor</formula>
    </cfRule>
  </conditionalFormatting>
  <conditionalFormatting sqref="AM148:AM150">
    <cfRule type="expression" dxfId="1623" priority="58">
      <formula>NoColor</formula>
    </cfRule>
  </conditionalFormatting>
  <conditionalFormatting sqref="AJ140:AJ141">
    <cfRule type="expression" dxfId="1622" priority="57">
      <formula>NoColor</formula>
    </cfRule>
  </conditionalFormatting>
  <conditionalFormatting sqref="AM140:AM141">
    <cfRule type="expression" dxfId="1621" priority="56">
      <formula>NoColor</formula>
    </cfRule>
  </conditionalFormatting>
  <conditionalFormatting sqref="V155:AO156">
    <cfRule type="expression" dxfId="1620" priority="55">
      <formula>NoColor</formula>
    </cfRule>
  </conditionalFormatting>
  <conditionalFormatting sqref="V158:AO172">
    <cfRule type="expression" dxfId="1619" priority="54">
      <formula>NoColor</formula>
    </cfRule>
  </conditionalFormatting>
  <conditionalFormatting sqref="V173:AO173">
    <cfRule type="expression" dxfId="1618" priority="53">
      <formula>NoColor</formula>
    </cfRule>
  </conditionalFormatting>
  <conditionalFormatting sqref="V176:AO176">
    <cfRule type="expression" dxfId="1617" priority="52">
      <formula>NoColor</formula>
    </cfRule>
  </conditionalFormatting>
  <conditionalFormatting sqref="V178:W178 AC178:AE178 AI178:AK178 AO178">
    <cfRule type="expression" dxfId="1616" priority="51">
      <formula>NoColor</formula>
    </cfRule>
  </conditionalFormatting>
  <conditionalFormatting sqref="AD179:AI183 AD190:AI190 AD189:AF189">
    <cfRule type="expression" dxfId="1615" priority="50">
      <formula>NoColor</formula>
    </cfRule>
  </conditionalFormatting>
  <conditionalFormatting sqref="H172:R173">
    <cfRule type="expression" dxfId="1614" priority="49">
      <formula>NoColor</formula>
    </cfRule>
  </conditionalFormatting>
  <conditionalFormatting sqref="AJ184:AO184">
    <cfRule type="expression" dxfId="1613" priority="48">
      <formula>NoColor</formula>
    </cfRule>
  </conditionalFormatting>
  <conditionalFormatting sqref="H184:AF184">
    <cfRule type="expression" dxfId="1612" priority="47">
      <formula>NoColor</formula>
    </cfRule>
  </conditionalFormatting>
  <conditionalFormatting sqref="AJ185:AK185 AO185">
    <cfRule type="expression" dxfId="1611" priority="46">
      <formula>NoColor</formula>
    </cfRule>
  </conditionalFormatting>
  <conditionalFormatting sqref="H185:AG185">
    <cfRule type="expression" dxfId="1610" priority="45">
      <formula>NoColor</formula>
    </cfRule>
  </conditionalFormatting>
  <conditionalFormatting sqref="AJ189:AO189">
    <cfRule type="expression" dxfId="1609" priority="44">
      <formula>NoColor</formula>
    </cfRule>
  </conditionalFormatting>
  <conditionalFormatting sqref="AJ201">
    <cfRule type="expression" dxfId="1608" priority="43">
      <formula>NoColor</formula>
    </cfRule>
  </conditionalFormatting>
  <conditionalFormatting sqref="AM201">
    <cfRule type="expression" dxfId="1607" priority="42">
      <formula>NoColor</formula>
    </cfRule>
  </conditionalFormatting>
  <conditionalFormatting sqref="C206:AO209">
    <cfRule type="expression" dxfId="1606" priority="40">
      <formula>NoColor</formula>
    </cfRule>
  </conditionalFormatting>
  <conditionalFormatting sqref="C214:AO217">
    <cfRule type="expression" dxfId="1605" priority="39">
      <formula>NoColor</formula>
    </cfRule>
  </conditionalFormatting>
  <conditionalFormatting sqref="F219:J219">
    <cfRule type="expression" dxfId="1604" priority="38">
      <formula>NoColor</formula>
    </cfRule>
  </conditionalFormatting>
  <conditionalFormatting sqref="K218:R218">
    <cfRule type="expression" dxfId="1603" priority="37">
      <formula>NoColor</formula>
    </cfRule>
  </conditionalFormatting>
  <conditionalFormatting sqref="S219:Y219">
    <cfRule type="expression" dxfId="1602" priority="36">
      <formula>NoColor</formula>
    </cfRule>
  </conditionalFormatting>
  <conditionalFormatting sqref="AH218:AO218">
    <cfRule type="expression" dxfId="1601" priority="35">
      <formula>NoColor</formula>
    </cfRule>
  </conditionalFormatting>
  <conditionalFormatting sqref="Z219:AG219">
    <cfRule type="expression" dxfId="1600" priority="34">
      <formula>NoColor</formula>
    </cfRule>
  </conditionalFormatting>
  <conditionalFormatting sqref="AH220:AO220 AH222:AO222 AH221:AI221 AO221">
    <cfRule type="expression" dxfId="1599" priority="33">
      <formula>NoColor</formula>
    </cfRule>
  </conditionalFormatting>
  <conditionalFormatting sqref="C227:J227 AH227:AO228">
    <cfRule type="expression" dxfId="1598" priority="32">
      <formula>NoColor</formula>
    </cfRule>
  </conditionalFormatting>
  <conditionalFormatting sqref="C228:J228">
    <cfRule type="expression" dxfId="1597" priority="31">
      <formula>NoColor</formula>
    </cfRule>
  </conditionalFormatting>
  <conditionalFormatting sqref="K244:AO244">
    <cfRule type="expression" dxfId="1596" priority="30">
      <formula>NoColor</formula>
    </cfRule>
  </conditionalFormatting>
  <conditionalFormatting sqref="C233:AO234">
    <cfRule type="expression" dxfId="1595" priority="29">
      <formula>NoColor</formula>
    </cfRule>
  </conditionalFormatting>
  <conditionalFormatting sqref="F236:N236">
    <cfRule type="expression" dxfId="1594" priority="28">
      <formula>NoColor</formula>
    </cfRule>
  </conditionalFormatting>
  <conditionalFormatting sqref="O235:X235">
    <cfRule type="expression" dxfId="1593" priority="27">
      <formula>NoColor</formula>
    </cfRule>
  </conditionalFormatting>
  <conditionalFormatting sqref="Y236:AG236">
    <cfRule type="expression" dxfId="1592" priority="26">
      <formula>NoColor</formula>
    </cfRule>
  </conditionalFormatting>
  <conditionalFormatting sqref="AH235:AO235">
    <cfRule type="expression" dxfId="1591" priority="25">
      <formula>NoColor</formula>
    </cfRule>
  </conditionalFormatting>
  <conditionalFormatting sqref="AJ237:AO237 AJ239:AO239 AJ238:AK238 AO238">
    <cfRule type="expression" dxfId="1590" priority="24">
      <formula>NoColor</formula>
    </cfRule>
  </conditionalFormatting>
  <conditionalFormatting sqref="AJ245:AO245">
    <cfRule type="expression" dxfId="1589" priority="23">
      <formula>NoColor</formula>
    </cfRule>
  </conditionalFormatting>
  <conditionalFormatting sqref="AJ247:AO247">
    <cfRule type="expression" dxfId="1588" priority="22">
      <formula>NoColor</formula>
    </cfRule>
  </conditionalFormatting>
  <conditionalFormatting sqref="AJ248:AO248">
    <cfRule type="expression" dxfId="1587" priority="21">
      <formula>NoColor</formula>
    </cfRule>
  </conditionalFormatting>
  <conditionalFormatting sqref="AA252:AG252">
    <cfRule type="expression" dxfId="1586" priority="20">
      <formula>NoColor</formula>
    </cfRule>
  </conditionalFormatting>
  <conditionalFormatting sqref="AA256:AG256">
    <cfRule type="expression" dxfId="1585" priority="19">
      <formula>NoColor</formula>
    </cfRule>
  </conditionalFormatting>
  <conditionalFormatting sqref="V157:AC157">
    <cfRule type="expression" dxfId="1584" priority="18">
      <formula>$BE$20</formula>
    </cfRule>
  </conditionalFormatting>
  <conditionalFormatting sqref="AD157:AI157">
    <cfRule type="expression" dxfId="1583" priority="17">
      <formula>$BE$21</formula>
    </cfRule>
  </conditionalFormatting>
  <conditionalFormatting sqref="AJ157:AO157">
    <cfRule type="expression" dxfId="1582" priority="16">
      <formula>$BE$22</formula>
    </cfRule>
  </conditionalFormatting>
  <conditionalFormatting sqref="AF148:AJ150">
    <cfRule type="expression" dxfId="1581" priority="15">
      <formula>AW148</formula>
    </cfRule>
  </conditionalFormatting>
  <conditionalFormatting sqref="AA148:AE150">
    <cfRule type="expression" dxfId="1580" priority="14">
      <formula>AV148</formula>
    </cfRule>
  </conditionalFormatting>
  <conditionalFormatting sqref="AJ140">
    <cfRule type="expression" dxfId="1579" priority="13">
      <formula>NOT(Draft)</formula>
    </cfRule>
  </conditionalFormatting>
  <conditionalFormatting sqref="B130">
    <cfRule type="expression" dxfId="1578" priority="12">
      <formula>NOT(Draft)</formula>
    </cfRule>
  </conditionalFormatting>
  <conditionalFormatting sqref="H130">
    <cfRule type="expression" dxfId="1577" priority="11">
      <formula>NOT(Draft)</formula>
    </cfRule>
  </conditionalFormatting>
  <conditionalFormatting sqref="B244:J244">
    <cfRule type="expression" dxfId="1576" priority="10">
      <formula>NoColor</formula>
    </cfRule>
  </conditionalFormatting>
  <conditionalFormatting sqref="AK57">
    <cfRule type="expression" dxfId="1575" priority="9">
      <formula>NoColor</formula>
    </cfRule>
  </conditionalFormatting>
  <conditionalFormatting sqref="AG25:AO25">
    <cfRule type="expression" dxfId="1574" priority="8">
      <formula>OR(NoColor,NOT(AR$23))</formula>
    </cfRule>
  </conditionalFormatting>
  <conditionalFormatting sqref="AG153:AO153">
    <cfRule type="expression" dxfId="1573" priority="7">
      <formula>OR(NoColor,NOT(AR151))</formula>
    </cfRule>
  </conditionalFormatting>
  <conditionalFormatting sqref="H64">
    <cfRule type="expression" dxfId="1572" priority="6">
      <formula>AND($AR64,$AP65="",NOT(NoColor))</formula>
    </cfRule>
  </conditionalFormatting>
  <conditionalFormatting sqref="B193:AO193">
    <cfRule type="expression" dxfId="1571" priority="4">
      <formula>NoColor</formula>
    </cfRule>
  </conditionalFormatting>
  <conditionalFormatting sqref="H192">
    <cfRule type="expression" dxfId="1570" priority="3">
      <formula>AND($AR192,$AP193="",NOT(NoColor))</formula>
    </cfRule>
  </conditionalFormatting>
  <conditionalFormatting sqref="AP193">
    <cfRule type="expression" dxfId="1569" priority="2">
      <formula>$AR192</formula>
    </cfRule>
  </conditionalFormatting>
  <conditionalFormatting sqref="AP65">
    <cfRule type="expression" dxfId="1568" priority="1">
      <formula>$AR64</formula>
    </cfRule>
  </conditionalFormatting>
  <pageMargins left="0.45" right="0.2" top="0.5" bottom="0.25" header="0" footer="0"/>
  <pageSetup scale="79" fitToHeight="4" orientation="portrait" r:id="rId1"/>
  <rowBreaks count="3" manualBreakCount="3">
    <brk id="62" min="1" max="40" man="1"/>
    <brk id="129" min="1" max="40" man="1"/>
    <brk id="190" min="1" max="4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27"/>
  <sheetViews>
    <sheetView zoomScaleNormal="100" workbookViewId="0">
      <selection activeCell="P39" sqref="P39"/>
    </sheetView>
  </sheetViews>
  <sheetFormatPr defaultRowHeight="12.75"/>
  <cols>
    <col min="1" max="1" width="2" customWidth="1"/>
    <col min="2" max="2" width="3.85546875" customWidth="1"/>
    <col min="3" max="3" width="4" customWidth="1"/>
    <col min="4" max="4" width="12" customWidth="1"/>
    <col min="5" max="5" width="8" customWidth="1"/>
    <col min="6" max="6" width="3" customWidth="1"/>
    <col min="7" max="7" width="6.28515625" customWidth="1"/>
    <col min="8" max="13" width="3.28515625" customWidth="1"/>
    <col min="14" max="14" width="1.7109375" customWidth="1"/>
    <col min="15" max="15" width="2.85546875" customWidth="1"/>
    <col min="16" max="16" width="4.85546875" customWidth="1"/>
    <col min="17" max="17" width="2.42578125" customWidth="1"/>
    <col min="18" max="18" width="9.42578125" customWidth="1"/>
    <col min="19" max="19" width="3.7109375" customWidth="1"/>
    <col min="20" max="28" width="3.42578125" customWidth="1"/>
    <col min="29" max="29" width="1.7109375" customWidth="1"/>
    <col min="30" max="30" width="11.5703125" style="46" customWidth="1"/>
    <col min="31" max="31" width="2.5703125" customWidth="1"/>
    <col min="32" max="32" width="6.140625" customWidth="1"/>
    <col min="33" max="42" width="10.7109375" style="3169" customWidth="1"/>
  </cols>
  <sheetData>
    <row r="1" spans="1:33" ht="15.75" customHeight="1">
      <c r="A1" s="82"/>
      <c r="B1" s="82"/>
      <c r="C1" s="82"/>
      <c r="D1" s="82"/>
      <c r="E1" s="1098"/>
      <c r="F1" s="82"/>
      <c r="G1" s="82"/>
      <c r="H1" s="82"/>
      <c r="I1" s="82"/>
      <c r="J1" s="82"/>
      <c r="K1" s="82"/>
      <c r="L1" s="82"/>
      <c r="M1" s="82"/>
      <c r="N1" s="82"/>
      <c r="O1" s="82"/>
      <c r="P1" s="82"/>
      <c r="Q1" s="82"/>
      <c r="R1" s="82"/>
      <c r="S1" s="82"/>
      <c r="T1" s="82"/>
      <c r="U1" s="82"/>
      <c r="V1" s="82"/>
      <c r="W1" s="82"/>
      <c r="X1" s="82"/>
      <c r="Y1" s="82"/>
      <c r="Z1" s="82"/>
      <c r="AA1" s="82"/>
      <c r="AB1" s="82"/>
      <c r="AC1" s="635"/>
      <c r="AD1" s="396"/>
      <c r="AE1" s="635"/>
      <c r="AG1" s="3168" t="s">
        <v>2552</v>
      </c>
    </row>
    <row r="2" spans="1:33" ht="15.75" customHeight="1">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635"/>
      <c r="AD2" s="396"/>
      <c r="AE2" s="635"/>
    </row>
    <row r="3" spans="1:33" ht="10.5" customHeight="1">
      <c r="A3" s="82"/>
      <c r="B3" s="6460" t="s">
        <v>1155</v>
      </c>
      <c r="C3" s="6460"/>
      <c r="D3" s="6461"/>
      <c r="E3" s="4016"/>
      <c r="F3" s="1443"/>
      <c r="G3" s="1443"/>
      <c r="H3" s="1443"/>
      <c r="I3" s="1443"/>
      <c r="J3" s="1443"/>
      <c r="K3" s="1443"/>
      <c r="L3" s="1443"/>
      <c r="M3" s="1443"/>
      <c r="N3" s="1443"/>
      <c r="O3" s="1443"/>
      <c r="P3" s="1443"/>
      <c r="Q3" s="1443"/>
      <c r="R3" s="1443"/>
      <c r="S3" s="1443"/>
      <c r="T3" s="1443"/>
      <c r="U3" s="1443"/>
      <c r="V3" s="4017"/>
      <c r="W3" s="1443"/>
      <c r="X3" s="1825" t="s">
        <v>169</v>
      </c>
      <c r="Y3" s="1825"/>
      <c r="Z3" s="1826"/>
      <c r="AA3" s="1826"/>
      <c r="AB3" s="1826"/>
      <c r="AC3" s="635"/>
      <c r="AD3" s="396"/>
      <c r="AE3" s="635"/>
    </row>
    <row r="4" spans="1:33" ht="21.75" customHeight="1">
      <c r="A4" s="635"/>
      <c r="B4" s="6462"/>
      <c r="C4" s="6462"/>
      <c r="D4" s="6461"/>
      <c r="E4" s="6500" t="s">
        <v>1153</v>
      </c>
      <c r="F4" s="6090"/>
      <c r="G4" s="6090"/>
      <c r="H4" s="6090"/>
      <c r="I4" s="6090"/>
      <c r="J4" s="6090"/>
      <c r="K4" s="6090"/>
      <c r="L4" s="6090"/>
      <c r="M4" s="6090"/>
      <c r="N4" s="6090"/>
      <c r="O4" s="6090"/>
      <c r="P4" s="6090"/>
      <c r="Q4" s="6090"/>
      <c r="R4" s="6090"/>
      <c r="S4" s="6090"/>
      <c r="T4" s="6090"/>
      <c r="U4" s="6090"/>
      <c r="V4" s="6090"/>
      <c r="W4" s="6501"/>
      <c r="X4" s="6437">
        <f>TaxYear</f>
        <v>2018</v>
      </c>
      <c r="Y4" s="6438"/>
      <c r="Z4" s="6438"/>
      <c r="AA4" s="6438"/>
      <c r="AB4" s="6438"/>
      <c r="AC4" s="635"/>
      <c r="AD4" s="396"/>
      <c r="AE4" s="635"/>
    </row>
    <row r="5" spans="1:33" ht="9.75" customHeight="1">
      <c r="A5" s="635"/>
      <c r="B5" s="6490" t="s">
        <v>2674</v>
      </c>
      <c r="C5" s="6490"/>
      <c r="D5" s="6491"/>
      <c r="E5" s="1860" t="s">
        <v>4443</v>
      </c>
      <c r="F5" s="1828"/>
      <c r="G5" s="1828"/>
      <c r="H5" s="1828"/>
      <c r="I5" s="1828"/>
      <c r="J5" s="1828"/>
      <c r="K5" s="1828"/>
      <c r="L5" s="1828"/>
      <c r="M5" s="1828"/>
      <c r="N5" s="1828"/>
      <c r="O5" s="1828"/>
      <c r="P5" s="1828"/>
      <c r="Q5" s="1828"/>
      <c r="R5" s="1828"/>
      <c r="S5" s="1828"/>
      <c r="T5" s="1828"/>
      <c r="U5" s="1828"/>
      <c r="V5" s="1828"/>
      <c r="W5" s="1828"/>
      <c r="X5" s="6439" t="s">
        <v>4444</v>
      </c>
      <c r="Y5" s="6440"/>
      <c r="Z5" s="6440"/>
      <c r="AA5" s="6440"/>
      <c r="AB5" s="6440"/>
      <c r="AC5" s="635"/>
      <c r="AD5" s="396"/>
      <c r="AE5" s="635"/>
    </row>
    <row r="6" spans="1:33" ht="12" customHeight="1">
      <c r="A6" s="635"/>
      <c r="B6" s="6490"/>
      <c r="C6" s="6490"/>
      <c r="D6" s="6491"/>
      <c r="E6" s="6494" t="s">
        <v>2524</v>
      </c>
      <c r="F6" s="6495"/>
      <c r="G6" s="6495"/>
      <c r="H6" s="6495"/>
      <c r="I6" s="6495"/>
      <c r="J6" s="6495"/>
      <c r="K6" s="6495"/>
      <c r="L6" s="6495"/>
      <c r="M6" s="6495"/>
      <c r="N6" s="6495"/>
      <c r="O6" s="6495"/>
      <c r="P6" s="6495"/>
      <c r="Q6" s="6495"/>
      <c r="R6" s="6495"/>
      <c r="S6" s="6495"/>
      <c r="T6" s="6495"/>
      <c r="U6" s="6495"/>
      <c r="V6" s="6495"/>
      <c r="W6" s="6496"/>
      <c r="X6" s="6441"/>
      <c r="Y6" s="6440"/>
      <c r="Z6" s="6440"/>
      <c r="AA6" s="6440"/>
      <c r="AB6" s="6440"/>
      <c r="AC6" s="635"/>
      <c r="AD6" s="396"/>
      <c r="AE6" s="635"/>
    </row>
    <row r="7" spans="1:33" ht="6.75" customHeight="1">
      <c r="A7" s="635"/>
      <c r="B7" s="6492"/>
      <c r="C7" s="6492"/>
      <c r="D7" s="6493"/>
      <c r="E7" s="6497"/>
      <c r="F7" s="6498"/>
      <c r="G7" s="6498"/>
      <c r="H7" s="6498"/>
      <c r="I7" s="6498"/>
      <c r="J7" s="6498"/>
      <c r="K7" s="6498"/>
      <c r="L7" s="6498"/>
      <c r="M7" s="6498"/>
      <c r="N7" s="6498"/>
      <c r="O7" s="6498"/>
      <c r="P7" s="6498"/>
      <c r="Q7" s="6498"/>
      <c r="R7" s="6498"/>
      <c r="S7" s="6498"/>
      <c r="T7" s="6498"/>
      <c r="U7" s="6498"/>
      <c r="V7" s="6498"/>
      <c r="W7" s="6499"/>
      <c r="X7" s="6442"/>
      <c r="Y7" s="6443"/>
      <c r="Z7" s="6443"/>
      <c r="AA7" s="6443"/>
      <c r="AB7" s="6443"/>
      <c r="AC7" s="635"/>
      <c r="AD7" s="396"/>
      <c r="AE7" s="635"/>
    </row>
    <row r="8" spans="1:33" ht="12" customHeight="1">
      <c r="A8" s="635"/>
      <c r="B8" s="21" t="s">
        <v>1156</v>
      </c>
      <c r="C8" s="171"/>
      <c r="D8" s="168"/>
      <c r="E8" s="168"/>
      <c r="F8" s="168"/>
      <c r="G8" s="141"/>
      <c r="H8" s="141"/>
      <c r="I8" s="142"/>
      <c r="J8" s="142"/>
      <c r="K8" s="142"/>
      <c r="L8" s="142"/>
      <c r="M8" s="142"/>
      <c r="N8" s="151"/>
      <c r="O8" s="151"/>
      <c r="P8" s="151"/>
      <c r="Q8" s="151"/>
      <c r="R8" s="160"/>
      <c r="S8" s="157"/>
      <c r="T8" s="1840" t="s">
        <v>4445</v>
      </c>
      <c r="U8" s="142"/>
      <c r="V8" s="142"/>
      <c r="W8" s="142"/>
      <c r="X8" s="141"/>
      <c r="Y8" s="141"/>
      <c r="Z8" s="141"/>
      <c r="AA8" s="141"/>
      <c r="AB8" s="141"/>
      <c r="AC8" s="635"/>
      <c r="AD8" s="396"/>
      <c r="AE8" s="635"/>
    </row>
    <row r="9" spans="1:33" ht="14.25" customHeight="1" thickBot="1">
      <c r="A9" s="635"/>
      <c r="B9" s="6444"/>
      <c r="C9" s="6444"/>
      <c r="D9" s="6445"/>
      <c r="E9" s="6445"/>
      <c r="F9" s="6445"/>
      <c r="G9" s="6446"/>
      <c r="H9" s="6446"/>
      <c r="I9" s="6446"/>
      <c r="J9" s="6446"/>
      <c r="K9" s="6446"/>
      <c r="L9" s="6446"/>
      <c r="M9" s="6446"/>
      <c r="N9" s="6445"/>
      <c r="O9" s="6445"/>
      <c r="P9" s="6445"/>
      <c r="Q9" s="6445"/>
      <c r="R9" s="6445"/>
      <c r="S9" s="6447"/>
      <c r="T9" s="6448">
        <v>22332222</v>
      </c>
      <c r="U9" s="6449"/>
      <c r="V9" s="6449"/>
      <c r="W9" s="6449"/>
      <c r="X9" s="6449"/>
      <c r="Y9" s="6449"/>
      <c r="Z9" s="6449"/>
      <c r="AA9" s="6449"/>
      <c r="AB9" s="6450"/>
      <c r="AC9" s="635"/>
      <c r="AD9" s="396"/>
      <c r="AE9" s="635"/>
    </row>
    <row r="10" spans="1:33" ht="12.75" customHeight="1" thickTop="1">
      <c r="A10" s="635"/>
      <c r="B10" s="253" t="s">
        <v>159</v>
      </c>
      <c r="C10" s="171" t="s">
        <v>1157</v>
      </c>
      <c r="D10" s="171"/>
      <c r="E10" s="176"/>
      <c r="F10" s="168"/>
      <c r="G10" s="1077" t="s">
        <v>1278</v>
      </c>
      <c r="H10" s="62"/>
      <c r="I10" s="61"/>
      <c r="J10" s="61"/>
      <c r="K10" s="61"/>
      <c r="L10" s="61"/>
      <c r="M10" s="4778"/>
      <c r="N10" s="6454" t="s">
        <v>1158</v>
      </c>
      <c r="O10" s="5601"/>
      <c r="P10" s="5601"/>
      <c r="Q10" s="5601"/>
      <c r="R10" s="5601"/>
      <c r="T10" s="1809" t="s">
        <v>4446</v>
      </c>
      <c r="U10" s="160"/>
      <c r="V10" s="160"/>
      <c r="W10" s="160"/>
      <c r="X10" s="1805"/>
      <c r="Y10" s="1805"/>
      <c r="Z10" s="1805"/>
      <c r="AA10" s="1805"/>
      <c r="AB10" s="1805"/>
      <c r="AC10" s="635"/>
      <c r="AD10" s="396"/>
      <c r="AE10" s="635"/>
    </row>
    <row r="11" spans="1:33" ht="12.75" customHeight="1">
      <c r="A11" s="635"/>
      <c r="B11" s="6455"/>
      <c r="C11" s="6455"/>
      <c r="D11" s="6446"/>
      <c r="E11" s="6446"/>
      <c r="F11" s="6446"/>
      <c r="G11" s="4779"/>
      <c r="H11" s="6456"/>
      <c r="I11" s="6456"/>
      <c r="J11" s="6456"/>
      <c r="K11" s="6456"/>
      <c r="L11" s="6456"/>
      <c r="M11" s="6458"/>
      <c r="N11" s="1804"/>
      <c r="O11" s="1803"/>
      <c r="P11" s="1806" t="s">
        <v>145</v>
      </c>
      <c r="Q11" s="1803"/>
      <c r="R11" s="1806" t="s">
        <v>1159</v>
      </c>
      <c r="S11" s="1806"/>
      <c r="T11" s="6456"/>
      <c r="U11" s="6464"/>
      <c r="V11" s="6466"/>
      <c r="W11" s="6456"/>
      <c r="X11" s="6456"/>
      <c r="Y11" s="6456"/>
      <c r="Z11" s="6456"/>
      <c r="AA11" s="6456"/>
      <c r="AB11" s="6456"/>
      <c r="AC11" s="635"/>
      <c r="AD11" s="396"/>
      <c r="AE11" s="635"/>
    </row>
    <row r="12" spans="1:33" ht="4.5" customHeight="1" thickBot="1">
      <c r="A12" s="635"/>
      <c r="B12" s="6445"/>
      <c r="C12" s="6445"/>
      <c r="D12" s="6445"/>
      <c r="E12" s="6445"/>
      <c r="F12" s="6445"/>
      <c r="G12" s="4780"/>
      <c r="H12" s="6457"/>
      <c r="I12" s="6457"/>
      <c r="J12" s="6457"/>
      <c r="K12" s="6457"/>
      <c r="L12" s="6457"/>
      <c r="M12" s="6459"/>
      <c r="N12" s="1807"/>
      <c r="O12" s="1807"/>
      <c r="P12" s="1808"/>
      <c r="Q12" s="1807"/>
      <c r="R12" s="1807"/>
      <c r="S12" s="1807"/>
      <c r="T12" s="6463"/>
      <c r="U12" s="6465"/>
      <c r="V12" s="6467"/>
      <c r="W12" s="6463"/>
      <c r="X12" s="6463"/>
      <c r="Y12" s="6463"/>
      <c r="Z12" s="6463"/>
      <c r="AA12" s="6463"/>
      <c r="AB12" s="6463"/>
      <c r="AC12" s="635"/>
      <c r="AD12" s="396"/>
      <c r="AE12" s="635"/>
    </row>
    <row r="13" spans="1:33" ht="3.75" customHeight="1" thickTop="1">
      <c r="A13" s="635"/>
      <c r="B13" s="146"/>
      <c r="C13" s="146"/>
      <c r="D13" s="176"/>
      <c r="E13" s="176"/>
      <c r="F13" s="862"/>
      <c r="G13" s="141"/>
      <c r="H13" s="161"/>
      <c r="I13" s="863"/>
      <c r="J13" s="863"/>
      <c r="K13" s="863"/>
      <c r="L13" s="863"/>
      <c r="M13" s="863"/>
      <c r="N13" s="176"/>
      <c r="O13" s="179"/>
      <c r="P13" s="179"/>
      <c r="Q13" s="863"/>
      <c r="R13" s="176"/>
      <c r="S13" s="176"/>
      <c r="T13" s="176"/>
      <c r="U13" s="641"/>
      <c r="V13" s="864"/>
      <c r="W13" s="864"/>
      <c r="X13" s="864"/>
      <c r="Y13" s="864"/>
      <c r="Z13" s="864"/>
      <c r="AA13" s="864"/>
      <c r="AB13" s="864"/>
      <c r="AC13" s="635"/>
      <c r="AD13" s="396"/>
      <c r="AE13" s="635"/>
    </row>
    <row r="14" spans="1:33" ht="12.75" customHeight="1">
      <c r="A14" s="635"/>
      <c r="B14" s="169" t="s">
        <v>419</v>
      </c>
      <c r="C14" s="1871" t="str">
        <f>"Did you “materially participate” in the operation of this business during "&amp;TaxYear&amp;"?  If “No,” see instructions for limit on passive losses"</f>
        <v>Did you “materially participate” in the operation of this business during 2018?  If “No,” see instructions for limit on passive losses</v>
      </c>
      <c r="D14" s="21"/>
      <c r="E14" s="21"/>
      <c r="F14" s="141"/>
      <c r="G14" s="141"/>
      <c r="H14" s="161"/>
      <c r="I14" s="141"/>
      <c r="J14" s="141"/>
      <c r="K14" s="141"/>
      <c r="L14" s="141"/>
      <c r="M14" s="141"/>
      <c r="N14" s="176"/>
      <c r="O14" s="179"/>
      <c r="P14" s="179"/>
      <c r="Q14" s="179"/>
      <c r="R14" s="141"/>
      <c r="S14" s="141"/>
      <c r="T14" s="176"/>
      <c r="U14" s="141"/>
      <c r="V14" s="141"/>
      <c r="W14" s="141"/>
      <c r="X14" s="1841"/>
      <c r="Y14" s="280" t="s">
        <v>307</v>
      </c>
      <c r="Z14" s="170"/>
      <c r="AA14" s="1841"/>
      <c r="AB14" s="280" t="s">
        <v>308</v>
      </c>
      <c r="AC14" s="635"/>
      <c r="AD14" s="396"/>
      <c r="AE14" s="635"/>
    </row>
    <row r="15" spans="1:33" ht="12.75" customHeight="1">
      <c r="A15" s="635"/>
      <c r="B15" s="169" t="s">
        <v>421</v>
      </c>
      <c r="C15" s="171" t="str">
        <f>"Did you make any payments in "&amp;TaxYear&amp;" that would require you to file Form(s) 1099 (see instructions)?"</f>
        <v>Did you make any payments in 2018 that would require you to file Form(s) 1099 (see instructions)?</v>
      </c>
      <c r="D15" s="171"/>
      <c r="E15" s="21"/>
      <c r="F15" s="141"/>
      <c r="G15" s="141"/>
      <c r="H15" s="161"/>
      <c r="I15" s="141"/>
      <c r="J15" s="141"/>
      <c r="K15" s="141"/>
      <c r="L15" s="141"/>
      <c r="M15" s="141"/>
      <c r="N15" s="176"/>
      <c r="O15" s="179"/>
      <c r="P15" s="179"/>
      <c r="Q15" s="179"/>
      <c r="R15" s="141"/>
      <c r="S15" s="141"/>
      <c r="T15" s="176"/>
      <c r="U15" s="141"/>
      <c r="V15" s="141"/>
      <c r="W15" s="644" t="s">
        <v>2526</v>
      </c>
      <c r="X15" s="1841"/>
      <c r="Y15" s="280" t="s">
        <v>307</v>
      </c>
      <c r="Z15" s="170"/>
      <c r="AA15" s="1841"/>
      <c r="AB15" s="280" t="s">
        <v>308</v>
      </c>
      <c r="AC15" s="635"/>
      <c r="AD15" s="396"/>
      <c r="AE15" s="635"/>
    </row>
    <row r="16" spans="1:33" ht="12.75" customHeight="1">
      <c r="A16" s="635"/>
      <c r="B16" s="169" t="s">
        <v>147</v>
      </c>
      <c r="C16" s="171" t="s">
        <v>716</v>
      </c>
      <c r="D16" s="171"/>
      <c r="E16" s="21"/>
      <c r="F16" s="141"/>
      <c r="G16" s="141"/>
      <c r="H16" s="161"/>
      <c r="I16" s="141"/>
      <c r="J16" s="141"/>
      <c r="K16" s="141"/>
      <c r="L16" s="141"/>
      <c r="M16" s="141"/>
      <c r="N16" s="176"/>
      <c r="O16" s="179"/>
      <c r="P16" s="179"/>
      <c r="Q16" s="179"/>
      <c r="R16" s="141"/>
      <c r="S16" s="141"/>
      <c r="T16" s="176"/>
      <c r="U16" s="141"/>
      <c r="V16" s="141"/>
      <c r="W16" s="644" t="s">
        <v>2527</v>
      </c>
      <c r="X16" s="1841"/>
      <c r="Y16" s="280" t="s">
        <v>307</v>
      </c>
      <c r="Z16" s="170"/>
      <c r="AA16" s="1841"/>
      <c r="AB16" s="280" t="s">
        <v>308</v>
      </c>
      <c r="AC16" s="635"/>
      <c r="AD16" s="1843" t="s">
        <v>100</v>
      </c>
      <c r="AE16" s="635"/>
    </row>
    <row r="17" spans="1:31" ht="3.75" customHeight="1">
      <c r="A17" s="635"/>
      <c r="B17" s="1844"/>
      <c r="C17" s="257"/>
      <c r="D17" s="257"/>
      <c r="E17" s="150"/>
      <c r="F17" s="17"/>
      <c r="G17" s="17"/>
      <c r="H17" s="1845"/>
      <c r="I17" s="17"/>
      <c r="J17" s="17"/>
      <c r="K17" s="17"/>
      <c r="L17" s="17"/>
      <c r="M17" s="17"/>
      <c r="N17" s="178"/>
      <c r="O17" s="1846"/>
      <c r="P17" s="1846"/>
      <c r="Q17" s="1846"/>
      <c r="R17" s="17"/>
      <c r="S17" s="17"/>
      <c r="T17" s="178"/>
      <c r="U17" s="17"/>
      <c r="V17" s="17"/>
      <c r="W17" s="17"/>
      <c r="X17" s="1847"/>
      <c r="Y17" s="676"/>
      <c r="Z17" s="1848"/>
      <c r="AA17" s="1847"/>
      <c r="AB17" s="676"/>
      <c r="AC17" s="635"/>
      <c r="AD17" s="1843"/>
      <c r="AE17" s="635"/>
    </row>
    <row r="18" spans="1:31" ht="15" customHeight="1">
      <c r="A18" s="635"/>
      <c r="B18" s="6503" t="s">
        <v>58</v>
      </c>
      <c r="C18" s="6273"/>
      <c r="D18" s="1810" t="s">
        <v>1276</v>
      </c>
      <c r="E18" s="180"/>
      <c r="F18" s="181"/>
      <c r="G18" s="182"/>
      <c r="H18" s="1071"/>
      <c r="I18" s="1071" t="s">
        <v>1160</v>
      </c>
      <c r="J18" s="1071"/>
      <c r="K18" s="182"/>
      <c r="L18" s="182"/>
      <c r="M18" s="182"/>
      <c r="N18" s="183"/>
      <c r="O18" s="183"/>
      <c r="P18" s="183"/>
      <c r="Q18" s="183"/>
      <c r="R18" s="183"/>
      <c r="S18" s="183"/>
      <c r="T18" s="183"/>
      <c r="U18" s="182"/>
      <c r="V18" s="182"/>
      <c r="W18" s="184"/>
      <c r="X18" s="337"/>
      <c r="Y18" s="182"/>
      <c r="Z18" s="182"/>
      <c r="AA18" s="337"/>
      <c r="AB18" s="182"/>
      <c r="AC18" s="635"/>
      <c r="AD18" s="1615" t="s">
        <v>468</v>
      </c>
      <c r="AE18" s="635"/>
    </row>
    <row r="19" spans="1:31" ht="14.25" customHeight="1">
      <c r="A19" s="4912"/>
      <c r="B19" s="161" t="s">
        <v>14</v>
      </c>
      <c r="C19" s="403" t="s">
        <v>1161</v>
      </c>
      <c r="D19" s="280"/>
      <c r="E19" s="280"/>
      <c r="F19" s="186"/>
      <c r="G19" s="186"/>
      <c r="H19" s="186"/>
      <c r="I19" s="186"/>
      <c r="J19" s="186"/>
      <c r="K19" s="186"/>
      <c r="L19" s="186"/>
      <c r="M19" s="186"/>
      <c r="N19" s="187"/>
      <c r="O19" s="187"/>
      <c r="P19" s="187"/>
      <c r="Q19" s="187"/>
      <c r="R19" s="644" t="s">
        <v>1212</v>
      </c>
      <c r="S19" s="500" t="s">
        <v>14</v>
      </c>
      <c r="T19" s="6478"/>
      <c r="U19" s="6479"/>
      <c r="V19" s="6479"/>
      <c r="W19" s="6507"/>
      <c r="X19" s="384"/>
      <c r="Y19" s="1000"/>
      <c r="Z19" s="1000"/>
      <c r="AA19" s="1000"/>
      <c r="AB19" s="1000"/>
      <c r="AC19" s="635"/>
      <c r="AD19" s="396"/>
      <c r="AE19" s="635"/>
    </row>
    <row r="20" spans="1:31" ht="14.25" customHeight="1">
      <c r="A20" s="4912"/>
      <c r="B20" s="161" t="s">
        <v>54</v>
      </c>
      <c r="C20" s="403" t="s">
        <v>1162</v>
      </c>
      <c r="D20" s="280"/>
      <c r="E20" s="280"/>
      <c r="F20" s="186"/>
      <c r="G20" s="186"/>
      <c r="H20" s="186"/>
      <c r="I20" s="186"/>
      <c r="J20" s="186"/>
      <c r="K20" s="186"/>
      <c r="L20" s="186"/>
      <c r="M20" s="186"/>
      <c r="N20" s="187"/>
      <c r="O20" s="187"/>
      <c r="P20" s="187"/>
      <c r="Q20" s="187"/>
      <c r="R20" s="644" t="s">
        <v>1179</v>
      </c>
      <c r="S20" s="500" t="s">
        <v>17</v>
      </c>
      <c r="T20" s="6478"/>
      <c r="U20" s="6479"/>
      <c r="V20" s="6479"/>
      <c r="W20" s="6507"/>
      <c r="X20" s="384"/>
      <c r="Y20" s="1816"/>
      <c r="Z20" s="6470"/>
      <c r="AA20" s="5527"/>
      <c r="AB20" s="5527"/>
      <c r="AC20" s="635"/>
      <c r="AD20" s="396"/>
      <c r="AE20" s="635"/>
    </row>
    <row r="21" spans="1:31" ht="14.25" customHeight="1">
      <c r="A21" s="4912"/>
      <c r="B21" s="161" t="s">
        <v>55</v>
      </c>
      <c r="C21" s="403" t="s">
        <v>1163</v>
      </c>
      <c r="D21" s="280"/>
      <c r="E21" s="280"/>
      <c r="F21" s="186"/>
      <c r="G21" s="186"/>
      <c r="H21" s="186"/>
      <c r="I21" s="186"/>
      <c r="J21" s="186"/>
      <c r="K21" s="186"/>
      <c r="L21" s="186"/>
      <c r="M21" s="186"/>
      <c r="N21" s="187"/>
      <c r="O21" s="187"/>
      <c r="P21" s="187"/>
      <c r="Q21" s="187"/>
      <c r="R21" s="187"/>
      <c r="S21" s="187"/>
      <c r="T21" s="614"/>
      <c r="U21" s="186"/>
      <c r="V21" s="614"/>
      <c r="W21" s="644" t="s">
        <v>1282</v>
      </c>
      <c r="X21" s="1170" t="s">
        <v>1168</v>
      </c>
      <c r="Y21" s="6451">
        <f>IF(AD21&lt;&gt;"",ROUND(AD21,0),SUM(T19,-T20))</f>
        <v>0</v>
      </c>
      <c r="Z21" s="6452"/>
      <c r="AA21" s="5850"/>
      <c r="AB21" s="5850"/>
      <c r="AC21" s="635"/>
      <c r="AD21" s="624"/>
      <c r="AE21" s="635"/>
    </row>
    <row r="22" spans="1:31" ht="14.25" customHeight="1">
      <c r="A22" s="4912"/>
      <c r="B22" s="161" t="str">
        <f>"2  "</f>
        <v xml:space="preserve">2  </v>
      </c>
      <c r="C22" s="403" t="s">
        <v>1164</v>
      </c>
      <c r="D22" s="280"/>
      <c r="E22" s="190"/>
      <c r="F22" s="186"/>
      <c r="G22" s="186"/>
      <c r="H22" s="186"/>
      <c r="I22" s="186"/>
      <c r="J22" s="186"/>
      <c r="K22" s="186"/>
      <c r="L22" s="186"/>
      <c r="M22" s="186"/>
      <c r="N22" s="187"/>
      <c r="O22" s="187"/>
      <c r="P22" s="187"/>
      <c r="Q22" s="187"/>
      <c r="R22" s="187"/>
      <c r="S22" s="187"/>
      <c r="T22" s="187"/>
      <c r="U22" s="186"/>
      <c r="V22" s="186"/>
      <c r="W22" s="644" t="s">
        <v>1273</v>
      </c>
      <c r="X22" s="382">
        <v>2</v>
      </c>
      <c r="Y22" s="6004"/>
      <c r="Z22" s="6140"/>
      <c r="AA22" s="6428"/>
      <c r="AB22" s="6428"/>
      <c r="AC22" s="635"/>
      <c r="AD22" s="396"/>
      <c r="AE22" s="635"/>
    </row>
    <row r="23" spans="1:31" ht="14.25" customHeight="1">
      <c r="A23" s="4912"/>
      <c r="B23" s="161" t="s">
        <v>1165</v>
      </c>
      <c r="C23" s="1663" t="s">
        <v>1166</v>
      </c>
      <c r="D23" s="1079"/>
      <c r="E23" s="191"/>
      <c r="F23" s="191"/>
      <c r="G23" s="188"/>
      <c r="H23" s="188"/>
      <c r="I23" s="188"/>
      <c r="J23" s="188"/>
      <c r="K23" s="188"/>
      <c r="L23" s="188"/>
      <c r="M23" s="188"/>
      <c r="N23" s="191"/>
      <c r="O23" s="644" t="s">
        <v>2525</v>
      </c>
      <c r="P23" s="1812" t="s">
        <v>1165</v>
      </c>
      <c r="Q23" s="6004"/>
      <c r="R23" s="6471"/>
      <c r="S23" s="1813" t="s">
        <v>1167</v>
      </c>
      <c r="T23" s="6468" t="s">
        <v>319</v>
      </c>
      <c r="U23" s="5768"/>
      <c r="V23" s="5768"/>
      <c r="W23" s="6469"/>
      <c r="X23" s="1172" t="s">
        <v>1167</v>
      </c>
      <c r="Y23" s="6004"/>
      <c r="Z23" s="6140"/>
      <c r="AA23" s="6428"/>
      <c r="AB23" s="6428"/>
      <c r="AC23" s="635"/>
      <c r="AD23" s="396"/>
      <c r="AE23" s="635"/>
    </row>
    <row r="24" spans="1:31" ht="14.25" customHeight="1">
      <c r="A24" s="4912"/>
      <c r="B24" s="161" t="s">
        <v>128</v>
      </c>
      <c r="C24" s="1663" t="s">
        <v>1169</v>
      </c>
      <c r="D24" s="1079"/>
      <c r="E24" s="191"/>
      <c r="F24" s="191"/>
      <c r="G24" s="188"/>
      <c r="H24" s="188"/>
      <c r="I24" s="188"/>
      <c r="J24" s="188"/>
      <c r="K24" s="188"/>
      <c r="L24" s="188"/>
      <c r="M24" s="188"/>
      <c r="N24" s="191"/>
      <c r="O24" s="644" t="s">
        <v>2525</v>
      </c>
      <c r="P24" s="1812" t="s">
        <v>128</v>
      </c>
      <c r="Q24" s="6478">
        <f>SUM(AgPMT_Other,F1099G_MktGain)</f>
        <v>0</v>
      </c>
      <c r="R24" s="6479"/>
      <c r="S24" s="1813" t="s">
        <v>109</v>
      </c>
      <c r="T24" s="6468" t="s">
        <v>319</v>
      </c>
      <c r="U24" s="5768"/>
      <c r="V24" s="5768"/>
      <c r="W24" s="6469"/>
      <c r="X24" s="1172" t="s">
        <v>109</v>
      </c>
      <c r="Y24" s="6004">
        <f>Q24</f>
        <v>0</v>
      </c>
      <c r="Z24" s="6140"/>
      <c r="AA24" s="6428"/>
      <c r="AB24" s="6428"/>
      <c r="AC24" s="635"/>
      <c r="AD24" s="396"/>
      <c r="AE24" s="635"/>
    </row>
    <row r="25" spans="1:31" ht="14.25" customHeight="1">
      <c r="A25" s="4912"/>
      <c r="B25" s="161" t="s">
        <v>417</v>
      </c>
      <c r="C25" s="403" t="s">
        <v>1170</v>
      </c>
      <c r="D25" s="280"/>
      <c r="E25" s="190"/>
      <c r="F25" s="186"/>
      <c r="G25" s="186"/>
      <c r="H25" s="186"/>
      <c r="I25" s="186"/>
      <c r="J25" s="186"/>
      <c r="K25" s="186"/>
      <c r="L25" s="186"/>
      <c r="M25" s="186"/>
      <c r="N25" s="187"/>
      <c r="O25" s="187"/>
      <c r="P25" s="187"/>
      <c r="Q25" s="187"/>
      <c r="R25" s="187"/>
      <c r="S25" s="187"/>
      <c r="T25" s="187"/>
      <c r="U25" s="186"/>
      <c r="V25" s="186"/>
      <c r="W25" s="644" t="s">
        <v>1304</v>
      </c>
      <c r="X25" s="1170" t="s">
        <v>417</v>
      </c>
      <c r="Y25" s="6004"/>
      <c r="Z25" s="6140"/>
      <c r="AA25" s="6428"/>
      <c r="AB25" s="6428"/>
      <c r="AC25" s="635"/>
      <c r="AD25" s="396"/>
      <c r="AE25" s="635"/>
    </row>
    <row r="26" spans="1:31" ht="14.25" customHeight="1">
      <c r="A26" s="4912"/>
      <c r="B26" s="161" t="s">
        <v>54</v>
      </c>
      <c r="C26" s="1663" t="s">
        <v>1171</v>
      </c>
      <c r="D26" s="1079"/>
      <c r="E26" s="191"/>
      <c r="F26" s="191"/>
      <c r="G26" s="188"/>
      <c r="H26" s="188"/>
      <c r="I26" s="188"/>
      <c r="J26" s="188"/>
      <c r="K26" s="188"/>
      <c r="L26" s="188"/>
      <c r="M26" s="188"/>
      <c r="N26" s="191"/>
      <c r="O26" s="644" t="s">
        <v>1302</v>
      </c>
      <c r="P26" s="1812" t="s">
        <v>418</v>
      </c>
      <c r="Q26" s="6004"/>
      <c r="R26" s="6471"/>
      <c r="S26" s="1813" t="s">
        <v>1177</v>
      </c>
      <c r="T26" s="1814" t="s">
        <v>319</v>
      </c>
      <c r="U26" s="1814"/>
      <c r="V26" s="1815"/>
      <c r="W26" s="1815"/>
      <c r="X26" s="1172" t="s">
        <v>1177</v>
      </c>
      <c r="Y26" s="6004"/>
      <c r="Z26" s="6140"/>
      <c r="AA26" s="6428"/>
      <c r="AB26" s="6428"/>
      <c r="AC26" s="635"/>
      <c r="AD26" s="396"/>
      <c r="AE26" s="635"/>
    </row>
    <row r="27" spans="1:31" ht="14.25" customHeight="1">
      <c r="A27" s="4912"/>
      <c r="B27" s="161" t="str">
        <f>"6  "</f>
        <v xml:space="preserve">6  </v>
      </c>
      <c r="C27" s="403" t="s">
        <v>1172</v>
      </c>
      <c r="D27" s="280"/>
      <c r="E27" s="190"/>
      <c r="F27" s="186"/>
      <c r="G27" s="186"/>
      <c r="H27" s="186"/>
      <c r="I27" s="186"/>
      <c r="J27" s="186"/>
      <c r="K27" s="186"/>
      <c r="L27" s="186"/>
      <c r="M27" s="186"/>
      <c r="N27" s="187"/>
      <c r="O27" s="187"/>
      <c r="P27" s="187"/>
      <c r="Q27" s="187"/>
      <c r="R27" s="187"/>
      <c r="S27" s="187"/>
      <c r="T27" s="187"/>
      <c r="U27" s="186"/>
      <c r="V27" s="186"/>
      <c r="W27" s="188"/>
      <c r="X27" s="384"/>
      <c r="Y27" s="6420"/>
      <c r="Z27" s="6475"/>
      <c r="AA27" s="6475"/>
      <c r="AB27" s="6475"/>
      <c r="AC27" s="635"/>
      <c r="AD27" s="396"/>
      <c r="AE27" s="635"/>
    </row>
    <row r="28" spans="1:31" ht="14.25" customHeight="1">
      <c r="A28" s="4912"/>
      <c r="B28" s="161" t="s">
        <v>38</v>
      </c>
      <c r="C28" s="1663" t="str">
        <f>"Amount received in "&amp;TaxYear</f>
        <v>Amount received in 2018</v>
      </c>
      <c r="D28" s="1079"/>
      <c r="E28" s="191"/>
      <c r="F28" s="191"/>
      <c r="G28" s="188"/>
      <c r="H28" s="188"/>
      <c r="I28" s="188"/>
      <c r="J28" s="188"/>
      <c r="K28" s="188"/>
      <c r="L28" s="188"/>
      <c r="M28" s="188"/>
      <c r="N28" s="191"/>
      <c r="O28" s="644" t="s">
        <v>1304</v>
      </c>
      <c r="P28" s="1812" t="s">
        <v>497</v>
      </c>
      <c r="Q28" s="6004">
        <f>AgPMT_Disaster</f>
        <v>0</v>
      </c>
      <c r="R28" s="6471"/>
      <c r="S28" s="1813" t="s">
        <v>1173</v>
      </c>
      <c r="T28" s="1814" t="s">
        <v>319</v>
      </c>
      <c r="U28" s="1814"/>
      <c r="V28" s="1815"/>
      <c r="W28" s="1815"/>
      <c r="X28" s="1172" t="s">
        <v>1173</v>
      </c>
      <c r="Y28" s="6004">
        <f>Q28</f>
        <v>0</v>
      </c>
      <c r="Z28" s="6140"/>
      <c r="AA28" s="6428"/>
      <c r="AB28" s="6428"/>
      <c r="AC28" s="635"/>
      <c r="AD28" s="396"/>
      <c r="AE28" s="635"/>
    </row>
    <row r="29" spans="1:31" ht="14.25" customHeight="1">
      <c r="A29" s="4912"/>
      <c r="B29" s="161" t="s">
        <v>55</v>
      </c>
      <c r="C29" s="1663" t="str">
        <f>"If election to defer to "&amp;TaxYear+1&amp;" is attached, check here"</f>
        <v>If election to defer to 2019 is attached, check here</v>
      </c>
      <c r="D29" s="1079"/>
      <c r="E29" s="191"/>
      <c r="F29" s="191"/>
      <c r="G29" s="188"/>
      <c r="H29" s="188"/>
      <c r="I29" s="188"/>
      <c r="J29" s="188"/>
      <c r="K29" s="1818"/>
      <c r="L29" s="188"/>
      <c r="M29" s="188"/>
      <c r="N29" s="191"/>
      <c r="O29" s="191"/>
      <c r="P29" s="191"/>
      <c r="Q29" s="191"/>
      <c r="R29" s="191"/>
      <c r="S29" s="191"/>
      <c r="T29" s="191"/>
      <c r="U29" s="216" t="s">
        <v>1174</v>
      </c>
      <c r="V29" s="6474" t="str">
        <f>TaxYear-1&amp;" "</f>
        <v xml:space="preserve">2017 </v>
      </c>
      <c r="W29" s="5602"/>
      <c r="X29" s="1172" t="s">
        <v>1175</v>
      </c>
      <c r="Y29" s="6004"/>
      <c r="Z29" s="6140"/>
      <c r="AA29" s="6428"/>
      <c r="AB29" s="6428"/>
      <c r="AC29" s="635"/>
      <c r="AD29" s="396"/>
      <c r="AE29" s="635"/>
    </row>
    <row r="30" spans="1:31" ht="14.25" customHeight="1">
      <c r="A30" s="4912"/>
      <c r="B30" s="161" t="str">
        <f>"7  "</f>
        <v xml:space="preserve">7  </v>
      </c>
      <c r="C30" s="1663" t="s">
        <v>1176</v>
      </c>
      <c r="D30" s="1079"/>
      <c r="E30" s="193"/>
      <c r="F30" s="191"/>
      <c r="G30" s="188"/>
      <c r="H30" s="188"/>
      <c r="I30" s="188"/>
      <c r="J30" s="188"/>
      <c r="K30" s="188"/>
      <c r="L30" s="188"/>
      <c r="M30" s="188"/>
      <c r="N30" s="191"/>
      <c r="O30" s="191"/>
      <c r="P30" s="191"/>
      <c r="Q30" s="191"/>
      <c r="R30" s="191"/>
      <c r="S30" s="191"/>
      <c r="T30" s="191"/>
      <c r="U30" s="188"/>
      <c r="V30" s="188"/>
      <c r="W30" s="644" t="s">
        <v>2528</v>
      </c>
      <c r="X30" s="189">
        <v>7</v>
      </c>
      <c r="Y30" s="6004"/>
      <c r="Z30" s="6140"/>
      <c r="AA30" s="6428"/>
      <c r="AB30" s="6428"/>
      <c r="AC30" s="635"/>
      <c r="AD30" s="396"/>
      <c r="AE30" s="635"/>
    </row>
    <row r="31" spans="1:31" ht="14.25" customHeight="1">
      <c r="A31" s="4912"/>
      <c r="B31" s="161" t="str">
        <f>"8  "</f>
        <v xml:space="preserve">8  </v>
      </c>
      <c r="C31" s="1663" t="s">
        <v>1178</v>
      </c>
      <c r="D31" s="1079"/>
      <c r="E31" s="191"/>
      <c r="F31" s="191"/>
      <c r="G31" s="188"/>
      <c r="H31" s="188"/>
      <c r="I31" s="188"/>
      <c r="J31" s="188"/>
      <c r="K31" s="188"/>
      <c r="L31" s="188"/>
      <c r="M31" s="188"/>
      <c r="N31" s="191"/>
      <c r="O31" s="191"/>
      <c r="P31" s="191"/>
      <c r="Q31" s="191"/>
      <c r="R31" s="191"/>
      <c r="S31" s="191"/>
      <c r="T31" s="191"/>
      <c r="U31" s="188"/>
      <c r="V31" s="188"/>
      <c r="W31" s="644" t="s">
        <v>2525</v>
      </c>
      <c r="X31" s="189">
        <v>8</v>
      </c>
      <c r="Y31" s="6004"/>
      <c r="Z31" s="6140"/>
      <c r="AA31" s="6428"/>
      <c r="AB31" s="6428"/>
      <c r="AC31" s="635"/>
      <c r="AD31" s="396"/>
      <c r="AE31" s="635"/>
    </row>
    <row r="32" spans="1:31" ht="14.25" customHeight="1">
      <c r="A32" s="4912"/>
      <c r="B32" s="161" t="str">
        <f>"9  "</f>
        <v xml:space="preserve">9  </v>
      </c>
      <c r="C32" s="1663" t="s">
        <v>4585</v>
      </c>
      <c r="D32" s="1079"/>
      <c r="E32" s="191"/>
      <c r="F32" s="191"/>
      <c r="G32" s="188"/>
      <c r="H32" s="188"/>
      <c r="I32" s="188"/>
      <c r="J32" s="188"/>
      <c r="K32" s="188"/>
      <c r="L32" s="188"/>
      <c r="M32" s="188"/>
      <c r="N32" s="191"/>
      <c r="O32" s="191"/>
      <c r="P32" s="191"/>
      <c r="Q32" s="191"/>
      <c r="R32" s="191"/>
      <c r="S32" s="191"/>
      <c r="T32" s="191"/>
      <c r="U32" s="188"/>
      <c r="V32" s="188"/>
      <c r="W32" s="191"/>
      <c r="X32" s="6472">
        <v>9</v>
      </c>
      <c r="Y32" s="6420"/>
      <c r="Z32" s="6475"/>
      <c r="AA32" s="6475"/>
      <c r="AB32" s="6475"/>
      <c r="AC32" s="635"/>
      <c r="AD32" s="396"/>
      <c r="AE32" s="635"/>
    </row>
    <row r="33" spans="1:31" ht="14.25" customHeight="1">
      <c r="A33" s="4912"/>
      <c r="B33" s="161"/>
      <c r="C33" s="1115" t="s">
        <v>3266</v>
      </c>
      <c r="D33" s="171"/>
      <c r="E33" s="197"/>
      <c r="F33" s="176"/>
      <c r="G33" s="186"/>
      <c r="H33" s="186"/>
      <c r="I33" s="194"/>
      <c r="J33" s="194"/>
      <c r="K33" s="194"/>
      <c r="L33" s="194"/>
      <c r="M33" s="194"/>
      <c r="N33" s="191"/>
      <c r="O33" s="191"/>
      <c r="P33" s="191"/>
      <c r="Q33" s="191"/>
      <c r="R33" s="195"/>
      <c r="S33" s="195"/>
      <c r="T33" s="191"/>
      <c r="U33" s="194"/>
      <c r="V33" s="194"/>
      <c r="W33" s="644" t="s">
        <v>1304</v>
      </c>
      <c r="X33" s="6473"/>
      <c r="Y33" s="6451">
        <f>IF(AD33&lt;&gt;"",ROUND(AD33,0),IF(ScheduleF_PartIII,Y94,ROUND(SUM(Y21,Y22,Y23,Y24,Y25,Y26,Y28,Y29,Y30,Y31),0)))</f>
        <v>0</v>
      </c>
      <c r="Z33" s="6452"/>
      <c r="AA33" s="5850"/>
      <c r="AB33" s="5850"/>
      <c r="AC33" s="635"/>
      <c r="AD33" s="624"/>
      <c r="AE33" s="635"/>
    </row>
    <row r="34" spans="1:31" ht="14.25" customHeight="1">
      <c r="A34" s="635"/>
      <c r="B34" s="6503" t="s">
        <v>130</v>
      </c>
      <c r="C34" s="6273"/>
      <c r="D34" s="4781" t="s">
        <v>1275</v>
      </c>
      <c r="E34" s="182"/>
      <c r="F34" s="182"/>
      <c r="G34" s="182"/>
      <c r="H34" s="182"/>
      <c r="I34" s="181"/>
      <c r="J34" s="181"/>
      <c r="K34" s="181"/>
      <c r="L34" s="1811"/>
      <c r="M34" s="1811"/>
      <c r="N34" s="1811" t="s">
        <v>2529</v>
      </c>
      <c r="O34" s="1811"/>
      <c r="P34" s="182"/>
      <c r="Q34" s="182"/>
      <c r="R34" s="182"/>
      <c r="S34" s="182"/>
      <c r="T34" s="182"/>
      <c r="U34" s="182"/>
      <c r="V34" s="182"/>
      <c r="W34" s="182"/>
      <c r="X34" s="182"/>
      <c r="Y34" s="182"/>
      <c r="Z34" s="182"/>
      <c r="AA34" s="394"/>
      <c r="AB34" s="394"/>
      <c r="AC34" s="635"/>
      <c r="AD34" s="396"/>
      <c r="AE34" s="635"/>
    </row>
    <row r="35" spans="1:31" ht="14.25" customHeight="1">
      <c r="A35" s="635"/>
      <c r="B35" s="253">
        <v>10</v>
      </c>
      <c r="C35" s="1115" t="s">
        <v>1180</v>
      </c>
      <c r="D35" s="1115"/>
      <c r="E35" s="198"/>
      <c r="F35" s="186"/>
      <c r="G35" s="186"/>
      <c r="H35" s="194"/>
      <c r="I35" s="1820"/>
      <c r="J35" s="6488"/>
      <c r="K35" s="6421"/>
      <c r="L35" s="6421"/>
      <c r="M35" s="6421"/>
      <c r="N35" s="6483">
        <v>23</v>
      </c>
      <c r="O35" s="6484"/>
      <c r="P35" s="185" t="s">
        <v>1194</v>
      </c>
      <c r="Q35" s="336"/>
      <c r="R35" s="403"/>
      <c r="S35" s="403"/>
      <c r="T35" s="336"/>
      <c r="U35" s="336"/>
      <c r="V35" s="336"/>
      <c r="W35" s="336"/>
      <c r="X35" s="189">
        <v>23</v>
      </c>
      <c r="Y35" s="6004"/>
      <c r="Z35" s="6140"/>
      <c r="AA35" s="6428"/>
      <c r="AB35" s="6428"/>
      <c r="AC35" s="635"/>
      <c r="AD35" s="396"/>
      <c r="AE35" s="635"/>
    </row>
    <row r="36" spans="1:31" ht="14.25" customHeight="1">
      <c r="A36" s="635"/>
      <c r="B36" s="253"/>
      <c r="C36" s="1115" t="s">
        <v>1279</v>
      </c>
      <c r="D36" s="198"/>
      <c r="E36" s="198"/>
      <c r="F36" s="186"/>
      <c r="G36" s="186"/>
      <c r="H36" s="194"/>
      <c r="I36" s="382">
        <f>B35</f>
        <v>10</v>
      </c>
      <c r="J36" s="6004"/>
      <c r="K36" s="6140"/>
      <c r="L36" s="6428"/>
      <c r="M36" s="6428"/>
      <c r="N36" s="6485">
        <v>24</v>
      </c>
      <c r="O36" s="6436"/>
      <c r="P36" s="185" t="s">
        <v>721</v>
      </c>
      <c r="Q36" s="280"/>
      <c r="R36" s="199"/>
      <c r="S36" s="199"/>
      <c r="T36" s="200"/>
      <c r="U36" s="198"/>
      <c r="V36" s="198"/>
      <c r="W36" s="201"/>
      <c r="X36" s="384"/>
      <c r="Y36" s="6420"/>
      <c r="Z36" s="6421"/>
      <c r="AA36" s="6421"/>
      <c r="AB36" s="6421"/>
      <c r="AC36" s="635"/>
      <c r="AD36" s="396"/>
      <c r="AE36" s="635"/>
    </row>
    <row r="37" spans="1:31" ht="14.25" customHeight="1">
      <c r="A37" s="635"/>
      <c r="B37" s="253">
        <v>11</v>
      </c>
      <c r="C37" s="1115" t="s">
        <v>1181</v>
      </c>
      <c r="D37" s="1115"/>
      <c r="E37" s="198"/>
      <c r="F37" s="186"/>
      <c r="G37" s="186"/>
      <c r="H37" s="614" t="s">
        <v>679</v>
      </c>
      <c r="I37" s="382">
        <v>11</v>
      </c>
      <c r="J37" s="6004"/>
      <c r="K37" s="6140"/>
      <c r="L37" s="6428"/>
      <c r="M37" s="6428"/>
      <c r="N37" s="6435" t="s">
        <v>38</v>
      </c>
      <c r="O37" s="6436"/>
      <c r="P37" s="403" t="s">
        <v>1195</v>
      </c>
      <c r="Q37" s="1171"/>
      <c r="R37" s="1171"/>
      <c r="S37" s="1171"/>
      <c r="T37" s="200"/>
      <c r="U37" s="203"/>
      <c r="V37" s="203"/>
      <c r="W37" s="614" t="s">
        <v>856</v>
      </c>
      <c r="X37" s="1824" t="s">
        <v>196</v>
      </c>
      <c r="Y37" s="6004"/>
      <c r="Z37" s="6140"/>
      <c r="AA37" s="6428"/>
      <c r="AB37" s="6428"/>
      <c r="AC37" s="635"/>
      <c r="AD37" s="396"/>
      <c r="AE37" s="635"/>
    </row>
    <row r="38" spans="1:31" ht="14.25" customHeight="1">
      <c r="A38" s="635"/>
      <c r="B38" s="253">
        <v>12</v>
      </c>
      <c r="C38" s="1115" t="s">
        <v>1182</v>
      </c>
      <c r="D38" s="1115"/>
      <c r="E38" s="198"/>
      <c r="F38" s="186"/>
      <c r="G38" s="186"/>
      <c r="H38" s="194"/>
      <c r="I38" s="540">
        <f>B38</f>
        <v>12</v>
      </c>
      <c r="J38" s="6004"/>
      <c r="K38" s="6140"/>
      <c r="L38" s="6428"/>
      <c r="M38" s="6428"/>
      <c r="N38" s="6435" t="s">
        <v>54</v>
      </c>
      <c r="O38" s="6436"/>
      <c r="P38" s="403" t="s">
        <v>1196</v>
      </c>
      <c r="Q38" s="280"/>
      <c r="R38" s="199"/>
      <c r="S38" s="199"/>
      <c r="T38" s="200"/>
      <c r="U38" s="198"/>
      <c r="V38" s="198"/>
      <c r="W38" s="614" t="s">
        <v>634</v>
      </c>
      <c r="X38" s="1824" t="s">
        <v>68</v>
      </c>
      <c r="Y38" s="6004"/>
      <c r="Z38" s="6140"/>
      <c r="AA38" s="6428"/>
      <c r="AB38" s="6428"/>
      <c r="AC38" s="635"/>
      <c r="AD38" s="396"/>
      <c r="AE38" s="635"/>
    </row>
    <row r="39" spans="1:31" ht="14.25" customHeight="1">
      <c r="A39" s="635"/>
      <c r="B39" s="253">
        <v>13</v>
      </c>
      <c r="C39" s="1115" t="s">
        <v>1183</v>
      </c>
      <c r="D39" s="1115"/>
      <c r="E39" s="198"/>
      <c r="F39" s="186"/>
      <c r="G39" s="186"/>
      <c r="H39" s="614" t="s">
        <v>739</v>
      </c>
      <c r="I39" s="382">
        <f>B39</f>
        <v>13</v>
      </c>
      <c r="J39" s="6004"/>
      <c r="K39" s="6140"/>
      <c r="L39" s="6428"/>
      <c r="M39" s="6428"/>
      <c r="N39" s="6435">
        <v>25</v>
      </c>
      <c r="O39" s="6436"/>
      <c r="P39" s="403" t="s">
        <v>26</v>
      </c>
      <c r="Q39" s="280"/>
      <c r="R39" s="185"/>
      <c r="S39" s="185"/>
      <c r="T39" s="201"/>
      <c r="U39" s="198"/>
      <c r="V39" s="198"/>
      <c r="W39" s="614" t="s">
        <v>634</v>
      </c>
      <c r="X39" s="189">
        <v>25</v>
      </c>
      <c r="Y39" s="6004"/>
      <c r="Z39" s="6140"/>
      <c r="AA39" s="6428"/>
      <c r="AB39" s="6428"/>
      <c r="AC39" s="635"/>
      <c r="AD39" s="396"/>
      <c r="AE39" s="635"/>
    </row>
    <row r="40" spans="1:31" ht="14.25" customHeight="1">
      <c r="A40" s="635"/>
      <c r="B40" s="253">
        <v>14</v>
      </c>
      <c r="C40" s="1115" t="s">
        <v>488</v>
      </c>
      <c r="D40" s="1115"/>
      <c r="E40" s="198"/>
      <c r="F40" s="186"/>
      <c r="G40" s="186"/>
      <c r="H40" s="194"/>
      <c r="I40" s="1820"/>
      <c r="J40" s="6488"/>
      <c r="K40" s="6421"/>
      <c r="L40" s="6421"/>
      <c r="M40" s="6489"/>
      <c r="N40" s="6435">
        <v>26</v>
      </c>
      <c r="O40" s="6436"/>
      <c r="P40" s="185" t="s">
        <v>1197</v>
      </c>
      <c r="Q40" s="280"/>
      <c r="R40" s="185"/>
      <c r="S40" s="185"/>
      <c r="T40" s="185"/>
      <c r="U40" s="185"/>
      <c r="V40" s="185"/>
      <c r="W40" s="614" t="s">
        <v>667</v>
      </c>
      <c r="X40" s="189">
        <v>26</v>
      </c>
      <c r="Y40" s="6004"/>
      <c r="Z40" s="6140"/>
      <c r="AA40" s="6428"/>
      <c r="AB40" s="6428"/>
      <c r="AC40" s="635"/>
      <c r="AD40" s="396"/>
      <c r="AE40" s="635"/>
    </row>
    <row r="41" spans="1:31" ht="14.25" customHeight="1">
      <c r="A41" s="635"/>
      <c r="B41" s="253"/>
      <c r="C41" s="1115" t="s">
        <v>1184</v>
      </c>
      <c r="D41" s="1115"/>
      <c r="E41" s="198"/>
      <c r="F41" s="186"/>
      <c r="G41" s="186"/>
      <c r="H41" s="614" t="s">
        <v>720</v>
      </c>
      <c r="I41" s="382">
        <f>B40</f>
        <v>14</v>
      </c>
      <c r="J41" s="6004"/>
      <c r="K41" s="6140"/>
      <c r="L41" s="6428"/>
      <c r="M41" s="6428"/>
      <c r="N41" s="6435">
        <v>27</v>
      </c>
      <c r="O41" s="6436"/>
      <c r="P41" s="185" t="s">
        <v>1198</v>
      </c>
      <c r="Q41" s="280"/>
      <c r="R41" s="185"/>
      <c r="S41" s="185"/>
      <c r="T41" s="185"/>
      <c r="U41" s="185"/>
      <c r="V41" s="185"/>
      <c r="W41" s="614" t="s">
        <v>634</v>
      </c>
      <c r="X41" s="189">
        <v>27</v>
      </c>
      <c r="Y41" s="6004"/>
      <c r="Z41" s="6140"/>
      <c r="AA41" s="6428"/>
      <c r="AB41" s="6428"/>
      <c r="AC41" s="635"/>
      <c r="AD41" s="396"/>
      <c r="AE41" s="635"/>
    </row>
    <row r="42" spans="1:31" ht="14.25" customHeight="1">
      <c r="A42" s="635"/>
      <c r="B42" s="253">
        <v>15</v>
      </c>
      <c r="C42" s="198" t="s">
        <v>290</v>
      </c>
      <c r="D42" s="198"/>
      <c r="E42" s="198"/>
      <c r="F42" s="186"/>
      <c r="G42" s="186"/>
      <c r="H42" s="194"/>
      <c r="I42" s="1820"/>
      <c r="J42" s="6488"/>
      <c r="K42" s="6421"/>
      <c r="L42" s="6421"/>
      <c r="M42" s="6489"/>
      <c r="N42" s="6435">
        <v>28</v>
      </c>
      <c r="O42" s="6436"/>
      <c r="P42" s="185" t="s">
        <v>832</v>
      </c>
      <c r="Q42" s="280"/>
      <c r="R42" s="185"/>
      <c r="S42" s="185"/>
      <c r="T42" s="185"/>
      <c r="U42" s="185"/>
      <c r="V42" s="185"/>
      <c r="W42" s="614" t="s">
        <v>680</v>
      </c>
      <c r="X42" s="189">
        <v>28</v>
      </c>
      <c r="Y42" s="6004"/>
      <c r="Z42" s="6140"/>
      <c r="AA42" s="6428"/>
      <c r="AB42" s="6428"/>
      <c r="AC42" s="635"/>
      <c r="AD42" s="396"/>
      <c r="AE42" s="635"/>
    </row>
    <row r="43" spans="1:31" ht="14.25" customHeight="1">
      <c r="A43" s="635"/>
      <c r="B43" s="253"/>
      <c r="C43" s="1115" t="s">
        <v>1185</v>
      </c>
      <c r="D43" s="1115"/>
      <c r="E43" s="198"/>
      <c r="F43" s="186"/>
      <c r="G43" s="186"/>
      <c r="H43" s="614" t="s">
        <v>513</v>
      </c>
      <c r="I43" s="382">
        <f>B42</f>
        <v>15</v>
      </c>
      <c r="J43" s="6004"/>
      <c r="K43" s="6140"/>
      <c r="L43" s="6428"/>
      <c r="M43" s="6428"/>
      <c r="N43" s="6435">
        <v>29</v>
      </c>
      <c r="O43" s="6436"/>
      <c r="P43" s="403" t="s">
        <v>833</v>
      </c>
      <c r="Q43" s="280"/>
      <c r="R43" s="185"/>
      <c r="S43" s="185"/>
      <c r="T43" s="185"/>
      <c r="U43" s="185"/>
      <c r="V43" s="185"/>
      <c r="W43" s="614" t="s">
        <v>765</v>
      </c>
      <c r="X43" s="189">
        <v>29</v>
      </c>
      <c r="Y43" s="6004"/>
      <c r="Z43" s="6140"/>
      <c r="AA43" s="6428"/>
      <c r="AB43" s="6428"/>
      <c r="AC43" s="635"/>
      <c r="AD43" s="396"/>
      <c r="AE43" s="635"/>
    </row>
    <row r="44" spans="1:31" ht="14.25" customHeight="1">
      <c r="A44" s="635"/>
      <c r="B44" s="253">
        <v>16</v>
      </c>
      <c r="C44" s="1115" t="s">
        <v>1186</v>
      </c>
      <c r="D44" s="1115"/>
      <c r="E44" s="198"/>
      <c r="F44" s="186"/>
      <c r="G44" s="186"/>
      <c r="H44" s="614" t="s">
        <v>1281</v>
      </c>
      <c r="I44" s="382">
        <f>B44</f>
        <v>16</v>
      </c>
      <c r="J44" s="6004"/>
      <c r="K44" s="6140"/>
      <c r="L44" s="6428"/>
      <c r="M44" s="6428"/>
      <c r="N44" s="6435">
        <v>30</v>
      </c>
      <c r="O44" s="6436"/>
      <c r="P44" s="185" t="s">
        <v>834</v>
      </c>
      <c r="Q44" s="280"/>
      <c r="R44" s="403"/>
      <c r="S44" s="403"/>
      <c r="T44" s="185"/>
      <c r="U44" s="185"/>
      <c r="V44" s="185"/>
      <c r="W44" s="614" t="s">
        <v>765</v>
      </c>
      <c r="X44" s="189">
        <v>30</v>
      </c>
      <c r="Y44" s="6004"/>
      <c r="Z44" s="6140"/>
      <c r="AA44" s="6428"/>
      <c r="AB44" s="6428"/>
      <c r="AC44" s="635"/>
      <c r="AD44" s="396"/>
      <c r="AE44" s="635"/>
    </row>
    <row r="45" spans="1:31" ht="14.25" customHeight="1">
      <c r="A45" s="635"/>
      <c r="B45" s="253">
        <v>17</v>
      </c>
      <c r="C45" s="198" t="s">
        <v>1187</v>
      </c>
      <c r="D45" s="198"/>
      <c r="E45" s="198"/>
      <c r="F45" s="186"/>
      <c r="G45" s="186"/>
      <c r="H45" s="614" t="s">
        <v>1274</v>
      </c>
      <c r="I45" s="382">
        <f>B45</f>
        <v>17</v>
      </c>
      <c r="J45" s="6004"/>
      <c r="K45" s="6140"/>
      <c r="L45" s="6428"/>
      <c r="M45" s="6428"/>
      <c r="N45" s="6435">
        <v>31</v>
      </c>
      <c r="O45" s="6436"/>
      <c r="P45" s="185" t="s">
        <v>1199</v>
      </c>
      <c r="Q45" s="280"/>
      <c r="R45" s="185"/>
      <c r="S45" s="185"/>
      <c r="T45" s="185"/>
      <c r="U45" s="185"/>
      <c r="V45" s="185"/>
      <c r="W45" s="185"/>
      <c r="X45" s="189">
        <v>31</v>
      </c>
      <c r="Y45" s="6004"/>
      <c r="Z45" s="6140"/>
      <c r="AA45" s="6428"/>
      <c r="AB45" s="6428"/>
      <c r="AC45" s="635"/>
      <c r="AD45" s="396"/>
      <c r="AE45" s="635"/>
    </row>
    <row r="46" spans="1:31" ht="14.25" customHeight="1">
      <c r="A46" s="635"/>
      <c r="B46" s="253">
        <v>18</v>
      </c>
      <c r="C46" s="1115" t="s">
        <v>1188</v>
      </c>
      <c r="D46" s="1115"/>
      <c r="E46" s="198"/>
      <c r="F46" s="186"/>
      <c r="G46" s="186"/>
      <c r="H46" s="614" t="s">
        <v>667</v>
      </c>
      <c r="I46" s="382">
        <f>B46</f>
        <v>18</v>
      </c>
      <c r="J46" s="6004"/>
      <c r="K46" s="6140"/>
      <c r="L46" s="6428"/>
      <c r="M46" s="6428"/>
      <c r="N46" s="6435">
        <v>32</v>
      </c>
      <c r="O46" s="6436"/>
      <c r="P46" s="185" t="s">
        <v>1200</v>
      </c>
      <c r="Q46" s="280"/>
      <c r="R46" s="185"/>
      <c r="S46" s="1823"/>
      <c r="T46" s="1408"/>
      <c r="U46" s="1408"/>
      <c r="V46" s="1408"/>
      <c r="W46" s="1408"/>
      <c r="X46" s="384"/>
      <c r="Y46" s="6420"/>
      <c r="Z46" s="6421"/>
      <c r="AA46" s="6421"/>
      <c r="AB46" s="6421"/>
      <c r="AC46" s="635"/>
      <c r="AD46" s="396"/>
      <c r="AE46" s="635"/>
    </row>
    <row r="47" spans="1:31" ht="14.25" customHeight="1">
      <c r="A47" s="635"/>
      <c r="B47" s="253">
        <v>19</v>
      </c>
      <c r="C47" s="198" t="s">
        <v>1189</v>
      </c>
      <c r="D47" s="198"/>
      <c r="E47" s="198"/>
      <c r="F47" s="186"/>
      <c r="G47" s="186"/>
      <c r="H47" s="614" t="s">
        <v>513</v>
      </c>
      <c r="I47" s="382">
        <f>B47</f>
        <v>19</v>
      </c>
      <c r="J47" s="6004"/>
      <c r="K47" s="6140"/>
      <c r="L47" s="6428"/>
      <c r="M47" s="6428"/>
      <c r="N47" s="6435" t="s">
        <v>38</v>
      </c>
      <c r="O47" s="6436"/>
      <c r="P47" s="6480"/>
      <c r="Q47" s="6481"/>
      <c r="R47" s="6481"/>
      <c r="S47" s="6481"/>
      <c r="T47" s="6481"/>
      <c r="U47" s="6481"/>
      <c r="V47" s="6481"/>
      <c r="W47" s="6482"/>
      <c r="X47" s="1172" t="s">
        <v>143</v>
      </c>
      <c r="Y47" s="6004"/>
      <c r="Z47" s="6140"/>
      <c r="AA47" s="6428"/>
      <c r="AB47" s="6428"/>
      <c r="AC47" s="635"/>
      <c r="AD47" s="396"/>
      <c r="AE47" s="635"/>
    </row>
    <row r="48" spans="1:31" ht="14.25" customHeight="1">
      <c r="A48" s="635"/>
      <c r="B48" s="253">
        <v>20</v>
      </c>
      <c r="C48" s="1115" t="s">
        <v>1190</v>
      </c>
      <c r="D48" s="1115"/>
      <c r="E48" s="198"/>
      <c r="F48" s="186"/>
      <c r="G48" s="186"/>
      <c r="H48" s="614" t="s">
        <v>963</v>
      </c>
      <c r="I48" s="382">
        <f>B48</f>
        <v>20</v>
      </c>
      <c r="J48" s="6004"/>
      <c r="K48" s="6140"/>
      <c r="L48" s="6428"/>
      <c r="M48" s="6428"/>
      <c r="N48" s="6435" t="s">
        <v>54</v>
      </c>
      <c r="O48" s="6436"/>
      <c r="P48" s="6480"/>
      <c r="Q48" s="6481"/>
      <c r="R48" s="6481"/>
      <c r="S48" s="6481"/>
      <c r="T48" s="6481"/>
      <c r="U48" s="6481"/>
      <c r="V48" s="6481"/>
      <c r="W48" s="6482"/>
      <c r="X48" s="1172" t="s">
        <v>346</v>
      </c>
      <c r="Y48" s="6004"/>
      <c r="Z48" s="6140"/>
      <c r="AA48" s="6428"/>
      <c r="AB48" s="6428"/>
      <c r="AC48" s="635"/>
      <c r="AD48" s="396"/>
      <c r="AE48" s="635"/>
    </row>
    <row r="49" spans="1:32" ht="14.25" customHeight="1">
      <c r="A49" s="635"/>
      <c r="B49" s="253">
        <v>21</v>
      </c>
      <c r="C49" s="1115" t="s">
        <v>294</v>
      </c>
      <c r="D49" s="1115"/>
      <c r="E49" s="198"/>
      <c r="F49" s="186"/>
      <c r="G49" s="186"/>
      <c r="H49" s="194"/>
      <c r="I49" s="384"/>
      <c r="J49" s="6488"/>
      <c r="K49" s="6421"/>
      <c r="L49" s="6421"/>
      <c r="M49" s="6489"/>
      <c r="N49" s="6435" t="s">
        <v>55</v>
      </c>
      <c r="O49" s="6436"/>
      <c r="P49" s="6480"/>
      <c r="Q49" s="6481"/>
      <c r="R49" s="6481"/>
      <c r="S49" s="6481"/>
      <c r="T49" s="6481"/>
      <c r="U49" s="6481"/>
      <c r="V49" s="6481"/>
      <c r="W49" s="6482"/>
      <c r="X49" s="1172" t="s">
        <v>1203</v>
      </c>
      <c r="Y49" s="6004"/>
      <c r="Z49" s="6140"/>
      <c r="AA49" s="6428"/>
      <c r="AB49" s="6428"/>
      <c r="AC49" s="635"/>
      <c r="AD49" s="396"/>
      <c r="AE49" s="635"/>
    </row>
    <row r="50" spans="1:32" ht="14.25" customHeight="1">
      <c r="A50" s="635"/>
      <c r="B50" s="161" t="s">
        <v>38</v>
      </c>
      <c r="C50" s="198" t="s">
        <v>403</v>
      </c>
      <c r="D50" s="198"/>
      <c r="E50" s="198"/>
      <c r="F50" s="186"/>
      <c r="G50" s="186"/>
      <c r="H50" s="194"/>
      <c r="I50" s="1822" t="s">
        <v>1191</v>
      </c>
      <c r="J50" s="6004"/>
      <c r="K50" s="6140"/>
      <c r="L50" s="6428"/>
      <c r="M50" s="6428"/>
      <c r="N50" s="6435" t="s">
        <v>102</v>
      </c>
      <c r="O50" s="6436"/>
      <c r="P50" s="6480"/>
      <c r="Q50" s="6481"/>
      <c r="R50" s="6481"/>
      <c r="S50" s="6481"/>
      <c r="T50" s="6481"/>
      <c r="U50" s="6481"/>
      <c r="V50" s="6481"/>
      <c r="W50" s="6482"/>
      <c r="X50" s="1172" t="s">
        <v>1204</v>
      </c>
      <c r="Y50" s="6004"/>
      <c r="Z50" s="6140"/>
      <c r="AA50" s="6428"/>
      <c r="AB50" s="6428"/>
      <c r="AC50" s="635"/>
      <c r="AD50" s="396"/>
      <c r="AE50" s="635"/>
    </row>
    <row r="51" spans="1:32" ht="14.25" customHeight="1">
      <c r="A51" s="635"/>
      <c r="B51" s="161" t="s">
        <v>54</v>
      </c>
      <c r="C51" s="1115" t="s">
        <v>458</v>
      </c>
      <c r="D51" s="1115"/>
      <c r="E51" s="198"/>
      <c r="F51" s="186"/>
      <c r="G51" s="186"/>
      <c r="H51" s="614" t="s">
        <v>766</v>
      </c>
      <c r="I51" s="1822" t="s">
        <v>1192</v>
      </c>
      <c r="J51" s="6004"/>
      <c r="K51" s="6140"/>
      <c r="L51" s="6428"/>
      <c r="M51" s="6428"/>
      <c r="N51" s="6435" t="s">
        <v>1201</v>
      </c>
      <c r="O51" s="6436"/>
      <c r="P51" s="6480"/>
      <c r="Q51" s="6481"/>
      <c r="R51" s="6481"/>
      <c r="S51" s="6481"/>
      <c r="T51" s="6481"/>
      <c r="U51" s="6481"/>
      <c r="V51" s="6481"/>
      <c r="W51" s="6482"/>
      <c r="X51" s="1172" t="s">
        <v>1205</v>
      </c>
      <c r="Y51" s="6004"/>
      <c r="Z51" s="6140"/>
      <c r="AA51" s="6428"/>
      <c r="AB51" s="6428"/>
      <c r="AC51" s="635"/>
      <c r="AD51" s="396"/>
      <c r="AE51" s="635"/>
    </row>
    <row r="52" spans="1:32" ht="14.25" customHeight="1">
      <c r="A52" s="635"/>
      <c r="B52" s="253">
        <v>22</v>
      </c>
      <c r="C52" s="1115" t="s">
        <v>1193</v>
      </c>
      <c r="D52" s="1115"/>
      <c r="E52" s="198"/>
      <c r="F52" s="186"/>
      <c r="G52" s="186"/>
      <c r="H52" s="194"/>
      <c r="I52" s="383">
        <v>22</v>
      </c>
      <c r="J52" s="6429"/>
      <c r="K52" s="6430"/>
      <c r="L52" s="6431"/>
      <c r="M52" s="6431"/>
      <c r="N52" s="6476" t="s">
        <v>1202</v>
      </c>
      <c r="O52" s="6477"/>
      <c r="P52" s="6504"/>
      <c r="Q52" s="6505"/>
      <c r="R52" s="6505"/>
      <c r="S52" s="6505"/>
      <c r="T52" s="6505"/>
      <c r="U52" s="6505"/>
      <c r="V52" s="6505"/>
      <c r="W52" s="6506"/>
      <c r="X52" s="1866" t="s">
        <v>1206</v>
      </c>
      <c r="Y52" s="6429"/>
      <c r="Z52" s="6430"/>
      <c r="AA52" s="6431"/>
      <c r="AB52" s="6431"/>
      <c r="AC52" s="635"/>
      <c r="AD52" s="396"/>
      <c r="AE52" s="635"/>
    </row>
    <row r="53" spans="1:32" ht="15" customHeight="1">
      <c r="A53" s="635"/>
      <c r="B53" s="4911">
        <v>33</v>
      </c>
      <c r="C53" s="4910" t="s">
        <v>4584</v>
      </c>
      <c r="D53" s="1867"/>
      <c r="E53" s="1867"/>
      <c r="F53" s="1868"/>
      <c r="G53" s="1869"/>
      <c r="H53" s="1869"/>
      <c r="I53" s="1869"/>
      <c r="J53" s="1869"/>
      <c r="K53" s="1869"/>
      <c r="L53" s="1869"/>
      <c r="M53" s="1869"/>
      <c r="N53" s="1868"/>
      <c r="O53" s="1868"/>
      <c r="P53" s="191"/>
      <c r="Q53" s="191"/>
      <c r="R53" s="191"/>
      <c r="S53" s="191"/>
      <c r="T53" s="191"/>
      <c r="U53" s="188"/>
      <c r="V53" s="188"/>
      <c r="W53" s="644" t="s">
        <v>908</v>
      </c>
      <c r="X53" s="1870">
        <v>33</v>
      </c>
      <c r="Y53" s="6432">
        <f>IF(AD53&lt;&gt;"",ROUND(AD53,0),ROUND(SUM(J36:M52,Y35:AB52),0))</f>
        <v>0</v>
      </c>
      <c r="Z53" s="6433"/>
      <c r="AA53" s="6434"/>
      <c r="AB53" s="6434"/>
      <c r="AC53" s="635"/>
      <c r="AD53" s="624"/>
      <c r="AE53" s="635"/>
    </row>
    <row r="54" spans="1:32" ht="15" customHeight="1">
      <c r="A54" s="635"/>
      <c r="B54" s="253">
        <v>34</v>
      </c>
      <c r="C54" s="1663" t="s">
        <v>4447</v>
      </c>
      <c r="D54" s="1079"/>
      <c r="E54" s="191"/>
      <c r="F54" s="191"/>
      <c r="G54" s="188"/>
      <c r="H54" s="188"/>
      <c r="I54" s="188"/>
      <c r="J54" s="188"/>
      <c r="K54" s="188"/>
      <c r="L54" s="188"/>
      <c r="M54" s="188"/>
      <c r="N54" s="191"/>
      <c r="O54" s="191"/>
      <c r="P54" s="191"/>
      <c r="Q54" s="191"/>
      <c r="R54" s="191"/>
      <c r="S54" s="191"/>
      <c r="T54" s="191"/>
      <c r="U54" s="188"/>
      <c r="V54" s="188"/>
      <c r="W54" s="644" t="s">
        <v>2530</v>
      </c>
      <c r="X54" s="189">
        <v>34</v>
      </c>
      <c r="Y54" s="6451">
        <f>IF(AD54&lt;&gt;"",ROUND(AD54,0),SUM(Y33,-Y53))</f>
        <v>0</v>
      </c>
      <c r="Z54" s="6452"/>
      <c r="AA54" s="5850"/>
      <c r="AB54" s="5850"/>
      <c r="AC54" s="635"/>
      <c r="AD54" s="624"/>
      <c r="AE54" s="635"/>
    </row>
    <row r="55" spans="1:32" ht="14.25" customHeight="1">
      <c r="A55" s="635"/>
      <c r="B55" s="253"/>
      <c r="C55" s="221" t="s">
        <v>1207</v>
      </c>
      <c r="D55" s="1663"/>
      <c r="E55" s="191"/>
      <c r="F55" s="191"/>
      <c r="G55" s="188"/>
      <c r="H55" s="188"/>
      <c r="I55" s="188"/>
      <c r="J55" s="188"/>
      <c r="K55" s="188"/>
      <c r="L55" s="188"/>
      <c r="M55" s="188"/>
      <c r="N55" s="191"/>
      <c r="O55" s="191"/>
      <c r="P55" s="191"/>
      <c r="Q55" s="191"/>
      <c r="R55" s="191"/>
      <c r="S55" s="191"/>
      <c r="T55" s="191"/>
      <c r="U55" s="188"/>
      <c r="V55" s="188"/>
      <c r="W55" s="188"/>
      <c r="X55" s="3305">
        <f>IF(X56&lt;&gt;"",1,0)</f>
        <v>0</v>
      </c>
      <c r="Y55" s="3306"/>
      <c r="Z55" s="3306"/>
      <c r="AA55" s="3305">
        <f>IF(AA56&lt;&gt;"",1,0)</f>
        <v>0</v>
      </c>
      <c r="AB55" s="3305">
        <f>SUM(X55,AA55)</f>
        <v>0</v>
      </c>
      <c r="AC55" s="635"/>
      <c r="AD55" s="396"/>
      <c r="AE55" s="635"/>
    </row>
    <row r="56" spans="1:32" ht="14.25" customHeight="1">
      <c r="A56" s="635"/>
      <c r="B56" s="253">
        <v>35</v>
      </c>
      <c r="C56" s="1663" t="s">
        <v>3267</v>
      </c>
      <c r="D56" s="1663"/>
      <c r="E56" s="191"/>
      <c r="F56" s="191"/>
      <c r="G56" s="188"/>
      <c r="H56" s="188"/>
      <c r="I56" s="188"/>
      <c r="J56" s="188"/>
      <c r="K56" s="188"/>
      <c r="L56" s="188"/>
      <c r="M56" s="188"/>
      <c r="N56" s="191"/>
      <c r="O56" s="191"/>
      <c r="P56" s="191"/>
      <c r="Q56" s="191"/>
      <c r="R56" s="191"/>
      <c r="S56" s="191"/>
      <c r="T56" s="191"/>
      <c r="U56" s="188"/>
      <c r="V56" s="188"/>
      <c r="W56" s="188"/>
      <c r="X56" s="188"/>
      <c r="Y56" s="188"/>
      <c r="Z56" s="188"/>
      <c r="AA56" s="188"/>
      <c r="AB56" s="188"/>
      <c r="AC56" s="635"/>
      <c r="AD56" s="6419" t="str">
        <f>IF(Y54&lt;&gt;0,"Check which Schedule SE should use the amount from Line 34.","")</f>
        <v/>
      </c>
      <c r="AE56" s="4172" t="str">
        <f>IF(AE58="","X","")</f>
        <v>X</v>
      </c>
      <c r="AF56" t="str">
        <f>IF(FarmProfitNet&lt;&gt;0,"#1","")</f>
        <v/>
      </c>
    </row>
    <row r="57" spans="1:32" ht="14.25" customHeight="1">
      <c r="A57" s="635"/>
      <c r="B57" s="253">
        <v>36</v>
      </c>
      <c r="C57" s="1663" t="s">
        <v>1208</v>
      </c>
      <c r="D57" s="1663"/>
      <c r="E57" s="191"/>
      <c r="F57" s="191"/>
      <c r="G57" s="188"/>
      <c r="H57" s="188"/>
      <c r="I57" s="188"/>
      <c r="J57" s="188"/>
      <c r="K57" s="188"/>
      <c r="L57" s="188"/>
      <c r="M57" s="188"/>
      <c r="N57" s="191"/>
      <c r="O57" s="191"/>
      <c r="P57" s="191"/>
      <c r="Q57" s="191"/>
      <c r="R57" s="191"/>
      <c r="S57" s="191"/>
      <c r="T57" s="191"/>
      <c r="U57" s="188"/>
      <c r="V57" s="188"/>
      <c r="W57" s="4018"/>
      <c r="X57" s="4019"/>
      <c r="Y57" s="4020"/>
      <c r="Z57" s="4020"/>
      <c r="AA57" s="4020"/>
      <c r="AB57" s="4020"/>
      <c r="AC57" s="635"/>
      <c r="AD57" s="6419"/>
      <c r="AE57" s="635"/>
      <c r="AF57" s="1893" t="b">
        <f>(AE56&lt;&gt;"")</f>
        <v>1</v>
      </c>
    </row>
    <row r="58" spans="1:32" ht="12.75" customHeight="1">
      <c r="A58" s="635"/>
      <c r="B58" s="161" t="s">
        <v>38</v>
      </c>
      <c r="C58" s="1818"/>
      <c r="D58" s="280" t="s">
        <v>1209</v>
      </c>
      <c r="E58" s="614"/>
      <c r="F58" s="280"/>
      <c r="G58" s="280"/>
      <c r="H58" s="614" t="s">
        <v>54</v>
      </c>
      <c r="I58" s="1818"/>
      <c r="J58" s="171" t="s">
        <v>1210</v>
      </c>
      <c r="K58" s="186"/>
      <c r="L58" s="614"/>
      <c r="M58" s="176"/>
      <c r="N58" s="176"/>
      <c r="O58" s="176"/>
      <c r="P58" s="176"/>
      <c r="Q58" s="176"/>
      <c r="R58" s="195"/>
      <c r="S58" s="195"/>
      <c r="T58" s="176"/>
      <c r="U58" s="186"/>
      <c r="V58" s="186"/>
      <c r="W58" s="191"/>
      <c r="X58" s="375"/>
      <c r="Y58" s="375"/>
      <c r="Z58" s="731"/>
      <c r="AA58" s="375"/>
      <c r="AB58" s="375"/>
      <c r="AC58" s="635"/>
      <c r="AD58" s="6419"/>
      <c r="AE58" s="4171"/>
      <c r="AF58" t="str">
        <f>IF(FarmProfitNet&lt;&gt;0,"#2","")</f>
        <v/>
      </c>
    </row>
    <row r="59" spans="1:32" ht="3.75" customHeight="1" thickBot="1">
      <c r="A59" s="635"/>
      <c r="B59" s="614"/>
      <c r="C59" s="614"/>
      <c r="D59" s="171"/>
      <c r="E59" s="176"/>
      <c r="F59" s="176"/>
      <c r="G59" s="186"/>
      <c r="H59" s="186"/>
      <c r="I59" s="186"/>
      <c r="J59" s="186"/>
      <c r="K59" s="186"/>
      <c r="L59" s="186"/>
      <c r="M59" s="186"/>
      <c r="N59" s="176"/>
      <c r="O59" s="176"/>
      <c r="P59" s="176"/>
      <c r="Q59" s="176"/>
      <c r="R59" s="195"/>
      <c r="S59" s="195"/>
      <c r="T59" s="176"/>
      <c r="U59" s="186"/>
      <c r="V59" s="186"/>
      <c r="W59" s="191"/>
      <c r="X59" s="375"/>
      <c r="Y59" s="375"/>
      <c r="Z59" s="731"/>
      <c r="AA59" s="375"/>
      <c r="AB59" s="375"/>
      <c r="AC59" s="635"/>
      <c r="AD59" s="6419"/>
      <c r="AE59" s="635"/>
    </row>
    <row r="60" spans="1:32" ht="22.5" customHeight="1">
      <c r="A60" s="635"/>
      <c r="B60" s="4617" t="s">
        <v>1295</v>
      </c>
      <c r="C60" s="542"/>
      <c r="D60" s="543"/>
      <c r="E60" s="543"/>
      <c r="F60" s="543"/>
      <c r="G60" s="544"/>
      <c r="H60" s="544"/>
      <c r="I60" s="544"/>
      <c r="J60" s="544"/>
      <c r="K60" s="544"/>
      <c r="L60" s="544"/>
      <c r="M60" s="544"/>
      <c r="N60" s="543"/>
      <c r="O60" s="543"/>
      <c r="P60" s="543"/>
      <c r="Q60" s="543"/>
      <c r="R60" s="1179" t="s">
        <v>1211</v>
      </c>
      <c r="S60" s="1179"/>
      <c r="T60" s="543"/>
      <c r="U60" s="1179"/>
      <c r="V60" s="544"/>
      <c r="W60" s="546"/>
      <c r="X60" s="544"/>
      <c r="Y60" s="544"/>
      <c r="Z60" s="547"/>
      <c r="AA60" s="548"/>
      <c r="AB60" s="4782" t="str">
        <f>"Schedule F (Form 1040)  "&amp;TaxYear</f>
        <v>Schedule F (Form 1040)  2018</v>
      </c>
      <c r="AC60" s="635"/>
      <c r="AD60" s="6419"/>
      <c r="AE60" s="635"/>
      <c r="AF60" s="1893" t="b">
        <f>(AE58&lt;&gt;"")</f>
        <v>0</v>
      </c>
    </row>
    <row r="61" spans="1:32" ht="19.5" customHeight="1" thickBot="1">
      <c r="A61" s="635"/>
      <c r="B61" s="4783" t="str">
        <f>"Schedule F (Form 1040) "&amp;TaxYear</f>
        <v>Schedule F (Form 1040) 2018</v>
      </c>
      <c r="C61" s="1849"/>
      <c r="D61" s="1849"/>
      <c r="E61" s="1849"/>
      <c r="F61" s="1849"/>
      <c r="G61" s="1849"/>
      <c r="H61" s="1849"/>
      <c r="I61" s="1849"/>
      <c r="J61" s="1849"/>
      <c r="K61" s="1849"/>
      <c r="L61" s="1849"/>
      <c r="M61" s="1849"/>
      <c r="N61" s="1849"/>
      <c r="O61" s="1849"/>
      <c r="P61" s="1849"/>
      <c r="Q61" s="1849"/>
      <c r="R61" s="1849"/>
      <c r="S61" s="1849"/>
      <c r="T61" s="1849"/>
      <c r="U61" s="1849"/>
      <c r="V61" s="1849"/>
      <c r="W61" s="1849"/>
      <c r="X61" s="1849"/>
      <c r="Y61" s="1850"/>
      <c r="Z61" s="1851"/>
      <c r="AA61" s="1851" t="s">
        <v>225</v>
      </c>
      <c r="AB61" s="1852" t="str">
        <f>"2"</f>
        <v>2</v>
      </c>
      <c r="AC61" s="635"/>
      <c r="AD61" s="396"/>
      <c r="AE61" s="635"/>
    </row>
    <row r="62" spans="1:32" ht="15.75" thickTop="1">
      <c r="A62" s="635"/>
      <c r="B62" s="6426" t="s">
        <v>363</v>
      </c>
      <c r="C62" s="6502"/>
      <c r="D62" s="1859" t="s">
        <v>1277</v>
      </c>
      <c r="E62" s="1853"/>
      <c r="F62" s="1853"/>
      <c r="G62" s="1853"/>
      <c r="H62" s="1853"/>
      <c r="I62" s="1853"/>
      <c r="J62" s="1853"/>
      <c r="K62" s="1853"/>
      <c r="L62" s="1853"/>
      <c r="M62" s="1853"/>
      <c r="N62" s="1853"/>
      <c r="O62" s="1853"/>
      <c r="P62" s="1853"/>
      <c r="Q62" s="1853"/>
      <c r="R62" s="1853"/>
      <c r="S62" s="1853"/>
      <c r="T62" s="1853"/>
      <c r="U62" s="1853"/>
      <c r="V62" s="1853"/>
      <c r="W62" s="1853"/>
      <c r="X62" s="1853"/>
      <c r="Y62" s="1853"/>
      <c r="Z62" s="1853"/>
      <c r="AA62" s="1853"/>
      <c r="AB62" s="1853"/>
      <c r="AC62" s="635"/>
      <c r="AD62" s="396"/>
      <c r="AE62" s="635"/>
    </row>
    <row r="63" spans="1:32" ht="9.75" customHeight="1">
      <c r="A63" s="635"/>
      <c r="B63" s="336"/>
      <c r="C63" s="336"/>
      <c r="D63" s="336"/>
      <c r="E63" s="336"/>
      <c r="F63" s="336"/>
      <c r="G63" s="336"/>
      <c r="H63" s="336"/>
      <c r="I63" s="336"/>
      <c r="J63" s="336"/>
      <c r="K63" s="336"/>
      <c r="L63" s="336"/>
      <c r="M63" s="336"/>
      <c r="N63" s="336"/>
      <c r="O63" s="336"/>
      <c r="P63" s="336"/>
      <c r="Q63" s="336"/>
      <c r="R63" s="336"/>
      <c r="S63" s="336"/>
      <c r="T63" s="336"/>
      <c r="U63" s="336"/>
      <c r="V63" s="336"/>
      <c r="W63" s="336"/>
      <c r="X63" s="1831"/>
      <c r="Y63" s="336"/>
      <c r="Z63" s="336"/>
      <c r="AA63" s="336"/>
      <c r="AB63" s="336"/>
      <c r="AC63" s="635"/>
      <c r="AD63" s="396"/>
      <c r="AE63" s="635"/>
    </row>
    <row r="64" spans="1:32" ht="14.25" customHeight="1">
      <c r="A64" s="635"/>
      <c r="B64" s="205">
        <v>37</v>
      </c>
      <c r="C64" s="176" t="s">
        <v>1213</v>
      </c>
      <c r="D64" s="176"/>
      <c r="E64" s="176"/>
      <c r="F64" s="176"/>
      <c r="G64" s="176"/>
      <c r="H64" s="176"/>
      <c r="I64" s="176"/>
      <c r="J64" s="176"/>
      <c r="K64" s="176"/>
      <c r="L64" s="176"/>
      <c r="M64" s="176"/>
      <c r="N64" s="176"/>
      <c r="O64" s="176"/>
      <c r="P64" s="176"/>
      <c r="Q64" s="176"/>
      <c r="R64" s="176"/>
      <c r="S64" s="176"/>
      <c r="T64" s="176"/>
      <c r="U64" s="176"/>
      <c r="V64" s="176"/>
      <c r="W64" s="644" t="s">
        <v>1304</v>
      </c>
      <c r="X64" s="1172">
        <v>37</v>
      </c>
      <c r="Y64" s="6004"/>
      <c r="Z64" s="6140"/>
      <c r="AA64" s="6428"/>
      <c r="AB64" s="6428"/>
      <c r="AC64" s="635"/>
      <c r="AD64" s="396"/>
      <c r="AE64" s="635"/>
    </row>
    <row r="65" spans="1:31" ht="12" customHeight="1">
      <c r="A65" s="635"/>
      <c r="B65" s="205"/>
      <c r="C65" s="205"/>
      <c r="D65" s="176"/>
      <c r="E65" s="176"/>
      <c r="F65" s="176"/>
      <c r="G65" s="176"/>
      <c r="H65" s="176"/>
      <c r="I65" s="176"/>
      <c r="J65" s="176"/>
      <c r="K65" s="176"/>
      <c r="L65" s="176"/>
      <c r="M65" s="176"/>
      <c r="N65" s="176"/>
      <c r="O65" s="176"/>
      <c r="P65" s="176"/>
      <c r="Q65" s="176"/>
      <c r="R65" s="176"/>
      <c r="S65" s="176"/>
      <c r="T65" s="176"/>
      <c r="U65" s="176"/>
      <c r="V65" s="176"/>
      <c r="W65" s="176"/>
      <c r="X65" s="1831"/>
      <c r="Y65" s="176"/>
      <c r="Z65" s="176"/>
      <c r="AA65" s="176"/>
      <c r="AB65" s="176"/>
      <c r="AC65" s="635"/>
      <c r="AD65" s="396"/>
      <c r="AE65" s="635"/>
    </row>
    <row r="66" spans="1:31" ht="15" customHeight="1">
      <c r="A66" s="635"/>
      <c r="B66" s="169" t="s">
        <v>1214</v>
      </c>
      <c r="C66" s="1079" t="s">
        <v>1166</v>
      </c>
      <c r="D66" s="1079"/>
      <c r="E66" s="191"/>
      <c r="F66" s="191"/>
      <c r="G66" s="191"/>
      <c r="H66" s="191"/>
      <c r="I66" s="191"/>
      <c r="J66" s="191"/>
      <c r="K66" s="1835" t="s">
        <v>1286</v>
      </c>
      <c r="L66" s="1857" t="s">
        <v>1214</v>
      </c>
      <c r="M66" s="6004"/>
      <c r="N66" s="6140"/>
      <c r="O66" s="6428"/>
      <c r="P66" s="6453"/>
      <c r="Q66" s="176"/>
      <c r="R66" s="644" t="s">
        <v>1215</v>
      </c>
      <c r="S66" s="1814" t="s">
        <v>319</v>
      </c>
      <c r="T66" s="1814"/>
      <c r="U66" s="1814"/>
      <c r="V66" s="1815"/>
      <c r="W66" s="1815"/>
      <c r="X66" s="1801" t="s">
        <v>1215</v>
      </c>
      <c r="Y66" s="6004"/>
      <c r="Z66" s="6140"/>
      <c r="AA66" s="6428"/>
      <c r="AB66" s="6428"/>
      <c r="AC66" s="635"/>
      <c r="AD66" s="396"/>
      <c r="AE66" s="635"/>
    </row>
    <row r="67" spans="1:31" ht="12.75" customHeight="1">
      <c r="A67" s="635"/>
      <c r="B67" s="205"/>
      <c r="C67" s="205"/>
      <c r="D67" s="1079"/>
      <c r="E67" s="191"/>
      <c r="F67" s="191"/>
      <c r="G67" s="191"/>
      <c r="H67" s="191"/>
      <c r="I67" s="191"/>
      <c r="J67" s="191"/>
      <c r="K67" s="191"/>
      <c r="L67" s="191"/>
      <c r="M67" s="191"/>
      <c r="N67" s="191"/>
      <c r="O67" s="191"/>
      <c r="P67" s="176"/>
      <c r="Q67" s="176"/>
      <c r="R67" s="176"/>
      <c r="S67" s="191"/>
      <c r="T67" s="191"/>
      <c r="U67" s="191"/>
      <c r="V67" s="191"/>
      <c r="W67" s="191"/>
      <c r="X67" s="1831"/>
      <c r="Y67" s="191"/>
      <c r="Z67" s="219" t="str">
        <f>IF(AND(U67&lt;&gt;"",X67&lt;&gt;""),"Check ONLY one.","")</f>
        <v/>
      </c>
      <c r="AA67" s="191"/>
      <c r="AB67" s="191"/>
      <c r="AC67" s="635"/>
      <c r="AD67" s="396"/>
      <c r="AE67" s="635"/>
    </row>
    <row r="68" spans="1:31" ht="15" customHeight="1">
      <c r="A68" s="635"/>
      <c r="B68" s="169" t="s">
        <v>61</v>
      </c>
      <c r="C68" s="1079" t="s">
        <v>1216</v>
      </c>
      <c r="D68" s="1079"/>
      <c r="E68" s="191"/>
      <c r="F68" s="191"/>
      <c r="G68" s="191"/>
      <c r="H68" s="191"/>
      <c r="I68" s="191"/>
      <c r="J68" s="191"/>
      <c r="K68" s="1835" t="s">
        <v>982</v>
      </c>
      <c r="L68" s="1857" t="s">
        <v>61</v>
      </c>
      <c r="M68" s="6004"/>
      <c r="N68" s="6140"/>
      <c r="O68" s="6428"/>
      <c r="P68" s="6453"/>
      <c r="Q68" s="176"/>
      <c r="R68" s="644" t="s">
        <v>1217</v>
      </c>
      <c r="S68" s="1814" t="s">
        <v>319</v>
      </c>
      <c r="T68" s="1814"/>
      <c r="U68" s="1814"/>
      <c r="V68" s="1815"/>
      <c r="W68" s="1815"/>
      <c r="X68" s="1801" t="s">
        <v>1217</v>
      </c>
      <c r="Y68" s="6004"/>
      <c r="Z68" s="6140"/>
      <c r="AA68" s="6428"/>
      <c r="AB68" s="6428"/>
      <c r="AC68" s="635"/>
      <c r="AD68" s="396"/>
      <c r="AE68" s="635"/>
    </row>
    <row r="69" spans="1:31" ht="12.75" customHeight="1">
      <c r="A69" s="635"/>
      <c r="B69" s="205"/>
      <c r="C69" s="205"/>
      <c r="D69" s="1079"/>
      <c r="E69" s="191"/>
      <c r="F69" s="191"/>
      <c r="G69" s="191"/>
      <c r="H69" s="191"/>
      <c r="I69" s="191"/>
      <c r="J69" s="191"/>
      <c r="K69" s="191"/>
      <c r="L69" s="191"/>
      <c r="M69" s="191"/>
      <c r="N69" s="191"/>
      <c r="O69" s="191"/>
      <c r="P69" s="176"/>
      <c r="Q69" s="176"/>
      <c r="R69" s="176"/>
      <c r="S69" s="191"/>
      <c r="T69" s="191"/>
      <c r="U69" s="191"/>
      <c r="V69" s="191"/>
      <c r="W69" s="191"/>
      <c r="X69" s="1832"/>
      <c r="Y69" s="191"/>
      <c r="Z69" s="219" t="str">
        <f>IF(AND(U69&lt;&gt;"",X69&lt;&gt;""),"Check ONLY one.","")</f>
        <v/>
      </c>
      <c r="AA69" s="191"/>
      <c r="AB69" s="191"/>
      <c r="AC69" s="635"/>
      <c r="AD69" s="396"/>
      <c r="AE69" s="635"/>
    </row>
    <row r="70" spans="1:31" ht="12.75" customHeight="1">
      <c r="A70" s="635"/>
      <c r="B70" s="169">
        <v>40</v>
      </c>
      <c r="C70" s="1079" t="s">
        <v>1219</v>
      </c>
      <c r="D70" s="1079"/>
      <c r="E70" s="191"/>
      <c r="F70" s="191"/>
      <c r="G70" s="191"/>
      <c r="H70" s="191"/>
      <c r="I70" s="191"/>
      <c r="J70" s="191"/>
      <c r="K70" s="191"/>
      <c r="L70" s="191"/>
      <c r="M70" s="191"/>
      <c r="N70" s="191"/>
      <c r="O70" s="191"/>
      <c r="P70" s="176"/>
      <c r="Q70" s="176"/>
      <c r="R70" s="176"/>
      <c r="S70" s="191"/>
      <c r="T70" s="191"/>
      <c r="U70" s="191"/>
      <c r="V70" s="191"/>
      <c r="W70" s="191"/>
      <c r="X70" s="1833"/>
      <c r="Y70" s="191"/>
      <c r="Z70" s="219"/>
      <c r="AA70" s="191"/>
      <c r="AB70" s="191"/>
      <c r="AC70" s="635"/>
      <c r="AD70" s="396"/>
      <c r="AE70" s="635"/>
    </row>
    <row r="71" spans="1:31" ht="15" customHeight="1">
      <c r="A71" s="635"/>
      <c r="B71" s="1817" t="s">
        <v>38</v>
      </c>
      <c r="C71" s="1079" t="s">
        <v>1220</v>
      </c>
      <c r="D71" s="1079"/>
      <c r="E71" s="191"/>
      <c r="F71" s="191"/>
      <c r="G71" s="191"/>
      <c r="H71" s="191"/>
      <c r="I71" s="191"/>
      <c r="J71" s="191"/>
      <c r="K71" s="191"/>
      <c r="L71" s="191"/>
      <c r="M71" s="191"/>
      <c r="N71" s="191"/>
      <c r="O71" s="191"/>
      <c r="P71" s="191"/>
      <c r="Q71" s="191"/>
      <c r="R71" s="176"/>
      <c r="S71" s="644"/>
      <c r="T71" s="1814"/>
      <c r="U71" s="1814"/>
      <c r="V71" s="1815"/>
      <c r="W71" s="644" t="s">
        <v>2528</v>
      </c>
      <c r="X71" s="1801" t="s">
        <v>1218</v>
      </c>
      <c r="Y71" s="6004"/>
      <c r="Z71" s="6140"/>
      <c r="AA71" s="6428"/>
      <c r="AB71" s="6428"/>
      <c r="AC71" s="635"/>
      <c r="AD71" s="396"/>
      <c r="AE71" s="635"/>
    </row>
    <row r="72" spans="1:31" ht="12" customHeight="1">
      <c r="A72" s="635"/>
      <c r="B72" s="205"/>
      <c r="C72" s="205"/>
      <c r="D72" s="191"/>
      <c r="E72" s="191"/>
      <c r="F72" s="191"/>
      <c r="G72" s="191"/>
      <c r="H72" s="191"/>
      <c r="I72" s="191"/>
      <c r="J72" s="191"/>
      <c r="K72" s="191"/>
      <c r="L72" s="191"/>
      <c r="M72" s="191"/>
      <c r="N72" s="191"/>
      <c r="O72" s="191"/>
      <c r="P72" s="176"/>
      <c r="Q72" s="176"/>
      <c r="R72" s="176"/>
      <c r="S72" s="191"/>
      <c r="T72" s="191"/>
      <c r="U72" s="191"/>
      <c r="V72" s="191"/>
      <c r="W72" s="1854"/>
      <c r="X72" s="1831"/>
      <c r="Y72" s="191"/>
      <c r="Z72" s="191"/>
      <c r="AA72" s="191"/>
      <c r="AB72" s="191"/>
      <c r="AC72" s="635"/>
      <c r="AD72" s="396"/>
      <c r="AE72" s="635"/>
    </row>
    <row r="73" spans="1:31" ht="15" customHeight="1">
      <c r="A73" s="635"/>
      <c r="B73" s="1817" t="s">
        <v>54</v>
      </c>
      <c r="C73" s="1079" t="s">
        <v>1171</v>
      </c>
      <c r="D73" s="1079"/>
      <c r="E73" s="191"/>
      <c r="F73" s="191"/>
      <c r="G73" s="191"/>
      <c r="H73" s="191"/>
      <c r="I73" s="191"/>
      <c r="J73" s="191"/>
      <c r="K73" s="644" t="s">
        <v>1285</v>
      </c>
      <c r="L73" s="1857" t="s">
        <v>1221</v>
      </c>
      <c r="M73" s="5977"/>
      <c r="N73" s="5978"/>
      <c r="O73" s="6486"/>
      <c r="P73" s="6487"/>
      <c r="Q73" s="176"/>
      <c r="R73" s="644" t="s">
        <v>1222</v>
      </c>
      <c r="S73" s="1814" t="s">
        <v>319</v>
      </c>
      <c r="T73" s="1814"/>
      <c r="U73" s="1814"/>
      <c r="V73" s="1815"/>
      <c r="W73" s="1855"/>
      <c r="X73" s="1801" t="s">
        <v>1222</v>
      </c>
      <c r="Y73" s="6004"/>
      <c r="Z73" s="6140"/>
      <c r="AA73" s="6428"/>
      <c r="AB73" s="6428"/>
      <c r="AC73" s="635"/>
      <c r="AD73" s="396"/>
      <c r="AE73" s="635"/>
    </row>
    <row r="74" spans="1:31" ht="9.75" customHeight="1">
      <c r="A74" s="635"/>
      <c r="B74" s="336"/>
      <c r="C74" s="336"/>
      <c r="D74" s="336"/>
      <c r="E74" s="336"/>
      <c r="F74" s="336"/>
      <c r="G74" s="336"/>
      <c r="H74" s="336"/>
      <c r="I74" s="336"/>
      <c r="J74" s="336"/>
      <c r="K74" s="336"/>
      <c r="L74" s="336"/>
      <c r="M74" s="336"/>
      <c r="N74" s="336"/>
      <c r="O74" s="336"/>
      <c r="P74" s="336"/>
      <c r="Q74" s="336"/>
      <c r="R74" s="336"/>
      <c r="S74" s="336"/>
      <c r="T74" s="336"/>
      <c r="U74" s="336"/>
      <c r="V74" s="336"/>
      <c r="W74" s="1856"/>
      <c r="X74" s="1831"/>
      <c r="Y74" s="336"/>
      <c r="Z74" s="336"/>
      <c r="AA74" s="336"/>
      <c r="AB74" s="336"/>
      <c r="AC74" s="635"/>
      <c r="AD74" s="396"/>
      <c r="AE74" s="635"/>
    </row>
    <row r="75" spans="1:31" ht="14.25" customHeight="1">
      <c r="A75" s="635"/>
      <c r="B75" s="205">
        <v>41</v>
      </c>
      <c r="C75" s="171" t="s">
        <v>1223</v>
      </c>
      <c r="D75" s="171"/>
      <c r="E75" s="176"/>
      <c r="F75" s="176"/>
      <c r="G75" s="176"/>
      <c r="H75" s="176"/>
      <c r="I75" s="176"/>
      <c r="J75" s="176"/>
      <c r="K75" s="176"/>
      <c r="L75" s="176"/>
      <c r="M75" s="176"/>
      <c r="N75" s="176"/>
      <c r="O75" s="176"/>
      <c r="P75" s="176"/>
      <c r="Q75" s="176"/>
      <c r="R75" s="176"/>
      <c r="S75" s="176"/>
      <c r="T75" s="176"/>
      <c r="U75" s="176"/>
      <c r="V75" s="176"/>
      <c r="W75" s="644" t="s">
        <v>1284</v>
      </c>
      <c r="X75" s="1172">
        <v>41</v>
      </c>
      <c r="Y75" s="6004"/>
      <c r="Z75" s="6140"/>
      <c r="AA75" s="6428"/>
      <c r="AB75" s="6428"/>
      <c r="AC75" s="635"/>
      <c r="AD75" s="396"/>
      <c r="AE75" s="635"/>
    </row>
    <row r="76" spans="1:31" ht="9.75" customHeight="1">
      <c r="A76" s="635"/>
      <c r="B76" s="336"/>
      <c r="C76" s="336"/>
      <c r="D76" s="336"/>
      <c r="E76" s="336"/>
      <c r="F76" s="336"/>
      <c r="G76" s="336"/>
      <c r="H76" s="336"/>
      <c r="I76" s="336"/>
      <c r="J76" s="336"/>
      <c r="K76" s="336"/>
      <c r="L76" s="336"/>
      <c r="M76" s="336"/>
      <c r="N76" s="336"/>
      <c r="O76" s="336"/>
      <c r="P76" s="336"/>
      <c r="Q76" s="336"/>
      <c r="R76" s="336"/>
      <c r="S76" s="336"/>
      <c r="T76" s="336"/>
      <c r="U76" s="336"/>
      <c r="V76" s="336"/>
      <c r="W76" s="336"/>
      <c r="X76" s="1831"/>
      <c r="Y76" s="336"/>
      <c r="Z76" s="336"/>
      <c r="AA76" s="336"/>
      <c r="AB76" s="336"/>
      <c r="AC76" s="635"/>
      <c r="AD76" s="396"/>
      <c r="AE76" s="635"/>
    </row>
    <row r="77" spans="1:31" ht="14.25" customHeight="1">
      <c r="A77" s="635"/>
      <c r="B77" s="205">
        <v>42</v>
      </c>
      <c r="C77" s="171" t="s">
        <v>1176</v>
      </c>
      <c r="D77" s="171"/>
      <c r="E77" s="176"/>
      <c r="F77" s="176"/>
      <c r="G77" s="176"/>
      <c r="H77" s="176"/>
      <c r="I77" s="176"/>
      <c r="J77" s="176"/>
      <c r="K77" s="176"/>
      <c r="L77" s="176"/>
      <c r="M77" s="176"/>
      <c r="N77" s="176"/>
      <c r="O77" s="176"/>
      <c r="P77" s="176"/>
      <c r="Q77" s="176"/>
      <c r="R77" s="176"/>
      <c r="S77" s="176"/>
      <c r="T77" s="176"/>
      <c r="U77" s="176"/>
      <c r="V77" s="176"/>
      <c r="W77" s="644" t="s">
        <v>2528</v>
      </c>
      <c r="X77" s="1172">
        <v>42</v>
      </c>
      <c r="Y77" s="6004"/>
      <c r="Z77" s="6140"/>
      <c r="AA77" s="6428"/>
      <c r="AB77" s="6428"/>
      <c r="AC77" s="635"/>
      <c r="AD77" s="396"/>
      <c r="AE77" s="635"/>
    </row>
    <row r="78" spans="1:31" ht="9.75" customHeight="1">
      <c r="A78" s="635"/>
      <c r="B78" s="336"/>
      <c r="C78" s="336"/>
      <c r="D78" s="336"/>
      <c r="E78" s="336"/>
      <c r="F78" s="336"/>
      <c r="G78" s="336"/>
      <c r="H78" s="336"/>
      <c r="I78" s="336"/>
      <c r="J78" s="336"/>
      <c r="K78" s="336"/>
      <c r="L78" s="336"/>
      <c r="M78" s="336"/>
      <c r="N78" s="336"/>
      <c r="O78" s="336"/>
      <c r="P78" s="336"/>
      <c r="Q78" s="336"/>
      <c r="R78" s="336"/>
      <c r="S78" s="336"/>
      <c r="T78" s="336"/>
      <c r="U78" s="336"/>
      <c r="V78" s="336"/>
      <c r="W78" s="336"/>
      <c r="X78" s="1831"/>
      <c r="Y78" s="336"/>
      <c r="Z78" s="336"/>
      <c r="AA78" s="336"/>
      <c r="AB78" s="336"/>
      <c r="AC78" s="635"/>
      <c r="AD78" s="396"/>
      <c r="AE78" s="635"/>
    </row>
    <row r="79" spans="1:31" ht="14.25" customHeight="1">
      <c r="A79" s="635"/>
      <c r="B79" s="205">
        <v>43</v>
      </c>
      <c r="C79" s="171" t="s">
        <v>1224</v>
      </c>
      <c r="D79" s="171"/>
      <c r="E79" s="176"/>
      <c r="F79" s="176"/>
      <c r="G79" s="176"/>
      <c r="H79" s="176"/>
      <c r="I79" s="176"/>
      <c r="J79" s="176"/>
      <c r="K79" s="176"/>
      <c r="L79" s="176"/>
      <c r="M79" s="176"/>
      <c r="N79" s="176"/>
      <c r="O79" s="176"/>
      <c r="P79" s="176"/>
      <c r="Q79" s="176"/>
      <c r="R79" s="176"/>
      <c r="S79" s="176"/>
      <c r="T79" s="176"/>
      <c r="U79" s="176"/>
      <c r="V79" s="176"/>
      <c r="W79" s="644" t="s">
        <v>1303</v>
      </c>
      <c r="X79" s="1172">
        <v>43</v>
      </c>
      <c r="Y79" s="6004"/>
      <c r="Z79" s="6140"/>
      <c r="AA79" s="6428"/>
      <c r="AB79" s="6428"/>
      <c r="AC79" s="635"/>
      <c r="AD79" s="396"/>
      <c r="AE79" s="635"/>
    </row>
    <row r="80" spans="1:31" ht="9.75" customHeight="1">
      <c r="A80" s="635"/>
      <c r="B80" s="336"/>
      <c r="C80" s="336"/>
      <c r="D80" s="336"/>
      <c r="E80" s="336"/>
      <c r="F80" s="336"/>
      <c r="G80" s="336"/>
      <c r="H80" s="336"/>
      <c r="I80" s="336"/>
      <c r="J80" s="336"/>
      <c r="K80" s="336"/>
      <c r="L80" s="336"/>
      <c r="M80" s="336"/>
      <c r="N80" s="336"/>
      <c r="O80" s="336"/>
      <c r="P80" s="336"/>
      <c r="Q80" s="336"/>
      <c r="R80" s="336"/>
      <c r="S80" s="336"/>
      <c r="T80" s="336"/>
      <c r="U80" s="336"/>
      <c r="V80" s="336"/>
      <c r="W80" s="336"/>
      <c r="X80" s="1831"/>
      <c r="Y80" s="1834"/>
      <c r="Z80" s="1821"/>
      <c r="AA80" s="1821"/>
      <c r="AB80" s="1821"/>
      <c r="AC80" s="635"/>
      <c r="AD80" s="396"/>
      <c r="AE80" s="635"/>
    </row>
    <row r="81" spans="1:31" ht="14.25" customHeight="1">
      <c r="A81" s="635"/>
      <c r="B81" s="205">
        <v>44</v>
      </c>
      <c r="C81" s="171" t="s">
        <v>1225</v>
      </c>
      <c r="D81" s="171"/>
      <c r="E81" s="176"/>
      <c r="F81" s="176"/>
      <c r="G81" s="176"/>
      <c r="H81" s="176"/>
      <c r="I81" s="176"/>
      <c r="J81" s="176"/>
      <c r="K81" s="176"/>
      <c r="L81" s="176"/>
      <c r="M81" s="176"/>
      <c r="N81" s="176"/>
      <c r="O81" s="176"/>
      <c r="P81" s="176"/>
      <c r="Q81" s="176"/>
      <c r="R81" s="176"/>
      <c r="S81" s="176"/>
      <c r="T81" s="176"/>
      <c r="U81" s="176"/>
      <c r="V81" s="176"/>
      <c r="W81" s="644" t="s">
        <v>1283</v>
      </c>
      <c r="X81" s="1172">
        <v>44</v>
      </c>
      <c r="Y81" s="5983">
        <f>IF(AD81&lt;&gt;"",ROUND(AD81,0),ROUND(SUM(Y64,Y66,Y68,Y71,Y73,Y75,Y77,Y79),0))</f>
        <v>0</v>
      </c>
      <c r="Z81" s="5995"/>
      <c r="AA81" s="6137"/>
      <c r="AB81" s="6137"/>
      <c r="AC81" s="635"/>
      <c r="AD81" s="624"/>
      <c r="AE81" s="635"/>
    </row>
    <row r="82" spans="1:31" ht="9.75" customHeight="1">
      <c r="A82" s="635"/>
      <c r="B82" s="336"/>
      <c r="C82" s="336"/>
      <c r="D82" s="336"/>
      <c r="E82" s="336"/>
      <c r="F82" s="336"/>
      <c r="G82" s="336"/>
      <c r="H82" s="336"/>
      <c r="I82" s="336"/>
      <c r="J82" s="336"/>
      <c r="K82" s="336"/>
      <c r="L82" s="336"/>
      <c r="M82" s="336"/>
      <c r="N82" s="336"/>
      <c r="O82" s="336"/>
      <c r="P82" s="336"/>
      <c r="Q82" s="336"/>
      <c r="R82" s="336"/>
      <c r="S82" s="336"/>
      <c r="T82" s="336"/>
      <c r="U82" s="336"/>
      <c r="V82" s="336"/>
      <c r="W82" s="336"/>
      <c r="X82" s="1832"/>
      <c r="Y82" s="336"/>
      <c r="Z82" s="336"/>
      <c r="AA82" s="336"/>
      <c r="AB82" s="336"/>
      <c r="AC82" s="635"/>
      <c r="AD82" s="396"/>
      <c r="AE82" s="635"/>
    </row>
    <row r="83" spans="1:31" ht="14.25" customHeight="1">
      <c r="A83" s="635"/>
      <c r="B83" s="205">
        <v>45</v>
      </c>
      <c r="C83" s="171" t="s">
        <v>1226</v>
      </c>
      <c r="D83" s="171"/>
      <c r="E83" s="176"/>
      <c r="F83" s="176"/>
      <c r="G83" s="176"/>
      <c r="H83" s="176"/>
      <c r="I83" s="176"/>
      <c r="J83" s="176"/>
      <c r="K83" s="176"/>
      <c r="L83" s="176"/>
      <c r="M83" s="176"/>
      <c r="N83" s="176"/>
      <c r="O83" s="176"/>
      <c r="P83" s="176"/>
      <c r="Q83" s="176"/>
      <c r="R83" s="176"/>
      <c r="S83" s="644"/>
      <c r="T83" s="1814"/>
      <c r="U83" s="1814"/>
      <c r="V83" s="1815"/>
      <c r="W83" s="1815"/>
      <c r="X83" s="1833"/>
      <c r="Y83" s="336"/>
      <c r="Z83" s="336"/>
      <c r="AA83" s="336"/>
      <c r="AB83" s="336"/>
      <c r="AC83" s="635"/>
      <c r="AD83" s="396"/>
      <c r="AE83" s="635"/>
    </row>
    <row r="84" spans="1:31" ht="12.75" customHeight="1">
      <c r="A84" s="635"/>
      <c r="B84" s="205"/>
      <c r="C84" s="191" t="s">
        <v>1227</v>
      </c>
      <c r="D84" s="191"/>
      <c r="E84" s="191"/>
      <c r="F84" s="191"/>
      <c r="G84" s="191"/>
      <c r="H84" s="191"/>
      <c r="I84" s="191"/>
      <c r="J84" s="191"/>
      <c r="K84" s="191"/>
      <c r="L84" s="191"/>
      <c r="M84" s="191"/>
      <c r="N84" s="191"/>
      <c r="O84" s="191"/>
      <c r="P84" s="191"/>
      <c r="Q84" s="191"/>
      <c r="R84" s="1835" t="s">
        <v>279</v>
      </c>
      <c r="S84" s="1837">
        <v>45</v>
      </c>
      <c r="T84" s="6140"/>
      <c r="U84" s="6140"/>
      <c r="V84" s="6428"/>
      <c r="W84" s="6428"/>
      <c r="X84" s="1833"/>
      <c r="Y84" s="336"/>
      <c r="Z84" s="336"/>
      <c r="AA84" s="336"/>
      <c r="AB84" s="336"/>
      <c r="AC84" s="635"/>
      <c r="AD84" s="396"/>
      <c r="AE84" s="635"/>
    </row>
    <row r="85" spans="1:31" ht="14.25" customHeight="1">
      <c r="A85" s="635"/>
      <c r="B85" s="205">
        <v>46</v>
      </c>
      <c r="C85" s="1115" t="s">
        <v>1228</v>
      </c>
      <c r="D85" s="171"/>
      <c r="E85" s="176"/>
      <c r="F85" s="176"/>
      <c r="G85" s="176"/>
      <c r="H85" s="176"/>
      <c r="I85" s="176"/>
      <c r="J85" s="176"/>
      <c r="K85" s="176"/>
      <c r="L85" s="176"/>
      <c r="M85" s="176"/>
      <c r="N85" s="176"/>
      <c r="O85" s="176"/>
      <c r="P85" s="176"/>
      <c r="Q85" s="176"/>
      <c r="R85" s="176"/>
      <c r="S85" s="1836"/>
      <c r="T85" s="1814"/>
      <c r="U85" s="1814"/>
      <c r="V85" s="1815"/>
      <c r="W85" s="1815"/>
      <c r="X85" s="1833"/>
      <c r="Y85" s="336"/>
      <c r="Z85" s="336"/>
      <c r="AA85" s="336"/>
      <c r="AB85" s="336"/>
      <c r="AC85" s="635"/>
      <c r="AD85" s="396"/>
      <c r="AE85" s="635"/>
    </row>
    <row r="86" spans="1:31" ht="12.75" customHeight="1">
      <c r="A86" s="635"/>
      <c r="B86" s="205"/>
      <c r="C86" s="1663" t="s">
        <v>1229</v>
      </c>
      <c r="D86" s="1079"/>
      <c r="E86" s="191"/>
      <c r="F86" s="191"/>
      <c r="G86" s="191"/>
      <c r="H86" s="191"/>
      <c r="I86" s="191"/>
      <c r="J86" s="191"/>
      <c r="K86" s="191"/>
      <c r="L86" s="191"/>
      <c r="M86" s="191"/>
      <c r="N86" s="191"/>
      <c r="O86" s="191"/>
      <c r="P86" s="191"/>
      <c r="Q86" s="191"/>
      <c r="R86" s="1835" t="s">
        <v>4448</v>
      </c>
      <c r="S86" s="1837">
        <v>46</v>
      </c>
      <c r="T86" s="6140"/>
      <c r="U86" s="6140"/>
      <c r="V86" s="6428"/>
      <c r="W86" s="6428"/>
      <c r="X86" s="1833"/>
      <c r="Y86" s="336"/>
      <c r="Z86" s="336"/>
      <c r="AA86" s="336"/>
      <c r="AB86" s="336"/>
      <c r="AC86" s="635"/>
      <c r="AD86" s="396"/>
      <c r="AE86" s="635"/>
    </row>
    <row r="87" spans="1:31" ht="14.25" customHeight="1">
      <c r="A87" s="635"/>
      <c r="B87" s="205"/>
      <c r="C87" s="205"/>
      <c r="D87" s="171"/>
      <c r="E87" s="176"/>
      <c r="F87" s="176"/>
      <c r="G87" s="176"/>
      <c r="H87" s="176"/>
      <c r="I87" s="176"/>
      <c r="J87" s="176"/>
      <c r="K87" s="176"/>
      <c r="L87" s="176"/>
      <c r="M87" s="176"/>
      <c r="N87" s="176"/>
      <c r="O87" s="176"/>
      <c r="P87" s="176"/>
      <c r="Q87" s="176"/>
      <c r="R87" s="176"/>
      <c r="S87" s="1836"/>
      <c r="T87" s="1814"/>
      <c r="U87" s="1814"/>
      <c r="V87" s="1815"/>
      <c r="W87" s="1815"/>
      <c r="X87" s="1833"/>
      <c r="Y87" s="336"/>
      <c r="Z87" s="336"/>
      <c r="AA87" s="336"/>
      <c r="AB87" s="336"/>
      <c r="AC87" s="635"/>
      <c r="AD87" s="396"/>
      <c r="AE87" s="635"/>
    </row>
    <row r="88" spans="1:31" ht="12.75" customHeight="1">
      <c r="A88" s="635"/>
      <c r="B88" s="205">
        <v>47</v>
      </c>
      <c r="C88" s="1663" t="s">
        <v>1230</v>
      </c>
      <c r="D88" s="1079"/>
      <c r="E88" s="191"/>
      <c r="F88" s="191"/>
      <c r="G88" s="191"/>
      <c r="H88" s="191"/>
      <c r="I88" s="191"/>
      <c r="J88" s="191"/>
      <c r="K88" s="191"/>
      <c r="L88" s="191"/>
      <c r="M88" s="191"/>
      <c r="N88" s="191"/>
      <c r="O88" s="191"/>
      <c r="P88" s="191"/>
      <c r="Q88" s="191"/>
      <c r="R88" s="1835" t="s">
        <v>4360</v>
      </c>
      <c r="S88" s="1837">
        <v>47</v>
      </c>
      <c r="T88" s="5983">
        <f>ROUND(SUM(T84,T86),0)</f>
        <v>0</v>
      </c>
      <c r="U88" s="5995"/>
      <c r="V88" s="6137"/>
      <c r="W88" s="6137"/>
      <c r="X88" s="1833"/>
      <c r="Y88" s="336"/>
      <c r="Z88" s="336"/>
      <c r="AA88" s="336"/>
      <c r="AB88" s="336"/>
      <c r="AC88" s="635"/>
      <c r="AD88" s="396"/>
      <c r="AE88" s="635"/>
    </row>
    <row r="89" spans="1:31" ht="14.25" customHeight="1">
      <c r="A89" s="635"/>
      <c r="B89" s="205"/>
      <c r="C89" s="205"/>
      <c r="D89" s="171"/>
      <c r="E89" s="176"/>
      <c r="F89" s="176"/>
      <c r="G89" s="176"/>
      <c r="H89" s="176"/>
      <c r="I89" s="176"/>
      <c r="J89" s="176"/>
      <c r="K89" s="176"/>
      <c r="L89" s="176"/>
      <c r="M89" s="176"/>
      <c r="N89" s="176"/>
      <c r="O89" s="176"/>
      <c r="P89" s="176"/>
      <c r="Q89" s="176"/>
      <c r="R89" s="176"/>
      <c r="S89" s="1836"/>
      <c r="T89" s="1814"/>
      <c r="U89" s="1814"/>
      <c r="V89" s="1815"/>
      <c r="W89" s="1815"/>
      <c r="X89" s="1833"/>
      <c r="Y89" s="336"/>
      <c r="Z89" s="336"/>
      <c r="AA89" s="336"/>
      <c r="AB89" s="336"/>
      <c r="AC89" s="635"/>
      <c r="AD89" s="396"/>
      <c r="AE89" s="635"/>
    </row>
    <row r="90" spans="1:31" ht="12.75" customHeight="1">
      <c r="A90" s="635"/>
      <c r="B90" s="205">
        <v>48</v>
      </c>
      <c r="C90" s="1663" t="s">
        <v>1231</v>
      </c>
      <c r="D90" s="1079"/>
      <c r="E90" s="191"/>
      <c r="F90" s="191"/>
      <c r="G90" s="191"/>
      <c r="H90" s="191"/>
      <c r="I90" s="191"/>
      <c r="J90" s="191"/>
      <c r="K90" s="191"/>
      <c r="L90" s="191"/>
      <c r="M90" s="191"/>
      <c r="N90" s="191"/>
      <c r="O90" s="191"/>
      <c r="P90" s="191"/>
      <c r="Q90" s="191"/>
      <c r="R90" s="1835" t="s">
        <v>963</v>
      </c>
      <c r="S90" s="1837">
        <v>48</v>
      </c>
      <c r="T90" s="6140"/>
      <c r="U90" s="6140"/>
      <c r="V90" s="6428"/>
      <c r="W90" s="6428"/>
      <c r="X90" s="1833"/>
      <c r="Y90" s="336"/>
      <c r="Z90" s="336"/>
      <c r="AA90" s="336"/>
      <c r="AB90" s="336"/>
      <c r="AC90" s="635"/>
      <c r="AD90" s="396"/>
      <c r="AE90" s="635"/>
    </row>
    <row r="91" spans="1:31" ht="9.75" customHeight="1">
      <c r="A91" s="635"/>
      <c r="B91" s="336"/>
      <c r="C91" s="336"/>
      <c r="D91" s="336"/>
      <c r="E91" s="336"/>
      <c r="F91" s="336"/>
      <c r="G91" s="336"/>
      <c r="H91" s="336"/>
      <c r="I91" s="336"/>
      <c r="J91" s="336"/>
      <c r="K91" s="336"/>
      <c r="L91" s="336"/>
      <c r="M91" s="336"/>
      <c r="N91" s="336"/>
      <c r="O91" s="336"/>
      <c r="P91" s="336"/>
      <c r="Q91" s="336"/>
      <c r="R91" s="336"/>
      <c r="S91" s="336"/>
      <c r="T91" s="336"/>
      <c r="U91" s="336"/>
      <c r="V91" s="336"/>
      <c r="W91" s="336"/>
      <c r="X91" s="1831"/>
      <c r="Y91" s="336"/>
      <c r="Z91" s="336"/>
      <c r="AA91" s="336"/>
      <c r="AB91" s="336"/>
      <c r="AC91" s="635"/>
      <c r="AD91" s="396"/>
      <c r="AE91" s="635"/>
    </row>
    <row r="92" spans="1:31" ht="14.25" customHeight="1">
      <c r="A92" s="635"/>
      <c r="B92" s="205">
        <v>49</v>
      </c>
      <c r="C92" s="1115" t="s">
        <v>1232</v>
      </c>
      <c r="D92" s="171"/>
      <c r="E92" s="176"/>
      <c r="F92" s="176"/>
      <c r="G92" s="176"/>
      <c r="H92" s="176"/>
      <c r="I92" s="176"/>
      <c r="J92" s="176"/>
      <c r="K92" s="176"/>
      <c r="L92" s="176"/>
      <c r="M92" s="176"/>
      <c r="N92" s="176"/>
      <c r="O92" s="176"/>
      <c r="P92" s="176"/>
      <c r="Q92" s="176"/>
      <c r="R92" s="176"/>
      <c r="S92" s="176"/>
      <c r="T92" s="176"/>
      <c r="U92" s="176"/>
      <c r="V92" s="176"/>
      <c r="W92" s="1835" t="s">
        <v>513</v>
      </c>
      <c r="X92" s="1172">
        <v>49</v>
      </c>
      <c r="Y92" s="5983">
        <f>SUM(T88,-T90)</f>
        <v>0</v>
      </c>
      <c r="Z92" s="5995"/>
      <c r="AA92" s="6137"/>
      <c r="AB92" s="6137"/>
      <c r="AC92" s="635"/>
      <c r="AD92" s="396"/>
      <c r="AE92" s="635"/>
    </row>
    <row r="93" spans="1:31" ht="9.75" customHeight="1">
      <c r="A93" s="635"/>
      <c r="B93" s="336"/>
      <c r="C93" s="336"/>
      <c r="D93" s="336"/>
      <c r="E93" s="336"/>
      <c r="F93" s="336"/>
      <c r="G93" s="336"/>
      <c r="H93" s="336"/>
      <c r="I93" s="336"/>
      <c r="J93" s="336"/>
      <c r="K93" s="336"/>
      <c r="L93" s="336"/>
      <c r="M93" s="336"/>
      <c r="N93" s="336"/>
      <c r="O93" s="336"/>
      <c r="P93" s="336"/>
      <c r="Q93" s="336"/>
      <c r="R93" s="336"/>
      <c r="S93" s="336"/>
      <c r="T93" s="336"/>
      <c r="U93" s="336"/>
      <c r="V93" s="336"/>
      <c r="W93" s="336"/>
      <c r="X93" s="1831"/>
      <c r="Y93" s="6424" t="b">
        <f>IF(OR(Y81&lt;&gt;0,T88&lt;&gt;0,Y92&lt;&gt;0),TRUE,FALSE)</f>
        <v>0</v>
      </c>
      <c r="Z93" s="6425"/>
      <c r="AA93" s="6425"/>
      <c r="AB93" s="6425"/>
      <c r="AC93" s="635"/>
      <c r="AD93" s="396"/>
      <c r="AE93" s="635"/>
    </row>
    <row r="94" spans="1:31" ht="14.25" customHeight="1">
      <c r="A94" s="635"/>
      <c r="B94" s="379">
        <v>50</v>
      </c>
      <c r="C94" s="257" t="s">
        <v>1233</v>
      </c>
      <c r="D94" s="257"/>
      <c r="E94" s="178"/>
      <c r="F94" s="178"/>
      <c r="G94" s="178"/>
      <c r="H94" s="178"/>
      <c r="I94" s="178"/>
      <c r="J94" s="178"/>
      <c r="K94" s="178"/>
      <c r="L94" s="178"/>
      <c r="M94" s="178"/>
      <c r="N94" s="178"/>
      <c r="O94" s="178"/>
      <c r="P94" s="178"/>
      <c r="Q94" s="178"/>
      <c r="R94" s="178"/>
      <c r="S94" s="178"/>
      <c r="T94" s="178"/>
      <c r="U94" s="178"/>
      <c r="V94" s="178"/>
      <c r="W94" s="1861" t="s">
        <v>982</v>
      </c>
      <c r="X94" s="1172">
        <v>50</v>
      </c>
      <c r="Y94" s="5983">
        <f>IF(AD94&lt;&gt;"",ROUND(AD94,0),SUM(Y81,-Y92))</f>
        <v>0</v>
      </c>
      <c r="Z94" s="5995"/>
      <c r="AA94" s="6137"/>
      <c r="AB94" s="6137"/>
      <c r="AC94" s="635"/>
      <c r="AD94" s="624"/>
      <c r="AE94" s="635"/>
    </row>
    <row r="95" spans="1:31">
      <c r="A95" s="635"/>
      <c r="B95" s="280" t="s">
        <v>1234</v>
      </c>
      <c r="C95" s="280"/>
      <c r="D95" s="107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635"/>
      <c r="AD95" s="396"/>
      <c r="AE95" s="635"/>
    </row>
    <row r="96" spans="1:31" ht="12.75" customHeight="1" thickBot="1">
      <c r="A96" s="635"/>
      <c r="B96" s="1858" t="s">
        <v>1235</v>
      </c>
      <c r="C96" s="1858"/>
      <c r="D96" s="1849"/>
      <c r="E96" s="1849"/>
      <c r="F96" s="1849"/>
      <c r="G96" s="1849"/>
      <c r="H96" s="1849"/>
      <c r="I96" s="1849"/>
      <c r="J96" s="1849"/>
      <c r="K96" s="1849"/>
      <c r="L96" s="1849"/>
      <c r="M96" s="1849"/>
      <c r="N96" s="1849"/>
      <c r="O96" s="1849"/>
      <c r="P96" s="1849"/>
      <c r="Q96" s="1849"/>
      <c r="R96" s="1849"/>
      <c r="S96" s="1849"/>
      <c r="T96" s="1849"/>
      <c r="U96" s="1849"/>
      <c r="V96" s="1849"/>
      <c r="W96" s="1849"/>
      <c r="X96" s="1849"/>
      <c r="Y96" s="1849"/>
      <c r="Z96" s="1849"/>
      <c r="AA96" s="1849"/>
      <c r="AB96" s="1849"/>
      <c r="AC96" s="635"/>
      <c r="AD96" s="396"/>
      <c r="AE96" s="635"/>
    </row>
    <row r="97" spans="1:31" ht="12.75" customHeight="1" thickTop="1">
      <c r="A97" s="635"/>
      <c r="B97" s="6426" t="s">
        <v>546</v>
      </c>
      <c r="C97" s="6427"/>
      <c r="D97" s="1859" t="s">
        <v>1238</v>
      </c>
      <c r="E97" s="1853"/>
      <c r="F97" s="1853"/>
      <c r="G97" s="1853"/>
      <c r="H97" s="1853"/>
      <c r="I97" s="1853"/>
      <c r="J97" s="1853"/>
      <c r="K97" s="1853"/>
      <c r="L97" s="1853"/>
      <c r="M97" s="1853"/>
      <c r="N97" s="1853"/>
      <c r="O97" s="1853"/>
      <c r="P97" s="1853"/>
      <c r="Q97" s="1853"/>
      <c r="R97" s="1853"/>
      <c r="S97" s="1853"/>
      <c r="T97" s="1853"/>
      <c r="U97" s="1853"/>
      <c r="V97" s="1853"/>
      <c r="W97" s="1853"/>
      <c r="X97" s="1853"/>
      <c r="Y97" s="1853"/>
      <c r="Z97" s="1853"/>
      <c r="AA97" s="1853"/>
      <c r="AB97" s="1853"/>
      <c r="AC97" s="635"/>
      <c r="AD97" s="396"/>
      <c r="AE97" s="635"/>
    </row>
    <row r="98" spans="1:31" ht="12.75" customHeight="1">
      <c r="A98" s="635"/>
      <c r="B98" s="205"/>
      <c r="C98" s="205"/>
      <c r="D98" s="1842" t="s">
        <v>1239</v>
      </c>
      <c r="E98" s="1838"/>
      <c r="F98" s="336"/>
      <c r="G98" s="336"/>
      <c r="H98" s="336"/>
      <c r="I98" s="336"/>
      <c r="J98" s="336"/>
      <c r="K98" s="336"/>
      <c r="L98" s="336"/>
      <c r="M98" s="336"/>
      <c r="N98" s="336"/>
      <c r="O98" s="6422">
        <v>111300</v>
      </c>
      <c r="P98" s="6095"/>
      <c r="Q98" s="6095"/>
      <c r="R98" s="171" t="s">
        <v>1259</v>
      </c>
      <c r="S98" s="336"/>
      <c r="T98" s="336"/>
      <c r="U98" s="336"/>
      <c r="V98" s="336"/>
      <c r="W98" s="336"/>
      <c r="X98" s="336"/>
      <c r="Y98" s="336"/>
      <c r="Z98" s="336"/>
      <c r="AA98" s="336"/>
      <c r="AB98" s="336"/>
      <c r="AC98" s="635"/>
      <c r="AD98" s="396"/>
      <c r="AE98" s="635"/>
    </row>
    <row r="99" spans="1:31" ht="12.75" customHeight="1">
      <c r="A99" s="635"/>
      <c r="B99" s="205"/>
      <c r="C99" s="205"/>
      <c r="D99" s="1842" t="s">
        <v>1240</v>
      </c>
      <c r="E99" s="1838"/>
      <c r="F99" s="336"/>
      <c r="G99" s="336"/>
      <c r="H99" s="336"/>
      <c r="I99" s="336"/>
      <c r="J99" s="336"/>
      <c r="K99" s="336"/>
      <c r="L99" s="336"/>
      <c r="M99" s="336"/>
      <c r="N99" s="336"/>
      <c r="O99" s="6422">
        <v>111400</v>
      </c>
      <c r="P99" s="6095"/>
      <c r="Q99" s="6095"/>
      <c r="R99" s="171" t="s">
        <v>1263</v>
      </c>
      <c r="S99" s="336"/>
      <c r="T99" s="336"/>
      <c r="U99" s="336"/>
      <c r="V99" s="336"/>
      <c r="W99" s="336"/>
      <c r="X99" s="336"/>
      <c r="Y99" s="336"/>
      <c r="Z99" s="336"/>
      <c r="AA99" s="336"/>
      <c r="AB99" s="336"/>
      <c r="AC99" s="635"/>
      <c r="AD99" s="396"/>
      <c r="AE99" s="635"/>
    </row>
    <row r="100" spans="1:31" ht="12.75" customHeight="1">
      <c r="A100" s="635"/>
      <c r="B100" s="205"/>
      <c r="C100" s="205"/>
      <c r="D100" s="1842" t="s">
        <v>1241</v>
      </c>
      <c r="E100" s="1838"/>
      <c r="F100" s="336"/>
      <c r="G100" s="336"/>
      <c r="H100" s="336"/>
      <c r="I100" s="336"/>
      <c r="J100" s="336"/>
      <c r="K100" s="336"/>
      <c r="L100" s="336"/>
      <c r="M100" s="336"/>
      <c r="N100" s="336"/>
      <c r="O100" s="6422">
        <v>111900</v>
      </c>
      <c r="P100" s="6095"/>
      <c r="Q100" s="6095"/>
      <c r="R100" s="171" t="s">
        <v>1264</v>
      </c>
      <c r="S100" s="336"/>
      <c r="T100" s="336"/>
      <c r="U100" s="336"/>
      <c r="V100" s="336"/>
      <c r="W100" s="336"/>
      <c r="X100" s="336"/>
      <c r="Y100" s="336"/>
      <c r="Z100" s="336"/>
      <c r="AA100" s="336"/>
      <c r="AB100" s="336"/>
      <c r="AC100" s="635"/>
      <c r="AD100" s="396"/>
      <c r="AE100" s="635"/>
    </row>
    <row r="101" spans="1:31" ht="12.75" customHeight="1">
      <c r="A101" s="635"/>
      <c r="B101" s="205"/>
      <c r="C101" s="205"/>
      <c r="D101" s="1842" t="s">
        <v>1242</v>
      </c>
      <c r="E101" s="1838"/>
      <c r="F101" s="336"/>
      <c r="G101" s="336"/>
      <c r="H101" s="336"/>
      <c r="I101" s="336"/>
      <c r="J101" s="336"/>
      <c r="K101" s="336"/>
      <c r="L101" s="336"/>
      <c r="M101" s="336"/>
      <c r="N101" s="336"/>
      <c r="O101" s="168" t="s">
        <v>1260</v>
      </c>
      <c r="P101" s="336"/>
      <c r="Q101" s="336"/>
      <c r="R101" s="336"/>
      <c r="S101" s="336"/>
      <c r="T101" s="336"/>
      <c r="U101" s="336"/>
      <c r="V101" s="336"/>
      <c r="W101" s="336"/>
      <c r="X101" s="336"/>
      <c r="Y101" s="336"/>
      <c r="Z101" s="336"/>
      <c r="AA101" s="336"/>
      <c r="AB101" s="336"/>
      <c r="AC101" s="635"/>
      <c r="AD101" s="396"/>
      <c r="AE101" s="635"/>
    </row>
    <row r="102" spans="1:31" ht="12.75" customHeight="1">
      <c r="A102" s="635"/>
      <c r="B102" s="4784" t="s">
        <v>1243</v>
      </c>
      <c r="C102" s="1838"/>
      <c r="D102" s="1838"/>
      <c r="E102" s="336"/>
      <c r="F102" s="336"/>
      <c r="G102" s="336"/>
      <c r="H102" s="336"/>
      <c r="I102" s="336"/>
      <c r="J102" s="336"/>
      <c r="K102" s="336"/>
      <c r="L102" s="336"/>
      <c r="M102" s="336"/>
      <c r="N102" s="336"/>
      <c r="O102" s="6422">
        <v>112111</v>
      </c>
      <c r="P102" s="6095"/>
      <c r="Q102" s="6095"/>
      <c r="R102" s="171" t="s">
        <v>1265</v>
      </c>
      <c r="S102" s="336"/>
      <c r="T102" s="336"/>
      <c r="U102" s="336"/>
      <c r="V102" s="336"/>
      <c r="W102" s="336"/>
      <c r="X102" s="336"/>
      <c r="Y102" s="336"/>
      <c r="Z102" s="336"/>
      <c r="AA102" s="336"/>
      <c r="AB102" s="336"/>
      <c r="AC102" s="635"/>
      <c r="AD102" s="396"/>
      <c r="AE102" s="635"/>
    </row>
    <row r="103" spans="1:31" ht="12.75" customHeight="1">
      <c r="A103" s="635"/>
      <c r="B103" s="1838" t="s">
        <v>1244</v>
      </c>
      <c r="C103" s="1838"/>
      <c r="D103" s="1838"/>
      <c r="E103" s="336"/>
      <c r="F103" s="336"/>
      <c r="G103" s="336"/>
      <c r="H103" s="336"/>
      <c r="I103" s="336"/>
      <c r="J103" s="336"/>
      <c r="K103" s="336"/>
      <c r="L103" s="336"/>
      <c r="M103" s="336"/>
      <c r="N103" s="336"/>
      <c r="O103" s="6422">
        <v>112112</v>
      </c>
      <c r="P103" s="6095"/>
      <c r="Q103" s="6095"/>
      <c r="R103" s="171" t="s">
        <v>1266</v>
      </c>
      <c r="S103" s="336"/>
      <c r="T103" s="336"/>
      <c r="U103" s="336"/>
      <c r="V103" s="336"/>
      <c r="W103" s="336"/>
      <c r="X103" s="336"/>
      <c r="Y103" s="336"/>
      <c r="Z103" s="336"/>
      <c r="AA103" s="336"/>
      <c r="AB103" s="336"/>
      <c r="AC103" s="635"/>
      <c r="AD103" s="396"/>
      <c r="AE103" s="635"/>
    </row>
    <row r="104" spans="1:31" ht="12.75" customHeight="1">
      <c r="A104" s="635"/>
      <c r="B104" s="4784" t="s">
        <v>1245</v>
      </c>
      <c r="C104" s="4784"/>
      <c r="D104" s="1838"/>
      <c r="E104" s="201"/>
      <c r="F104" s="221"/>
      <c r="G104" s="221"/>
      <c r="H104" s="221"/>
      <c r="I104" s="221"/>
      <c r="J104" s="221"/>
      <c r="K104" s="221"/>
      <c r="L104" s="221"/>
      <c r="M104" s="221"/>
      <c r="N104" s="221"/>
      <c r="O104" s="6422">
        <v>112120</v>
      </c>
      <c r="P104" s="6095"/>
      <c r="Q104" s="6095"/>
      <c r="R104" s="171" t="s">
        <v>1267</v>
      </c>
      <c r="S104" s="221"/>
      <c r="T104" s="221"/>
      <c r="U104" s="221"/>
      <c r="V104" s="221"/>
      <c r="W104" s="221"/>
      <c r="X104" s="221"/>
      <c r="Y104" s="221"/>
      <c r="Z104" s="221"/>
      <c r="AA104" s="221"/>
      <c r="AB104" s="221"/>
      <c r="AC104" s="635"/>
      <c r="AD104" s="396"/>
      <c r="AE104" s="635"/>
    </row>
    <row r="105" spans="1:31" ht="12.75" customHeight="1">
      <c r="A105" s="635"/>
      <c r="B105" s="4784" t="s">
        <v>1246</v>
      </c>
      <c r="C105" s="4784"/>
      <c r="D105" s="1838"/>
      <c r="E105" s="201"/>
      <c r="F105" s="221"/>
      <c r="G105" s="221"/>
      <c r="H105" s="221"/>
      <c r="I105" s="221"/>
      <c r="J105" s="221"/>
      <c r="K105" s="221"/>
      <c r="L105" s="221"/>
      <c r="M105" s="221"/>
      <c r="N105" s="221"/>
      <c r="O105" s="6422">
        <v>112210</v>
      </c>
      <c r="P105" s="6095"/>
      <c r="Q105" s="6095"/>
      <c r="R105" s="171" t="s">
        <v>1268</v>
      </c>
      <c r="S105" s="221"/>
      <c r="T105" s="221"/>
      <c r="U105" s="221"/>
      <c r="V105" s="221"/>
      <c r="W105" s="221"/>
      <c r="X105" s="221"/>
      <c r="Y105" s="221"/>
      <c r="Z105" s="221"/>
      <c r="AA105" s="221"/>
      <c r="AB105" s="221"/>
      <c r="AC105" s="635"/>
      <c r="AD105" s="396"/>
      <c r="AE105" s="635"/>
    </row>
    <row r="106" spans="1:31" ht="12.75" customHeight="1">
      <c r="A106" s="635"/>
      <c r="B106" s="4784" t="s">
        <v>1247</v>
      </c>
      <c r="C106" s="4784"/>
      <c r="D106" s="1838"/>
      <c r="E106" s="201"/>
      <c r="F106" s="221"/>
      <c r="G106" s="221"/>
      <c r="H106" s="221"/>
      <c r="I106" s="221"/>
      <c r="J106" s="221"/>
      <c r="K106" s="221"/>
      <c r="L106" s="221"/>
      <c r="M106" s="221"/>
      <c r="N106" s="221"/>
      <c r="O106" s="6422">
        <v>112300</v>
      </c>
      <c r="P106" s="6095"/>
      <c r="Q106" s="6095"/>
      <c r="R106" s="171" t="s">
        <v>1269</v>
      </c>
      <c r="S106" s="221"/>
      <c r="T106" s="221"/>
      <c r="U106" s="221"/>
      <c r="V106" s="221"/>
      <c r="W106" s="221"/>
      <c r="X106" s="221"/>
      <c r="Y106" s="221"/>
      <c r="Z106" s="221"/>
      <c r="AA106" s="221"/>
      <c r="AB106" s="221"/>
      <c r="AC106" s="635"/>
      <c r="AD106" s="396"/>
      <c r="AE106" s="635"/>
    </row>
    <row r="107" spans="1:31" ht="12.75" customHeight="1">
      <c r="A107" s="635"/>
      <c r="B107" s="4784" t="s">
        <v>1248</v>
      </c>
      <c r="C107" s="4784"/>
      <c r="D107" s="1838"/>
      <c r="E107" s="201"/>
      <c r="F107" s="221"/>
      <c r="G107" s="221"/>
      <c r="H107" s="221"/>
      <c r="I107" s="221"/>
      <c r="J107" s="221"/>
      <c r="K107" s="221"/>
      <c r="L107" s="221"/>
      <c r="M107" s="221"/>
      <c r="N107" s="221"/>
      <c r="O107" s="6422">
        <v>112400</v>
      </c>
      <c r="P107" s="6095"/>
      <c r="Q107" s="6095"/>
      <c r="R107" s="171" t="s">
        <v>1270</v>
      </c>
      <c r="S107" s="221"/>
      <c r="T107" s="221"/>
      <c r="U107" s="221"/>
      <c r="V107" s="221"/>
      <c r="W107" s="221"/>
      <c r="X107" s="221"/>
      <c r="Y107" s="221"/>
      <c r="Z107" s="221"/>
      <c r="AA107" s="221"/>
      <c r="AB107" s="221"/>
      <c r="AC107" s="635"/>
      <c r="AD107" s="396"/>
      <c r="AE107" s="635"/>
    </row>
    <row r="108" spans="1:31" ht="12.75" customHeight="1" thickBot="1">
      <c r="A108" s="635"/>
      <c r="B108" s="4784" t="s">
        <v>1249</v>
      </c>
      <c r="C108" s="4784"/>
      <c r="D108" s="1838"/>
      <c r="E108" s="201"/>
      <c r="F108" s="221"/>
      <c r="G108" s="221"/>
      <c r="H108" s="221"/>
      <c r="I108" s="221"/>
      <c r="J108" s="221"/>
      <c r="K108" s="221"/>
      <c r="L108" s="221"/>
      <c r="M108" s="221"/>
      <c r="N108" s="221"/>
      <c r="O108" s="6422">
        <v>112510</v>
      </c>
      <c r="P108" s="6095"/>
      <c r="Q108" s="6095"/>
      <c r="R108" s="171" t="s">
        <v>1271</v>
      </c>
      <c r="S108" s="221"/>
      <c r="T108" s="221"/>
      <c r="U108" s="221"/>
      <c r="V108" s="221"/>
      <c r="W108" s="221"/>
      <c r="X108" s="221"/>
      <c r="Y108" s="221"/>
      <c r="Z108" s="221"/>
      <c r="AA108" s="221"/>
      <c r="AB108" s="221"/>
      <c r="AC108" s="635"/>
      <c r="AD108" s="396"/>
      <c r="AE108" s="635"/>
    </row>
    <row r="109" spans="1:31" ht="11.25" customHeight="1" thickTop="1">
      <c r="A109" s="635"/>
      <c r="B109" s="3065"/>
      <c r="C109" s="3065"/>
      <c r="D109" s="3065"/>
      <c r="E109" s="3066"/>
      <c r="F109" s="3067"/>
      <c r="G109" s="3067"/>
      <c r="H109" s="3067"/>
      <c r="I109" s="3067"/>
      <c r="J109" s="3067"/>
      <c r="K109" s="3067"/>
      <c r="L109" s="221"/>
      <c r="M109" s="221"/>
      <c r="N109" s="221"/>
      <c r="O109" s="6422">
        <v>112900</v>
      </c>
      <c r="P109" s="6095"/>
      <c r="Q109" s="6095"/>
      <c r="R109" s="171" t="s">
        <v>1272</v>
      </c>
      <c r="S109" s="221"/>
      <c r="T109" s="221"/>
      <c r="U109" s="221"/>
      <c r="V109" s="221"/>
      <c r="W109" s="221"/>
      <c r="X109" s="221"/>
      <c r="Y109" s="221"/>
      <c r="Z109" s="221"/>
      <c r="AA109" s="221"/>
      <c r="AB109" s="221"/>
      <c r="AC109" s="635"/>
      <c r="AD109" s="396"/>
      <c r="AE109" s="635"/>
    </row>
    <row r="110" spans="1:31" ht="12.75" customHeight="1">
      <c r="A110" s="635"/>
      <c r="B110" s="4785" t="s">
        <v>1250</v>
      </c>
      <c r="C110" s="2269"/>
      <c r="D110" s="1838"/>
      <c r="E110" s="1079"/>
      <c r="F110" s="1079"/>
      <c r="G110" s="1079"/>
      <c r="H110" s="1079"/>
      <c r="I110" s="1079"/>
      <c r="J110" s="1079"/>
      <c r="K110" s="1079"/>
      <c r="L110" s="221"/>
      <c r="M110" s="221"/>
      <c r="N110" s="221"/>
      <c r="O110" s="168" t="s">
        <v>1261</v>
      </c>
      <c r="P110" s="221"/>
      <c r="Q110" s="221"/>
      <c r="R110" s="221"/>
      <c r="S110" s="221"/>
      <c r="T110" s="221"/>
      <c r="U110" s="221"/>
      <c r="V110" s="221"/>
      <c r="W110" s="221"/>
      <c r="X110" s="221"/>
      <c r="Y110" s="221"/>
      <c r="Z110" s="221"/>
      <c r="AA110" s="221"/>
      <c r="AB110" s="221"/>
      <c r="AC110" s="635"/>
      <c r="AD110" s="396"/>
      <c r="AE110" s="635"/>
    </row>
    <row r="111" spans="1:31" ht="12.75" customHeight="1">
      <c r="A111" s="635"/>
      <c r="B111" s="1115" t="s">
        <v>1251</v>
      </c>
      <c r="C111" s="171"/>
      <c r="D111" s="1838"/>
      <c r="E111" s="1079"/>
      <c r="F111" s="1079"/>
      <c r="G111" s="1079"/>
      <c r="H111" s="1079"/>
      <c r="I111" s="1079"/>
      <c r="J111" s="1079"/>
      <c r="K111" s="1079"/>
      <c r="L111" s="221"/>
      <c r="M111" s="221"/>
      <c r="N111" s="221"/>
      <c r="O111" s="6422">
        <v>113000</v>
      </c>
      <c r="P111" s="6095"/>
      <c r="Q111" s="6095"/>
      <c r="R111" s="171" t="s">
        <v>3268</v>
      </c>
      <c r="S111" s="221"/>
      <c r="T111" s="221"/>
      <c r="U111" s="221"/>
      <c r="V111" s="221"/>
      <c r="W111" s="221"/>
      <c r="X111" s="221"/>
      <c r="Y111" s="221"/>
      <c r="Z111" s="221"/>
      <c r="AA111" s="221"/>
      <c r="AB111" s="221"/>
      <c r="AC111" s="635"/>
      <c r="AD111" s="396"/>
      <c r="AE111" s="635"/>
    </row>
    <row r="112" spans="1:31" ht="12.75" customHeight="1">
      <c r="A112" s="635"/>
      <c r="B112" s="1115" t="s">
        <v>1252</v>
      </c>
      <c r="C112" s="171"/>
      <c r="D112" s="1838"/>
      <c r="E112" s="1079"/>
      <c r="F112" s="1079"/>
      <c r="G112" s="1079"/>
      <c r="H112" s="1079"/>
      <c r="I112" s="1079"/>
      <c r="J112" s="1079"/>
      <c r="K112" s="1079"/>
      <c r="L112" s="221"/>
      <c r="M112" s="221"/>
      <c r="N112" s="221"/>
      <c r="O112" s="221"/>
      <c r="P112" s="221"/>
      <c r="Q112" s="221"/>
      <c r="R112" s="171" t="s">
        <v>1262</v>
      </c>
      <c r="S112" s="221"/>
      <c r="T112" s="221"/>
      <c r="U112" s="221"/>
      <c r="V112" s="221"/>
      <c r="W112" s="221"/>
      <c r="X112" s="221"/>
      <c r="Y112" s="221"/>
      <c r="Z112" s="221"/>
      <c r="AA112" s="221"/>
      <c r="AB112" s="221"/>
      <c r="AC112" s="635"/>
      <c r="AD112" s="396"/>
      <c r="AE112" s="635"/>
    </row>
    <row r="113" spans="1:31" ht="12.75" customHeight="1">
      <c r="A113" s="635"/>
      <c r="B113" s="1115" t="s">
        <v>1253</v>
      </c>
      <c r="C113" s="171"/>
      <c r="D113" s="1838"/>
      <c r="E113" s="1079"/>
      <c r="F113" s="1079"/>
      <c r="G113" s="1079"/>
      <c r="H113" s="1079"/>
      <c r="I113" s="1079"/>
      <c r="J113" s="1079"/>
      <c r="K113" s="1079"/>
      <c r="L113" s="221"/>
      <c r="M113" s="221"/>
      <c r="N113" s="221"/>
      <c r="O113" s="221"/>
      <c r="P113" s="221"/>
      <c r="Q113" s="221"/>
      <c r="R113" s="171"/>
      <c r="S113" s="221"/>
      <c r="T113" s="221"/>
      <c r="U113" s="221"/>
      <c r="V113" s="221"/>
      <c r="W113" s="221"/>
      <c r="X113" s="221"/>
      <c r="Y113" s="221"/>
      <c r="Z113" s="221"/>
      <c r="AA113" s="221"/>
      <c r="AB113" s="221"/>
      <c r="AC113" s="635"/>
      <c r="AD113" s="396"/>
      <c r="AE113" s="635"/>
    </row>
    <row r="114" spans="1:31" ht="12.75" customHeight="1">
      <c r="A114" s="635"/>
      <c r="B114" s="4785" t="s">
        <v>1254</v>
      </c>
      <c r="C114" s="2269"/>
      <c r="D114" s="1838"/>
      <c r="E114" s="1079"/>
      <c r="F114" s="1079"/>
      <c r="G114" s="1079"/>
      <c r="H114" s="1079"/>
      <c r="I114" s="1079"/>
      <c r="J114" s="1079"/>
      <c r="K114" s="1079"/>
      <c r="L114" s="221"/>
      <c r="M114" s="221"/>
      <c r="N114" s="221"/>
      <c r="O114" s="221"/>
      <c r="P114" s="221"/>
      <c r="Q114" s="221"/>
      <c r="R114" s="171"/>
      <c r="S114" s="221"/>
      <c r="T114" s="221"/>
      <c r="U114" s="221"/>
      <c r="V114" s="221"/>
      <c r="W114" s="221"/>
      <c r="X114" s="221"/>
      <c r="Y114" s="221"/>
      <c r="Z114" s="221"/>
      <c r="AA114" s="221"/>
      <c r="AB114" s="221"/>
      <c r="AC114" s="635"/>
      <c r="AD114" s="396"/>
      <c r="AE114" s="635"/>
    </row>
    <row r="115" spans="1:31" ht="12.75" customHeight="1">
      <c r="A115" s="635"/>
      <c r="B115" s="1115" t="s">
        <v>1255</v>
      </c>
      <c r="C115" s="171"/>
      <c r="D115" s="1838"/>
      <c r="E115" s="1079"/>
      <c r="F115" s="1079"/>
      <c r="G115" s="1079"/>
      <c r="H115" s="1079"/>
      <c r="I115" s="1079"/>
      <c r="J115" s="1079"/>
      <c r="K115" s="1079"/>
      <c r="L115" s="221"/>
      <c r="M115" s="221"/>
      <c r="N115" s="221"/>
      <c r="O115" s="221"/>
      <c r="P115" s="221"/>
      <c r="Q115" s="221"/>
      <c r="R115" s="171"/>
      <c r="S115" s="221"/>
      <c r="T115" s="221"/>
      <c r="U115" s="221"/>
      <c r="V115" s="221"/>
      <c r="W115" s="221"/>
      <c r="X115" s="221"/>
      <c r="Y115" s="221"/>
      <c r="Z115" s="221"/>
      <c r="AA115" s="221"/>
      <c r="AB115" s="221"/>
      <c r="AC115" s="635"/>
      <c r="AD115" s="396"/>
      <c r="AE115" s="635"/>
    </row>
    <row r="116" spans="1:31" ht="12.75" customHeight="1">
      <c r="A116" s="635"/>
      <c r="B116" s="168" t="s">
        <v>1256</v>
      </c>
      <c r="C116" s="168"/>
      <c r="D116" s="1838"/>
      <c r="E116" s="1079"/>
      <c r="F116" s="1079"/>
      <c r="G116" s="1079"/>
      <c r="H116" s="1079"/>
      <c r="I116" s="1079"/>
      <c r="J116" s="1079"/>
      <c r="K116" s="1079"/>
      <c r="L116" s="221"/>
      <c r="M116" s="221"/>
      <c r="N116" s="221"/>
      <c r="O116" s="221"/>
      <c r="P116" s="221"/>
      <c r="Q116" s="221"/>
      <c r="R116" s="171"/>
      <c r="S116" s="221"/>
      <c r="T116" s="221"/>
      <c r="U116" s="221"/>
      <c r="V116" s="221"/>
      <c r="W116" s="221"/>
      <c r="X116" s="221"/>
      <c r="Y116" s="221"/>
      <c r="Z116" s="221"/>
      <c r="AA116" s="221"/>
      <c r="AB116" s="221"/>
      <c r="AC116" s="635"/>
      <c r="AD116" s="396"/>
      <c r="AE116" s="635"/>
    </row>
    <row r="117" spans="1:31" ht="12.75" customHeight="1">
      <c r="A117" s="635"/>
      <c r="B117" s="6423">
        <v>111100</v>
      </c>
      <c r="C117" s="5601"/>
      <c r="D117" s="171" t="s">
        <v>1257</v>
      </c>
      <c r="E117" s="201"/>
      <c r="F117" s="221"/>
      <c r="G117" s="221"/>
      <c r="H117" s="221"/>
      <c r="I117" s="221"/>
      <c r="J117" s="221"/>
      <c r="K117" s="221"/>
      <c r="L117" s="221"/>
      <c r="M117" s="221"/>
      <c r="N117" s="221"/>
      <c r="O117" s="221"/>
      <c r="P117" s="221"/>
      <c r="Q117" s="221"/>
      <c r="R117" s="171"/>
      <c r="S117" s="221"/>
      <c r="T117" s="221"/>
      <c r="U117" s="221"/>
      <c r="V117" s="221"/>
      <c r="W117" s="221"/>
      <c r="X117" s="221"/>
      <c r="Y117" s="221"/>
      <c r="Z117" s="221"/>
      <c r="AA117" s="221"/>
      <c r="AB117" s="221"/>
      <c r="AC117" s="635"/>
      <c r="AD117" s="396"/>
      <c r="AE117" s="635"/>
    </row>
    <row r="118" spans="1:31" ht="12.75" customHeight="1">
      <c r="A118" s="635"/>
      <c r="B118" s="6423">
        <v>111210</v>
      </c>
      <c r="C118" s="5601"/>
      <c r="D118" s="171" t="s">
        <v>1258</v>
      </c>
      <c r="E118" s="201"/>
      <c r="F118" s="221"/>
      <c r="G118" s="221"/>
      <c r="H118" s="221"/>
      <c r="I118" s="221"/>
      <c r="J118" s="221"/>
      <c r="K118" s="221"/>
      <c r="L118" s="221"/>
      <c r="M118" s="221"/>
      <c r="N118" s="221"/>
      <c r="O118" s="221"/>
      <c r="P118" s="221"/>
      <c r="Q118" s="221"/>
      <c r="R118" s="171"/>
      <c r="S118" s="221"/>
      <c r="T118" s="221"/>
      <c r="U118" s="221"/>
      <c r="V118" s="221"/>
      <c r="W118" s="221"/>
      <c r="X118" s="221"/>
      <c r="Y118" s="221"/>
      <c r="Z118" s="221"/>
      <c r="AA118" s="221"/>
      <c r="AB118" s="221"/>
      <c r="AC118" s="635"/>
      <c r="AD118" s="396"/>
      <c r="AE118" s="635"/>
    </row>
    <row r="119" spans="1:31" ht="4.5" customHeight="1" thickBot="1">
      <c r="A119" s="635"/>
      <c r="B119" s="214"/>
      <c r="C119" s="214"/>
      <c r="D119" s="1178"/>
      <c r="E119" s="227"/>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635"/>
      <c r="AD119" s="396"/>
      <c r="AE119" s="635"/>
    </row>
    <row r="120" spans="1:31" ht="20.25" customHeight="1">
      <c r="A120" s="635"/>
      <c r="B120" s="385"/>
      <c r="C120" s="385"/>
      <c r="D120" s="385"/>
      <c r="E120" s="385"/>
      <c r="F120" s="385"/>
      <c r="G120" s="386"/>
      <c r="H120" s="386"/>
      <c r="I120" s="386"/>
      <c r="J120" s="386"/>
      <c r="K120" s="386"/>
      <c r="L120" s="386"/>
      <c r="M120" s="386"/>
      <c r="N120" s="387"/>
      <c r="O120" s="387"/>
      <c r="P120" s="387"/>
      <c r="Q120" s="387"/>
      <c r="R120" s="388"/>
      <c r="S120" s="1819"/>
      <c r="T120" s="387"/>
      <c r="U120" s="386"/>
      <c r="V120" s="386"/>
      <c r="W120" s="389"/>
      <c r="X120" s="386"/>
      <c r="Y120" s="386"/>
      <c r="Z120" s="388"/>
      <c r="AA120" s="390"/>
      <c r="AB120" s="390" t="str">
        <f>"Schedule F   (Form 1040)  "&amp;TaxYear</f>
        <v>Schedule F   (Form 1040)  2018</v>
      </c>
      <c r="AC120" s="635"/>
      <c r="AD120" s="396"/>
      <c r="AE120" s="635"/>
    </row>
    <row r="121" spans="1:31" ht="8.25" customHeight="1">
      <c r="A121" s="635"/>
      <c r="B121" s="687"/>
      <c r="C121" s="687"/>
      <c r="D121" s="687"/>
      <c r="E121" s="687"/>
      <c r="F121" s="687"/>
      <c r="G121" s="613"/>
      <c r="H121" s="613"/>
      <c r="I121" s="613"/>
      <c r="J121" s="613"/>
      <c r="K121" s="613"/>
      <c r="L121" s="613"/>
      <c r="M121" s="613"/>
      <c r="N121" s="688"/>
      <c r="O121" s="688"/>
      <c r="P121" s="688"/>
      <c r="Q121" s="688"/>
      <c r="R121" s="688"/>
      <c r="S121" s="688"/>
      <c r="T121" s="688"/>
      <c r="U121" s="613"/>
      <c r="V121" s="613"/>
      <c r="W121" s="689"/>
      <c r="X121" s="613"/>
      <c r="Y121" s="613"/>
      <c r="Z121" s="613"/>
      <c r="AA121" s="613"/>
      <c r="AB121" s="613"/>
      <c r="AC121" s="635"/>
      <c r="AD121" s="396"/>
      <c r="AE121" s="635"/>
    </row>
    <row r="122" spans="1:31">
      <c r="B122" s="9"/>
      <c r="C122" s="9"/>
      <c r="D122" s="10"/>
      <c r="E122" s="10"/>
      <c r="F122" s="10"/>
      <c r="G122" s="10"/>
      <c r="H122" s="10"/>
      <c r="I122" s="10"/>
      <c r="J122" s="10"/>
      <c r="K122" s="10"/>
      <c r="L122" s="10"/>
      <c r="M122" s="10"/>
      <c r="N122" s="11"/>
      <c r="O122" s="11"/>
      <c r="P122" s="11"/>
      <c r="Q122" s="11"/>
      <c r="R122" s="11"/>
      <c r="S122" s="11"/>
      <c r="T122" s="12"/>
      <c r="U122" s="10"/>
      <c r="V122" s="10"/>
      <c r="W122" s="8"/>
      <c r="X122" s="10"/>
      <c r="Y122" s="10"/>
      <c r="Z122" s="10"/>
      <c r="AA122" s="10"/>
      <c r="AB122" s="10"/>
    </row>
    <row r="123" spans="1:31" ht="13.5" thickBot="1">
      <c r="B123" s="9"/>
      <c r="C123" s="9"/>
      <c r="D123" s="10"/>
      <c r="E123" s="10"/>
      <c r="F123" s="10"/>
      <c r="G123" s="10"/>
      <c r="H123" s="10"/>
      <c r="I123" s="10"/>
      <c r="J123" s="10"/>
      <c r="K123" s="10"/>
      <c r="L123" s="10"/>
      <c r="M123" s="10"/>
      <c r="N123" s="11"/>
      <c r="O123" s="11"/>
      <c r="P123" s="11"/>
      <c r="Q123" s="11"/>
      <c r="R123" s="9"/>
      <c r="S123" s="9"/>
      <c r="T123" s="13"/>
      <c r="U123" s="10"/>
      <c r="V123" s="10"/>
      <c r="W123" s="8"/>
      <c r="X123" s="10"/>
      <c r="Y123" s="10"/>
      <c r="Z123" s="10"/>
      <c r="AA123" s="10"/>
      <c r="AB123" s="10"/>
    </row>
    <row r="124" spans="1:31" ht="14.25" thickTop="1" thickBot="1">
      <c r="B124" s="594"/>
      <c r="C124" s="594"/>
      <c r="D124" s="6021" t="s">
        <v>1236</v>
      </c>
      <c r="E124" s="6022"/>
      <c r="F124" s="6022"/>
      <c r="G124" s="6022"/>
      <c r="H124" s="6023"/>
      <c r="I124" s="595"/>
      <c r="J124" s="595"/>
      <c r="K124" s="595"/>
      <c r="L124" s="595"/>
      <c r="M124" s="595"/>
      <c r="N124" s="596"/>
      <c r="O124" s="596"/>
      <c r="P124" s="596"/>
      <c r="Q124" s="596"/>
      <c r="R124" s="594"/>
      <c r="S124" s="594"/>
      <c r="T124" s="597"/>
      <c r="U124" s="595"/>
      <c r="V124" s="595"/>
      <c r="W124" s="598"/>
      <c r="X124" s="595"/>
      <c r="Y124" s="595"/>
      <c r="Z124" s="595"/>
      <c r="AA124" s="595"/>
      <c r="AB124" s="595"/>
    </row>
    <row r="125" spans="1:31" ht="14.25" thickTop="1" thickBot="1">
      <c r="B125" s="594"/>
      <c r="C125" s="594"/>
      <c r="D125" s="595"/>
      <c r="E125" s="595"/>
      <c r="F125" s="595"/>
      <c r="G125" s="595"/>
      <c r="H125" s="595"/>
      <c r="I125" s="595"/>
      <c r="J125" s="595"/>
      <c r="K125" s="595"/>
      <c r="L125" s="595"/>
      <c r="M125" s="595"/>
      <c r="N125" s="596"/>
      <c r="O125" s="596"/>
      <c r="P125" s="596"/>
      <c r="Q125" s="596"/>
      <c r="R125" s="594"/>
      <c r="S125" s="594"/>
      <c r="T125" s="599"/>
      <c r="U125" s="595"/>
      <c r="V125" s="595"/>
      <c r="W125" s="598"/>
      <c r="X125" s="595"/>
      <c r="Y125" s="595"/>
      <c r="Z125" s="595"/>
      <c r="AA125" s="595"/>
      <c r="AB125" s="595"/>
    </row>
    <row r="126" spans="1:31" ht="27.75" customHeight="1" thickTop="1" thickBot="1">
      <c r="B126" s="594"/>
      <c r="C126" s="594"/>
      <c r="D126" s="6018" t="s">
        <v>1237</v>
      </c>
      <c r="E126" s="6019"/>
      <c r="F126" s="6019"/>
      <c r="G126" s="6019"/>
      <c r="H126" s="6020"/>
      <c r="I126" s="595"/>
      <c r="J126" s="595"/>
      <c r="K126" s="595"/>
      <c r="L126" s="595"/>
      <c r="M126" s="595"/>
      <c r="N126" s="596"/>
      <c r="O126" s="596"/>
      <c r="P126" s="596"/>
      <c r="Q126" s="596"/>
      <c r="R126" s="594"/>
      <c r="S126" s="594"/>
      <c r="T126" s="599"/>
      <c r="U126" s="595"/>
      <c r="V126" s="595"/>
      <c r="W126" s="598"/>
      <c r="X126" s="595"/>
      <c r="Y126" s="595"/>
      <c r="Z126" s="595"/>
      <c r="AA126" s="595"/>
      <c r="AB126" s="595"/>
    </row>
    <row r="127" spans="1:31" ht="13.5" thickTop="1"/>
  </sheetData>
  <sheetProtection password="F07E" sheet="1" objects="1" scenarios="1"/>
  <mergeCells count="151">
    <mergeCell ref="B5:D7"/>
    <mergeCell ref="E6:W7"/>
    <mergeCell ref="E4:W4"/>
    <mergeCell ref="B62:C62"/>
    <mergeCell ref="B34:C34"/>
    <mergeCell ref="B18:C18"/>
    <mergeCell ref="O106:Q106"/>
    <mergeCell ref="O107:Q107"/>
    <mergeCell ref="O108:Q108"/>
    <mergeCell ref="J47:M47"/>
    <mergeCell ref="J35:M35"/>
    <mergeCell ref="J36:M36"/>
    <mergeCell ref="J37:M37"/>
    <mergeCell ref="J38:M38"/>
    <mergeCell ref="J39:M39"/>
    <mergeCell ref="J48:M48"/>
    <mergeCell ref="J40:M40"/>
    <mergeCell ref="J42:M42"/>
    <mergeCell ref="Q23:R23"/>
    <mergeCell ref="P52:W52"/>
    <mergeCell ref="J50:M50"/>
    <mergeCell ref="T19:W19"/>
    <mergeCell ref="T20:W20"/>
    <mergeCell ref="T11:T12"/>
    <mergeCell ref="O109:Q109"/>
    <mergeCell ref="O111:Q111"/>
    <mergeCell ref="P47:W47"/>
    <mergeCell ref="P48:W48"/>
    <mergeCell ref="P49:W49"/>
    <mergeCell ref="N35:O35"/>
    <mergeCell ref="N36:O36"/>
    <mergeCell ref="N37:O37"/>
    <mergeCell ref="N38:O38"/>
    <mergeCell ref="N39:O39"/>
    <mergeCell ref="N40:O40"/>
    <mergeCell ref="N41:O41"/>
    <mergeCell ref="N42:O42"/>
    <mergeCell ref="N43:O43"/>
    <mergeCell ref="N44:O44"/>
    <mergeCell ref="N45:O45"/>
    <mergeCell ref="N49:O49"/>
    <mergeCell ref="N46:O46"/>
    <mergeCell ref="N47:O47"/>
    <mergeCell ref="N48:O48"/>
    <mergeCell ref="M73:P73"/>
    <mergeCell ref="J49:M49"/>
    <mergeCell ref="P50:W50"/>
    <mergeCell ref="P51:W51"/>
    <mergeCell ref="Y92:AB92"/>
    <mergeCell ref="Y94:AB94"/>
    <mergeCell ref="O98:Q98"/>
    <mergeCell ref="O99:Q99"/>
    <mergeCell ref="O100:Q100"/>
    <mergeCell ref="T84:W84"/>
    <mergeCell ref="T86:W86"/>
    <mergeCell ref="T88:W88"/>
    <mergeCell ref="T90:W90"/>
    <mergeCell ref="Q24:R24"/>
    <mergeCell ref="Q26:R26"/>
    <mergeCell ref="Y24:AB24"/>
    <mergeCell ref="Y25:AB25"/>
    <mergeCell ref="Y26:AB26"/>
    <mergeCell ref="Y41:AB41"/>
    <mergeCell ref="Y42:AB42"/>
    <mergeCell ref="Y43:AB43"/>
    <mergeCell ref="Y27:AB27"/>
    <mergeCell ref="Y79:AB79"/>
    <mergeCell ref="J41:M41"/>
    <mergeCell ref="J43:M43"/>
    <mergeCell ref="J44:M44"/>
    <mergeCell ref="J45:M45"/>
    <mergeCell ref="Q28:R28"/>
    <mergeCell ref="X32:X33"/>
    <mergeCell ref="Y28:AB28"/>
    <mergeCell ref="Y29:AB29"/>
    <mergeCell ref="Y30:AB30"/>
    <mergeCell ref="Y31:AB31"/>
    <mergeCell ref="Y33:AB33"/>
    <mergeCell ref="V29:W29"/>
    <mergeCell ref="Y45:AB45"/>
    <mergeCell ref="Y32:AB32"/>
    <mergeCell ref="Y35:AB35"/>
    <mergeCell ref="Y50:AB50"/>
    <mergeCell ref="Y71:AB71"/>
    <mergeCell ref="Y73:AB73"/>
    <mergeCell ref="Y75:AB75"/>
    <mergeCell ref="Y77:AB77"/>
    <mergeCell ref="N52:O52"/>
    <mergeCell ref="U11:U12"/>
    <mergeCell ref="V11:V12"/>
    <mergeCell ref="W11:W12"/>
    <mergeCell ref="X11:X12"/>
    <mergeCell ref="Y38:AB38"/>
    <mergeCell ref="Y39:AB39"/>
    <mergeCell ref="Y40:AB40"/>
    <mergeCell ref="Y37:AB37"/>
    <mergeCell ref="T23:W23"/>
    <mergeCell ref="T24:W24"/>
    <mergeCell ref="Y36:AB36"/>
    <mergeCell ref="Z20:AB20"/>
    <mergeCell ref="Y21:AB21"/>
    <mergeCell ref="Y22:AB22"/>
    <mergeCell ref="Y23:AB23"/>
    <mergeCell ref="X4:AB4"/>
    <mergeCell ref="X5:AB7"/>
    <mergeCell ref="B9:S9"/>
    <mergeCell ref="T9:AB9"/>
    <mergeCell ref="Y54:AB54"/>
    <mergeCell ref="Y66:AB66"/>
    <mergeCell ref="Y68:AB68"/>
    <mergeCell ref="Y64:AB64"/>
    <mergeCell ref="M66:P66"/>
    <mergeCell ref="M68:P68"/>
    <mergeCell ref="N10:R10"/>
    <mergeCell ref="B11:F12"/>
    <mergeCell ref="H11:H12"/>
    <mergeCell ref="I11:I12"/>
    <mergeCell ref="J11:J12"/>
    <mergeCell ref="K11:K12"/>
    <mergeCell ref="L11:L12"/>
    <mergeCell ref="M11:M12"/>
    <mergeCell ref="B3:D4"/>
    <mergeCell ref="Y11:Y12"/>
    <mergeCell ref="Z11:Z12"/>
    <mergeCell ref="AA11:AA12"/>
    <mergeCell ref="AB11:AB12"/>
    <mergeCell ref="Y44:AB44"/>
    <mergeCell ref="AD56:AD60"/>
    <mergeCell ref="Y46:AB46"/>
    <mergeCell ref="O102:Q102"/>
    <mergeCell ref="O103:Q103"/>
    <mergeCell ref="O104:Q104"/>
    <mergeCell ref="O105:Q105"/>
    <mergeCell ref="D126:H126"/>
    <mergeCell ref="D124:H124"/>
    <mergeCell ref="B117:C117"/>
    <mergeCell ref="B118:C118"/>
    <mergeCell ref="Y93:AB93"/>
    <mergeCell ref="B97:C97"/>
    <mergeCell ref="J46:M46"/>
    <mergeCell ref="Y47:AB47"/>
    <mergeCell ref="Y48:AB48"/>
    <mergeCell ref="Y49:AB49"/>
    <mergeCell ref="Y81:AB81"/>
    <mergeCell ref="Y51:AB51"/>
    <mergeCell ref="Y52:AB52"/>
    <mergeCell ref="J51:M51"/>
    <mergeCell ref="J52:M52"/>
    <mergeCell ref="Y53:AB53"/>
    <mergeCell ref="N50:O50"/>
    <mergeCell ref="N51:O51"/>
  </mergeCells>
  <conditionalFormatting sqref="B9:C9 T9:AA9">
    <cfRule type="expression" dxfId="1567" priority="212">
      <formula>IF(NoColor,1,0)</formula>
    </cfRule>
  </conditionalFormatting>
  <conditionalFormatting sqref="B11:C11 G11:G12 N11:S12">
    <cfRule type="expression" dxfId="1566" priority="211">
      <formula>IF(NoColor,1,0)</formula>
    </cfRule>
  </conditionalFormatting>
  <conditionalFormatting sqref="AA15:AA16">
    <cfRule type="expression" dxfId="1565" priority="202">
      <formula>IF(NoColor,1,0)</formula>
    </cfRule>
  </conditionalFormatting>
  <conditionalFormatting sqref="AA14">
    <cfRule type="expression" dxfId="1564" priority="201">
      <formula>IF(NoColor,1,0)</formula>
    </cfRule>
  </conditionalFormatting>
  <conditionalFormatting sqref="I11">
    <cfRule type="expression" dxfId="1563" priority="164">
      <formula>IF(NoColor,1,0)</formula>
    </cfRule>
  </conditionalFormatting>
  <conditionalFormatting sqref="J11">
    <cfRule type="expression" dxfId="1562" priority="163">
      <formula>IF(NoColor,1,0)</formula>
    </cfRule>
  </conditionalFormatting>
  <conditionalFormatting sqref="K11">
    <cfRule type="expression" dxfId="1561" priority="162">
      <formula>IF(NoColor,1,0)</formula>
    </cfRule>
  </conditionalFormatting>
  <conditionalFormatting sqref="L11">
    <cfRule type="expression" dxfId="1560" priority="161">
      <formula>IF(NoColor,1,0)</formula>
    </cfRule>
  </conditionalFormatting>
  <conditionalFormatting sqref="T11">
    <cfRule type="expression" dxfId="1559" priority="158">
      <formula>IF(NoColor,1,0)</formula>
    </cfRule>
  </conditionalFormatting>
  <conditionalFormatting sqref="W11">
    <cfRule type="expression" dxfId="1558" priority="155">
      <formula>IF(NoColor,1,0)</formula>
    </cfRule>
  </conditionalFormatting>
  <conditionalFormatting sqref="Y11">
    <cfRule type="expression" dxfId="1557" priority="153">
      <formula>IF(NoColor,1,0)</formula>
    </cfRule>
  </conditionalFormatting>
  <conditionalFormatting sqref="Z11">
    <cfRule type="expression" dxfId="1556" priority="152">
      <formula>IF(NoColor,1,0)</formula>
    </cfRule>
  </conditionalFormatting>
  <conditionalFormatting sqref="X11">
    <cfRule type="expression" dxfId="1555" priority="154">
      <formula>IF(NoColor,1,0)</formula>
    </cfRule>
  </conditionalFormatting>
  <conditionalFormatting sqref="M11">
    <cfRule type="expression" dxfId="1554" priority="160">
      <formula>IF(NoColor,1,0)</formula>
    </cfRule>
  </conditionalFormatting>
  <conditionalFormatting sqref="H11">
    <cfRule type="expression" dxfId="1553" priority="159">
      <formula>IF(NoColor,1,0)</formula>
    </cfRule>
  </conditionalFormatting>
  <conditionalFormatting sqref="U11:V11">
    <cfRule type="expression" dxfId="1552" priority="149">
      <formula>IF(NoColor,1,0)</formula>
    </cfRule>
  </conditionalFormatting>
  <conditionalFormatting sqref="AA11">
    <cfRule type="expression" dxfId="1551" priority="151">
      <formula>IF(NoColor,1,0)</formula>
    </cfRule>
  </conditionalFormatting>
  <conditionalFormatting sqref="AB11">
    <cfRule type="expression" dxfId="1550" priority="150">
      <formula>IF(NoColor,1,0)</formula>
    </cfRule>
  </conditionalFormatting>
  <conditionalFormatting sqref="T19">
    <cfRule type="expression" dxfId="1549" priority="148">
      <formula>IF(NoColor,1,0)</formula>
    </cfRule>
  </conditionalFormatting>
  <conditionalFormatting sqref="Y29:Z29">
    <cfRule type="expression" dxfId="1548" priority="107">
      <formula>IF(NoColor,1,0)</formula>
    </cfRule>
  </conditionalFormatting>
  <conditionalFormatting sqref="X14">
    <cfRule type="expression" dxfId="1547" priority="146">
      <formula>IF(NoColor,1,0)</formula>
    </cfRule>
  </conditionalFormatting>
  <conditionalFormatting sqref="T20">
    <cfRule type="expression" dxfId="1546" priority="147">
      <formula>IF(NoColor,1,0)</formula>
    </cfRule>
  </conditionalFormatting>
  <conditionalFormatting sqref="X16">
    <cfRule type="expression" dxfId="1545" priority="144">
      <formula>IF(NoColor,1,0)</formula>
    </cfRule>
  </conditionalFormatting>
  <conditionalFormatting sqref="X15">
    <cfRule type="expression" dxfId="1544" priority="145">
      <formula>IF(NoColor,1,0)</formula>
    </cfRule>
  </conditionalFormatting>
  <conditionalFormatting sqref="Y22:Z22">
    <cfRule type="expression" dxfId="1543" priority="113">
      <formula>IF(NoColor,1,0)</formula>
    </cfRule>
  </conditionalFormatting>
  <conditionalFormatting sqref="Y33:Z33">
    <cfRule type="expression" dxfId="1542" priority="104">
      <formula>IF(NoColor,1,0)</formula>
    </cfRule>
  </conditionalFormatting>
  <conditionalFormatting sqref="Y28:Z28">
    <cfRule type="expression" dxfId="1541" priority="108">
      <formula>IF(NoColor,1,0)</formula>
    </cfRule>
  </conditionalFormatting>
  <conditionalFormatting sqref="Y30:Z30">
    <cfRule type="expression" dxfId="1540" priority="106">
      <formula>IF(NoColor,1,0)</formula>
    </cfRule>
  </conditionalFormatting>
  <conditionalFormatting sqref="Q23">
    <cfRule type="expression" dxfId="1539" priority="100">
      <formula>IF(NoColor,1,0)</formula>
    </cfRule>
  </conditionalFormatting>
  <conditionalFormatting sqref="J50:K50">
    <cfRule type="expression" dxfId="1538" priority="73">
      <formula>IF(NoColor,1,0)</formula>
    </cfRule>
  </conditionalFormatting>
  <conditionalFormatting sqref="Q24">
    <cfRule type="expression" dxfId="1537" priority="99">
      <formula>IF(NoColor,1,0)</formula>
    </cfRule>
  </conditionalFormatting>
  <conditionalFormatting sqref="Y38:Z38">
    <cfRule type="expression" dxfId="1536" priority="71">
      <formula>IF(NoColor,1,0)</formula>
    </cfRule>
  </conditionalFormatting>
  <conditionalFormatting sqref="J38:K38">
    <cfRule type="expression" dxfId="1535" priority="87">
      <formula>IF(NoColor,1,0)</formula>
    </cfRule>
  </conditionalFormatting>
  <conditionalFormatting sqref="J36:K36">
    <cfRule type="expression" dxfId="1534" priority="89">
      <formula>IF(NoColor,1,0)</formula>
    </cfRule>
  </conditionalFormatting>
  <conditionalFormatting sqref="J47:K47">
    <cfRule type="expression" dxfId="1533" priority="80">
      <formula>IF(NoColor,1,0)</formula>
    </cfRule>
  </conditionalFormatting>
  <conditionalFormatting sqref="J44:K44">
    <cfRule type="expression" dxfId="1532" priority="83">
      <formula>IF(NoColor,1,0)</formula>
    </cfRule>
  </conditionalFormatting>
  <conditionalFormatting sqref="J41:K41">
    <cfRule type="expression" dxfId="1531" priority="85">
      <formula>IF(NoColor,1,0)</formula>
    </cfRule>
  </conditionalFormatting>
  <conditionalFormatting sqref="Y40:Z40">
    <cfRule type="expression" dxfId="1530" priority="69">
      <formula>IF(NoColor,1,0)</formula>
    </cfRule>
  </conditionalFormatting>
  <conditionalFormatting sqref="Y31:Z31">
    <cfRule type="expression" dxfId="1529" priority="105">
      <formula>IF(NoColor,1,0)</formula>
    </cfRule>
  </conditionalFormatting>
  <conditionalFormatting sqref="J46:K46">
    <cfRule type="expression" dxfId="1528" priority="81">
      <formula>IF(NoColor,1,0)</formula>
    </cfRule>
  </conditionalFormatting>
  <conditionalFormatting sqref="J48:K48">
    <cfRule type="expression" dxfId="1527" priority="77">
      <formula>IF(NoColor,1,0)</formula>
    </cfRule>
  </conditionalFormatting>
  <conditionalFormatting sqref="Y21:Z21">
    <cfRule type="expression" dxfId="1526" priority="101">
      <formula>IF(NoColor,1,0)</formula>
    </cfRule>
  </conditionalFormatting>
  <conditionalFormatting sqref="Q26">
    <cfRule type="expression" dxfId="1525" priority="97">
      <formula>IF(NoColor,1,0)</formula>
    </cfRule>
  </conditionalFormatting>
  <conditionalFormatting sqref="Q28">
    <cfRule type="expression" dxfId="1524" priority="95">
      <formula>IF(NoColor,1,0)</formula>
    </cfRule>
  </conditionalFormatting>
  <conditionalFormatting sqref="Y23:Z26">
    <cfRule type="expression" dxfId="1523" priority="98">
      <formula>IF(NoColor,1,0)</formula>
    </cfRule>
  </conditionalFormatting>
  <conditionalFormatting sqref="Y35:Z35">
    <cfRule type="expression" dxfId="1522" priority="94">
      <formula>IF(NoColor,1,0)</formula>
    </cfRule>
  </conditionalFormatting>
  <conditionalFormatting sqref="J39:K39">
    <cfRule type="expression" dxfId="1521" priority="86">
      <formula>IF(NoColor,1,0)</formula>
    </cfRule>
  </conditionalFormatting>
  <conditionalFormatting sqref="J37:K37">
    <cfRule type="expression" dxfId="1520" priority="88">
      <formula>IF(NoColor,1,0)</formula>
    </cfRule>
  </conditionalFormatting>
  <conditionalFormatting sqref="J43:K43">
    <cfRule type="expression" dxfId="1519" priority="84">
      <formula>IF(NoColor,1,0)</formula>
    </cfRule>
  </conditionalFormatting>
  <conditionalFormatting sqref="J45:K45">
    <cfRule type="expression" dxfId="1518" priority="82">
      <formula>IF(NoColor,1,0)</formula>
    </cfRule>
  </conditionalFormatting>
  <conditionalFormatting sqref="Y50:Z50">
    <cfRule type="expression" dxfId="1517" priority="59">
      <formula>IF(NoColor,1,0)</formula>
    </cfRule>
  </conditionalFormatting>
  <conditionalFormatting sqref="Y42:Z42">
    <cfRule type="expression" dxfId="1516" priority="67">
      <formula>IF(NoColor,1,0)</formula>
    </cfRule>
  </conditionalFormatting>
  <conditionalFormatting sqref="J51:K51">
    <cfRule type="expression" dxfId="1515" priority="56">
      <formula>IF(NoColor,1,0)</formula>
    </cfRule>
  </conditionalFormatting>
  <conditionalFormatting sqref="Y37:Z37">
    <cfRule type="expression" dxfId="1514" priority="72">
      <formula>IF(NoColor,1,0)</formula>
    </cfRule>
  </conditionalFormatting>
  <conditionalFormatting sqref="Y39:Z39">
    <cfRule type="expression" dxfId="1513" priority="70">
      <formula>IF(NoColor,1,0)</formula>
    </cfRule>
  </conditionalFormatting>
  <conditionalFormatting sqref="Y44:Z44">
    <cfRule type="expression" dxfId="1512" priority="65">
      <formula>IF(NoColor,1,0)</formula>
    </cfRule>
  </conditionalFormatting>
  <conditionalFormatting sqref="Y41:Z41">
    <cfRule type="expression" dxfId="1511" priority="68">
      <formula>IF(NoColor,1,0)</formula>
    </cfRule>
  </conditionalFormatting>
  <conditionalFormatting sqref="Y43:Z43">
    <cfRule type="expression" dxfId="1510" priority="66">
      <formula>IF(NoColor,1,0)</formula>
    </cfRule>
  </conditionalFormatting>
  <conditionalFormatting sqref="Y45:Z45">
    <cfRule type="expression" dxfId="1509" priority="64">
      <formula>IF(NoColor,1,0)</formula>
    </cfRule>
  </conditionalFormatting>
  <conditionalFormatting sqref="Y47:Z47">
    <cfRule type="expression" dxfId="1508" priority="62">
      <formula>IF(NoColor,1,0)</formula>
    </cfRule>
  </conditionalFormatting>
  <conditionalFormatting sqref="Y48:Z48">
    <cfRule type="expression" dxfId="1507" priority="61">
      <formula>IF(NoColor,1,0)</formula>
    </cfRule>
  </conditionalFormatting>
  <conditionalFormatting sqref="Y49:Z49">
    <cfRule type="expression" dxfId="1506" priority="60">
      <formula>IF(NoColor,1,0)</formula>
    </cfRule>
  </conditionalFormatting>
  <conditionalFormatting sqref="Y52:Z52">
    <cfRule type="expression" dxfId="1505" priority="57">
      <formula>IF(NoColor,1,0)</formula>
    </cfRule>
  </conditionalFormatting>
  <conditionalFormatting sqref="Y51:Z51">
    <cfRule type="expression" dxfId="1504" priority="58">
      <formula>IF(NoColor,1,0)</formula>
    </cfRule>
  </conditionalFormatting>
  <conditionalFormatting sqref="J52:K52">
    <cfRule type="expression" dxfId="1503" priority="55">
      <formula>IF(NoColor,1,0)</formula>
    </cfRule>
  </conditionalFormatting>
  <conditionalFormatting sqref="Y66:Z66">
    <cfRule type="expression" dxfId="1502" priority="45">
      <formula>IF(NoColor,1,0)</formula>
    </cfRule>
  </conditionalFormatting>
  <conditionalFormatting sqref="Y53:Z53">
    <cfRule type="expression" dxfId="1501" priority="48">
      <formula>IF(NoColor,1,0)</formula>
    </cfRule>
  </conditionalFormatting>
  <conditionalFormatting sqref="Y68:Z68">
    <cfRule type="expression" dxfId="1500" priority="43">
      <formula>IF(NoColor,1,0)</formula>
    </cfRule>
  </conditionalFormatting>
  <conditionalFormatting sqref="M68:N68">
    <cfRule type="expression" dxfId="1499" priority="41">
      <formula>IF(NoColor,1,0)</formula>
    </cfRule>
  </conditionalFormatting>
  <conditionalFormatting sqref="Y64:Z64">
    <cfRule type="expression" dxfId="1498" priority="40">
      <formula>IF(NoColor,1,0)</formula>
    </cfRule>
  </conditionalFormatting>
  <conditionalFormatting sqref="Y71:Z71">
    <cfRule type="expression" dxfId="1497" priority="39">
      <formula>IF(NoColor,1,0)</formula>
    </cfRule>
  </conditionalFormatting>
  <conditionalFormatting sqref="Y73:Z73">
    <cfRule type="expression" dxfId="1496" priority="37">
      <formula>IF(NoColor,1,0)</formula>
    </cfRule>
  </conditionalFormatting>
  <conditionalFormatting sqref="M66:N66">
    <cfRule type="expression" dxfId="1495" priority="42">
      <formula>IF(NoColor,1,0)</formula>
    </cfRule>
  </conditionalFormatting>
  <conditionalFormatting sqref="M73:N73">
    <cfRule type="expression" dxfId="1494" priority="36">
      <formula>IF(NoColor,1,0)</formula>
    </cfRule>
  </conditionalFormatting>
  <conditionalFormatting sqref="Y79:Z79">
    <cfRule type="expression" dxfId="1493" priority="33">
      <formula>IF(NoColor,1,0)</formula>
    </cfRule>
  </conditionalFormatting>
  <conditionalFormatting sqref="Y77:Z77">
    <cfRule type="expression" dxfId="1492" priority="34">
      <formula>IF(NoColor,1,0)</formula>
    </cfRule>
  </conditionalFormatting>
  <conditionalFormatting sqref="Y75:Z75">
    <cfRule type="expression" dxfId="1491" priority="35">
      <formula>IF(NoColor,1,0)</formula>
    </cfRule>
  </conditionalFormatting>
  <conditionalFormatting sqref="Y81:Z81">
    <cfRule type="expression" dxfId="1490" priority="31">
      <formula>IF(NoColor,1,0)</formula>
    </cfRule>
  </conditionalFormatting>
  <conditionalFormatting sqref="T84:U84">
    <cfRule type="expression" dxfId="1489" priority="28">
      <formula>IF(NoColor,1,0)</formula>
    </cfRule>
  </conditionalFormatting>
  <conditionalFormatting sqref="T86:U86">
    <cfRule type="expression" dxfId="1488" priority="27">
      <formula>IF(NoColor,1,0)</formula>
    </cfRule>
  </conditionalFormatting>
  <conditionalFormatting sqref="T90:U90">
    <cfRule type="expression" dxfId="1487" priority="25">
      <formula>IF(NoColor,1,0)</formula>
    </cfRule>
  </conditionalFormatting>
  <conditionalFormatting sqref="Y94:Z94">
    <cfRule type="expression" dxfId="1486" priority="22">
      <formula>IF(NoColor,1,0)</formula>
    </cfRule>
  </conditionalFormatting>
  <conditionalFormatting sqref="T88:U88">
    <cfRule type="expression" dxfId="1485" priority="21">
      <formula>IF(NoColor,1,0)</formula>
    </cfRule>
  </conditionalFormatting>
  <conditionalFormatting sqref="Y92:Z92">
    <cfRule type="expression" dxfId="1484" priority="20">
      <formula>IF(NoColor,1,0)</formula>
    </cfRule>
  </conditionalFormatting>
  <conditionalFormatting sqref="P47:W52">
    <cfRule type="expression" dxfId="1483" priority="19">
      <formula>IF(NoColor,1,0)</formula>
    </cfRule>
  </conditionalFormatting>
  <conditionalFormatting sqref="K29">
    <cfRule type="expression" dxfId="1482" priority="18">
      <formula>IF(NoColor,1,0)</formula>
    </cfRule>
  </conditionalFormatting>
  <conditionalFormatting sqref="AA17">
    <cfRule type="expression" dxfId="1481" priority="17">
      <formula>IF(NoColor,1,0)</formula>
    </cfRule>
  </conditionalFormatting>
  <conditionalFormatting sqref="X17">
    <cfRule type="expression" dxfId="1480" priority="16">
      <formula>IF(NoColor,1,0)</formula>
    </cfRule>
  </conditionalFormatting>
  <conditionalFormatting sqref="C58">
    <cfRule type="expression" dxfId="1479" priority="14">
      <formula>IF(NoColor,1,0)</formula>
    </cfRule>
  </conditionalFormatting>
  <conditionalFormatting sqref="I58">
    <cfRule type="expression" dxfId="1478" priority="13">
      <formula>IF(NoColor,1,0)</formula>
    </cfRule>
  </conditionalFormatting>
  <conditionalFormatting sqref="Y54:Z54">
    <cfRule type="expression" dxfId="1477" priority="12">
      <formula>IF(NoColor,1,0)</formula>
    </cfRule>
  </conditionalFormatting>
  <conditionalFormatting sqref="E3">
    <cfRule type="expression" dxfId="1476" priority="11">
      <formula>NOT(Draft)</formula>
    </cfRule>
  </conditionalFormatting>
  <conditionalFormatting sqref="V3">
    <cfRule type="expression" dxfId="1475" priority="10">
      <formula>NOT(Draft)</formula>
    </cfRule>
  </conditionalFormatting>
  <conditionalFormatting sqref="AD56:AD60">
    <cfRule type="expression" dxfId="1474" priority="9">
      <formula>(Y54&lt;&gt;0)</formula>
    </cfRule>
  </conditionalFormatting>
  <conditionalFormatting sqref="AE56">
    <cfRule type="expression" dxfId="1473" priority="8">
      <formula>FarmProfitNet&lt;&gt;0</formula>
    </cfRule>
  </conditionalFormatting>
  <conditionalFormatting sqref="AE58">
    <cfRule type="expression" dxfId="1472" priority="3">
      <formula>FarmProfitNet&lt;&gt;0</formula>
    </cfRule>
  </conditionalFormatting>
  <conditionalFormatting sqref="T9:AB9">
    <cfRule type="expression" dxfId="1471" priority="1">
      <formula>AND(NoSSN,NoColor)</formula>
    </cfRule>
    <cfRule type="expression" dxfId="1470" priority="2">
      <formula>NoSSN</formula>
    </cfRule>
  </conditionalFormatting>
  <hyperlinks>
    <hyperlink ref="D124:H124" r:id="rId1" display="Download Form 1040 Schedule F"/>
    <hyperlink ref="D126:H126" r:id="rId2" display="Download Form 1040 Schedule F Instructions"/>
  </hyperlinks>
  <printOptions horizontalCentered="1"/>
  <pageMargins left="0.25" right="0.2" top="0.5" bottom="0.27" header="0" footer="0"/>
  <pageSetup scale="93" fitToHeight="0" orientation="portrait" horizontalDpi="4294967293" verticalDpi="4294967293" r:id="rId3"/>
  <headerFooter alignWithMargins="0"/>
  <rowBreaks count="1" manualBreakCount="1">
    <brk id="60" min="1" max="27" man="1"/>
  </rowBreaks>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38"/>
  <sheetViews>
    <sheetView zoomScaleNormal="100" zoomScaleSheetLayoutView="125" workbookViewId="0">
      <selection activeCell="AD34" sqref="AD34"/>
    </sheetView>
  </sheetViews>
  <sheetFormatPr defaultRowHeight="12.75"/>
  <cols>
    <col min="1" max="1" width="2" customWidth="1"/>
    <col min="2" max="2" width="4.42578125" customWidth="1"/>
    <col min="3" max="3" width="2.28515625" customWidth="1"/>
    <col min="4" max="4" width="11.7109375" customWidth="1"/>
    <col min="5" max="5" width="7.85546875" customWidth="1"/>
    <col min="6" max="6" width="3" customWidth="1"/>
    <col min="7" max="8" width="2.5703125" customWidth="1"/>
    <col min="9" max="9" width="10.140625" customWidth="1"/>
    <col min="10" max="12" width="3.28515625" customWidth="1"/>
    <col min="13" max="13" width="1.28515625" customWidth="1"/>
    <col min="14" max="14" width="3.7109375" customWidth="1"/>
    <col min="15" max="15" width="2.85546875" customWidth="1"/>
    <col min="16" max="16" width="5.28515625" bestFit="1" customWidth="1"/>
    <col min="17" max="17" width="2.42578125" customWidth="1"/>
    <col min="18" max="18" width="3.42578125" customWidth="1"/>
    <col min="19" max="19" width="3.7109375" customWidth="1"/>
    <col min="20" max="25" width="3.42578125" customWidth="1"/>
    <col min="26" max="26" width="2.7109375" customWidth="1"/>
    <col min="27" max="27" width="2.85546875" customWidth="1"/>
    <col min="28" max="28" width="3.42578125" customWidth="1"/>
    <col min="29" max="29" width="2.5703125" customWidth="1"/>
    <col min="30" max="30" width="12.140625" style="46" customWidth="1"/>
    <col min="31" max="31" width="2.5703125" customWidth="1"/>
    <col min="32" max="32" width="6.140625" customWidth="1"/>
    <col min="33" max="42" width="10.7109375" style="3169" customWidth="1"/>
  </cols>
  <sheetData>
    <row r="1" spans="1:33" ht="15.75" customHeight="1">
      <c r="A1" s="82"/>
      <c r="B1" s="82"/>
      <c r="C1" s="82"/>
      <c r="D1" s="82"/>
      <c r="E1" s="1098"/>
      <c r="F1" s="82"/>
      <c r="G1" s="82"/>
      <c r="H1" s="82"/>
      <c r="I1" s="82"/>
      <c r="J1" s="82"/>
      <c r="K1" s="82"/>
      <c r="L1" s="82"/>
      <c r="M1" s="82"/>
      <c r="N1" s="82"/>
      <c r="O1" s="82"/>
      <c r="P1" s="82"/>
      <c r="Q1" s="82"/>
      <c r="R1" s="82"/>
      <c r="S1" s="82"/>
      <c r="T1" s="82"/>
      <c r="U1" s="82"/>
      <c r="V1" s="82"/>
      <c r="W1" s="82"/>
      <c r="X1" s="82"/>
      <c r="Y1" s="82"/>
      <c r="Z1" s="82"/>
      <c r="AA1" s="82"/>
      <c r="AB1" s="82"/>
      <c r="AC1" s="635"/>
      <c r="AD1" s="396"/>
      <c r="AE1" s="635"/>
      <c r="AG1" s="3168" t="s">
        <v>2552</v>
      </c>
    </row>
    <row r="2" spans="1:33" ht="15.75" customHeight="1">
      <c r="A2" s="82"/>
      <c r="B2" s="82"/>
      <c r="C2" s="82"/>
      <c r="D2" s="4721" t="str">
        <f>IF(NOT(R12),"You do not qualify to take this credit.",IF(Y121,"You can't take this credit.  (See line 19.)",IF(AD137,"You can't take this credit.  (See Credit Limit Worksheet—Line 21 at the bottom of this page.)","")))</f>
        <v>You do not qualify to take this credit.</v>
      </c>
      <c r="E2" s="1098"/>
      <c r="F2" s="82"/>
      <c r="G2" s="82"/>
      <c r="H2" s="82"/>
      <c r="I2" s="82"/>
      <c r="J2" s="82"/>
      <c r="K2" s="82"/>
      <c r="L2" s="82"/>
      <c r="M2" s="82"/>
      <c r="N2" s="82"/>
      <c r="O2" s="82"/>
      <c r="P2" s="82"/>
      <c r="Q2" s="82"/>
      <c r="R2" s="82"/>
      <c r="S2" s="82"/>
      <c r="T2" s="82"/>
      <c r="U2" s="82"/>
      <c r="V2" s="82"/>
      <c r="W2" s="82"/>
      <c r="X2" s="82"/>
      <c r="Y2" s="82"/>
      <c r="Z2" s="82"/>
      <c r="AA2" s="82"/>
      <c r="AB2" s="82"/>
      <c r="AC2" s="635"/>
      <c r="AD2" s="396"/>
      <c r="AE2" s="635"/>
      <c r="AG2" s="3168"/>
    </row>
    <row r="3" spans="1:33" ht="13.5" customHeight="1">
      <c r="A3" s="82"/>
      <c r="B3" s="82"/>
      <c r="C3" s="82"/>
      <c r="D3" s="82"/>
      <c r="E3" s="4676" t="str">
        <f>IF(OR(NOT(YouR65),NOT(SpouseIs65)),"Answer 'Yes' or 'No' below:","")</f>
        <v>Answer 'Yes' or 'No' below:</v>
      </c>
      <c r="F3" s="6529" t="s">
        <v>2143</v>
      </c>
      <c r="G3" s="6529"/>
      <c r="H3" s="6529"/>
      <c r="I3" s="82"/>
      <c r="J3" s="6531" t="str">
        <f>IF(File_Marr_Joint&lt;&gt;"","Spouse","")</f>
        <v/>
      </c>
      <c r="K3" s="6531"/>
      <c r="L3" s="6531"/>
      <c r="M3" s="82"/>
      <c r="N3" s="82"/>
      <c r="O3" s="82"/>
      <c r="P3" s="82"/>
      <c r="Q3" s="82"/>
      <c r="R3" s="82"/>
      <c r="S3" s="82"/>
      <c r="T3" s="82"/>
      <c r="U3" s="82"/>
      <c r="V3" s="82"/>
      <c r="W3" s="82"/>
      <c r="X3" s="82"/>
      <c r="Y3" s="82"/>
      <c r="Z3" s="82"/>
      <c r="AA3" s="82"/>
      <c r="AB3" s="82"/>
      <c r="AC3" s="635"/>
      <c r="AD3" s="396"/>
      <c r="AE3" s="635"/>
      <c r="AG3" s="3168"/>
    </row>
    <row r="4" spans="1:33" ht="16.5" customHeight="1">
      <c r="A4" s="82"/>
      <c r="B4" s="82"/>
      <c r="C4" s="82"/>
      <c r="D4" s="4676"/>
      <c r="E4" s="4676" t="s">
        <v>4342</v>
      </c>
      <c r="F4" s="6530" t="str">
        <f>IF(NOT(YouR65),"Yes","No")</f>
        <v>Yes</v>
      </c>
      <c r="G4" s="6530"/>
      <c r="H4" s="6530"/>
      <c r="I4" s="4731" t="b">
        <f>NOT(YouR65)</f>
        <v>1</v>
      </c>
      <c r="J4" s="6532" t="str">
        <f>IF(File_Marr_Joint="","",IF(NOT(SpouseIs65),"Yes","No"))</f>
        <v/>
      </c>
      <c r="K4" s="6532"/>
      <c r="L4" s="6532"/>
      <c r="M4" s="82"/>
      <c r="N4" s="82"/>
      <c r="O4" s="82"/>
      <c r="P4" s="4731" t="b">
        <f>AND(File_Marr_Joint&lt;&gt;"",NOT(SpouseIs65))</f>
        <v>0</v>
      </c>
      <c r="Q4" s="1629"/>
      <c r="R4" s="6525" t="b">
        <f>OR(AND(I4,NOT(P4)),AND(NOT(I4),P4))</f>
        <v>1</v>
      </c>
      <c r="S4" s="6525"/>
      <c r="T4" s="4732" t="s">
        <v>4270</v>
      </c>
      <c r="U4" s="1629"/>
      <c r="V4" s="4730"/>
      <c r="W4" s="4730"/>
      <c r="X4" s="82"/>
      <c r="Y4" s="82"/>
      <c r="Z4" s="82"/>
      <c r="AA4" s="82"/>
      <c r="AB4" s="82"/>
      <c r="AC4" s="635"/>
      <c r="AD4" s="396"/>
      <c r="AE4" s="635"/>
      <c r="AG4" s="3168"/>
    </row>
    <row r="5" spans="1:33" ht="6.75" customHeight="1">
      <c r="A5" s="82"/>
      <c r="B5" s="82"/>
      <c r="C5" s="82"/>
      <c r="D5" s="82"/>
      <c r="E5" s="1098"/>
      <c r="F5" s="82"/>
      <c r="G5" s="82"/>
      <c r="H5" s="82"/>
      <c r="I5" s="1629"/>
      <c r="J5" s="82"/>
      <c r="K5" s="82"/>
      <c r="L5" s="82"/>
      <c r="M5" s="82"/>
      <c r="N5" s="82"/>
      <c r="O5" s="82"/>
      <c r="P5" s="4733"/>
      <c r="Q5" s="1629"/>
      <c r="R5" s="1629"/>
      <c r="S5" s="1629"/>
      <c r="T5" s="1629"/>
      <c r="U5" s="1629"/>
      <c r="V5" s="4730"/>
      <c r="W5" s="4730"/>
      <c r="X5" s="82"/>
      <c r="Y5" s="82"/>
      <c r="Z5" s="82"/>
      <c r="AA5" s="82"/>
      <c r="AB5" s="82"/>
      <c r="AC5" s="635"/>
      <c r="AD5" s="396"/>
      <c r="AE5" s="635"/>
      <c r="AG5" s="3168"/>
    </row>
    <row r="6" spans="1:33" ht="11.25" customHeight="1">
      <c r="A6" s="82"/>
      <c r="B6" s="82"/>
      <c r="C6" s="82"/>
      <c r="D6" s="4676"/>
      <c r="E6" s="4676" t="str">
        <f>IF(OR(I4,P4),"Retired? ","")</f>
        <v xml:space="preserve">Retired? </v>
      </c>
      <c r="F6" s="6526"/>
      <c r="G6" s="6526"/>
      <c r="H6" s="6526"/>
      <c r="I6" s="4731" t="b">
        <f>OR(LEFT(F6,1)="Y",LEFT(F6,1)="y")</f>
        <v>0</v>
      </c>
      <c r="J6" s="6526"/>
      <c r="K6" s="6526"/>
      <c r="L6" s="6526"/>
      <c r="M6" s="82"/>
      <c r="N6" s="82"/>
      <c r="O6" s="82"/>
      <c r="P6" s="4731" t="b">
        <f>OR(LEFT(J6,1)="Y",LEFT(J6,1)="y")</f>
        <v>0</v>
      </c>
      <c r="Q6" s="1629"/>
      <c r="R6" s="1629"/>
      <c r="S6" s="1629"/>
      <c r="T6" s="1629"/>
      <c r="U6" s="1629"/>
      <c r="V6" s="4730"/>
      <c r="W6" s="4730"/>
      <c r="X6" s="82"/>
      <c r="Y6" s="82"/>
      <c r="Z6" s="82"/>
      <c r="AA6" s="82"/>
      <c r="AB6" s="82"/>
      <c r="AC6" s="635"/>
      <c r="AD6" s="396"/>
      <c r="AE6" s="635"/>
      <c r="AG6" s="3168"/>
    </row>
    <row r="7" spans="1:33" ht="6.75" customHeight="1">
      <c r="A7" s="695"/>
      <c r="B7" s="695"/>
      <c r="C7" s="695"/>
      <c r="D7" s="695"/>
      <c r="E7" s="1098"/>
      <c r="F7" s="82"/>
      <c r="G7" s="82"/>
      <c r="H7" s="82"/>
      <c r="I7" s="1629"/>
      <c r="J7" s="82"/>
      <c r="K7" s="82"/>
      <c r="L7" s="82"/>
      <c r="M7" s="82"/>
      <c r="N7" s="82"/>
      <c r="O7" s="82"/>
      <c r="P7" s="4733"/>
      <c r="Q7" s="1629"/>
      <c r="R7" s="1629"/>
      <c r="S7" s="1629"/>
      <c r="T7" s="1629"/>
      <c r="U7" s="1629"/>
      <c r="V7" s="4730"/>
      <c r="W7" s="4730"/>
      <c r="X7" s="82"/>
      <c r="Y7" s="82"/>
      <c r="Z7" s="82"/>
      <c r="AA7" s="82"/>
      <c r="AB7" s="82"/>
      <c r="AC7" s="635"/>
      <c r="AD7" s="396"/>
      <c r="AE7" s="635"/>
      <c r="AG7" s="3168"/>
    </row>
    <row r="8" spans="1:33" ht="11.25" customHeight="1">
      <c r="A8" s="82"/>
      <c r="B8" s="82"/>
      <c r="C8" s="82"/>
      <c r="D8" s="4676"/>
      <c r="E8" s="4676" t="str">
        <f>IF(OR(I6,P6),"Permanently and totally disabled? ","")</f>
        <v/>
      </c>
      <c r="F8" s="6526"/>
      <c r="G8" s="6526"/>
      <c r="H8" s="6526"/>
      <c r="I8" s="4731" t="b">
        <f>OR(LEFT(F8,1)="Y",LEFT(F8,1)="y")</f>
        <v>0</v>
      </c>
      <c r="J8" s="6526"/>
      <c r="K8" s="6526"/>
      <c r="L8" s="6526"/>
      <c r="M8" s="82"/>
      <c r="N8" s="82"/>
      <c r="O8" s="82"/>
      <c r="P8" s="4731" t="b">
        <f>OR(LEFT(J8,1)="Y",LEFT(J8,1)="y")</f>
        <v>0</v>
      </c>
      <c r="Q8" s="1629"/>
      <c r="R8" s="6525" t="b">
        <f>OR(AND(I8,NOT(P8)),AND(NOT(I8),P8))</f>
        <v>0</v>
      </c>
      <c r="S8" s="6525"/>
      <c r="T8" s="4732" t="s">
        <v>4270</v>
      </c>
      <c r="U8" s="1629"/>
      <c r="V8" s="4730"/>
      <c r="W8" s="4730"/>
      <c r="X8" s="82"/>
      <c r="Y8" s="82"/>
      <c r="Z8" s="82"/>
      <c r="AA8" s="82"/>
      <c r="AB8" s="82"/>
      <c r="AC8" s="635"/>
      <c r="AD8" s="396"/>
      <c r="AE8" s="635"/>
      <c r="AG8" s="3168"/>
    </row>
    <row r="9" spans="1:33" ht="6.75" customHeight="1">
      <c r="A9" s="695"/>
      <c r="B9" s="695"/>
      <c r="C9" s="695"/>
      <c r="D9" s="695"/>
      <c r="E9" s="1098"/>
      <c r="F9" s="82"/>
      <c r="G9" s="82"/>
      <c r="H9" s="82"/>
      <c r="I9" s="1629"/>
      <c r="J9" s="82"/>
      <c r="K9" s="82"/>
      <c r="L9" s="82"/>
      <c r="M9" s="82"/>
      <c r="N9" s="82"/>
      <c r="O9" s="82"/>
      <c r="P9" s="4733"/>
      <c r="Q9" s="1629"/>
      <c r="R9" s="1629"/>
      <c r="S9" s="1629"/>
      <c r="T9" s="1629"/>
      <c r="U9" s="1629"/>
      <c r="V9" s="4730"/>
      <c r="W9" s="4730"/>
      <c r="X9" s="82"/>
      <c r="Y9" s="82"/>
      <c r="Z9" s="82"/>
      <c r="AA9" s="82"/>
      <c r="AB9" s="82"/>
      <c r="AC9" s="635"/>
      <c r="AD9" s="396"/>
      <c r="AE9" s="635"/>
      <c r="AG9" s="3168"/>
    </row>
    <row r="10" spans="1:33" ht="11.25" customHeight="1">
      <c r="A10" s="695"/>
      <c r="B10" s="695"/>
      <c r="C10" s="695"/>
      <c r="D10" s="695"/>
      <c r="E10" s="4676" t="str">
        <f>IF(OR(I8,P8),"Taxable disability income: ","")</f>
        <v/>
      </c>
      <c r="F10" s="6523"/>
      <c r="G10" s="6523"/>
      <c r="H10" s="6523"/>
      <c r="I10" s="4731" t="b">
        <f>F10&gt;0</f>
        <v>0</v>
      </c>
      <c r="J10" s="6524"/>
      <c r="K10" s="6524"/>
      <c r="L10" s="6524"/>
      <c r="M10" s="82"/>
      <c r="N10" s="82"/>
      <c r="O10" s="82"/>
      <c r="P10" s="4731" t="b">
        <f>J10&gt;0</f>
        <v>0</v>
      </c>
      <c r="Q10" s="1629"/>
      <c r="R10" s="1629"/>
      <c r="S10" s="1629"/>
      <c r="T10" s="1629"/>
      <c r="U10" s="1629"/>
      <c r="V10" s="4730"/>
      <c r="W10" s="4730"/>
      <c r="X10" s="82"/>
      <c r="Y10" s="82"/>
      <c r="Z10" s="82"/>
      <c r="AA10" s="82"/>
      <c r="AB10" s="82"/>
      <c r="AC10" s="635"/>
      <c r="AD10" s="396"/>
      <c r="AE10" s="635"/>
      <c r="AG10" s="3168"/>
    </row>
    <row r="11" spans="1:33" ht="6.75" customHeight="1">
      <c r="A11" s="82"/>
      <c r="B11" s="82"/>
      <c r="C11" s="82"/>
      <c r="D11" s="82"/>
      <c r="E11" s="1098"/>
      <c r="F11" s="82"/>
      <c r="G11" s="82"/>
      <c r="H11" s="82"/>
      <c r="I11" s="1629"/>
      <c r="J11" s="82"/>
      <c r="K11" s="82"/>
      <c r="L11" s="82"/>
      <c r="M11" s="82"/>
      <c r="N11" s="82"/>
      <c r="O11" s="82"/>
      <c r="P11" s="4733"/>
      <c r="Q11" s="1629"/>
      <c r="R11" s="1629"/>
      <c r="S11" s="1629"/>
      <c r="T11" s="1629"/>
      <c r="U11" s="1629"/>
      <c r="V11" s="4730"/>
      <c r="W11" s="4730"/>
      <c r="X11" s="82"/>
      <c r="Y11" s="82"/>
      <c r="Z11" s="82"/>
      <c r="AA11" s="82"/>
      <c r="AB11" s="82"/>
      <c r="AC11" s="635"/>
      <c r="AD11" s="396"/>
      <c r="AE11" s="635"/>
      <c r="AG11" s="3168"/>
    </row>
    <row r="12" spans="1:33" ht="11.25" customHeight="1">
      <c r="A12" s="82"/>
      <c r="B12" s="82"/>
      <c r="C12" s="82"/>
      <c r="D12" s="4676"/>
      <c r="E12" s="1098"/>
      <c r="F12" s="82"/>
      <c r="G12" s="82"/>
      <c r="H12" s="82"/>
      <c r="I12" s="4731" t="b">
        <f>AND(I4,I6,I8,I10)</f>
        <v>0</v>
      </c>
      <c r="J12" s="82"/>
      <c r="K12" s="82"/>
      <c r="L12" s="82"/>
      <c r="M12" s="82"/>
      <c r="N12" s="82"/>
      <c r="O12" s="82"/>
      <c r="P12" s="4731" t="b">
        <f>AND(P4,P6,P8,P10)</f>
        <v>0</v>
      </c>
      <c r="Q12" s="1629"/>
      <c r="R12" s="6525" t="b">
        <f>OR(YouR65,SpouseIs65,I12,P12)</f>
        <v>0</v>
      </c>
      <c r="S12" s="6525"/>
      <c r="T12" s="1629"/>
      <c r="U12" s="1629"/>
      <c r="V12" s="4730"/>
      <c r="W12" s="4730"/>
      <c r="X12" s="82"/>
      <c r="Y12" s="82"/>
      <c r="Z12" s="82"/>
      <c r="AA12" s="82"/>
      <c r="AB12" s="82"/>
      <c r="AC12" s="635"/>
      <c r="AD12" s="396"/>
      <c r="AE12" s="635"/>
      <c r="AG12" s="3168"/>
    </row>
    <row r="13" spans="1:33" ht="10.5" customHeight="1">
      <c r="A13" s="82"/>
      <c r="B13" s="6541" t="s">
        <v>4215</v>
      </c>
      <c r="C13" s="6542"/>
      <c r="D13" s="6543"/>
      <c r="E13" s="4016"/>
      <c r="F13" s="1443"/>
      <c r="G13" s="1443"/>
      <c r="H13" s="1443"/>
      <c r="I13" s="1443"/>
      <c r="J13" s="1443"/>
      <c r="K13" s="1443"/>
      <c r="L13" s="1443"/>
      <c r="M13" s="1443"/>
      <c r="N13" s="1443"/>
      <c r="O13" s="1443"/>
      <c r="P13" s="1443"/>
      <c r="Q13" s="1443"/>
      <c r="R13" s="1443"/>
      <c r="S13" s="1443"/>
      <c r="T13" s="1443"/>
      <c r="U13" s="1443"/>
      <c r="V13" s="4017"/>
      <c r="W13" s="1443"/>
      <c r="X13" s="1825" t="s">
        <v>169</v>
      </c>
      <c r="Y13" s="1825"/>
      <c r="Z13" s="1826"/>
      <c r="AA13" s="1826"/>
      <c r="AB13" s="1826"/>
      <c r="AC13" s="635"/>
      <c r="AD13" s="396"/>
      <c r="AE13" s="635"/>
    </row>
    <row r="14" spans="1:33" ht="21.75" customHeight="1">
      <c r="A14" s="635"/>
      <c r="B14" s="6461"/>
      <c r="C14" s="6543"/>
      <c r="D14" s="6543"/>
      <c r="E14" s="1802"/>
      <c r="F14" s="1839" t="s">
        <v>4211</v>
      </c>
      <c r="G14" s="1839"/>
      <c r="H14" s="282"/>
      <c r="I14" s="282"/>
      <c r="J14" s="282"/>
      <c r="K14" s="282"/>
      <c r="L14" s="282"/>
      <c r="M14" s="282"/>
      <c r="N14" s="142"/>
      <c r="O14" s="142"/>
      <c r="P14" s="142"/>
      <c r="Q14" s="142"/>
      <c r="R14" s="23"/>
      <c r="S14" s="23"/>
      <c r="T14" s="142"/>
      <c r="U14" s="282"/>
      <c r="V14" s="282"/>
      <c r="W14" s="172"/>
      <c r="X14" s="6437">
        <f>TaxYear</f>
        <v>2018</v>
      </c>
      <c r="Y14" s="6438"/>
      <c r="Z14" s="6438"/>
      <c r="AA14" s="6438"/>
      <c r="AB14" s="6438"/>
      <c r="AC14" s="635"/>
      <c r="AD14" s="396"/>
      <c r="AE14" s="635"/>
    </row>
    <row r="15" spans="1:33" ht="9.75" customHeight="1">
      <c r="A15" s="635"/>
      <c r="B15" s="4611"/>
      <c r="C15" s="4611"/>
      <c r="D15" s="4610"/>
      <c r="E15" s="1860"/>
      <c r="F15" s="1828"/>
      <c r="G15" s="1828"/>
      <c r="H15" s="4675"/>
      <c r="I15" s="4675" t="s">
        <v>4212</v>
      </c>
      <c r="J15" s="1828"/>
      <c r="K15" s="1828"/>
      <c r="L15" s="1828"/>
      <c r="M15" s="1828"/>
      <c r="N15" s="1828"/>
      <c r="O15" s="1828"/>
      <c r="P15" s="1828"/>
      <c r="Q15" s="1828"/>
      <c r="R15" s="1828"/>
      <c r="S15" s="1828"/>
      <c r="T15" s="1828"/>
      <c r="U15" s="1828"/>
      <c r="V15" s="1828"/>
      <c r="W15" s="1828"/>
      <c r="X15" s="6439" t="s">
        <v>4213</v>
      </c>
      <c r="Y15" s="6440"/>
      <c r="Z15" s="6440"/>
      <c r="AA15" s="6440"/>
      <c r="AB15" s="6440"/>
      <c r="AC15" s="635"/>
      <c r="AD15" s="396"/>
      <c r="AE15" s="635"/>
    </row>
    <row r="16" spans="1:33" ht="12" customHeight="1">
      <c r="A16" s="635"/>
      <c r="B16" s="6544" t="s">
        <v>1154</v>
      </c>
      <c r="C16" s="6545"/>
      <c r="D16" s="6546"/>
      <c r="E16" s="4615"/>
      <c r="F16" s="1827"/>
      <c r="G16" s="1827"/>
      <c r="H16" s="1827"/>
      <c r="I16" s="1827"/>
      <c r="J16" s="1827"/>
      <c r="K16" s="1827"/>
      <c r="L16" s="1827"/>
      <c r="M16" s="1827"/>
      <c r="N16" s="1827"/>
      <c r="O16" s="1827"/>
      <c r="P16" s="1827"/>
      <c r="Q16" s="1827"/>
      <c r="R16" s="1827"/>
      <c r="S16" s="4616" t="s">
        <v>4343</v>
      </c>
      <c r="T16" s="1827"/>
      <c r="U16" s="1827"/>
      <c r="V16" s="1827"/>
      <c r="W16" s="1827"/>
      <c r="X16" s="6441"/>
      <c r="Y16" s="6440"/>
      <c r="Z16" s="6440"/>
      <c r="AA16" s="6440"/>
      <c r="AB16" s="6440"/>
      <c r="AC16" s="635"/>
      <c r="AD16" s="396"/>
      <c r="AE16" s="635"/>
    </row>
    <row r="17" spans="1:32" ht="6.75" customHeight="1">
      <c r="A17" s="635"/>
      <c r="B17" s="6547"/>
      <c r="C17" s="6548"/>
      <c r="D17" s="6548"/>
      <c r="E17" s="1829"/>
      <c r="F17" s="1830"/>
      <c r="G17" s="1830"/>
      <c r="H17" s="1830"/>
      <c r="I17" s="1830"/>
      <c r="J17" s="1830"/>
      <c r="K17" s="1830"/>
      <c r="L17" s="1830"/>
      <c r="M17" s="1830"/>
      <c r="N17" s="1830"/>
      <c r="O17" s="1830"/>
      <c r="P17" s="1830"/>
      <c r="Q17" s="1830"/>
      <c r="R17" s="1830"/>
      <c r="S17" s="1830"/>
      <c r="T17" s="1830"/>
      <c r="U17" s="1830"/>
      <c r="V17" s="1830"/>
      <c r="W17" s="1830"/>
      <c r="X17" s="6442"/>
      <c r="Y17" s="6443"/>
      <c r="Z17" s="6443"/>
      <c r="AA17" s="6443"/>
      <c r="AB17" s="6443"/>
      <c r="AC17" s="635"/>
      <c r="AD17" s="396"/>
      <c r="AE17" s="635"/>
    </row>
    <row r="18" spans="1:32" ht="12" customHeight="1">
      <c r="A18" s="635"/>
      <c r="B18" s="171" t="s">
        <v>98</v>
      </c>
      <c r="C18" s="171"/>
      <c r="D18" s="168"/>
      <c r="E18" s="168"/>
      <c r="F18" s="168"/>
      <c r="G18" s="141"/>
      <c r="H18" s="141"/>
      <c r="I18" s="142"/>
      <c r="J18" s="142"/>
      <c r="K18" s="142"/>
      <c r="L18" s="142"/>
      <c r="M18" s="142"/>
      <c r="N18" s="151"/>
      <c r="O18" s="151"/>
      <c r="P18" s="151"/>
      <c r="Q18" s="151"/>
      <c r="R18" s="160"/>
      <c r="S18" s="157"/>
      <c r="T18" s="1840" t="s">
        <v>3029</v>
      </c>
      <c r="U18" s="142"/>
      <c r="V18" s="142"/>
      <c r="W18" s="142"/>
      <c r="X18" s="141"/>
      <c r="Y18" s="141"/>
      <c r="Z18" s="141"/>
      <c r="AA18" s="141"/>
      <c r="AB18" s="141"/>
      <c r="AC18" s="635"/>
      <c r="AD18" s="396"/>
      <c r="AE18" s="635"/>
    </row>
    <row r="19" spans="1:32" ht="14.25" customHeight="1">
      <c r="A19" s="635"/>
      <c r="B19" s="6549" t="str">
        <f>Names</f>
        <v/>
      </c>
      <c r="C19" s="6549"/>
      <c r="D19" s="6550"/>
      <c r="E19" s="6550"/>
      <c r="F19" s="6550"/>
      <c r="G19" s="6550"/>
      <c r="H19" s="6550"/>
      <c r="I19" s="6550"/>
      <c r="J19" s="6550"/>
      <c r="K19" s="6550"/>
      <c r="L19" s="6550"/>
      <c r="M19" s="6550"/>
      <c r="N19" s="6550"/>
      <c r="O19" s="6550"/>
      <c r="P19" s="6550"/>
      <c r="Q19" s="6550"/>
      <c r="R19" s="6550"/>
      <c r="S19" s="6551"/>
      <c r="T19" s="6552">
        <f>IF(NoSSN,"",SS_Yours)</f>
        <v>0</v>
      </c>
      <c r="U19" s="6553"/>
      <c r="V19" s="6553"/>
      <c r="W19" s="6553"/>
      <c r="X19" s="6553"/>
      <c r="Y19" s="6553"/>
      <c r="Z19" s="6553"/>
      <c r="AA19" s="6553"/>
      <c r="AB19" s="6554"/>
      <c r="AC19" s="635"/>
      <c r="AD19" s="396"/>
      <c r="AE19" s="635"/>
    </row>
    <row r="20" spans="1:32" s="3169" customFormat="1" ht="12" customHeight="1">
      <c r="A20" s="635"/>
      <c r="B20" s="4618" t="str">
        <f>"You may be able to take this credit and reduce your tax if by the end of "&amp;TaxYear&amp;":"</f>
        <v>You may be able to take this credit and reduce your tax if by the end of 2018:</v>
      </c>
      <c r="C20" s="1867"/>
      <c r="D20" s="1867"/>
      <c r="E20" s="1867"/>
      <c r="F20" s="1868"/>
      <c r="G20" s="1869"/>
      <c r="H20" s="1869"/>
      <c r="I20" s="1869"/>
      <c r="J20" s="1869"/>
      <c r="K20" s="1869"/>
      <c r="L20" s="1869"/>
      <c r="M20" s="1869"/>
      <c r="N20" s="1868"/>
      <c r="O20" s="1868"/>
      <c r="P20" s="191"/>
      <c r="Q20" s="191"/>
      <c r="R20" s="191"/>
      <c r="S20" s="191"/>
      <c r="T20" s="191"/>
      <c r="U20" s="191"/>
      <c r="V20" s="191"/>
      <c r="W20" s="191"/>
      <c r="X20" s="191"/>
      <c r="Y20" s="191"/>
      <c r="Z20" s="191"/>
      <c r="AA20" s="191"/>
      <c r="AB20" s="191"/>
      <c r="AC20" s="635"/>
      <c r="AD20" s="396"/>
      <c r="AE20" s="635"/>
      <c r="AF20"/>
    </row>
    <row r="21" spans="1:32" s="3169" customFormat="1" ht="12" customHeight="1">
      <c r="A21" s="635"/>
      <c r="B21" s="4619" t="s">
        <v>4217</v>
      </c>
      <c r="C21" s="1079" t="s">
        <v>4216</v>
      </c>
      <c r="D21" s="1079"/>
      <c r="E21" s="191"/>
      <c r="F21" s="1168" t="s">
        <v>274</v>
      </c>
      <c r="G21" s="4619" t="s">
        <v>4217</v>
      </c>
      <c r="H21" s="1079" t="s">
        <v>4218</v>
      </c>
      <c r="I21" s="188"/>
      <c r="J21" s="188"/>
      <c r="K21" s="188"/>
      <c r="L21" s="188"/>
      <c r="M21" s="188"/>
      <c r="N21" s="191"/>
      <c r="O21" s="191"/>
      <c r="P21" s="191"/>
      <c r="Q21" s="191"/>
      <c r="R21" s="191"/>
      <c r="S21" s="191"/>
      <c r="T21" s="191"/>
      <c r="U21" s="191"/>
      <c r="V21" s="191"/>
      <c r="W21" s="191"/>
      <c r="X21" s="191"/>
      <c r="Y21" s="191"/>
      <c r="Z21" s="191"/>
      <c r="AA21" s="191"/>
      <c r="AB21" s="191"/>
      <c r="AC21" s="635"/>
      <c r="AD21" s="396"/>
      <c r="AE21" s="635"/>
      <c r="AF21"/>
    </row>
    <row r="22" spans="1:32" s="3169" customFormat="1" ht="12" customHeight="1">
      <c r="A22" s="635"/>
      <c r="B22" s="205"/>
      <c r="C22" s="1663"/>
      <c r="D22" s="1663"/>
      <c r="E22" s="191"/>
      <c r="F22" s="191"/>
      <c r="G22" s="188"/>
      <c r="H22" s="4620" t="s">
        <v>4219</v>
      </c>
      <c r="I22" s="188"/>
      <c r="J22" s="188"/>
      <c r="K22" s="188"/>
      <c r="L22" s="188"/>
      <c r="M22" s="188"/>
      <c r="N22" s="191"/>
      <c r="O22" s="191"/>
      <c r="P22" s="191"/>
      <c r="Q22" s="191"/>
      <c r="R22" s="191"/>
      <c r="S22" s="191"/>
      <c r="T22" s="191"/>
      <c r="U22" s="188"/>
      <c r="V22" s="188"/>
      <c r="W22" s="188"/>
      <c r="X22" s="3305"/>
      <c r="Y22" s="3306"/>
      <c r="Z22" s="3306"/>
      <c r="AA22" s="3305"/>
      <c r="AB22" s="3305"/>
      <c r="AC22" s="635"/>
      <c r="AD22" s="396"/>
      <c r="AE22" s="635"/>
      <c r="AF22"/>
    </row>
    <row r="23" spans="1:32" s="3169" customFormat="1" ht="12" customHeight="1">
      <c r="A23" s="635"/>
      <c r="B23" s="205"/>
      <c r="C23" s="1079" t="s">
        <v>4220</v>
      </c>
      <c r="D23" s="1663"/>
      <c r="E23" s="191"/>
      <c r="F23" s="191"/>
      <c r="G23" s="188"/>
      <c r="H23" s="188"/>
      <c r="I23" s="188"/>
      <c r="J23" s="188"/>
      <c r="K23" s="188"/>
      <c r="L23" s="188"/>
      <c r="M23" s="188"/>
      <c r="N23" s="191"/>
      <c r="O23" s="191"/>
      <c r="P23" s="191"/>
      <c r="Q23" s="191"/>
      <c r="R23" s="191"/>
      <c r="S23" s="191"/>
      <c r="T23" s="191"/>
      <c r="U23" s="188"/>
      <c r="V23" s="188"/>
      <c r="W23" s="188"/>
      <c r="X23" s="188"/>
      <c r="Y23" s="188"/>
      <c r="Z23" s="188"/>
      <c r="AA23" s="188"/>
      <c r="AB23" s="188"/>
      <c r="AC23" s="635"/>
      <c r="AD23" s="396"/>
      <c r="AE23" s="4172"/>
      <c r="AF23"/>
    </row>
    <row r="24" spans="1:32" s="3169" customFormat="1" ht="18.75" customHeight="1">
      <c r="A24" s="635"/>
      <c r="B24" s="205"/>
      <c r="C24" s="1663"/>
      <c r="D24" s="4621" t="s">
        <v>4221</v>
      </c>
      <c r="E24" s="1663"/>
      <c r="F24" s="191"/>
      <c r="G24" s="191"/>
      <c r="H24" s="191"/>
      <c r="I24" s="191"/>
      <c r="J24" s="191"/>
      <c r="K24" s="191"/>
      <c r="L24" s="191"/>
      <c r="M24" s="191"/>
      <c r="N24" s="191"/>
      <c r="O24" s="191"/>
      <c r="P24" s="191"/>
      <c r="Q24" s="191"/>
      <c r="R24" s="191"/>
      <c r="S24" s="191"/>
      <c r="T24" s="191"/>
      <c r="U24" s="188"/>
      <c r="V24" s="188"/>
      <c r="W24" s="4018"/>
      <c r="X24" s="4019"/>
      <c r="Y24" s="4020"/>
      <c r="Z24" s="4020"/>
      <c r="AA24" s="4020"/>
      <c r="AB24" s="4020"/>
      <c r="AC24" s="635"/>
      <c r="AD24" s="396"/>
      <c r="AE24" s="635"/>
      <c r="AF24" s="1893"/>
    </row>
    <row r="25" spans="1:32" s="3169" customFormat="1" ht="5.25" customHeight="1" thickBot="1">
      <c r="A25" s="635"/>
      <c r="B25" s="614"/>
      <c r="C25" s="1663"/>
      <c r="D25" s="1663"/>
      <c r="E25" s="1663"/>
      <c r="F25" s="280"/>
      <c r="G25" s="280"/>
      <c r="H25" s="280"/>
      <c r="I25" s="280"/>
      <c r="J25" s="280"/>
      <c r="K25" s="280"/>
      <c r="L25" s="280"/>
      <c r="M25" s="280"/>
      <c r="N25" s="280"/>
      <c r="O25" s="280"/>
      <c r="P25" s="280"/>
      <c r="Q25" s="280"/>
      <c r="R25" s="195"/>
      <c r="S25" s="195"/>
      <c r="T25" s="176"/>
      <c r="U25" s="186"/>
      <c r="V25" s="186"/>
      <c r="W25" s="191"/>
      <c r="X25" s="375"/>
      <c r="Y25" s="375"/>
      <c r="Z25" s="731"/>
      <c r="AA25" s="375"/>
      <c r="AB25" s="375"/>
      <c r="AC25" s="635"/>
      <c r="AD25" s="396"/>
      <c r="AE25" s="4171"/>
      <c r="AF25"/>
    </row>
    <row r="26" spans="1:32" s="3169" customFormat="1" ht="15.75" thickTop="1">
      <c r="A26" s="635"/>
      <c r="B26" s="6533" t="s">
        <v>58</v>
      </c>
      <c r="C26" s="6534"/>
      <c r="D26" s="4622" t="s">
        <v>4222</v>
      </c>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635"/>
      <c r="AD26" s="4728" t="s">
        <v>101</v>
      </c>
      <c r="AE26" s="635"/>
      <c r="AF26"/>
    </row>
    <row r="27" spans="1:32" s="3169" customFormat="1" ht="12" customHeight="1">
      <c r="A27" s="635"/>
      <c r="B27" s="4623" t="s">
        <v>4223</v>
      </c>
      <c r="C27" s="4624"/>
      <c r="D27" s="4624"/>
      <c r="E27" s="4625"/>
      <c r="F27" s="4625"/>
      <c r="G27" s="4626"/>
      <c r="H27" s="4627" t="str">
        <f>"And by the end of "&amp;TaxYear&amp;":"</f>
        <v>And by the end of 2018:</v>
      </c>
      <c r="I27" s="4626"/>
      <c r="J27" s="4626"/>
      <c r="K27" s="4626"/>
      <c r="L27" s="4626"/>
      <c r="M27" s="4626"/>
      <c r="N27" s="4625"/>
      <c r="O27" s="4625"/>
      <c r="P27" s="4625"/>
      <c r="Q27" s="4625"/>
      <c r="R27" s="4625"/>
      <c r="S27" s="4625"/>
      <c r="T27" s="4625"/>
      <c r="U27" s="4626"/>
      <c r="V27" s="4626"/>
      <c r="W27" s="4626"/>
      <c r="X27" s="4628"/>
      <c r="Y27" s="4629"/>
      <c r="Z27" s="4629"/>
      <c r="AA27" s="4628"/>
      <c r="AB27" s="4630" t="s">
        <v>4224</v>
      </c>
      <c r="AC27" s="635"/>
      <c r="AD27" s="396"/>
      <c r="AE27" s="635"/>
      <c r="AF27"/>
    </row>
    <row r="28" spans="1:32" s="3169" customFormat="1" ht="12" customHeight="1">
      <c r="A28" s="635"/>
      <c r="B28" s="6536" t="b">
        <f>OR(File_Single&lt;&gt;"",File_Head&lt;&gt;"",File_Qual_Widow&lt;&gt;"")</f>
        <v>0</v>
      </c>
      <c r="C28" s="6536"/>
      <c r="D28" s="1663"/>
      <c r="E28" s="191"/>
      <c r="F28" s="191"/>
      <c r="G28" s="188"/>
      <c r="H28" s="4620"/>
      <c r="I28" s="188"/>
      <c r="J28" s="188"/>
      <c r="K28" s="188"/>
      <c r="L28" s="188"/>
      <c r="M28" s="188"/>
      <c r="N28" s="191"/>
      <c r="O28" s="191"/>
      <c r="P28" s="191"/>
      <c r="Q28" s="191"/>
      <c r="R28" s="191"/>
      <c r="S28" s="191"/>
      <c r="T28" s="191"/>
      <c r="U28" s="188"/>
      <c r="V28" s="188"/>
      <c r="W28" s="188"/>
      <c r="X28" s="3305"/>
      <c r="Y28" s="3306"/>
      <c r="Z28" s="3306"/>
      <c r="AA28" s="3305"/>
      <c r="AB28" s="3305"/>
      <c r="AC28" s="635"/>
      <c r="AD28" s="396"/>
      <c r="AE28" s="635"/>
      <c r="AF28"/>
    </row>
    <row r="29" spans="1:32" s="3169" customFormat="1" ht="12" customHeight="1">
      <c r="A29" s="635"/>
      <c r="B29" s="280" t="s">
        <v>4225</v>
      </c>
      <c r="C29" s="1663"/>
      <c r="D29" s="1663"/>
      <c r="E29" s="191"/>
      <c r="F29" s="4631" t="s">
        <v>165</v>
      </c>
      <c r="G29" s="4620" t="s">
        <v>4227</v>
      </c>
      <c r="H29" s="4620"/>
      <c r="I29" s="188"/>
      <c r="J29" s="188"/>
      <c r="K29" s="188"/>
      <c r="L29" s="188"/>
      <c r="M29" s="188"/>
      <c r="N29" s="191"/>
      <c r="O29" s="191"/>
      <c r="P29" s="191"/>
      <c r="Q29" s="191"/>
      <c r="R29" s="191"/>
      <c r="S29" s="191"/>
      <c r="T29" s="191"/>
      <c r="U29" s="188"/>
      <c r="V29" s="188"/>
      <c r="W29" s="188"/>
      <c r="X29" s="3305"/>
      <c r="Y29" s="4631" t="s">
        <v>165</v>
      </c>
      <c r="Z29" s="3306"/>
      <c r="AA29" s="4640" t="str">
        <f>IF(OR($AD$34=1,AND($AD$34="",B28,YouR65)),"X","")</f>
        <v/>
      </c>
      <c r="AB29" s="3305"/>
      <c r="AC29" s="635"/>
      <c r="AD29" s="396"/>
      <c r="AE29" s="635"/>
      <c r="AF29"/>
    </row>
    <row r="30" spans="1:32" s="3169" customFormat="1" ht="12" customHeight="1">
      <c r="A30" s="635"/>
      <c r="B30" s="280" t="s">
        <v>4226</v>
      </c>
      <c r="C30" s="1663"/>
      <c r="D30" s="1663"/>
      <c r="E30" s="191"/>
      <c r="F30" s="191"/>
      <c r="G30" s="188"/>
      <c r="H30" s="4620"/>
      <c r="I30" s="188"/>
      <c r="J30" s="188"/>
      <c r="K30" s="188"/>
      <c r="L30" s="188"/>
      <c r="M30" s="188"/>
      <c r="N30" s="191"/>
      <c r="O30" s="191"/>
      <c r="P30" s="191"/>
      <c r="Q30" s="191"/>
      <c r="R30" s="191"/>
      <c r="S30" s="191"/>
      <c r="T30" s="191"/>
      <c r="U30" s="188"/>
      <c r="V30" s="188"/>
      <c r="W30" s="188"/>
      <c r="X30" s="3305"/>
      <c r="Y30" s="3306"/>
      <c r="Z30" s="3306"/>
      <c r="AA30" s="3305"/>
      <c r="AB30" s="3305"/>
      <c r="AC30" s="635"/>
      <c r="AD30" s="4729" t="s">
        <v>4339</v>
      </c>
      <c r="AE30" s="635"/>
      <c r="AF30"/>
    </row>
    <row r="31" spans="1:32" s="3169" customFormat="1" ht="12" customHeight="1">
      <c r="A31" s="635"/>
      <c r="B31" s="280" t="s">
        <v>475</v>
      </c>
      <c r="C31" s="1663"/>
      <c r="D31" s="1663"/>
      <c r="E31" s="191"/>
      <c r="F31" s="4631" t="s">
        <v>166</v>
      </c>
      <c r="G31" s="4620" t="s">
        <v>4228</v>
      </c>
      <c r="H31" s="4620"/>
      <c r="I31" s="188"/>
      <c r="J31" s="188"/>
      <c r="K31" s="188"/>
      <c r="L31" s="188"/>
      <c r="M31" s="188"/>
      <c r="N31" s="191"/>
      <c r="O31" s="191"/>
      <c r="P31" s="191"/>
      <c r="Q31" s="191"/>
      <c r="R31" s="191"/>
      <c r="S31" s="191"/>
      <c r="T31" s="191"/>
      <c r="U31" s="188"/>
      <c r="V31" s="188"/>
      <c r="W31" s="188"/>
      <c r="X31" s="3305"/>
      <c r="Y31" s="4631" t="s">
        <v>166</v>
      </c>
      <c r="Z31" s="3306"/>
      <c r="AA31" s="4640" t="str">
        <f>IF(OR($AD$34=2,AND($AD$34="",B28,I6,I8)),"X","")</f>
        <v/>
      </c>
      <c r="AB31" s="3305"/>
      <c r="AC31" s="635"/>
      <c r="AD31" s="4729" t="s">
        <v>4341</v>
      </c>
      <c r="AE31" s="635"/>
      <c r="AF31"/>
    </row>
    <row r="32" spans="1:32" s="3169" customFormat="1" ht="12" customHeight="1">
      <c r="A32" s="635"/>
      <c r="B32" s="676"/>
      <c r="C32" s="2365"/>
      <c r="D32" s="2365"/>
      <c r="E32" s="223"/>
      <c r="F32" s="223"/>
      <c r="G32" s="4632"/>
      <c r="H32" s="4633"/>
      <c r="I32" s="4632"/>
      <c r="J32" s="4632"/>
      <c r="K32" s="4632"/>
      <c r="L32" s="4632"/>
      <c r="M32" s="4632"/>
      <c r="N32" s="223"/>
      <c r="O32" s="223"/>
      <c r="P32" s="223"/>
      <c r="Q32" s="223"/>
      <c r="R32" s="223"/>
      <c r="S32" s="223"/>
      <c r="T32" s="223"/>
      <c r="U32" s="4632"/>
      <c r="V32" s="4632"/>
      <c r="W32" s="4632"/>
      <c r="X32" s="4634"/>
      <c r="Y32" s="4635"/>
      <c r="Z32" s="4635"/>
      <c r="AA32" s="4634"/>
      <c r="AB32" s="4634"/>
      <c r="AC32" s="635"/>
      <c r="AD32" s="4729" t="s">
        <v>4340</v>
      </c>
      <c r="AE32" s="635"/>
      <c r="AF32"/>
    </row>
    <row r="33" spans="1:32" s="3169" customFormat="1" ht="12" customHeight="1" thickBot="1">
      <c r="A33" s="635"/>
      <c r="B33" s="4618"/>
      <c r="C33" s="4636"/>
      <c r="D33" s="4636"/>
      <c r="E33" s="1868"/>
      <c r="F33" s="1868"/>
      <c r="G33" s="1869"/>
      <c r="H33" s="4637"/>
      <c r="I33" s="1869"/>
      <c r="J33" s="1869"/>
      <c r="K33" s="1869"/>
      <c r="L33" s="1869"/>
      <c r="M33" s="1869"/>
      <c r="N33" s="1868"/>
      <c r="O33" s="1868"/>
      <c r="P33" s="1868"/>
      <c r="Q33" s="1868"/>
      <c r="R33" s="1868"/>
      <c r="S33" s="1868"/>
      <c r="T33" s="1868"/>
      <c r="U33" s="1869"/>
      <c r="V33" s="1869"/>
      <c r="W33" s="1869"/>
      <c r="X33" s="4638"/>
      <c r="Y33" s="4639"/>
      <c r="Z33" s="4639"/>
      <c r="AA33" s="4638"/>
      <c r="AB33" s="4638"/>
      <c r="AC33" s="635"/>
      <c r="AD33" s="4729" t="s">
        <v>4338</v>
      </c>
      <c r="AE33" s="635"/>
      <c r="AF33"/>
    </row>
    <row r="34" spans="1:32" s="3169" customFormat="1" ht="12" customHeight="1" thickBot="1">
      <c r="A34" s="635"/>
      <c r="B34" s="280"/>
      <c r="C34" s="1663"/>
      <c r="D34" s="1663"/>
      <c r="E34" s="191"/>
      <c r="F34" s="4631" t="s">
        <v>167</v>
      </c>
      <c r="G34" s="4620" t="s">
        <v>4229</v>
      </c>
      <c r="H34" s="4620"/>
      <c r="I34" s="188"/>
      <c r="J34" s="188"/>
      <c r="K34" s="188"/>
      <c r="L34" s="188"/>
      <c r="M34" s="188"/>
      <c r="N34" s="191"/>
      <c r="O34" s="191"/>
      <c r="P34" s="191"/>
      <c r="Q34" s="191"/>
      <c r="R34" s="191"/>
      <c r="S34" s="191"/>
      <c r="T34" s="191"/>
      <c r="U34" s="188"/>
      <c r="V34" s="188"/>
      <c r="W34" s="188"/>
      <c r="X34" s="3305"/>
      <c r="Y34" s="4631" t="s">
        <v>167</v>
      </c>
      <c r="Z34" s="3306"/>
      <c r="AA34" s="4640" t="str">
        <f>IF(OR($AD$34=3,AND($AD$34="",B38,YouR65,SpouseIs65)),"X","")</f>
        <v/>
      </c>
      <c r="AB34" s="3305"/>
      <c r="AC34" s="635"/>
      <c r="AD34" s="5279"/>
      <c r="AE34" s="635"/>
      <c r="AF34"/>
    </row>
    <row r="35" spans="1:32" s="3169" customFormat="1" ht="12" customHeight="1">
      <c r="A35" s="635"/>
      <c r="B35" s="280"/>
      <c r="C35" s="1663"/>
      <c r="D35" s="1663"/>
      <c r="E35" s="191"/>
      <c r="F35" s="191"/>
      <c r="G35" s="188"/>
      <c r="H35" s="4620"/>
      <c r="I35" s="188"/>
      <c r="J35" s="188"/>
      <c r="K35" s="188"/>
      <c r="L35" s="188"/>
      <c r="M35" s="188"/>
      <c r="N35" s="191"/>
      <c r="O35" s="191"/>
      <c r="P35" s="191"/>
      <c r="Q35" s="191"/>
      <c r="R35" s="191"/>
      <c r="S35" s="191"/>
      <c r="T35" s="191"/>
      <c r="U35" s="188"/>
      <c r="V35" s="188"/>
      <c r="W35" s="188"/>
      <c r="X35" s="3305"/>
      <c r="Y35" s="3306"/>
      <c r="Z35" s="3306"/>
      <c r="AA35" s="3305"/>
      <c r="AB35" s="3305"/>
      <c r="AC35" s="635"/>
      <c r="AD35" s="396"/>
      <c r="AE35" s="635"/>
      <c r="AF35"/>
    </row>
    <row r="36" spans="1:32" s="3169" customFormat="1" ht="12" customHeight="1">
      <c r="A36" s="635"/>
      <c r="B36" s="280"/>
      <c r="C36" s="1663"/>
      <c r="D36" s="1663"/>
      <c r="E36" s="191"/>
      <c r="F36" s="4631" t="s">
        <v>168</v>
      </c>
      <c r="G36" s="4620" t="s">
        <v>4230</v>
      </c>
      <c r="H36" s="4620"/>
      <c r="I36" s="188"/>
      <c r="J36" s="188"/>
      <c r="K36" s="188"/>
      <c r="L36" s="188"/>
      <c r="M36" s="188"/>
      <c r="N36" s="191"/>
      <c r="O36" s="191"/>
      <c r="P36" s="191"/>
      <c r="Q36" s="191"/>
      <c r="R36" s="191"/>
      <c r="S36" s="191"/>
      <c r="T36" s="191"/>
      <c r="U36" s="188"/>
      <c r="V36" s="188"/>
      <c r="W36" s="188"/>
      <c r="X36" s="3305"/>
      <c r="Y36" s="3306"/>
      <c r="Z36" s="3306"/>
      <c r="AA36" s="3305"/>
      <c r="AB36" s="3305"/>
      <c r="AC36" s="635"/>
      <c r="AD36" s="396"/>
      <c r="AE36" s="635"/>
      <c r="AF36"/>
    </row>
    <row r="37" spans="1:32" s="3169" customFormat="1" ht="12" customHeight="1">
      <c r="A37" s="635"/>
      <c r="B37" s="280"/>
      <c r="C37" s="1663"/>
      <c r="D37" s="1663"/>
      <c r="E37" s="191"/>
      <c r="F37" s="191"/>
      <c r="G37" s="4620" t="s">
        <v>4231</v>
      </c>
      <c r="H37" s="4620"/>
      <c r="I37" s="188"/>
      <c r="J37" s="188"/>
      <c r="K37" s="188"/>
      <c r="L37" s="188"/>
      <c r="M37" s="188"/>
      <c r="N37" s="191"/>
      <c r="O37" s="191"/>
      <c r="P37" s="191"/>
      <c r="Q37" s="191"/>
      <c r="R37" s="191"/>
      <c r="S37" s="191"/>
      <c r="T37" s="191"/>
      <c r="U37" s="188"/>
      <c r="V37" s="188"/>
      <c r="W37" s="188"/>
      <c r="X37" s="3305"/>
      <c r="Y37" s="4631" t="s">
        <v>168</v>
      </c>
      <c r="Z37" s="3306"/>
      <c r="AA37" s="4640" t="str">
        <f>IF(OR($AD$34=4,AND($AD$34="",B38,I4,P4,R8)),"X","")</f>
        <v/>
      </c>
      <c r="AB37" s="3305"/>
      <c r="AC37" s="635"/>
      <c r="AD37" s="396"/>
      <c r="AE37" s="635"/>
      <c r="AF37"/>
    </row>
    <row r="38" spans="1:32" s="3169" customFormat="1" ht="12" customHeight="1">
      <c r="A38" s="635"/>
      <c r="B38" s="6535" t="b">
        <f>File_Marr_Joint&lt;&gt;""</f>
        <v>0</v>
      </c>
      <c r="C38" s="6535"/>
      <c r="D38" s="1663"/>
      <c r="E38" s="191"/>
      <c r="F38" s="191"/>
      <c r="G38" s="188"/>
      <c r="H38" s="4620"/>
      <c r="I38" s="188"/>
      <c r="J38" s="188"/>
      <c r="K38" s="188"/>
      <c r="L38" s="188"/>
      <c r="M38" s="188"/>
      <c r="N38" s="191"/>
      <c r="O38" s="191"/>
      <c r="P38" s="191"/>
      <c r="Q38" s="191"/>
      <c r="R38" s="191"/>
      <c r="S38" s="191"/>
      <c r="T38" s="191"/>
      <c r="U38" s="188"/>
      <c r="V38" s="188"/>
      <c r="W38" s="188"/>
      <c r="X38" s="3305"/>
      <c r="Y38" s="3306"/>
      <c r="Z38" s="3306"/>
      <c r="AA38" s="3305"/>
      <c r="AB38" s="3305"/>
      <c r="AC38" s="635"/>
      <c r="AD38" s="396"/>
      <c r="AE38" s="635"/>
      <c r="AF38"/>
    </row>
    <row r="39" spans="1:32" s="3169" customFormat="1" ht="12" customHeight="1">
      <c r="A39" s="635"/>
      <c r="B39" s="280" t="s">
        <v>4239</v>
      </c>
      <c r="C39" s="1663"/>
      <c r="D39" s="1663"/>
      <c r="E39" s="191"/>
      <c r="F39" s="4631" t="s">
        <v>228</v>
      </c>
      <c r="G39" s="4620" t="s">
        <v>4232</v>
      </c>
      <c r="H39" s="4620"/>
      <c r="I39" s="188"/>
      <c r="J39" s="188"/>
      <c r="K39" s="188"/>
      <c r="L39" s="188"/>
      <c r="M39" s="188"/>
      <c r="N39" s="191"/>
      <c r="O39" s="191"/>
      <c r="P39" s="191"/>
      <c r="Q39" s="191"/>
      <c r="R39" s="191"/>
      <c r="S39" s="191"/>
      <c r="T39" s="191"/>
      <c r="U39" s="188"/>
      <c r="V39" s="188"/>
      <c r="W39" s="188"/>
      <c r="X39" s="3305"/>
      <c r="Y39" s="3306"/>
      <c r="Z39" s="3306"/>
      <c r="AA39" s="3305"/>
      <c r="AB39" s="3305"/>
      <c r="AC39" s="635"/>
      <c r="AD39" s="396"/>
      <c r="AE39" s="635"/>
      <c r="AF39"/>
    </row>
    <row r="40" spans="1:32" s="3169" customFormat="1" ht="12" customHeight="1">
      <c r="A40" s="635"/>
      <c r="B40" s="280" t="s">
        <v>4240</v>
      </c>
      <c r="C40" s="1663"/>
      <c r="D40" s="1663"/>
      <c r="E40" s="191"/>
      <c r="F40" s="191"/>
      <c r="G40" s="4620" t="s">
        <v>4233</v>
      </c>
      <c r="H40" s="4620"/>
      <c r="I40" s="188"/>
      <c r="J40" s="188"/>
      <c r="K40" s="188"/>
      <c r="L40" s="188"/>
      <c r="M40" s="188"/>
      <c r="N40" s="191"/>
      <c r="O40" s="191"/>
      <c r="P40" s="191"/>
      <c r="Q40" s="191"/>
      <c r="R40" s="191"/>
      <c r="S40" s="191"/>
      <c r="T40" s="191"/>
      <c r="U40" s="188"/>
      <c r="V40" s="188"/>
      <c r="W40" s="188"/>
      <c r="X40" s="3305"/>
      <c r="Y40" s="4631" t="s">
        <v>228</v>
      </c>
      <c r="Z40" s="3306"/>
      <c r="AA40" s="4640" t="str">
        <f>IF(OR($AD$34=5,AND($AD$34="",B38,I4,P4,I8,P8)),"X","")</f>
        <v/>
      </c>
      <c r="AB40" s="3305"/>
      <c r="AC40" s="635"/>
      <c r="AD40" s="396"/>
      <c r="AE40" s="635"/>
      <c r="AF40"/>
    </row>
    <row r="41" spans="1:32" s="3169" customFormat="1" ht="12" customHeight="1">
      <c r="A41" s="635"/>
      <c r="B41" s="280"/>
      <c r="C41" s="1663"/>
      <c r="D41" s="1663"/>
      <c r="E41" s="191"/>
      <c r="F41" s="191"/>
      <c r="G41" s="188"/>
      <c r="H41" s="4620"/>
      <c r="I41" s="188"/>
      <c r="J41" s="188"/>
      <c r="K41" s="188"/>
      <c r="L41" s="188"/>
      <c r="M41" s="188"/>
      <c r="N41" s="191"/>
      <c r="O41" s="191"/>
      <c r="P41" s="191"/>
      <c r="Q41" s="191"/>
      <c r="R41" s="191"/>
      <c r="S41" s="191"/>
      <c r="T41" s="191"/>
      <c r="U41" s="188"/>
      <c r="V41" s="188"/>
      <c r="W41" s="188"/>
      <c r="X41" s="3305"/>
      <c r="Y41" s="3306"/>
      <c r="Z41" s="3306"/>
      <c r="AA41" s="3305"/>
      <c r="AB41" s="3305"/>
      <c r="AC41" s="635"/>
      <c r="AD41" s="396"/>
      <c r="AE41" s="635"/>
      <c r="AF41"/>
    </row>
    <row r="42" spans="1:32" s="3169" customFormat="1" ht="12" customHeight="1">
      <c r="A42" s="635"/>
      <c r="B42" s="280"/>
      <c r="C42" s="1663"/>
      <c r="D42" s="1663"/>
      <c r="E42" s="191"/>
      <c r="F42" s="4631" t="s">
        <v>112</v>
      </c>
      <c r="G42" s="4620" t="s">
        <v>4234</v>
      </c>
      <c r="H42" s="4620"/>
      <c r="I42" s="188"/>
      <c r="J42" s="188"/>
      <c r="K42" s="188"/>
      <c r="L42" s="188"/>
      <c r="M42" s="188"/>
      <c r="N42" s="191"/>
      <c r="O42" s="191"/>
      <c r="P42" s="191"/>
      <c r="Q42" s="191"/>
      <c r="R42" s="191"/>
      <c r="S42" s="191"/>
      <c r="T42" s="191"/>
      <c r="U42" s="188"/>
      <c r="V42" s="188"/>
      <c r="W42" s="188"/>
      <c r="X42" s="3305"/>
      <c r="Y42" s="3306"/>
      <c r="Z42" s="3306"/>
      <c r="AA42" s="3305"/>
      <c r="AB42" s="3305"/>
      <c r="AC42" s="635"/>
      <c r="AD42" s="396"/>
      <c r="AE42" s="635"/>
      <c r="AF42"/>
    </row>
    <row r="43" spans="1:32" s="3169" customFormat="1" ht="12" customHeight="1">
      <c r="A43" s="635"/>
      <c r="B43" s="280"/>
      <c r="C43" s="1663"/>
      <c r="D43" s="1663"/>
      <c r="E43" s="191"/>
      <c r="F43" s="191"/>
      <c r="G43" s="4620" t="s">
        <v>4235</v>
      </c>
      <c r="H43" s="4620"/>
      <c r="I43" s="188"/>
      <c r="J43" s="188"/>
      <c r="K43" s="188"/>
      <c r="L43" s="188"/>
      <c r="M43" s="188"/>
      <c r="N43" s="191"/>
      <c r="O43" s="191"/>
      <c r="P43" s="191"/>
      <c r="Q43" s="191"/>
      <c r="R43" s="191"/>
      <c r="S43" s="191"/>
      <c r="T43" s="191"/>
      <c r="U43" s="188"/>
      <c r="V43" s="188"/>
      <c r="W43" s="188"/>
      <c r="X43" s="3305"/>
      <c r="Y43" s="4631" t="s">
        <v>112</v>
      </c>
      <c r="Z43" s="3306"/>
      <c r="AA43" s="4640" t="str">
        <f>IF(OR($AD$34=6,AND($AD$34="",B38,R4,OR(I8,P8))),"X","")</f>
        <v/>
      </c>
      <c r="AB43" s="3305"/>
      <c r="AC43" s="635"/>
      <c r="AD43" s="396"/>
      <c r="AE43" s="635"/>
      <c r="AF43"/>
    </row>
    <row r="44" spans="1:32" s="3169" customFormat="1" ht="12" customHeight="1">
      <c r="A44" s="635"/>
      <c r="B44" s="280"/>
      <c r="C44" s="1663"/>
      <c r="D44" s="1663"/>
      <c r="E44" s="191"/>
      <c r="F44" s="191"/>
      <c r="G44" s="4620"/>
      <c r="H44" s="4620"/>
      <c r="I44" s="188"/>
      <c r="J44" s="188"/>
      <c r="K44" s="188"/>
      <c r="L44" s="188"/>
      <c r="M44" s="188"/>
      <c r="N44" s="191"/>
      <c r="O44" s="191"/>
      <c r="P44" s="191"/>
      <c r="Q44" s="191"/>
      <c r="R44" s="191"/>
      <c r="S44" s="191"/>
      <c r="T44" s="191"/>
      <c r="U44" s="188"/>
      <c r="V44" s="188"/>
      <c r="W44" s="188"/>
      <c r="X44" s="3305"/>
      <c r="Y44" s="4631"/>
      <c r="Z44" s="3306"/>
      <c r="AA44" s="3305"/>
      <c r="AB44" s="3305"/>
      <c r="AC44" s="635"/>
      <c r="AD44" s="396"/>
      <c r="AE44" s="635"/>
      <c r="AF44"/>
    </row>
    <row r="45" spans="1:32" s="3169" customFormat="1" ht="12" customHeight="1">
      <c r="A45" s="635"/>
      <c r="B45" s="280"/>
      <c r="C45" s="1663"/>
      <c r="D45" s="1663"/>
      <c r="E45" s="191"/>
      <c r="F45" s="4631" t="s">
        <v>113</v>
      </c>
      <c r="G45" s="4620" t="s">
        <v>4236</v>
      </c>
      <c r="H45" s="4620"/>
      <c r="I45" s="188"/>
      <c r="J45" s="188"/>
      <c r="K45" s="188"/>
      <c r="L45" s="188"/>
      <c r="M45" s="188"/>
      <c r="N45" s="191"/>
      <c r="O45" s="191"/>
      <c r="P45" s="191"/>
      <c r="Q45" s="191"/>
      <c r="R45" s="191"/>
      <c r="S45" s="191"/>
      <c r="T45" s="191"/>
      <c r="U45" s="188"/>
      <c r="V45" s="188"/>
      <c r="W45" s="188"/>
      <c r="X45" s="3305"/>
      <c r="Y45" s="4631"/>
      <c r="Z45" s="3306"/>
      <c r="AA45" s="3305"/>
      <c r="AB45" s="3305"/>
      <c r="AC45" s="635"/>
      <c r="AD45" s="396"/>
      <c r="AE45" s="635"/>
      <c r="AF45"/>
    </row>
    <row r="46" spans="1:32" s="3169" customFormat="1" ht="12" customHeight="1">
      <c r="A46" s="635"/>
      <c r="B46" s="280"/>
      <c r="C46" s="1663"/>
      <c r="D46" s="1663"/>
      <c r="E46" s="191"/>
      <c r="F46" s="191"/>
      <c r="G46" s="4620" t="s">
        <v>4237</v>
      </c>
      <c r="H46" s="4620"/>
      <c r="I46" s="188"/>
      <c r="J46" s="188"/>
      <c r="K46" s="188"/>
      <c r="L46" s="188"/>
      <c r="M46" s="188"/>
      <c r="N46" s="191"/>
      <c r="O46" s="191"/>
      <c r="P46" s="191"/>
      <c r="Q46" s="191"/>
      <c r="R46" s="191"/>
      <c r="S46" s="191"/>
      <c r="T46" s="191"/>
      <c r="U46" s="188"/>
      <c r="V46" s="188"/>
      <c r="W46" s="188"/>
      <c r="X46" s="3305"/>
      <c r="Y46" s="4631" t="s">
        <v>113</v>
      </c>
      <c r="Z46" s="3306"/>
      <c r="AA46" s="4640" t="str">
        <f>IF(OR($AD$34=7,AND($AD$34="",B38,R4,NOT(I8),NOT(P8))),"X","")</f>
        <v/>
      </c>
      <c r="AB46" s="3305"/>
      <c r="AC46" s="635"/>
      <c r="AD46" s="396"/>
      <c r="AE46" s="635"/>
      <c r="AF46"/>
    </row>
    <row r="47" spans="1:32" s="3169" customFormat="1" ht="12" customHeight="1">
      <c r="A47" s="635"/>
      <c r="B47" s="676"/>
      <c r="C47" s="2365"/>
      <c r="D47" s="2365"/>
      <c r="E47" s="223"/>
      <c r="F47" s="223"/>
      <c r="G47" s="4632"/>
      <c r="H47" s="4633"/>
      <c r="I47" s="4632"/>
      <c r="J47" s="4632"/>
      <c r="K47" s="4632"/>
      <c r="L47" s="4632"/>
      <c r="M47" s="4632"/>
      <c r="N47" s="223"/>
      <c r="O47" s="223"/>
      <c r="P47" s="223"/>
      <c r="Q47" s="223"/>
      <c r="R47" s="223"/>
      <c r="S47" s="223"/>
      <c r="T47" s="223"/>
      <c r="U47" s="4632"/>
      <c r="V47" s="4632"/>
      <c r="W47" s="4632"/>
      <c r="X47" s="4634"/>
      <c r="Y47" s="4635"/>
      <c r="Z47" s="4635"/>
      <c r="AA47" s="4634"/>
      <c r="AB47" s="4634"/>
      <c r="AC47" s="635"/>
      <c r="AD47" s="396"/>
      <c r="AE47" s="635"/>
      <c r="AF47"/>
    </row>
    <row r="48" spans="1:32" s="3169" customFormat="1" ht="12" customHeight="1">
      <c r="A48" s="635"/>
      <c r="B48" s="4618"/>
      <c r="C48" s="4636"/>
      <c r="D48" s="4636"/>
      <c r="E48" s="1868"/>
      <c r="F48" s="1868"/>
      <c r="G48" s="1869"/>
      <c r="H48" s="4637"/>
      <c r="I48" s="1869"/>
      <c r="J48" s="1869"/>
      <c r="K48" s="1869"/>
      <c r="L48" s="1869"/>
      <c r="M48" s="1869"/>
      <c r="N48" s="1868"/>
      <c r="O48" s="1868"/>
      <c r="P48" s="1868"/>
      <c r="Q48" s="1868"/>
      <c r="R48" s="1868"/>
      <c r="S48" s="1868"/>
      <c r="T48" s="1868"/>
      <c r="U48" s="1869"/>
      <c r="V48" s="1869"/>
      <c r="W48" s="1869"/>
      <c r="X48" s="4638"/>
      <c r="Y48" s="4639"/>
      <c r="Z48" s="4639"/>
      <c r="AA48" s="4638"/>
      <c r="AB48" s="4638"/>
      <c r="AC48" s="635"/>
      <c r="AD48" s="396"/>
      <c r="AE48" s="635"/>
      <c r="AF48"/>
    </row>
    <row r="49" spans="1:32" s="3169" customFormat="1" ht="12" customHeight="1">
      <c r="A49" s="635"/>
      <c r="B49" s="6535" t="b">
        <f>File_Marr_Sep&lt;&gt;""</f>
        <v>0</v>
      </c>
      <c r="C49" s="6535"/>
      <c r="D49" s="1663"/>
      <c r="E49" s="191"/>
      <c r="F49" s="4631" t="s">
        <v>114</v>
      </c>
      <c r="G49" s="4620" t="s">
        <v>4238</v>
      </c>
      <c r="H49" s="4620"/>
      <c r="I49" s="188"/>
      <c r="J49" s="188"/>
      <c r="K49" s="188"/>
      <c r="L49" s="188"/>
      <c r="M49" s="188"/>
      <c r="N49" s="191"/>
      <c r="O49" s="191"/>
      <c r="P49" s="191"/>
      <c r="Q49" s="191"/>
      <c r="R49" s="191"/>
      <c r="S49" s="191"/>
      <c r="T49" s="191"/>
      <c r="U49" s="188"/>
      <c r="V49" s="188"/>
      <c r="W49" s="188"/>
      <c r="X49" s="3305"/>
      <c r="Y49" s="4631" t="s">
        <v>114</v>
      </c>
      <c r="Z49" s="3306"/>
      <c r="AA49" s="4640" t="str">
        <f>IF(OR($AD$34=8,AND($AD$34="",B49,YouR65,LivedApart)),"X","")</f>
        <v/>
      </c>
      <c r="AB49" s="3305"/>
      <c r="AC49" s="635"/>
      <c r="AD49" s="396"/>
      <c r="AE49" s="635"/>
      <c r="AF49"/>
    </row>
    <row r="50" spans="1:32" s="3169" customFormat="1" ht="12" customHeight="1">
      <c r="A50" s="635"/>
      <c r="B50" s="280" t="s">
        <v>4239</v>
      </c>
      <c r="C50" s="1663"/>
      <c r="D50" s="1663"/>
      <c r="E50" s="191"/>
      <c r="F50" s="191"/>
      <c r="G50" s="188"/>
      <c r="H50" s="4620"/>
      <c r="I50" s="188"/>
      <c r="J50" s="188"/>
      <c r="K50" s="188"/>
      <c r="L50" s="188"/>
      <c r="M50" s="188"/>
      <c r="N50" s="191"/>
      <c r="O50" s="191"/>
      <c r="P50" s="191"/>
      <c r="Q50" s="191"/>
      <c r="R50" s="191"/>
      <c r="S50" s="191"/>
      <c r="T50" s="191"/>
      <c r="U50" s="188"/>
      <c r="V50" s="188"/>
      <c r="W50" s="188"/>
      <c r="X50" s="3305"/>
      <c r="Y50" s="3306"/>
      <c r="Z50" s="3306"/>
      <c r="AA50" s="3305"/>
      <c r="AB50" s="3305"/>
      <c r="AC50" s="635"/>
      <c r="AD50" s="396"/>
      <c r="AE50" s="635"/>
      <c r="AF50"/>
    </row>
    <row r="51" spans="1:32" s="3169" customFormat="1" ht="12" customHeight="1">
      <c r="A51" s="635"/>
      <c r="B51" s="280" t="s">
        <v>638</v>
      </c>
      <c r="C51" s="1663"/>
      <c r="D51" s="1663"/>
      <c r="E51" s="191"/>
      <c r="F51" s="4631" t="s">
        <v>115</v>
      </c>
      <c r="G51" s="4620" t="s">
        <v>4241</v>
      </c>
      <c r="H51" s="4620"/>
      <c r="I51" s="188"/>
      <c r="J51" s="188"/>
      <c r="K51" s="188"/>
      <c r="L51" s="188"/>
      <c r="M51" s="188"/>
      <c r="N51" s="191"/>
      <c r="O51" s="191"/>
      <c r="P51" s="191"/>
      <c r="Q51" s="191"/>
      <c r="R51" s="191"/>
      <c r="S51" s="191"/>
      <c r="T51" s="191"/>
      <c r="U51" s="188"/>
      <c r="V51" s="188"/>
      <c r="W51" s="188"/>
      <c r="X51" s="3305"/>
      <c r="Y51" s="3306"/>
      <c r="Z51" s="3306"/>
      <c r="AA51" s="3305"/>
      <c r="AB51" s="3305"/>
      <c r="AC51" s="635"/>
      <c r="AD51" s="396"/>
      <c r="AE51" s="635"/>
      <c r="AF51"/>
    </row>
    <row r="52" spans="1:32" s="3169" customFormat="1" ht="12" customHeight="1">
      <c r="A52" s="635"/>
      <c r="B52" s="280"/>
      <c r="C52" s="1663"/>
      <c r="D52" s="1663"/>
      <c r="E52" s="191"/>
      <c r="F52" s="191"/>
      <c r="G52" s="4620" t="s">
        <v>4242</v>
      </c>
      <c r="H52" s="4620"/>
      <c r="I52" s="188"/>
      <c r="J52" s="188"/>
      <c r="K52" s="188"/>
      <c r="L52" s="188"/>
      <c r="M52" s="188"/>
      <c r="N52" s="191"/>
      <c r="O52" s="191"/>
      <c r="P52" s="191"/>
      <c r="Q52" s="191"/>
      <c r="R52" s="191"/>
      <c r="S52" s="191"/>
      <c r="T52" s="191"/>
      <c r="U52" s="188"/>
      <c r="V52" s="188"/>
      <c r="W52" s="188"/>
      <c r="X52" s="3305"/>
      <c r="Y52" s="4631" t="s">
        <v>115</v>
      </c>
      <c r="Z52" s="3306"/>
      <c r="AA52" s="4640" t="str">
        <f>IF(OR($AD$34=9,AND($AD$34="",B49,NOT(YouR65),I8,LivedApart)),"X","")</f>
        <v/>
      </c>
      <c r="AB52" s="3305"/>
      <c r="AC52" s="635"/>
      <c r="AD52" s="396"/>
      <c r="AE52" s="635"/>
      <c r="AF52"/>
    </row>
    <row r="53" spans="1:32" s="3169" customFormat="1" ht="12" customHeight="1">
      <c r="A53" s="635"/>
      <c r="B53" s="676"/>
      <c r="C53" s="2365"/>
      <c r="D53" s="2365"/>
      <c r="E53" s="223"/>
      <c r="F53" s="223"/>
      <c r="G53" s="4632"/>
      <c r="H53" s="4633"/>
      <c r="I53" s="4632"/>
      <c r="J53" s="4632"/>
      <c r="K53" s="4632"/>
      <c r="L53" s="4632"/>
      <c r="M53" s="4632"/>
      <c r="N53" s="223"/>
      <c r="O53" s="223"/>
      <c r="P53" s="223"/>
      <c r="Q53" s="223"/>
      <c r="R53" s="223"/>
      <c r="S53" s="223"/>
      <c r="T53" s="223"/>
      <c r="U53" s="4632"/>
      <c r="V53" s="4632"/>
      <c r="W53" s="4632"/>
      <c r="X53" s="4634"/>
      <c r="Y53" s="4635"/>
      <c r="Z53" s="4635"/>
      <c r="AA53" s="4634"/>
      <c r="AB53" s="4634"/>
      <c r="AC53" s="635"/>
      <c r="AD53" s="396"/>
      <c r="AE53" s="635"/>
      <c r="AF53"/>
    </row>
    <row r="54" spans="1:32" s="3169" customFormat="1" ht="12" customHeight="1" thickBot="1">
      <c r="A54" s="635"/>
      <c r="B54" s="6537" t="b">
        <f>OR(AA29&lt;&gt;"",AA34&lt;&gt;"",AA46&lt;&gt;"",AA49&lt;&gt;"")</f>
        <v>0</v>
      </c>
      <c r="C54" s="6537"/>
      <c r="D54" s="4636"/>
      <c r="E54" s="1868"/>
      <c r="F54" s="1868"/>
      <c r="G54" s="1869"/>
      <c r="H54" s="4637"/>
      <c r="I54" s="1869"/>
      <c r="J54" s="1869"/>
      <c r="K54" s="1869"/>
      <c r="L54" s="1869"/>
      <c r="M54" s="1869"/>
      <c r="N54" s="1868"/>
      <c r="O54" s="1868"/>
      <c r="P54" s="1868"/>
      <c r="Q54" s="1868"/>
      <c r="R54" s="1868"/>
      <c r="S54" s="1868"/>
      <c r="T54" s="1868"/>
      <c r="U54" s="1869"/>
      <c r="V54" s="1869"/>
      <c r="W54" s="1869"/>
      <c r="X54" s="4638"/>
      <c r="Y54" s="4639"/>
      <c r="Z54" s="4639"/>
      <c r="AA54" s="4638"/>
      <c r="AB54" s="4638"/>
      <c r="AC54" s="635"/>
      <c r="AD54" s="396"/>
      <c r="AE54" s="635"/>
      <c r="AF54"/>
    </row>
    <row r="55" spans="1:32" s="3169" customFormat="1" ht="6.75" customHeight="1">
      <c r="A55" s="635"/>
      <c r="B55" s="4641"/>
      <c r="C55" s="4642"/>
      <c r="D55" s="4643"/>
      <c r="E55" s="191"/>
      <c r="F55" s="191"/>
      <c r="G55" s="188"/>
      <c r="H55" s="4620"/>
      <c r="I55" s="188"/>
      <c r="J55" s="188"/>
      <c r="K55" s="188"/>
      <c r="L55" s="188"/>
      <c r="M55" s="188"/>
      <c r="N55" s="191"/>
      <c r="O55" s="191"/>
      <c r="P55" s="191"/>
      <c r="Q55" s="191"/>
      <c r="R55" s="191"/>
      <c r="S55" s="191"/>
      <c r="T55" s="191"/>
      <c r="U55" s="188"/>
      <c r="V55" s="188"/>
      <c r="W55" s="188"/>
      <c r="X55" s="3305"/>
      <c r="Y55" s="3306"/>
      <c r="Z55" s="3306"/>
      <c r="AA55" s="3305"/>
      <c r="AB55" s="3305"/>
      <c r="AC55" s="635"/>
      <c r="AD55" s="396"/>
      <c r="AE55" s="635"/>
      <c r="AF55"/>
    </row>
    <row r="56" spans="1:32" s="3169" customFormat="1" ht="12" customHeight="1">
      <c r="A56" s="635"/>
      <c r="B56" s="4648" t="s">
        <v>4243</v>
      </c>
      <c r="C56" s="1663"/>
      <c r="D56" s="4644"/>
      <c r="E56" s="1079" t="s">
        <v>4245</v>
      </c>
      <c r="F56" s="5969" t="s">
        <v>307</v>
      </c>
      <c r="G56" s="5527"/>
      <c r="H56" s="1079" t="s">
        <v>4268</v>
      </c>
      <c r="I56" s="4620"/>
      <c r="J56" s="4613" t="s">
        <v>4288</v>
      </c>
      <c r="K56" s="188"/>
      <c r="L56" s="188"/>
      <c r="M56" s="188"/>
      <c r="N56" s="191"/>
      <c r="O56" s="191"/>
      <c r="P56" s="191"/>
      <c r="Q56" s="191"/>
      <c r="R56" s="191"/>
      <c r="S56" s="191"/>
      <c r="T56" s="191"/>
      <c r="U56" s="188"/>
      <c r="V56" s="188"/>
      <c r="W56" s="188"/>
      <c r="X56" s="3305"/>
      <c r="Y56" s="3306"/>
      <c r="Z56" s="3306"/>
      <c r="AA56" s="3305"/>
      <c r="AB56" s="3305"/>
      <c r="AC56" s="635"/>
      <c r="AD56" s="396"/>
      <c r="AE56" s="635"/>
      <c r="AF56"/>
    </row>
    <row r="57" spans="1:32" s="3169" customFormat="1" ht="4.5" customHeight="1">
      <c r="A57" s="635"/>
      <c r="B57" s="4648"/>
      <c r="C57" s="1663"/>
      <c r="D57" s="4644"/>
      <c r="E57" s="191"/>
      <c r="F57" s="191"/>
      <c r="G57" s="188"/>
      <c r="H57" s="4620"/>
      <c r="I57" s="4620"/>
      <c r="J57" s="188"/>
      <c r="K57" s="188"/>
      <c r="L57" s="188"/>
      <c r="M57" s="188"/>
      <c r="N57" s="191"/>
      <c r="O57" s="191"/>
      <c r="P57" s="191"/>
      <c r="Q57" s="191"/>
      <c r="R57" s="191"/>
      <c r="S57" s="191"/>
      <c r="T57" s="191"/>
      <c r="U57" s="188"/>
      <c r="V57" s="188"/>
      <c r="W57" s="188"/>
      <c r="X57" s="3305"/>
      <c r="Y57" s="3306"/>
      <c r="Z57" s="3306"/>
      <c r="AA57" s="3305"/>
      <c r="AB57" s="3305"/>
      <c r="AC57" s="635"/>
      <c r="AD57" s="396"/>
      <c r="AE57" s="635"/>
      <c r="AF57"/>
    </row>
    <row r="58" spans="1:32" s="3169" customFormat="1" ht="12" customHeight="1">
      <c r="A58" s="635"/>
      <c r="B58" s="4648" t="s">
        <v>4244</v>
      </c>
      <c r="C58" s="1663"/>
      <c r="D58" s="4644"/>
      <c r="E58" s="1079" t="s">
        <v>4245</v>
      </c>
      <c r="F58" s="5969" t="s">
        <v>308</v>
      </c>
      <c r="G58" s="5969"/>
      <c r="H58" s="1079" t="s">
        <v>4268</v>
      </c>
      <c r="I58" s="4620"/>
      <c r="J58" s="4613" t="s">
        <v>4289</v>
      </c>
      <c r="K58" s="188"/>
      <c r="L58" s="188"/>
      <c r="M58" s="188"/>
      <c r="N58" s="191"/>
      <c r="O58" s="191"/>
      <c r="P58" s="191"/>
      <c r="Q58" s="191"/>
      <c r="R58" s="191"/>
      <c r="S58" s="191"/>
      <c r="T58" s="191"/>
      <c r="U58" s="188"/>
      <c r="V58" s="188"/>
      <c r="W58" s="188"/>
      <c r="X58" s="3305"/>
      <c r="Y58" s="3306"/>
      <c r="Z58" s="3306"/>
      <c r="AA58" s="3305"/>
      <c r="AB58" s="3305"/>
      <c r="AC58" s="635"/>
      <c r="AD58" s="396"/>
      <c r="AE58" s="635"/>
      <c r="AF58"/>
    </row>
    <row r="59" spans="1:32" s="3169" customFormat="1" ht="6.75" customHeight="1" thickBot="1">
      <c r="A59" s="635"/>
      <c r="B59" s="4645"/>
      <c r="C59" s="4646"/>
      <c r="D59" s="4647"/>
      <c r="E59" s="191"/>
      <c r="F59" s="191"/>
      <c r="G59" s="188"/>
      <c r="H59" s="4620"/>
      <c r="I59" s="188"/>
      <c r="J59" s="188"/>
      <c r="K59" s="188"/>
      <c r="L59" s="188"/>
      <c r="M59" s="188"/>
      <c r="N59" s="191"/>
      <c r="O59" s="191"/>
      <c r="P59" s="191"/>
      <c r="Q59" s="191"/>
      <c r="R59" s="191"/>
      <c r="S59" s="191"/>
      <c r="T59" s="191"/>
      <c r="U59" s="188"/>
      <c r="V59" s="188"/>
      <c r="W59" s="188"/>
      <c r="X59" s="3305"/>
      <c r="Y59" s="3306"/>
      <c r="Z59" s="3306"/>
      <c r="AA59" s="3305"/>
      <c r="AB59" s="3305"/>
      <c r="AC59" s="635"/>
      <c r="AD59" s="396"/>
      <c r="AE59" s="635"/>
      <c r="AF59"/>
    </row>
    <row r="60" spans="1:32" s="3169" customFormat="1" ht="12" customHeight="1" thickBot="1">
      <c r="A60" s="635"/>
      <c r="B60" s="280"/>
      <c r="C60" s="1663"/>
      <c r="D60" s="1663"/>
      <c r="E60" s="191"/>
      <c r="F60" s="191"/>
      <c r="G60" s="188"/>
      <c r="H60" s="4620"/>
      <c r="I60" s="188"/>
      <c r="J60" s="188"/>
      <c r="K60" s="188"/>
      <c r="L60" s="188"/>
      <c r="M60" s="188"/>
      <c r="N60" s="191"/>
      <c r="O60" s="191"/>
      <c r="P60" s="191"/>
      <c r="Q60" s="191"/>
      <c r="R60" s="191"/>
      <c r="S60" s="191"/>
      <c r="T60" s="191"/>
      <c r="U60" s="188"/>
      <c r="V60" s="188"/>
      <c r="W60" s="188"/>
      <c r="X60" s="3305"/>
      <c r="Y60" s="3306"/>
      <c r="Z60" s="3306"/>
      <c r="AA60" s="3305"/>
      <c r="AB60" s="3305"/>
      <c r="AC60" s="635"/>
      <c r="AD60" s="396"/>
      <c r="AE60" s="635"/>
      <c r="AF60"/>
    </row>
    <row r="61" spans="1:32" s="3169" customFormat="1" ht="15.75" thickTop="1">
      <c r="A61" s="635"/>
      <c r="B61" s="6533" t="s">
        <v>130</v>
      </c>
      <c r="C61" s="6534"/>
      <c r="D61" s="4622" t="s">
        <v>4246</v>
      </c>
      <c r="E61" s="182"/>
      <c r="F61" s="182"/>
      <c r="G61" s="182"/>
      <c r="H61" s="182"/>
      <c r="I61" s="182"/>
      <c r="J61" s="182"/>
      <c r="K61" s="182"/>
      <c r="L61" s="182"/>
      <c r="M61" s="4652" t="s">
        <v>4247</v>
      </c>
      <c r="N61" s="182"/>
      <c r="O61" s="182"/>
      <c r="P61" s="182"/>
      <c r="Q61" s="182"/>
      <c r="R61" s="182"/>
      <c r="S61" s="182"/>
      <c r="T61" s="182"/>
      <c r="U61" s="182"/>
      <c r="V61" s="182"/>
      <c r="W61" s="182"/>
      <c r="X61" s="182"/>
      <c r="Y61" s="182"/>
      <c r="Z61" s="182"/>
      <c r="AA61" s="182"/>
      <c r="AB61" s="182"/>
      <c r="AC61" s="635"/>
      <c r="AD61" s="396"/>
      <c r="AE61" s="635"/>
      <c r="AF61"/>
    </row>
    <row r="62" spans="1:32" s="3169" customFormat="1" ht="14.25">
      <c r="A62" s="635"/>
      <c r="B62" s="4653" t="s">
        <v>4248</v>
      </c>
      <c r="C62" s="4655" t="s">
        <v>165</v>
      </c>
      <c r="D62" s="4654" t="s">
        <v>4249</v>
      </c>
      <c r="E62" s="336"/>
      <c r="F62" s="336"/>
      <c r="G62" s="336"/>
      <c r="H62" s="336"/>
      <c r="I62" s="336"/>
      <c r="J62" s="336"/>
      <c r="K62" s="336"/>
      <c r="L62" s="336"/>
      <c r="M62" s="336"/>
      <c r="N62" s="336"/>
      <c r="O62" s="336"/>
      <c r="P62" s="336"/>
      <c r="Q62" s="336"/>
      <c r="R62" s="336"/>
      <c r="S62" s="336"/>
      <c r="T62" s="336"/>
      <c r="U62" s="336"/>
      <c r="V62" s="336"/>
      <c r="W62" s="336"/>
      <c r="X62" s="336"/>
      <c r="Y62" s="336"/>
      <c r="Z62" s="336"/>
      <c r="AA62" s="336"/>
      <c r="AB62" s="336"/>
      <c r="AC62" s="635"/>
      <c r="AD62" s="396"/>
      <c r="AE62" s="635"/>
      <c r="AF62"/>
    </row>
    <row r="63" spans="1:32" s="3169" customFormat="1" ht="14.25">
      <c r="A63" s="635"/>
      <c r="B63" s="4649"/>
      <c r="C63" s="4650"/>
      <c r="D63" s="4654" t="s">
        <v>4250</v>
      </c>
      <c r="E63" s="336"/>
      <c r="F63" s="336"/>
      <c r="G63" s="336"/>
      <c r="H63" s="336"/>
      <c r="I63" s="336"/>
      <c r="J63" s="336"/>
      <c r="K63" s="336"/>
      <c r="L63" s="336"/>
      <c r="M63" s="336"/>
      <c r="N63" s="336"/>
      <c r="O63" s="336"/>
      <c r="P63" s="336"/>
      <c r="Q63" s="336"/>
      <c r="R63" s="336"/>
      <c r="S63" s="336"/>
      <c r="T63" s="336"/>
      <c r="U63" s="336"/>
      <c r="V63" s="336"/>
      <c r="W63" s="336"/>
      <c r="X63" s="336"/>
      <c r="Y63" s="336"/>
      <c r="Z63" s="336"/>
      <c r="AA63" s="336"/>
      <c r="AB63" s="336"/>
      <c r="AC63" s="635"/>
      <c r="AD63" s="396"/>
      <c r="AE63" s="635"/>
      <c r="AF63"/>
    </row>
    <row r="64" spans="1:32" s="3169" customFormat="1" ht="8.25" customHeight="1">
      <c r="A64" s="635"/>
      <c r="B64" s="4649"/>
      <c r="C64" s="4650"/>
      <c r="D64" s="4651"/>
      <c r="E64" s="336"/>
      <c r="F64" s="336"/>
      <c r="G64" s="336"/>
      <c r="H64" s="336"/>
      <c r="I64" s="336"/>
      <c r="J64" s="336"/>
      <c r="K64" s="336"/>
      <c r="L64" s="336"/>
      <c r="M64" s="336"/>
      <c r="N64" s="336"/>
      <c r="O64" s="336"/>
      <c r="P64" s="336"/>
      <c r="Q64" s="336"/>
      <c r="R64" s="336"/>
      <c r="S64" s="336"/>
      <c r="T64" s="336"/>
      <c r="U64" s="336"/>
      <c r="V64" s="336"/>
      <c r="W64" s="336"/>
      <c r="X64" s="336"/>
      <c r="Y64" s="336"/>
      <c r="Z64" s="336"/>
      <c r="AA64" s="336"/>
      <c r="AB64" s="336"/>
      <c r="AC64" s="635"/>
      <c r="AD64" s="396"/>
      <c r="AE64" s="635"/>
      <c r="AF64"/>
    </row>
    <row r="65" spans="1:32" s="3169" customFormat="1" ht="14.25">
      <c r="A65" s="635"/>
      <c r="B65" s="4649"/>
      <c r="C65" s="4655" t="s">
        <v>166</v>
      </c>
      <c r="D65" s="4654" t="s">
        <v>4251</v>
      </c>
      <c r="E65" s="336"/>
      <c r="F65" s="336"/>
      <c r="G65" s="336"/>
      <c r="H65" s="336"/>
      <c r="I65" s="336"/>
      <c r="J65" s="336"/>
      <c r="K65" s="336"/>
      <c r="L65" s="336"/>
      <c r="M65" s="336"/>
      <c r="N65" s="336"/>
      <c r="O65" s="336"/>
      <c r="P65" s="336"/>
      <c r="Q65" s="336"/>
      <c r="R65" s="336"/>
      <c r="S65" s="336"/>
      <c r="T65" s="336"/>
      <c r="U65" s="336"/>
      <c r="V65" s="336"/>
      <c r="W65" s="336"/>
      <c r="X65" s="336"/>
      <c r="Y65" s="336"/>
      <c r="Z65" s="336"/>
      <c r="AA65" s="336"/>
      <c r="AB65" s="336"/>
      <c r="AC65" s="635"/>
      <c r="AD65" s="396"/>
      <c r="AE65" s="635"/>
      <c r="AF65"/>
    </row>
    <row r="66" spans="1:32" s="3169" customFormat="1" ht="14.25">
      <c r="A66" s="635"/>
      <c r="B66" s="4649"/>
      <c r="C66" s="4650"/>
      <c r="D66" s="4654" t="str">
        <f>"in "&amp;TaxYear&amp;", check this box"</f>
        <v>in 2018, check this box</v>
      </c>
      <c r="E66" s="336"/>
      <c r="F66" s="336"/>
      <c r="G66" s="336"/>
      <c r="H66" s="336"/>
      <c r="I66" s="336"/>
      <c r="J66" s="336"/>
      <c r="K66" s="336"/>
      <c r="L66" s="336"/>
      <c r="M66" s="336"/>
      <c r="N66" s="336"/>
      <c r="O66" s="336"/>
      <c r="P66" s="336"/>
      <c r="Q66" s="336"/>
      <c r="R66" s="336"/>
      <c r="S66" s="336"/>
      <c r="T66" s="336"/>
      <c r="U66" s="336"/>
      <c r="V66" s="336"/>
      <c r="W66" s="336"/>
      <c r="X66" s="336"/>
      <c r="Y66" s="336"/>
      <c r="Z66" s="336"/>
      <c r="AA66" s="4657"/>
      <c r="AB66" s="336"/>
      <c r="AC66" s="635"/>
      <c r="AD66" s="396"/>
      <c r="AE66" s="635"/>
      <c r="AF66"/>
    </row>
    <row r="67" spans="1:32" s="3169" customFormat="1" ht="7.5" customHeight="1">
      <c r="A67" s="635"/>
      <c r="B67" s="4649"/>
      <c r="C67" s="4650"/>
      <c r="D67" s="4654"/>
      <c r="E67" s="336"/>
      <c r="F67" s="336"/>
      <c r="G67" s="336"/>
      <c r="H67" s="336"/>
      <c r="I67" s="336"/>
      <c r="J67" s="336"/>
      <c r="K67" s="336"/>
      <c r="L67" s="336"/>
      <c r="M67" s="336"/>
      <c r="N67" s="336"/>
      <c r="O67" s="336"/>
      <c r="P67" s="336"/>
      <c r="Q67" s="336"/>
      <c r="R67" s="336"/>
      <c r="S67" s="336"/>
      <c r="T67" s="336"/>
      <c r="U67" s="336"/>
      <c r="V67" s="336"/>
      <c r="W67" s="336"/>
      <c r="X67" s="336"/>
      <c r="Y67" s="336"/>
      <c r="Z67" s="336"/>
      <c r="AA67" s="336"/>
      <c r="AB67" s="336"/>
      <c r="AC67" s="635"/>
      <c r="AD67" s="396"/>
      <c r="AE67" s="635"/>
      <c r="AF67"/>
    </row>
    <row r="68" spans="1:32" s="3169" customFormat="1" ht="15">
      <c r="A68" s="635"/>
      <c r="B68" s="4649"/>
      <c r="C68" s="4619" t="s">
        <v>4217</v>
      </c>
      <c r="D68" s="4654" t="str">
        <f>"If you checked this box, you don’t have to get another statement for "&amp;TaxYear&amp;"."</f>
        <v>If you checked this box, you don’t have to get another statement for 2018.</v>
      </c>
      <c r="E68" s="336"/>
      <c r="F68" s="336"/>
      <c r="G68" s="336"/>
      <c r="H68" s="336"/>
      <c r="I68" s="336"/>
      <c r="J68" s="336"/>
      <c r="K68" s="336"/>
      <c r="L68" s="336"/>
      <c r="M68" s="336"/>
      <c r="N68" s="336"/>
      <c r="O68" s="336"/>
      <c r="P68" s="336"/>
      <c r="Q68" s="336"/>
      <c r="R68" s="336"/>
      <c r="S68" s="336"/>
      <c r="T68" s="336"/>
      <c r="U68" s="336"/>
      <c r="V68" s="336"/>
      <c r="W68" s="336"/>
      <c r="X68" s="336"/>
      <c r="Y68" s="336"/>
      <c r="Z68" s="336"/>
      <c r="AA68" s="336"/>
      <c r="AB68" s="336"/>
      <c r="AC68" s="635"/>
      <c r="AD68" s="396"/>
      <c r="AE68" s="635"/>
      <c r="AF68"/>
    </row>
    <row r="69" spans="1:32" s="3169" customFormat="1" ht="7.5" customHeight="1">
      <c r="A69" s="635"/>
      <c r="B69" s="4649"/>
      <c r="C69" s="4650"/>
      <c r="D69" s="4654"/>
      <c r="E69" s="336"/>
      <c r="F69" s="336"/>
      <c r="G69" s="336"/>
      <c r="H69" s="336"/>
      <c r="I69" s="336"/>
      <c r="J69" s="336"/>
      <c r="K69" s="336"/>
      <c r="L69" s="336"/>
      <c r="M69" s="336"/>
      <c r="N69" s="336"/>
      <c r="O69" s="336"/>
      <c r="P69" s="336"/>
      <c r="Q69" s="336"/>
      <c r="R69" s="336"/>
      <c r="S69" s="336"/>
      <c r="T69" s="336"/>
      <c r="U69" s="336"/>
      <c r="V69" s="336"/>
      <c r="W69" s="336"/>
      <c r="X69" s="336"/>
      <c r="Y69" s="336"/>
      <c r="Z69" s="336"/>
      <c r="AA69" s="336"/>
      <c r="AB69" s="336"/>
      <c r="AC69" s="635"/>
      <c r="AD69" s="396"/>
      <c r="AE69" s="635"/>
      <c r="AF69"/>
    </row>
    <row r="70" spans="1:32" s="3169" customFormat="1" ht="15">
      <c r="A70" s="635"/>
      <c r="B70" s="4649"/>
      <c r="C70" s="4619" t="s">
        <v>4217</v>
      </c>
      <c r="D70" s="4654" t="s">
        <v>4253</v>
      </c>
      <c r="E70" s="336"/>
      <c r="F70" s="336"/>
      <c r="G70" s="336"/>
      <c r="H70" s="336"/>
      <c r="I70" s="336"/>
      <c r="J70" s="336"/>
      <c r="K70" s="336"/>
      <c r="L70" s="336"/>
      <c r="M70" s="336"/>
      <c r="N70" s="336"/>
      <c r="O70" s="336"/>
      <c r="P70" s="336"/>
      <c r="Q70" s="336"/>
      <c r="R70" s="336"/>
      <c r="S70" s="336"/>
      <c r="T70" s="336"/>
      <c r="U70" s="336"/>
      <c r="V70" s="336"/>
      <c r="W70" s="336"/>
      <c r="X70" s="336"/>
      <c r="Y70" s="336"/>
      <c r="Z70" s="336"/>
      <c r="AA70" s="336"/>
      <c r="AB70" s="336"/>
      <c r="AC70" s="635"/>
      <c r="AD70" s="396"/>
      <c r="AE70" s="635"/>
      <c r="AF70"/>
    </row>
    <row r="71" spans="1:32" s="3169" customFormat="1" ht="14.25">
      <c r="A71" s="635"/>
      <c r="B71" s="4649"/>
      <c r="C71" s="4650"/>
      <c r="D71" s="4654" t="s">
        <v>4252</v>
      </c>
      <c r="E71" s="336"/>
      <c r="F71" s="336"/>
      <c r="G71" s="336"/>
      <c r="H71" s="336"/>
      <c r="I71" s="336"/>
      <c r="J71" s="336"/>
      <c r="K71" s="336"/>
      <c r="L71" s="336"/>
      <c r="M71" s="336"/>
      <c r="N71" s="336"/>
      <c r="O71" s="336"/>
      <c r="P71" s="336"/>
      <c r="Q71" s="336"/>
      <c r="R71" s="336"/>
      <c r="S71" s="336"/>
      <c r="T71" s="336"/>
      <c r="U71" s="336"/>
      <c r="V71" s="336"/>
      <c r="W71" s="336"/>
      <c r="X71" s="336"/>
      <c r="Y71" s="336"/>
      <c r="Z71" s="336"/>
      <c r="AA71" s="336"/>
      <c r="AB71" s="336"/>
      <c r="AC71" s="635"/>
      <c r="AD71" s="396"/>
      <c r="AE71" s="635"/>
      <c r="AF71"/>
    </row>
    <row r="72" spans="1:32" s="3169" customFormat="1" ht="9" customHeight="1">
      <c r="A72" s="635"/>
      <c r="B72" s="4649"/>
      <c r="C72" s="4650"/>
      <c r="D72" s="4654"/>
      <c r="E72" s="336"/>
      <c r="F72" s="336"/>
      <c r="G72" s="336"/>
      <c r="H72" s="336"/>
      <c r="I72" s="336"/>
      <c r="J72" s="336"/>
      <c r="K72" s="336"/>
      <c r="L72" s="336"/>
      <c r="M72" s="336"/>
      <c r="N72" s="336"/>
      <c r="O72" s="336"/>
      <c r="P72" s="336"/>
      <c r="Q72" s="336"/>
      <c r="R72" s="336"/>
      <c r="S72" s="336"/>
      <c r="T72" s="336"/>
      <c r="U72" s="336"/>
      <c r="V72" s="336"/>
      <c r="W72" s="336"/>
      <c r="X72" s="336"/>
      <c r="Y72" s="336"/>
      <c r="Z72" s="336"/>
      <c r="AA72" s="336"/>
      <c r="AB72" s="336"/>
      <c r="AC72" s="635"/>
      <c r="AD72" s="396"/>
      <c r="AE72" s="635"/>
      <c r="AF72"/>
    </row>
    <row r="73" spans="1:32" s="3169" customFormat="1" ht="3.75" customHeight="1" thickBot="1">
      <c r="A73" s="635"/>
      <c r="B73" s="614"/>
      <c r="C73" s="614"/>
      <c r="D73" s="171"/>
      <c r="E73" s="176"/>
      <c r="F73" s="176"/>
      <c r="G73" s="186"/>
      <c r="H73" s="186"/>
      <c r="I73" s="186"/>
      <c r="J73" s="186"/>
      <c r="K73" s="186"/>
      <c r="L73" s="186"/>
      <c r="M73" s="186"/>
      <c r="N73" s="176"/>
      <c r="O73" s="176"/>
      <c r="P73" s="176"/>
      <c r="Q73" s="176"/>
      <c r="R73" s="195"/>
      <c r="S73" s="195"/>
      <c r="T73" s="176"/>
      <c r="U73" s="186"/>
      <c r="V73" s="186"/>
      <c r="W73" s="191"/>
      <c r="X73" s="375"/>
      <c r="Y73" s="375"/>
      <c r="Z73" s="731"/>
      <c r="AA73" s="375"/>
      <c r="AB73" s="375"/>
      <c r="AC73" s="635"/>
      <c r="AD73" s="396"/>
      <c r="AE73" s="635"/>
      <c r="AF73"/>
    </row>
    <row r="74" spans="1:32" s="3169" customFormat="1" ht="22.5" customHeight="1">
      <c r="A74" s="635"/>
      <c r="B74" s="4617" t="s">
        <v>564</v>
      </c>
      <c r="C74" s="542"/>
      <c r="D74" s="543"/>
      <c r="E74" s="543"/>
      <c r="F74" s="543"/>
      <c r="G74" s="544"/>
      <c r="H74" s="544"/>
      <c r="I74" s="544"/>
      <c r="J74" s="544"/>
      <c r="K74" s="544"/>
      <c r="L74" s="544"/>
      <c r="M74" s="544"/>
      <c r="N74" s="543"/>
      <c r="O74" s="543"/>
      <c r="P74" s="543"/>
      <c r="Q74" s="543"/>
      <c r="R74" s="1179" t="s">
        <v>4214</v>
      </c>
      <c r="S74" s="1179"/>
      <c r="T74" s="543"/>
      <c r="U74" s="1179"/>
      <c r="V74" s="544"/>
      <c r="W74" s="546"/>
      <c r="X74" s="544"/>
      <c r="Y74" s="544"/>
      <c r="Z74" s="547"/>
      <c r="AA74" s="548"/>
      <c r="AB74" s="4656" t="str">
        <f>"Schedule R (Form 1040)  "&amp;TaxYear</f>
        <v>Schedule R (Form 1040)  2018</v>
      </c>
      <c r="AC74" s="635"/>
      <c r="AD74" s="4612"/>
      <c r="AE74" s="635"/>
      <c r="AF74" s="1893"/>
    </row>
    <row r="75" spans="1:32" s="3169" customFormat="1" ht="19.5" customHeight="1" thickBot="1">
      <c r="A75" s="635"/>
      <c r="B75" s="1849" t="str">
        <f>"Schedule R (Form 1040) "&amp;TaxYear</f>
        <v>Schedule R (Form 1040) 2018</v>
      </c>
      <c r="C75" s="1849"/>
      <c r="D75" s="1849"/>
      <c r="E75" s="1849"/>
      <c r="F75" s="1849"/>
      <c r="G75" s="1849"/>
      <c r="H75" s="1849"/>
      <c r="I75" s="1849"/>
      <c r="J75" s="1849"/>
      <c r="K75" s="1849"/>
      <c r="L75" s="1849"/>
      <c r="M75" s="1849"/>
      <c r="N75" s="1849"/>
      <c r="O75" s="1849"/>
      <c r="P75" s="1849"/>
      <c r="Q75" s="1849"/>
      <c r="R75" s="1849"/>
      <c r="S75" s="1849"/>
      <c r="T75" s="1849"/>
      <c r="U75" s="1849"/>
      <c r="V75" s="1849"/>
      <c r="W75" s="1849"/>
      <c r="X75" s="1849"/>
      <c r="Y75" s="1850"/>
      <c r="Z75" s="1851"/>
      <c r="AA75" s="1851" t="s">
        <v>225</v>
      </c>
      <c r="AB75" s="1852" t="str">
        <f>"2"</f>
        <v>2</v>
      </c>
      <c r="AC75" s="635"/>
      <c r="AD75" s="396"/>
      <c r="AE75" s="635"/>
      <c r="AF75"/>
    </row>
    <row r="76" spans="1:32" s="3169" customFormat="1" ht="15.75" thickTop="1">
      <c r="A76" s="635"/>
      <c r="B76" s="6426" t="s">
        <v>363</v>
      </c>
      <c r="C76" s="6502"/>
      <c r="D76" s="1859" t="s">
        <v>4254</v>
      </c>
      <c r="E76" s="1853"/>
      <c r="F76" s="1853"/>
      <c r="G76" s="1853"/>
      <c r="H76" s="1853"/>
      <c r="I76" s="1853"/>
      <c r="J76" s="1853"/>
      <c r="K76" s="1853"/>
      <c r="L76" s="1853"/>
      <c r="M76" s="1853"/>
      <c r="N76" s="1853"/>
      <c r="O76" s="1853"/>
      <c r="P76" s="1853"/>
      <c r="Q76" s="1853"/>
      <c r="R76" s="1853"/>
      <c r="S76" s="1853"/>
      <c r="T76" s="1853"/>
      <c r="U76" s="1853"/>
      <c r="V76" s="1853"/>
      <c r="W76" s="1853"/>
      <c r="X76" s="1853"/>
      <c r="Y76" s="1853"/>
      <c r="Z76" s="1853"/>
      <c r="AA76" s="1853"/>
      <c r="AB76" s="1853"/>
      <c r="AC76" s="635"/>
      <c r="AD76" s="396"/>
      <c r="AE76" s="635"/>
      <c r="AF76"/>
    </row>
    <row r="77" spans="1:32" s="3169" customFormat="1" ht="12" customHeight="1">
      <c r="A77" s="635"/>
      <c r="B77" s="205">
        <v>10</v>
      </c>
      <c r="C77" s="168" t="s">
        <v>4255</v>
      </c>
      <c r="D77" s="336"/>
      <c r="E77" s="336"/>
      <c r="F77" s="336"/>
      <c r="G77" s="336"/>
      <c r="H77" s="336"/>
      <c r="I77" s="336"/>
      <c r="J77" s="336"/>
      <c r="K77" s="168" t="s">
        <v>402</v>
      </c>
      <c r="L77" s="336"/>
      <c r="M77" s="336"/>
      <c r="N77" s="336"/>
      <c r="O77" s="336"/>
      <c r="P77" s="336"/>
      <c r="Q77" s="336"/>
      <c r="R77" s="336"/>
      <c r="S77" s="336"/>
      <c r="T77" s="336"/>
      <c r="U77" s="336"/>
      <c r="V77" s="336"/>
      <c r="W77" s="336"/>
      <c r="X77" s="1832"/>
      <c r="Y77" s="191"/>
      <c r="Z77" s="219" t="str">
        <f>IF(AND(U77&lt;&gt;"",X77&lt;&gt;""),"Check ONLY one.","")</f>
        <v/>
      </c>
      <c r="AA77" s="191"/>
      <c r="AB77" s="191"/>
      <c r="AC77" s="635"/>
      <c r="AD77" s="396"/>
      <c r="AE77" s="635"/>
      <c r="AF77"/>
    </row>
    <row r="78" spans="1:32" s="3169" customFormat="1" ht="12" customHeight="1">
      <c r="A78" s="635"/>
      <c r="B78" s="4666" t="b">
        <f>OR(AA29&lt;&gt;"",AA31&lt;&gt;"",AA37&lt;&gt;"",AA46&lt;&gt;"")</f>
        <v>0</v>
      </c>
      <c r="C78" s="176" t="s">
        <v>4256</v>
      </c>
      <c r="D78" s="176"/>
      <c r="E78" s="176"/>
      <c r="F78" s="176"/>
      <c r="G78" s="176"/>
      <c r="H78" s="176"/>
      <c r="I78" s="176"/>
      <c r="J78" s="644" t="s">
        <v>1312</v>
      </c>
      <c r="K78" s="6539">
        <v>5000</v>
      </c>
      <c r="L78" s="6539"/>
      <c r="M78" s="6539"/>
      <c r="N78" s="176"/>
      <c r="O78" s="176"/>
      <c r="P78" s="176"/>
      <c r="Q78" s="176"/>
      <c r="R78" s="176"/>
      <c r="S78" s="176"/>
      <c r="T78" s="176"/>
      <c r="U78" s="176"/>
      <c r="V78" s="176"/>
      <c r="W78" s="644"/>
      <c r="X78" s="1833"/>
      <c r="Y78" s="191"/>
      <c r="Z78" s="219"/>
      <c r="AA78" s="191"/>
      <c r="AB78" s="191"/>
      <c r="AC78" s="635"/>
      <c r="AD78" s="396"/>
      <c r="AE78" s="635"/>
      <c r="AF78"/>
    </row>
    <row r="79" spans="1:32" ht="12" customHeight="1">
      <c r="A79" s="635"/>
      <c r="B79" s="4666" t="b">
        <f>OR(AA34&lt;&gt;"",AA40&lt;&gt;"",AA43&lt;&gt;"")</f>
        <v>0</v>
      </c>
      <c r="C79" s="176" t="s">
        <v>4257</v>
      </c>
      <c r="D79" s="176"/>
      <c r="E79" s="176"/>
      <c r="F79" s="176"/>
      <c r="G79" s="176"/>
      <c r="H79" s="176"/>
      <c r="I79" s="176"/>
      <c r="J79" s="644" t="s">
        <v>4143</v>
      </c>
      <c r="K79" s="6539">
        <v>7500</v>
      </c>
      <c r="L79" s="6539"/>
      <c r="M79" s="6539"/>
      <c r="N79" s="176"/>
      <c r="O79" s="176"/>
      <c r="P79" s="176"/>
      <c r="Q79" s="176"/>
      <c r="R79" s="176"/>
      <c r="S79" s="176"/>
      <c r="T79" s="176"/>
      <c r="U79" s="176"/>
      <c r="V79" s="176"/>
      <c r="W79" s="644" t="s">
        <v>776</v>
      </c>
      <c r="X79" s="4661">
        <v>10</v>
      </c>
      <c r="Y79" s="6451" t="str">
        <f>IF(B78,K78,IF(B79,K79,IF(B80,K80,"")))</f>
        <v/>
      </c>
      <c r="Z79" s="6452"/>
      <c r="AA79" s="5850"/>
      <c r="AB79" s="5850"/>
      <c r="AC79" s="635"/>
      <c r="AD79" s="396"/>
      <c r="AE79" s="635"/>
    </row>
    <row r="80" spans="1:32" ht="12" customHeight="1">
      <c r="A80" s="635"/>
      <c r="B80" s="4666" t="b">
        <f>OR(AA49&lt;&gt;"",AA52&lt;&gt;"")</f>
        <v>0</v>
      </c>
      <c r="C80" s="176" t="s">
        <v>4258</v>
      </c>
      <c r="D80" s="4663"/>
      <c r="E80" s="4663"/>
      <c r="F80" s="4663"/>
      <c r="G80" s="4663"/>
      <c r="H80" s="4663"/>
      <c r="I80" s="4663"/>
      <c r="J80" s="644" t="s">
        <v>2792</v>
      </c>
      <c r="K80" s="6539">
        <v>3750</v>
      </c>
      <c r="L80" s="6539"/>
      <c r="M80" s="6539"/>
      <c r="N80" s="4662"/>
      <c r="O80" s="2541"/>
      <c r="P80" s="2541"/>
      <c r="Q80" s="4664"/>
      <c r="R80" s="4660"/>
      <c r="S80" s="1814"/>
      <c r="T80" s="1814"/>
      <c r="U80" s="1814"/>
      <c r="V80" s="2753"/>
      <c r="W80" s="2753"/>
      <c r="X80" s="1833"/>
      <c r="Y80" s="191"/>
      <c r="Z80" s="219" t="str">
        <f>IF(AND(U80&lt;&gt;"",X80&lt;&gt;""),"Check ONLY one.","")</f>
        <v/>
      </c>
      <c r="AA80" s="191"/>
      <c r="AB80" s="191"/>
      <c r="AC80" s="635"/>
      <c r="AD80" s="396"/>
      <c r="AE80" s="635"/>
    </row>
    <row r="81" spans="1:31" ht="4.5" customHeight="1" thickBot="1">
      <c r="A81" s="635"/>
      <c r="B81" s="176"/>
      <c r="C81" s="176"/>
      <c r="D81" s="4663"/>
      <c r="E81" s="4663"/>
      <c r="F81" s="4663"/>
      <c r="G81" s="4663"/>
      <c r="H81" s="4663"/>
      <c r="I81" s="4663"/>
      <c r="J81" s="4663"/>
      <c r="K81" s="4663"/>
      <c r="L81" s="4663"/>
      <c r="M81" s="4663"/>
      <c r="N81" s="4663"/>
      <c r="O81" s="4663"/>
      <c r="P81" s="4664"/>
      <c r="Q81" s="4664"/>
      <c r="R81" s="4664"/>
      <c r="S81" s="4663"/>
      <c r="T81" s="4663"/>
      <c r="U81" s="4663"/>
      <c r="V81" s="4663"/>
      <c r="W81" s="4663"/>
      <c r="X81" s="1833"/>
      <c r="Y81" s="191"/>
      <c r="Z81" s="219" t="str">
        <f>IF(AND(U81&lt;&gt;"",X81&lt;&gt;""),"Check ONLY one.","")</f>
        <v/>
      </c>
      <c r="AA81" s="191"/>
      <c r="AB81" s="191"/>
      <c r="AC81" s="635"/>
      <c r="AD81" s="396"/>
      <c r="AE81" s="635"/>
    </row>
    <row r="82" spans="1:31" ht="5.25" customHeight="1">
      <c r="A82" s="635"/>
      <c r="B82" s="176"/>
      <c r="C82" s="4667"/>
      <c r="D82" s="4669"/>
      <c r="E82" s="4672"/>
      <c r="F82" s="4663"/>
      <c r="G82" s="4663"/>
      <c r="H82" s="4663"/>
      <c r="I82" s="4663"/>
      <c r="J82" s="4663"/>
      <c r="K82" s="4658"/>
      <c r="L82" s="4659"/>
      <c r="M82" s="4662"/>
      <c r="N82" s="4662"/>
      <c r="O82" s="2541"/>
      <c r="P82" s="2541"/>
      <c r="Q82" s="4664"/>
      <c r="R82" s="4660"/>
      <c r="S82" s="1814"/>
      <c r="T82" s="1814"/>
      <c r="U82" s="1814"/>
      <c r="V82" s="2753"/>
      <c r="W82" s="2753"/>
      <c r="X82" s="1833"/>
      <c r="Y82" s="191"/>
      <c r="Z82" s="219" t="str">
        <f>IF(AND(U82&lt;&gt;"",X82&lt;&gt;""),"Check ONLY one.","")</f>
        <v/>
      </c>
      <c r="AA82" s="191"/>
      <c r="AB82" s="191"/>
      <c r="AC82" s="635"/>
      <c r="AD82" s="396"/>
      <c r="AE82" s="635"/>
    </row>
    <row r="83" spans="1:31" ht="12" customHeight="1">
      <c r="A83" s="635"/>
      <c r="B83" s="176"/>
      <c r="C83" s="1802" t="s">
        <v>4243</v>
      </c>
      <c r="D83" s="4670"/>
      <c r="E83" s="1079" t="s">
        <v>4245</v>
      </c>
      <c r="F83" s="6527" t="s">
        <v>307</v>
      </c>
      <c r="G83" s="6527"/>
      <c r="H83" s="1079" t="s">
        <v>4268</v>
      </c>
      <c r="I83" s="4663"/>
      <c r="J83" s="4663"/>
      <c r="K83" s="4663"/>
      <c r="L83" s="4663" t="s">
        <v>4261</v>
      </c>
      <c r="M83" s="4663"/>
      <c r="N83" s="4663"/>
      <c r="O83" s="4663"/>
      <c r="P83" s="4664"/>
      <c r="Q83" s="4664"/>
      <c r="R83" s="4664"/>
      <c r="S83" s="4663"/>
      <c r="T83" s="4663"/>
      <c r="U83" s="4663"/>
      <c r="V83" s="4663"/>
      <c r="W83" s="4663"/>
      <c r="X83" s="1833"/>
      <c r="Y83" s="191"/>
      <c r="Z83" s="219" t="str">
        <f>IF(AND(U83&lt;&gt;"",X83&lt;&gt;""),"Check ONLY one.","")</f>
        <v/>
      </c>
      <c r="AA83" s="191"/>
      <c r="AB83" s="191"/>
      <c r="AC83" s="635"/>
      <c r="AD83" s="396"/>
      <c r="AE83" s="635"/>
    </row>
    <row r="84" spans="1:31" ht="12" customHeight="1">
      <c r="A84" s="635"/>
      <c r="B84" s="4666" t="b">
        <f>OR(AA31&lt;&gt;"",AA37&lt;&gt;"",AA40&lt;&gt;"",AA43&lt;&gt;"",AA52&lt;&gt;"")</f>
        <v>0</v>
      </c>
      <c r="C84" s="1802" t="s">
        <v>4259</v>
      </c>
      <c r="D84" s="4670"/>
      <c r="E84" s="4672"/>
      <c r="F84" s="4663"/>
      <c r="G84" s="4663"/>
      <c r="H84" s="4663"/>
      <c r="I84" s="4663"/>
      <c r="J84" s="4663"/>
      <c r="K84" s="4663"/>
      <c r="L84" s="4663"/>
      <c r="M84" s="4663"/>
      <c r="N84" s="4663"/>
      <c r="O84" s="4663"/>
      <c r="P84" s="4664"/>
      <c r="Q84" s="4664"/>
      <c r="R84" s="4664"/>
      <c r="S84" s="4663"/>
      <c r="T84" s="4663"/>
      <c r="U84" s="4663"/>
      <c r="V84" s="4663"/>
      <c r="W84" s="4663"/>
      <c r="X84" s="1833"/>
      <c r="Y84" s="191"/>
      <c r="Z84" s="219"/>
      <c r="AA84" s="191"/>
      <c r="AB84" s="191"/>
      <c r="AC84" s="635"/>
      <c r="AD84" s="396"/>
      <c r="AE84" s="635"/>
    </row>
    <row r="85" spans="1:31" ht="12" customHeight="1">
      <c r="A85" s="635"/>
      <c r="B85" s="176"/>
      <c r="C85" s="1802" t="s">
        <v>4260</v>
      </c>
      <c r="D85" s="4670"/>
      <c r="E85" s="1079" t="s">
        <v>4245</v>
      </c>
      <c r="F85" s="6527" t="s">
        <v>308</v>
      </c>
      <c r="G85" s="6527"/>
      <c r="H85" s="1079" t="s">
        <v>4268</v>
      </c>
      <c r="I85" s="4663"/>
      <c r="J85" s="4663"/>
      <c r="K85" s="4663"/>
      <c r="L85" s="4663" t="s">
        <v>4262</v>
      </c>
      <c r="M85" s="4663"/>
      <c r="N85" s="4663"/>
      <c r="O85" s="4663"/>
      <c r="P85" s="4663"/>
      <c r="Q85" s="4663"/>
      <c r="R85" s="4664"/>
      <c r="S85" s="4660"/>
      <c r="T85" s="1814"/>
      <c r="U85" s="1814"/>
      <c r="V85" s="2753"/>
      <c r="W85" s="4660"/>
      <c r="X85" s="1833"/>
      <c r="Y85" s="191"/>
      <c r="Z85" s="219" t="str">
        <f>IF(AND(U85&lt;&gt;"",X85&lt;&gt;""),"Check ONLY one.","")</f>
        <v/>
      </c>
      <c r="AA85" s="191"/>
      <c r="AB85" s="191"/>
      <c r="AC85" s="635"/>
      <c r="AD85" s="396"/>
      <c r="AE85" s="635"/>
    </row>
    <row r="86" spans="1:31" ht="6" customHeight="1" thickBot="1">
      <c r="A86" s="635"/>
      <c r="B86" s="176"/>
      <c r="C86" s="4668"/>
      <c r="D86" s="4671"/>
      <c r="E86" s="4672"/>
      <c r="F86" s="4663"/>
      <c r="G86" s="4663"/>
      <c r="H86" s="4663"/>
      <c r="I86" s="4663"/>
      <c r="J86" s="4663"/>
      <c r="K86" s="4663"/>
      <c r="L86" s="6528" t="s">
        <v>4263</v>
      </c>
      <c r="M86" s="6528"/>
      <c r="N86" s="6528"/>
      <c r="O86" s="6528"/>
      <c r="P86" s="6528"/>
      <c r="Q86" s="6528"/>
      <c r="R86" s="6528"/>
      <c r="S86" s="4663"/>
      <c r="T86" s="4663"/>
      <c r="U86" s="4663"/>
      <c r="V86" s="4663"/>
      <c r="W86" s="4663"/>
      <c r="X86" s="1833"/>
      <c r="Y86" s="191"/>
      <c r="Z86" s="191"/>
      <c r="AA86" s="191"/>
      <c r="AB86" s="191"/>
      <c r="AC86" s="635"/>
      <c r="AD86" s="396"/>
      <c r="AE86" s="635"/>
    </row>
    <row r="87" spans="1:31" ht="6.75" customHeight="1">
      <c r="A87" s="635"/>
      <c r="B87" s="176"/>
      <c r="C87" s="176"/>
      <c r="D87" s="4663"/>
      <c r="E87" s="4663"/>
      <c r="F87" s="4663"/>
      <c r="G87" s="4663"/>
      <c r="H87" s="4663"/>
      <c r="I87" s="4663"/>
      <c r="J87" s="4663"/>
      <c r="K87" s="4660"/>
      <c r="L87" s="6528"/>
      <c r="M87" s="6528"/>
      <c r="N87" s="6528"/>
      <c r="O87" s="6528"/>
      <c r="P87" s="6528"/>
      <c r="Q87" s="6528"/>
      <c r="R87" s="6528"/>
      <c r="S87" s="1814"/>
      <c r="T87" s="1814"/>
      <c r="U87" s="1814"/>
      <c r="V87" s="2753"/>
      <c r="W87" s="2753"/>
      <c r="X87" s="1833"/>
      <c r="Y87" s="191"/>
      <c r="Z87" s="219" t="str">
        <f>IF(AND(U87&lt;&gt;"",X87&lt;&gt;""),"Check ONLY one.","")</f>
        <v/>
      </c>
      <c r="AA87" s="191"/>
      <c r="AB87" s="191"/>
      <c r="AC87" s="635"/>
      <c r="AD87" s="396"/>
      <c r="AE87" s="635"/>
    </row>
    <row r="88" spans="1:31" ht="12" customHeight="1">
      <c r="A88" s="635"/>
      <c r="B88" s="205">
        <v>11</v>
      </c>
      <c r="C88" s="168" t="s">
        <v>4255</v>
      </c>
      <c r="D88" s="4665"/>
      <c r="E88" s="4665"/>
      <c r="F88" s="4665"/>
      <c r="G88" s="4665"/>
      <c r="H88" s="4665"/>
      <c r="I88" s="4665"/>
      <c r="J88" s="4665"/>
      <c r="K88" s="4665"/>
      <c r="L88" s="4665"/>
      <c r="M88" s="4665"/>
      <c r="N88" s="4665"/>
      <c r="O88" s="4665"/>
      <c r="P88" s="4665"/>
      <c r="Q88" s="4665"/>
      <c r="R88" s="4665"/>
      <c r="S88" s="4665"/>
      <c r="T88" s="4665"/>
      <c r="U88" s="4665"/>
      <c r="V88" s="4665"/>
      <c r="W88" s="4665"/>
      <c r="X88" s="1833"/>
      <c r="Y88" s="336"/>
      <c r="Z88" s="336"/>
      <c r="AA88" s="336"/>
      <c r="AB88" s="336"/>
      <c r="AC88" s="635"/>
      <c r="AD88" s="396"/>
      <c r="AE88" s="635"/>
    </row>
    <row r="89" spans="1:31" ht="12" customHeight="1">
      <c r="A89" s="635"/>
      <c r="B89" s="4666" t="b">
        <f>AA43&lt;&gt;""</f>
        <v>0</v>
      </c>
      <c r="C89" s="4673" t="s">
        <v>4217</v>
      </c>
      <c r="D89" s="4664" t="str">
        <f>"Box 6, add "&amp;TEXT(K78,"$0,000")&amp;" to the taxable disability income of the"</f>
        <v>Box 6, add $5,000 to the taxable disability income of the</v>
      </c>
      <c r="E89" s="4664"/>
      <c r="F89" s="4664"/>
      <c r="G89" s="4664"/>
      <c r="H89" s="4664"/>
      <c r="I89" s="4664"/>
      <c r="J89" s="4664"/>
      <c r="K89" s="4664"/>
      <c r="L89" s="4664"/>
      <c r="M89" s="4664"/>
      <c r="N89" s="4664"/>
      <c r="O89" s="4664"/>
      <c r="P89" s="4664"/>
      <c r="Q89" s="4664"/>
      <c r="R89" s="4664"/>
      <c r="S89" s="4664"/>
      <c r="T89" s="4664"/>
      <c r="U89" s="4664"/>
      <c r="V89" s="4664"/>
      <c r="W89" s="4660"/>
      <c r="X89" s="1833"/>
      <c r="Y89" s="191"/>
      <c r="Z89" s="219" t="str">
        <f>IF(AND(U89&lt;&gt;"",X89&lt;&gt;""),"Check ONLY one.","")</f>
        <v/>
      </c>
      <c r="AA89" s="191"/>
      <c r="AB89" s="191"/>
      <c r="AC89" s="635"/>
      <c r="AD89" s="396"/>
      <c r="AE89" s="635"/>
    </row>
    <row r="90" spans="1:31" ht="12" customHeight="1">
      <c r="A90" s="635"/>
      <c r="B90" s="176"/>
      <c r="C90" s="4674"/>
      <c r="D90" s="4664" t="s">
        <v>4264</v>
      </c>
      <c r="E90" s="4665"/>
      <c r="F90" s="4665"/>
      <c r="G90" s="4665"/>
      <c r="H90" s="4665"/>
      <c r="I90" s="4665"/>
      <c r="J90" s="4665"/>
      <c r="K90" s="4665"/>
      <c r="L90" s="4665"/>
      <c r="M90" s="4665"/>
      <c r="N90" s="4665"/>
      <c r="O90" s="4665"/>
      <c r="P90" s="4665"/>
      <c r="Q90" s="4665"/>
      <c r="R90" s="4665"/>
      <c r="S90" s="4665"/>
      <c r="T90" s="4665"/>
      <c r="U90" s="4665"/>
      <c r="V90" s="4665"/>
      <c r="W90" s="4665"/>
      <c r="X90" s="1833"/>
      <c r="Y90" s="336"/>
      <c r="Z90" s="336"/>
      <c r="AA90" s="336"/>
      <c r="AB90" s="336"/>
      <c r="AC90" s="635"/>
      <c r="AD90" s="396"/>
      <c r="AE90" s="635"/>
    </row>
    <row r="91" spans="1:31" ht="12" customHeight="1">
      <c r="A91" s="635"/>
      <c r="B91" s="4666" t="b">
        <f>OR(AA31&lt;&gt;"",AA37&lt;&gt;"",AA52&lt;&gt;"")</f>
        <v>0</v>
      </c>
      <c r="C91" s="4673" t="s">
        <v>4217</v>
      </c>
      <c r="D91" s="4664" t="s">
        <v>4265</v>
      </c>
      <c r="E91" s="4664"/>
      <c r="F91" s="4664"/>
      <c r="G91" s="4664"/>
      <c r="H91" s="4664"/>
      <c r="I91" s="4664"/>
      <c r="J91" s="4664"/>
      <c r="K91" s="4664"/>
      <c r="L91" s="4664"/>
      <c r="M91" s="4664"/>
      <c r="N91" s="4664"/>
      <c r="O91" s="4664"/>
      <c r="P91" s="4664"/>
      <c r="Q91" s="4664"/>
      <c r="R91" s="4664"/>
      <c r="S91" s="4664"/>
      <c r="T91" s="4664"/>
      <c r="U91" s="4664"/>
      <c r="V91" s="4664"/>
      <c r="W91" s="644" t="s">
        <v>776</v>
      </c>
      <c r="X91" s="4661">
        <v>11</v>
      </c>
      <c r="Y91" s="6451" t="str">
        <f>IF(AD91&lt;&gt;"",ROUND(AD91,0),IF(AND(B89,I12),SUM(K78,F10),IF(AND(B89,P12),SUM(K78,J10),IF(AND(B91,I12),F10,IF(AND(B91,P12),J10,IF(B92,SUM(F10,J10),""))))))</f>
        <v/>
      </c>
      <c r="Z91" s="6452"/>
      <c r="AA91" s="5850"/>
      <c r="AB91" s="5850"/>
      <c r="AC91" s="635"/>
      <c r="AD91" s="4720"/>
      <c r="AE91" s="635"/>
    </row>
    <row r="92" spans="1:31" ht="12" customHeight="1">
      <c r="A92" s="635"/>
      <c r="B92" s="4666" t="b">
        <f>AA40&lt;&gt;""</f>
        <v>0</v>
      </c>
      <c r="C92" s="4673" t="s">
        <v>4217</v>
      </c>
      <c r="D92" s="4664" t="s">
        <v>4266</v>
      </c>
      <c r="E92" s="4665"/>
      <c r="F92" s="4665"/>
      <c r="G92" s="4665"/>
      <c r="H92" s="4665"/>
      <c r="I92" s="4665"/>
      <c r="J92" s="4665"/>
      <c r="K92" s="4665"/>
      <c r="L92" s="4665"/>
      <c r="M92" s="4665"/>
      <c r="N92" s="4665"/>
      <c r="O92" s="4665"/>
      <c r="P92" s="4665"/>
      <c r="Q92" s="4665"/>
      <c r="R92" s="4665"/>
      <c r="S92" s="4665"/>
      <c r="T92" s="4665"/>
      <c r="U92" s="4665"/>
      <c r="V92" s="4665"/>
      <c r="W92" s="4665"/>
      <c r="X92" s="1833"/>
      <c r="Y92" s="336"/>
      <c r="Z92" s="336"/>
      <c r="AA92" s="336"/>
      <c r="AB92" s="336"/>
      <c r="AC92" s="635"/>
      <c r="AD92" s="396"/>
      <c r="AE92" s="635"/>
    </row>
    <row r="93" spans="1:31" ht="12" customHeight="1">
      <c r="A93" s="635"/>
      <c r="B93" s="4666" t="b">
        <f>OR(B89,B91,B92)</f>
        <v>0</v>
      </c>
      <c r="C93" s="176"/>
      <c r="D93" s="4664" t="s">
        <v>4267</v>
      </c>
      <c r="E93" s="4664"/>
      <c r="F93" s="4664"/>
      <c r="G93" s="4664"/>
      <c r="H93" s="4664"/>
      <c r="I93" s="4664"/>
      <c r="J93" s="4664"/>
      <c r="K93" s="4664"/>
      <c r="L93" s="4664"/>
      <c r="M93" s="4664"/>
      <c r="N93" s="4664"/>
      <c r="O93" s="4664"/>
      <c r="P93" s="4664"/>
      <c r="Q93" s="4664"/>
      <c r="R93" s="4664"/>
      <c r="S93" s="4664"/>
      <c r="T93" s="4664"/>
      <c r="U93" s="4664"/>
      <c r="V93" s="4664"/>
      <c r="W93" s="4660"/>
      <c r="X93" s="1833"/>
      <c r="Y93" s="336"/>
      <c r="Z93" s="336"/>
      <c r="AA93" s="336"/>
      <c r="AB93" s="336"/>
      <c r="AC93" s="635"/>
      <c r="AD93" s="396"/>
      <c r="AE93" s="635"/>
    </row>
    <row r="94" spans="1:31" ht="6.75" customHeight="1">
      <c r="A94" s="635"/>
      <c r="B94" s="4665"/>
      <c r="C94" s="4665"/>
      <c r="D94" s="4665"/>
      <c r="E94" s="4665"/>
      <c r="F94" s="4665"/>
      <c r="G94" s="4665"/>
      <c r="H94" s="4665"/>
      <c r="I94" s="4665"/>
      <c r="J94" s="4665"/>
      <c r="K94" s="4665"/>
      <c r="L94" s="4665"/>
      <c r="M94" s="4665"/>
      <c r="N94" s="4665"/>
      <c r="O94" s="4665"/>
      <c r="P94" s="4665"/>
      <c r="Q94" s="4665"/>
      <c r="R94" s="4665"/>
      <c r="S94" s="4665"/>
      <c r="T94" s="4665"/>
      <c r="U94" s="4665"/>
      <c r="V94" s="4665"/>
      <c r="W94" s="4665"/>
      <c r="X94" s="1833"/>
      <c r="Y94" s="336"/>
      <c r="Z94" s="336"/>
      <c r="AA94" s="336"/>
      <c r="AB94" s="336"/>
      <c r="AC94" s="635"/>
      <c r="AD94" s="396"/>
      <c r="AE94" s="635"/>
    </row>
    <row r="95" spans="1:31" ht="12" customHeight="1">
      <c r="A95" s="635"/>
      <c r="B95" s="205"/>
      <c r="C95" s="171"/>
      <c r="D95" s="171" t="s">
        <v>4269</v>
      </c>
      <c r="E95" s="176"/>
      <c r="F95" s="176"/>
      <c r="G95" s="176"/>
      <c r="H95" s="176"/>
      <c r="I95" s="176"/>
      <c r="J95" s="176"/>
      <c r="K95" s="176"/>
      <c r="L95" s="176"/>
      <c r="M95" s="176"/>
      <c r="N95" s="176"/>
      <c r="O95" s="176"/>
      <c r="P95" s="176"/>
      <c r="Q95" s="176"/>
      <c r="R95" s="176"/>
      <c r="S95" s="176"/>
      <c r="T95" s="176"/>
      <c r="U95" s="176"/>
      <c r="V95" s="176"/>
      <c r="W95" s="644"/>
      <c r="X95" s="1833"/>
      <c r="Y95" s="336"/>
      <c r="Z95" s="336"/>
      <c r="AA95" s="336"/>
      <c r="AB95" s="336"/>
      <c r="AC95" s="635"/>
      <c r="AD95" s="396"/>
      <c r="AE95" s="635"/>
    </row>
    <row r="96" spans="1:31" ht="6.75" customHeight="1">
      <c r="A96" s="635"/>
      <c r="B96" s="336"/>
      <c r="C96" s="336"/>
      <c r="D96" s="336"/>
      <c r="E96" s="336"/>
      <c r="F96" s="336"/>
      <c r="G96" s="336"/>
      <c r="H96" s="336"/>
      <c r="I96" s="336"/>
      <c r="J96" s="336"/>
      <c r="K96" s="336"/>
      <c r="L96" s="336"/>
      <c r="M96" s="336"/>
      <c r="N96" s="336"/>
      <c r="O96" s="336"/>
      <c r="P96" s="336"/>
      <c r="Q96" s="336"/>
      <c r="R96" s="336"/>
      <c r="S96" s="336"/>
      <c r="T96" s="336"/>
      <c r="U96" s="336"/>
      <c r="V96" s="336"/>
      <c r="W96" s="336"/>
      <c r="X96" s="1833"/>
      <c r="Y96" s="336"/>
      <c r="Z96" s="336"/>
      <c r="AA96" s="336"/>
      <c r="AB96" s="336"/>
      <c r="AC96" s="635"/>
      <c r="AD96" s="396"/>
      <c r="AE96" s="635"/>
    </row>
    <row r="97" spans="1:31" ht="12" customHeight="1">
      <c r="A97" s="635"/>
      <c r="B97" s="205">
        <v>12</v>
      </c>
      <c r="C97" s="171" t="s">
        <v>4271</v>
      </c>
      <c r="D97" s="171"/>
      <c r="E97" s="176"/>
      <c r="F97" s="176"/>
      <c r="G97" s="176"/>
      <c r="H97" s="176"/>
      <c r="I97" s="176"/>
      <c r="J97" s="176"/>
      <c r="K97" s="176"/>
      <c r="L97" s="176"/>
      <c r="M97" s="176"/>
      <c r="N97" s="176"/>
      <c r="O97" s="176"/>
      <c r="P97" s="176"/>
      <c r="Q97" s="176"/>
      <c r="R97" s="336"/>
      <c r="S97" s="336"/>
      <c r="T97" s="336"/>
      <c r="U97" s="336"/>
      <c r="V97" s="336"/>
      <c r="W97" s="336"/>
      <c r="X97" s="1833"/>
      <c r="Y97" s="336"/>
      <c r="Z97" s="336"/>
      <c r="AA97" s="336"/>
      <c r="AB97" s="336"/>
      <c r="AC97" s="635"/>
      <c r="AD97" s="396"/>
      <c r="AE97" s="635"/>
    </row>
    <row r="98" spans="1:31" ht="12" customHeight="1">
      <c r="A98" s="635"/>
      <c r="B98" s="205"/>
      <c r="C98" s="191" t="s">
        <v>4272</v>
      </c>
      <c r="D98" s="191"/>
      <c r="E98" s="191"/>
      <c r="F98" s="191"/>
      <c r="G98" s="191"/>
      <c r="H98" s="191"/>
      <c r="I98" s="191"/>
      <c r="J98" s="191"/>
      <c r="K98" s="191"/>
      <c r="L98" s="191"/>
      <c r="M98" s="191"/>
      <c r="N98" s="191"/>
      <c r="O98" s="191"/>
      <c r="P98" s="191"/>
      <c r="Q98" s="191"/>
      <c r="R98" s="336"/>
      <c r="S98" s="336"/>
      <c r="T98" s="336"/>
      <c r="U98" s="336"/>
      <c r="V98" s="336"/>
      <c r="W98" s="644" t="s">
        <v>3238</v>
      </c>
      <c r="X98" s="4661">
        <v>12</v>
      </c>
      <c r="Y98" s="6451" t="str">
        <f>IF(B93,MIN(Y79,Y91),Y79)</f>
        <v/>
      </c>
      <c r="Z98" s="6452"/>
      <c r="AA98" s="5850"/>
      <c r="AB98" s="5850"/>
      <c r="AC98" s="635"/>
      <c r="AD98" s="4720"/>
      <c r="AE98" s="635"/>
    </row>
    <row r="99" spans="1:31" ht="12" customHeight="1">
      <c r="A99" s="635"/>
      <c r="B99" s="205">
        <v>13</v>
      </c>
      <c r="C99" s="171" t="s">
        <v>4273</v>
      </c>
      <c r="D99" s="171"/>
      <c r="E99" s="176"/>
      <c r="F99" s="176"/>
      <c r="G99" s="176"/>
      <c r="H99" s="176"/>
      <c r="I99" s="176"/>
      <c r="J99" s="176"/>
      <c r="K99" s="176"/>
      <c r="L99" s="176"/>
      <c r="M99" s="176"/>
      <c r="N99" s="176"/>
      <c r="O99" s="176"/>
      <c r="P99" s="176"/>
      <c r="Q99" s="176"/>
      <c r="R99" s="336"/>
      <c r="S99" s="336"/>
      <c r="T99" s="336"/>
      <c r="U99" s="336"/>
      <c r="V99" s="336"/>
      <c r="W99" s="336"/>
      <c r="X99" s="1833"/>
      <c r="Y99" s="336"/>
      <c r="Z99" s="336"/>
      <c r="AA99" s="336"/>
      <c r="AB99" s="336"/>
      <c r="AC99" s="635"/>
      <c r="AD99" s="396"/>
      <c r="AE99" s="635"/>
    </row>
    <row r="100" spans="1:31" ht="12" customHeight="1">
      <c r="A100" s="635"/>
      <c r="B100" s="205"/>
      <c r="C100" s="1079" t="str">
        <f>"you (and your spouse if filing jointly) received in "&amp;TaxYear&amp;"."</f>
        <v>you (and your spouse if filing jointly) received in 2018.</v>
      </c>
      <c r="D100" s="1079"/>
      <c r="E100" s="191"/>
      <c r="F100" s="191"/>
      <c r="G100" s="191"/>
      <c r="H100" s="191"/>
      <c r="I100" s="191"/>
      <c r="J100" s="191"/>
      <c r="K100" s="191"/>
      <c r="L100" s="191"/>
      <c r="M100" s="191"/>
      <c r="N100" s="191"/>
      <c r="O100" s="191"/>
      <c r="P100" s="191"/>
      <c r="Q100" s="191"/>
      <c r="R100" s="1835"/>
      <c r="S100" s="336"/>
      <c r="T100" s="336"/>
      <c r="U100" s="336"/>
      <c r="V100" s="336"/>
      <c r="W100" s="336"/>
      <c r="X100" s="1833"/>
      <c r="Y100" s="336"/>
      <c r="Z100" s="336"/>
      <c r="AA100" s="336"/>
      <c r="AB100" s="336"/>
      <c r="AC100" s="635"/>
      <c r="AD100" s="396"/>
      <c r="AE100" s="635"/>
    </row>
    <row r="101" spans="1:31" ht="12" customHeight="1">
      <c r="A101" s="635"/>
      <c r="B101" s="614" t="s">
        <v>38</v>
      </c>
      <c r="C101" s="171" t="s">
        <v>4274</v>
      </c>
      <c r="D101" s="171"/>
      <c r="E101" s="176"/>
      <c r="F101" s="176"/>
      <c r="G101" s="176"/>
      <c r="H101" s="176"/>
      <c r="I101" s="176"/>
      <c r="J101" s="176"/>
      <c r="K101" s="176"/>
      <c r="L101" s="176"/>
      <c r="M101" s="176"/>
      <c r="N101" s="176"/>
      <c r="O101" s="176"/>
      <c r="P101" s="176"/>
      <c r="Q101" s="176"/>
      <c r="R101" s="176"/>
      <c r="S101" s="336"/>
      <c r="T101" s="336"/>
      <c r="U101" s="336"/>
      <c r="V101" s="336"/>
      <c r="W101" s="336"/>
      <c r="X101" s="1833"/>
      <c r="Y101" s="336"/>
      <c r="Z101" s="336"/>
      <c r="AA101" s="336"/>
      <c r="AB101" s="336"/>
      <c r="AC101" s="635"/>
      <c r="AD101" s="396"/>
      <c r="AE101" s="635"/>
    </row>
    <row r="102" spans="1:31" ht="12" customHeight="1">
      <c r="A102" s="635"/>
      <c r="B102" s="205"/>
      <c r="C102" s="1079" t="s">
        <v>4275</v>
      </c>
      <c r="D102" s="1079"/>
      <c r="E102" s="191"/>
      <c r="F102" s="191"/>
      <c r="G102" s="191"/>
      <c r="H102" s="191"/>
      <c r="I102" s="191"/>
      <c r="J102" s="191"/>
      <c r="K102" s="191"/>
      <c r="L102" s="191"/>
      <c r="M102" s="191"/>
      <c r="N102" s="191"/>
      <c r="O102" s="191"/>
      <c r="P102" s="191"/>
      <c r="Q102" s="191"/>
      <c r="R102" s="1835"/>
      <c r="S102" s="336"/>
      <c r="T102" s="336"/>
      <c r="U102" s="336"/>
      <c r="V102" s="336"/>
      <c r="W102" s="336"/>
      <c r="X102" s="1833"/>
      <c r="Y102" s="336"/>
      <c r="Z102" s="336"/>
      <c r="AA102" s="336"/>
      <c r="AB102" s="336"/>
      <c r="AC102" s="635"/>
      <c r="AD102" s="396"/>
      <c r="AE102" s="635"/>
    </row>
    <row r="103" spans="1:31" ht="12" customHeight="1">
      <c r="A103" s="635"/>
      <c r="B103" s="205"/>
      <c r="C103" s="171" t="s">
        <v>1121</v>
      </c>
      <c r="D103" s="171"/>
      <c r="E103" s="176"/>
      <c r="F103" s="176"/>
      <c r="G103" s="176"/>
      <c r="H103" s="176"/>
      <c r="I103" s="176"/>
      <c r="J103" s="176"/>
      <c r="K103" s="176"/>
      <c r="L103" s="176"/>
      <c r="M103" s="176"/>
      <c r="N103" s="176"/>
      <c r="O103" s="176"/>
      <c r="P103" s="176"/>
      <c r="Q103" s="176"/>
      <c r="R103" s="644" t="s">
        <v>4315</v>
      </c>
      <c r="S103" s="4677" t="s">
        <v>4276</v>
      </c>
      <c r="T103" s="6004"/>
      <c r="U103" s="6540"/>
      <c r="V103" s="5828"/>
      <c r="W103" s="5828"/>
      <c r="X103" s="1833"/>
      <c r="Y103" s="336"/>
      <c r="Z103" s="336"/>
      <c r="AA103" s="336"/>
      <c r="AB103" s="336"/>
      <c r="AC103" s="635"/>
      <c r="AD103" s="396"/>
      <c r="AE103" s="635"/>
    </row>
    <row r="104" spans="1:31" ht="12" customHeight="1">
      <c r="A104" s="635"/>
      <c r="B104" s="614" t="s">
        <v>54</v>
      </c>
      <c r="C104" s="1079" t="s">
        <v>4277</v>
      </c>
      <c r="D104" s="1079"/>
      <c r="E104" s="191"/>
      <c r="F104" s="191"/>
      <c r="G104" s="191"/>
      <c r="H104" s="191"/>
      <c r="I104" s="191"/>
      <c r="J104" s="191"/>
      <c r="K104" s="191"/>
      <c r="L104" s="191"/>
      <c r="M104" s="191"/>
      <c r="N104" s="191"/>
      <c r="O104" s="191"/>
      <c r="P104" s="191"/>
      <c r="Q104" s="191"/>
      <c r="R104" s="191"/>
      <c r="S104" s="1833"/>
      <c r="T104" s="191"/>
      <c r="U104" s="191"/>
      <c r="V104" s="191"/>
      <c r="W104" s="191"/>
      <c r="X104" s="1833"/>
      <c r="Y104" s="336"/>
      <c r="Z104" s="336"/>
      <c r="AA104" s="336"/>
      <c r="AB104" s="336"/>
      <c r="AC104" s="635"/>
      <c r="AD104" s="396"/>
      <c r="AE104" s="635"/>
    </row>
    <row r="105" spans="1:31" ht="12" customHeight="1">
      <c r="A105" s="635"/>
      <c r="B105" s="336"/>
      <c r="C105" s="1079" t="s">
        <v>4278</v>
      </c>
      <c r="D105" s="1079"/>
      <c r="E105" s="336"/>
      <c r="F105" s="336"/>
      <c r="G105" s="336"/>
      <c r="H105" s="336"/>
      <c r="I105" s="336"/>
      <c r="J105" s="336"/>
      <c r="K105" s="336"/>
      <c r="L105" s="336"/>
      <c r="M105" s="336"/>
      <c r="N105" s="336"/>
      <c r="O105" s="336"/>
      <c r="P105" s="336"/>
      <c r="Q105" s="336"/>
      <c r="R105" s="336"/>
      <c r="S105" s="1833"/>
      <c r="T105" s="336"/>
      <c r="U105" s="336"/>
      <c r="V105" s="336"/>
      <c r="W105" s="336"/>
      <c r="X105" s="1833"/>
      <c r="Y105" s="336"/>
      <c r="Z105" s="336"/>
      <c r="AA105" s="336"/>
      <c r="AB105" s="336"/>
      <c r="AC105" s="635"/>
      <c r="AD105" s="396"/>
      <c r="AE105" s="635"/>
    </row>
    <row r="106" spans="1:31" ht="12" customHeight="1">
      <c r="A106" s="635"/>
      <c r="B106" s="205"/>
      <c r="C106" s="1079" t="s">
        <v>4279</v>
      </c>
      <c r="D106" s="1079"/>
      <c r="E106" s="176"/>
      <c r="F106" s="176"/>
      <c r="G106" s="176"/>
      <c r="H106" s="176"/>
      <c r="I106" s="176"/>
      <c r="J106" s="176"/>
      <c r="K106" s="176"/>
      <c r="L106" s="176"/>
      <c r="M106" s="176"/>
      <c r="N106" s="176"/>
      <c r="O106" s="176"/>
      <c r="P106" s="176"/>
      <c r="Q106" s="176"/>
      <c r="R106" s="644" t="s">
        <v>776</v>
      </c>
      <c r="S106" s="4677" t="s">
        <v>4280</v>
      </c>
      <c r="T106" s="6004"/>
      <c r="U106" s="6540"/>
      <c r="V106" s="5828"/>
      <c r="W106" s="5828"/>
      <c r="X106" s="1833"/>
      <c r="Y106" s="336"/>
      <c r="Z106" s="336"/>
      <c r="AA106" s="336"/>
      <c r="AB106" s="336"/>
      <c r="AC106" s="635"/>
      <c r="AD106" s="396"/>
      <c r="AE106" s="635"/>
    </row>
    <row r="107" spans="1:31" ht="12" customHeight="1">
      <c r="A107" s="635"/>
      <c r="B107" s="614" t="s">
        <v>55</v>
      </c>
      <c r="C107" s="1079" t="s">
        <v>4282</v>
      </c>
      <c r="D107" s="1079"/>
      <c r="E107" s="336"/>
      <c r="F107" s="336"/>
      <c r="G107" s="336"/>
      <c r="H107" s="336"/>
      <c r="I107" s="336"/>
      <c r="J107" s="336"/>
      <c r="K107" s="336"/>
      <c r="L107" s="336"/>
      <c r="M107" s="336"/>
      <c r="N107" s="336"/>
      <c r="O107" s="336"/>
      <c r="P107" s="336"/>
      <c r="Q107" s="336"/>
      <c r="R107" s="336"/>
      <c r="S107" s="1833"/>
      <c r="T107" s="336"/>
      <c r="U107" s="336"/>
      <c r="V107" s="336"/>
      <c r="W107" s="336"/>
      <c r="X107" s="1833"/>
      <c r="Y107" s="336"/>
      <c r="Z107" s="336"/>
      <c r="AA107" s="336"/>
      <c r="AB107" s="336"/>
      <c r="AC107" s="635"/>
      <c r="AD107" s="396"/>
      <c r="AE107" s="635"/>
    </row>
    <row r="108" spans="1:31" ht="12" customHeight="1">
      <c r="A108" s="635"/>
      <c r="B108" s="336"/>
      <c r="C108" s="1079" t="s">
        <v>4285</v>
      </c>
      <c r="D108" s="1079"/>
      <c r="E108" s="336"/>
      <c r="F108" s="336"/>
      <c r="G108" s="336"/>
      <c r="H108" s="336"/>
      <c r="I108" s="336"/>
      <c r="J108" s="336"/>
      <c r="K108" s="336"/>
      <c r="L108" s="336"/>
      <c r="M108" s="336"/>
      <c r="N108" s="336"/>
      <c r="O108" s="336"/>
      <c r="P108" s="336"/>
      <c r="Q108" s="336"/>
      <c r="R108" s="336"/>
      <c r="S108" s="1833"/>
      <c r="T108" s="336"/>
      <c r="U108" s="336"/>
      <c r="V108" s="336"/>
      <c r="W108" s="336"/>
      <c r="X108" s="1833"/>
      <c r="Y108" s="336"/>
      <c r="Z108" s="336"/>
      <c r="AA108" s="336"/>
      <c r="AB108" s="336"/>
      <c r="AC108" s="635"/>
      <c r="AD108" s="396"/>
      <c r="AE108" s="635"/>
    </row>
    <row r="109" spans="1:31" ht="12" customHeight="1">
      <c r="A109" s="635"/>
      <c r="B109" s="336"/>
      <c r="C109" s="1079" t="s">
        <v>4283</v>
      </c>
      <c r="D109" s="1079"/>
      <c r="E109" s="336"/>
      <c r="F109" s="336"/>
      <c r="G109" s="336"/>
      <c r="H109" s="336"/>
      <c r="I109" s="336"/>
      <c r="J109" s="336"/>
      <c r="K109" s="336"/>
      <c r="L109" s="336"/>
      <c r="M109" s="336"/>
      <c r="N109" s="336"/>
      <c r="O109" s="336"/>
      <c r="P109" s="336"/>
      <c r="Q109" s="336"/>
      <c r="R109" s="336"/>
      <c r="S109" s="1833"/>
      <c r="T109" s="336"/>
      <c r="U109" s="336"/>
      <c r="V109" s="336"/>
      <c r="W109" s="336"/>
      <c r="X109" s="1833"/>
      <c r="Y109" s="336"/>
      <c r="Z109" s="336"/>
      <c r="AA109" s="336"/>
      <c r="AB109" s="336"/>
      <c r="AC109" s="635"/>
      <c r="AD109" s="396"/>
      <c r="AE109" s="635"/>
    </row>
    <row r="110" spans="1:31" ht="12" customHeight="1">
      <c r="A110" s="635"/>
      <c r="B110" s="336"/>
      <c r="C110" s="1079" t="s">
        <v>4284</v>
      </c>
      <c r="D110" s="1079"/>
      <c r="E110" s="336"/>
      <c r="F110" s="336"/>
      <c r="G110" s="336"/>
      <c r="H110" s="336"/>
      <c r="I110" s="336"/>
      <c r="J110" s="336"/>
      <c r="K110" s="336"/>
      <c r="L110" s="336"/>
      <c r="M110" s="336"/>
      <c r="N110" s="336"/>
      <c r="O110" s="336"/>
      <c r="P110" s="336"/>
      <c r="Q110" s="336"/>
      <c r="R110" s="644" t="s">
        <v>3531</v>
      </c>
      <c r="S110" s="4677" t="s">
        <v>4290</v>
      </c>
      <c r="T110" s="6451">
        <f>ROUND(SUM(T103,T106),0)</f>
        <v>0</v>
      </c>
      <c r="U110" s="6538"/>
      <c r="V110" s="5850"/>
      <c r="W110" s="5850"/>
      <c r="X110" s="1833"/>
      <c r="Y110" s="336"/>
      <c r="Z110" s="336"/>
      <c r="AA110" s="336"/>
      <c r="AB110" s="336"/>
      <c r="AC110" s="635"/>
      <c r="AD110" s="396"/>
      <c r="AE110" s="635"/>
    </row>
    <row r="111" spans="1:31" ht="12" customHeight="1">
      <c r="A111" s="635"/>
      <c r="B111" s="205">
        <v>14</v>
      </c>
      <c r="C111" s="1079" t="s">
        <v>4286</v>
      </c>
      <c r="D111" s="1079"/>
      <c r="E111" s="336"/>
      <c r="F111" s="336"/>
      <c r="G111" s="336"/>
      <c r="H111" s="336"/>
      <c r="I111" s="336"/>
      <c r="J111" s="336"/>
      <c r="K111" s="336"/>
      <c r="L111" s="336"/>
      <c r="M111" s="336"/>
      <c r="N111" s="336"/>
      <c r="O111" s="336"/>
      <c r="P111" s="336"/>
      <c r="Q111" s="336"/>
      <c r="R111" s="336"/>
      <c r="S111" s="1833"/>
      <c r="T111" s="336"/>
      <c r="U111" s="336"/>
      <c r="V111" s="336"/>
      <c r="W111" s="336"/>
      <c r="X111" s="1833"/>
      <c r="Y111" s="336"/>
      <c r="Z111" s="336"/>
      <c r="AA111" s="336"/>
      <c r="AB111" s="336"/>
      <c r="AC111" s="635"/>
      <c r="AD111" s="396"/>
      <c r="AE111" s="635"/>
    </row>
    <row r="112" spans="1:31" ht="12" customHeight="1">
      <c r="A112" s="635"/>
      <c r="B112" s="336"/>
      <c r="C112" s="1079" t="s">
        <v>4287</v>
      </c>
      <c r="D112" s="1079"/>
      <c r="E112" s="336"/>
      <c r="F112" s="336"/>
      <c r="G112" s="336"/>
      <c r="H112" s="336"/>
      <c r="I112" s="336"/>
      <c r="J112" s="336"/>
      <c r="K112" s="336"/>
      <c r="L112" s="644"/>
      <c r="M112" s="644" t="s">
        <v>4281</v>
      </c>
      <c r="N112" s="4677">
        <v>14</v>
      </c>
      <c r="O112" s="6451" t="str">
        <f>IF(SchRQualify,Adj_Gross_Inc,"")</f>
        <v/>
      </c>
      <c r="P112" s="6538"/>
      <c r="Q112" s="5850"/>
      <c r="R112" s="5850"/>
      <c r="S112" s="1833"/>
      <c r="T112" s="336"/>
      <c r="U112" s="336"/>
      <c r="V112" s="336"/>
      <c r="W112" s="336"/>
      <c r="X112" s="1833"/>
      <c r="Y112" s="336"/>
      <c r="Z112" s="336"/>
      <c r="AA112" s="336"/>
      <c r="AB112" s="336"/>
      <c r="AC112" s="635"/>
      <c r="AD112" s="396"/>
      <c r="AE112" s="635"/>
    </row>
    <row r="113" spans="1:32" ht="12" customHeight="1">
      <c r="A113" s="635"/>
      <c r="B113" s="205">
        <v>15</v>
      </c>
      <c r="C113" s="1168" t="s">
        <v>4255</v>
      </c>
      <c r="D113" s="1168"/>
      <c r="E113" s="336"/>
      <c r="F113" s="336"/>
      <c r="G113" s="336"/>
      <c r="H113" s="336"/>
      <c r="I113" s="1817" t="s">
        <v>402</v>
      </c>
      <c r="J113" s="336"/>
      <c r="K113" s="336"/>
      <c r="L113" s="336"/>
      <c r="M113" s="336"/>
      <c r="N113" s="1833"/>
      <c r="O113" s="336"/>
      <c r="P113" s="336"/>
      <c r="Q113" s="336"/>
      <c r="R113" s="336"/>
      <c r="S113" s="1833"/>
      <c r="T113" s="336"/>
      <c r="U113" s="336"/>
      <c r="V113" s="336"/>
      <c r="W113" s="336"/>
      <c r="X113" s="1833"/>
      <c r="Y113" s="336"/>
      <c r="Z113" s="336"/>
      <c r="AA113" s="336"/>
      <c r="AB113" s="336"/>
      <c r="AC113" s="635"/>
      <c r="AD113" s="396"/>
      <c r="AE113" s="635"/>
    </row>
    <row r="114" spans="1:32" ht="12" customHeight="1">
      <c r="A114" s="635"/>
      <c r="B114" s="4666" t="b">
        <f>OR(AA29&lt;&gt;"",AA31&lt;&gt;"")</f>
        <v>0</v>
      </c>
      <c r="C114" s="1079" t="s">
        <v>4291</v>
      </c>
      <c r="D114" s="1079"/>
      <c r="E114" s="336"/>
      <c r="F114" s="336"/>
      <c r="G114" s="336"/>
      <c r="H114" s="644" t="s">
        <v>3239</v>
      </c>
      <c r="I114" s="4678">
        <v>7500</v>
      </c>
      <c r="J114" s="4678"/>
      <c r="K114" s="4678"/>
      <c r="L114" s="336"/>
      <c r="M114" s="336"/>
      <c r="N114" s="1833"/>
      <c r="O114" s="336"/>
      <c r="P114" s="336"/>
      <c r="Q114" s="336"/>
      <c r="R114" s="336"/>
      <c r="S114" s="1833"/>
      <c r="T114" s="336"/>
      <c r="U114" s="336"/>
      <c r="V114" s="336"/>
      <c r="W114" s="336"/>
      <c r="X114" s="1833"/>
      <c r="Y114" s="336"/>
      <c r="Z114" s="336"/>
      <c r="AA114" s="336"/>
      <c r="AB114" s="336"/>
      <c r="AC114" s="635"/>
      <c r="AD114" s="396"/>
      <c r="AE114" s="635"/>
    </row>
    <row r="115" spans="1:32" ht="12" customHeight="1">
      <c r="A115" s="635"/>
      <c r="B115" s="4666" t="b">
        <f>OR(AA34&lt;&gt;"",AA37&lt;&gt;"",AA40&lt;&gt;"",AA43&lt;&gt;"",AA46&lt;&gt;"")</f>
        <v>0</v>
      </c>
      <c r="C115" s="1079" t="s">
        <v>4292</v>
      </c>
      <c r="D115" s="1079"/>
      <c r="E115" s="336"/>
      <c r="F115" s="336"/>
      <c r="G115" s="336"/>
      <c r="H115" s="644" t="s">
        <v>3235</v>
      </c>
      <c r="I115" s="4678">
        <v>10000</v>
      </c>
      <c r="J115" s="336"/>
      <c r="K115" s="336"/>
      <c r="L115" s="336"/>
      <c r="M115" s="336"/>
      <c r="N115" s="4677">
        <v>15</v>
      </c>
      <c r="O115" s="6451" t="str">
        <f>IF(B114,I114,IF(B115,I115,IF(B116,I116,"")))</f>
        <v/>
      </c>
      <c r="P115" s="6538"/>
      <c r="Q115" s="5850"/>
      <c r="R115" s="5850"/>
      <c r="S115" s="1833"/>
      <c r="T115" s="336"/>
      <c r="U115" s="336"/>
      <c r="V115" s="336"/>
      <c r="W115" s="336"/>
      <c r="X115" s="1833"/>
      <c r="Y115" s="336"/>
      <c r="Z115" s="336"/>
      <c r="AA115" s="336"/>
      <c r="AB115" s="336"/>
      <c r="AC115" s="635"/>
      <c r="AD115" s="396"/>
      <c r="AE115" s="635"/>
    </row>
    <row r="116" spans="1:32" ht="12" customHeight="1">
      <c r="A116" s="635"/>
      <c r="B116" s="4666" t="b">
        <f>OR(AA49&lt;&gt;"",AA52&lt;&gt;"")</f>
        <v>0</v>
      </c>
      <c r="C116" s="1079" t="s">
        <v>4258</v>
      </c>
      <c r="D116" s="1079"/>
      <c r="E116" s="336"/>
      <c r="F116" s="336"/>
      <c r="G116" s="336"/>
      <c r="H116" s="644" t="s">
        <v>3239</v>
      </c>
      <c r="I116" s="4678">
        <v>5000</v>
      </c>
      <c r="J116" s="336"/>
      <c r="K116" s="336"/>
      <c r="L116" s="336"/>
      <c r="M116" s="336"/>
      <c r="N116" s="1833"/>
      <c r="O116" s="6514">
        <f>IF(B114,I114,IF(B115,I115,IF(B116,I116,0)))</f>
        <v>0</v>
      </c>
      <c r="P116" s="6515"/>
      <c r="Q116" s="6516"/>
      <c r="R116" s="6517"/>
      <c r="S116" s="1833"/>
      <c r="T116" s="336"/>
      <c r="U116" s="336"/>
      <c r="V116" s="336"/>
      <c r="W116" s="336"/>
      <c r="X116" s="1833"/>
      <c r="Y116" s="336"/>
      <c r="Z116" s="336"/>
      <c r="AA116" s="336"/>
      <c r="AB116" s="336"/>
      <c r="AC116" s="635"/>
      <c r="AD116" s="396"/>
      <c r="AE116" s="635"/>
    </row>
    <row r="117" spans="1:32" ht="12" customHeight="1">
      <c r="A117" s="635"/>
      <c r="B117" s="205">
        <v>16</v>
      </c>
      <c r="C117" s="1079" t="s">
        <v>4293</v>
      </c>
      <c r="D117" s="1079"/>
      <c r="E117" s="336"/>
      <c r="F117" s="336"/>
      <c r="G117" s="336"/>
      <c r="H117" s="336"/>
      <c r="I117" s="4678"/>
      <c r="J117" s="336"/>
      <c r="K117" s="336"/>
      <c r="L117" s="336"/>
      <c r="M117" s="336"/>
      <c r="N117" s="1833"/>
      <c r="O117" s="336"/>
      <c r="P117" s="336"/>
      <c r="Q117" s="336"/>
      <c r="R117" s="336"/>
      <c r="S117" s="1833"/>
      <c r="T117" s="336"/>
      <c r="U117" s="336"/>
      <c r="V117" s="336"/>
      <c r="W117" s="336"/>
      <c r="X117" s="1833"/>
      <c r="Y117" s="336"/>
      <c r="Z117" s="336"/>
      <c r="AA117" s="336"/>
      <c r="AB117" s="336"/>
      <c r="AC117" s="635"/>
      <c r="AD117" s="396"/>
      <c r="AE117" s="635"/>
    </row>
    <row r="118" spans="1:32" ht="12" customHeight="1">
      <c r="A118" s="635"/>
      <c r="B118" s="336"/>
      <c r="C118" s="1079" t="s">
        <v>4294</v>
      </c>
      <c r="D118" s="1079"/>
      <c r="E118" s="336"/>
      <c r="F118" s="336"/>
      <c r="G118" s="336"/>
      <c r="H118" s="336"/>
      <c r="I118" s="4678"/>
      <c r="J118" s="336"/>
      <c r="K118" s="336"/>
      <c r="L118" s="336"/>
      <c r="M118" s="644" t="s">
        <v>3531</v>
      </c>
      <c r="N118" s="4677">
        <v>16</v>
      </c>
      <c r="O118" s="6451" t="str">
        <f>IF(SchRQualify,MAX(0,SUM(O112,-O116)),"")</f>
        <v/>
      </c>
      <c r="P118" s="6538"/>
      <c r="Q118" s="5850"/>
      <c r="R118" s="5850"/>
      <c r="S118" s="1833"/>
      <c r="T118" s="336"/>
      <c r="U118" s="336"/>
      <c r="V118" s="336"/>
      <c r="W118" s="336"/>
      <c r="X118" s="1833"/>
      <c r="Y118" s="336"/>
      <c r="Z118" s="336"/>
      <c r="AA118" s="336"/>
      <c r="AB118" s="336"/>
      <c r="AC118" s="635"/>
      <c r="AD118" s="396"/>
      <c r="AE118" s="635"/>
    </row>
    <row r="119" spans="1:32" ht="12" customHeight="1">
      <c r="A119" s="635"/>
      <c r="B119" s="205">
        <v>17</v>
      </c>
      <c r="C119" s="1079" t="s">
        <v>4295</v>
      </c>
      <c r="D119" s="1079"/>
      <c r="E119" s="336"/>
      <c r="F119" s="336"/>
      <c r="G119" s="336"/>
      <c r="H119" s="336"/>
      <c r="I119" s="4678"/>
      <c r="J119" s="336"/>
      <c r="K119" s="336"/>
      <c r="L119" s="336"/>
      <c r="M119" s="336"/>
      <c r="N119" s="336"/>
      <c r="O119" s="336"/>
      <c r="P119" s="336"/>
      <c r="Q119" s="336"/>
      <c r="R119" s="644" t="s">
        <v>988</v>
      </c>
      <c r="S119" s="4677">
        <v>17</v>
      </c>
      <c r="T119" s="6451" t="str">
        <f>IF(SchRQualify,ROUND(O118/2,0),"")</f>
        <v/>
      </c>
      <c r="U119" s="6538"/>
      <c r="V119" s="5850"/>
      <c r="W119" s="5850"/>
      <c r="X119" s="1833"/>
      <c r="Y119" s="336"/>
      <c r="Z119" s="336"/>
      <c r="AA119" s="336"/>
      <c r="AB119" s="336"/>
      <c r="AC119" s="635"/>
      <c r="AD119" s="396"/>
      <c r="AE119" s="635"/>
    </row>
    <row r="120" spans="1:32" ht="12" customHeight="1">
      <c r="A120" s="635"/>
      <c r="B120" s="205">
        <v>18</v>
      </c>
      <c r="C120" s="1079" t="s">
        <v>4296</v>
      </c>
      <c r="D120" s="1079"/>
      <c r="E120" s="336"/>
      <c r="F120" s="336"/>
      <c r="G120" s="336"/>
      <c r="H120" s="336"/>
      <c r="I120" s="4678"/>
      <c r="J120" s="336"/>
      <c r="K120" s="336"/>
      <c r="L120" s="336"/>
      <c r="M120" s="336"/>
      <c r="N120" s="336"/>
      <c r="O120" s="336"/>
      <c r="P120" s="336"/>
      <c r="Q120" s="336"/>
      <c r="R120" s="336"/>
      <c r="S120" s="336"/>
      <c r="T120" s="336"/>
      <c r="U120" s="336"/>
      <c r="V120" s="336"/>
      <c r="W120" s="644" t="s">
        <v>670</v>
      </c>
      <c r="X120" s="4661">
        <v>18</v>
      </c>
      <c r="Y120" s="6451" t="str">
        <f>IF(AD120&lt;&gt;"",ROUND(AD120,0),IF(SchRQualify,SUM(T110,T119),""))</f>
        <v/>
      </c>
      <c r="Z120" s="6452"/>
      <c r="AA120" s="5850"/>
      <c r="AB120" s="5850"/>
      <c r="AC120" s="635"/>
      <c r="AD120" s="4720"/>
      <c r="AE120" s="635"/>
    </row>
    <row r="121" spans="1:32" ht="12" customHeight="1">
      <c r="A121" s="635"/>
      <c r="B121" s="205">
        <v>19</v>
      </c>
      <c r="C121" s="1079" t="s">
        <v>4312</v>
      </c>
      <c r="D121" s="1079"/>
      <c r="E121" s="336"/>
      <c r="F121" s="336"/>
      <c r="G121" s="1079" t="s">
        <v>4313</v>
      </c>
      <c r="H121" s="336"/>
      <c r="I121" s="4678"/>
      <c r="J121" s="336"/>
      <c r="K121" s="336"/>
      <c r="L121" s="336"/>
      <c r="M121" s="336"/>
      <c r="N121" s="336"/>
      <c r="O121" s="336"/>
      <c r="P121" s="336"/>
      <c r="Q121" s="1079" t="s">
        <v>4314</v>
      </c>
      <c r="R121" s="1079"/>
      <c r="S121" s="336"/>
      <c r="T121" s="336"/>
      <c r="U121" s="336"/>
      <c r="V121" s="336"/>
      <c r="W121" s="336"/>
      <c r="X121" s="1833"/>
      <c r="Y121" s="6518" t="b">
        <f>(Y120&gt;=Y98)</f>
        <v>1</v>
      </c>
      <c r="Z121" s="6519"/>
      <c r="AA121" s="6519"/>
      <c r="AB121" s="6519"/>
      <c r="AC121" s="635"/>
      <c r="AD121" s="396"/>
      <c r="AE121" s="635"/>
    </row>
    <row r="122" spans="1:32" ht="12" customHeight="1">
      <c r="A122" s="635"/>
      <c r="B122" s="205"/>
      <c r="C122" s="1079" t="s">
        <v>4297</v>
      </c>
      <c r="D122" s="1079"/>
      <c r="E122" s="336"/>
      <c r="F122" s="336"/>
      <c r="G122" s="336"/>
      <c r="H122" s="336"/>
      <c r="I122" s="4678"/>
      <c r="J122" s="336"/>
      <c r="K122" s="336"/>
      <c r="L122" s="336"/>
      <c r="M122" s="336"/>
      <c r="N122" s="336"/>
      <c r="O122" s="336"/>
      <c r="P122" s="336"/>
      <c r="Q122" s="336"/>
      <c r="R122" s="336"/>
      <c r="S122" s="336"/>
      <c r="T122" s="336"/>
      <c r="U122" s="336"/>
      <c r="V122" s="336"/>
      <c r="W122" s="644" t="s">
        <v>670</v>
      </c>
      <c r="X122" s="4661">
        <v>19</v>
      </c>
      <c r="Y122" s="6451" t="str">
        <f>IF(SchRQualify,MAX(0,SUM(Y98,-Y120)),"")</f>
        <v/>
      </c>
      <c r="Z122" s="6452"/>
      <c r="AA122" s="5850"/>
      <c r="AB122" s="5850"/>
      <c r="AC122" s="635"/>
      <c r="AD122" s="396"/>
      <c r="AE122" s="635"/>
    </row>
    <row r="123" spans="1:32" ht="12" customHeight="1">
      <c r="A123" s="635"/>
      <c r="B123" s="205">
        <v>20</v>
      </c>
      <c r="C123" s="1079" t="str">
        <f>"Multiply line 19 by "&amp;TEXT(AF123,"0%")&amp;" ("&amp;TEXT(AF123,"0.00")&amp;")"</f>
        <v>Multiply line 19 by 15% (0.15)</v>
      </c>
      <c r="D123" s="1079"/>
      <c r="E123" s="336"/>
      <c r="F123" s="336"/>
      <c r="G123" s="336"/>
      <c r="H123" s="336"/>
      <c r="I123" s="4678"/>
      <c r="J123" s="336"/>
      <c r="K123" s="336"/>
      <c r="L123" s="336"/>
      <c r="M123" s="336"/>
      <c r="N123" s="336"/>
      <c r="O123" s="336"/>
      <c r="P123" s="336"/>
      <c r="Q123" s="336"/>
      <c r="R123" s="336"/>
      <c r="S123" s="336"/>
      <c r="T123" s="336"/>
      <c r="U123" s="336"/>
      <c r="V123" s="336"/>
      <c r="W123" s="644" t="s">
        <v>1291</v>
      </c>
      <c r="X123" s="4661">
        <v>20</v>
      </c>
      <c r="Y123" s="6451" t="str">
        <f>IF(Y121,"",ROUND(Y122*AF123,0))</f>
        <v/>
      </c>
      <c r="Z123" s="6452"/>
      <c r="AA123" s="5850"/>
      <c r="AB123" s="5850"/>
      <c r="AC123" s="635"/>
      <c r="AD123" s="396"/>
      <c r="AE123" s="635"/>
      <c r="AF123" s="4614">
        <v>0.15</v>
      </c>
    </row>
    <row r="124" spans="1:32" ht="12" customHeight="1">
      <c r="A124" s="635"/>
      <c r="B124" s="205">
        <v>21</v>
      </c>
      <c r="C124" s="1079" t="s">
        <v>4298</v>
      </c>
      <c r="D124" s="1079"/>
      <c r="E124" s="336"/>
      <c r="F124" s="336"/>
      <c r="G124" s="336"/>
      <c r="H124" s="336"/>
      <c r="I124" s="4678"/>
      <c r="J124" s="336"/>
      <c r="K124" s="336"/>
      <c r="L124" s="336"/>
      <c r="M124" s="336"/>
      <c r="N124" s="336"/>
      <c r="O124" s="336"/>
      <c r="P124" s="336"/>
      <c r="Q124" s="336"/>
      <c r="R124" s="336"/>
      <c r="S124" s="336"/>
      <c r="T124" s="336"/>
      <c r="U124" s="336"/>
      <c r="V124" s="336"/>
      <c r="W124" s="644" t="s">
        <v>3239</v>
      </c>
      <c r="X124" s="4661">
        <v>21</v>
      </c>
      <c r="Y124" s="6451" t="str">
        <f>IF(OR(Y121,AD137),"",AD136)</f>
        <v/>
      </c>
      <c r="Z124" s="6452"/>
      <c r="AA124" s="5850"/>
      <c r="AB124" s="5850"/>
      <c r="AC124" s="635"/>
      <c r="AD124" s="396"/>
      <c r="AE124" s="635"/>
    </row>
    <row r="125" spans="1:32" ht="12" customHeight="1">
      <c r="A125" s="635"/>
      <c r="B125" s="205">
        <v>22</v>
      </c>
      <c r="C125" s="1079" t="s">
        <v>4311</v>
      </c>
      <c r="D125" s="1079"/>
      <c r="E125" s="336"/>
      <c r="F125" s="336"/>
      <c r="G125" s="336"/>
      <c r="H125" s="336"/>
      <c r="I125" s="4678"/>
      <c r="J125" s="336"/>
      <c r="K125" s="336"/>
      <c r="L125" s="336"/>
      <c r="M125" s="336"/>
      <c r="N125" s="336"/>
      <c r="O125" s="336"/>
      <c r="P125" s="336"/>
      <c r="Q125" s="336"/>
      <c r="R125" s="336"/>
      <c r="S125" s="336"/>
      <c r="T125" s="336"/>
      <c r="U125" s="336"/>
      <c r="V125" s="336"/>
      <c r="W125" s="336"/>
      <c r="X125" s="1833"/>
      <c r="Y125" s="336"/>
      <c r="Z125" s="336"/>
      <c r="AA125" s="336"/>
      <c r="AB125" s="336"/>
      <c r="AC125" s="635"/>
      <c r="AD125" s="396"/>
      <c r="AE125" s="635"/>
    </row>
    <row r="126" spans="1:32" ht="12" customHeight="1">
      <c r="A126" s="635"/>
      <c r="B126" s="205"/>
      <c r="C126" s="1079" t="s">
        <v>4299</v>
      </c>
      <c r="D126" s="1079"/>
      <c r="E126" s="336"/>
      <c r="F126" s="336"/>
      <c r="G126" s="336"/>
      <c r="H126" s="336"/>
      <c r="I126" s="4678"/>
      <c r="J126" s="336"/>
      <c r="K126" s="336"/>
      <c r="L126" s="336"/>
      <c r="M126" s="336"/>
      <c r="N126" s="336"/>
      <c r="O126" s="336"/>
      <c r="P126" s="336"/>
      <c r="Q126" s="336"/>
      <c r="R126" s="336"/>
      <c r="S126" s="336"/>
      <c r="T126" s="336"/>
      <c r="U126" s="336"/>
      <c r="V126" s="336"/>
      <c r="W126" s="336"/>
      <c r="X126" s="1833"/>
      <c r="Y126" s="336"/>
      <c r="Z126" s="336"/>
      <c r="AA126" s="336"/>
      <c r="AB126" s="336"/>
      <c r="AC126" s="635"/>
      <c r="AD126" s="396"/>
      <c r="AE126" s="635"/>
    </row>
    <row r="127" spans="1:32" ht="12" customHeight="1" thickBot="1">
      <c r="A127" s="635"/>
      <c r="B127" s="214"/>
      <c r="C127" s="1863" t="s">
        <v>4300</v>
      </c>
      <c r="D127" s="4680"/>
      <c r="E127" s="209"/>
      <c r="F127" s="209"/>
      <c r="G127" s="209"/>
      <c r="H127" s="209"/>
      <c r="I127" s="209"/>
      <c r="J127" s="209"/>
      <c r="K127" s="209"/>
      <c r="L127" s="209"/>
      <c r="M127" s="209"/>
      <c r="N127" s="209"/>
      <c r="O127" s="209"/>
      <c r="P127" s="209"/>
      <c r="Q127" s="209"/>
      <c r="R127" s="209"/>
      <c r="S127" s="209"/>
      <c r="T127" s="209"/>
      <c r="U127" s="209"/>
      <c r="V127" s="209"/>
      <c r="W127" s="4682" t="s">
        <v>670</v>
      </c>
      <c r="X127" s="4681">
        <v>22</v>
      </c>
      <c r="Y127" s="6520" t="str">
        <f>IF(AD127&lt;&gt;"",ROUND(AD127,0),IF(OR(Y121,AD137),"",IF(AD137,"",MIN(Y123,Y124))))</f>
        <v/>
      </c>
      <c r="Z127" s="6521"/>
      <c r="AA127" s="6522"/>
      <c r="AB127" s="6522"/>
      <c r="AC127" s="635"/>
      <c r="AD127" s="4720"/>
      <c r="AE127" s="635"/>
    </row>
    <row r="128" spans="1:32" ht="15" customHeight="1">
      <c r="A128" s="635"/>
      <c r="B128" s="385"/>
      <c r="C128" s="385"/>
      <c r="D128" s="385"/>
      <c r="E128" s="385"/>
      <c r="F128" s="385"/>
      <c r="G128" s="386"/>
      <c r="H128" s="386"/>
      <c r="I128" s="386"/>
      <c r="J128" s="386"/>
      <c r="K128" s="386"/>
      <c r="L128" s="386"/>
      <c r="M128" s="386"/>
      <c r="N128" s="387"/>
      <c r="O128" s="387"/>
      <c r="P128" s="387"/>
      <c r="Q128" s="387"/>
      <c r="R128" s="1819"/>
      <c r="S128" s="1819"/>
      <c r="T128" s="387"/>
      <c r="U128" s="386"/>
      <c r="V128" s="386"/>
      <c r="W128" s="389"/>
      <c r="X128" s="386"/>
      <c r="Y128" s="386"/>
      <c r="Z128" s="1819"/>
      <c r="AA128" s="4337"/>
      <c r="AB128" s="4679" t="str">
        <f>"Schedule R   (Form 1040)  "&amp;TaxYear</f>
        <v>Schedule R   (Form 1040)  2018</v>
      </c>
      <c r="AC128" s="635"/>
      <c r="AD128" s="396"/>
      <c r="AE128" s="635"/>
    </row>
    <row r="129" spans="1:31" ht="8.25" customHeight="1">
      <c r="A129" s="635"/>
      <c r="B129" s="687"/>
      <c r="C129" s="687"/>
      <c r="D129" s="687"/>
      <c r="E129" s="687"/>
      <c r="F129" s="687"/>
      <c r="G129" s="613"/>
      <c r="H129" s="613"/>
      <c r="I129" s="613"/>
      <c r="J129" s="613"/>
      <c r="K129" s="613"/>
      <c r="L129" s="613"/>
      <c r="M129" s="613"/>
      <c r="N129" s="688"/>
      <c r="O129" s="688"/>
      <c r="P129" s="688"/>
      <c r="Q129" s="688"/>
      <c r="R129" s="688"/>
      <c r="S129" s="688"/>
      <c r="T129" s="688"/>
      <c r="U129" s="613"/>
      <c r="V129" s="613"/>
      <c r="W129" s="689"/>
      <c r="X129" s="613"/>
      <c r="Y129" s="613"/>
      <c r="Z129" s="613"/>
      <c r="AA129" s="613"/>
      <c r="AB129" s="613"/>
      <c r="AC129" s="635"/>
      <c r="AD129" s="396"/>
      <c r="AE129" s="635"/>
    </row>
    <row r="130" spans="1:31">
      <c r="B130" s="9"/>
      <c r="C130" s="9"/>
      <c r="D130" s="10"/>
      <c r="E130" s="10"/>
      <c r="F130" s="10"/>
      <c r="G130" s="10"/>
      <c r="H130" s="10"/>
      <c r="I130" s="10"/>
      <c r="J130" s="10"/>
      <c r="K130" s="10"/>
      <c r="L130" s="10"/>
      <c r="M130" s="10"/>
      <c r="N130" s="11"/>
      <c r="O130" s="11"/>
      <c r="P130" s="11"/>
      <c r="Q130" s="11"/>
      <c r="R130" s="11"/>
      <c r="S130" s="11"/>
      <c r="T130" s="12"/>
      <c r="U130" s="10"/>
      <c r="V130" s="10"/>
      <c r="W130" s="8"/>
      <c r="X130" s="10"/>
      <c r="Y130" s="10"/>
      <c r="Z130" s="10"/>
      <c r="AA130" s="10"/>
      <c r="AB130" s="10"/>
    </row>
    <row r="131" spans="1:31" ht="13.5" thickBot="1">
      <c r="B131" s="9"/>
      <c r="C131" s="9"/>
      <c r="D131" s="10"/>
      <c r="E131" s="10"/>
      <c r="F131" s="10"/>
      <c r="G131" s="10"/>
      <c r="H131" s="10"/>
      <c r="I131" s="10"/>
      <c r="J131" s="10"/>
      <c r="K131" s="4704" t="s">
        <v>4303</v>
      </c>
      <c r="L131" s="4705"/>
      <c r="M131" s="4706"/>
      <c r="N131" s="4705"/>
      <c r="O131" s="4707"/>
      <c r="P131" s="4707"/>
      <c r="Q131" s="4707"/>
      <c r="R131" s="4708"/>
      <c r="S131" s="4708"/>
      <c r="T131" s="4709"/>
      <c r="U131" s="4706"/>
      <c r="V131" s="4706"/>
      <c r="W131" s="4710"/>
      <c r="X131" s="4706"/>
      <c r="Y131" s="4706"/>
      <c r="Z131" s="4706"/>
      <c r="AA131" s="4706"/>
      <c r="AB131" s="4711" t="s">
        <v>4307</v>
      </c>
      <c r="AC131" s="2104"/>
      <c r="AD131" s="1957"/>
      <c r="AE131" s="2105"/>
    </row>
    <row r="132" spans="1:31" ht="13.5" thickBot="1">
      <c r="B132" s="6511" t="s">
        <v>4301</v>
      </c>
      <c r="C132" s="6512"/>
      <c r="D132" s="6512"/>
      <c r="E132" s="6512"/>
      <c r="F132" s="6512"/>
      <c r="G132" s="6512"/>
      <c r="H132" s="6512"/>
      <c r="I132" s="6513"/>
      <c r="J132" s="595"/>
      <c r="K132" s="4712" t="s">
        <v>4304</v>
      </c>
      <c r="L132" s="4713"/>
      <c r="M132" s="4714"/>
      <c r="N132" s="4713"/>
      <c r="O132" s="4713"/>
      <c r="P132" s="4713"/>
      <c r="Q132" s="4713"/>
      <c r="R132" s="4715"/>
      <c r="S132" s="4715"/>
      <c r="T132" s="4716"/>
      <c r="U132" s="4714"/>
      <c r="V132" s="4714"/>
      <c r="W132" s="4717"/>
      <c r="X132" s="4714"/>
      <c r="Y132" s="4714"/>
      <c r="Z132" s="4714"/>
      <c r="AA132" s="4714"/>
      <c r="AB132" s="4714"/>
      <c r="AC132" s="1882"/>
      <c r="AD132" s="1612"/>
      <c r="AE132" s="4718"/>
    </row>
    <row r="133" spans="1:31" ht="13.5" thickBot="1">
      <c r="B133" s="594"/>
      <c r="C133" s="594"/>
      <c r="D133" s="595"/>
      <c r="E133" s="595"/>
      <c r="F133" s="595"/>
      <c r="G133" s="595"/>
      <c r="H133" s="595"/>
      <c r="I133" s="595"/>
      <c r="J133" s="595"/>
      <c r="K133" s="4683" t="s">
        <v>336</v>
      </c>
      <c r="L133" s="4684" t="s">
        <v>4306</v>
      </c>
      <c r="M133" s="4685"/>
      <c r="N133" s="4684"/>
      <c r="O133" s="4684"/>
      <c r="P133" s="4684"/>
      <c r="Q133" s="4684"/>
      <c r="R133" s="4686"/>
      <c r="S133" s="4686"/>
      <c r="T133" s="4687"/>
      <c r="U133" s="4685"/>
      <c r="V133" s="4685"/>
      <c r="W133" s="4688"/>
      <c r="X133" s="4685"/>
      <c r="Y133" s="4685"/>
      <c r="Z133" s="4685"/>
      <c r="AA133" s="4685"/>
      <c r="AB133" s="4685"/>
      <c r="AC133" s="4689" t="s">
        <v>336</v>
      </c>
      <c r="AD133" s="4703" t="str">
        <f>IF(Y121,"",Tax)</f>
        <v/>
      </c>
      <c r="AE133" s="4690"/>
    </row>
    <row r="134" spans="1:31" ht="13.5" customHeight="1" thickBot="1">
      <c r="B134" s="6508" t="s">
        <v>4302</v>
      </c>
      <c r="C134" s="6509"/>
      <c r="D134" s="6509"/>
      <c r="E134" s="6509"/>
      <c r="F134" s="6509"/>
      <c r="G134" s="6509"/>
      <c r="H134" s="6509"/>
      <c r="I134" s="6510"/>
      <c r="J134" s="595"/>
      <c r="K134" s="4691" t="s">
        <v>0</v>
      </c>
      <c r="L134" s="4692" t="s">
        <v>4305</v>
      </c>
      <c r="M134" s="4693"/>
      <c r="N134" s="4692"/>
      <c r="O134" s="4692"/>
      <c r="P134" s="4692"/>
      <c r="Q134" s="4692"/>
      <c r="R134" s="4694"/>
      <c r="S134" s="4694"/>
      <c r="T134" s="4695"/>
      <c r="U134" s="4693"/>
      <c r="V134" s="4693"/>
      <c r="W134" s="4696"/>
      <c r="X134" s="4693"/>
      <c r="Y134" s="4693"/>
      <c r="Z134" s="4693"/>
      <c r="AA134" s="4693"/>
      <c r="AB134" s="4693"/>
      <c r="AC134" s="4697" t="s">
        <v>0</v>
      </c>
      <c r="AD134" s="1715" t="str">
        <f>IF(Y121,"",SUM(Foreign_Tax_Credit,Care_Expenses))</f>
        <v/>
      </c>
      <c r="AE134" s="4698"/>
    </row>
    <row r="135" spans="1:31">
      <c r="K135" s="4691" t="s">
        <v>1</v>
      </c>
      <c r="L135" s="4692" t="s">
        <v>4308</v>
      </c>
      <c r="M135" s="3443"/>
      <c r="N135" s="4692"/>
      <c r="O135" s="3443"/>
      <c r="P135" s="3443"/>
      <c r="Q135" s="3443"/>
      <c r="R135" s="3443"/>
      <c r="S135" s="3443"/>
      <c r="T135" s="3443"/>
      <c r="U135" s="3443"/>
      <c r="V135" s="3443"/>
      <c r="W135" s="3443"/>
      <c r="X135" s="3443"/>
      <c r="Y135" s="3443"/>
      <c r="Z135" s="3443"/>
      <c r="AA135" s="3443"/>
      <c r="AB135" s="3443"/>
      <c r="AC135" s="3443"/>
      <c r="AD135" s="1945"/>
      <c r="AE135" s="4698"/>
    </row>
    <row r="136" spans="1:31">
      <c r="D136" s="5331" t="s">
        <v>5009</v>
      </c>
      <c r="E136" s="5331"/>
      <c r="K136" s="4699"/>
      <c r="L136" s="4692" t="s">
        <v>4309</v>
      </c>
      <c r="M136" s="3443"/>
      <c r="N136" s="4692"/>
      <c r="O136" s="4692" t="s">
        <v>4310</v>
      </c>
      <c r="P136" s="3443"/>
      <c r="Q136" s="3443"/>
      <c r="R136" s="3443"/>
      <c r="S136" s="3443"/>
      <c r="T136" s="3443"/>
      <c r="U136" s="3443"/>
      <c r="V136" s="3443"/>
      <c r="W136" s="3443"/>
      <c r="X136" s="3443"/>
      <c r="Y136" s="3443"/>
      <c r="Z136" s="3443"/>
      <c r="AA136" s="3443"/>
      <c r="AB136" s="3443"/>
      <c r="AC136" s="4697" t="s">
        <v>1</v>
      </c>
      <c r="AD136" s="1715" t="str">
        <f>IF(Y121,"",SUM(AD133,-AD134))</f>
        <v/>
      </c>
      <c r="AE136" s="4698"/>
    </row>
    <row r="137" spans="1:31" ht="13.5" thickBot="1">
      <c r="D137" s="5331"/>
      <c r="E137" s="5331"/>
      <c r="K137" s="4700"/>
      <c r="L137" s="4396"/>
      <c r="M137" s="4396"/>
      <c r="N137" s="4701"/>
      <c r="O137" s="4396"/>
      <c r="P137" s="4396"/>
      <c r="Q137" s="4396"/>
      <c r="R137" s="4396"/>
      <c r="S137" s="4396"/>
      <c r="T137" s="4396"/>
      <c r="U137" s="4396"/>
      <c r="V137" s="4396"/>
      <c r="W137" s="4396"/>
      <c r="X137" s="4396"/>
      <c r="Y137" s="4396"/>
      <c r="Z137" s="4396"/>
      <c r="AA137" s="4396"/>
      <c r="AB137" s="4396"/>
      <c r="AC137" s="4396"/>
      <c r="AD137" s="4719" t="b">
        <f>(AD136&lt;=0)</f>
        <v>0</v>
      </c>
      <c r="AE137" s="4702"/>
    </row>
    <row r="138" spans="1:31">
      <c r="D138" s="5331"/>
      <c r="E138" s="5331"/>
    </row>
  </sheetData>
  <sheetProtection password="F07E" sheet="1" objects="1" scenarios="1"/>
  <mergeCells count="54">
    <mergeCell ref="B13:D14"/>
    <mergeCell ref="X14:AB14"/>
    <mergeCell ref="X15:AB17"/>
    <mergeCell ref="B16:D17"/>
    <mergeCell ref="B19:S19"/>
    <mergeCell ref="T19:AB19"/>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26:C26"/>
    <mergeCell ref="B38:C38"/>
    <mergeCell ref="B49:C49"/>
    <mergeCell ref="F56:G56"/>
    <mergeCell ref="F58:G58"/>
    <mergeCell ref="B28:C28"/>
    <mergeCell ref="F3:H3"/>
    <mergeCell ref="F4:H4"/>
    <mergeCell ref="J3:L3"/>
    <mergeCell ref="J4:L4"/>
    <mergeCell ref="F6:H6"/>
    <mergeCell ref="J6:L6"/>
    <mergeCell ref="F10:H10"/>
    <mergeCell ref="J10:L10"/>
    <mergeCell ref="R8:S8"/>
    <mergeCell ref="R4:S4"/>
    <mergeCell ref="Y98:AB98"/>
    <mergeCell ref="F8:H8"/>
    <mergeCell ref="Y79:AB79"/>
    <mergeCell ref="F83:G83"/>
    <mergeCell ref="F85:G85"/>
    <mergeCell ref="L86:R87"/>
    <mergeCell ref="Y91:AB91"/>
    <mergeCell ref="R12:S12"/>
    <mergeCell ref="J8:L8"/>
    <mergeCell ref="D136:E138"/>
    <mergeCell ref="B134:I134"/>
    <mergeCell ref="B132:I132"/>
    <mergeCell ref="O116:R116"/>
    <mergeCell ref="Y121:AB121"/>
    <mergeCell ref="Y120:AB120"/>
    <mergeCell ref="Y122:AB122"/>
    <mergeCell ref="Y123:AB123"/>
    <mergeCell ref="Y124:AB124"/>
    <mergeCell ref="Y127:AB127"/>
  </mergeCells>
  <conditionalFormatting sqref="B19:C19 T19:AA19">
    <cfRule type="expression" dxfId="1469" priority="147">
      <formula>IF(NoColor,1,0)</formula>
    </cfRule>
  </conditionalFormatting>
  <conditionalFormatting sqref="N80">
    <cfRule type="expression" dxfId="1468" priority="79">
      <formula>IF(NoColor,1,0)</formula>
    </cfRule>
  </conditionalFormatting>
  <conditionalFormatting sqref="M82:N82">
    <cfRule type="expression" dxfId="1467" priority="78">
      <formula>IF(NoColor,1,0)</formula>
    </cfRule>
  </conditionalFormatting>
  <conditionalFormatting sqref="E13">
    <cfRule type="expression" dxfId="1466" priority="56">
      <formula>NOT(Draft)</formula>
    </cfRule>
  </conditionalFormatting>
  <conditionalFormatting sqref="V13">
    <cfRule type="expression" dxfId="1465" priority="55">
      <formula>NOT(Draft)</formula>
    </cfRule>
  </conditionalFormatting>
  <conditionalFormatting sqref="AD74">
    <cfRule type="expression" dxfId="1464" priority="54">
      <formula>(Y25&lt;&gt;0)</formula>
    </cfRule>
  </conditionalFormatting>
  <conditionalFormatting sqref="AE23">
    <cfRule type="expression" dxfId="1463" priority="53">
      <formula>FarmProfitNet&lt;&gt;0</formula>
    </cfRule>
  </conditionalFormatting>
  <conditionalFormatting sqref="AE25">
    <cfRule type="expression" dxfId="1462" priority="52">
      <formula>FarmProfitNet&lt;&gt;0</formula>
    </cfRule>
  </conditionalFormatting>
  <conditionalFormatting sqref="F56:G56">
    <cfRule type="expression" dxfId="1461" priority="51">
      <formula>$B$54</formula>
    </cfRule>
  </conditionalFormatting>
  <conditionalFormatting sqref="F58:G58">
    <cfRule type="expression" dxfId="1460" priority="50">
      <formula>NOT($B$54)</formula>
    </cfRule>
  </conditionalFormatting>
  <conditionalFormatting sqref="AA66">
    <cfRule type="expression" dxfId="1459" priority="18">
      <formula>NoColor</formula>
    </cfRule>
    <cfRule type="expression" dxfId="1458" priority="49">
      <formula>NoColor</formula>
    </cfRule>
  </conditionalFormatting>
  <conditionalFormatting sqref="Y79">
    <cfRule type="expression" dxfId="1457" priority="48">
      <formula>IF(NoColor,1,0)</formula>
    </cfRule>
  </conditionalFormatting>
  <conditionalFormatting sqref="F83:G83">
    <cfRule type="expression" dxfId="1456" priority="47">
      <formula>$B$84</formula>
    </cfRule>
  </conditionalFormatting>
  <conditionalFormatting sqref="F85:G85">
    <cfRule type="expression" dxfId="1455" priority="46">
      <formula>NOT($B$84)</formula>
    </cfRule>
  </conditionalFormatting>
  <conditionalFormatting sqref="J4:L4">
    <cfRule type="expression" dxfId="1454" priority="44">
      <formula>File_Marr_Joint&lt;&gt;""</formula>
    </cfRule>
  </conditionalFormatting>
  <conditionalFormatting sqref="J6:L6">
    <cfRule type="expression" dxfId="1453" priority="43">
      <formula>AND(File_Marr_Joint&lt;&gt;"",P4)</formula>
    </cfRule>
  </conditionalFormatting>
  <conditionalFormatting sqref="J8:L8">
    <cfRule type="expression" dxfId="1452" priority="42">
      <formula>AND(File_Marr_Joint&lt;&gt;"",P6)</formula>
    </cfRule>
  </conditionalFormatting>
  <conditionalFormatting sqref="F6:H6">
    <cfRule type="expression" dxfId="1451" priority="40">
      <formula>$I$4</formula>
    </cfRule>
  </conditionalFormatting>
  <conditionalFormatting sqref="F8:H8">
    <cfRule type="expression" dxfId="1450" priority="39">
      <formula>$I$6</formula>
    </cfRule>
  </conditionalFormatting>
  <conditionalFormatting sqref="F10:H10">
    <cfRule type="expression" dxfId="1449" priority="38">
      <formula>$I$8</formula>
    </cfRule>
  </conditionalFormatting>
  <conditionalFormatting sqref="J10:L10">
    <cfRule type="expression" dxfId="1448" priority="37">
      <formula>$P$8</formula>
    </cfRule>
  </conditionalFormatting>
  <conditionalFormatting sqref="T103">
    <cfRule type="expression" dxfId="1447" priority="35">
      <formula>IF(NoColor,1,0)</formula>
    </cfRule>
  </conditionalFormatting>
  <conditionalFormatting sqref="T110">
    <cfRule type="expression" dxfId="1446" priority="33">
      <formula>IF(NoColor,1,0)</formula>
    </cfRule>
  </conditionalFormatting>
  <conditionalFormatting sqref="O112:P112">
    <cfRule type="expression" dxfId="1445" priority="32">
      <formula>IF(NoColor,1,0)</formula>
    </cfRule>
  </conditionalFormatting>
  <conditionalFormatting sqref="O136">
    <cfRule type="expression" dxfId="1444" priority="23">
      <formula>$AD$137</formula>
    </cfRule>
  </conditionalFormatting>
  <conditionalFormatting sqref="O116:P116">
    <cfRule type="expression" dxfId="1443" priority="21">
      <formula>IF(NoColor,1,0)</formula>
    </cfRule>
  </conditionalFormatting>
  <conditionalFormatting sqref="G121">
    <cfRule type="expression" dxfId="1442" priority="20">
      <formula>$Y$121</formula>
    </cfRule>
  </conditionalFormatting>
  <conditionalFormatting sqref="J3:L3">
    <cfRule type="expression" dxfId="1441" priority="19">
      <formula>File_Marr_Joint&lt;&gt;""</formula>
    </cfRule>
  </conditionalFormatting>
  <conditionalFormatting sqref="Y91">
    <cfRule type="expression" dxfId="1440" priority="17">
      <formula>IF(NoColor,1,0)</formula>
    </cfRule>
  </conditionalFormatting>
  <conditionalFormatting sqref="Y98">
    <cfRule type="expression" dxfId="1439" priority="16">
      <formula>IF(NoColor,1,0)</formula>
    </cfRule>
  </conditionalFormatting>
  <conditionalFormatting sqref="Y120">
    <cfRule type="expression" dxfId="1438" priority="15">
      <formula>IF(NoColor,1,0)</formula>
    </cfRule>
  </conditionalFormatting>
  <conditionalFormatting sqref="Y122">
    <cfRule type="expression" dxfId="1437" priority="14">
      <formula>IF(NoColor,1,0)</formula>
    </cfRule>
  </conditionalFormatting>
  <conditionalFormatting sqref="Y123">
    <cfRule type="expression" dxfId="1436" priority="13">
      <formula>IF(NoColor,1,0)</formula>
    </cfRule>
  </conditionalFormatting>
  <conditionalFormatting sqref="Y124">
    <cfRule type="expression" dxfId="1435" priority="12">
      <formula>IF(NoColor,1,0)</formula>
    </cfRule>
  </conditionalFormatting>
  <conditionalFormatting sqref="Y127">
    <cfRule type="expression" dxfId="1434" priority="11">
      <formula>IF(NoColor,1,0)</formula>
    </cfRule>
  </conditionalFormatting>
  <conditionalFormatting sqref="T119:U119">
    <cfRule type="expression" dxfId="1433" priority="9">
      <formula>IF(NoColor,1,0)</formula>
    </cfRule>
  </conditionalFormatting>
  <conditionalFormatting sqref="T106">
    <cfRule type="expression" dxfId="1432" priority="6">
      <formula>IF(NoColor,1,0)</formula>
    </cfRule>
  </conditionalFormatting>
  <conditionalFormatting sqref="O115:P115">
    <cfRule type="expression" dxfId="1431" priority="5">
      <formula>IF(NoColor,1,0)</formula>
    </cfRule>
  </conditionalFormatting>
  <conditionalFormatting sqref="O118:P118">
    <cfRule type="expression" dxfId="1430" priority="4">
      <formula>IF(NoColor,1,0)</formula>
    </cfRule>
  </conditionalFormatting>
  <conditionalFormatting sqref="AD133">
    <cfRule type="expression" dxfId="1429" priority="3">
      <formula>NoColor</formula>
    </cfRule>
  </conditionalFormatting>
  <conditionalFormatting sqref="AD134">
    <cfRule type="expression" dxfId="1428" priority="2">
      <formula>NoColor</formula>
    </cfRule>
  </conditionalFormatting>
  <conditionalFormatting sqref="AD136">
    <cfRule type="expression" dxfId="1427" priority="1">
      <formula>NoColor</formula>
    </cfRule>
  </conditionalFormatting>
  <hyperlinks>
    <hyperlink ref="B132:H132" r:id="rId1" display="Download Form 1040 Schedule R"/>
    <hyperlink ref="B134:H134" r:id="rId2" display="Download Form 1040 Schedule R Instructions"/>
    <hyperlink ref="D136:E138" location="'Table of Contents'!A1" display="Table of Contents"/>
  </hyperlinks>
  <printOptions horizontalCentered="1"/>
  <pageMargins left="0.25" right="0.2" top="0.5" bottom="0.27" header="0" footer="0"/>
  <pageSetup scale="98" fitToHeight="0" orientation="portrait" horizontalDpi="4294967293" verticalDpi="4294967293" r:id="rId3"/>
  <headerFooter alignWithMargins="0"/>
  <rowBreaks count="1" manualBreakCount="1">
    <brk id="74" min="1" max="27" man="1"/>
  </rowBreaks>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R245"/>
  <sheetViews>
    <sheetView zoomScaleNormal="100" zoomScaleSheetLayoutView="115" workbookViewId="0">
      <selection activeCell="AB32" sqref="AB32"/>
    </sheetView>
  </sheetViews>
  <sheetFormatPr defaultRowHeight="12.75"/>
  <cols>
    <col min="1" max="1" width="2.140625" customWidth="1"/>
    <col min="2" max="2" width="1.85546875" customWidth="1"/>
    <col min="3" max="4" width="3.140625" customWidth="1"/>
    <col min="5" max="5" width="10.140625" customWidth="1"/>
    <col min="6" max="6" width="5.28515625" customWidth="1"/>
    <col min="7" max="7" width="6.28515625" customWidth="1"/>
    <col min="8" max="8" width="5.42578125" customWidth="1"/>
    <col min="9" max="9" width="5" customWidth="1"/>
    <col min="10" max="10" width="4.140625" customWidth="1"/>
    <col min="11" max="11" width="3.28515625" customWidth="1"/>
    <col min="12" max="12" width="4.85546875" customWidth="1"/>
    <col min="13" max="13" width="3.7109375" customWidth="1"/>
    <col min="14" max="14" width="4.140625" customWidth="1"/>
    <col min="15" max="15" width="2.28515625" customWidth="1"/>
    <col min="16" max="16" width="4.5703125" customWidth="1"/>
    <col min="17" max="17" width="8.140625" customWidth="1"/>
    <col min="18" max="18" width="4.28515625" customWidth="1"/>
    <col min="19" max="19" width="8.7109375" customWidth="1"/>
    <col min="20" max="20" width="2.5703125" customWidth="1"/>
    <col min="21" max="21" width="3.140625" customWidth="1"/>
    <col min="22" max="22" width="14.42578125" customWidth="1"/>
    <col min="23" max="23" width="3.85546875" customWidth="1"/>
    <col min="24" max="24" width="1.5703125" customWidth="1"/>
    <col min="25" max="25" width="2" customWidth="1"/>
    <col min="26" max="26" width="16.42578125" customWidth="1"/>
    <col min="27" max="27" width="1.42578125" customWidth="1"/>
    <col min="28" max="28" width="4.28515625" customWidth="1"/>
    <col min="29" max="29" width="10.7109375" hidden="1" customWidth="1"/>
    <col min="30" max="30" width="2.85546875" hidden="1" customWidth="1"/>
    <col min="31" max="31" width="13.140625" hidden="1" customWidth="1"/>
    <col min="32" max="32" width="13.28515625" customWidth="1"/>
    <col min="33" max="33" width="23.28515625" customWidth="1"/>
    <col min="34" max="34" width="1.5703125" customWidth="1"/>
    <col min="35" max="36" width="10.5703125" customWidth="1"/>
    <col min="37" max="37" width="10.42578125" customWidth="1"/>
    <col min="38" max="40" width="8.7109375" customWidth="1"/>
  </cols>
  <sheetData>
    <row r="1" spans="1:44" ht="27" customHeight="1">
      <c r="A1" s="635"/>
      <c r="B1" s="635"/>
      <c r="C1" s="635"/>
      <c r="D1" s="635"/>
      <c r="E1" s="635"/>
      <c r="F1" s="635"/>
      <c r="G1" s="4494" t="s">
        <v>4076</v>
      </c>
      <c r="H1" s="635"/>
      <c r="I1" s="635"/>
      <c r="J1" s="635"/>
      <c r="K1" s="635"/>
      <c r="L1" s="635"/>
      <c r="M1" s="635"/>
      <c r="N1" s="635"/>
      <c r="O1" s="635"/>
      <c r="P1" s="635"/>
      <c r="Q1" s="635"/>
      <c r="R1" s="635"/>
      <c r="S1" s="635"/>
      <c r="T1" s="635"/>
      <c r="U1" s="635"/>
      <c r="V1" s="635"/>
      <c r="W1" s="635"/>
      <c r="X1" s="635"/>
      <c r="Y1" s="635"/>
      <c r="Z1" s="452"/>
      <c r="AA1" s="1408"/>
      <c r="AB1" s="1408"/>
      <c r="AC1" s="1408"/>
      <c r="AD1" s="1408"/>
      <c r="AE1" s="1408"/>
      <c r="AF1" s="1408"/>
      <c r="AG1" s="1408"/>
      <c r="AH1" s="1408"/>
      <c r="AI1" s="3169"/>
      <c r="AJ1" s="3169"/>
      <c r="AK1" s="3169"/>
      <c r="AL1" s="3169"/>
      <c r="AM1" s="3169"/>
      <c r="AN1" s="3169"/>
      <c r="AO1" s="3169"/>
      <c r="AP1" s="3169"/>
      <c r="AQ1" s="3169"/>
      <c r="AR1" s="3169"/>
    </row>
    <row r="2" spans="1:44" ht="21.75" customHeight="1">
      <c r="A2" s="635"/>
      <c r="B2" s="332"/>
      <c r="C2" s="332" t="s">
        <v>186</v>
      </c>
      <c r="D2" s="332"/>
      <c r="E2" s="332"/>
      <c r="F2" s="101"/>
      <c r="G2" s="4011"/>
      <c r="H2" s="24"/>
      <c r="I2" s="431"/>
      <c r="J2" s="431"/>
      <c r="K2" s="431"/>
      <c r="L2" s="24"/>
      <c r="M2" s="432"/>
      <c r="N2" s="24"/>
      <c r="O2" s="431"/>
      <c r="P2" s="431"/>
      <c r="Q2" s="431"/>
      <c r="R2" s="24"/>
      <c r="S2" s="4012"/>
      <c r="T2" s="101"/>
      <c r="U2" s="6677" t="s">
        <v>169</v>
      </c>
      <c r="V2" s="6678"/>
      <c r="W2" s="6678"/>
      <c r="X2" s="6678"/>
      <c r="Y2" s="82"/>
      <c r="Z2" s="452"/>
      <c r="AA2" s="1408"/>
      <c r="AB2" s="6570" t="s">
        <v>3445</v>
      </c>
      <c r="AC2" s="6570"/>
      <c r="AD2" s="6570"/>
      <c r="AE2" s="6570"/>
      <c r="AF2" s="6570"/>
      <c r="AG2" s="6570"/>
      <c r="AH2" s="4590"/>
      <c r="AI2" s="3168" t="s">
        <v>2552</v>
      </c>
      <c r="AJ2" s="3169"/>
      <c r="AK2" s="3169"/>
      <c r="AL2" s="3169"/>
      <c r="AM2" s="3169"/>
      <c r="AN2" s="3169"/>
      <c r="AO2" s="3169"/>
      <c r="AP2" s="3169"/>
      <c r="AQ2" s="3169"/>
      <c r="AR2" s="3169"/>
    </row>
    <row r="3" spans="1:44" ht="27.75" customHeight="1">
      <c r="A3" s="635"/>
      <c r="B3" s="354"/>
      <c r="C3" s="537" t="s">
        <v>201</v>
      </c>
      <c r="D3" s="354"/>
      <c r="E3" s="354"/>
      <c r="F3" s="101"/>
      <c r="G3" s="6653" t="s">
        <v>187</v>
      </c>
      <c r="H3" s="6654"/>
      <c r="I3" s="6654"/>
      <c r="J3" s="6654"/>
      <c r="K3" s="6654"/>
      <c r="L3" s="6654"/>
      <c r="M3" s="6654"/>
      <c r="N3" s="6654"/>
      <c r="O3" s="6654"/>
      <c r="P3" s="6654"/>
      <c r="Q3" s="6654"/>
      <c r="R3" s="6654"/>
      <c r="S3" s="6654"/>
      <c r="T3" s="6655"/>
      <c r="U3" s="6679">
        <f>TaxYear</f>
        <v>2018</v>
      </c>
      <c r="V3" s="5582"/>
      <c r="W3" s="5582"/>
      <c r="X3" s="5582"/>
      <c r="Y3" s="82"/>
      <c r="Z3" s="452"/>
      <c r="AA3" s="1408"/>
      <c r="AB3" s="6570"/>
      <c r="AC3" s="6570"/>
      <c r="AD3" s="6570"/>
      <c r="AE3" s="6570"/>
      <c r="AF3" s="6570"/>
      <c r="AG3" s="6570"/>
      <c r="AH3" s="4590"/>
      <c r="AI3" s="3169"/>
      <c r="AJ3" s="3169"/>
      <c r="AK3" s="3169"/>
      <c r="AL3" s="3169"/>
      <c r="AM3" s="3169"/>
      <c r="AN3" s="3169"/>
      <c r="AO3" s="3169"/>
      <c r="AP3" s="3169"/>
      <c r="AQ3" s="3169"/>
      <c r="AR3" s="3169"/>
    </row>
    <row r="4" spans="1:44" ht="13.5" customHeight="1" thickBot="1">
      <c r="A4" s="635"/>
      <c r="B4" s="36"/>
      <c r="C4" s="36" t="s">
        <v>202</v>
      </c>
      <c r="D4" s="36"/>
      <c r="E4" s="36"/>
      <c r="F4" s="101"/>
      <c r="G4" s="6656" t="s">
        <v>2467</v>
      </c>
      <c r="H4" s="6657"/>
      <c r="I4" s="6657"/>
      <c r="J4" s="6657"/>
      <c r="K4" s="6657"/>
      <c r="L4" s="6657"/>
      <c r="M4" s="6657"/>
      <c r="N4" s="6657"/>
      <c r="O4" s="6657"/>
      <c r="P4" s="6657"/>
      <c r="Q4" s="6657"/>
      <c r="R4" s="6657"/>
      <c r="S4" s="6657"/>
      <c r="T4" s="6658"/>
      <c r="U4" s="24"/>
      <c r="V4" s="53" t="s">
        <v>203</v>
      </c>
      <c r="W4" s="24"/>
      <c r="X4" s="24"/>
      <c r="Y4" s="82"/>
      <c r="Z4" s="452"/>
      <c r="AA4" s="1408"/>
      <c r="AB4" s="6570"/>
      <c r="AC4" s="6570"/>
      <c r="AD4" s="6570"/>
      <c r="AE4" s="6570"/>
      <c r="AF4" s="6570"/>
      <c r="AG4" s="6570"/>
      <c r="AH4" s="4590"/>
      <c r="AI4" s="3169"/>
      <c r="AJ4" s="3169"/>
      <c r="AK4" s="3169"/>
      <c r="AL4" s="3169"/>
      <c r="AM4" s="3169"/>
      <c r="AN4" s="3169"/>
      <c r="AO4" s="3169"/>
      <c r="AP4" s="3169"/>
      <c r="AQ4" s="3169"/>
      <c r="AR4" s="3169"/>
    </row>
    <row r="5" spans="1:44" ht="12.75" customHeight="1" thickBot="1">
      <c r="A5" s="635"/>
      <c r="B5" s="433"/>
      <c r="C5" s="434" t="str">
        <f>"Internal Revenue Service  (99)"</f>
        <v>Internal Revenue Service  (99)</v>
      </c>
      <c r="D5" s="434"/>
      <c r="E5" s="434"/>
      <c r="F5" s="102"/>
      <c r="G5" s="6651" t="s">
        <v>2057</v>
      </c>
      <c r="H5" s="5730"/>
      <c r="I5" s="5730"/>
      <c r="J5" s="5730"/>
      <c r="K5" s="5730"/>
      <c r="L5" s="5730"/>
      <c r="M5" s="5730"/>
      <c r="N5" s="5730"/>
      <c r="O5" s="5730"/>
      <c r="P5" s="5730"/>
      <c r="Q5" s="5730"/>
      <c r="R5" s="5730"/>
      <c r="S5" s="5730"/>
      <c r="T5" s="6652"/>
      <c r="U5" s="39"/>
      <c r="V5" s="2921" t="s">
        <v>4069</v>
      </c>
      <c r="W5" s="39"/>
      <c r="X5" s="39"/>
      <c r="Y5" s="82"/>
      <c r="Z5" s="452"/>
      <c r="AA5" s="1408"/>
      <c r="AB5" s="3064" t="str">
        <f>IF(File_Marr_Joint="","X","")</f>
        <v>X</v>
      </c>
      <c r="AC5" s="1408"/>
      <c r="AD5" s="1408"/>
      <c r="AE5" s="1408"/>
      <c r="AF5" s="1772" t="s">
        <v>945</v>
      </c>
      <c r="AG5" s="1408"/>
      <c r="AH5" s="4590"/>
      <c r="AI5" s="3169"/>
      <c r="AJ5" s="3169"/>
      <c r="AK5" s="3169"/>
      <c r="AL5" s="3169"/>
      <c r="AM5" s="3169"/>
      <c r="AN5" s="3169"/>
      <c r="AO5" s="3169"/>
      <c r="AP5" s="3169"/>
      <c r="AQ5" s="3169"/>
      <c r="AR5" s="3169"/>
    </row>
    <row r="6" spans="1:44" ht="12" customHeight="1" thickBot="1">
      <c r="A6" s="635"/>
      <c r="B6" s="6668" t="s">
        <v>3248</v>
      </c>
      <c r="C6" s="6668"/>
      <c r="D6" s="6668"/>
      <c r="E6" s="6668"/>
      <c r="F6" s="6668"/>
      <c r="G6" s="6668"/>
      <c r="H6" s="6668"/>
      <c r="I6" s="6668"/>
      <c r="J6" s="6668"/>
      <c r="K6" s="6668"/>
      <c r="L6" s="6668"/>
      <c r="M6" s="6668"/>
      <c r="N6" s="6668"/>
      <c r="O6" s="6668"/>
      <c r="P6" s="6669"/>
      <c r="Q6" s="6663" t="s">
        <v>3247</v>
      </c>
      <c r="R6" s="6663"/>
      <c r="S6" s="6663"/>
      <c r="T6" s="6664"/>
      <c r="U6" s="6625">
        <f>IF(AND(AB5&lt;&gt;"",AB7&lt;&gt;""),SS_Yours,IF(AB5&lt;&gt;"",SS_Yours,IF(AB7&lt;&gt;"",SS_Spouse,"")))</f>
        <v>0</v>
      </c>
      <c r="V6" s="6626"/>
      <c r="W6" s="6626"/>
      <c r="X6" s="6626"/>
      <c r="Y6" s="82"/>
      <c r="Z6" s="452"/>
      <c r="AA6" s="1408"/>
      <c r="AB6" s="1408"/>
      <c r="AC6" s="1408"/>
      <c r="AD6" s="1408"/>
      <c r="AE6" s="1408"/>
      <c r="AF6" s="1408"/>
      <c r="AG6" s="1408"/>
      <c r="AH6" s="4590"/>
      <c r="AI6" s="3169"/>
      <c r="AJ6" s="3169"/>
      <c r="AK6" s="3169"/>
      <c r="AL6" s="3169"/>
      <c r="AM6" s="3169"/>
      <c r="AN6" s="3169"/>
      <c r="AO6" s="3169"/>
      <c r="AP6" s="3169"/>
      <c r="AQ6" s="3169"/>
      <c r="AR6" s="3169"/>
    </row>
    <row r="7" spans="1:44" ht="16.5" customHeight="1" thickBot="1">
      <c r="A7" s="635"/>
      <c r="B7" s="6629" t="str">
        <f>IF(AND(AB5&lt;&gt;"",AB7&lt;&gt;""),NameYours&amp;" and "&amp;NameSpouse,IF(AB5&lt;&gt;"",NameYours,IF(AB7&lt;&gt;"",NameSpouse,"")))</f>
        <v xml:space="preserve"> </v>
      </c>
      <c r="C7" s="6629"/>
      <c r="D7" s="6629"/>
      <c r="E7" s="6629"/>
      <c r="F7" s="6629"/>
      <c r="G7" s="6629"/>
      <c r="H7" s="6629"/>
      <c r="I7" s="6629"/>
      <c r="J7" s="6629"/>
      <c r="K7" s="6629"/>
      <c r="L7" s="6629"/>
      <c r="M7" s="6629"/>
      <c r="N7" s="6629"/>
      <c r="O7" s="6629"/>
      <c r="P7" s="6667"/>
      <c r="Q7" s="6665"/>
      <c r="R7" s="6665"/>
      <c r="S7" s="6665"/>
      <c r="T7" s="6666"/>
      <c r="U7" s="6627"/>
      <c r="V7" s="6628"/>
      <c r="W7" s="6628"/>
      <c r="X7" s="6628"/>
      <c r="Y7" s="82"/>
      <c r="Z7" s="452"/>
      <c r="AA7" s="1408"/>
      <c r="AB7" s="1445"/>
      <c r="AC7" s="1408"/>
      <c r="AD7" s="1408"/>
      <c r="AE7" s="1408"/>
      <c r="AF7" s="1772" t="str">
        <f>IF(AND(NumFileStatusBoxes=1,File_Marr_Joint&lt;&gt;""),"  Spouse","")</f>
        <v/>
      </c>
      <c r="AG7" s="1408"/>
      <c r="AH7" s="4590"/>
      <c r="AI7" s="3169"/>
      <c r="AJ7" s="3169"/>
      <c r="AK7" s="3169"/>
      <c r="AL7" s="3169"/>
      <c r="AM7" s="3169"/>
      <c r="AN7" s="3169"/>
      <c r="AO7" s="3169"/>
      <c r="AP7" s="3169"/>
      <c r="AQ7" s="3169"/>
      <c r="AR7" s="3169"/>
    </row>
    <row r="8" spans="1:44" ht="20.25" customHeight="1">
      <c r="A8" s="635"/>
      <c r="B8" s="1696" t="s">
        <v>983</v>
      </c>
      <c r="C8" s="1091"/>
      <c r="D8" s="1091"/>
      <c r="E8" s="1091"/>
      <c r="F8" s="6661" t="s">
        <v>984</v>
      </c>
      <c r="G8" s="6662"/>
      <c r="H8" s="6662"/>
      <c r="I8" s="6662"/>
      <c r="J8" s="6662"/>
      <c r="K8" s="6662"/>
      <c r="L8" s="6662"/>
      <c r="M8" s="6662"/>
      <c r="N8" s="6662"/>
      <c r="O8" s="6662"/>
      <c r="P8" s="6662"/>
      <c r="Q8" s="6662"/>
      <c r="R8" s="1091"/>
      <c r="S8" s="1091"/>
      <c r="T8" s="1091"/>
      <c r="U8" s="1091"/>
      <c r="V8" s="1091"/>
      <c r="W8" s="1091"/>
      <c r="X8" s="1091"/>
      <c r="Y8" s="82"/>
      <c r="Z8" s="452"/>
      <c r="AA8" s="1408"/>
      <c r="AB8" s="5781" t="s">
        <v>4137</v>
      </c>
      <c r="AC8" s="5781"/>
      <c r="AD8" s="5781"/>
      <c r="AE8" s="5781"/>
      <c r="AF8" s="5781"/>
      <c r="AG8" s="5781"/>
      <c r="AH8" s="4590"/>
      <c r="AI8" s="3169"/>
      <c r="AJ8" s="3169"/>
      <c r="AK8" s="3169"/>
      <c r="AL8" s="3169"/>
      <c r="AM8" s="3169"/>
      <c r="AN8" s="3169"/>
      <c r="AO8" s="3169"/>
      <c r="AP8" s="3169"/>
      <c r="AQ8" s="3169"/>
      <c r="AR8" s="3169"/>
    </row>
    <row r="9" spans="1:44" ht="19.5" customHeight="1">
      <c r="A9" s="635"/>
      <c r="B9" s="436" t="s">
        <v>449</v>
      </c>
      <c r="C9" s="438"/>
      <c r="D9" s="438"/>
      <c r="E9" s="438"/>
      <c r="F9" s="24"/>
      <c r="G9" s="24"/>
      <c r="H9" s="24"/>
      <c r="I9" s="24"/>
      <c r="J9" s="24"/>
      <c r="K9" s="24"/>
      <c r="L9" s="24"/>
      <c r="M9" s="24"/>
      <c r="N9" s="24"/>
      <c r="O9" s="24"/>
      <c r="P9" s="24"/>
      <c r="Q9" s="24"/>
      <c r="R9" s="24"/>
      <c r="S9" s="24"/>
      <c r="T9" s="24"/>
      <c r="U9" s="24"/>
      <c r="V9" s="24"/>
      <c r="W9" s="24"/>
      <c r="X9" s="24"/>
      <c r="Y9" s="82"/>
      <c r="Z9" s="452"/>
      <c r="AA9" s="1408"/>
      <c r="AB9" s="5781"/>
      <c r="AC9" s="5781"/>
      <c r="AD9" s="5781"/>
      <c r="AE9" s="5781"/>
      <c r="AF9" s="5781"/>
      <c r="AG9" s="5781"/>
      <c r="AH9" s="4590"/>
      <c r="AI9" s="3169"/>
      <c r="AJ9" s="3169"/>
      <c r="AK9" s="3169"/>
      <c r="AL9" s="3169"/>
      <c r="AM9" s="3169"/>
      <c r="AN9" s="3169"/>
      <c r="AO9" s="3169"/>
      <c r="AP9" s="3169"/>
      <c r="AQ9" s="3169"/>
      <c r="AR9" s="3169"/>
    </row>
    <row r="10" spans="1:44" s="633" customFormat="1" ht="19.5" customHeight="1">
      <c r="A10" s="694"/>
      <c r="B10" s="1586" t="s">
        <v>933</v>
      </c>
      <c r="C10" s="898"/>
      <c r="D10" s="898"/>
      <c r="E10" s="898"/>
      <c r="F10" s="104"/>
      <c r="G10" s="104"/>
      <c r="H10" s="104"/>
      <c r="I10" s="104"/>
      <c r="J10" s="104"/>
      <c r="K10" s="104"/>
      <c r="L10" s="104"/>
      <c r="M10" s="104"/>
      <c r="N10" s="104"/>
      <c r="O10" s="104"/>
      <c r="P10" s="104"/>
      <c r="Q10" s="104"/>
      <c r="R10" s="104"/>
      <c r="S10" s="104"/>
      <c r="T10" s="104"/>
      <c r="U10" s="104"/>
      <c r="V10" s="104"/>
      <c r="W10" s="104"/>
      <c r="X10" s="104"/>
      <c r="Y10" s="707"/>
      <c r="Z10" s="573"/>
      <c r="AA10" s="1408"/>
      <c r="AB10" s="5781"/>
      <c r="AC10" s="5781"/>
      <c r="AD10" s="5781"/>
      <c r="AE10" s="5781"/>
      <c r="AF10" s="5781"/>
      <c r="AG10" s="5781"/>
      <c r="AH10" s="4590"/>
      <c r="AI10" s="3173"/>
      <c r="AJ10" s="3173"/>
      <c r="AK10" s="3173"/>
      <c r="AL10" s="3173"/>
      <c r="AM10" s="3173"/>
      <c r="AN10" s="3173"/>
      <c r="AO10" s="3173"/>
      <c r="AP10" s="3173"/>
      <c r="AQ10" s="3173"/>
      <c r="AR10" s="3173"/>
    </row>
    <row r="11" spans="1:44">
      <c r="A11" s="635"/>
      <c r="B11" s="24"/>
      <c r="C11" s="24"/>
      <c r="D11" s="24"/>
      <c r="E11" s="24"/>
      <c r="F11" s="24"/>
      <c r="G11" s="24"/>
      <c r="H11" s="24"/>
      <c r="I11" s="24"/>
      <c r="J11" s="24"/>
      <c r="K11" s="24"/>
      <c r="L11" s="24"/>
      <c r="M11" s="933" t="str">
        <f>IF(NumFileStatusBoxes=0,"Indicate filing status on sheet '1040'.",IF(AND(AB5="",AB7=""),"Indicate above and right for whom this Sch. SE is being completed.", IF(AND(C34="",P34=""),"In Row 34, indicate which Schedule SE Form you are using.","")))</f>
        <v>Indicate filing status on sheet '1040'.</v>
      </c>
      <c r="N11" s="24"/>
      <c r="O11" s="24"/>
      <c r="P11" s="24"/>
      <c r="Q11" s="24"/>
      <c r="R11" s="24"/>
      <c r="S11" s="24"/>
      <c r="T11" s="24"/>
      <c r="U11" s="24"/>
      <c r="V11" s="24"/>
      <c r="W11" s="24"/>
      <c r="X11" s="24"/>
      <c r="Y11" s="82"/>
      <c r="Z11" s="452"/>
      <c r="AA11" s="1408"/>
      <c r="AB11" s="5781"/>
      <c r="AC11" s="5781"/>
      <c r="AD11" s="5781"/>
      <c r="AE11" s="5781"/>
      <c r="AF11" s="5781"/>
      <c r="AG11" s="5781"/>
      <c r="AH11" s="4590"/>
      <c r="AI11" s="3169"/>
      <c r="AJ11" s="3169"/>
      <c r="AK11" s="3169"/>
      <c r="AL11" s="3169"/>
      <c r="AM11" s="3169"/>
      <c r="AN11" s="3169"/>
      <c r="AO11" s="3169"/>
      <c r="AP11" s="3169"/>
      <c r="AQ11" s="3169"/>
      <c r="AR11" s="3169"/>
    </row>
    <row r="12" spans="1:44" ht="18.75" customHeight="1">
      <c r="A12" s="635"/>
      <c r="B12" s="24"/>
      <c r="C12" s="24"/>
      <c r="D12" s="24"/>
      <c r="E12" s="24"/>
      <c r="F12" s="24"/>
      <c r="G12" s="6659" t="str">
        <f>"Did you receive wages or tips in "&amp;TaxYear&amp;"?"</f>
        <v>Did you receive wages or tips in 2018?</v>
      </c>
      <c r="H12" s="6660"/>
      <c r="I12" s="6660"/>
      <c r="J12" s="6660"/>
      <c r="K12" s="6660"/>
      <c r="L12" s="6660"/>
      <c r="M12" s="6660"/>
      <c r="N12" s="6660"/>
      <c r="O12" s="6660"/>
      <c r="P12" s="6660"/>
      <c r="Q12" s="6660"/>
      <c r="R12" s="6347"/>
      <c r="S12" s="24"/>
      <c r="T12" s="24"/>
      <c r="U12" s="24"/>
      <c r="V12" s="24"/>
      <c r="W12" s="24"/>
      <c r="X12" s="24"/>
      <c r="Y12" s="82"/>
      <c r="Z12" s="452"/>
      <c r="AA12" s="1408"/>
      <c r="AB12" s="5781"/>
      <c r="AC12" s="5781"/>
      <c r="AD12" s="5781"/>
      <c r="AE12" s="5781"/>
      <c r="AF12" s="5781"/>
      <c r="AG12" s="5781"/>
      <c r="AH12" s="4590"/>
      <c r="AI12" s="3169"/>
      <c r="AJ12" s="3169"/>
      <c r="AK12" s="3169"/>
      <c r="AL12" s="3169"/>
      <c r="AM12" s="3169"/>
      <c r="AN12" s="3169"/>
      <c r="AO12" s="3169"/>
      <c r="AP12" s="3169"/>
      <c r="AQ12" s="3169"/>
      <c r="AR12" s="3169"/>
    </row>
    <row r="13" spans="1:44">
      <c r="A13" s="635"/>
      <c r="B13" s="24"/>
      <c r="C13" s="24"/>
      <c r="D13" s="24"/>
      <c r="E13" s="24"/>
      <c r="F13" s="41"/>
      <c r="G13" s="24"/>
      <c r="H13" s="24"/>
      <c r="I13" s="24"/>
      <c r="J13" s="24"/>
      <c r="K13" s="24"/>
      <c r="L13" s="24"/>
      <c r="M13" s="24"/>
      <c r="N13" s="24"/>
      <c r="O13" s="24"/>
      <c r="P13" s="24"/>
      <c r="Q13" s="24"/>
      <c r="R13" s="24"/>
      <c r="S13" s="24"/>
      <c r="T13" s="24"/>
      <c r="U13" s="24"/>
      <c r="V13" s="24"/>
      <c r="W13" s="24"/>
      <c r="X13" s="24"/>
      <c r="Y13" s="82"/>
      <c r="Z13" s="452"/>
      <c r="AA13" s="1408"/>
      <c r="AB13" s="5781"/>
      <c r="AC13" s="5781"/>
      <c r="AD13" s="5781"/>
      <c r="AE13" s="5781"/>
      <c r="AF13" s="5781"/>
      <c r="AG13" s="5781"/>
      <c r="AH13" s="4590"/>
      <c r="AI13" s="3169"/>
      <c r="AJ13" s="3169"/>
      <c r="AK13" s="3169"/>
      <c r="AL13" s="3169"/>
      <c r="AM13" s="3169"/>
      <c r="AN13" s="3169"/>
      <c r="AO13" s="3169"/>
      <c r="AP13" s="3169"/>
      <c r="AQ13" s="3169"/>
      <c r="AR13" s="3169"/>
    </row>
    <row r="14" spans="1:44" ht="13.5" customHeight="1">
      <c r="A14" s="635"/>
      <c r="B14" s="24"/>
      <c r="C14" s="24"/>
      <c r="D14" s="24"/>
      <c r="E14" s="24"/>
      <c r="F14" s="475" t="s">
        <v>308</v>
      </c>
      <c r="G14" s="24"/>
      <c r="H14" s="24"/>
      <c r="I14" s="45"/>
      <c r="J14" s="24"/>
      <c r="K14" s="24"/>
      <c r="L14" s="24"/>
      <c r="M14" s="24"/>
      <c r="N14" s="24"/>
      <c r="O14" s="24"/>
      <c r="P14" s="24"/>
      <c r="Q14" s="24"/>
      <c r="R14" s="24"/>
      <c r="S14" s="45"/>
      <c r="T14" s="439" t="s">
        <v>171</v>
      </c>
      <c r="U14" s="24"/>
      <c r="V14" s="24"/>
      <c r="W14" s="24"/>
      <c r="X14" s="24"/>
      <c r="Y14" s="82"/>
      <c r="Z14" s="461"/>
      <c r="AA14" s="1408"/>
      <c r="AB14" s="1408"/>
      <c r="AC14" s="1408"/>
      <c r="AD14" s="1408"/>
      <c r="AE14" s="1408"/>
      <c r="AF14" s="1408"/>
      <c r="AG14" s="1408"/>
      <c r="AH14" s="4590"/>
      <c r="AI14" s="3169"/>
      <c r="AJ14" s="3169"/>
      <c r="AK14" s="3169"/>
      <c r="AL14" s="3169"/>
      <c r="AM14" s="3169"/>
      <c r="AN14" s="3169"/>
      <c r="AO14" s="3169"/>
      <c r="AP14" s="3169"/>
      <c r="AQ14" s="3169"/>
      <c r="AR14" s="3169"/>
    </row>
    <row r="15" spans="1:44" ht="14.25" customHeight="1">
      <c r="A15" s="635"/>
      <c r="B15" s="440"/>
      <c r="C15" s="40" t="s">
        <v>333</v>
      </c>
      <c r="D15" s="40"/>
      <c r="E15" s="40"/>
      <c r="F15" s="58"/>
      <c r="G15" s="58"/>
      <c r="H15" s="58"/>
      <c r="I15" s="58"/>
      <c r="J15" s="58"/>
      <c r="K15" s="56"/>
      <c r="L15" s="24"/>
      <c r="M15" s="24"/>
      <c r="N15" s="24"/>
      <c r="O15" s="440"/>
      <c r="P15" s="40" t="s">
        <v>161</v>
      </c>
      <c r="Q15" s="40"/>
      <c r="R15" s="40"/>
      <c r="S15" s="58"/>
      <c r="T15" s="58"/>
      <c r="U15" s="58"/>
      <c r="V15" s="56"/>
      <c r="W15" s="24"/>
      <c r="X15" s="24"/>
      <c r="Y15" s="82"/>
      <c r="Z15" s="461"/>
      <c r="AA15" s="1408"/>
      <c r="AB15" s="1408"/>
      <c r="AC15" s="1408"/>
      <c r="AD15" s="1408"/>
      <c r="AE15" s="1408"/>
      <c r="AF15" s="1408"/>
      <c r="AG15" s="1408"/>
      <c r="AH15" s="1408"/>
      <c r="AI15" s="3169"/>
      <c r="AJ15" s="3169"/>
      <c r="AK15" s="3169"/>
      <c r="AL15" s="3169"/>
      <c r="AM15" s="3169"/>
      <c r="AN15" s="3169"/>
      <c r="AO15" s="3169"/>
      <c r="AP15" s="3169"/>
      <c r="AQ15" s="3169"/>
      <c r="AR15" s="3169"/>
    </row>
    <row r="16" spans="1:44" ht="11.25" customHeight="1">
      <c r="A16" s="635"/>
      <c r="B16" s="424"/>
      <c r="C16" s="291" t="s">
        <v>438</v>
      </c>
      <c r="D16" s="291"/>
      <c r="E16" s="291"/>
      <c r="F16" s="127"/>
      <c r="G16" s="127"/>
      <c r="H16" s="127"/>
      <c r="I16" s="127"/>
      <c r="J16" s="127"/>
      <c r="K16" s="425"/>
      <c r="L16" s="441" t="s">
        <v>307</v>
      </c>
      <c r="M16" s="127"/>
      <c r="N16" s="127"/>
      <c r="O16" s="424"/>
      <c r="P16" s="291" t="s">
        <v>490</v>
      </c>
      <c r="Q16" s="291"/>
      <c r="R16" s="291"/>
      <c r="S16" s="127"/>
      <c r="T16" s="127"/>
      <c r="U16" s="127"/>
      <c r="V16" s="425"/>
      <c r="W16" s="441" t="s">
        <v>307</v>
      </c>
      <c r="X16" s="441"/>
      <c r="Y16" s="704"/>
      <c r="Z16" s="461"/>
      <c r="AA16" s="1408"/>
      <c r="AB16" s="1408"/>
      <c r="AC16" s="1408"/>
      <c r="AD16" s="1408"/>
      <c r="AE16" s="1408"/>
      <c r="AF16" s="1408"/>
      <c r="AG16" s="1408"/>
      <c r="AH16" s="1408"/>
      <c r="AI16" s="3169"/>
      <c r="AJ16" s="3169"/>
      <c r="AK16" s="3169"/>
      <c r="AL16" s="3169"/>
      <c r="AM16" s="3169"/>
      <c r="AN16" s="3169"/>
      <c r="AO16" s="3169"/>
      <c r="AP16" s="3169"/>
      <c r="AQ16" s="3169"/>
      <c r="AR16" s="3169"/>
    </row>
    <row r="17" spans="1:44" ht="11.25" customHeight="1">
      <c r="A17" s="635"/>
      <c r="B17" s="424"/>
      <c r="C17" s="291" t="s">
        <v>367</v>
      </c>
      <c r="D17" s="291"/>
      <c r="E17" s="291"/>
      <c r="F17" s="127"/>
      <c r="G17" s="127"/>
      <c r="H17" s="127"/>
      <c r="I17" s="127"/>
      <c r="J17" s="127"/>
      <c r="K17" s="425"/>
      <c r="L17" s="127"/>
      <c r="M17" s="127"/>
      <c r="N17" s="127"/>
      <c r="O17" s="424"/>
      <c r="P17" s="291" t="str">
        <f>"self-employment more than "&amp;TEXT(AC52,"$0,000")&amp;"?"</f>
        <v>self-employment more than $128,400?</v>
      </c>
      <c r="Q17" s="291"/>
      <c r="R17" s="291"/>
      <c r="S17" s="127"/>
      <c r="T17" s="127"/>
      <c r="U17" s="127"/>
      <c r="V17" s="425"/>
      <c r="W17" s="127"/>
      <c r="X17" s="127"/>
      <c r="Y17" s="704"/>
      <c r="Z17" s="452"/>
      <c r="AA17" s="1408"/>
      <c r="AB17" s="1408"/>
      <c r="AC17" s="1408"/>
      <c r="AD17" s="1408"/>
      <c r="AE17" s="1408"/>
      <c r="AF17" s="1408"/>
      <c r="AG17" s="1408"/>
      <c r="AH17" s="1408"/>
      <c r="AI17" s="3169"/>
      <c r="AJ17" s="3169"/>
      <c r="AK17" s="3169"/>
      <c r="AL17" s="3169"/>
      <c r="AM17" s="3169"/>
      <c r="AN17" s="3169"/>
      <c r="AO17" s="3169"/>
      <c r="AP17" s="3169"/>
      <c r="AQ17" s="3169"/>
      <c r="AR17" s="3169"/>
    </row>
    <row r="18" spans="1:44" ht="11.25" customHeight="1">
      <c r="A18" s="635"/>
      <c r="B18" s="442"/>
      <c r="C18" s="443" t="s">
        <v>334</v>
      </c>
      <c r="D18" s="443"/>
      <c r="E18" s="443"/>
      <c r="F18" s="444"/>
      <c r="G18" s="444"/>
      <c r="H18" s="444"/>
      <c r="I18" s="444"/>
      <c r="J18" s="444"/>
      <c r="K18" s="445"/>
      <c r="L18" s="127"/>
      <c r="M18" s="127"/>
      <c r="N18" s="127"/>
      <c r="O18" s="442"/>
      <c r="P18" s="444"/>
      <c r="Q18" s="444"/>
      <c r="R18" s="443"/>
      <c r="S18" s="444"/>
      <c r="T18" s="444"/>
      <c r="U18" s="444"/>
      <c r="V18" s="445"/>
      <c r="W18" s="127"/>
      <c r="X18" s="127"/>
      <c r="Y18" s="704"/>
      <c r="Z18" s="452"/>
      <c r="AA18" s="1408"/>
      <c r="AB18" s="1408"/>
      <c r="AC18" s="1408"/>
      <c r="AD18" s="1408"/>
      <c r="AE18" s="1408"/>
      <c r="AF18" s="1408"/>
      <c r="AG18" s="1408"/>
      <c r="AH18" s="1408"/>
      <c r="AI18" s="3169"/>
      <c r="AJ18" s="3169"/>
      <c r="AK18" s="3169"/>
      <c r="AL18" s="3169"/>
      <c r="AM18" s="3169"/>
      <c r="AN18" s="3169"/>
      <c r="AO18" s="3169"/>
      <c r="AP18" s="3169"/>
      <c r="AQ18" s="3169"/>
      <c r="AR18" s="3169"/>
    </row>
    <row r="19" spans="1:44" ht="6.75" customHeight="1">
      <c r="A19" s="635"/>
      <c r="B19" s="24"/>
      <c r="C19" s="24"/>
      <c r="D19" s="24"/>
      <c r="E19" s="24"/>
      <c r="F19" s="58"/>
      <c r="G19" s="24"/>
      <c r="H19" s="24"/>
      <c r="I19" s="24"/>
      <c r="J19" s="24"/>
      <c r="K19" s="24"/>
      <c r="L19" s="24"/>
      <c r="M19" s="24"/>
      <c r="N19" s="24"/>
      <c r="O19" s="24"/>
      <c r="P19" s="24"/>
      <c r="Q19" s="24"/>
      <c r="R19" s="24"/>
      <c r="S19" s="58"/>
      <c r="T19" s="58"/>
      <c r="U19" s="24"/>
      <c r="V19" s="24"/>
      <c r="W19" s="24"/>
      <c r="X19" s="24"/>
      <c r="Y19" s="82"/>
      <c r="Z19" s="452"/>
      <c r="AA19" s="1408"/>
      <c r="AB19" s="1408"/>
      <c r="AC19" s="1408"/>
      <c r="AD19" s="1408"/>
      <c r="AE19" s="1408"/>
      <c r="AF19" s="1408"/>
      <c r="AG19" s="1408"/>
      <c r="AH19" s="1408"/>
      <c r="AI19" s="3169"/>
      <c r="AJ19" s="3169"/>
      <c r="AK19" s="3169"/>
      <c r="AL19" s="3169"/>
      <c r="AM19" s="3169"/>
      <c r="AN19" s="3169"/>
      <c r="AO19" s="3169"/>
      <c r="AP19" s="3169"/>
      <c r="AQ19" s="3169"/>
      <c r="AR19" s="3169"/>
    </row>
    <row r="20" spans="1:44">
      <c r="A20" s="635"/>
      <c r="B20" s="24"/>
      <c r="C20" s="24"/>
      <c r="D20" s="24"/>
      <c r="E20" s="24"/>
      <c r="F20" s="475" t="s">
        <v>308</v>
      </c>
      <c r="G20" s="24"/>
      <c r="H20" s="24"/>
      <c r="I20" s="24"/>
      <c r="J20" s="24"/>
      <c r="K20" s="24"/>
      <c r="L20" s="24"/>
      <c r="M20" s="24"/>
      <c r="N20" s="24"/>
      <c r="O20" s="24"/>
      <c r="P20" s="24"/>
      <c r="Q20" s="24"/>
      <c r="R20" s="24"/>
      <c r="S20" s="24"/>
      <c r="T20" s="34" t="s">
        <v>172</v>
      </c>
      <c r="U20" s="24"/>
      <c r="V20" s="24"/>
      <c r="W20" s="24"/>
      <c r="X20" s="24"/>
      <c r="Y20" s="82"/>
      <c r="Z20" s="452"/>
      <c r="AA20" s="1408"/>
      <c r="AB20" s="1408"/>
      <c r="AC20" s="1408"/>
      <c r="AD20" s="1408"/>
      <c r="AE20" s="1408"/>
      <c r="AF20" s="1408"/>
      <c r="AG20" s="1408"/>
      <c r="AH20" s="1408"/>
      <c r="AI20" s="3169"/>
      <c r="AJ20" s="3169"/>
      <c r="AK20" s="3169"/>
      <c r="AL20" s="3169"/>
      <c r="AM20" s="3169"/>
      <c r="AN20" s="3169"/>
      <c r="AO20" s="3169"/>
      <c r="AP20" s="3169"/>
      <c r="AQ20" s="3169"/>
      <c r="AR20" s="3169"/>
    </row>
    <row r="21" spans="1:44" ht="6" customHeight="1">
      <c r="A21" s="635"/>
      <c r="B21" s="440"/>
      <c r="C21" s="40"/>
      <c r="D21" s="40"/>
      <c r="E21" s="40"/>
      <c r="F21" s="58"/>
      <c r="G21" s="58"/>
      <c r="H21" s="58"/>
      <c r="I21" s="58"/>
      <c r="J21" s="58"/>
      <c r="K21" s="56"/>
      <c r="L21" s="24"/>
      <c r="M21" s="24"/>
      <c r="N21" s="24"/>
      <c r="O21" s="440"/>
      <c r="P21" s="58"/>
      <c r="Q21" s="58"/>
      <c r="R21" s="58"/>
      <c r="S21" s="58"/>
      <c r="T21" s="58"/>
      <c r="U21" s="58"/>
      <c r="V21" s="56"/>
      <c r="W21" s="24"/>
      <c r="X21" s="24"/>
      <c r="Y21" s="82"/>
      <c r="Z21" s="452"/>
      <c r="AA21" s="1408"/>
      <c r="AB21" s="1408"/>
      <c r="AC21" s="1408"/>
      <c r="AD21" s="1408"/>
      <c r="AE21" s="1408"/>
      <c r="AF21" s="1408"/>
      <c r="AG21" s="1408"/>
      <c r="AH21" s="1408"/>
      <c r="AI21" s="3169"/>
      <c r="AJ21" s="3169"/>
      <c r="AK21" s="3169"/>
      <c r="AL21" s="3169"/>
      <c r="AM21" s="3169"/>
      <c r="AN21" s="3169"/>
      <c r="AO21" s="3169"/>
      <c r="AP21" s="3169"/>
      <c r="AQ21" s="3169"/>
      <c r="AR21" s="3169"/>
    </row>
    <row r="22" spans="1:44">
      <c r="A22" s="635"/>
      <c r="B22" s="424"/>
      <c r="C22" s="291" t="s">
        <v>221</v>
      </c>
      <c r="D22" s="291"/>
      <c r="E22" s="291"/>
      <c r="F22" s="127"/>
      <c r="G22" s="127"/>
      <c r="H22" s="127"/>
      <c r="I22" s="127"/>
      <c r="J22" s="127"/>
      <c r="K22" s="425"/>
      <c r="L22" s="441" t="s">
        <v>307</v>
      </c>
      <c r="M22" s="24"/>
      <c r="N22" s="24"/>
      <c r="O22" s="398"/>
      <c r="P22" s="32" t="s">
        <v>542</v>
      </c>
      <c r="Q22" s="24"/>
      <c r="R22" s="24"/>
      <c r="S22" s="24"/>
      <c r="T22" s="24"/>
      <c r="U22" s="24"/>
      <c r="V22" s="446"/>
      <c r="W22" s="476" t="s">
        <v>307</v>
      </c>
      <c r="X22" s="24"/>
      <c r="Y22" s="82"/>
      <c r="Z22" s="452"/>
      <c r="AA22" s="1408"/>
      <c r="AB22" s="1408"/>
      <c r="AC22" s="1408"/>
      <c r="AD22" s="1408"/>
      <c r="AE22" s="1408"/>
      <c r="AF22" s="1408"/>
      <c r="AG22" s="1408"/>
      <c r="AH22" s="1408"/>
      <c r="AI22" s="3169"/>
      <c r="AJ22" s="3169"/>
      <c r="AK22" s="3169"/>
      <c r="AL22" s="3169"/>
      <c r="AM22" s="3169"/>
      <c r="AN22" s="3169"/>
      <c r="AO22" s="3169"/>
      <c r="AP22" s="3169"/>
      <c r="AQ22" s="3169"/>
      <c r="AR22" s="3169"/>
    </row>
    <row r="23" spans="1:44" ht="13.5" thickBot="1">
      <c r="A23" s="635"/>
      <c r="B23" s="424"/>
      <c r="C23" s="291" t="s">
        <v>740</v>
      </c>
      <c r="D23" s="291"/>
      <c r="E23" s="291"/>
      <c r="F23" s="127"/>
      <c r="G23" s="127"/>
      <c r="H23" s="127"/>
      <c r="I23" s="127"/>
      <c r="J23" s="127"/>
      <c r="K23" s="425"/>
      <c r="L23" s="24"/>
      <c r="M23" s="24"/>
      <c r="N23" s="24"/>
      <c r="O23" s="398"/>
      <c r="P23" s="291" t="s">
        <v>3249</v>
      </c>
      <c r="Q23" s="24"/>
      <c r="R23" s="24"/>
      <c r="S23" s="24"/>
      <c r="T23" s="24"/>
      <c r="U23" s="24"/>
      <c r="V23" s="446"/>
      <c r="W23" s="24"/>
      <c r="X23" s="24"/>
      <c r="Y23" s="82"/>
      <c r="Z23" s="452"/>
      <c r="AA23" s="1408"/>
      <c r="AB23" s="1408"/>
      <c r="AC23" s="1408"/>
      <c r="AD23" s="1408"/>
      <c r="AE23" s="1408"/>
      <c r="AF23" s="1408"/>
      <c r="AG23" s="1408"/>
      <c r="AH23" s="1408"/>
      <c r="AI23" s="3169"/>
      <c r="AJ23" s="3169"/>
      <c r="AK23" s="3169"/>
      <c r="AL23" s="3169"/>
      <c r="AM23" s="3169"/>
      <c r="AN23" s="3169"/>
      <c r="AO23" s="3169"/>
      <c r="AP23" s="3169"/>
      <c r="AQ23" s="3169"/>
      <c r="AR23" s="3169"/>
    </row>
    <row r="24" spans="1:44" ht="7.5" customHeight="1">
      <c r="A24" s="635"/>
      <c r="B24" s="442"/>
      <c r="C24" s="443"/>
      <c r="D24" s="443"/>
      <c r="E24" s="443"/>
      <c r="F24" s="444"/>
      <c r="G24" s="444"/>
      <c r="H24" s="444"/>
      <c r="I24" s="444"/>
      <c r="J24" s="444"/>
      <c r="K24" s="445"/>
      <c r="L24" s="24"/>
      <c r="M24" s="24"/>
      <c r="N24" s="24"/>
      <c r="O24" s="47"/>
      <c r="P24" s="45"/>
      <c r="Q24" s="45"/>
      <c r="R24" s="45"/>
      <c r="S24" s="45"/>
      <c r="T24" s="45"/>
      <c r="U24" s="45"/>
      <c r="V24" s="50"/>
      <c r="W24" s="24"/>
      <c r="X24" s="24"/>
      <c r="Y24" s="82"/>
      <c r="Z24" s="452"/>
      <c r="AA24" s="1408"/>
      <c r="AB24" s="6559" t="str">
        <f>IF(AND(AB32&lt;&gt;"",AB34&lt;&gt;""),"Check only one.",IF(AB32&lt;&gt;"","Short Sch. SE manually selected.",IF(AB34&lt;&gt;"","Long Sch. SE manually selected",IF(AC34,"Short Sch. SE "&amp;CHAR(10)&amp;"auto. selected.",IF(AE34,"Long Sch. SE "&amp;CHAR(10)&amp;"auto. Selected.","")))))</f>
        <v>Short Sch. SE 
auto. selected.</v>
      </c>
      <c r="AC24" s="6560"/>
      <c r="AD24" s="6560"/>
      <c r="AE24" s="6560"/>
      <c r="AF24" s="6561"/>
      <c r="AG24" s="1408"/>
      <c r="AH24" s="1408"/>
      <c r="AI24" s="3169"/>
      <c r="AJ24" s="3169"/>
      <c r="AK24" s="3169"/>
      <c r="AL24" s="3169"/>
      <c r="AM24" s="3169"/>
      <c r="AN24" s="3169"/>
      <c r="AO24" s="3169"/>
      <c r="AP24" s="3169"/>
      <c r="AQ24" s="3169"/>
      <c r="AR24" s="3169"/>
    </row>
    <row r="25" spans="1:44" ht="6.75" customHeight="1">
      <c r="A25" s="635"/>
      <c r="B25" s="24"/>
      <c r="C25" s="24"/>
      <c r="D25" s="24"/>
      <c r="E25" s="24"/>
      <c r="F25" s="58"/>
      <c r="G25" s="24"/>
      <c r="H25" s="24"/>
      <c r="I25" s="24"/>
      <c r="J25" s="24"/>
      <c r="K25" s="24"/>
      <c r="L25" s="24"/>
      <c r="M25" s="24"/>
      <c r="N25" s="24"/>
      <c r="O25" s="24"/>
      <c r="P25" s="24"/>
      <c r="Q25" s="24"/>
      <c r="R25" s="24"/>
      <c r="S25" s="24"/>
      <c r="T25" s="24"/>
      <c r="U25" s="24"/>
      <c r="V25" s="24"/>
      <c r="W25" s="24"/>
      <c r="X25" s="24"/>
      <c r="Y25" s="82"/>
      <c r="Z25" s="452"/>
      <c r="AA25" s="1408"/>
      <c r="AB25" s="6562"/>
      <c r="AC25" s="6563"/>
      <c r="AD25" s="6563"/>
      <c r="AE25" s="6563"/>
      <c r="AF25" s="6564"/>
      <c r="AG25" s="1408"/>
      <c r="AH25" s="1408"/>
      <c r="AI25" s="3169"/>
      <c r="AJ25" s="3169"/>
      <c r="AK25" s="3169"/>
      <c r="AL25" s="3169"/>
      <c r="AM25" s="3169"/>
      <c r="AN25" s="3169"/>
      <c r="AO25" s="3169"/>
      <c r="AP25" s="3169"/>
      <c r="AQ25" s="3169"/>
      <c r="AR25" s="3169"/>
    </row>
    <row r="26" spans="1:44">
      <c r="A26" s="635"/>
      <c r="B26" s="24"/>
      <c r="C26" s="24"/>
      <c r="D26" s="24"/>
      <c r="E26" s="1084">
        <v>108.28</v>
      </c>
      <c r="F26" s="475" t="s">
        <v>308</v>
      </c>
      <c r="G26" s="24"/>
      <c r="H26" s="24"/>
      <c r="I26" s="24"/>
      <c r="J26" s="24"/>
      <c r="K26" s="24"/>
      <c r="L26" s="24"/>
      <c r="M26" s="24"/>
      <c r="N26" s="24"/>
      <c r="O26" s="24"/>
      <c r="P26" s="24"/>
      <c r="Q26" s="24"/>
      <c r="R26" s="24"/>
      <c r="S26" s="45"/>
      <c r="T26" s="34" t="s">
        <v>172</v>
      </c>
      <c r="U26" s="24"/>
      <c r="V26" s="24"/>
      <c r="W26" s="24"/>
      <c r="X26" s="24"/>
      <c r="Y26" s="82"/>
      <c r="Z26" s="452"/>
      <c r="AA26" s="1408"/>
      <c r="AB26" s="6562"/>
      <c r="AC26" s="6563"/>
      <c r="AD26" s="6563"/>
      <c r="AE26" s="6563"/>
      <c r="AF26" s="6564"/>
      <c r="AG26" s="1408"/>
      <c r="AH26" s="1408"/>
      <c r="AI26" s="3169"/>
      <c r="AJ26" s="3169"/>
      <c r="AK26" s="3169"/>
      <c r="AL26" s="3169"/>
      <c r="AM26" s="3169"/>
      <c r="AN26" s="3169"/>
      <c r="AO26" s="3169"/>
      <c r="AP26" s="3169"/>
      <c r="AQ26" s="3169"/>
      <c r="AR26" s="3169"/>
    </row>
    <row r="27" spans="1:44" ht="6" customHeight="1">
      <c r="A27" s="635"/>
      <c r="B27" s="440"/>
      <c r="C27" s="40"/>
      <c r="D27" s="40"/>
      <c r="E27" s="40"/>
      <c r="F27" s="58"/>
      <c r="G27" s="58"/>
      <c r="H27" s="58"/>
      <c r="I27" s="58"/>
      <c r="J27" s="58"/>
      <c r="K27" s="56"/>
      <c r="L27" s="24"/>
      <c r="M27" s="24"/>
      <c r="N27" s="24"/>
      <c r="O27" s="440"/>
      <c r="P27" s="58"/>
      <c r="Q27" s="58"/>
      <c r="R27" s="40"/>
      <c r="S27" s="58"/>
      <c r="T27" s="58"/>
      <c r="U27" s="58"/>
      <c r="V27" s="56"/>
      <c r="W27" s="24"/>
      <c r="X27" s="24"/>
      <c r="Y27" s="82"/>
      <c r="Z27" s="452"/>
      <c r="AA27" s="1408"/>
      <c r="AB27" s="6562"/>
      <c r="AC27" s="6563"/>
      <c r="AD27" s="6563"/>
      <c r="AE27" s="6563"/>
      <c r="AF27" s="6564"/>
      <c r="AG27" s="1408"/>
      <c r="AH27" s="1408"/>
      <c r="AI27" s="3169"/>
      <c r="AJ27" s="3169"/>
      <c r="AK27" s="3169"/>
      <c r="AL27" s="3169"/>
      <c r="AM27" s="3169"/>
      <c r="AN27" s="3169"/>
      <c r="AO27" s="3169"/>
      <c r="AP27" s="3169"/>
      <c r="AQ27" s="3169"/>
      <c r="AR27" s="3169"/>
    </row>
    <row r="28" spans="1:44">
      <c r="A28" s="635"/>
      <c r="B28" s="424"/>
      <c r="C28" s="291" t="s">
        <v>170</v>
      </c>
      <c r="D28" s="291"/>
      <c r="E28" s="291"/>
      <c r="F28" s="127"/>
      <c r="G28" s="127"/>
      <c r="H28" s="127"/>
      <c r="I28" s="127"/>
      <c r="J28" s="127"/>
      <c r="K28" s="425"/>
      <c r="L28" s="441" t="s">
        <v>307</v>
      </c>
      <c r="M28" s="24"/>
      <c r="N28" s="52" t="s">
        <v>308</v>
      </c>
      <c r="O28" s="424"/>
      <c r="P28" s="291" t="s">
        <v>265</v>
      </c>
      <c r="Q28" s="291"/>
      <c r="R28" s="291"/>
      <c r="S28" s="127"/>
      <c r="T28" s="127"/>
      <c r="U28" s="127"/>
      <c r="V28" s="425"/>
      <c r="W28" s="476" t="s">
        <v>307</v>
      </c>
      <c r="X28" s="441"/>
      <c r="Y28" s="82"/>
      <c r="Z28" s="452"/>
      <c r="AA28" s="1408"/>
      <c r="AB28" s="6562"/>
      <c r="AC28" s="6563"/>
      <c r="AD28" s="6563"/>
      <c r="AE28" s="6563"/>
      <c r="AF28" s="6564"/>
      <c r="AG28" s="1408"/>
      <c r="AH28" s="1408"/>
      <c r="AI28" s="3169"/>
      <c r="AJ28" s="3169"/>
      <c r="AK28" s="3169"/>
      <c r="AL28" s="3169"/>
      <c r="AM28" s="3169"/>
      <c r="AN28" s="3169"/>
      <c r="AO28" s="3169"/>
      <c r="AP28" s="3169"/>
      <c r="AQ28" s="3169"/>
      <c r="AR28" s="3169"/>
    </row>
    <row r="29" spans="1:44" ht="13.5" thickBot="1">
      <c r="A29" s="635"/>
      <c r="B29" s="424"/>
      <c r="C29" s="291" t="str">
        <f>"W-2 of "&amp;TEXT(E26,"$0.00")&amp;" or more?"</f>
        <v>W-2 of $108.28 or more?</v>
      </c>
      <c r="D29" s="291"/>
      <c r="E29" s="291"/>
      <c r="F29" s="127"/>
      <c r="G29" s="127"/>
      <c r="H29" s="127"/>
      <c r="I29" s="127"/>
      <c r="J29" s="127"/>
      <c r="K29" s="425"/>
      <c r="L29" s="24"/>
      <c r="M29" s="24"/>
      <c r="N29" s="24"/>
      <c r="O29" s="424"/>
      <c r="P29" s="291" t="s">
        <v>266</v>
      </c>
      <c r="Q29" s="291"/>
      <c r="R29" s="291"/>
      <c r="S29" s="127"/>
      <c r="T29" s="127"/>
      <c r="U29" s="127"/>
      <c r="V29" s="425"/>
      <c r="W29" s="24"/>
      <c r="X29" s="24"/>
      <c r="Y29" s="82"/>
      <c r="Z29" s="452"/>
      <c r="AA29" s="1408"/>
      <c r="AB29" s="6565"/>
      <c r="AC29" s="6566"/>
      <c r="AD29" s="6566"/>
      <c r="AE29" s="6566"/>
      <c r="AF29" s="6567"/>
      <c r="AG29" s="1408"/>
      <c r="AH29" s="1408"/>
      <c r="AI29" s="3169"/>
      <c r="AJ29" s="3169"/>
      <c r="AK29" s="3169"/>
      <c r="AL29" s="3169"/>
      <c r="AM29" s="3169"/>
      <c r="AN29" s="3169"/>
      <c r="AO29" s="3169"/>
      <c r="AP29" s="3169"/>
      <c r="AQ29" s="3169"/>
      <c r="AR29" s="3169"/>
    </row>
    <row r="30" spans="1:44" ht="6.75" customHeight="1">
      <c r="A30" s="635"/>
      <c r="B30" s="442"/>
      <c r="C30" s="443"/>
      <c r="D30" s="443"/>
      <c r="E30" s="443"/>
      <c r="F30" s="444"/>
      <c r="G30" s="444"/>
      <c r="H30" s="444"/>
      <c r="I30" s="444"/>
      <c r="J30" s="444"/>
      <c r="K30" s="445"/>
      <c r="L30" s="24"/>
      <c r="M30" s="24"/>
      <c r="N30" s="24"/>
      <c r="O30" s="442"/>
      <c r="P30" s="444"/>
      <c r="Q30" s="444"/>
      <c r="R30" s="443"/>
      <c r="S30" s="444"/>
      <c r="T30" s="444"/>
      <c r="U30" s="444"/>
      <c r="V30" s="445"/>
      <c r="W30" s="24"/>
      <c r="X30" s="24"/>
      <c r="Y30" s="82"/>
      <c r="Z30" s="452"/>
      <c r="AA30" s="1408"/>
      <c r="AB30" s="1408"/>
      <c r="AC30" s="1408"/>
      <c r="AD30" s="1408"/>
      <c r="AE30" s="1408"/>
      <c r="AF30" s="1408"/>
      <c r="AG30" s="1408"/>
      <c r="AH30" s="1408"/>
      <c r="AI30" s="3169"/>
      <c r="AJ30" s="3169"/>
      <c r="AK30" s="3169"/>
      <c r="AL30" s="3169"/>
      <c r="AM30" s="3169"/>
      <c r="AN30" s="3169"/>
      <c r="AO30" s="3169"/>
      <c r="AP30" s="3169"/>
      <c r="AQ30" s="3169"/>
      <c r="AR30" s="3169"/>
    </row>
    <row r="31" spans="1:44" ht="6.75" customHeight="1" thickBot="1">
      <c r="A31" s="635"/>
      <c r="B31" s="24"/>
      <c r="C31" s="24"/>
      <c r="D31" s="24"/>
      <c r="E31" s="24"/>
      <c r="F31" s="58"/>
      <c r="G31" s="24"/>
      <c r="H31" s="24"/>
      <c r="I31" s="24"/>
      <c r="J31" s="24"/>
      <c r="K31" s="24"/>
      <c r="L31" s="24"/>
      <c r="M31" s="24"/>
      <c r="N31" s="24"/>
      <c r="O31" s="24"/>
      <c r="P31" s="24"/>
      <c r="Q31" s="24"/>
      <c r="R31" s="24"/>
      <c r="S31" s="24"/>
      <c r="T31" s="58"/>
      <c r="U31" s="24"/>
      <c r="V31" s="24"/>
      <c r="W31" s="24"/>
      <c r="X31" s="24"/>
      <c r="Y31" s="82"/>
      <c r="Z31" s="452"/>
      <c r="AA31" s="1408"/>
      <c r="AB31" s="1408"/>
      <c r="AC31" s="1408"/>
      <c r="AD31" s="1408"/>
      <c r="AE31" s="1408"/>
      <c r="AF31" s="1408"/>
      <c r="AG31" s="1408"/>
      <c r="AH31" s="1408"/>
      <c r="AI31" s="3169"/>
      <c r="AJ31" s="3169"/>
      <c r="AK31" s="3169"/>
      <c r="AL31" s="3169"/>
      <c r="AM31" s="3169"/>
      <c r="AN31" s="3169"/>
      <c r="AO31" s="3169"/>
      <c r="AP31" s="3169"/>
      <c r="AQ31" s="3169"/>
      <c r="AR31" s="3169"/>
    </row>
    <row r="32" spans="1:44" ht="13.5" thickBot="1">
      <c r="A32" s="635"/>
      <c r="B32" s="24"/>
      <c r="C32" s="24"/>
      <c r="D32" s="24"/>
      <c r="E32" s="24"/>
      <c r="F32" s="475" t="s">
        <v>308</v>
      </c>
      <c r="G32" s="24"/>
      <c r="H32" s="24"/>
      <c r="I32" s="24"/>
      <c r="J32" s="24"/>
      <c r="K32" s="24"/>
      <c r="L32" s="24"/>
      <c r="M32" s="24"/>
      <c r="N32" s="24"/>
      <c r="O32" s="24"/>
      <c r="P32" s="24"/>
      <c r="Q32" s="24"/>
      <c r="R32" s="24"/>
      <c r="S32" s="24"/>
      <c r="T32" s="45"/>
      <c r="U32" s="24"/>
      <c r="V32" s="24"/>
      <c r="W32" s="45"/>
      <c r="X32" s="24"/>
      <c r="Y32" s="82"/>
      <c r="Z32" s="452"/>
      <c r="AB32" s="1445"/>
      <c r="AF32" s="4173" t="s">
        <v>3475</v>
      </c>
      <c r="AG32" s="1408"/>
      <c r="AH32" s="1408"/>
      <c r="AI32" s="3169"/>
      <c r="AJ32" s="3169"/>
      <c r="AK32" s="3169"/>
      <c r="AL32" s="3169"/>
      <c r="AM32" s="3169"/>
      <c r="AN32" s="3169"/>
      <c r="AO32" s="3169"/>
      <c r="AP32" s="3169"/>
      <c r="AQ32" s="3169"/>
      <c r="AR32" s="3169"/>
    </row>
    <row r="33" spans="1:44" ht="6" customHeight="1" thickBot="1">
      <c r="A33" s="635"/>
      <c r="B33" s="440"/>
      <c r="C33" s="40"/>
      <c r="D33" s="40"/>
      <c r="E33" s="40"/>
      <c r="F33" s="58"/>
      <c r="G33" s="58"/>
      <c r="H33" s="58"/>
      <c r="I33" s="58"/>
      <c r="J33" s="58"/>
      <c r="K33" s="56"/>
      <c r="L33" s="24"/>
      <c r="M33" s="24"/>
      <c r="N33" s="24"/>
      <c r="O33" s="440"/>
      <c r="P33" s="58"/>
      <c r="Q33" s="58"/>
      <c r="R33" s="40"/>
      <c r="S33" s="58"/>
      <c r="T33" s="58"/>
      <c r="U33" s="58"/>
      <c r="V33" s="58"/>
      <c r="W33" s="56"/>
      <c r="X33" s="398"/>
      <c r="Y33" s="82"/>
      <c r="Z33" s="452"/>
      <c r="AA33" s="1408"/>
      <c r="AB33" s="1408"/>
      <c r="AF33" s="1408"/>
      <c r="AG33" s="1408"/>
      <c r="AH33" s="1408"/>
      <c r="AI33" s="3169"/>
      <c r="AJ33" s="3169"/>
      <c r="AK33" s="3169"/>
      <c r="AL33" s="3169"/>
      <c r="AM33" s="3169"/>
      <c r="AN33" s="3169"/>
      <c r="AO33" s="3169"/>
      <c r="AP33" s="3169"/>
      <c r="AQ33" s="3169"/>
      <c r="AR33" s="3169"/>
    </row>
    <row r="34" spans="1:44" ht="13.5" customHeight="1" thickBot="1">
      <c r="A34" s="635"/>
      <c r="B34" s="424"/>
      <c r="C34" s="2296" t="str">
        <f>IF(AB32&lt;&gt;"","X",IF(AB34&lt;&gt;"","",IF(AC34,"X","")))</f>
        <v>X</v>
      </c>
      <c r="D34" s="2926" t="s">
        <v>755</v>
      </c>
      <c r="E34" s="448"/>
      <c r="F34" s="2925"/>
      <c r="G34" s="127"/>
      <c r="H34" s="127"/>
      <c r="I34" s="127"/>
      <c r="J34" s="127"/>
      <c r="K34" s="425"/>
      <c r="L34" s="24"/>
      <c r="M34" s="24"/>
      <c r="N34" s="446"/>
      <c r="O34" s="424"/>
      <c r="P34" s="2296" t="str">
        <f>IF(AB34&lt;&gt;"","X",IF(AB32&lt;&gt;"","",IF(AE34,"X","")))</f>
        <v/>
      </c>
      <c r="Q34" s="2926" t="s">
        <v>756</v>
      </c>
      <c r="R34" s="2922"/>
      <c r="S34" s="2922"/>
      <c r="T34" s="2925"/>
      <c r="U34" s="2923"/>
      <c r="V34" s="2923"/>
      <c r="W34" s="2924"/>
      <c r="X34" s="398"/>
      <c r="Y34" s="82"/>
      <c r="Z34" s="4169" t="str">
        <f>IF(AND(C34="",P34=""),"&lt;  Check one.",IF(AND(C34&lt;&gt;"",P34&lt;&gt;""),"Check only one.",""))</f>
        <v/>
      </c>
      <c r="AB34" s="1445"/>
      <c r="AC34" t="b">
        <f>IF(ISERROR(AE57&lt;=AE101),FALSE,AE57&lt;=AE101)</f>
        <v>1</v>
      </c>
      <c r="AE34" t="b">
        <f>IF(ISERROR(AE57&gt;AE101),FALSE,AE57&gt;AE101)</f>
        <v>0</v>
      </c>
      <c r="AF34" s="4173" t="s">
        <v>3476</v>
      </c>
      <c r="AG34" s="1408"/>
      <c r="AH34" s="1408"/>
      <c r="AI34" s="3169"/>
      <c r="AJ34" s="3169"/>
      <c r="AK34" s="3169"/>
      <c r="AL34" s="3169"/>
      <c r="AM34" s="3169"/>
      <c r="AN34" s="3169"/>
      <c r="AO34" s="3169"/>
      <c r="AP34" s="3169"/>
      <c r="AQ34" s="3169"/>
      <c r="AR34" s="3169"/>
    </row>
    <row r="35" spans="1:44" ht="6" customHeight="1">
      <c r="A35" s="635"/>
      <c r="B35" s="442"/>
      <c r="C35" s="443"/>
      <c r="D35" s="443"/>
      <c r="E35" s="443"/>
      <c r="F35" s="444"/>
      <c r="G35" s="444"/>
      <c r="H35" s="444"/>
      <c r="I35" s="444"/>
      <c r="J35" s="444"/>
      <c r="K35" s="445"/>
      <c r="L35" s="24"/>
      <c r="M35" s="24"/>
      <c r="N35" s="24"/>
      <c r="O35" s="442"/>
      <c r="P35" s="444"/>
      <c r="Q35" s="444"/>
      <c r="R35" s="443"/>
      <c r="S35" s="444"/>
      <c r="T35" s="444"/>
      <c r="U35" s="444"/>
      <c r="V35" s="444"/>
      <c r="W35" s="50"/>
      <c r="X35" s="398"/>
      <c r="Y35" s="82"/>
      <c r="Z35" s="452"/>
      <c r="AA35" s="1408"/>
      <c r="AB35" s="1408"/>
      <c r="AC35" s="1408"/>
      <c r="AD35" s="1408"/>
      <c r="AE35" s="1408"/>
      <c r="AF35" s="1408"/>
      <c r="AG35" s="1408"/>
      <c r="AH35" s="1408"/>
      <c r="AI35" s="3169"/>
      <c r="AJ35" s="3169"/>
      <c r="AK35" s="3169"/>
      <c r="AL35" s="3169"/>
      <c r="AM35" s="3169"/>
      <c r="AN35" s="3169"/>
      <c r="AO35" s="3169"/>
      <c r="AP35" s="3169"/>
      <c r="AQ35" s="3169"/>
      <c r="AR35" s="3169"/>
    </row>
    <row r="36" spans="1:44">
      <c r="A36" s="635"/>
      <c r="B36" s="45"/>
      <c r="C36" s="45"/>
      <c r="D36" s="45"/>
      <c r="E36" s="2929" t="b">
        <f>IF(AND(C34&lt;&gt;"",P34=""),TRUE,FALSE)</f>
        <v>1</v>
      </c>
      <c r="F36" s="45"/>
      <c r="G36" s="45"/>
      <c r="H36" s="45"/>
      <c r="I36" s="937"/>
      <c r="J36" s="937"/>
      <c r="K36" s="937"/>
      <c r="L36" s="934"/>
      <c r="M36" s="936" t="str">
        <f>IF(AND($C$34="",$P$34=""),"Check one.  Hint: Try each to see which results in smallest tax consequence!",IF(AND($C$34&lt;&gt;"",$P$34&lt;&gt;""),"Check only one.",""))</f>
        <v/>
      </c>
      <c r="N36" s="934"/>
      <c r="O36" s="45"/>
      <c r="P36" s="45"/>
      <c r="Q36" s="45"/>
      <c r="R36" s="45"/>
      <c r="S36" s="45"/>
      <c r="T36" s="45"/>
      <c r="U36" s="45"/>
      <c r="V36" s="2929" t="b">
        <f>IF(AND(P34&lt;&gt;"",C34=""),TRUE,FALSE)</f>
        <v>0</v>
      </c>
      <c r="W36" s="45"/>
      <c r="X36" s="45"/>
      <c r="Y36" s="82"/>
      <c r="Z36" s="452"/>
      <c r="AA36" s="1408"/>
      <c r="AB36" s="1408"/>
      <c r="AC36" s="1408"/>
      <c r="AD36" s="1408"/>
      <c r="AE36" s="1408"/>
      <c r="AF36" s="1408"/>
      <c r="AG36" s="1408"/>
      <c r="AH36" s="1408"/>
      <c r="AI36" s="3169"/>
      <c r="AJ36" s="3169"/>
      <c r="AK36" s="3169"/>
      <c r="AL36" s="3169"/>
      <c r="AM36" s="3169"/>
      <c r="AN36" s="3169"/>
      <c r="AO36" s="3169"/>
      <c r="AP36" s="3169"/>
      <c r="AQ36" s="3169"/>
      <c r="AR36" s="3169"/>
    </row>
    <row r="37" spans="1:44" ht="5.25" customHeight="1">
      <c r="A37" s="635"/>
      <c r="B37" s="24"/>
      <c r="C37" s="24"/>
      <c r="D37" s="24"/>
      <c r="E37" s="24"/>
      <c r="F37" s="24"/>
      <c r="G37" s="24"/>
      <c r="H37" s="24"/>
      <c r="I37" s="24"/>
      <c r="J37" s="24"/>
      <c r="K37" s="24"/>
      <c r="L37" s="24"/>
      <c r="M37" s="24"/>
      <c r="N37" s="24"/>
      <c r="O37" s="24"/>
      <c r="P37" s="24"/>
      <c r="Q37" s="24"/>
      <c r="R37" s="24"/>
      <c r="S37" s="24"/>
      <c r="T37" s="24"/>
      <c r="U37" s="24"/>
      <c r="V37" s="24"/>
      <c r="W37" s="24"/>
      <c r="X37" s="24"/>
      <c r="Y37" s="82"/>
      <c r="Z37" s="5785" t="s">
        <v>2146</v>
      </c>
      <c r="AA37" s="1408"/>
      <c r="AB37" s="1408"/>
      <c r="AC37" s="1408"/>
      <c r="AD37" s="1408"/>
      <c r="AE37" s="1408"/>
      <c r="AF37" s="1408"/>
      <c r="AG37" s="1408"/>
      <c r="AH37" s="1408"/>
      <c r="AI37" s="3169"/>
      <c r="AJ37" s="3169"/>
      <c r="AK37" s="3169"/>
      <c r="AL37" s="3169"/>
      <c r="AM37" s="3169"/>
      <c r="AN37" s="3169"/>
      <c r="AO37" s="3169"/>
      <c r="AP37" s="3169"/>
      <c r="AQ37" s="3169"/>
      <c r="AR37" s="3169"/>
    </row>
    <row r="38" spans="1:44" ht="15" customHeight="1">
      <c r="A38" s="635"/>
      <c r="B38" s="449" t="s">
        <v>185</v>
      </c>
      <c r="C38" s="127"/>
      <c r="D38" s="127"/>
      <c r="E38" s="127"/>
      <c r="F38" s="127"/>
      <c r="G38" s="127"/>
      <c r="H38" s="127"/>
      <c r="I38" s="127"/>
      <c r="J38" s="127"/>
      <c r="K38" s="127"/>
      <c r="L38" s="127"/>
      <c r="M38" s="127"/>
      <c r="N38" s="127"/>
      <c r="O38" s="127"/>
      <c r="P38" s="127"/>
      <c r="Q38" s="127"/>
      <c r="R38" s="127"/>
      <c r="S38" s="127"/>
      <c r="T38" s="127"/>
      <c r="U38" s="127"/>
      <c r="V38" s="127"/>
      <c r="W38" s="127"/>
      <c r="X38" s="127"/>
      <c r="Y38" s="704"/>
      <c r="Z38" s="5527"/>
      <c r="AA38" s="1408"/>
      <c r="AB38" s="1408"/>
      <c r="AC38" s="1408"/>
      <c r="AD38" s="1408"/>
      <c r="AE38" s="1408"/>
      <c r="AF38" s="1408"/>
      <c r="AG38" s="1408"/>
      <c r="AH38" s="1408"/>
      <c r="AI38" s="3169"/>
      <c r="AJ38" s="3169"/>
      <c r="AK38" s="3169"/>
      <c r="AL38" s="3169"/>
      <c r="AM38" s="3169"/>
      <c r="AN38" s="3169"/>
      <c r="AO38" s="3169"/>
      <c r="AP38" s="3169"/>
      <c r="AQ38" s="3169"/>
      <c r="AR38" s="3169"/>
    </row>
    <row r="39" spans="1:44" ht="6.75" customHeight="1">
      <c r="A39" s="635"/>
      <c r="B39" s="45"/>
      <c r="C39" s="45"/>
      <c r="D39" s="45"/>
      <c r="E39" s="45"/>
      <c r="F39" s="45"/>
      <c r="G39" s="45"/>
      <c r="H39" s="45"/>
      <c r="I39" s="45"/>
      <c r="J39" s="45"/>
      <c r="K39" s="45"/>
      <c r="L39" s="45"/>
      <c r="M39" s="45"/>
      <c r="N39" s="45"/>
      <c r="O39" s="45"/>
      <c r="P39" s="45"/>
      <c r="Q39" s="45"/>
      <c r="R39" s="45"/>
      <c r="S39" s="45"/>
      <c r="T39" s="45"/>
      <c r="U39" s="45"/>
      <c r="V39" s="45"/>
      <c r="W39" s="45"/>
      <c r="X39" s="45"/>
      <c r="Y39" s="82"/>
      <c r="Z39" s="5527"/>
      <c r="AA39" s="1408"/>
      <c r="AB39" s="1408"/>
      <c r="AC39" s="1408"/>
      <c r="AD39" s="1408"/>
      <c r="AE39" s="1408"/>
      <c r="AF39" s="1408"/>
      <c r="AG39" s="1408"/>
      <c r="AH39" s="1408"/>
      <c r="AI39" s="3169"/>
      <c r="AJ39" s="3169"/>
      <c r="AK39" s="3169"/>
      <c r="AL39" s="3169"/>
      <c r="AM39" s="3169"/>
      <c r="AN39" s="3169"/>
      <c r="AO39" s="3169"/>
      <c r="AP39" s="3169"/>
      <c r="AQ39" s="3169"/>
      <c r="AR39" s="3169"/>
    </row>
    <row r="40" spans="1:44" ht="12.75" customHeight="1" thickBot="1">
      <c r="A40" s="635"/>
      <c r="B40" s="24"/>
      <c r="C40" s="52" t="s">
        <v>14</v>
      </c>
      <c r="D40" s="74" t="s">
        <v>741</v>
      </c>
      <c r="E40" s="24"/>
      <c r="F40" s="24"/>
      <c r="G40" s="24"/>
      <c r="H40" s="24"/>
      <c r="I40" s="24"/>
      <c r="J40" s="24"/>
      <c r="K40" s="24"/>
      <c r="L40" s="24"/>
      <c r="M40" s="24"/>
      <c r="N40" s="24"/>
      <c r="O40" s="24"/>
      <c r="P40" s="24"/>
      <c r="Q40" s="24"/>
      <c r="R40" s="24"/>
      <c r="S40" s="24"/>
      <c r="T40" s="24"/>
      <c r="U40" s="440"/>
      <c r="V40" s="6601"/>
      <c r="W40" s="5849"/>
      <c r="X40" s="5849"/>
      <c r="Y40" s="82"/>
      <c r="Z40" s="452"/>
      <c r="AA40" s="1408"/>
      <c r="AB40" s="1408"/>
      <c r="AC40" s="1408"/>
      <c r="AD40" s="1408"/>
      <c r="AE40" s="1408"/>
      <c r="AF40" s="1408"/>
      <c r="AG40" s="1408"/>
      <c r="AH40" s="1408"/>
      <c r="AI40" s="3169"/>
      <c r="AJ40" s="3169"/>
      <c r="AK40" s="3169"/>
      <c r="AL40" s="3169"/>
      <c r="AM40" s="3169"/>
      <c r="AN40" s="3169"/>
      <c r="AO40" s="3169"/>
      <c r="AP40" s="3169"/>
      <c r="AQ40" s="3169"/>
      <c r="AR40" s="3169"/>
    </row>
    <row r="41" spans="1:44" ht="14.25" customHeight="1" thickBot="1">
      <c r="A41" s="635"/>
      <c r="B41" s="127"/>
      <c r="C41" s="422"/>
      <c r="D41" s="127" t="s">
        <v>439</v>
      </c>
      <c r="E41" s="127"/>
      <c r="F41" s="127"/>
      <c r="G41" s="127"/>
      <c r="H41" s="127"/>
      <c r="I41" s="127"/>
      <c r="J41" s="127"/>
      <c r="K41" s="127"/>
      <c r="L41" s="127"/>
      <c r="M41" s="127"/>
      <c r="N41" s="127"/>
      <c r="O41" s="127"/>
      <c r="P41" s="127"/>
      <c r="Q41" s="127"/>
      <c r="R41" s="127"/>
      <c r="S41" s="127"/>
      <c r="T41" s="566" t="s">
        <v>493</v>
      </c>
      <c r="U41" s="451" t="s">
        <v>14</v>
      </c>
      <c r="V41" s="6588">
        <f>IF(Z41&lt;&gt;"",ROUND(Z41,0),IF(AND(E36,SchF_SchSE_1),FarmProfitNet,""))</f>
        <v>0</v>
      </c>
      <c r="W41" s="6589"/>
      <c r="X41" s="6589"/>
      <c r="Y41" s="704"/>
      <c r="Z41" s="4256"/>
      <c r="AA41" s="452"/>
      <c r="AB41" s="452"/>
      <c r="AE41" s="4133">
        <f>IF(Z41&lt;&gt;"",ROUND(Z41,0),FarmProfitNet)</f>
        <v>0</v>
      </c>
      <c r="AF41" s="452"/>
      <c r="AG41" s="452"/>
      <c r="AH41" s="452"/>
      <c r="AI41" s="3169"/>
      <c r="AJ41" s="3169"/>
      <c r="AK41" s="3169"/>
      <c r="AL41" s="3169"/>
      <c r="AM41" s="3169"/>
      <c r="AN41" s="3169"/>
      <c r="AO41" s="3169"/>
      <c r="AP41" s="3169"/>
      <c r="AQ41" s="3169"/>
      <c r="AR41" s="3169"/>
    </row>
    <row r="42" spans="1:44" ht="12.75" customHeight="1">
      <c r="A42" s="635"/>
      <c r="B42" s="24"/>
      <c r="C42" s="52" t="s">
        <v>17</v>
      </c>
      <c r="D42" s="60" t="s">
        <v>529</v>
      </c>
      <c r="E42" s="24"/>
      <c r="F42" s="24"/>
      <c r="G42" s="24"/>
      <c r="H42" s="24"/>
      <c r="I42" s="24"/>
      <c r="J42" s="24"/>
      <c r="K42" s="24"/>
      <c r="L42" s="24"/>
      <c r="M42" s="24"/>
      <c r="N42" s="24"/>
      <c r="O42" s="24"/>
      <c r="P42" s="24"/>
      <c r="Q42" s="24"/>
      <c r="R42" s="24"/>
      <c r="S42" s="24"/>
      <c r="T42" s="24"/>
      <c r="U42" s="440"/>
      <c r="V42" s="6601"/>
      <c r="W42" s="5849"/>
      <c r="X42" s="5849"/>
      <c r="Y42" s="82"/>
      <c r="Z42" s="452"/>
      <c r="AA42" s="452"/>
      <c r="AB42" s="2115" t="s">
        <v>4142</v>
      </c>
      <c r="AC42" s="2104"/>
      <c r="AD42" s="2104"/>
      <c r="AE42" s="2104"/>
      <c r="AF42" s="2104"/>
      <c r="AG42" s="2105"/>
      <c r="AH42" s="452"/>
      <c r="AI42" s="3169"/>
      <c r="AJ42" s="3169"/>
      <c r="AK42" s="3169"/>
      <c r="AL42" s="3169"/>
      <c r="AM42" s="3169"/>
      <c r="AN42" s="3169"/>
      <c r="AO42" s="3169"/>
      <c r="AP42" s="3169"/>
      <c r="AQ42" s="3169"/>
      <c r="AR42" s="3169"/>
    </row>
    <row r="43" spans="1:44" ht="14.25" customHeight="1">
      <c r="A43" s="635"/>
      <c r="B43" s="127"/>
      <c r="C43" s="422"/>
      <c r="D43" s="502" t="s">
        <v>3250</v>
      </c>
      <c r="E43" s="127"/>
      <c r="F43" s="127"/>
      <c r="G43" s="127"/>
      <c r="H43" s="127"/>
      <c r="I43" s="127"/>
      <c r="J43" s="127"/>
      <c r="K43" s="127"/>
      <c r="L43" s="127"/>
      <c r="M43" s="127"/>
      <c r="N43" s="127"/>
      <c r="O43" s="127"/>
      <c r="P43" s="127"/>
      <c r="Q43" s="127"/>
      <c r="R43" s="127"/>
      <c r="S43" s="127"/>
      <c r="T43" s="1699" t="s">
        <v>3251</v>
      </c>
      <c r="U43" s="451" t="s">
        <v>17</v>
      </c>
      <c r="V43" s="6680"/>
      <c r="W43" s="6681"/>
      <c r="X43" s="6681"/>
      <c r="Y43" s="704"/>
      <c r="Z43" s="3063" t="str">
        <f>IF(AND($E$36,SchC_StatutoryEmp_1&lt;&gt;""),"See instructions:","")</f>
        <v/>
      </c>
      <c r="AA43" s="452"/>
      <c r="AB43" s="2870" t="s">
        <v>4138</v>
      </c>
      <c r="AC43" s="1408"/>
      <c r="AD43" s="1408"/>
      <c r="AE43" s="4591">
        <f>IF(V43&lt;&gt;"",ROUND(V43,0),0)</f>
        <v>0</v>
      </c>
      <c r="AF43" s="1408"/>
      <c r="AG43" s="2107"/>
      <c r="AH43" s="452"/>
      <c r="AI43" s="3169"/>
      <c r="AJ43" s="3169"/>
      <c r="AK43" s="3169"/>
      <c r="AL43" s="3169"/>
      <c r="AM43" s="3169"/>
      <c r="AN43" s="3169"/>
      <c r="AO43" s="3169"/>
      <c r="AP43" s="3169"/>
      <c r="AQ43" s="3169"/>
      <c r="AR43" s="3169"/>
    </row>
    <row r="44" spans="1:44">
      <c r="A44" s="635"/>
      <c r="B44" s="24"/>
      <c r="C44" s="52">
        <v>2</v>
      </c>
      <c r="D44" s="24" t="s">
        <v>137</v>
      </c>
      <c r="E44" s="24"/>
      <c r="F44" s="24"/>
      <c r="G44" s="24"/>
      <c r="H44" s="24"/>
      <c r="I44" s="24"/>
      <c r="J44" s="24"/>
      <c r="K44" s="24"/>
      <c r="L44" s="24"/>
      <c r="M44" s="24"/>
      <c r="N44" s="24"/>
      <c r="O44" s="24"/>
      <c r="P44" s="24"/>
      <c r="Q44" s="24"/>
      <c r="R44" s="24"/>
      <c r="S44" s="24"/>
      <c r="T44" s="24"/>
      <c r="U44" s="57"/>
      <c r="V44" s="6617" t="str">
        <f>IF(AND($V$43&lt;&gt;"",$V$43&gt;0),"Please enter the","")</f>
        <v/>
      </c>
      <c r="W44" s="6618"/>
      <c r="X44" s="6618"/>
      <c r="Y44" s="82"/>
      <c r="Z44" s="3062" t="str">
        <f>IF(AND($E$36,SchC_StatutoryEmp_1&lt;&gt;""),"Statuatory employee","")</f>
        <v/>
      </c>
      <c r="AA44" s="452"/>
      <c r="AB44" s="2870" t="s">
        <v>4139</v>
      </c>
      <c r="AC44" s="1408"/>
      <c r="AD44" s="1408"/>
      <c r="AE44" s="1408"/>
      <c r="AF44" s="1766"/>
      <c r="AG44" s="2107"/>
      <c r="AH44" s="452"/>
      <c r="AI44" s="3169"/>
      <c r="AJ44" s="3169"/>
      <c r="AK44" s="3169"/>
      <c r="AL44" s="3169"/>
      <c r="AM44" s="3169"/>
      <c r="AN44" s="3169"/>
      <c r="AO44" s="3169"/>
      <c r="AP44" s="3169"/>
      <c r="AQ44" s="3169"/>
      <c r="AR44" s="3169"/>
    </row>
    <row r="45" spans="1:44">
      <c r="A45" s="635"/>
      <c r="B45" s="24"/>
      <c r="C45" s="52"/>
      <c r="D45" s="24" t="s">
        <v>491</v>
      </c>
      <c r="E45" s="24"/>
      <c r="F45" s="24"/>
      <c r="G45" s="24"/>
      <c r="H45" s="24"/>
      <c r="I45" s="24"/>
      <c r="J45" s="24"/>
      <c r="K45" s="24"/>
      <c r="L45" s="24"/>
      <c r="M45" s="24"/>
      <c r="N45" s="24"/>
      <c r="O45" s="24"/>
      <c r="P45" s="24"/>
      <c r="Q45" s="24"/>
      <c r="R45" s="24"/>
      <c r="S45" s="24"/>
      <c r="T45" s="24"/>
      <c r="U45" s="450"/>
      <c r="V45" s="6619" t="str">
        <f>IF(AND($V$43&lt;&gt;"",$V$43&gt;0),"amount for line 1b","")</f>
        <v/>
      </c>
      <c r="W45" s="6620"/>
      <c r="X45" s="6620"/>
      <c r="Y45" s="82"/>
      <c r="Z45" s="3062" t="str">
        <f>IF(AND($E$36,SchC_StatutoryEmp_1&lt;&gt;""),"profit is not to be","")</f>
        <v/>
      </c>
      <c r="AA45" s="452"/>
      <c r="AB45" s="2870" t="s">
        <v>4141</v>
      </c>
      <c r="AC45" s="1408"/>
      <c r="AD45" s="1408"/>
      <c r="AE45" s="1408"/>
      <c r="AF45" s="1766"/>
      <c r="AG45" s="2107"/>
      <c r="AH45" s="452"/>
      <c r="AI45" s="3169"/>
      <c r="AJ45" s="3169"/>
      <c r="AK45" s="3169"/>
      <c r="AL45" s="3169"/>
      <c r="AM45" s="3169"/>
      <c r="AN45" s="3169"/>
      <c r="AO45" s="3169"/>
      <c r="AP45" s="3169"/>
      <c r="AQ45" s="3169"/>
      <c r="AR45" s="3169"/>
    </row>
    <row r="46" spans="1:44" ht="12.75" customHeight="1" thickBot="1">
      <c r="A46" s="635"/>
      <c r="B46" s="24"/>
      <c r="C46" s="52"/>
      <c r="D46" s="74" t="s">
        <v>742</v>
      </c>
      <c r="E46" s="24"/>
      <c r="F46" s="24"/>
      <c r="G46" s="24"/>
      <c r="H46" s="24"/>
      <c r="I46" s="24"/>
      <c r="J46" s="24"/>
      <c r="K46" s="24"/>
      <c r="L46" s="24"/>
      <c r="M46" s="24"/>
      <c r="N46" s="24"/>
      <c r="O46" s="24"/>
      <c r="P46" s="24"/>
      <c r="Q46" s="24"/>
      <c r="R46" s="24"/>
      <c r="S46" s="24"/>
      <c r="T46" s="24"/>
      <c r="U46" s="450"/>
      <c r="V46" s="6619" t="str">
        <f>IF(AND($V$43&lt;&gt;"",$V$43&gt;0),"as a negative amount.","")</f>
        <v/>
      </c>
      <c r="W46" s="6620"/>
      <c r="X46" s="6620"/>
      <c r="Y46" s="82"/>
      <c r="Z46" s="3062" t="str">
        <f>IF(AND($E$36,SchC_StatutoryEmp_1&lt;&gt;""),"included on Line 2.","")</f>
        <v/>
      </c>
      <c r="AA46" s="452"/>
      <c r="AB46" s="2872" t="s">
        <v>4140</v>
      </c>
      <c r="AC46" s="2112"/>
      <c r="AD46" s="2112"/>
      <c r="AE46" s="2112"/>
      <c r="AF46" s="2112"/>
      <c r="AG46" s="2113"/>
      <c r="AH46" s="452"/>
      <c r="AI46" s="3169"/>
      <c r="AJ46" s="3169"/>
      <c r="AK46" s="3169"/>
      <c r="AL46" s="3169"/>
      <c r="AM46" s="3169"/>
      <c r="AN46" s="3169"/>
      <c r="AO46" s="3169"/>
      <c r="AP46" s="3169"/>
      <c r="AQ46" s="3169"/>
      <c r="AR46" s="3169"/>
    </row>
    <row r="47" spans="1:44" ht="16.5" customHeight="1" thickBot="1">
      <c r="A47" s="635"/>
      <c r="B47" s="24"/>
      <c r="C47" s="52"/>
      <c r="D47" s="1093" t="s">
        <v>743</v>
      </c>
      <c r="E47" s="24"/>
      <c r="F47" s="24"/>
      <c r="G47" s="24"/>
      <c r="H47" s="24"/>
      <c r="I47" s="24"/>
      <c r="J47" s="24"/>
      <c r="K47" s="24"/>
      <c r="L47" s="24"/>
      <c r="M47" s="24"/>
      <c r="N47" s="24"/>
      <c r="O47" s="24"/>
      <c r="P47" s="24"/>
      <c r="Q47" s="24"/>
      <c r="R47" s="24"/>
      <c r="S47" s="24"/>
      <c r="T47" s="1699" t="s">
        <v>2396</v>
      </c>
      <c r="U47" s="447">
        <v>2</v>
      </c>
      <c r="V47" s="6557">
        <f>IF(Z47&lt;&gt;"",ROUND(Z47,0),IF(NOT($E$36),"",IF(AND(AF47&lt;&gt;"",SchC_StatutoryEmp_1=""),SUM(ROUND(AF47,0),SchC_ProfitLoss1),IF(AND(AF79&lt;&gt;"",SchC_StatutoryEmp_1=""),SUM(ROUND(AF79,0),SchC_ProfitLoss1),IF(SchC_StatutoryEmp_1="",SchC_ProfitLoss1,0)))))</f>
        <v>0</v>
      </c>
      <c r="W47" s="6558"/>
      <c r="X47" s="6558"/>
      <c r="Y47" s="82"/>
      <c r="Z47" s="4256"/>
      <c r="AA47" s="452"/>
      <c r="AB47" s="452"/>
      <c r="AE47" s="4133">
        <f>IF(Z47&lt;&gt;"",ROUND(Z47,0),IF(Z79&lt;&gt;"",ROUND(Z79,0),IF(AND(AF47&lt;&gt;"",SchC_StatutoryEmp_1=""),SUM(ROUND(AF47,0),SchC_ProfitLoss1),IF(AND(AF79&lt;&gt;"",SchC_StatutoryEmp_1=""),SUM(ROUND(AF79,0),SchC_ProfitLoss1),IF(SchC_StatutoryEmp_1="",SchC_ProfitLoss1,0)))))</f>
        <v>0</v>
      </c>
      <c r="AF47" s="4256"/>
      <c r="AG47" s="452"/>
      <c r="AH47" s="452"/>
      <c r="AI47" s="3169"/>
      <c r="AJ47" s="3169"/>
      <c r="AK47" s="3169"/>
      <c r="AL47" s="3169"/>
      <c r="AM47" s="3169"/>
      <c r="AN47" s="3169"/>
      <c r="AO47" s="3169"/>
      <c r="AP47" s="3169"/>
      <c r="AQ47" s="3169"/>
      <c r="AR47" s="3169"/>
    </row>
    <row r="48" spans="1:44" ht="13.5" customHeight="1" thickBot="1">
      <c r="A48" s="635"/>
      <c r="B48" s="127"/>
      <c r="C48" s="422">
        <v>3</v>
      </c>
      <c r="D48" s="1085" t="s">
        <v>744</v>
      </c>
      <c r="E48" s="127"/>
      <c r="F48" s="127"/>
      <c r="G48" s="127"/>
      <c r="H48" s="127"/>
      <c r="I48" s="127"/>
      <c r="J48" s="127"/>
      <c r="K48" s="127"/>
      <c r="L48" s="127"/>
      <c r="M48" s="127"/>
      <c r="N48" s="127"/>
      <c r="O48" s="127"/>
      <c r="P48" s="127"/>
      <c r="Q48" s="127"/>
      <c r="R48" s="127"/>
      <c r="S48" s="127"/>
      <c r="T48" s="1699" t="s">
        <v>1342</v>
      </c>
      <c r="U48" s="451">
        <v>3</v>
      </c>
      <c r="V48" s="6647">
        <f>IF(Z48&lt;&gt;"",ROUND(Z48,0),IF(NOT($E$36),"",IF($E$36,SUM(V41,V43,V47),"")))</f>
        <v>0</v>
      </c>
      <c r="W48" s="6648"/>
      <c r="X48" s="6648"/>
      <c r="Y48" s="704"/>
      <c r="Z48" s="4256"/>
      <c r="AA48" s="452"/>
      <c r="AB48" s="452"/>
      <c r="AC48" s="452"/>
      <c r="AD48" s="452"/>
      <c r="AE48" s="452"/>
      <c r="AF48" s="452"/>
      <c r="AG48" s="452"/>
      <c r="AH48" s="452"/>
      <c r="AI48" s="3169"/>
      <c r="AJ48" s="3169"/>
      <c r="AK48" s="3169"/>
      <c r="AL48" s="3169"/>
      <c r="AM48" s="3169"/>
      <c r="AN48" s="3169"/>
      <c r="AO48" s="3169"/>
      <c r="AP48" s="3169"/>
      <c r="AQ48" s="3169"/>
      <c r="AR48" s="3169"/>
    </row>
    <row r="49" spans="1:44" ht="13.5" thickBot="1">
      <c r="A49" s="635"/>
      <c r="B49" s="24"/>
      <c r="C49" s="52">
        <v>4</v>
      </c>
      <c r="D49" s="24" t="str">
        <f>"Multiply line 3 by "&amp;TEXT(AC51,"0.00%")&amp;" ("&amp;TEXT(AC51,"0.0000")&amp;")."</f>
        <v>Multiply line 3 by 92.35% (0.9235).</v>
      </c>
      <c r="E49" s="41"/>
      <c r="F49" s="24"/>
      <c r="G49" s="24"/>
      <c r="H49" s="24"/>
      <c r="I49" s="74" t="str">
        <f>"If less than "&amp;TEXT(AC49,"$0")&amp;", you do not owe self-employment tax;"</f>
        <v>If less than $400, you do not owe self-employment tax;</v>
      </c>
      <c r="J49" s="24"/>
      <c r="K49" s="24"/>
      <c r="L49" s="24"/>
      <c r="M49" s="24"/>
      <c r="N49" s="24"/>
      <c r="O49" s="24"/>
      <c r="P49" s="74"/>
      <c r="Q49" s="24"/>
      <c r="R49" s="24"/>
      <c r="S49" s="24"/>
      <c r="T49" s="24"/>
      <c r="U49" s="57"/>
      <c r="V49" s="6649"/>
      <c r="W49" s="6650"/>
      <c r="X49" s="6650"/>
      <c r="Y49" s="82"/>
      <c r="Z49" s="859"/>
      <c r="AC49">
        <v>400</v>
      </c>
      <c r="AI49" s="3186"/>
      <c r="AJ49" s="3169"/>
      <c r="AK49" s="3169"/>
      <c r="AL49" s="3169"/>
      <c r="AM49" s="3169"/>
      <c r="AN49" s="3169"/>
      <c r="AO49" s="3169"/>
      <c r="AP49" s="3169"/>
      <c r="AQ49" s="3169"/>
      <c r="AR49" s="3169"/>
    </row>
    <row r="50" spans="1:44" ht="13.5" thickBot="1">
      <c r="A50" s="635"/>
      <c r="B50" s="24"/>
      <c r="C50" s="52"/>
      <c r="D50" s="74" t="s">
        <v>3252</v>
      </c>
      <c r="E50" s="41"/>
      <c r="F50" s="24"/>
      <c r="G50" s="24"/>
      <c r="H50" s="24"/>
      <c r="I50" s="24"/>
      <c r="J50" s="24"/>
      <c r="K50" s="24"/>
      <c r="L50" s="24"/>
      <c r="M50" s="24"/>
      <c r="N50" s="24"/>
      <c r="O50" s="24"/>
      <c r="P50" s="24"/>
      <c r="Q50" s="24"/>
      <c r="R50" s="24"/>
      <c r="S50" s="566"/>
      <c r="T50" s="566" t="s">
        <v>746</v>
      </c>
      <c r="U50" s="447">
        <v>4</v>
      </c>
      <c r="V50" s="6557">
        <f>IF(Z50&lt;&gt;"",ROUND(Z50,0),IF(NOT($E$36),"",ROUND((V48*AC51),0)))</f>
        <v>0</v>
      </c>
      <c r="W50" s="6558"/>
      <c r="X50" s="6558"/>
      <c r="Y50" s="82"/>
      <c r="Z50" s="4256"/>
      <c r="AE50" s="4133">
        <f>IF(Z50&lt;&gt;"",ROUND(Z50,0),ROUND((AE47*AC51),0))</f>
        <v>0</v>
      </c>
      <c r="AI50" s="3169"/>
      <c r="AJ50" s="3169"/>
      <c r="AK50" s="3169"/>
      <c r="AL50" s="3169"/>
      <c r="AM50" s="3169"/>
      <c r="AN50" s="3169"/>
      <c r="AO50" s="3169"/>
      <c r="AP50" s="3169"/>
      <c r="AQ50" s="3169"/>
      <c r="AR50" s="3169"/>
    </row>
    <row r="51" spans="1:44">
      <c r="A51" s="635"/>
      <c r="B51" s="24"/>
      <c r="C51" s="52"/>
      <c r="D51" s="74" t="s">
        <v>3253</v>
      </c>
      <c r="E51" s="41"/>
      <c r="F51" s="24"/>
      <c r="G51" s="24"/>
      <c r="H51" s="24" t="str">
        <f>TEXT(AC49,"$0")&amp;" due to Conservation Reserve Program payments on line 1b,"</f>
        <v>$400 due to Conservation Reserve Program payments on line 1b,</v>
      </c>
      <c r="I51" s="24"/>
      <c r="J51" s="24"/>
      <c r="K51" s="24"/>
      <c r="L51" s="24"/>
      <c r="M51" s="24"/>
      <c r="N51" s="24"/>
      <c r="O51" s="24"/>
      <c r="P51" s="24"/>
      <c r="Q51" s="24"/>
      <c r="R51" s="24"/>
      <c r="S51" s="566"/>
      <c r="T51" s="566"/>
      <c r="U51" s="460"/>
      <c r="V51" s="6640"/>
      <c r="W51" s="6641"/>
      <c r="X51" s="6641"/>
      <c r="Y51" s="82"/>
      <c r="Z51" s="452"/>
      <c r="AC51">
        <v>0.92349999999999999</v>
      </c>
      <c r="AI51" s="3169"/>
      <c r="AJ51" s="3169"/>
      <c r="AK51" s="3169"/>
      <c r="AL51" s="3169"/>
      <c r="AM51" s="3169"/>
      <c r="AN51" s="3169"/>
      <c r="AO51" s="3169"/>
      <c r="AP51" s="3169"/>
      <c r="AQ51" s="3169"/>
      <c r="AR51" s="3169"/>
    </row>
    <row r="52" spans="1:44">
      <c r="A52" s="635"/>
      <c r="B52" s="24"/>
      <c r="C52" s="52"/>
      <c r="D52" s="74" t="s">
        <v>611</v>
      </c>
      <c r="E52" s="41"/>
      <c r="F52" s="24"/>
      <c r="G52" s="24"/>
      <c r="H52" s="24"/>
      <c r="I52" s="24"/>
      <c r="J52" s="24"/>
      <c r="K52" s="24"/>
      <c r="L52" s="24"/>
      <c r="M52" s="24"/>
      <c r="N52" s="24"/>
      <c r="O52" s="24"/>
      <c r="P52" s="24"/>
      <c r="Q52" s="24"/>
      <c r="R52" s="24"/>
      <c r="S52" s="566"/>
      <c r="T52" s="566"/>
      <c r="U52" s="460"/>
      <c r="V52" s="4137"/>
      <c r="W52" s="4138"/>
      <c r="X52" s="4138"/>
      <c r="Y52" s="82"/>
      <c r="Z52" s="452"/>
      <c r="AC52" s="1056">
        <f>MaxSSTaxEarnings</f>
        <v>128400</v>
      </c>
      <c r="AI52" s="3169"/>
      <c r="AJ52" s="3169"/>
      <c r="AK52" s="3169"/>
      <c r="AL52" s="3169"/>
      <c r="AM52" s="3169"/>
      <c r="AN52" s="3169"/>
      <c r="AO52" s="3169"/>
      <c r="AP52" s="3169"/>
      <c r="AQ52" s="3169"/>
      <c r="AR52" s="3169"/>
    </row>
    <row r="53" spans="1:44">
      <c r="A53" s="635"/>
      <c r="B53" s="24"/>
      <c r="C53" s="52">
        <v>5</v>
      </c>
      <c r="D53" s="41" t="s">
        <v>142</v>
      </c>
      <c r="E53" s="41"/>
      <c r="F53" s="24"/>
      <c r="G53" s="24"/>
      <c r="H53" s="24"/>
      <c r="I53" s="24"/>
      <c r="J53" s="24"/>
      <c r="K53" s="24"/>
      <c r="L53" s="24"/>
      <c r="M53" s="24"/>
      <c r="N53" s="24"/>
      <c r="O53" s="24"/>
      <c r="P53" s="24"/>
      <c r="Q53" s="24"/>
      <c r="R53" s="24"/>
      <c r="S53" s="14">
        <f>MaxSSTaxEarnings</f>
        <v>128400</v>
      </c>
      <c r="T53" s="24"/>
      <c r="U53" s="450"/>
      <c r="V53" s="6642"/>
      <c r="W53" s="5690"/>
      <c r="X53" s="5690"/>
      <c r="Y53" s="82"/>
      <c r="Z53" s="452"/>
      <c r="AC53">
        <v>2.9000000000000001E-2</v>
      </c>
      <c r="AI53" s="3169"/>
      <c r="AJ53" s="3169"/>
      <c r="AK53" s="3169"/>
      <c r="AL53" s="3169"/>
      <c r="AM53" s="3169"/>
      <c r="AN53" s="3169"/>
      <c r="AO53" s="3169"/>
      <c r="AP53" s="3169"/>
      <c r="AQ53" s="3169"/>
      <c r="AR53" s="3169"/>
    </row>
    <row r="54" spans="1:44" ht="15" customHeight="1">
      <c r="A54" s="635"/>
      <c r="B54" s="24"/>
      <c r="C54" s="52"/>
      <c r="D54" s="437" t="s">
        <v>132</v>
      </c>
      <c r="E54" s="74" t="str">
        <f>TEXT(AC52,"$0,000")&amp;" or less, multiply line 4 by "&amp;TEXT(AC55,"0.0%")&amp;" ("&amp;TEXT(AC55,"0.000")&amp;"). Enter the results"</f>
        <v>$128,400 or less, multiply line 4 by 15.3% (0.153). Enter the results</v>
      </c>
      <c r="F54" s="24"/>
      <c r="G54" s="24"/>
      <c r="H54" s="24"/>
      <c r="I54" s="24"/>
      <c r="J54" s="24"/>
      <c r="K54" s="24"/>
      <c r="L54" s="24"/>
      <c r="M54" s="60"/>
      <c r="N54" s="24"/>
      <c r="O54" s="24"/>
      <c r="P54" s="74" t="s">
        <v>3254</v>
      </c>
      <c r="Q54" s="24"/>
      <c r="R54" s="41"/>
      <c r="S54" s="14"/>
      <c r="T54" s="289"/>
      <c r="U54" s="460"/>
      <c r="V54" s="6643"/>
      <c r="W54" s="6644"/>
      <c r="X54" s="6644"/>
      <c r="Y54" s="82"/>
      <c r="Z54" s="452"/>
      <c r="AC54" s="4">
        <v>15921.6</v>
      </c>
      <c r="AI54" s="3169"/>
      <c r="AJ54" s="3169"/>
      <c r="AK54" s="3169"/>
      <c r="AL54" s="3169"/>
      <c r="AM54" s="3169"/>
      <c r="AN54" s="3169"/>
      <c r="AO54" s="3169"/>
      <c r="AP54" s="3169"/>
      <c r="AQ54" s="3169"/>
      <c r="AR54" s="3169"/>
    </row>
    <row r="55" spans="1:44" ht="15" customHeight="1">
      <c r="A55" s="635"/>
      <c r="B55" s="24"/>
      <c r="C55" s="52"/>
      <c r="D55" s="437"/>
      <c r="E55" s="74" t="s">
        <v>3625</v>
      </c>
      <c r="F55" s="24"/>
      <c r="G55" s="24"/>
      <c r="H55" s="24"/>
      <c r="I55" s="24"/>
      <c r="J55" s="24"/>
      <c r="K55" s="24"/>
      <c r="L55" s="24"/>
      <c r="M55" s="24"/>
      <c r="N55" s="24"/>
      <c r="O55" s="24"/>
      <c r="P55" s="24"/>
      <c r="Q55" s="24"/>
      <c r="R55" s="4166"/>
      <c r="S55" s="4167"/>
      <c r="T55" s="4168"/>
      <c r="U55" s="460"/>
      <c r="V55" s="6642"/>
      <c r="W55" s="5690"/>
      <c r="X55" s="5690"/>
      <c r="Y55" s="82"/>
      <c r="Z55" s="4165" t="str">
        <f>IF(AND($E$36,OR($V$43="",$V$43=0),$V$50&lt;$AC$49),"Do not file Sch. SE.","")</f>
        <v>Do not file Sch. SE.</v>
      </c>
      <c r="AC55">
        <v>0.153</v>
      </c>
      <c r="AI55" s="3169"/>
      <c r="AJ55" s="3169"/>
      <c r="AK55" s="3169"/>
      <c r="AL55" s="3169"/>
      <c r="AM55" s="3169"/>
      <c r="AN55" s="3169"/>
      <c r="AO55" s="3169"/>
      <c r="AP55" s="3169"/>
      <c r="AQ55" s="3169"/>
      <c r="AR55" s="3169"/>
    </row>
    <row r="56" spans="1:44" ht="15" thickBot="1">
      <c r="A56" s="635"/>
      <c r="B56" s="24"/>
      <c r="C56" s="52"/>
      <c r="D56" s="437" t="s">
        <v>132</v>
      </c>
      <c r="E56" s="60" t="str">
        <f>"More than "&amp;TEXT(AC52,"$0,000")&amp;", multiply line 4 by "&amp;TEXT(AC53,"0.0%")&amp;" ("&amp;TEXT(AC53,"0.000")&amp;"). Then, add "&amp;TEXT(AC54,"$0,000.00")&amp;" to the result."</f>
        <v>More than $128,400, multiply line 4 by 2.9% (0.029). Then, add $15,921.60 to the result.</v>
      </c>
      <c r="F56" s="24"/>
      <c r="G56" s="24"/>
      <c r="H56" s="24"/>
      <c r="I56" s="24"/>
      <c r="J56" s="24"/>
      <c r="K56" s="24"/>
      <c r="L56" s="24"/>
      <c r="M56" s="24"/>
      <c r="N56" s="24"/>
      <c r="O56" s="24"/>
      <c r="P56" s="24"/>
      <c r="Q56" s="24"/>
      <c r="R56" s="4161"/>
      <c r="S56" s="4162"/>
      <c r="T56" s="4163"/>
      <c r="U56" s="450"/>
      <c r="V56" s="6645" t="str">
        <f>IF(AND($E$36,OR(V43="",V43=0),V50&lt;AC49),"Stop.","")</f>
        <v>Stop.</v>
      </c>
      <c r="W56" s="6646"/>
      <c r="X56" s="6646"/>
      <c r="Y56" s="82"/>
      <c r="Z56" s="452"/>
      <c r="AI56" s="3169"/>
      <c r="AJ56" s="3169"/>
      <c r="AK56" s="3169"/>
      <c r="AL56" s="3169"/>
      <c r="AM56" s="3169"/>
      <c r="AN56" s="3169"/>
      <c r="AO56" s="3169"/>
      <c r="AP56" s="3169"/>
      <c r="AQ56" s="3169"/>
      <c r="AR56" s="3169"/>
    </row>
    <row r="57" spans="1:44" ht="13.5" thickBot="1">
      <c r="A57" s="635"/>
      <c r="B57" s="24"/>
      <c r="C57" s="52"/>
      <c r="D57" s="52"/>
      <c r="E57" s="60" t="s">
        <v>3256</v>
      </c>
      <c r="F57" s="24"/>
      <c r="G57" s="24"/>
      <c r="H57" s="24"/>
      <c r="I57" s="24"/>
      <c r="J57" s="41"/>
      <c r="K57" s="24"/>
      <c r="L57" s="24"/>
      <c r="M57" s="24"/>
      <c r="N57" s="24"/>
      <c r="O57" s="24"/>
      <c r="P57" s="24"/>
      <c r="Q57" s="24"/>
      <c r="R57" s="24"/>
      <c r="S57" s="7"/>
      <c r="T57" s="1699" t="s">
        <v>963</v>
      </c>
      <c r="U57" s="447">
        <v>5</v>
      </c>
      <c r="V57" s="6557" t="str">
        <f>IF(Z57&lt;&gt;"",ROUND(Z57,0),IF(NOT($E$36),"",IF(AND($E$36,OR(V43="",V43=0),V50&lt;AC49),"",IF(V50&lt;AC52,ROUND((V50*AC55),0),ROUND(SUM((V50*AC53),AC54),0)))))</f>
        <v/>
      </c>
      <c r="W57" s="6558"/>
      <c r="X57" s="6558"/>
      <c r="Y57" s="82"/>
      <c r="Z57" s="4256"/>
      <c r="AE57" s="4134">
        <f>IF(Z57&lt;&gt;"",ROUND(Z57,0),IF(AE50&lt;AC49,0,IF(AE50&lt;AC52,ROUND((AE50*AC55),0),ROUND(SUM((AE50*AC53),AC54),0))))</f>
        <v>0</v>
      </c>
      <c r="AI57" s="3169"/>
      <c r="AJ57" s="3169"/>
      <c r="AK57" s="3169"/>
      <c r="AL57" s="3169"/>
      <c r="AM57" s="3169"/>
      <c r="AN57" s="3169"/>
      <c r="AO57" s="3169"/>
      <c r="AP57" s="3169"/>
      <c r="AQ57" s="3169"/>
      <c r="AR57" s="3169"/>
    </row>
    <row r="58" spans="1:44">
      <c r="A58" s="635"/>
      <c r="B58" s="24"/>
      <c r="C58" s="52">
        <v>6</v>
      </c>
      <c r="D58" s="286" t="s">
        <v>985</v>
      </c>
      <c r="E58" s="24"/>
      <c r="F58" s="24"/>
      <c r="G58" s="24"/>
      <c r="H58" s="24"/>
      <c r="I58" s="24"/>
      <c r="J58" s="24"/>
      <c r="K58" s="24"/>
      <c r="L58" s="24"/>
      <c r="M58" s="24"/>
      <c r="N58" s="24"/>
      <c r="O58" s="24"/>
      <c r="P58" s="450"/>
      <c r="Q58" s="6603"/>
      <c r="R58" s="5601"/>
      <c r="S58" s="5601"/>
      <c r="T58" s="5602"/>
      <c r="U58" s="6634"/>
      <c r="V58" s="5849"/>
      <c r="W58" s="5849"/>
      <c r="X58" s="5849"/>
      <c r="Y58" s="82"/>
      <c r="Z58" s="452"/>
      <c r="AI58" s="3169"/>
      <c r="AJ58" s="3169"/>
      <c r="AK58" s="3169"/>
      <c r="AL58" s="3169"/>
      <c r="AM58" s="3169"/>
      <c r="AN58" s="3169"/>
      <c r="AO58" s="3169"/>
      <c r="AP58" s="3169"/>
      <c r="AQ58" s="3169"/>
      <c r="AR58" s="3169"/>
    </row>
    <row r="59" spans="1:44" ht="13.5" thickBot="1">
      <c r="A59" s="635"/>
      <c r="B59" s="24"/>
      <c r="C59" s="52"/>
      <c r="D59" s="74" t="str">
        <f>"Multiply line 5 by "&amp;TEXT(Q59,"0%")&amp;" ("&amp;TEXT(Q59,"0.00")&amp;"). Enter the result here and on"</f>
        <v>Multiply line 5 by 50% (0.50). Enter the result here and on</v>
      </c>
      <c r="E59" s="74"/>
      <c r="F59" s="24"/>
      <c r="G59" s="24"/>
      <c r="H59" s="24"/>
      <c r="I59" s="24"/>
      <c r="J59" s="24"/>
      <c r="K59" s="24"/>
      <c r="L59" s="24"/>
      <c r="M59" s="25" t="s">
        <v>331</v>
      </c>
      <c r="N59" s="24"/>
      <c r="O59" s="24"/>
      <c r="P59" s="450"/>
      <c r="Q59" s="6635">
        <v>0.5</v>
      </c>
      <c r="R59" s="6583"/>
      <c r="S59" s="6583"/>
      <c r="T59" s="6584"/>
      <c r="U59" s="82"/>
      <c r="V59" s="82"/>
      <c r="W59" s="82"/>
      <c r="X59" s="82"/>
      <c r="Y59" s="82"/>
      <c r="Z59" s="452"/>
      <c r="AI59" s="3169"/>
      <c r="AJ59" s="3169"/>
      <c r="AK59" s="3169"/>
      <c r="AL59" s="3169"/>
      <c r="AM59" s="3169"/>
      <c r="AN59" s="3169"/>
      <c r="AO59" s="3169"/>
      <c r="AP59" s="3169"/>
      <c r="AQ59" s="3169"/>
      <c r="AR59" s="3169"/>
    </row>
    <row r="60" spans="1:44" ht="13.5" thickBot="1">
      <c r="A60" s="635"/>
      <c r="B60" s="39"/>
      <c r="C60" s="454"/>
      <c r="D60" s="1697" t="s">
        <v>3257</v>
      </c>
      <c r="E60" s="1009"/>
      <c r="F60" s="1009"/>
      <c r="G60" s="39"/>
      <c r="H60" s="39"/>
      <c r="I60" s="39"/>
      <c r="J60" s="39"/>
      <c r="K60" s="39"/>
      <c r="L60" s="39"/>
      <c r="M60" s="39"/>
      <c r="N60" s="39"/>
      <c r="O60" s="1698" t="s">
        <v>3258</v>
      </c>
      <c r="P60" s="935">
        <v>6</v>
      </c>
      <c r="Q60" s="6636" t="str">
        <f>IF(Z60&lt;&gt;"",ROUND(Z60,0),IF(OR(NOT($E$36),V56="Stop."),"",IF(OR(NOT($E$36),V50&lt;AC49),0,ROUND(V57*Q59,0))))</f>
        <v/>
      </c>
      <c r="R60" s="6637"/>
      <c r="S60" s="6637"/>
      <c r="T60" s="6638"/>
      <c r="U60" s="6639"/>
      <c r="V60" s="5772"/>
      <c r="W60" s="5772"/>
      <c r="X60" s="5772"/>
      <c r="Y60" s="82"/>
      <c r="Z60" s="4256"/>
      <c r="AI60" s="3169"/>
      <c r="AJ60" s="3169"/>
      <c r="AK60" s="3169"/>
      <c r="AL60" s="3169"/>
      <c r="AM60" s="3169"/>
      <c r="AN60" s="3169"/>
      <c r="AO60" s="3169"/>
      <c r="AP60" s="3169"/>
      <c r="AQ60" s="3169"/>
      <c r="AR60" s="3169"/>
    </row>
    <row r="61" spans="1:44" s="1016" customFormat="1">
      <c r="A61" s="1010"/>
      <c r="B61" s="1011"/>
      <c r="C61" s="1222" t="s">
        <v>564</v>
      </c>
      <c r="D61" s="1012"/>
      <c r="E61" s="1011"/>
      <c r="F61" s="1011"/>
      <c r="G61" s="1011"/>
      <c r="H61" s="1011"/>
      <c r="I61" s="1011"/>
      <c r="J61" s="1011"/>
      <c r="K61" s="1011"/>
      <c r="L61" s="1011"/>
      <c r="M61" s="1011"/>
      <c r="N61" s="1011"/>
      <c r="O61" s="1011"/>
      <c r="P61" s="1011"/>
      <c r="Q61" s="1221" t="s">
        <v>181</v>
      </c>
      <c r="R61" s="1013"/>
      <c r="S61" s="1011"/>
      <c r="T61" s="1011"/>
      <c r="U61" s="1011"/>
      <c r="V61" s="1011"/>
      <c r="W61" s="1011"/>
      <c r="X61" s="1223" t="str">
        <f>"Schedule SE (Form 1040) "&amp;TaxYear</f>
        <v>Schedule SE (Form 1040) 2018</v>
      </c>
      <c r="Y61" s="1014"/>
      <c r="Z61" s="1015"/>
      <c r="AI61" s="3206"/>
      <c r="AJ61" s="3206"/>
      <c r="AK61" s="3206"/>
      <c r="AL61" s="3206"/>
      <c r="AM61" s="3206"/>
      <c r="AN61" s="3206"/>
      <c r="AO61" s="3206"/>
      <c r="AP61" s="3206"/>
      <c r="AQ61" s="3206"/>
      <c r="AR61" s="3206"/>
    </row>
    <row r="62" spans="1:44" ht="16.5" thickBot="1">
      <c r="A62" s="635"/>
      <c r="B62" s="48" t="str">
        <f>"Schedule SE (Form 1040) "&amp;TaxYear</f>
        <v>Schedule SE (Form 1040) 2018</v>
      </c>
      <c r="C62" s="351"/>
      <c r="D62" s="351"/>
      <c r="E62" s="39"/>
      <c r="F62" s="39"/>
      <c r="G62" s="39"/>
      <c r="H62" s="39"/>
      <c r="I62" s="39"/>
      <c r="J62" s="39"/>
      <c r="K62" s="39"/>
      <c r="L62" s="39"/>
      <c r="M62" s="39"/>
      <c r="N62" s="39"/>
      <c r="O62" s="39"/>
      <c r="P62" s="39"/>
      <c r="Q62" s="30" t="s">
        <v>550</v>
      </c>
      <c r="R62" s="456">
        <v>17</v>
      </c>
      <c r="S62" s="39"/>
      <c r="T62" s="39"/>
      <c r="U62" s="39"/>
      <c r="V62" s="39"/>
      <c r="W62" s="39"/>
      <c r="X62" s="457" t="s">
        <v>182</v>
      </c>
      <c r="Y62" s="82"/>
      <c r="Z62" s="452"/>
      <c r="AI62" s="3169"/>
      <c r="AJ62" s="3169"/>
      <c r="AK62" s="3169"/>
      <c r="AL62" s="3169"/>
      <c r="AM62" s="3169"/>
      <c r="AN62" s="3169"/>
      <c r="AO62" s="3169"/>
      <c r="AP62" s="3169"/>
      <c r="AQ62" s="3169"/>
      <c r="AR62" s="3169"/>
    </row>
    <row r="63" spans="1:44" ht="12" customHeight="1">
      <c r="A63" s="635"/>
      <c r="B63" s="60" t="s">
        <v>536</v>
      </c>
      <c r="C63" s="60"/>
      <c r="D63" s="60"/>
      <c r="E63" s="60"/>
      <c r="F63" s="24"/>
      <c r="G63" s="24"/>
      <c r="H63" s="24"/>
      <c r="I63" s="24"/>
      <c r="J63" s="24"/>
      <c r="K63" s="24"/>
      <c r="L63" s="321"/>
      <c r="M63" s="321"/>
      <c r="N63" s="321"/>
      <c r="O63" s="435"/>
      <c r="P63" s="6621" t="s">
        <v>754</v>
      </c>
      <c r="Q63" s="6622"/>
      <c r="R63" s="6622"/>
      <c r="S63" s="6622"/>
      <c r="T63" s="6623"/>
      <c r="U63" s="6625">
        <f>IF(U6&lt;&gt;"",U6,"")</f>
        <v>0</v>
      </c>
      <c r="V63" s="6626"/>
      <c r="W63" s="6626"/>
      <c r="X63" s="6626"/>
      <c r="Y63" s="82"/>
      <c r="Z63" s="452"/>
      <c r="AI63" s="3169"/>
      <c r="AJ63" s="3169"/>
      <c r="AK63" s="3169"/>
      <c r="AL63" s="3169"/>
      <c r="AM63" s="3169"/>
      <c r="AN63" s="3169"/>
      <c r="AO63" s="3169"/>
      <c r="AP63" s="3169"/>
      <c r="AQ63" s="3169"/>
      <c r="AR63" s="3169"/>
    </row>
    <row r="64" spans="1:44" ht="14.25" customHeight="1">
      <c r="A64" s="635"/>
      <c r="B64" s="6629" t="str">
        <f>IF(B7&lt;&gt;"",B7,"")</f>
        <v xml:space="preserve"> </v>
      </c>
      <c r="C64" s="6630"/>
      <c r="D64" s="6630"/>
      <c r="E64" s="6630"/>
      <c r="F64" s="6630"/>
      <c r="G64" s="6630"/>
      <c r="H64" s="6630"/>
      <c r="I64" s="6630"/>
      <c r="J64" s="6630"/>
      <c r="K64" s="6630"/>
      <c r="L64" s="6630"/>
      <c r="M64" s="6630"/>
      <c r="N64" s="6630"/>
      <c r="O64" s="6631"/>
      <c r="P64" s="6624"/>
      <c r="Q64" s="5416"/>
      <c r="R64" s="5416"/>
      <c r="S64" s="5416"/>
      <c r="T64" s="5417"/>
      <c r="U64" s="6627"/>
      <c r="V64" s="6628"/>
      <c r="W64" s="6628"/>
      <c r="X64" s="6628"/>
      <c r="Y64" s="82"/>
      <c r="Z64" s="452"/>
      <c r="AI64" s="3169"/>
      <c r="AJ64" s="3169"/>
      <c r="AK64" s="3169"/>
      <c r="AL64" s="3169"/>
      <c r="AM64" s="3169"/>
      <c r="AN64" s="3169"/>
      <c r="AO64" s="3169"/>
      <c r="AP64" s="3169"/>
      <c r="AQ64" s="3169"/>
      <c r="AR64" s="3169"/>
    </row>
    <row r="65" spans="1:44" ht="17.25" customHeight="1">
      <c r="A65" s="635"/>
      <c r="B65" s="1220" t="s">
        <v>183</v>
      </c>
      <c r="C65" s="458"/>
      <c r="D65" s="458"/>
      <c r="E65" s="458"/>
      <c r="F65" s="458"/>
      <c r="G65" s="458"/>
      <c r="H65" s="458"/>
      <c r="I65" s="458"/>
      <c r="J65" s="458"/>
      <c r="K65" s="458"/>
      <c r="L65" s="458"/>
      <c r="M65" s="458"/>
      <c r="N65" s="458"/>
      <c r="O65" s="458"/>
      <c r="P65" s="458"/>
      <c r="Q65" s="458"/>
      <c r="R65" s="458"/>
      <c r="S65" s="458"/>
      <c r="T65" s="458"/>
      <c r="U65" s="458"/>
      <c r="V65" s="458"/>
      <c r="W65" s="458"/>
      <c r="X65" s="458"/>
      <c r="Y65" s="705"/>
      <c r="Z65" s="462"/>
      <c r="AI65" s="3169"/>
      <c r="AJ65" s="3169"/>
      <c r="AK65" s="3169"/>
      <c r="AL65" s="3169"/>
      <c r="AM65" s="3169"/>
      <c r="AN65" s="3169"/>
      <c r="AO65" s="3169"/>
      <c r="AP65" s="3169"/>
      <c r="AQ65" s="3169"/>
      <c r="AR65" s="3169"/>
    </row>
    <row r="66" spans="1:44" ht="16.5" customHeight="1">
      <c r="A66" s="635"/>
      <c r="B66" s="1087"/>
      <c r="C66" s="1088" t="s">
        <v>58</v>
      </c>
      <c r="D66" s="1089"/>
      <c r="E66" s="1090" t="s">
        <v>184</v>
      </c>
      <c r="F66" s="1091"/>
      <c r="G66" s="1091"/>
      <c r="H66" s="1091"/>
      <c r="I66" s="1091"/>
      <c r="J66" s="1091"/>
      <c r="K66" s="1091"/>
      <c r="L66" s="1091"/>
      <c r="M66" s="1091"/>
      <c r="N66" s="1091"/>
      <c r="O66" s="1091"/>
      <c r="P66" s="1091"/>
      <c r="Q66" s="1091"/>
      <c r="R66" s="1091"/>
      <c r="S66" s="1091"/>
      <c r="T66" s="1091"/>
      <c r="U66" s="1091"/>
      <c r="V66" s="1091"/>
      <c r="W66" s="1091"/>
      <c r="X66" s="1091"/>
      <c r="Y66" s="82"/>
      <c r="Z66" s="452"/>
      <c r="AI66" s="3169"/>
      <c r="AJ66" s="3169"/>
      <c r="AK66" s="3169"/>
      <c r="AL66" s="3169"/>
      <c r="AM66" s="3169"/>
      <c r="AN66" s="3169"/>
      <c r="AO66" s="3169"/>
      <c r="AP66" s="3169"/>
      <c r="AQ66" s="3169"/>
      <c r="AR66" s="3169"/>
    </row>
    <row r="67" spans="1:44">
      <c r="A67" s="635"/>
      <c r="B67" s="25" t="s">
        <v>4070</v>
      </c>
      <c r="C67" s="41"/>
      <c r="D67" s="41"/>
      <c r="E67" s="24"/>
      <c r="F67" s="24"/>
      <c r="G67" s="24"/>
      <c r="H67" s="24"/>
      <c r="I67" s="24"/>
      <c r="J67" s="24"/>
      <c r="K67" s="24"/>
      <c r="L67" s="24"/>
      <c r="M67" s="24"/>
      <c r="N67" s="24"/>
      <c r="O67" s="24"/>
      <c r="P67" s="24"/>
      <c r="Q67" s="24"/>
      <c r="R67" s="24"/>
      <c r="S67" s="24"/>
      <c r="T67" s="24"/>
      <c r="U67" s="24"/>
      <c r="V67" s="24"/>
      <c r="W67" s="24"/>
      <c r="X67" s="24"/>
      <c r="Y67" s="82"/>
      <c r="Z67" s="452"/>
      <c r="AI67" s="3169"/>
      <c r="AJ67" s="3169"/>
      <c r="AK67" s="3169"/>
      <c r="AL67" s="3169"/>
      <c r="AM67" s="3169"/>
      <c r="AN67" s="3169"/>
      <c r="AO67" s="3169"/>
      <c r="AP67" s="3169"/>
      <c r="AQ67" s="3169"/>
      <c r="AR67" s="3169"/>
    </row>
    <row r="68" spans="1:44">
      <c r="A68" s="635"/>
      <c r="B68" s="74" t="s">
        <v>4071</v>
      </c>
      <c r="C68" s="41"/>
      <c r="D68" s="41"/>
      <c r="E68" s="24"/>
      <c r="F68" s="24"/>
      <c r="G68" s="24"/>
      <c r="H68" s="24"/>
      <c r="I68" s="24"/>
      <c r="J68" s="24"/>
      <c r="K68" s="24"/>
      <c r="L68" s="24"/>
      <c r="M68" s="24"/>
      <c r="N68" s="24"/>
      <c r="O68" s="24"/>
      <c r="P68" s="24"/>
      <c r="Q68" s="24"/>
      <c r="R68" s="24"/>
      <c r="S68" s="24"/>
      <c r="T68" s="24"/>
      <c r="U68" s="24"/>
      <c r="V68" s="24"/>
      <c r="W68" s="24"/>
      <c r="X68" s="24"/>
      <c r="Y68" s="82"/>
      <c r="Z68" s="452"/>
      <c r="AI68" s="3169"/>
      <c r="AJ68" s="3169"/>
      <c r="AK68" s="3169"/>
      <c r="AL68" s="3169"/>
      <c r="AM68" s="3169"/>
      <c r="AN68" s="3169"/>
      <c r="AO68" s="3169"/>
      <c r="AP68" s="3169"/>
      <c r="AQ68" s="3169"/>
      <c r="AR68" s="3169"/>
    </row>
    <row r="69" spans="1:44" ht="12" customHeight="1" thickBot="1">
      <c r="A69" s="635"/>
      <c r="B69" s="24"/>
      <c r="C69" s="41" t="s">
        <v>159</v>
      </c>
      <c r="D69" s="421" t="s">
        <v>50</v>
      </c>
      <c r="E69" s="24"/>
      <c r="F69" s="24"/>
      <c r="G69" s="24"/>
      <c r="H69" s="24"/>
      <c r="I69" s="24"/>
      <c r="J69" s="24"/>
      <c r="K69" s="24"/>
      <c r="L69" s="24"/>
      <c r="M69" s="24"/>
      <c r="N69" s="24"/>
      <c r="O69" s="24"/>
      <c r="P69" s="24"/>
      <c r="Q69" s="24"/>
      <c r="R69" s="24"/>
      <c r="S69" s="24"/>
      <c r="T69" s="24"/>
      <c r="U69" s="24"/>
      <c r="V69" s="24"/>
      <c r="W69" s="24"/>
      <c r="X69" s="24"/>
      <c r="Y69" s="82"/>
      <c r="Z69" s="452"/>
      <c r="AE69" s="1056">
        <f>IF(Z72&lt;&gt;"",ROUND(Z72,0),FarmProfitNet)</f>
        <v>0</v>
      </c>
      <c r="AI69" s="3169"/>
      <c r="AJ69" s="3169"/>
      <c r="AK69" s="3169"/>
      <c r="AL69" s="3169"/>
      <c r="AM69" s="3169"/>
      <c r="AN69" s="3169"/>
      <c r="AO69" s="3169"/>
      <c r="AP69" s="3169"/>
      <c r="AQ69" s="3169"/>
      <c r="AR69" s="3169"/>
    </row>
    <row r="70" spans="1:44" ht="12.75" customHeight="1" thickBot="1">
      <c r="A70" s="635"/>
      <c r="B70" s="24"/>
      <c r="C70" s="41"/>
      <c r="D70" s="421" t="s">
        <v>548</v>
      </c>
      <c r="E70" s="24"/>
      <c r="F70" s="24"/>
      <c r="G70" s="24"/>
      <c r="H70" s="24"/>
      <c r="I70" s="24"/>
      <c r="J70" s="24"/>
      <c r="K70" s="24"/>
      <c r="L70" s="24"/>
      <c r="M70" s="24"/>
      <c r="N70" s="24"/>
      <c r="O70" s="24"/>
      <c r="P70" s="24"/>
      <c r="Q70" s="24"/>
      <c r="R70" s="24"/>
      <c r="S70" s="24"/>
      <c r="T70" s="24"/>
      <c r="U70" s="24"/>
      <c r="V70" s="566" t="s">
        <v>747</v>
      </c>
      <c r="W70" s="1449"/>
      <c r="X70" s="24"/>
      <c r="Y70" s="82"/>
      <c r="Z70" s="452"/>
      <c r="AI70" s="3169"/>
      <c r="AJ70" s="3169"/>
      <c r="AK70" s="3169"/>
      <c r="AL70" s="3169"/>
      <c r="AM70" s="3169"/>
      <c r="AN70" s="3169"/>
      <c r="AO70" s="3169"/>
      <c r="AP70" s="3169"/>
      <c r="AQ70" s="3169"/>
      <c r="AR70" s="3169"/>
    </row>
    <row r="71" spans="1:44" ht="12.75" customHeight="1" thickBot="1">
      <c r="A71" s="635"/>
      <c r="B71" s="24"/>
      <c r="C71" s="52" t="s">
        <v>14</v>
      </c>
      <c r="D71" s="74" t="s">
        <v>748</v>
      </c>
      <c r="E71" s="24"/>
      <c r="F71" s="24"/>
      <c r="G71" s="24"/>
      <c r="H71" s="24"/>
      <c r="I71" s="24"/>
      <c r="J71" s="24"/>
      <c r="K71" s="24"/>
      <c r="L71" s="24"/>
      <c r="M71" s="24"/>
      <c r="N71" s="24"/>
      <c r="O71" s="24"/>
      <c r="P71" s="24"/>
      <c r="Q71" s="24"/>
      <c r="R71" s="24"/>
      <c r="S71" s="24"/>
      <c r="T71" s="24"/>
      <c r="U71" s="24"/>
      <c r="V71" s="24"/>
      <c r="W71" s="24"/>
      <c r="X71" s="24"/>
      <c r="Y71" s="82"/>
      <c r="Z71" s="452"/>
      <c r="AB71" s="2927"/>
      <c r="AE71" s="1056">
        <f>IF(Z74&lt;&gt;"",ROUND(Z74,0),-'Sch. F'!Y24)</f>
        <v>0</v>
      </c>
      <c r="AF71" s="2928" t="s">
        <v>2473</v>
      </c>
      <c r="AI71" s="3169"/>
      <c r="AJ71" s="3169"/>
      <c r="AK71" s="3169"/>
      <c r="AL71" s="3169"/>
      <c r="AM71" s="3169"/>
      <c r="AN71" s="3169"/>
      <c r="AO71" s="3169"/>
      <c r="AP71" s="3169"/>
      <c r="AQ71" s="3169"/>
      <c r="AR71" s="3169"/>
    </row>
    <row r="72" spans="1:44" ht="12.75" customHeight="1" thickBot="1">
      <c r="A72" s="635"/>
      <c r="B72" s="127"/>
      <c r="C72" s="127"/>
      <c r="D72" s="1085" t="s">
        <v>749</v>
      </c>
      <c r="E72" s="127"/>
      <c r="F72" s="127"/>
      <c r="G72" s="127"/>
      <c r="H72" s="127"/>
      <c r="I72" s="127"/>
      <c r="J72" s="127"/>
      <c r="K72" s="127"/>
      <c r="L72" s="127"/>
      <c r="M72" s="127"/>
      <c r="N72" s="127"/>
      <c r="O72" s="127"/>
      <c r="P72" s="127"/>
      <c r="Q72" s="127"/>
      <c r="R72" s="127"/>
      <c r="S72" s="127"/>
      <c r="T72" s="566" t="s">
        <v>750</v>
      </c>
      <c r="U72" s="567" t="s">
        <v>14</v>
      </c>
      <c r="V72" s="6590" t="str">
        <f>IF(Z72&lt;&gt;"",ROUND(Z72,0),IF(AND(V36,SchF_SchSE_1),FarmProfitNet,""))</f>
        <v/>
      </c>
      <c r="W72" s="6591"/>
      <c r="X72" s="6591"/>
      <c r="Y72" s="704"/>
      <c r="Z72" s="4256"/>
      <c r="AF72" s="2928" t="s">
        <v>2472</v>
      </c>
      <c r="AI72" s="3169"/>
      <c r="AJ72" s="3169"/>
      <c r="AK72" s="3169"/>
      <c r="AL72" s="3169"/>
      <c r="AM72" s="3169"/>
      <c r="AN72" s="3169"/>
      <c r="AO72" s="3169"/>
      <c r="AP72" s="3169"/>
      <c r="AQ72" s="3169"/>
      <c r="AR72" s="3169"/>
    </row>
    <row r="73" spans="1:44" ht="12.75" customHeight="1" thickBot="1">
      <c r="A73" s="635"/>
      <c r="B73" s="127"/>
      <c r="C73" s="52" t="s">
        <v>54</v>
      </c>
      <c r="D73" s="288" t="s">
        <v>529</v>
      </c>
      <c r="E73" s="127"/>
      <c r="F73" s="127"/>
      <c r="G73" s="127"/>
      <c r="H73" s="127"/>
      <c r="I73" s="127"/>
      <c r="J73" s="127"/>
      <c r="K73" s="127"/>
      <c r="L73" s="127"/>
      <c r="M73" s="127"/>
      <c r="N73" s="127"/>
      <c r="O73" s="127"/>
      <c r="P73" s="127"/>
      <c r="Q73" s="127"/>
      <c r="R73" s="127"/>
      <c r="S73" s="127"/>
      <c r="T73" s="566"/>
      <c r="U73" s="1007"/>
      <c r="V73" s="1008"/>
      <c r="W73" s="1006"/>
      <c r="X73" s="1006"/>
      <c r="Y73" s="704"/>
      <c r="Z73" s="461"/>
      <c r="AA73" s="452"/>
      <c r="AB73" s="452"/>
      <c r="AE73" s="4133"/>
      <c r="AF73" s="452"/>
      <c r="AG73" s="452"/>
      <c r="AH73" s="452"/>
    </row>
    <row r="74" spans="1:44" ht="12.75" customHeight="1" thickBot="1">
      <c r="A74" s="635"/>
      <c r="B74" s="127"/>
      <c r="C74" s="52"/>
      <c r="D74" s="502" t="s">
        <v>3250</v>
      </c>
      <c r="E74" s="127"/>
      <c r="F74" s="127"/>
      <c r="G74" s="127"/>
      <c r="H74" s="127"/>
      <c r="I74" s="127"/>
      <c r="J74" s="127"/>
      <c r="K74" s="127"/>
      <c r="L74" s="127"/>
      <c r="M74" s="127"/>
      <c r="N74" s="127"/>
      <c r="O74" s="127"/>
      <c r="P74" s="127"/>
      <c r="Q74" s="127"/>
      <c r="R74" s="127"/>
      <c r="S74" s="127"/>
      <c r="T74" s="566"/>
      <c r="U74" s="463" t="s">
        <v>17</v>
      </c>
      <c r="V74" s="6588" t="str">
        <f>IF(Z74&lt;&gt;"",ROUND(Z74,0),IF(NOT($V$36),"",-'Sch. F'!Y24))</f>
        <v/>
      </c>
      <c r="W74" s="6589"/>
      <c r="X74" s="6589"/>
      <c r="Y74" s="704"/>
      <c r="Z74" s="4256"/>
      <c r="AA74" s="452"/>
      <c r="AB74" s="2115" t="s">
        <v>4142</v>
      </c>
      <c r="AC74" s="2104"/>
      <c r="AD74" s="2104"/>
      <c r="AE74" s="2104"/>
      <c r="AF74" s="2104"/>
      <c r="AG74" s="2105"/>
      <c r="AH74" s="452"/>
      <c r="AI74" s="2928"/>
    </row>
    <row r="75" spans="1:44" ht="12.75" customHeight="1">
      <c r="A75" s="635"/>
      <c r="B75" s="24"/>
      <c r="C75" s="52">
        <v>2</v>
      </c>
      <c r="D75" s="1224" t="s">
        <v>137</v>
      </c>
      <c r="E75" s="24"/>
      <c r="F75" s="24"/>
      <c r="G75" s="24"/>
      <c r="H75" s="24"/>
      <c r="I75" s="24"/>
      <c r="J75" s="24"/>
      <c r="K75" s="24"/>
      <c r="L75" s="24"/>
      <c r="M75" s="24"/>
      <c r="N75" s="24"/>
      <c r="O75" s="24"/>
      <c r="P75" s="24"/>
      <c r="Q75" s="24"/>
      <c r="R75" s="24"/>
      <c r="S75" s="24"/>
      <c r="T75" s="24"/>
      <c r="U75" s="450"/>
      <c r="V75" s="6617" t="str">
        <f>IF(AND($V$74&lt;&gt;"",$V$74&gt;0),"Please enter the","")</f>
        <v/>
      </c>
      <c r="W75" s="6618"/>
      <c r="X75" s="6618"/>
      <c r="Y75" s="82"/>
      <c r="Z75" s="3063" t="str">
        <f>IF(AND($V$36,SchC_StatutoryEmp_1&lt;&gt;""),"See instructions:","")</f>
        <v/>
      </c>
      <c r="AA75" s="452"/>
      <c r="AB75" s="2870" t="s">
        <v>4138</v>
      </c>
      <c r="AC75" s="1408"/>
      <c r="AD75" s="1408"/>
      <c r="AE75" s="4591"/>
      <c r="AF75" s="1408"/>
      <c r="AG75" s="2107"/>
      <c r="AH75" s="452"/>
      <c r="AI75" s="2928"/>
    </row>
    <row r="76" spans="1:44" ht="12.75" customHeight="1">
      <c r="A76" s="635"/>
      <c r="B76" s="24"/>
      <c r="C76" s="24"/>
      <c r="D76" s="1224" t="s">
        <v>491</v>
      </c>
      <c r="E76" s="24"/>
      <c r="F76" s="24"/>
      <c r="G76" s="24"/>
      <c r="H76" s="24"/>
      <c r="I76" s="24"/>
      <c r="J76" s="24"/>
      <c r="K76" s="24"/>
      <c r="L76" s="24"/>
      <c r="M76" s="24"/>
      <c r="N76" s="24"/>
      <c r="O76" s="24"/>
      <c r="P76" s="24"/>
      <c r="Q76" s="24"/>
      <c r="R76" s="24"/>
      <c r="S76" s="24"/>
      <c r="T76" s="24"/>
      <c r="U76" s="450"/>
      <c r="V76" s="6619" t="str">
        <f>IF(AND($V$74&lt;&gt;"",$V$74&gt;0),"amount for line 1b","")</f>
        <v/>
      </c>
      <c r="W76" s="6620"/>
      <c r="X76" s="6620"/>
      <c r="Y76" s="82"/>
      <c r="Z76" s="3062" t="str">
        <f>IF(AND($V$36,SchC_StatutoryEmp_1&lt;&gt;""),"Statuatory employee","")</f>
        <v/>
      </c>
      <c r="AA76" s="452"/>
      <c r="AB76" s="2870" t="s">
        <v>4139</v>
      </c>
      <c r="AC76" s="1408"/>
      <c r="AD76" s="1408"/>
      <c r="AE76" s="1408">
        <f>IF(Z47&lt;&gt;"",ROUND(Z47,0),IF(Z79&lt;&gt;"",ROUND(Z79,0),IF(AND(AF79&lt;&gt;"",SchC_StatutoryEmp_1=""),SUM(ROUND(AF79,0),SchC_ProfitLoss1),IF(AND(AF47&lt;&gt;"",SchC_StatutoryEmp_1=""),SUM(ROUND(AF47,0),SchC_ProfitLoss1),IF(SchC_StatutoryEmp_1="",SchC_ProfitLoss1,0)))))</f>
        <v>0</v>
      </c>
      <c r="AF76" s="1766"/>
      <c r="AG76" s="2107"/>
      <c r="AH76" s="452"/>
    </row>
    <row r="77" spans="1:44" ht="12.75" customHeight="1">
      <c r="A77" s="635"/>
      <c r="B77" s="24"/>
      <c r="C77" s="24"/>
      <c r="D77" s="1224" t="s">
        <v>742</v>
      </c>
      <c r="E77" s="24"/>
      <c r="F77" s="24"/>
      <c r="G77" s="24"/>
      <c r="H77" s="24"/>
      <c r="I77" s="24"/>
      <c r="J77" s="24"/>
      <c r="K77" s="24"/>
      <c r="L77" s="24"/>
      <c r="M77" s="24"/>
      <c r="N77" s="24"/>
      <c r="O77" s="24"/>
      <c r="P77" s="24"/>
      <c r="Q77" s="24"/>
      <c r="R77" s="24"/>
      <c r="S77" s="24"/>
      <c r="T77" s="24"/>
      <c r="U77" s="450"/>
      <c r="V77" s="6619" t="str">
        <f>IF(AND($V$74&lt;&gt;"",$V$74&gt;0),"as a negative amount.","")</f>
        <v/>
      </c>
      <c r="W77" s="6620"/>
      <c r="X77" s="6620"/>
      <c r="Y77" s="82"/>
      <c r="Z77" s="3062" t="str">
        <f>IF(AND($V$36,SchC_StatutoryEmp_1&lt;&gt;""),"profit is not to be","")</f>
        <v/>
      </c>
      <c r="AA77" s="452"/>
      <c r="AB77" s="2870" t="s">
        <v>4141</v>
      </c>
      <c r="AC77" s="1408"/>
      <c r="AD77" s="1408"/>
      <c r="AE77" s="1408">
        <f>IF(Z80&lt;&gt;"",ROUND(Z80,0),SUM(AE69,AE71,AE76))</f>
        <v>0</v>
      </c>
      <c r="AF77" s="1766"/>
      <c r="AG77" s="2107"/>
      <c r="AH77" s="452"/>
    </row>
    <row r="78" spans="1:44" ht="12.75" customHeight="1" thickBot="1">
      <c r="A78" s="635"/>
      <c r="B78" s="24"/>
      <c r="C78" s="24"/>
      <c r="D78" s="1224" t="s">
        <v>986</v>
      </c>
      <c r="E78" s="24"/>
      <c r="F78" s="24"/>
      <c r="G78" s="24"/>
      <c r="H78" s="24"/>
      <c r="I78" s="24"/>
      <c r="J78" s="24"/>
      <c r="K78" s="24"/>
      <c r="L78" s="24"/>
      <c r="M78" s="24"/>
      <c r="N78" s="24"/>
      <c r="O78" s="24"/>
      <c r="P78" s="24"/>
      <c r="Q78" s="24"/>
      <c r="R78" s="24"/>
      <c r="S78" s="24"/>
      <c r="T78" s="24"/>
      <c r="U78" s="450"/>
      <c r="V78" s="1693"/>
      <c r="W78" s="60"/>
      <c r="X78" s="60"/>
      <c r="Y78" s="82"/>
      <c r="Z78" s="3062" t="str">
        <f>IF(AND($V$36,SchC_StatutoryEmp_1&lt;&gt;""),"included on Line 2.","")</f>
        <v/>
      </c>
      <c r="AA78" s="452"/>
      <c r="AB78" s="2872" t="s">
        <v>4140</v>
      </c>
      <c r="AC78" s="2112"/>
      <c r="AD78" s="2112"/>
      <c r="AE78" s="2112">
        <f>IF(AE77&gt;0,ROUND(AE77*AC51,0),AE77)</f>
        <v>0</v>
      </c>
      <c r="AF78" s="2112"/>
      <c r="AG78" s="2113"/>
      <c r="AH78" s="452"/>
    </row>
    <row r="79" spans="1:44" ht="13.5" customHeight="1" thickBot="1">
      <c r="A79" s="635"/>
      <c r="B79" s="24"/>
      <c r="C79" s="24"/>
      <c r="D79" s="1224" t="s">
        <v>987</v>
      </c>
      <c r="E79" s="24"/>
      <c r="F79" s="24"/>
      <c r="G79" s="24"/>
      <c r="H79" s="24"/>
      <c r="I79" s="24"/>
      <c r="J79" s="24"/>
      <c r="K79" s="24"/>
      <c r="L79" s="24"/>
      <c r="M79" s="24"/>
      <c r="N79" s="24"/>
      <c r="O79" s="24"/>
      <c r="P79" s="24"/>
      <c r="Q79" s="24"/>
      <c r="R79" s="24"/>
      <c r="S79" s="24"/>
      <c r="T79" s="1699" t="s">
        <v>988</v>
      </c>
      <c r="U79" s="350">
        <v>2</v>
      </c>
      <c r="V79" s="6557" t="str">
        <f>IF(Z79&lt;&gt;"",ROUND(Z79,0),IF(NOT($V$36),"",IF(AND(AF79&lt;&gt;"",SchC_StatutoryEmp_1=""),SUM(ROUND(AF79,0),SchC_ProfitLoss1),IF(AND(AF47&lt;&gt;"",SchC_StatutoryEmp_1=""),SUM(ROUND(AF47,0),SchC_ProfitLoss1),IF(SchC_StatutoryEmp_1="",SchC_ProfitLoss1,0)))))</f>
        <v/>
      </c>
      <c r="W79" s="6558"/>
      <c r="X79" s="6558"/>
      <c r="Y79" s="82"/>
      <c r="Z79" s="4256"/>
      <c r="AA79" s="452"/>
      <c r="AB79" s="452"/>
      <c r="AE79" s="4133"/>
      <c r="AF79" s="4256"/>
      <c r="AG79" s="452"/>
      <c r="AH79" s="452"/>
    </row>
    <row r="80" spans="1:44" ht="13.5" customHeight="1" thickBot="1">
      <c r="A80" s="635"/>
      <c r="B80" s="24"/>
      <c r="C80" s="52">
        <v>3</v>
      </c>
      <c r="D80" s="74" t="s">
        <v>758</v>
      </c>
      <c r="E80" s="24"/>
      <c r="F80" s="24"/>
      <c r="G80" s="24"/>
      <c r="H80" s="24"/>
      <c r="I80" s="24"/>
      <c r="J80" s="24"/>
      <c r="K80" s="24"/>
      <c r="L80" s="24"/>
      <c r="M80" s="24"/>
      <c r="N80" s="24"/>
      <c r="O80" s="24"/>
      <c r="P80" s="24"/>
      <c r="Q80" s="24"/>
      <c r="R80" s="24"/>
      <c r="S80" s="1080"/>
      <c r="T80" s="1080" t="s">
        <v>759</v>
      </c>
      <c r="U80" s="350">
        <v>3</v>
      </c>
      <c r="V80" s="6590" t="str">
        <f>IF(Z80&lt;&gt;"",ROUND(Z80,0),IF(NOT($V$36),"",SUM(V72,V74,V79)))</f>
        <v/>
      </c>
      <c r="W80" s="6591"/>
      <c r="X80" s="6591"/>
      <c r="Y80" s="82"/>
      <c r="Z80" s="4256"/>
      <c r="AA80" s="452"/>
      <c r="AB80" s="452"/>
      <c r="AC80" s="452"/>
      <c r="AD80" s="452"/>
      <c r="AE80" s="1056">
        <f>SUM($V$111,$V$117)</f>
        <v>0</v>
      </c>
      <c r="AF80" s="452"/>
      <c r="AG80" s="452"/>
      <c r="AH80" s="452"/>
    </row>
    <row r="81" spans="1:40" ht="13.5" customHeight="1">
      <c r="A81" s="635"/>
      <c r="B81" s="24"/>
      <c r="C81" s="42" t="s">
        <v>128</v>
      </c>
      <c r="D81" s="24" t="str">
        <f>"If line 3 is more than zero, multiply line 3 by "&amp;TEXT(AC51,"0.00%")&amp;" ("&amp;TEXT(AC51,"0.0000")&amp;"). Otherwise, enter amount from line 3"</f>
        <v>If line 3 is more than zero, multiply line 3 by 92.35% (0.9235). Otherwise, enter amount from line 3</v>
      </c>
      <c r="E81" s="24"/>
      <c r="F81" s="24"/>
      <c r="G81" s="24"/>
      <c r="H81" s="24"/>
      <c r="I81" s="24"/>
      <c r="J81" s="24"/>
      <c r="K81" s="24"/>
      <c r="L81" s="24"/>
      <c r="M81" s="24"/>
      <c r="N81" s="24"/>
      <c r="O81" s="24"/>
      <c r="P81" s="24"/>
      <c r="Q81" s="24"/>
      <c r="R81" s="24"/>
      <c r="S81" s="24"/>
      <c r="T81" s="24"/>
      <c r="U81" s="350" t="s">
        <v>128</v>
      </c>
      <c r="V81" s="6590" t="str">
        <f>IF(NOT($V$36),"",IF(V80&gt;0,ROUND(V80*AC51,0),V80))</f>
        <v/>
      </c>
      <c r="W81" s="6591"/>
      <c r="X81" s="6591"/>
      <c r="Y81" s="82"/>
      <c r="Z81" s="532" t="str">
        <f>IF(OR($V$111&gt;$V$109,$V$117&gt;$V$115),"Error!","")</f>
        <v/>
      </c>
    </row>
    <row r="82" spans="1:40">
      <c r="A82" s="635"/>
      <c r="B82" s="24"/>
      <c r="C82" s="42"/>
      <c r="D82" s="60" t="s">
        <v>751</v>
      </c>
      <c r="E82" s="24"/>
      <c r="F82" s="24"/>
      <c r="G82" s="24"/>
      <c r="H82" s="24"/>
      <c r="I82" s="24"/>
      <c r="J82" s="24"/>
      <c r="K82" s="24"/>
      <c r="L82" s="24"/>
      <c r="M82" s="24"/>
      <c r="N82" s="24"/>
      <c r="O82" s="24"/>
      <c r="P82" s="24"/>
      <c r="Q82" s="24"/>
      <c r="R82" s="24"/>
      <c r="S82" s="24"/>
      <c r="T82" s="24"/>
      <c r="U82" s="1092"/>
      <c r="V82" s="1619"/>
      <c r="W82" s="1620"/>
      <c r="X82" s="1620"/>
      <c r="Y82" s="82"/>
      <c r="Z82" s="532"/>
    </row>
    <row r="83" spans="1:40">
      <c r="A83" s="635"/>
      <c r="B83" s="24"/>
      <c r="C83" s="42" t="s">
        <v>54</v>
      </c>
      <c r="D83" s="24" t="s">
        <v>136</v>
      </c>
      <c r="E83" s="24"/>
      <c r="F83" s="24"/>
      <c r="G83" s="24"/>
      <c r="H83" s="24"/>
      <c r="I83" s="24"/>
      <c r="J83" s="24"/>
      <c r="K83" s="24"/>
      <c r="L83" s="24"/>
      <c r="M83" s="24"/>
      <c r="N83" s="24"/>
      <c r="O83" s="24"/>
      <c r="P83" s="24"/>
      <c r="Q83" s="24"/>
      <c r="R83" s="24"/>
      <c r="S83" s="24"/>
      <c r="T83" s="566" t="s">
        <v>605</v>
      </c>
      <c r="U83" s="350" t="s">
        <v>109</v>
      </c>
      <c r="V83" s="6557" t="str">
        <f>IF(NOT($V$36),"",SUM(V111,V117))</f>
        <v/>
      </c>
      <c r="W83" s="6558"/>
      <c r="X83" s="6558"/>
      <c r="Y83" s="82"/>
      <c r="Z83" s="532" t="str">
        <f>IF(OR($V$111&gt;$V$109,$V$117&gt;$V$115),"See Part II.","")</f>
        <v/>
      </c>
    </row>
    <row r="84" spans="1:40">
      <c r="A84" s="635"/>
      <c r="B84" s="24"/>
      <c r="C84" s="42" t="s">
        <v>55</v>
      </c>
      <c r="D84" s="24" t="str">
        <f>"Combine lines 4a and 4b.     If less than "&amp;TEXT(AC49,"$0")&amp; ","</f>
        <v>Combine lines 4a and 4b.     If less than $400,</v>
      </c>
      <c r="E84" s="24"/>
      <c r="F84" s="24"/>
      <c r="G84" s="24"/>
      <c r="H84" s="24"/>
      <c r="I84" s="24"/>
      <c r="J84" s="24"/>
      <c r="K84" s="41" t="s">
        <v>621</v>
      </c>
      <c r="L84" s="24"/>
      <c r="M84" s="24"/>
      <c r="N84" s="24"/>
      <c r="O84" s="24"/>
      <c r="P84" s="24"/>
      <c r="Q84" s="24"/>
      <c r="R84" s="24"/>
      <c r="S84" s="24"/>
      <c r="T84" s="24"/>
      <c r="U84" s="450"/>
      <c r="V84" s="6613" t="str">
        <f>IF(NOT($V$36),"",SUM(V81:V83))</f>
        <v/>
      </c>
      <c r="W84" s="6614"/>
      <c r="X84" s="6614"/>
      <c r="Y84" s="82"/>
      <c r="Z84" s="452"/>
      <c r="AE84" s="1056"/>
    </row>
    <row r="85" spans="1:40" ht="15" thickBot="1">
      <c r="A85" s="635"/>
      <c r="B85" s="24"/>
      <c r="C85" s="24"/>
      <c r="D85" s="74" t="s">
        <v>3259</v>
      </c>
      <c r="E85" s="24"/>
      <c r="F85" s="24"/>
      <c r="G85" s="24"/>
      <c r="H85" s="24"/>
      <c r="I85" s="24"/>
      <c r="J85" s="24"/>
      <c r="K85" s="24"/>
      <c r="L85" s="24"/>
      <c r="M85" s="24"/>
      <c r="N85" s="24"/>
      <c r="O85" s="24"/>
      <c r="P85" s="24"/>
      <c r="Q85" s="24"/>
      <c r="R85" s="24"/>
      <c r="S85" s="24"/>
      <c r="T85" s="459"/>
      <c r="U85" s="350" t="s">
        <v>108</v>
      </c>
      <c r="V85" s="6557" t="str">
        <f>IF(NOT($V$36),"",IF(Y86&lt;&gt;"",0,SUM(V81,V83)))</f>
        <v/>
      </c>
      <c r="W85" s="6558"/>
      <c r="X85" s="6558"/>
      <c r="Y85" s="706" t="str">
        <f>IF(V85&lt;400,"            Stop","")</f>
        <v/>
      </c>
      <c r="Z85" s="2596" t="str">
        <f>IF(NOT(V36),"",IF(AND(Y86&lt;&gt;"",V85=0),"Continue",IF(AND(Y86="",SUM(V81,V83)&lt;AC49),"Stop","Continue")))</f>
        <v/>
      </c>
      <c r="AC85" s="2596" t="str">
        <f>IF(AND(Y86&lt;&gt;"",AE85=0),"Continue",IF(AND(Y86="",SUM(AE78,AE80)&lt;AC49),"Stop","Continue"))</f>
        <v>Stop</v>
      </c>
      <c r="AE85" s="1056">
        <f>IF(Y86&lt;&gt;"",0,SUM(AE78,AE80))</f>
        <v>0</v>
      </c>
    </row>
    <row r="86" spans="1:40" ht="13.5" thickBot="1">
      <c r="A86" s="635"/>
      <c r="B86" s="24"/>
      <c r="C86" s="52" t="s">
        <v>417</v>
      </c>
      <c r="D86" s="74" t="s">
        <v>622</v>
      </c>
      <c r="E86" s="24"/>
      <c r="F86" s="24"/>
      <c r="G86" s="24"/>
      <c r="H86" s="24"/>
      <c r="I86" s="24"/>
      <c r="J86" s="24"/>
      <c r="K86" s="24"/>
      <c r="L86" s="24"/>
      <c r="M86" s="24"/>
      <c r="N86" s="24"/>
      <c r="O86" s="24"/>
      <c r="P86" s="24"/>
      <c r="Q86" s="24"/>
      <c r="R86" s="24"/>
      <c r="S86" s="24"/>
      <c r="T86" s="24"/>
      <c r="U86" s="453"/>
      <c r="V86" s="6615"/>
      <c r="W86" s="6616"/>
      <c r="X86" s="6616"/>
      <c r="Y86" s="3070"/>
      <c r="Z86" s="1049" t="str">
        <f>IF(OR(NOT(V36),AE85=0,AE85&gt;=AC49),"","&lt; Check here if")</f>
        <v/>
      </c>
    </row>
    <row r="87" spans="1:40">
      <c r="A87" s="635"/>
      <c r="B87" s="24"/>
      <c r="C87" s="24"/>
      <c r="D87" s="74" t="s">
        <v>752</v>
      </c>
      <c r="E87" s="24"/>
      <c r="F87" s="24"/>
      <c r="G87" s="24"/>
      <c r="H87" s="24"/>
      <c r="I87" s="24"/>
      <c r="J87" s="24"/>
      <c r="K87" s="24"/>
      <c r="L87" s="24"/>
      <c r="M87" s="24"/>
      <c r="N87" s="24"/>
      <c r="O87" s="566" t="s">
        <v>739</v>
      </c>
      <c r="P87" s="447" t="s">
        <v>417</v>
      </c>
      <c r="Q87" s="6608"/>
      <c r="R87" s="6609"/>
      <c r="S87" s="6609"/>
      <c r="T87" s="6610"/>
      <c r="U87" s="453"/>
      <c r="V87" s="6611"/>
      <c r="W87" s="6612"/>
      <c r="X87" s="6612"/>
      <c r="Y87" s="82"/>
      <c r="Z87" s="1049" t="str">
        <f>IF(OR(NOT($V$36),$AE$85=0,$AE$85&gt;=$AC$49),"","church employee")</f>
        <v/>
      </c>
      <c r="AI87" s="4174" t="s">
        <v>2160</v>
      </c>
      <c r="AJ87" s="4175"/>
      <c r="AK87" s="1601"/>
    </row>
    <row r="88" spans="1:40">
      <c r="A88" s="635"/>
      <c r="B88" s="24"/>
      <c r="C88" s="42" t="s">
        <v>54</v>
      </c>
      <c r="D88" s="24" t="str">
        <f>"Multiply line 5a by "&amp;TEXT(AC51,"0.00%")&amp;" ("&amp;TEXT(AC51,"0.0000")&amp;"). If less than $100, enter -0-"</f>
        <v>Multiply line 5a by 92.35% (0.9235). If less than $100, enter -0-</v>
      </c>
      <c r="E88" s="24"/>
      <c r="F88" s="24"/>
      <c r="G88" s="24"/>
      <c r="H88" s="24"/>
      <c r="I88" s="24"/>
      <c r="J88" s="24"/>
      <c r="K88" s="24"/>
      <c r="L88" s="24"/>
      <c r="M88" s="24"/>
      <c r="N88" s="24"/>
      <c r="O88" s="24"/>
      <c r="P88" s="24"/>
      <c r="Q88" s="24"/>
      <c r="R88" s="24"/>
      <c r="S88" s="24"/>
      <c r="T88" s="566" t="s">
        <v>312</v>
      </c>
      <c r="U88" s="350" t="s">
        <v>418</v>
      </c>
      <c r="V88" s="6557" t="str">
        <f>IF(NOT($V$36),"",IF(OR(Q87="",Q87&lt;100),0,ROUND(Q87*AC51,0)))</f>
        <v/>
      </c>
      <c r="W88" s="6558"/>
      <c r="X88" s="6558"/>
      <c r="Y88" s="82"/>
      <c r="Z88" s="1049" t="str">
        <f>IF(OR(NOT($V$36),$AE$85=0,$AE$85&gt;=$AC$49),"","income.")</f>
        <v/>
      </c>
      <c r="AE88" s="1056">
        <f>IF(OR(Q87="",Q87&lt;100),0,ROUND(Q87*AC51,0))</f>
        <v>0</v>
      </c>
      <c r="AI88" s="1642" t="s">
        <v>2143</v>
      </c>
      <c r="AJ88" s="1642" t="s">
        <v>2159</v>
      </c>
      <c r="AK88" s="1642" t="s">
        <v>3798</v>
      </c>
    </row>
    <row r="89" spans="1:40" ht="13.5" thickBot="1">
      <c r="A89" s="635"/>
      <c r="B89" s="24"/>
      <c r="C89" s="52">
        <v>6</v>
      </c>
      <c r="D89" s="74" t="s">
        <v>623</v>
      </c>
      <c r="E89" s="24"/>
      <c r="F89" s="24"/>
      <c r="G89" s="24"/>
      <c r="H89" s="24"/>
      <c r="I89" s="24"/>
      <c r="J89" s="24"/>
      <c r="K89" s="24"/>
      <c r="L89" s="24"/>
      <c r="M89" s="24"/>
      <c r="N89" s="24"/>
      <c r="O89" s="24"/>
      <c r="P89" s="24"/>
      <c r="Q89" s="24"/>
      <c r="R89" s="24"/>
      <c r="S89" s="24"/>
      <c r="T89" s="1699" t="s">
        <v>1152</v>
      </c>
      <c r="U89" s="350">
        <v>6</v>
      </c>
      <c r="V89" s="6590" t="str">
        <f>IF(OR(NOT($V$36),Z85="Stop"),"",SUM(V85,V88))</f>
        <v/>
      </c>
      <c r="W89" s="6591"/>
      <c r="X89" s="6591"/>
      <c r="Y89" s="82"/>
      <c r="Z89" s="452"/>
      <c r="AE89" s="1056">
        <f>IF(AC85="Stop",0,SUM(AE85,AE88))</f>
        <v>0</v>
      </c>
      <c r="AI89" s="2069">
        <f>SUM('W-2s'!I5,'W-2s'!I9)</f>
        <v>0</v>
      </c>
      <c r="AJ89" s="2069">
        <f>SUM('W-2s'!I35,'W-2s'!I39)</f>
        <v>0</v>
      </c>
      <c r="AK89" s="2069">
        <f>SUM(AI89,AJ89)</f>
        <v>0</v>
      </c>
    </row>
    <row r="90" spans="1:40" ht="12.75" customHeight="1" thickBot="1">
      <c r="A90" s="635"/>
      <c r="B90" s="24"/>
      <c r="C90" s="52">
        <v>7</v>
      </c>
      <c r="D90" s="24" t="s">
        <v>59</v>
      </c>
      <c r="E90" s="24"/>
      <c r="F90" s="24"/>
      <c r="G90" s="24"/>
      <c r="H90" s="24"/>
      <c r="I90" s="24"/>
      <c r="J90" s="24"/>
      <c r="K90" s="24"/>
      <c r="L90" s="24"/>
      <c r="M90" s="24"/>
      <c r="N90" s="24"/>
      <c r="O90" s="24"/>
      <c r="P90" s="24"/>
      <c r="Q90" s="24"/>
      <c r="R90" s="24"/>
      <c r="S90" s="24"/>
      <c r="T90" s="24"/>
      <c r="U90" s="450"/>
      <c r="V90" s="24"/>
      <c r="W90" s="24"/>
      <c r="X90" s="24"/>
      <c r="Y90" s="82"/>
      <c r="Z90" s="4256"/>
    </row>
    <row r="91" spans="1:40" s="633" customFormat="1" ht="12.75" customHeight="1">
      <c r="A91" s="694"/>
      <c r="B91" s="104"/>
      <c r="C91" s="104"/>
      <c r="D91" s="104" t="str">
        <f>"tax or the 6.2% portion of the 7.65% railroad retirement (tier 1) tax for "&amp;TaxYear</f>
        <v>tax or the 6.2% portion of the 7.65% railroad retirement (tier 1) tax for 2018</v>
      </c>
      <c r="E91" s="104"/>
      <c r="F91" s="104"/>
      <c r="G91" s="104"/>
      <c r="H91" s="104"/>
      <c r="I91" s="104"/>
      <c r="J91" s="104"/>
      <c r="K91" s="104"/>
      <c r="L91" s="104"/>
      <c r="M91" s="104"/>
      <c r="N91" s="104"/>
      <c r="O91" s="104"/>
      <c r="P91" s="104"/>
      <c r="Q91" s="104"/>
      <c r="R91" s="104"/>
      <c r="S91" s="104"/>
      <c r="T91" s="572" t="s">
        <v>678</v>
      </c>
      <c r="U91" s="708">
        <v>7</v>
      </c>
      <c r="V91" s="6586">
        <f>AC52</f>
        <v>128400</v>
      </c>
      <c r="W91" s="6587"/>
      <c r="X91" s="6587"/>
      <c r="Y91" s="707"/>
      <c r="Z91" s="568" t="s">
        <v>389</v>
      </c>
      <c r="AE91" s="4135">
        <f>V91</f>
        <v>128400</v>
      </c>
      <c r="AF91" s="1604"/>
      <c r="AG91" s="1605"/>
      <c r="AH91" s="1605"/>
      <c r="AI91" s="1605"/>
      <c r="AJ91" s="1605"/>
      <c r="AK91" s="1605"/>
      <c r="AL91" s="1606"/>
      <c r="AM91"/>
      <c r="AN91"/>
    </row>
    <row r="92" spans="1:40" ht="12.75" customHeight="1" thickBot="1">
      <c r="A92" s="635"/>
      <c r="B92" s="24"/>
      <c r="C92" s="52" t="s">
        <v>39</v>
      </c>
      <c r="D92" s="74" t="s">
        <v>624</v>
      </c>
      <c r="E92" s="24"/>
      <c r="F92" s="24"/>
      <c r="G92" s="24"/>
      <c r="H92" s="24"/>
      <c r="I92" s="24"/>
      <c r="J92" s="24"/>
      <c r="K92" s="24"/>
      <c r="L92" s="24"/>
      <c r="M92" s="24"/>
      <c r="N92" s="24"/>
      <c r="O92" s="24"/>
      <c r="P92" s="24"/>
      <c r="Q92" s="6600"/>
      <c r="R92" s="5601"/>
      <c r="S92" s="5601"/>
      <c r="T92" s="5602"/>
      <c r="U92" s="453"/>
      <c r="V92" s="6601"/>
      <c r="W92" s="6602"/>
      <c r="X92" s="6602"/>
      <c r="Y92" s="82"/>
      <c r="Z92" s="568" t="s">
        <v>390</v>
      </c>
      <c r="AF92" s="4153" t="s">
        <v>990</v>
      </c>
      <c r="AG92" s="1608"/>
      <c r="AH92" s="1608"/>
      <c r="AI92" s="1617"/>
      <c r="AJ92" s="1608"/>
      <c r="AK92" s="1608"/>
      <c r="AL92" s="1609"/>
    </row>
    <row r="93" spans="1:40" ht="12.75" customHeight="1" thickBot="1">
      <c r="A93" s="635"/>
      <c r="B93" s="24"/>
      <c r="C93" s="52"/>
      <c r="D93" s="1093" t="s">
        <v>626</v>
      </c>
      <c r="E93" s="24"/>
      <c r="F93" s="24"/>
      <c r="G93" s="24"/>
      <c r="H93" s="24"/>
      <c r="I93" s="24"/>
      <c r="J93" s="24"/>
      <c r="K93" s="24"/>
      <c r="L93" s="24"/>
      <c r="M93" s="24"/>
      <c r="N93" s="24"/>
      <c r="O93" s="24"/>
      <c r="P93" s="460"/>
      <c r="Q93" s="6603"/>
      <c r="R93" s="5601"/>
      <c r="S93" s="5601"/>
      <c r="T93" s="5602"/>
      <c r="U93" s="453"/>
      <c r="V93" s="6604" t="str">
        <f>IF(OR(NOT($V$36),Z85="Stop"),"",IF($Z$96="","Enter RR retirement",""))</f>
        <v/>
      </c>
      <c r="W93" s="6605"/>
      <c r="X93" s="6605"/>
      <c r="Y93" s="82"/>
      <c r="Z93" s="4256"/>
      <c r="AA93" s="1701"/>
      <c r="AB93" s="1701" t="s">
        <v>991</v>
      </c>
      <c r="AF93" s="2091" t="s">
        <v>989</v>
      </c>
      <c r="AG93" s="1443"/>
      <c r="AH93" s="1443"/>
      <c r="AI93" s="1607"/>
      <c r="AJ93" s="1443"/>
      <c r="AK93" s="1443"/>
      <c r="AL93" s="1554"/>
    </row>
    <row r="94" spans="1:40" ht="12.75" customHeight="1">
      <c r="A94" s="635"/>
      <c r="B94" s="24"/>
      <c r="C94" s="24"/>
      <c r="D94" s="104" t="str">
        <f>"If "&amp;TEXT(V91,"$00,000")&amp;" or more, skip lines 8b through 10 and go to line 11"</f>
        <v>If $128,400 or more, skip lines 8b through 10 and go to line 11</v>
      </c>
      <c r="E94" s="24"/>
      <c r="F94" s="24"/>
      <c r="G94" s="24"/>
      <c r="H94" s="24"/>
      <c r="I94" s="24"/>
      <c r="J94" s="24"/>
      <c r="K94" s="24"/>
      <c r="L94" s="24"/>
      <c r="M94" s="24"/>
      <c r="N94" s="24"/>
      <c r="O94" s="42" t="s">
        <v>753</v>
      </c>
      <c r="P94" s="447" t="s">
        <v>39</v>
      </c>
      <c r="Q94" s="6557" t="str">
        <f>IF(Z93&lt;&gt;"",SUM(Z93,Z96),IF(OR(NOT(V36),Z85="Stop"),"",IF(AND(AB5&lt;&gt;"",AB7&lt;&gt;""),AK89,IF(AB5&lt;&gt;"",AI89,IF(AB7&lt;&gt;"",AJ89,"")))))</f>
        <v/>
      </c>
      <c r="R94" s="6558"/>
      <c r="S94" s="6558"/>
      <c r="T94" s="6585"/>
      <c r="U94" s="453"/>
      <c r="V94" s="6606" t="str">
        <f>IF(OR(NOT($V$36),Z85="Stop"),"",IF($Z$96="","(tier 1) compensation",""))</f>
        <v/>
      </c>
      <c r="W94" s="6607"/>
      <c r="X94" s="6607"/>
      <c r="Y94" s="82"/>
      <c r="Z94" s="6594" t="s">
        <v>627</v>
      </c>
      <c r="AE94" s="1056">
        <f>IF(Z93&lt;&gt;"",SUM(Z93,Z96),IF(AC85="Stop",0,IF(AND(AB5&lt;&gt;"",AB7&lt;&gt;""),SUM(AI89,AJ89),IF(AB5&lt;&gt;"",AI89,IF(AB7&lt;&gt;"",AJ89,0)))))</f>
        <v>0</v>
      </c>
      <c r="AF94" s="2091" t="s">
        <v>944</v>
      </c>
      <c r="AG94" s="1443"/>
      <c r="AH94" s="1443"/>
      <c r="AI94" s="1607"/>
      <c r="AJ94" s="1607"/>
      <c r="AK94" s="1443"/>
      <c r="AL94" s="1554"/>
    </row>
    <row r="95" spans="1:40" ht="12.75" customHeight="1" thickBot="1">
      <c r="A95" s="635"/>
      <c r="B95" s="24"/>
      <c r="C95" s="52" t="s">
        <v>54</v>
      </c>
      <c r="D95" s="60" t="s">
        <v>428</v>
      </c>
      <c r="E95" s="24"/>
      <c r="F95" s="24"/>
      <c r="G95" s="24"/>
      <c r="H95" s="24"/>
      <c r="I95" s="24"/>
      <c r="J95" s="24"/>
      <c r="K95" s="24"/>
      <c r="L95" s="24"/>
      <c r="M95" s="24"/>
      <c r="N95" s="24"/>
      <c r="O95" s="24"/>
      <c r="P95" s="447" t="s">
        <v>40</v>
      </c>
      <c r="Q95" s="6596"/>
      <c r="R95" s="5575"/>
      <c r="S95" s="5575"/>
      <c r="T95" s="6597"/>
      <c r="U95" s="453"/>
      <c r="V95" s="6598" t="str">
        <f>IF(OR(NOT($V$36),Z85="Stop"),"",IF($Z$96="","amounts here.",""))</f>
        <v/>
      </c>
      <c r="W95" s="6599"/>
      <c r="X95" s="6599"/>
      <c r="Y95" s="82"/>
      <c r="Z95" s="6595"/>
      <c r="AE95">
        <f>ROUND(Q95,0)</f>
        <v>0</v>
      </c>
      <c r="AF95" s="1611"/>
      <c r="AG95" s="1612"/>
      <c r="AH95" s="1612"/>
      <c r="AI95" s="1612"/>
      <c r="AJ95" s="1612"/>
      <c r="AK95" s="1612"/>
      <c r="AL95" s="1613"/>
    </row>
    <row r="96" spans="1:40" ht="12.75" customHeight="1" thickBot="1">
      <c r="A96" s="635"/>
      <c r="B96" s="24"/>
      <c r="C96" s="52" t="s">
        <v>55</v>
      </c>
      <c r="D96" s="24" t="s">
        <v>429</v>
      </c>
      <c r="E96" s="24"/>
      <c r="F96" s="24"/>
      <c r="G96" s="24"/>
      <c r="H96" s="24"/>
      <c r="I96" s="24"/>
      <c r="J96" s="24"/>
      <c r="K96" s="24"/>
      <c r="L96" s="24"/>
      <c r="M96" s="24"/>
      <c r="N96" s="24"/>
      <c r="O96" s="24"/>
      <c r="P96" s="447" t="s">
        <v>107</v>
      </c>
      <c r="Q96" s="6596"/>
      <c r="R96" s="5575"/>
      <c r="S96" s="5575"/>
      <c r="T96" s="6597"/>
      <c r="U96" s="453"/>
      <c r="V96" s="6598" t="str">
        <f>IF(OR(NOT($V$36),Z85="Stop"),"",IF($Z$96="","(Enter '0' if none.) --&gt;",""))</f>
        <v/>
      </c>
      <c r="W96" s="6599"/>
      <c r="X96" s="6599"/>
      <c r="Y96" s="82"/>
      <c r="Z96" s="569"/>
      <c r="AE96">
        <f>ROUND(Q96,0)</f>
        <v>0</v>
      </c>
    </row>
    <row r="97" spans="1:35" ht="12.75" customHeight="1" thickBot="1">
      <c r="A97" s="635"/>
      <c r="B97" s="24"/>
      <c r="C97" s="52" t="s">
        <v>102</v>
      </c>
      <c r="D97" s="24" t="s">
        <v>426</v>
      </c>
      <c r="E97" s="24"/>
      <c r="F97" s="24"/>
      <c r="G97" s="24"/>
      <c r="H97" s="24"/>
      <c r="I97" s="24"/>
      <c r="J97" s="24"/>
      <c r="K97" s="24"/>
      <c r="L97" s="24"/>
      <c r="M97" s="24"/>
      <c r="N97" s="24"/>
      <c r="O97" s="24"/>
      <c r="P97" s="24"/>
      <c r="Q97" s="24"/>
      <c r="R97" s="24"/>
      <c r="S97" s="24"/>
      <c r="T97" s="42" t="s">
        <v>493</v>
      </c>
      <c r="U97" s="350" t="s">
        <v>427</v>
      </c>
      <c r="V97" s="6588" t="str">
        <f>IF(Z97&lt;&gt;"",Z97,IF(OR(NOT($V$36),Z85="Stop"),"",SUM(Q94,Q95,Q96)))</f>
        <v/>
      </c>
      <c r="W97" s="6589"/>
      <c r="X97" s="6589"/>
      <c r="Y97" s="82"/>
      <c r="Z97" s="4256"/>
      <c r="AE97" s="1056">
        <f>IF(Z97&lt;&gt;"",ROUND(Z97,0),IF(AC85="Stop",0,IF(AE94&gt;=AE91,"",SUM(AE94,AE95,AE96))))</f>
        <v>0</v>
      </c>
    </row>
    <row r="98" spans="1:35">
      <c r="A98" s="635"/>
      <c r="B98" s="24"/>
      <c r="C98" s="52">
        <v>9</v>
      </c>
      <c r="D98" s="74" t="s">
        <v>3260</v>
      </c>
      <c r="E98" s="24"/>
      <c r="F98" s="24"/>
      <c r="G98" s="24"/>
      <c r="H98" s="24"/>
      <c r="I98" s="24"/>
      <c r="J98" s="24"/>
      <c r="K98" s="24"/>
      <c r="L98" s="24"/>
      <c r="M98" s="24"/>
      <c r="N98" s="24"/>
      <c r="O98" s="24"/>
      <c r="P98" s="24"/>
      <c r="Q98" s="24"/>
      <c r="R98" s="24"/>
      <c r="S98" s="24"/>
      <c r="T98" s="4013" t="s">
        <v>634</v>
      </c>
      <c r="U98" s="350">
        <v>9</v>
      </c>
      <c r="V98" s="6590" t="str">
        <f>IF(OR(NOT($V$36),Z85="Stop"),"",MAX(0,SUM(V91,-V97)))</f>
        <v/>
      </c>
      <c r="W98" s="6591"/>
      <c r="X98" s="6591"/>
      <c r="Y98" s="82"/>
      <c r="Z98" s="452"/>
      <c r="AE98" s="1056">
        <f>IF(AC85="Stop",0,IF(AE94&gt;=AE91,"",MAX(0,SUM(AE91,-AE97))))</f>
        <v>0</v>
      </c>
    </row>
    <row r="99" spans="1:35">
      <c r="A99" s="635"/>
      <c r="B99" s="24"/>
      <c r="C99" s="52">
        <v>10</v>
      </c>
      <c r="D99" s="74" t="s">
        <v>2468</v>
      </c>
      <c r="E99" s="24"/>
      <c r="F99" s="24"/>
      <c r="G99" s="24"/>
      <c r="H99" s="24" t="s">
        <v>2469</v>
      </c>
      <c r="I99" s="24"/>
      <c r="J99" s="24" t="str">
        <f>TEXT(AI99,"0.0%")&amp;" ("&amp;TEXT(AI99,"0.000")&amp;")"</f>
        <v>12.4% (0.124)</v>
      </c>
      <c r="K99" s="24"/>
      <c r="L99" s="24"/>
      <c r="M99" s="24"/>
      <c r="N99" s="24"/>
      <c r="O99" s="24"/>
      <c r="P99" s="24"/>
      <c r="Q99" s="24"/>
      <c r="R99" s="24"/>
      <c r="S99" s="464"/>
      <c r="T99" s="42" t="s">
        <v>633</v>
      </c>
      <c r="U99" s="350">
        <v>10</v>
      </c>
      <c r="V99" s="6590" t="str">
        <f>IF(OR(NOT($V$36),Z85="Stop"),"",IF(V98=0,0,ROUND(AI99*MIN(V89,V98),0)))</f>
        <v/>
      </c>
      <c r="W99" s="6591"/>
      <c r="X99" s="6591"/>
      <c r="Y99" s="82"/>
      <c r="Z99" s="452"/>
      <c r="AE99" s="1056">
        <f>IF(AC85="Stop",0,IF(OR(AE98&lt;=0,AE94&gt;=AE91),"",ROUND(AI99*MIN(AE89,AE98),0)))</f>
        <v>0</v>
      </c>
      <c r="AI99" s="6">
        <v>0.124</v>
      </c>
    </row>
    <row r="100" spans="1:35">
      <c r="A100" s="635"/>
      <c r="B100" s="24"/>
      <c r="C100" s="52">
        <v>11</v>
      </c>
      <c r="D100" s="24" t="str">
        <f>"Multiply line 6 by "&amp;TEXT(AI100,"0.0%")&amp;" ("&amp;TEXT(AI100,"0.000")&amp;")"</f>
        <v>Multiply line 6 by 2.9% (0.029)</v>
      </c>
      <c r="E100" s="24"/>
      <c r="F100" s="24"/>
      <c r="G100" s="24"/>
      <c r="H100" s="24"/>
      <c r="I100" s="24"/>
      <c r="J100" s="24"/>
      <c r="K100" s="24"/>
      <c r="L100" s="24"/>
      <c r="M100" s="24"/>
      <c r="N100" s="24"/>
      <c r="O100" s="24"/>
      <c r="P100" s="24"/>
      <c r="Q100" s="24"/>
      <c r="R100" s="24"/>
      <c r="S100" s="24"/>
      <c r="T100" s="42" t="s">
        <v>341</v>
      </c>
      <c r="U100" s="350">
        <v>11</v>
      </c>
      <c r="V100" s="6590" t="str">
        <f>IF(OR(NOT($V$36),Z85="Stop"),"",ROUND(V89*AI100,0))</f>
        <v/>
      </c>
      <c r="W100" s="6591"/>
      <c r="X100" s="6591"/>
      <c r="Y100" s="82"/>
      <c r="Z100" s="452"/>
      <c r="AE100">
        <f>IF(AC85="Stop",0,ROUND(AE89*AI100,0))</f>
        <v>0</v>
      </c>
      <c r="AI100" s="6">
        <v>2.9000000000000001E-2</v>
      </c>
    </row>
    <row r="101" spans="1:35" ht="12.75" customHeight="1" thickBot="1">
      <c r="A101" s="635"/>
      <c r="B101" s="24"/>
      <c r="C101" s="52">
        <v>12</v>
      </c>
      <c r="D101" s="74" t="s">
        <v>3626</v>
      </c>
      <c r="E101" s="24"/>
      <c r="F101" s="24"/>
      <c r="G101" s="24"/>
      <c r="H101" s="24"/>
      <c r="I101" s="24"/>
      <c r="J101" s="24"/>
      <c r="K101" s="24"/>
      <c r="L101" s="24"/>
      <c r="M101" s="24"/>
      <c r="N101" s="24"/>
      <c r="O101" s="24"/>
      <c r="P101" s="24"/>
      <c r="Q101" s="24"/>
      <c r="R101" s="24"/>
      <c r="S101" s="24"/>
      <c r="T101" s="42"/>
      <c r="U101" s="450"/>
      <c r="V101" s="24"/>
      <c r="W101" s="24"/>
      <c r="X101" s="24"/>
      <c r="Y101" s="82"/>
      <c r="Z101" s="452"/>
      <c r="AE101" s="4136">
        <f>IF(Z102&lt;&gt;"",ROUND(Z102,0),IF(AC85="Stop",0,SUM(AE99,AE100)))</f>
        <v>0</v>
      </c>
    </row>
    <row r="102" spans="1:35" ht="12.75" customHeight="1" thickBot="1">
      <c r="A102" s="635"/>
      <c r="B102" s="24"/>
      <c r="C102" s="52"/>
      <c r="D102" s="74" t="s">
        <v>3627</v>
      </c>
      <c r="E102" s="24"/>
      <c r="F102" s="24"/>
      <c r="G102" s="24"/>
      <c r="H102" s="24"/>
      <c r="I102" s="24"/>
      <c r="J102" s="24"/>
      <c r="K102" s="24"/>
      <c r="L102" s="24"/>
      <c r="M102" s="24"/>
      <c r="N102" s="24"/>
      <c r="O102" s="24"/>
      <c r="P102" s="24"/>
      <c r="Q102" s="24"/>
      <c r="R102" s="24"/>
      <c r="S102" s="24"/>
      <c r="T102" s="42" t="s">
        <v>493</v>
      </c>
      <c r="U102" s="463">
        <v>12</v>
      </c>
      <c r="V102" s="6557" t="str">
        <f>IF(Z102&lt;&gt;"",Z102,IF(OR(NOT($V$36),Z85="Stop"),"",SUM(V99,V100)))</f>
        <v/>
      </c>
      <c r="W102" s="6558"/>
      <c r="X102" s="6558"/>
      <c r="Y102" s="82"/>
      <c r="Z102" s="4256"/>
    </row>
    <row r="103" spans="1:35">
      <c r="A103" s="635"/>
      <c r="B103" s="24"/>
      <c r="C103" s="52">
        <v>13</v>
      </c>
      <c r="D103" s="1219" t="s">
        <v>985</v>
      </c>
      <c r="E103" s="127"/>
      <c r="F103" s="127"/>
      <c r="G103" s="127"/>
      <c r="H103" s="127"/>
      <c r="I103" s="127"/>
      <c r="J103" s="127"/>
      <c r="K103" s="127"/>
      <c r="L103" s="127"/>
      <c r="M103" s="127"/>
      <c r="N103" s="127"/>
      <c r="O103" s="127"/>
      <c r="P103" s="127"/>
      <c r="Q103" s="1095"/>
      <c r="R103" s="24"/>
      <c r="S103" s="1094"/>
      <c r="T103" s="24"/>
      <c r="U103" s="453"/>
      <c r="V103" s="452"/>
      <c r="W103" s="452"/>
      <c r="X103" s="452"/>
      <c r="Y103" s="82"/>
      <c r="Z103" s="452"/>
    </row>
    <row r="104" spans="1:35" ht="13.5" thickBot="1">
      <c r="A104" s="635"/>
      <c r="B104" s="24"/>
      <c r="C104" s="52"/>
      <c r="D104" s="74" t="str">
        <f>"Multiply line 12 by "&amp;TEXT(Q104,"0%")&amp;" ("&amp;TEXT(Q104,"0.00")&amp;"). Enter the result here and on"</f>
        <v>Multiply line 12 by 50% (0.50). Enter the result here and on</v>
      </c>
      <c r="E104" s="74"/>
      <c r="F104" s="24"/>
      <c r="G104" s="24"/>
      <c r="H104" s="24"/>
      <c r="I104" s="24"/>
      <c r="J104" s="24"/>
      <c r="K104" s="24"/>
      <c r="L104" s="24"/>
      <c r="M104" s="24"/>
      <c r="N104" s="24"/>
      <c r="O104" s="24"/>
      <c r="P104" s="24"/>
      <c r="Q104" s="6582">
        <v>0.5</v>
      </c>
      <c r="R104" s="6583"/>
      <c r="S104" s="6583"/>
      <c r="T104" s="6584"/>
      <c r="U104" s="453"/>
      <c r="V104" s="1081"/>
      <c r="W104" s="452"/>
      <c r="X104" s="452"/>
      <c r="Y104" s="82"/>
      <c r="Z104" s="452"/>
    </row>
    <row r="105" spans="1:35" ht="12.75" customHeight="1" thickBot="1">
      <c r="A105" s="635"/>
      <c r="B105" s="24"/>
      <c r="C105" s="24"/>
      <c r="D105" s="25" t="s">
        <v>3257</v>
      </c>
      <c r="E105" s="24"/>
      <c r="F105" s="24"/>
      <c r="G105" s="24"/>
      <c r="H105" s="24"/>
      <c r="I105" s="24"/>
      <c r="J105" s="24"/>
      <c r="K105" s="140"/>
      <c r="L105" s="140"/>
      <c r="M105" s="140"/>
      <c r="N105" s="140"/>
      <c r="O105" s="3309" t="s">
        <v>3262</v>
      </c>
      <c r="P105" s="460">
        <v>13</v>
      </c>
      <c r="Q105" s="6557" t="str">
        <f>IF(Z105&lt;&gt;"",Z105,IF(OR(NOT($V$36),Z85="Stop"),"",ROUND(V102*Q104,0)))</f>
        <v/>
      </c>
      <c r="R105" s="6558"/>
      <c r="S105" s="6558"/>
      <c r="T105" s="6585"/>
      <c r="U105" s="453"/>
      <c r="V105" s="452"/>
      <c r="W105" s="452"/>
      <c r="X105" s="452"/>
      <c r="Y105" s="82"/>
      <c r="Z105" s="4256"/>
    </row>
    <row r="106" spans="1:35" ht="16.5" customHeight="1">
      <c r="A106" s="635"/>
      <c r="B106" s="1087"/>
      <c r="C106" s="1088" t="s">
        <v>130</v>
      </c>
      <c r="D106" s="1089"/>
      <c r="E106" s="2376" t="s">
        <v>2058</v>
      </c>
      <c r="F106" s="1091"/>
      <c r="G106" s="1091"/>
      <c r="H106" s="1091"/>
      <c r="I106" s="1091"/>
      <c r="J106" s="1091"/>
      <c r="K106" s="1091"/>
      <c r="L106" s="1091"/>
      <c r="M106" s="1091"/>
      <c r="N106" s="1091"/>
      <c r="O106" s="1091"/>
      <c r="P106" s="1091"/>
      <c r="Q106" s="1091"/>
      <c r="R106" s="1091"/>
      <c r="S106" s="1091"/>
      <c r="T106" s="1091"/>
      <c r="U106" s="1091"/>
      <c r="V106" s="1091"/>
      <c r="W106" s="1091"/>
      <c r="X106" s="1091"/>
      <c r="Y106" s="82"/>
      <c r="Z106" s="452"/>
    </row>
    <row r="107" spans="1:35" ht="14.25">
      <c r="A107" s="635"/>
      <c r="B107" s="41" t="s">
        <v>192</v>
      </c>
      <c r="C107" s="24"/>
      <c r="D107" s="24"/>
      <c r="E107" s="24"/>
      <c r="F107" s="24"/>
      <c r="G107" s="24"/>
      <c r="H107" s="24"/>
      <c r="I107" s="24"/>
      <c r="J107" s="24"/>
      <c r="K107" s="24"/>
      <c r="L107" s="24"/>
      <c r="M107" s="24"/>
      <c r="N107" s="24"/>
      <c r="O107" s="24"/>
      <c r="P107" s="24"/>
      <c r="Q107" s="24"/>
      <c r="R107" s="24"/>
      <c r="S107" s="24"/>
      <c r="T107" s="24"/>
      <c r="U107" s="450"/>
      <c r="V107" s="1672">
        <v>7920</v>
      </c>
      <c r="W107" s="24"/>
      <c r="X107" s="24"/>
      <c r="Y107" s="82"/>
      <c r="Z107" s="452"/>
    </row>
    <row r="108" spans="1:35">
      <c r="A108" s="635"/>
      <c r="B108" s="74" t="str">
        <f>"than "&amp;TEXT(V107,"$0,000")&amp;" or (b) your net farm profits were less than "&amp;TEXT(V108,"$0,000")&amp;"."</f>
        <v>than $7,920 or (b) your net farm profits were less than $5,717.</v>
      </c>
      <c r="C108" s="24"/>
      <c r="D108" s="24"/>
      <c r="E108" s="24"/>
      <c r="F108" s="24"/>
      <c r="G108" s="24"/>
      <c r="H108" s="24"/>
      <c r="I108" s="24"/>
      <c r="J108" s="24"/>
      <c r="K108" s="24"/>
      <c r="L108" s="24"/>
      <c r="M108" s="24"/>
      <c r="N108" s="24"/>
      <c r="O108" s="24"/>
      <c r="P108" s="24"/>
      <c r="Q108" s="24"/>
      <c r="R108" s="24"/>
      <c r="S108" s="24"/>
      <c r="T108" s="24"/>
      <c r="U108" s="450"/>
      <c r="V108" s="1672">
        <v>5717</v>
      </c>
      <c r="W108" s="24"/>
      <c r="X108" s="24"/>
      <c r="Y108" s="82"/>
      <c r="Z108" s="452"/>
    </row>
    <row r="109" spans="1:35" ht="15">
      <c r="A109" s="635"/>
      <c r="B109" s="24"/>
      <c r="C109" s="52">
        <v>14</v>
      </c>
      <c r="D109" s="24" t="s">
        <v>553</v>
      </c>
      <c r="E109" s="24"/>
      <c r="F109" s="24"/>
      <c r="G109" s="24"/>
      <c r="H109" s="24"/>
      <c r="I109" s="24"/>
      <c r="J109" s="24"/>
      <c r="K109" s="24"/>
      <c r="L109" s="24"/>
      <c r="M109" s="24"/>
      <c r="N109" s="24"/>
      <c r="O109" s="24"/>
      <c r="P109" s="24"/>
      <c r="Q109" s="24"/>
      <c r="R109" s="24"/>
      <c r="S109" s="24"/>
      <c r="T109" s="42" t="s">
        <v>104</v>
      </c>
      <c r="U109" s="350">
        <v>14</v>
      </c>
      <c r="V109" s="6586">
        <v>5280</v>
      </c>
      <c r="W109" s="6587"/>
      <c r="X109" s="6587"/>
      <c r="Y109" s="82"/>
      <c r="Z109" s="452"/>
    </row>
    <row r="110" spans="1:35" ht="12" customHeight="1">
      <c r="A110" s="635"/>
      <c r="B110" s="24"/>
      <c r="C110" s="52">
        <v>15</v>
      </c>
      <c r="D110" s="74" t="s">
        <v>4073</v>
      </c>
      <c r="E110" s="24"/>
      <c r="F110" s="24"/>
      <c r="G110" s="24"/>
      <c r="H110" s="24"/>
      <c r="I110" s="24"/>
      <c r="J110" s="24"/>
      <c r="K110" s="24"/>
      <c r="L110" s="24"/>
      <c r="M110" s="24"/>
      <c r="N110" s="24"/>
      <c r="O110" s="24"/>
      <c r="P110" s="24"/>
      <c r="Q110" s="24"/>
      <c r="R110" s="140" t="str">
        <f>TEXT(V109,"$0,000")&amp;"."</f>
        <v>$5,280.</v>
      </c>
      <c r="S110" s="74" t="s">
        <v>757</v>
      </c>
      <c r="T110" s="140"/>
      <c r="U110" s="450"/>
      <c r="V110" s="24"/>
      <c r="W110" s="24"/>
      <c r="X110" s="24"/>
      <c r="Y110" s="82"/>
      <c r="Z110" s="532" t="str">
        <f>IF($V$111&gt;$V$109,"Line 15 cannot","")</f>
        <v/>
      </c>
    </row>
    <row r="111" spans="1:35" ht="15" customHeight="1">
      <c r="A111" s="635"/>
      <c r="B111" s="45"/>
      <c r="C111" s="45"/>
      <c r="D111" s="444" t="s">
        <v>554</v>
      </c>
      <c r="E111" s="45"/>
      <c r="F111" s="45"/>
      <c r="G111" s="45"/>
      <c r="H111" s="45"/>
      <c r="I111" s="45"/>
      <c r="J111" s="45"/>
      <c r="K111" s="45"/>
      <c r="L111" s="45"/>
      <c r="M111" s="45"/>
      <c r="N111" s="45"/>
      <c r="O111" s="45"/>
      <c r="P111" s="45"/>
      <c r="Q111" s="45"/>
      <c r="R111" s="45"/>
      <c r="S111" s="45"/>
      <c r="T111" s="570" t="s">
        <v>492</v>
      </c>
      <c r="U111" s="350">
        <v>15</v>
      </c>
      <c r="V111" s="6608"/>
      <c r="W111" s="6670"/>
      <c r="X111" s="6670"/>
      <c r="Y111" s="82"/>
      <c r="Z111" s="532" t="str">
        <f>IF($V$111&gt;$V$109,"be more than","")</f>
        <v/>
      </c>
    </row>
    <row r="112" spans="1:35" ht="12" customHeight="1">
      <c r="A112" s="635"/>
      <c r="B112" s="25" t="s">
        <v>4074</v>
      </c>
      <c r="C112" s="24"/>
      <c r="D112" s="24"/>
      <c r="E112" s="24"/>
      <c r="F112" s="24"/>
      <c r="G112" s="24"/>
      <c r="H112" s="24"/>
      <c r="I112" s="24"/>
      <c r="J112" s="24"/>
      <c r="K112" s="24"/>
      <c r="L112" s="24"/>
      <c r="M112" s="24"/>
      <c r="N112" s="24"/>
      <c r="O112" s="24"/>
      <c r="P112" s="24"/>
      <c r="Q112" s="24"/>
      <c r="R112" s="24"/>
      <c r="S112" s="288" t="str">
        <f>"than "&amp;TEXT(V108,"$0,000")</f>
        <v>than $5,717</v>
      </c>
      <c r="T112" s="4015"/>
      <c r="U112" s="450"/>
      <c r="V112" s="1440">
        <v>0.72189000000000003</v>
      </c>
      <c r="W112" s="24"/>
      <c r="X112" s="24"/>
      <c r="Y112" s="82"/>
      <c r="Z112" s="532" t="str">
        <f>IF($V$111&gt;$V$109,"Line 14.","")</f>
        <v/>
      </c>
    </row>
    <row r="113" spans="1:44" ht="12" customHeight="1">
      <c r="A113" s="635"/>
      <c r="B113" s="74" t="str">
        <f>"and also less than "&amp;TEXT(V112,"0.000%")&amp;" of  your"</f>
        <v>and also less than 72.189% of  your</v>
      </c>
      <c r="C113" s="24"/>
      <c r="D113" s="24"/>
      <c r="E113" s="24"/>
      <c r="F113" s="24"/>
      <c r="G113" s="24"/>
      <c r="H113" s="74" t="s">
        <v>2470</v>
      </c>
      <c r="I113" s="24"/>
      <c r="J113" s="74"/>
      <c r="K113" s="24"/>
      <c r="L113" s="24"/>
      <c r="M113" s="24"/>
      <c r="N113" s="24"/>
      <c r="O113" s="24"/>
      <c r="P113" s="24"/>
      <c r="Q113" s="24"/>
      <c r="R113" s="24"/>
      <c r="S113" s="24"/>
      <c r="T113" s="24"/>
      <c r="U113" s="450"/>
      <c r="V113" s="1440">
        <v>400</v>
      </c>
      <c r="W113" s="24"/>
      <c r="X113" s="24"/>
      <c r="Y113" s="82"/>
      <c r="Z113" s="452"/>
    </row>
    <row r="114" spans="1:44" ht="12" customHeight="1">
      <c r="A114" s="635"/>
      <c r="B114" s="74" t="str">
        <f>"employment of at least "&amp;TEXT(V113,"$0")&amp;" in 2 of the prior 3 years."</f>
        <v>employment of at least $400 in 2 of the prior 3 years.</v>
      </c>
      <c r="C114" s="24"/>
      <c r="D114" s="24"/>
      <c r="E114" s="24"/>
      <c r="F114" s="24"/>
      <c r="G114" s="24"/>
      <c r="H114" s="24"/>
      <c r="I114" s="24"/>
      <c r="J114" s="24"/>
      <c r="K114" s="74" t="s">
        <v>2471</v>
      </c>
      <c r="L114" s="24"/>
      <c r="M114" s="74"/>
      <c r="N114" s="24"/>
      <c r="O114" s="24"/>
      <c r="P114" s="24"/>
      <c r="Q114" s="24"/>
      <c r="R114" s="24"/>
      <c r="S114" s="24"/>
      <c r="T114" s="24"/>
      <c r="U114" s="450"/>
      <c r="V114" s="24"/>
      <c r="W114" s="24"/>
      <c r="X114" s="24"/>
      <c r="Y114" s="82"/>
      <c r="Z114" s="452"/>
    </row>
    <row r="115" spans="1:44">
      <c r="A115" s="635"/>
      <c r="B115" s="24"/>
      <c r="C115" s="52">
        <v>16</v>
      </c>
      <c r="D115" s="24" t="s">
        <v>106</v>
      </c>
      <c r="E115" s="24"/>
      <c r="F115" s="24"/>
      <c r="G115" s="24"/>
      <c r="H115" s="24"/>
      <c r="I115" s="24"/>
      <c r="J115" s="24"/>
      <c r="K115" s="24"/>
      <c r="L115" s="24"/>
      <c r="M115" s="24"/>
      <c r="N115" s="24"/>
      <c r="O115" s="24"/>
      <c r="P115" s="24"/>
      <c r="Q115" s="24"/>
      <c r="R115" s="24"/>
      <c r="S115" s="24"/>
      <c r="T115" s="571" t="s">
        <v>190</v>
      </c>
      <c r="U115" s="350">
        <v>16</v>
      </c>
      <c r="V115" s="6671" t="str">
        <f>IF(V111="","",IF(V109-V111&lt;0,0,V109-V111))</f>
        <v/>
      </c>
      <c r="W115" s="6672"/>
      <c r="X115" s="6672"/>
      <c r="Y115" s="82"/>
      <c r="Z115" s="452"/>
    </row>
    <row r="116" spans="1:44" ht="12" customHeight="1">
      <c r="A116" s="635"/>
      <c r="B116" s="24"/>
      <c r="C116" s="52">
        <v>17</v>
      </c>
      <c r="D116" s="74" t="s">
        <v>3264</v>
      </c>
      <c r="E116" s="24"/>
      <c r="F116" s="24"/>
      <c r="G116" s="24"/>
      <c r="H116" s="24"/>
      <c r="I116" s="24"/>
      <c r="J116" s="24"/>
      <c r="K116" s="24"/>
      <c r="L116" s="24"/>
      <c r="M116" s="24"/>
      <c r="N116" s="24"/>
      <c r="O116" s="24"/>
      <c r="P116" s="24"/>
      <c r="Q116" s="24"/>
      <c r="R116" s="24"/>
      <c r="S116" s="24"/>
      <c r="T116" s="24"/>
      <c r="U116" s="450"/>
      <c r="V116" s="24"/>
      <c r="W116" s="24"/>
      <c r="X116" s="24"/>
      <c r="Y116" s="82"/>
      <c r="Z116" s="532" t="str">
        <f>IF($V$117&gt;$V$115,"Line 17 cannot","")</f>
        <v/>
      </c>
    </row>
    <row r="117" spans="1:44" ht="15" customHeight="1">
      <c r="A117" s="635"/>
      <c r="B117" s="24"/>
      <c r="C117" s="24"/>
      <c r="D117" s="1093" t="s">
        <v>3263</v>
      </c>
      <c r="E117" s="24"/>
      <c r="F117" s="24"/>
      <c r="G117" s="24"/>
      <c r="H117" s="24"/>
      <c r="I117" s="24"/>
      <c r="J117" s="24"/>
      <c r="K117" s="24"/>
      <c r="L117" s="24"/>
      <c r="M117" s="24"/>
      <c r="N117" s="24"/>
      <c r="O117" s="24"/>
      <c r="P117" s="24"/>
      <c r="Q117" s="24"/>
      <c r="R117" s="24"/>
      <c r="S117" s="24"/>
      <c r="T117" s="3309" t="s">
        <v>677</v>
      </c>
      <c r="U117" s="350">
        <v>17</v>
      </c>
      <c r="V117" s="6571"/>
      <c r="W117" s="6572"/>
      <c r="X117" s="6572"/>
      <c r="Y117" s="82"/>
      <c r="Z117" s="532" t="str">
        <f>IF($V$117&gt;$V$115,"be more than","")</f>
        <v/>
      </c>
    </row>
    <row r="118" spans="1:44" ht="22.5" customHeight="1">
      <c r="A118" s="635"/>
      <c r="B118" s="709">
        <v>1</v>
      </c>
      <c r="C118" s="6573" t="s">
        <v>3265</v>
      </c>
      <c r="D118" s="6574"/>
      <c r="E118" s="6574"/>
      <c r="F118" s="6574"/>
      <c r="G118" s="6574"/>
      <c r="H118" s="6574"/>
      <c r="I118" s="6574"/>
      <c r="J118" s="6574"/>
      <c r="K118" s="6575"/>
      <c r="L118" s="709">
        <v>3</v>
      </c>
      <c r="M118" s="6576" t="s">
        <v>2059</v>
      </c>
      <c r="N118" s="5659"/>
      <c r="O118" s="5659"/>
      <c r="P118" s="5659"/>
      <c r="Q118" s="5659"/>
      <c r="R118" s="5659"/>
      <c r="S118" s="5659"/>
      <c r="T118" s="5659"/>
      <c r="U118" s="5659"/>
      <c r="V118" s="5659"/>
      <c r="W118" s="5659"/>
      <c r="X118" s="5659"/>
      <c r="Y118" s="82"/>
      <c r="Z118" s="532" t="str">
        <f>IF($V$117&gt;$V$115,"Line 16.","")</f>
        <v/>
      </c>
    </row>
    <row r="119" spans="1:44" ht="34.5" customHeight="1" thickBot="1">
      <c r="A119" s="635"/>
      <c r="B119" s="710">
        <v>2</v>
      </c>
      <c r="C119" s="6577" t="s">
        <v>4075</v>
      </c>
      <c r="D119" s="6578"/>
      <c r="E119" s="6578"/>
      <c r="F119" s="6578"/>
      <c r="G119" s="6578"/>
      <c r="H119" s="6578"/>
      <c r="I119" s="6578"/>
      <c r="J119" s="6578"/>
      <c r="K119" s="6579"/>
      <c r="L119" s="710">
        <v>4</v>
      </c>
      <c r="M119" s="6580" t="s">
        <v>2060</v>
      </c>
      <c r="N119" s="6581"/>
      <c r="O119" s="6581"/>
      <c r="P119" s="6581"/>
      <c r="Q119" s="6581"/>
      <c r="R119" s="6581"/>
      <c r="S119" s="6581"/>
      <c r="T119" s="6581"/>
      <c r="U119" s="6581"/>
      <c r="V119" s="6581"/>
      <c r="W119" s="6581"/>
      <c r="X119" s="6581"/>
      <c r="Y119" s="82"/>
      <c r="Z119" s="452"/>
    </row>
    <row r="120" spans="1:44" ht="14.25" customHeight="1" thickBot="1">
      <c r="A120" s="4179"/>
      <c r="B120" s="104"/>
      <c r="C120" s="104"/>
      <c r="D120" s="104"/>
      <c r="E120" s="104"/>
      <c r="F120" s="2332"/>
      <c r="G120" s="2332"/>
      <c r="H120" s="2332"/>
      <c r="I120" s="2333" t="s">
        <v>2031</v>
      </c>
      <c r="J120" s="6568" t="str">
        <f>IF(AND(NOT(E36),NOT(V36)),0,IF(E36,V57,IF(AND(V36,V102=""),0,IF(V36,V102,0))))</f>
        <v/>
      </c>
      <c r="K120" s="6569"/>
      <c r="L120" s="6569"/>
      <c r="M120" s="2332"/>
      <c r="N120" s="2332"/>
      <c r="O120" s="2332"/>
      <c r="P120" s="2332"/>
      <c r="Q120" s="2333" t="s">
        <v>2030</v>
      </c>
      <c r="R120" s="6568">
        <f>IF(AND(E36,V57=""),0,IF(E36,Q60,IF(AND(V36,V102=""),0,IF(V36,Q105,0))))</f>
        <v>0</v>
      </c>
      <c r="S120" s="6569"/>
      <c r="T120" s="104"/>
      <c r="U120" s="104"/>
      <c r="V120" s="104"/>
      <c r="W120" s="104"/>
      <c r="X120" s="1225" t="str">
        <f>"Schedule SE (Form 1040) "&amp;TaxYear</f>
        <v>Schedule SE (Form 1040) 2018</v>
      </c>
      <c r="Y120" s="4178"/>
      <c r="Z120" s="4176"/>
      <c r="AA120" s="4177"/>
      <c r="AB120" s="4177"/>
      <c r="AC120" s="4177"/>
      <c r="AD120" s="4177"/>
      <c r="AE120" s="4177"/>
      <c r="AF120" s="4177"/>
      <c r="AG120" s="4177"/>
      <c r="AH120" s="4177"/>
      <c r="AI120" s="4177"/>
      <c r="AJ120" s="4177"/>
      <c r="AK120" s="4177"/>
      <c r="AL120" s="4177"/>
      <c r="AM120" s="4177"/>
      <c r="AN120" s="4177"/>
      <c r="AO120" s="4177"/>
      <c r="AP120" s="4177"/>
      <c r="AQ120" s="4177"/>
      <c r="AR120" s="4177"/>
    </row>
    <row r="121" spans="1:44" ht="21.75" customHeight="1">
      <c r="A121" s="635"/>
      <c r="B121" s="332"/>
      <c r="C121" s="332" t="s">
        <v>186</v>
      </c>
      <c r="D121" s="332"/>
      <c r="E121" s="332"/>
      <c r="F121" s="101"/>
      <c r="G121" s="4011"/>
      <c r="H121" s="24"/>
      <c r="I121" s="431"/>
      <c r="J121" s="431"/>
      <c r="K121" s="431"/>
      <c r="L121" s="24"/>
      <c r="M121" s="432"/>
      <c r="N121" s="24"/>
      <c r="O121" s="431"/>
      <c r="P121" s="431"/>
      <c r="Q121" s="431"/>
      <c r="R121" s="24"/>
      <c r="S121" s="4012"/>
      <c r="T121" s="101"/>
      <c r="U121" s="6677" t="s">
        <v>169</v>
      </c>
      <c r="V121" s="6678"/>
      <c r="W121" s="6678"/>
      <c r="X121" s="6678"/>
      <c r="Y121" s="82"/>
      <c r="Z121" s="452"/>
      <c r="AA121" s="1408"/>
      <c r="AB121" s="6555" t="s">
        <v>3445</v>
      </c>
      <c r="AC121" s="6556"/>
      <c r="AD121" s="6556"/>
      <c r="AE121" s="6556"/>
      <c r="AF121" s="6556"/>
      <c r="AG121" s="6556"/>
      <c r="AH121" s="4590"/>
      <c r="AI121" s="3168" t="s">
        <v>2552</v>
      </c>
      <c r="AJ121" s="3169"/>
      <c r="AK121" s="3169"/>
      <c r="AL121" s="3169"/>
      <c r="AM121" s="3169"/>
      <c r="AN121" s="3169"/>
      <c r="AO121" s="3169"/>
      <c r="AP121" s="3169"/>
      <c r="AQ121" s="3169"/>
      <c r="AR121" s="3169"/>
    </row>
    <row r="122" spans="1:44" ht="27.75" customHeight="1">
      <c r="A122" s="635"/>
      <c r="B122" s="354"/>
      <c r="C122" s="537" t="s">
        <v>201</v>
      </c>
      <c r="D122" s="354"/>
      <c r="E122" s="354"/>
      <c r="F122" s="101"/>
      <c r="G122" s="6653" t="s">
        <v>187</v>
      </c>
      <c r="H122" s="6654"/>
      <c r="I122" s="6654"/>
      <c r="J122" s="6654"/>
      <c r="K122" s="6654"/>
      <c r="L122" s="6654"/>
      <c r="M122" s="6654"/>
      <c r="N122" s="6654"/>
      <c r="O122" s="6654"/>
      <c r="P122" s="6654"/>
      <c r="Q122" s="6654"/>
      <c r="R122" s="6654"/>
      <c r="S122" s="6654"/>
      <c r="T122" s="6655"/>
      <c r="U122" s="6679">
        <f>TaxYear</f>
        <v>2018</v>
      </c>
      <c r="V122" s="5582"/>
      <c r="W122" s="5582"/>
      <c r="X122" s="5582"/>
      <c r="Y122" s="82"/>
      <c r="Z122" s="452"/>
      <c r="AA122" s="1408"/>
      <c r="AB122" s="6249"/>
      <c r="AC122" s="6249"/>
      <c r="AD122" s="6249"/>
      <c r="AE122" s="6249"/>
      <c r="AF122" s="6249"/>
      <c r="AG122" s="6249"/>
      <c r="AH122" s="4590"/>
      <c r="AI122" s="3169"/>
      <c r="AJ122" s="3169"/>
      <c r="AK122" s="3169"/>
      <c r="AL122" s="3169"/>
      <c r="AM122" s="3169"/>
      <c r="AN122" s="3169"/>
      <c r="AO122" s="3169"/>
      <c r="AP122" s="3169"/>
      <c r="AQ122" s="3169"/>
      <c r="AR122" s="3169"/>
    </row>
    <row r="123" spans="1:44" ht="13.5" customHeight="1" thickBot="1">
      <c r="A123" s="635"/>
      <c r="B123" s="36"/>
      <c r="C123" s="36" t="s">
        <v>202</v>
      </c>
      <c r="D123" s="36"/>
      <c r="E123" s="36"/>
      <c r="F123" s="101"/>
      <c r="G123" s="6656" t="s">
        <v>2467</v>
      </c>
      <c r="H123" s="6657"/>
      <c r="I123" s="6657"/>
      <c r="J123" s="6657"/>
      <c r="K123" s="6657"/>
      <c r="L123" s="6657"/>
      <c r="M123" s="6657"/>
      <c r="N123" s="6657"/>
      <c r="O123" s="6657"/>
      <c r="P123" s="6657"/>
      <c r="Q123" s="6657"/>
      <c r="R123" s="6657"/>
      <c r="S123" s="6657"/>
      <c r="T123" s="6658"/>
      <c r="U123" s="24"/>
      <c r="V123" s="53" t="s">
        <v>203</v>
      </c>
      <c r="W123" s="24"/>
      <c r="X123" s="24"/>
      <c r="Y123" s="82"/>
      <c r="Z123" s="452"/>
      <c r="AA123" s="1408"/>
      <c r="AB123" s="4590"/>
      <c r="AC123" s="4590"/>
      <c r="AD123" s="4590"/>
      <c r="AE123" s="4590"/>
      <c r="AF123" s="4590"/>
      <c r="AG123" s="4590"/>
      <c r="AH123" s="4590"/>
      <c r="AI123" s="3169"/>
      <c r="AJ123" s="3169"/>
      <c r="AK123" s="3169"/>
      <c r="AL123" s="3169"/>
      <c r="AM123" s="3169"/>
      <c r="AN123" s="3169"/>
      <c r="AO123" s="3169"/>
      <c r="AP123" s="3169"/>
      <c r="AQ123" s="3169"/>
      <c r="AR123" s="3169"/>
    </row>
    <row r="124" spans="1:44" ht="12.75" customHeight="1" thickBot="1">
      <c r="A124" s="635"/>
      <c r="B124" s="433"/>
      <c r="C124" s="434" t="str">
        <f>"Internal Revenue Service  (99)"</f>
        <v>Internal Revenue Service  (99)</v>
      </c>
      <c r="D124" s="434"/>
      <c r="E124" s="434"/>
      <c r="F124" s="102"/>
      <c r="G124" s="6651" t="s">
        <v>2057</v>
      </c>
      <c r="H124" s="5730"/>
      <c r="I124" s="5730"/>
      <c r="J124" s="5730"/>
      <c r="K124" s="5730"/>
      <c r="L124" s="5730"/>
      <c r="M124" s="5730"/>
      <c r="N124" s="5730"/>
      <c r="O124" s="5730"/>
      <c r="P124" s="5730"/>
      <c r="Q124" s="5730"/>
      <c r="R124" s="5730"/>
      <c r="S124" s="5730"/>
      <c r="T124" s="6652"/>
      <c r="U124" s="39"/>
      <c r="V124" s="2921" t="s">
        <v>4069</v>
      </c>
      <c r="W124" s="39"/>
      <c r="X124" s="39"/>
      <c r="Y124" s="82"/>
      <c r="Z124" s="452"/>
      <c r="AA124" s="1408"/>
      <c r="AB124" s="3064" t="str">
        <f>IF(File_Marr_Joint="","X","")</f>
        <v>X</v>
      </c>
      <c r="AC124" s="1408"/>
      <c r="AD124" s="1408"/>
      <c r="AE124" s="1408"/>
      <c r="AF124" s="1772" t="s">
        <v>945</v>
      </c>
      <c r="AG124" s="1408"/>
      <c r="AH124" s="1408"/>
      <c r="AI124" s="3169"/>
      <c r="AJ124" s="3169"/>
      <c r="AK124" s="3169"/>
      <c r="AL124" s="3169"/>
      <c r="AM124" s="3169"/>
      <c r="AN124" s="3169"/>
      <c r="AO124" s="3169"/>
      <c r="AP124" s="3169"/>
      <c r="AQ124" s="3169"/>
      <c r="AR124" s="3169"/>
    </row>
    <row r="125" spans="1:44" ht="12" customHeight="1" thickBot="1">
      <c r="A125" s="635"/>
      <c r="B125" s="6668" t="s">
        <v>3248</v>
      </c>
      <c r="C125" s="6668"/>
      <c r="D125" s="6668"/>
      <c r="E125" s="6668"/>
      <c r="F125" s="6668"/>
      <c r="G125" s="6668"/>
      <c r="H125" s="6668"/>
      <c r="I125" s="6668"/>
      <c r="J125" s="6668"/>
      <c r="K125" s="6668"/>
      <c r="L125" s="6668"/>
      <c r="M125" s="6668"/>
      <c r="N125" s="6668"/>
      <c r="O125" s="6668"/>
      <c r="P125" s="6669"/>
      <c r="Q125" s="6663" t="s">
        <v>3247</v>
      </c>
      <c r="R125" s="6663"/>
      <c r="S125" s="6663"/>
      <c r="T125" s="6664"/>
      <c r="U125" s="6625">
        <f>IF(AND(AB124&lt;&gt;"",AB126&lt;&gt;""),SS_Yours,IF(AB124&lt;&gt;"",SS_Yours,IF(AB126&lt;&gt;"",SS_Spouse,"")))</f>
        <v>0</v>
      </c>
      <c r="V125" s="6626"/>
      <c r="W125" s="6626"/>
      <c r="X125" s="6626"/>
      <c r="Y125" s="82"/>
      <c r="Z125" s="452"/>
      <c r="AA125" s="1408"/>
      <c r="AB125" s="1408"/>
      <c r="AC125" s="1408"/>
      <c r="AD125" s="1408"/>
      <c r="AE125" s="1408"/>
      <c r="AF125" s="1408"/>
      <c r="AG125" s="1408"/>
      <c r="AH125" s="1408"/>
      <c r="AI125" s="3169"/>
      <c r="AJ125" s="3169"/>
      <c r="AK125" s="3169"/>
      <c r="AL125" s="3169"/>
      <c r="AM125" s="3169"/>
      <c r="AN125" s="3169"/>
      <c r="AO125" s="3169"/>
      <c r="AP125" s="3169"/>
      <c r="AQ125" s="3169"/>
      <c r="AR125" s="3169"/>
    </row>
    <row r="126" spans="1:44" ht="16.5" customHeight="1" thickBot="1">
      <c r="A126" s="635"/>
      <c r="B126" s="6629" t="str">
        <f>IF(AND(AB124&lt;&gt;"",AB126&lt;&gt;""),NameYours&amp;" and "&amp;NameSpouse,IF(AB124&lt;&gt;"",NameYours,IF(AB126&lt;&gt;"",NameSpouse,"")))</f>
        <v xml:space="preserve"> </v>
      </c>
      <c r="C126" s="6629"/>
      <c r="D126" s="6629"/>
      <c r="E126" s="6629"/>
      <c r="F126" s="6629"/>
      <c r="G126" s="6629"/>
      <c r="H126" s="6629"/>
      <c r="I126" s="6629"/>
      <c r="J126" s="6629"/>
      <c r="K126" s="6629"/>
      <c r="L126" s="6629"/>
      <c r="M126" s="6629"/>
      <c r="N126" s="6629"/>
      <c r="O126" s="6629"/>
      <c r="P126" s="6667"/>
      <c r="Q126" s="6665"/>
      <c r="R126" s="6665"/>
      <c r="S126" s="6665"/>
      <c r="T126" s="6666"/>
      <c r="U126" s="6627"/>
      <c r="V126" s="6628"/>
      <c r="W126" s="6628"/>
      <c r="X126" s="6628"/>
      <c r="Y126" s="82"/>
      <c r="Z126" s="452"/>
      <c r="AA126" s="1408"/>
      <c r="AB126" s="1445"/>
      <c r="AC126" s="1408"/>
      <c r="AD126" s="1408"/>
      <c r="AE126" s="1408"/>
      <c r="AF126" s="1772" t="str">
        <f>IF(AND(NumFileStatusBoxes=1,File_Marr_Joint&lt;&gt;""),"  Spouse","")</f>
        <v/>
      </c>
      <c r="AG126" s="1408"/>
      <c r="AH126" s="1408"/>
      <c r="AI126" s="3169"/>
      <c r="AJ126" s="3169"/>
      <c r="AK126" s="3169"/>
      <c r="AL126" s="3169"/>
      <c r="AM126" s="3169"/>
      <c r="AN126" s="3169"/>
      <c r="AO126" s="3169"/>
      <c r="AP126" s="3169"/>
      <c r="AQ126" s="3169"/>
      <c r="AR126" s="3169"/>
    </row>
    <row r="127" spans="1:44" ht="20.25" customHeight="1">
      <c r="A127" s="635"/>
      <c r="B127" s="1696" t="s">
        <v>983</v>
      </c>
      <c r="C127" s="1091"/>
      <c r="D127" s="1091"/>
      <c r="E127" s="1091"/>
      <c r="F127" s="6661" t="s">
        <v>984</v>
      </c>
      <c r="G127" s="6662"/>
      <c r="H127" s="6662"/>
      <c r="I127" s="6662"/>
      <c r="J127" s="6662"/>
      <c r="K127" s="6662"/>
      <c r="L127" s="6662"/>
      <c r="M127" s="6662"/>
      <c r="N127" s="6662"/>
      <c r="O127" s="6662"/>
      <c r="P127" s="6662"/>
      <c r="Q127" s="6662"/>
      <c r="R127" s="1091"/>
      <c r="S127" s="1091"/>
      <c r="T127" s="1091"/>
      <c r="U127" s="1091"/>
      <c r="V127" s="1091"/>
      <c r="W127" s="1091"/>
      <c r="X127" s="1091"/>
      <c r="Y127" s="82"/>
      <c r="Z127" s="452"/>
      <c r="AA127" s="1408"/>
      <c r="AB127" s="5781" t="s">
        <v>4137</v>
      </c>
      <c r="AC127" s="5781"/>
      <c r="AD127" s="5781"/>
      <c r="AE127" s="5781"/>
      <c r="AF127" s="5781"/>
      <c r="AG127" s="5781"/>
      <c r="AH127" s="1408"/>
      <c r="AI127" s="3169"/>
      <c r="AJ127" s="3169"/>
      <c r="AK127" s="3169"/>
      <c r="AL127" s="3169"/>
      <c r="AM127" s="3169"/>
      <c r="AN127" s="3169"/>
      <c r="AO127" s="3169"/>
      <c r="AP127" s="3169"/>
      <c r="AQ127" s="3169"/>
      <c r="AR127" s="3169"/>
    </row>
    <row r="128" spans="1:44" ht="19.5" customHeight="1">
      <c r="A128" s="635"/>
      <c r="B128" s="436" t="s">
        <v>449</v>
      </c>
      <c r="C128" s="438"/>
      <c r="D128" s="438"/>
      <c r="E128" s="438"/>
      <c r="F128" s="24"/>
      <c r="G128" s="24"/>
      <c r="H128" s="24"/>
      <c r="I128" s="24"/>
      <c r="J128" s="24"/>
      <c r="K128" s="24"/>
      <c r="L128" s="24"/>
      <c r="M128" s="24"/>
      <c r="N128" s="24"/>
      <c r="O128" s="24"/>
      <c r="P128" s="24"/>
      <c r="Q128" s="24"/>
      <c r="R128" s="24"/>
      <c r="S128" s="24"/>
      <c r="T128" s="24"/>
      <c r="U128" s="24"/>
      <c r="V128" s="24"/>
      <c r="W128" s="24"/>
      <c r="X128" s="24"/>
      <c r="Y128" s="82"/>
      <c r="Z128" s="452"/>
      <c r="AA128" s="1408"/>
      <c r="AB128" s="5781"/>
      <c r="AC128" s="5781"/>
      <c r="AD128" s="5781"/>
      <c r="AE128" s="5781"/>
      <c r="AF128" s="5781"/>
      <c r="AG128" s="5781"/>
      <c r="AH128" s="1408"/>
      <c r="AI128" s="3169"/>
      <c r="AJ128" s="3169"/>
      <c r="AK128" s="3169"/>
      <c r="AL128" s="3169"/>
      <c r="AM128" s="3169"/>
      <c r="AN128" s="3169"/>
      <c r="AO128" s="3169"/>
      <c r="AP128" s="3169"/>
      <c r="AQ128" s="3169"/>
      <c r="AR128" s="3169"/>
    </row>
    <row r="129" spans="1:44" s="633" customFormat="1" ht="19.5" customHeight="1">
      <c r="A129" s="694"/>
      <c r="B129" s="1586" t="s">
        <v>933</v>
      </c>
      <c r="C129" s="898"/>
      <c r="D129" s="898"/>
      <c r="E129" s="898"/>
      <c r="F129" s="104"/>
      <c r="G129" s="104"/>
      <c r="H129" s="104"/>
      <c r="I129" s="104"/>
      <c r="J129" s="104"/>
      <c r="K129" s="104"/>
      <c r="L129" s="104"/>
      <c r="M129" s="104"/>
      <c r="N129" s="104"/>
      <c r="O129" s="104"/>
      <c r="P129" s="104"/>
      <c r="Q129" s="104"/>
      <c r="R129" s="104"/>
      <c r="S129" s="104"/>
      <c r="T129" s="104"/>
      <c r="U129" s="104"/>
      <c r="V129" s="104"/>
      <c r="W129" s="104"/>
      <c r="X129" s="104"/>
      <c r="Y129" s="707"/>
      <c r="Z129" s="573"/>
      <c r="AA129" s="1408"/>
      <c r="AB129" s="5781"/>
      <c r="AC129" s="5781"/>
      <c r="AD129" s="5781"/>
      <c r="AE129" s="5781"/>
      <c r="AF129" s="5781"/>
      <c r="AG129" s="5781"/>
      <c r="AH129" s="1408"/>
      <c r="AI129" s="3169"/>
      <c r="AJ129" s="3169"/>
      <c r="AK129" s="3169"/>
      <c r="AL129" s="3169"/>
      <c r="AM129" s="3169"/>
      <c r="AN129" s="3169"/>
      <c r="AO129" s="3169"/>
      <c r="AP129" s="3169"/>
      <c r="AQ129" s="3169"/>
      <c r="AR129" s="3169"/>
    </row>
    <row r="130" spans="1:44">
      <c r="A130" s="635"/>
      <c r="B130" s="24"/>
      <c r="C130" s="24"/>
      <c r="D130" s="24"/>
      <c r="E130" s="24"/>
      <c r="F130" s="24"/>
      <c r="G130" s="24"/>
      <c r="H130" s="24"/>
      <c r="I130" s="24"/>
      <c r="J130" s="24"/>
      <c r="K130" s="24"/>
      <c r="L130" s="24"/>
      <c r="M130" s="933" t="str">
        <f>IF(NumFileStatusBoxes=0,"Indicate filing status on sheet '1040'.",IF(AND(AB124="",AB126=""),"Indicate above and right for whom this Sch. SE is being completed.", IF(AND(C153="",P153=""),"In Row 153, indicate which Schedule SE Form you are using.","")))</f>
        <v>Indicate filing status on sheet '1040'.</v>
      </c>
      <c r="N130" s="24"/>
      <c r="O130" s="24"/>
      <c r="P130" s="24"/>
      <c r="Q130" s="24"/>
      <c r="R130" s="24"/>
      <c r="S130" s="24"/>
      <c r="T130" s="24"/>
      <c r="U130" s="24"/>
      <c r="V130" s="24"/>
      <c r="W130" s="24"/>
      <c r="X130" s="24"/>
      <c r="Y130" s="82"/>
      <c r="Z130" s="452"/>
      <c r="AA130" s="1408"/>
      <c r="AB130" s="5781"/>
      <c r="AC130" s="5781"/>
      <c r="AD130" s="5781"/>
      <c r="AE130" s="5781"/>
      <c r="AF130" s="5781"/>
      <c r="AG130" s="5781"/>
      <c r="AH130" s="1408"/>
      <c r="AI130" s="3169"/>
      <c r="AJ130" s="3169"/>
      <c r="AK130" s="3169"/>
      <c r="AL130" s="3169"/>
      <c r="AM130" s="3169"/>
      <c r="AN130" s="3169"/>
      <c r="AO130" s="3169"/>
      <c r="AP130" s="3169"/>
      <c r="AQ130" s="3169"/>
      <c r="AR130" s="3169"/>
    </row>
    <row r="131" spans="1:44" ht="18.75" customHeight="1">
      <c r="A131" s="635"/>
      <c r="B131" s="24"/>
      <c r="C131" s="24"/>
      <c r="D131" s="24"/>
      <c r="E131" s="24"/>
      <c r="F131" s="24"/>
      <c r="G131" s="6659" t="str">
        <f>"Did you receive wages or tips in "&amp;TaxYear&amp;"?"</f>
        <v>Did you receive wages or tips in 2018?</v>
      </c>
      <c r="H131" s="6660"/>
      <c r="I131" s="6660"/>
      <c r="J131" s="6660"/>
      <c r="K131" s="6660"/>
      <c r="L131" s="6660"/>
      <c r="M131" s="6660"/>
      <c r="N131" s="6660"/>
      <c r="O131" s="6660"/>
      <c r="P131" s="6660"/>
      <c r="Q131" s="6660"/>
      <c r="R131" s="6347"/>
      <c r="S131" s="24"/>
      <c r="T131" s="24"/>
      <c r="U131" s="24"/>
      <c r="V131" s="24"/>
      <c r="W131" s="24"/>
      <c r="X131" s="24"/>
      <c r="Y131" s="82"/>
      <c r="Z131" s="452"/>
      <c r="AA131" s="1408"/>
      <c r="AB131" s="5781"/>
      <c r="AC131" s="5781"/>
      <c r="AD131" s="5781"/>
      <c r="AE131" s="5781"/>
      <c r="AF131" s="5781"/>
      <c r="AG131" s="5781"/>
      <c r="AH131" s="1408"/>
      <c r="AI131" s="3173"/>
      <c r="AJ131" s="3173"/>
      <c r="AK131" s="3173"/>
      <c r="AL131" s="3173"/>
      <c r="AM131" s="3173"/>
      <c r="AN131" s="3173"/>
      <c r="AO131" s="3173"/>
      <c r="AP131" s="3173"/>
      <c r="AQ131" s="3173"/>
      <c r="AR131" s="3173"/>
    </row>
    <row r="132" spans="1:44">
      <c r="A132" s="635"/>
      <c r="B132" s="24"/>
      <c r="C132" s="24"/>
      <c r="D132" s="24"/>
      <c r="E132" s="24"/>
      <c r="F132" s="41"/>
      <c r="G132" s="24"/>
      <c r="H132" s="24"/>
      <c r="I132" s="24"/>
      <c r="J132" s="24"/>
      <c r="K132" s="24"/>
      <c r="L132" s="24"/>
      <c r="M132" s="24"/>
      <c r="N132" s="24"/>
      <c r="O132" s="24"/>
      <c r="P132" s="24"/>
      <c r="Q132" s="24"/>
      <c r="R132" s="24"/>
      <c r="S132" s="24"/>
      <c r="T132" s="24"/>
      <c r="U132" s="24"/>
      <c r="V132" s="24"/>
      <c r="W132" s="24"/>
      <c r="X132" s="24"/>
      <c r="Y132" s="82"/>
      <c r="Z132" s="452"/>
      <c r="AA132" s="1408"/>
      <c r="AB132" s="5781"/>
      <c r="AC132" s="5781"/>
      <c r="AD132" s="5781"/>
      <c r="AE132" s="5781"/>
      <c r="AF132" s="5781"/>
      <c r="AG132" s="5781"/>
      <c r="AH132" s="1408"/>
      <c r="AI132" s="3169"/>
      <c r="AJ132" s="3169"/>
      <c r="AK132" s="3169"/>
      <c r="AL132" s="3169"/>
      <c r="AM132" s="3169"/>
      <c r="AN132" s="3169"/>
      <c r="AO132" s="3169"/>
      <c r="AP132" s="3169"/>
      <c r="AQ132" s="3169"/>
      <c r="AR132" s="3169"/>
    </row>
    <row r="133" spans="1:44" ht="13.5" customHeight="1">
      <c r="A133" s="635"/>
      <c r="B133" s="24"/>
      <c r="C133" s="24"/>
      <c r="D133" s="24"/>
      <c r="E133" s="24"/>
      <c r="F133" s="475" t="s">
        <v>308</v>
      </c>
      <c r="G133" s="24"/>
      <c r="H133" s="24"/>
      <c r="I133" s="45"/>
      <c r="J133" s="24"/>
      <c r="K133" s="24"/>
      <c r="L133" s="24"/>
      <c r="M133" s="24"/>
      <c r="N133" s="24"/>
      <c r="O133" s="24"/>
      <c r="P133" s="24"/>
      <c r="Q133" s="24"/>
      <c r="R133" s="24"/>
      <c r="S133" s="45"/>
      <c r="T133" s="439" t="s">
        <v>171</v>
      </c>
      <c r="U133" s="24"/>
      <c r="V133" s="24"/>
      <c r="W133" s="24"/>
      <c r="X133" s="24"/>
      <c r="Y133" s="82"/>
      <c r="Z133" s="461"/>
      <c r="AA133" s="1408"/>
      <c r="AB133" s="1408"/>
      <c r="AC133" s="1408"/>
      <c r="AD133" s="1408"/>
      <c r="AE133" s="1408"/>
      <c r="AF133" s="1408"/>
      <c r="AG133" s="1408"/>
      <c r="AH133" s="1408"/>
      <c r="AI133" s="3169"/>
      <c r="AJ133" s="3169"/>
      <c r="AK133" s="3169"/>
      <c r="AL133" s="3169"/>
      <c r="AM133" s="3169"/>
      <c r="AN133" s="3169"/>
      <c r="AO133" s="3169"/>
      <c r="AP133" s="3169"/>
      <c r="AQ133" s="3169"/>
      <c r="AR133" s="3169"/>
    </row>
    <row r="134" spans="1:44" ht="14.25" customHeight="1">
      <c r="A134" s="635"/>
      <c r="B134" s="440"/>
      <c r="C134" s="40" t="s">
        <v>333</v>
      </c>
      <c r="D134" s="40"/>
      <c r="E134" s="40"/>
      <c r="F134" s="58"/>
      <c r="G134" s="58"/>
      <c r="H134" s="58"/>
      <c r="I134" s="58"/>
      <c r="J134" s="58"/>
      <c r="K134" s="56"/>
      <c r="L134" s="24"/>
      <c r="M134" s="24"/>
      <c r="N134" s="24"/>
      <c r="O134" s="440"/>
      <c r="P134" s="40" t="s">
        <v>161</v>
      </c>
      <c r="Q134" s="40"/>
      <c r="R134" s="40"/>
      <c r="S134" s="58"/>
      <c r="T134" s="58"/>
      <c r="U134" s="58"/>
      <c r="V134" s="56"/>
      <c r="W134" s="24"/>
      <c r="X134" s="24"/>
      <c r="Y134" s="82"/>
      <c r="Z134" s="461"/>
      <c r="AA134" s="1408"/>
      <c r="AB134" s="1408"/>
      <c r="AC134" s="1408"/>
      <c r="AD134" s="1408"/>
      <c r="AE134" s="1408"/>
      <c r="AF134" s="1408"/>
      <c r="AG134" s="1408"/>
      <c r="AH134" s="1408"/>
      <c r="AI134" s="3169"/>
      <c r="AJ134" s="3169"/>
      <c r="AK134" s="3169"/>
      <c r="AL134" s="3169"/>
      <c r="AM134" s="3169"/>
      <c r="AN134" s="3169"/>
      <c r="AO134" s="3169"/>
      <c r="AP134" s="3169"/>
      <c r="AQ134" s="3169"/>
      <c r="AR134" s="3169"/>
    </row>
    <row r="135" spans="1:44" ht="11.25" customHeight="1">
      <c r="A135" s="635"/>
      <c r="B135" s="424"/>
      <c r="C135" s="291" t="s">
        <v>438</v>
      </c>
      <c r="D135" s="291"/>
      <c r="E135" s="291"/>
      <c r="F135" s="127"/>
      <c r="G135" s="127"/>
      <c r="H135" s="127"/>
      <c r="I135" s="127"/>
      <c r="J135" s="127"/>
      <c r="K135" s="425"/>
      <c r="L135" s="441" t="s">
        <v>307</v>
      </c>
      <c r="M135" s="127"/>
      <c r="N135" s="127"/>
      <c r="O135" s="424"/>
      <c r="P135" s="291" t="s">
        <v>490</v>
      </c>
      <c r="Q135" s="291"/>
      <c r="R135" s="291"/>
      <c r="S135" s="127"/>
      <c r="T135" s="127"/>
      <c r="U135" s="127"/>
      <c r="V135" s="425"/>
      <c r="W135" s="441" t="s">
        <v>307</v>
      </c>
      <c r="X135" s="441"/>
      <c r="Y135" s="704"/>
      <c r="Z135" s="461"/>
      <c r="AA135" s="1408"/>
      <c r="AB135" s="1408"/>
      <c r="AC135" s="1408"/>
      <c r="AD135" s="1408"/>
      <c r="AE135" s="1408"/>
      <c r="AF135" s="1408"/>
      <c r="AG135" s="1408"/>
      <c r="AH135" s="1408"/>
      <c r="AI135" s="3169"/>
      <c r="AJ135" s="3169"/>
      <c r="AK135" s="3169"/>
      <c r="AL135" s="3169"/>
      <c r="AM135" s="3169"/>
      <c r="AN135" s="3169"/>
      <c r="AO135" s="3169"/>
      <c r="AP135" s="3169"/>
      <c r="AQ135" s="3169"/>
      <c r="AR135" s="3169"/>
    </row>
    <row r="136" spans="1:44" ht="11.25" customHeight="1">
      <c r="A136" s="635"/>
      <c r="B136" s="424"/>
      <c r="C136" s="291" t="s">
        <v>367</v>
      </c>
      <c r="D136" s="291"/>
      <c r="E136" s="291"/>
      <c r="F136" s="127"/>
      <c r="G136" s="127"/>
      <c r="H136" s="127"/>
      <c r="I136" s="127"/>
      <c r="J136" s="127"/>
      <c r="K136" s="425"/>
      <c r="L136" s="127"/>
      <c r="M136" s="127"/>
      <c r="N136" s="127"/>
      <c r="O136" s="424"/>
      <c r="P136" s="291" t="str">
        <f>"self-employment more than "&amp;TEXT(AC171,"$0,000")&amp;"?"</f>
        <v>self-employment more than $128,400?</v>
      </c>
      <c r="Q136" s="291"/>
      <c r="R136" s="291"/>
      <c r="S136" s="127"/>
      <c r="T136" s="127"/>
      <c r="U136" s="127"/>
      <c r="V136" s="425"/>
      <c r="W136" s="127"/>
      <c r="X136" s="127"/>
      <c r="Y136" s="704"/>
      <c r="Z136" s="452"/>
      <c r="AA136" s="1408"/>
      <c r="AB136" s="1408"/>
      <c r="AC136" s="1408"/>
      <c r="AD136" s="1408"/>
      <c r="AE136" s="1408"/>
      <c r="AF136" s="1408"/>
      <c r="AG136" s="1408"/>
      <c r="AH136" s="1408"/>
      <c r="AI136" s="3169"/>
      <c r="AJ136" s="3169"/>
      <c r="AK136" s="3169"/>
      <c r="AL136" s="3169"/>
      <c r="AM136" s="3169"/>
      <c r="AN136" s="3169"/>
      <c r="AO136" s="3169"/>
      <c r="AP136" s="3169"/>
      <c r="AQ136" s="3169"/>
      <c r="AR136" s="3169"/>
    </row>
    <row r="137" spans="1:44" ht="11.25" customHeight="1">
      <c r="A137" s="635"/>
      <c r="B137" s="442"/>
      <c r="C137" s="443" t="s">
        <v>334</v>
      </c>
      <c r="D137" s="443"/>
      <c r="E137" s="443"/>
      <c r="F137" s="444"/>
      <c r="G137" s="444"/>
      <c r="H137" s="444"/>
      <c r="I137" s="444"/>
      <c r="J137" s="444"/>
      <c r="K137" s="445"/>
      <c r="L137" s="127"/>
      <c r="M137" s="127"/>
      <c r="N137" s="127"/>
      <c r="O137" s="442"/>
      <c r="P137" s="444"/>
      <c r="Q137" s="444"/>
      <c r="R137" s="443"/>
      <c r="S137" s="444"/>
      <c r="T137" s="444"/>
      <c r="U137" s="444"/>
      <c r="V137" s="445"/>
      <c r="W137" s="127"/>
      <c r="X137" s="127"/>
      <c r="Y137" s="704"/>
      <c r="Z137" s="452"/>
      <c r="AA137" s="1408"/>
      <c r="AB137" s="1408"/>
      <c r="AC137" s="1408"/>
      <c r="AD137" s="1408"/>
      <c r="AE137" s="1408"/>
      <c r="AF137" s="1408"/>
      <c r="AG137" s="1408"/>
      <c r="AH137" s="1408"/>
      <c r="AI137" s="3169"/>
      <c r="AJ137" s="3169"/>
      <c r="AK137" s="3169"/>
      <c r="AL137" s="3169"/>
      <c r="AM137" s="3169"/>
      <c r="AN137" s="3169"/>
      <c r="AO137" s="3169"/>
      <c r="AP137" s="3169"/>
      <c r="AQ137" s="3169"/>
      <c r="AR137" s="3169"/>
    </row>
    <row r="138" spans="1:44" ht="6.75" customHeight="1">
      <c r="A138" s="635"/>
      <c r="B138" s="24"/>
      <c r="C138" s="24"/>
      <c r="D138" s="24"/>
      <c r="E138" s="24"/>
      <c r="F138" s="58"/>
      <c r="G138" s="24"/>
      <c r="H138" s="24"/>
      <c r="I138" s="24"/>
      <c r="J138" s="24"/>
      <c r="K138" s="24"/>
      <c r="L138" s="24"/>
      <c r="M138" s="24"/>
      <c r="N138" s="24"/>
      <c r="O138" s="24"/>
      <c r="P138" s="24"/>
      <c r="Q138" s="24"/>
      <c r="R138" s="24"/>
      <c r="S138" s="58"/>
      <c r="T138" s="58"/>
      <c r="U138" s="24"/>
      <c r="V138" s="24"/>
      <c r="W138" s="24"/>
      <c r="X138" s="24"/>
      <c r="Y138" s="82"/>
      <c r="Z138" s="452"/>
      <c r="AA138" s="1408"/>
      <c r="AB138" s="1408"/>
      <c r="AC138" s="1408"/>
      <c r="AD138" s="1408"/>
      <c r="AE138" s="1408"/>
      <c r="AF138" s="1408"/>
      <c r="AG138" s="1408"/>
      <c r="AH138" s="1408"/>
      <c r="AI138" s="3169"/>
      <c r="AJ138" s="3169"/>
      <c r="AK138" s="3169"/>
      <c r="AL138" s="3169"/>
      <c r="AM138" s="3169"/>
      <c r="AN138" s="3169"/>
      <c r="AO138" s="3169"/>
      <c r="AP138" s="3169"/>
      <c r="AQ138" s="3169"/>
      <c r="AR138" s="3169"/>
    </row>
    <row r="139" spans="1:44">
      <c r="A139" s="635"/>
      <c r="B139" s="24"/>
      <c r="C139" s="24"/>
      <c r="D139" s="24"/>
      <c r="E139" s="24"/>
      <c r="F139" s="475" t="s">
        <v>308</v>
      </c>
      <c r="G139" s="24"/>
      <c r="H139" s="24"/>
      <c r="I139" s="24"/>
      <c r="J139" s="24"/>
      <c r="K139" s="24"/>
      <c r="L139" s="24"/>
      <c r="M139" s="24"/>
      <c r="N139" s="24"/>
      <c r="O139" s="24"/>
      <c r="P139" s="24"/>
      <c r="Q139" s="24"/>
      <c r="R139" s="24"/>
      <c r="S139" s="24"/>
      <c r="T139" s="34" t="s">
        <v>172</v>
      </c>
      <c r="U139" s="24"/>
      <c r="V139" s="24"/>
      <c r="W139" s="24"/>
      <c r="X139" s="24"/>
      <c r="Y139" s="82"/>
      <c r="Z139" s="452"/>
      <c r="AA139" s="1408"/>
      <c r="AB139" s="1408"/>
      <c r="AC139" s="1408"/>
      <c r="AD139" s="1408"/>
      <c r="AE139" s="1408"/>
      <c r="AF139" s="1408"/>
      <c r="AG139" s="1408"/>
      <c r="AH139" s="1408"/>
      <c r="AI139" s="3169"/>
      <c r="AJ139" s="3169"/>
      <c r="AK139" s="3169"/>
      <c r="AL139" s="3169"/>
      <c r="AM139" s="3169"/>
      <c r="AN139" s="3169"/>
      <c r="AO139" s="3169"/>
      <c r="AP139" s="3169"/>
      <c r="AQ139" s="3169"/>
      <c r="AR139" s="3169"/>
    </row>
    <row r="140" spans="1:44" ht="6" customHeight="1">
      <c r="A140" s="635"/>
      <c r="B140" s="440"/>
      <c r="C140" s="40"/>
      <c r="D140" s="40"/>
      <c r="E140" s="40"/>
      <c r="F140" s="58"/>
      <c r="G140" s="58"/>
      <c r="H140" s="58"/>
      <c r="I140" s="58"/>
      <c r="J140" s="58"/>
      <c r="K140" s="56"/>
      <c r="L140" s="24"/>
      <c r="M140" s="24"/>
      <c r="N140" s="24"/>
      <c r="O140" s="440"/>
      <c r="P140" s="58"/>
      <c r="Q140" s="58"/>
      <c r="R140" s="58"/>
      <c r="S140" s="58"/>
      <c r="T140" s="58"/>
      <c r="U140" s="58"/>
      <c r="V140" s="56"/>
      <c r="W140" s="24"/>
      <c r="X140" s="24"/>
      <c r="Y140" s="82"/>
      <c r="Z140" s="452"/>
      <c r="AA140" s="1408"/>
      <c r="AB140" s="1408"/>
      <c r="AC140" s="1408"/>
      <c r="AD140" s="1408"/>
      <c r="AE140" s="1408"/>
      <c r="AF140" s="1408"/>
      <c r="AG140" s="1408"/>
      <c r="AH140" s="1408"/>
      <c r="AI140" s="3169"/>
      <c r="AJ140" s="3169"/>
      <c r="AK140" s="3169"/>
      <c r="AL140" s="3169"/>
      <c r="AM140" s="3169"/>
      <c r="AN140" s="3169"/>
      <c r="AO140" s="3169"/>
      <c r="AP140" s="3169"/>
      <c r="AQ140" s="3169"/>
      <c r="AR140" s="3169"/>
    </row>
    <row r="141" spans="1:44">
      <c r="A141" s="635"/>
      <c r="B141" s="424"/>
      <c r="C141" s="291" t="s">
        <v>221</v>
      </c>
      <c r="D141" s="291"/>
      <c r="E141" s="291"/>
      <c r="F141" s="127"/>
      <c r="G141" s="127"/>
      <c r="H141" s="127"/>
      <c r="I141" s="127"/>
      <c r="J141" s="127"/>
      <c r="K141" s="425"/>
      <c r="L141" s="441" t="s">
        <v>307</v>
      </c>
      <c r="M141" s="24"/>
      <c r="N141" s="24"/>
      <c r="O141" s="398"/>
      <c r="P141" s="32" t="s">
        <v>542</v>
      </c>
      <c r="Q141" s="24"/>
      <c r="R141" s="24"/>
      <c r="S141" s="24"/>
      <c r="T141" s="24"/>
      <c r="U141" s="24"/>
      <c r="V141" s="446"/>
      <c r="W141" s="476" t="s">
        <v>307</v>
      </c>
      <c r="X141" s="24"/>
      <c r="Y141" s="82"/>
      <c r="Z141" s="452"/>
      <c r="AA141" s="1408"/>
      <c r="AB141" s="1408"/>
      <c r="AC141" s="1408"/>
      <c r="AD141" s="1408"/>
      <c r="AE141" s="1408"/>
      <c r="AF141" s="1408"/>
      <c r="AG141" s="1408"/>
      <c r="AH141" s="1408"/>
      <c r="AI141" s="3169"/>
      <c r="AJ141" s="3169"/>
      <c r="AK141" s="3169"/>
      <c r="AL141" s="3169"/>
      <c r="AM141" s="3169"/>
      <c r="AN141" s="3169"/>
      <c r="AO141" s="3169"/>
      <c r="AP141" s="3169"/>
      <c r="AQ141" s="3169"/>
      <c r="AR141" s="3169"/>
    </row>
    <row r="142" spans="1:44" ht="13.5" thickBot="1">
      <c r="A142" s="635"/>
      <c r="B142" s="424"/>
      <c r="C142" s="291" t="s">
        <v>740</v>
      </c>
      <c r="D142" s="291"/>
      <c r="E142" s="291"/>
      <c r="F142" s="127"/>
      <c r="G142" s="127"/>
      <c r="H142" s="127"/>
      <c r="I142" s="127"/>
      <c r="J142" s="127"/>
      <c r="K142" s="425"/>
      <c r="L142" s="24"/>
      <c r="M142" s="24"/>
      <c r="N142" s="24"/>
      <c r="O142" s="398"/>
      <c r="P142" s="291" t="s">
        <v>3249</v>
      </c>
      <c r="Q142" s="24"/>
      <c r="R142" s="24"/>
      <c r="S142" s="24"/>
      <c r="T142" s="24"/>
      <c r="U142" s="24"/>
      <c r="V142" s="446"/>
      <c r="W142" s="24"/>
      <c r="X142" s="24"/>
      <c r="Y142" s="82"/>
      <c r="Z142" s="452"/>
      <c r="AA142" s="1408"/>
      <c r="AB142" s="1408"/>
      <c r="AC142" s="1408"/>
      <c r="AD142" s="1408"/>
      <c r="AE142" s="1408"/>
      <c r="AF142" s="1408"/>
      <c r="AG142" s="1408"/>
      <c r="AH142" s="1408"/>
      <c r="AI142" s="3169"/>
      <c r="AJ142" s="3169"/>
      <c r="AK142" s="3169"/>
      <c r="AL142" s="3169"/>
      <c r="AM142" s="3169"/>
      <c r="AN142" s="3169"/>
      <c r="AO142" s="3169"/>
      <c r="AP142" s="3169"/>
      <c r="AQ142" s="3169"/>
      <c r="AR142" s="3169"/>
    </row>
    <row r="143" spans="1:44" ht="7.5" customHeight="1">
      <c r="A143" s="635"/>
      <c r="B143" s="442"/>
      <c r="C143" s="443"/>
      <c r="D143" s="443"/>
      <c r="E143" s="443"/>
      <c r="F143" s="444"/>
      <c r="G143" s="444"/>
      <c r="H143" s="444"/>
      <c r="I143" s="444"/>
      <c r="J143" s="444"/>
      <c r="K143" s="445"/>
      <c r="L143" s="24"/>
      <c r="M143" s="24"/>
      <c r="N143" s="24"/>
      <c r="O143" s="47"/>
      <c r="P143" s="45"/>
      <c r="Q143" s="45"/>
      <c r="R143" s="45"/>
      <c r="S143" s="45"/>
      <c r="T143" s="45"/>
      <c r="U143" s="45"/>
      <c r="V143" s="50"/>
      <c r="W143" s="24"/>
      <c r="X143" s="24"/>
      <c r="Y143" s="82"/>
      <c r="Z143" s="452"/>
      <c r="AA143" s="1408"/>
      <c r="AB143" s="6559" t="str">
        <f>IF(AND(AB151&lt;&gt;"",AB153&lt;&gt;""),"Check only one.",IF(AB151&lt;&gt;"","Short Sch. SE manually selected.",IF(AB153&lt;&gt;"","Long Sch. SE manually selected",IF(AC153,"Short Sch. SE "&amp;CHAR(10)&amp;"auto. selected.",IF(AE153,"Long Sch. SE "&amp;CHAR(10)&amp;"auto. Selected.","")))))</f>
        <v>Short Sch. SE 
auto. selected.</v>
      </c>
      <c r="AC143" s="6560"/>
      <c r="AD143" s="6560"/>
      <c r="AE143" s="6560"/>
      <c r="AF143" s="6561"/>
      <c r="AG143" s="1408"/>
      <c r="AH143" s="1408"/>
      <c r="AI143" s="3169"/>
      <c r="AJ143" s="3169"/>
      <c r="AK143" s="3169"/>
      <c r="AL143" s="3169"/>
      <c r="AM143" s="3169"/>
      <c r="AN143" s="3169"/>
      <c r="AO143" s="3169"/>
      <c r="AP143" s="3169"/>
      <c r="AQ143" s="3169"/>
      <c r="AR143" s="3169"/>
    </row>
    <row r="144" spans="1:44" ht="6.75" customHeight="1">
      <c r="A144" s="635"/>
      <c r="B144" s="24"/>
      <c r="C144" s="24"/>
      <c r="D144" s="24"/>
      <c r="E144" s="24"/>
      <c r="F144" s="58"/>
      <c r="G144" s="24"/>
      <c r="H144" s="24"/>
      <c r="I144" s="24"/>
      <c r="J144" s="24"/>
      <c r="K144" s="24"/>
      <c r="L144" s="24"/>
      <c r="M144" s="24"/>
      <c r="N144" s="24"/>
      <c r="O144" s="24"/>
      <c r="P144" s="24"/>
      <c r="Q144" s="24"/>
      <c r="R144" s="24"/>
      <c r="S144" s="24"/>
      <c r="T144" s="24"/>
      <c r="U144" s="24"/>
      <c r="V144" s="24"/>
      <c r="W144" s="24"/>
      <c r="X144" s="24"/>
      <c r="Y144" s="82"/>
      <c r="Z144" s="452"/>
      <c r="AA144" s="1408"/>
      <c r="AB144" s="6562"/>
      <c r="AC144" s="6563"/>
      <c r="AD144" s="6563"/>
      <c r="AE144" s="6563"/>
      <c r="AF144" s="6564"/>
      <c r="AG144" s="1408"/>
      <c r="AH144" s="1408"/>
      <c r="AI144" s="3169"/>
      <c r="AJ144" s="3169"/>
      <c r="AK144" s="3169"/>
      <c r="AL144" s="3169"/>
      <c r="AM144" s="3169"/>
      <c r="AN144" s="3169"/>
      <c r="AO144" s="3169"/>
      <c r="AP144" s="3169"/>
      <c r="AQ144" s="3169"/>
      <c r="AR144" s="3169"/>
    </row>
    <row r="145" spans="1:44">
      <c r="A145" s="635"/>
      <c r="B145" s="24"/>
      <c r="C145" s="24"/>
      <c r="D145" s="24"/>
      <c r="E145" s="1084">
        <v>108.28</v>
      </c>
      <c r="F145" s="475" t="s">
        <v>308</v>
      </c>
      <c r="G145" s="24"/>
      <c r="H145" s="24"/>
      <c r="I145" s="24"/>
      <c r="J145" s="24"/>
      <c r="K145" s="24"/>
      <c r="L145" s="24"/>
      <c r="M145" s="24"/>
      <c r="N145" s="24"/>
      <c r="O145" s="24"/>
      <c r="P145" s="24"/>
      <c r="Q145" s="24"/>
      <c r="R145" s="24"/>
      <c r="S145" s="45"/>
      <c r="T145" s="34" t="s">
        <v>172</v>
      </c>
      <c r="U145" s="24"/>
      <c r="V145" s="24"/>
      <c r="W145" s="24"/>
      <c r="X145" s="24"/>
      <c r="Y145" s="82"/>
      <c r="Z145" s="452"/>
      <c r="AA145" s="1408"/>
      <c r="AB145" s="6562"/>
      <c r="AC145" s="6563"/>
      <c r="AD145" s="6563"/>
      <c r="AE145" s="6563"/>
      <c r="AF145" s="6564"/>
      <c r="AG145" s="1408"/>
      <c r="AH145" s="1408"/>
      <c r="AI145" s="3169"/>
      <c r="AJ145" s="3169"/>
      <c r="AK145" s="3169"/>
      <c r="AL145" s="3169"/>
      <c r="AM145" s="3169"/>
      <c r="AN145" s="3169"/>
      <c r="AO145" s="3169"/>
      <c r="AP145" s="3169"/>
      <c r="AQ145" s="3169"/>
      <c r="AR145" s="3169"/>
    </row>
    <row r="146" spans="1:44" ht="6" customHeight="1">
      <c r="A146" s="635"/>
      <c r="B146" s="440"/>
      <c r="C146" s="40"/>
      <c r="D146" s="40"/>
      <c r="E146" s="40"/>
      <c r="F146" s="58"/>
      <c r="G146" s="58"/>
      <c r="H146" s="58"/>
      <c r="I146" s="58"/>
      <c r="J146" s="58"/>
      <c r="K146" s="56"/>
      <c r="L146" s="24"/>
      <c r="M146" s="24"/>
      <c r="N146" s="24"/>
      <c r="O146" s="440"/>
      <c r="P146" s="58"/>
      <c r="Q146" s="58"/>
      <c r="R146" s="40"/>
      <c r="S146" s="58"/>
      <c r="T146" s="58"/>
      <c r="U146" s="58"/>
      <c r="V146" s="56"/>
      <c r="W146" s="24"/>
      <c r="X146" s="24"/>
      <c r="Y146" s="82"/>
      <c r="Z146" s="452"/>
      <c r="AA146" s="1408"/>
      <c r="AB146" s="6562"/>
      <c r="AC146" s="6563"/>
      <c r="AD146" s="6563"/>
      <c r="AE146" s="6563"/>
      <c r="AF146" s="6564"/>
      <c r="AG146" s="1408"/>
      <c r="AH146" s="1408"/>
      <c r="AI146" s="3169"/>
      <c r="AJ146" s="3169"/>
      <c r="AK146" s="3169"/>
      <c r="AL146" s="3169"/>
      <c r="AM146" s="3169"/>
      <c r="AN146" s="3169"/>
      <c r="AO146" s="3169"/>
      <c r="AP146" s="3169"/>
      <c r="AQ146" s="3169"/>
      <c r="AR146" s="3169"/>
    </row>
    <row r="147" spans="1:44">
      <c r="A147" s="635"/>
      <c r="B147" s="424"/>
      <c r="C147" s="291" t="s">
        <v>170</v>
      </c>
      <c r="D147" s="291"/>
      <c r="E147" s="291"/>
      <c r="F147" s="127"/>
      <c r="G147" s="127"/>
      <c r="H147" s="127"/>
      <c r="I147" s="127"/>
      <c r="J147" s="127"/>
      <c r="K147" s="425"/>
      <c r="L147" s="441" t="s">
        <v>307</v>
      </c>
      <c r="M147" s="24"/>
      <c r="N147" s="52" t="s">
        <v>308</v>
      </c>
      <c r="O147" s="424"/>
      <c r="P147" s="291" t="s">
        <v>265</v>
      </c>
      <c r="Q147" s="291"/>
      <c r="R147" s="291"/>
      <c r="S147" s="127"/>
      <c r="T147" s="127"/>
      <c r="U147" s="127"/>
      <c r="V147" s="425"/>
      <c r="W147" s="476" t="s">
        <v>307</v>
      </c>
      <c r="X147" s="441"/>
      <c r="Y147" s="82"/>
      <c r="Z147" s="452"/>
      <c r="AA147" s="1408"/>
      <c r="AB147" s="6562"/>
      <c r="AC147" s="6563"/>
      <c r="AD147" s="6563"/>
      <c r="AE147" s="6563"/>
      <c r="AF147" s="6564"/>
      <c r="AG147" s="1408"/>
      <c r="AH147" s="1408"/>
      <c r="AI147" s="3169"/>
      <c r="AJ147" s="3169"/>
      <c r="AK147" s="3169"/>
      <c r="AL147" s="3169"/>
      <c r="AM147" s="3169"/>
      <c r="AN147" s="3169"/>
      <c r="AO147" s="3169"/>
      <c r="AP147" s="3169"/>
      <c r="AQ147" s="3169"/>
      <c r="AR147" s="3169"/>
    </row>
    <row r="148" spans="1:44" ht="13.5" thickBot="1">
      <c r="A148" s="635"/>
      <c r="B148" s="424"/>
      <c r="C148" s="291" t="str">
        <f>"W-2 of "&amp;TEXT(E145,"$0.00")&amp;" or more?"</f>
        <v>W-2 of $108.28 or more?</v>
      </c>
      <c r="D148" s="291"/>
      <c r="E148" s="291"/>
      <c r="F148" s="127"/>
      <c r="G148" s="127"/>
      <c r="H148" s="127"/>
      <c r="I148" s="127"/>
      <c r="J148" s="127"/>
      <c r="K148" s="425"/>
      <c r="L148" s="24"/>
      <c r="M148" s="24"/>
      <c r="N148" s="24"/>
      <c r="O148" s="424"/>
      <c r="P148" s="291" t="s">
        <v>266</v>
      </c>
      <c r="Q148" s="291"/>
      <c r="R148" s="291"/>
      <c r="S148" s="127"/>
      <c r="T148" s="127"/>
      <c r="U148" s="127"/>
      <c r="V148" s="425"/>
      <c r="W148" s="24"/>
      <c r="X148" s="24"/>
      <c r="Y148" s="82"/>
      <c r="Z148" s="452"/>
      <c r="AA148" s="1408"/>
      <c r="AB148" s="6565"/>
      <c r="AC148" s="6566"/>
      <c r="AD148" s="6566"/>
      <c r="AE148" s="6566"/>
      <c r="AF148" s="6567"/>
      <c r="AG148" s="1408"/>
      <c r="AH148" s="1408"/>
      <c r="AI148" s="3169"/>
      <c r="AJ148" s="3169"/>
      <c r="AK148" s="3169"/>
      <c r="AL148" s="3169"/>
      <c r="AM148" s="3169"/>
      <c r="AN148" s="3169"/>
      <c r="AO148" s="3169"/>
      <c r="AP148" s="3169"/>
      <c r="AQ148" s="3169"/>
      <c r="AR148" s="3169"/>
    </row>
    <row r="149" spans="1:44" ht="6.75" customHeight="1">
      <c r="A149" s="635"/>
      <c r="B149" s="442"/>
      <c r="C149" s="443"/>
      <c r="D149" s="443"/>
      <c r="E149" s="443"/>
      <c r="F149" s="444"/>
      <c r="G149" s="444"/>
      <c r="H149" s="444"/>
      <c r="I149" s="444"/>
      <c r="J149" s="444"/>
      <c r="K149" s="445"/>
      <c r="L149" s="24"/>
      <c r="M149" s="24"/>
      <c r="N149" s="24"/>
      <c r="O149" s="442"/>
      <c r="P149" s="444"/>
      <c r="Q149" s="444"/>
      <c r="R149" s="443"/>
      <c r="S149" s="444"/>
      <c r="T149" s="444"/>
      <c r="U149" s="444"/>
      <c r="V149" s="445"/>
      <c r="W149" s="24"/>
      <c r="X149" s="24"/>
      <c r="Y149" s="82"/>
      <c r="Z149" s="452"/>
      <c r="AA149" s="1408"/>
      <c r="AB149" s="1408"/>
      <c r="AC149" s="1408"/>
      <c r="AD149" s="1408"/>
      <c r="AE149" s="1408"/>
      <c r="AF149" s="1408"/>
      <c r="AG149" s="1408"/>
      <c r="AH149" s="1408"/>
      <c r="AI149" s="3169"/>
      <c r="AJ149" s="3169"/>
      <c r="AK149" s="3169"/>
      <c r="AL149" s="3169"/>
      <c r="AM149" s="3169"/>
      <c r="AN149" s="3169"/>
      <c r="AO149" s="3169"/>
      <c r="AP149" s="3169"/>
      <c r="AQ149" s="3169"/>
      <c r="AR149" s="3169"/>
    </row>
    <row r="150" spans="1:44" ht="6.75" customHeight="1" thickBot="1">
      <c r="A150" s="635"/>
      <c r="B150" s="24"/>
      <c r="C150" s="24"/>
      <c r="D150" s="24"/>
      <c r="E150" s="24"/>
      <c r="F150" s="58"/>
      <c r="G150" s="24"/>
      <c r="H150" s="24"/>
      <c r="I150" s="24"/>
      <c r="J150" s="24"/>
      <c r="K150" s="24"/>
      <c r="L150" s="24"/>
      <c r="M150" s="24"/>
      <c r="N150" s="24"/>
      <c r="O150" s="24"/>
      <c r="P150" s="24"/>
      <c r="Q150" s="24"/>
      <c r="R150" s="24"/>
      <c r="S150" s="24"/>
      <c r="T150" s="58"/>
      <c r="U150" s="24"/>
      <c r="V150" s="24"/>
      <c r="W150" s="24"/>
      <c r="X150" s="24"/>
      <c r="Y150" s="82"/>
      <c r="Z150" s="452"/>
      <c r="AA150" s="1408"/>
      <c r="AB150" s="1408"/>
      <c r="AC150" s="1408"/>
      <c r="AD150" s="1408"/>
      <c r="AE150" s="1408"/>
      <c r="AF150" s="1408"/>
      <c r="AG150" s="1408"/>
      <c r="AH150" s="1408"/>
      <c r="AI150" s="3169"/>
      <c r="AJ150" s="3169"/>
      <c r="AK150" s="3169"/>
      <c r="AL150" s="3169"/>
      <c r="AM150" s="3169"/>
      <c r="AN150" s="3169"/>
      <c r="AO150" s="3169"/>
      <c r="AP150" s="3169"/>
      <c r="AQ150" s="3169"/>
      <c r="AR150" s="3169"/>
    </row>
    <row r="151" spans="1:44" ht="13.5" thickBot="1">
      <c r="A151" s="635"/>
      <c r="B151" s="24"/>
      <c r="C151" s="24"/>
      <c r="D151" s="24"/>
      <c r="E151" s="24"/>
      <c r="F151" s="475" t="s">
        <v>308</v>
      </c>
      <c r="G151" s="24"/>
      <c r="H151" s="24"/>
      <c r="I151" s="24"/>
      <c r="J151" s="24"/>
      <c r="K151" s="24"/>
      <c r="L151" s="24"/>
      <c r="M151" s="24"/>
      <c r="N151" s="24"/>
      <c r="O151" s="24"/>
      <c r="P151" s="24"/>
      <c r="Q151" s="24"/>
      <c r="R151" s="24"/>
      <c r="S151" s="24"/>
      <c r="T151" s="45"/>
      <c r="U151" s="24"/>
      <c r="V151" s="24"/>
      <c r="W151" s="45"/>
      <c r="X151" s="24"/>
      <c r="Y151" s="82"/>
      <c r="Z151" s="452"/>
      <c r="AA151" s="1408"/>
      <c r="AB151" s="1445"/>
      <c r="AF151" s="4173" t="s">
        <v>3475</v>
      </c>
      <c r="AG151" s="1408"/>
      <c r="AH151" s="1408"/>
      <c r="AI151" s="3169"/>
      <c r="AJ151" s="3169"/>
      <c r="AK151" s="3169"/>
      <c r="AL151" s="3169"/>
      <c r="AM151" s="3169"/>
      <c r="AN151" s="3169"/>
      <c r="AO151" s="3169"/>
      <c r="AP151" s="3169"/>
      <c r="AQ151" s="3169"/>
      <c r="AR151" s="3169"/>
    </row>
    <row r="152" spans="1:44" ht="6" customHeight="1" thickBot="1">
      <c r="A152" s="635"/>
      <c r="B152" s="440"/>
      <c r="C152" s="40"/>
      <c r="D152" s="40"/>
      <c r="E152" s="40"/>
      <c r="F152" s="58"/>
      <c r="G152" s="58"/>
      <c r="H152" s="58"/>
      <c r="I152" s="58"/>
      <c r="J152" s="58"/>
      <c r="K152" s="56"/>
      <c r="L152" s="24"/>
      <c r="M152" s="24"/>
      <c r="N152" s="24"/>
      <c r="O152" s="440"/>
      <c r="P152" s="58"/>
      <c r="Q152" s="58"/>
      <c r="R152" s="40"/>
      <c r="S152" s="58"/>
      <c r="T152" s="58"/>
      <c r="U152" s="58"/>
      <c r="V152" s="58"/>
      <c r="W152" s="56"/>
      <c r="X152" s="398"/>
      <c r="Y152" s="82"/>
      <c r="Z152" s="452"/>
      <c r="AA152" s="1408"/>
      <c r="AF152" s="1408"/>
      <c r="AG152" s="1408"/>
      <c r="AH152" s="1408"/>
      <c r="AI152" s="3169"/>
      <c r="AJ152" s="3169"/>
      <c r="AK152" s="3169"/>
      <c r="AL152" s="3169"/>
      <c r="AM152" s="3169"/>
      <c r="AN152" s="3169"/>
      <c r="AO152" s="3169"/>
      <c r="AP152" s="3169"/>
      <c r="AQ152" s="3169"/>
      <c r="AR152" s="3169"/>
    </row>
    <row r="153" spans="1:44" ht="13.5" customHeight="1" thickBot="1">
      <c r="A153" s="635"/>
      <c r="B153" s="424"/>
      <c r="C153" s="2296" t="str">
        <f>IF(AB151&lt;&gt;"","X",IF(AB153&lt;&gt;"","",IF(AC153,"X","")))</f>
        <v>X</v>
      </c>
      <c r="D153" s="2926" t="s">
        <v>755</v>
      </c>
      <c r="E153" s="448"/>
      <c r="F153" s="2925"/>
      <c r="G153" s="127"/>
      <c r="H153" s="127"/>
      <c r="I153" s="127"/>
      <c r="J153" s="127"/>
      <c r="K153" s="425"/>
      <c r="L153" s="24"/>
      <c r="M153" s="24"/>
      <c r="N153" s="446"/>
      <c r="O153" s="424"/>
      <c r="P153" s="2296" t="str">
        <f>IF(AB153&lt;&gt;"","X",IF(AB151&lt;&gt;"","",IF(AE153,"X","")))</f>
        <v/>
      </c>
      <c r="Q153" s="2926" t="s">
        <v>756</v>
      </c>
      <c r="R153" s="2922"/>
      <c r="S153" s="2922"/>
      <c r="T153" s="2925"/>
      <c r="U153" s="2923"/>
      <c r="V153" s="2923"/>
      <c r="W153" s="2924"/>
      <c r="X153" s="398"/>
      <c r="Y153" s="82"/>
      <c r="Z153" s="4170" t="str">
        <f>IF(AND(C153="",P153=""),"&lt;  Check one.",IF(AND(C153&lt;&gt;"",P153&lt;&gt;""),"Check only one.",""))</f>
        <v/>
      </c>
      <c r="AA153" s="1408"/>
      <c r="AB153" s="1445"/>
      <c r="AC153" t="b">
        <f>IF(ISERROR(AE176&lt;=AE221),FALSE,AE176&lt;=AE221)</f>
        <v>1</v>
      </c>
      <c r="AE153" t="b">
        <f>IF(ISERROR(AE176&gt;AE221),FALSE,AE176&gt;AE221)</f>
        <v>0</v>
      </c>
      <c r="AF153" s="4173" t="s">
        <v>3476</v>
      </c>
      <c r="AG153" s="1408"/>
      <c r="AH153" s="1408"/>
      <c r="AI153" s="3169"/>
      <c r="AJ153" s="3169"/>
      <c r="AK153" s="3169"/>
      <c r="AL153" s="3169"/>
      <c r="AM153" s="3169"/>
      <c r="AN153" s="3169"/>
      <c r="AO153" s="3169"/>
      <c r="AP153" s="3169"/>
      <c r="AQ153" s="3169"/>
      <c r="AR153" s="3169"/>
    </row>
    <row r="154" spans="1:44" ht="6" customHeight="1">
      <c r="A154" s="635"/>
      <c r="B154" s="442"/>
      <c r="C154" s="443"/>
      <c r="D154" s="443"/>
      <c r="E154" s="443"/>
      <c r="F154" s="444"/>
      <c r="G154" s="444"/>
      <c r="H154" s="444"/>
      <c r="I154" s="444"/>
      <c r="J154" s="444"/>
      <c r="K154" s="445"/>
      <c r="L154" s="24"/>
      <c r="M154" s="24"/>
      <c r="N154" s="24"/>
      <c r="O154" s="442"/>
      <c r="P154" s="444"/>
      <c r="Q154" s="444"/>
      <c r="R154" s="443"/>
      <c r="S154" s="444"/>
      <c r="T154" s="444"/>
      <c r="U154" s="444"/>
      <c r="V154" s="444"/>
      <c r="W154" s="50"/>
      <c r="X154" s="398"/>
      <c r="Y154" s="82"/>
      <c r="Z154" s="452"/>
      <c r="AA154" s="1408"/>
      <c r="AB154" s="1408"/>
      <c r="AC154" s="1408"/>
      <c r="AD154" s="1408"/>
      <c r="AE154" s="1408"/>
      <c r="AF154" s="1408"/>
      <c r="AG154" s="1408"/>
      <c r="AH154" s="1408"/>
      <c r="AI154" s="3169"/>
      <c r="AJ154" s="3169"/>
      <c r="AK154" s="3169"/>
      <c r="AL154" s="3169"/>
      <c r="AM154" s="3169"/>
      <c r="AN154" s="3169"/>
      <c r="AO154" s="3169"/>
      <c r="AP154" s="3169"/>
      <c r="AQ154" s="3169"/>
      <c r="AR154" s="3169"/>
    </row>
    <row r="155" spans="1:44">
      <c r="A155" s="635"/>
      <c r="B155" s="45"/>
      <c r="C155" s="45"/>
      <c r="D155" s="45"/>
      <c r="E155" s="2929" t="b">
        <f>IF(AND(C153&lt;&gt;"",P153=""),TRUE,FALSE)</f>
        <v>1</v>
      </c>
      <c r="F155" s="45"/>
      <c r="G155" s="45"/>
      <c r="H155" s="45"/>
      <c r="I155" s="937"/>
      <c r="J155" s="937"/>
      <c r="K155" s="937"/>
      <c r="L155" s="934"/>
      <c r="M155" s="936" t="str">
        <f>IF(AND($C$34="",$P$34=""),"Check one.  Hint: Try each to see which results in smallest tax consequence!",IF(AND($C$34&lt;&gt;"",$P$34&lt;&gt;""),"Check only one.",""))</f>
        <v/>
      </c>
      <c r="N155" s="934"/>
      <c r="O155" s="45"/>
      <c r="P155" s="45"/>
      <c r="Q155" s="45"/>
      <c r="R155" s="45"/>
      <c r="S155" s="45"/>
      <c r="T155" s="45"/>
      <c r="U155" s="45"/>
      <c r="V155" s="2929" t="b">
        <f>IF(AND(P153&lt;&gt;"",C153=""),TRUE,FALSE)</f>
        <v>0</v>
      </c>
      <c r="W155" s="45"/>
      <c r="X155" s="45"/>
      <c r="Y155" s="82"/>
      <c r="Z155" s="452"/>
      <c r="AA155" s="1408"/>
      <c r="AB155" s="1408"/>
      <c r="AC155" s="1408"/>
      <c r="AD155" s="1408"/>
      <c r="AE155" s="1408"/>
      <c r="AF155" s="1408"/>
      <c r="AG155" s="1408"/>
      <c r="AH155" s="1408"/>
      <c r="AI155" s="3169"/>
      <c r="AJ155" s="3169"/>
      <c r="AK155" s="3169"/>
      <c r="AL155" s="3169"/>
      <c r="AM155" s="3169"/>
      <c r="AN155" s="3169"/>
      <c r="AO155" s="3169"/>
      <c r="AP155" s="3169"/>
      <c r="AQ155" s="3169"/>
      <c r="AR155" s="3169"/>
    </row>
    <row r="156" spans="1:44" ht="5.25" customHeight="1">
      <c r="A156" s="635"/>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82"/>
      <c r="Z156" s="5785" t="s">
        <v>2146</v>
      </c>
      <c r="AA156" s="1408"/>
      <c r="AB156" s="1408"/>
      <c r="AC156" s="1408"/>
      <c r="AD156" s="1408"/>
      <c r="AE156" s="1408"/>
      <c r="AF156" s="1408"/>
      <c r="AG156" s="1408"/>
      <c r="AH156" s="1408"/>
      <c r="AI156" s="3169"/>
      <c r="AJ156" s="3169"/>
      <c r="AK156" s="3169"/>
      <c r="AL156" s="3169"/>
      <c r="AM156" s="3169"/>
      <c r="AN156" s="3169"/>
      <c r="AO156" s="3169"/>
      <c r="AP156" s="3169"/>
      <c r="AQ156" s="3169"/>
      <c r="AR156" s="3169"/>
    </row>
    <row r="157" spans="1:44" ht="15" customHeight="1">
      <c r="A157" s="635"/>
      <c r="B157" s="449" t="s">
        <v>185</v>
      </c>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704"/>
      <c r="Z157" s="5527"/>
      <c r="AA157" s="1408"/>
      <c r="AB157" s="1408"/>
      <c r="AC157" s="1408"/>
      <c r="AD157" s="1408"/>
      <c r="AE157" s="1408"/>
      <c r="AF157" s="1408"/>
      <c r="AG157" s="1408"/>
      <c r="AH157" s="1408"/>
      <c r="AI157" s="3169"/>
      <c r="AJ157" s="3169"/>
      <c r="AK157" s="3169"/>
      <c r="AL157" s="3169"/>
      <c r="AM157" s="3169"/>
      <c r="AN157" s="3169"/>
      <c r="AO157" s="3169"/>
      <c r="AP157" s="3169"/>
      <c r="AQ157" s="3169"/>
      <c r="AR157" s="3169"/>
    </row>
    <row r="158" spans="1:44" ht="6.75" customHeight="1">
      <c r="A158" s="63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82"/>
      <c r="Z158" s="5527"/>
      <c r="AA158" s="1408"/>
      <c r="AB158" s="1408"/>
      <c r="AC158" s="1408"/>
      <c r="AD158" s="1408"/>
      <c r="AE158" s="1408"/>
      <c r="AF158" s="1408"/>
      <c r="AG158" s="1408"/>
      <c r="AH158" s="1408"/>
      <c r="AI158" s="3169"/>
      <c r="AJ158" s="3169"/>
      <c r="AK158" s="3169"/>
      <c r="AL158" s="3169"/>
      <c r="AM158" s="3169"/>
      <c r="AN158" s="3169"/>
      <c r="AO158" s="3169"/>
      <c r="AP158" s="3169"/>
      <c r="AQ158" s="3169"/>
      <c r="AR158" s="3169"/>
    </row>
    <row r="159" spans="1:44" ht="12.75" customHeight="1" thickBot="1">
      <c r="A159" s="635"/>
      <c r="B159" s="24"/>
      <c r="C159" s="52" t="s">
        <v>14</v>
      </c>
      <c r="D159" s="74" t="s">
        <v>741</v>
      </c>
      <c r="E159" s="24"/>
      <c r="F159" s="24"/>
      <c r="G159" s="24"/>
      <c r="H159" s="24"/>
      <c r="I159" s="24"/>
      <c r="J159" s="24"/>
      <c r="K159" s="24"/>
      <c r="L159" s="24"/>
      <c r="M159" s="24"/>
      <c r="N159" s="24"/>
      <c r="O159" s="24"/>
      <c r="P159" s="24"/>
      <c r="Q159" s="24"/>
      <c r="R159" s="24"/>
      <c r="S159" s="24"/>
      <c r="T159" s="24"/>
      <c r="U159" s="440"/>
      <c r="V159" s="6601"/>
      <c r="W159" s="5849"/>
      <c r="X159" s="5849"/>
      <c r="Y159" s="82"/>
      <c r="Z159" s="452"/>
      <c r="AA159" s="1408"/>
      <c r="AB159" s="1408"/>
      <c r="AC159" s="1408"/>
      <c r="AD159" s="1408"/>
      <c r="AE159" s="1408"/>
      <c r="AF159" s="1408"/>
      <c r="AG159" s="1408"/>
      <c r="AH159" s="1408"/>
      <c r="AI159" s="3169"/>
      <c r="AJ159" s="3169"/>
      <c r="AK159" s="3169"/>
      <c r="AL159" s="3169"/>
      <c r="AM159" s="3169"/>
      <c r="AN159" s="3169"/>
      <c r="AO159" s="3169"/>
      <c r="AP159" s="3169"/>
      <c r="AQ159" s="3169"/>
      <c r="AR159" s="3169"/>
    </row>
    <row r="160" spans="1:44" ht="14.25" customHeight="1" thickBot="1">
      <c r="A160" s="635"/>
      <c r="B160" s="127"/>
      <c r="C160" s="422"/>
      <c r="D160" s="127" t="s">
        <v>439</v>
      </c>
      <c r="E160" s="127"/>
      <c r="F160" s="127"/>
      <c r="G160" s="127"/>
      <c r="H160" s="127"/>
      <c r="I160" s="127"/>
      <c r="J160" s="127"/>
      <c r="K160" s="127"/>
      <c r="L160" s="127"/>
      <c r="M160" s="127"/>
      <c r="N160" s="127"/>
      <c r="O160" s="127"/>
      <c r="P160" s="127"/>
      <c r="Q160" s="127"/>
      <c r="R160" s="127"/>
      <c r="S160" s="127"/>
      <c r="T160" s="566" t="s">
        <v>493</v>
      </c>
      <c r="U160" s="451" t="s">
        <v>14</v>
      </c>
      <c r="V160" s="6588" t="str">
        <f>IF(Z160&lt;&gt;"",ROUND(Z160,0),IF(AND(E155,SchF_SchSE_2),FarmProfitNet,""))</f>
        <v/>
      </c>
      <c r="W160" s="6589"/>
      <c r="X160" s="6589"/>
      <c r="Y160" s="704"/>
      <c r="Z160" s="4256"/>
      <c r="AA160" s="452"/>
      <c r="AB160" s="452"/>
      <c r="AE160" s="4133">
        <f>IF(Z160&lt;&gt;"",ROUND(Z160,0),FarmProfitNet)</f>
        <v>0</v>
      </c>
      <c r="AF160" s="452"/>
      <c r="AG160" s="452"/>
      <c r="AH160" s="452"/>
      <c r="AI160" s="3169"/>
      <c r="AJ160" s="3169"/>
      <c r="AK160" s="3169"/>
      <c r="AL160" s="3169"/>
      <c r="AM160" s="3169"/>
      <c r="AN160" s="3169"/>
      <c r="AO160" s="3169"/>
      <c r="AP160" s="3169"/>
      <c r="AQ160" s="3169"/>
      <c r="AR160" s="3169"/>
    </row>
    <row r="161" spans="1:44" ht="12.75" customHeight="1">
      <c r="A161" s="635"/>
      <c r="B161" s="24"/>
      <c r="C161" s="52" t="s">
        <v>17</v>
      </c>
      <c r="D161" s="60" t="s">
        <v>529</v>
      </c>
      <c r="E161" s="24"/>
      <c r="F161" s="24"/>
      <c r="G161" s="24"/>
      <c r="H161" s="24"/>
      <c r="I161" s="24"/>
      <c r="J161" s="24"/>
      <c r="K161" s="24"/>
      <c r="L161" s="24"/>
      <c r="M161" s="24"/>
      <c r="N161" s="24"/>
      <c r="O161" s="24"/>
      <c r="P161" s="24"/>
      <c r="Q161" s="24"/>
      <c r="R161" s="24"/>
      <c r="S161" s="24"/>
      <c r="T161" s="24"/>
      <c r="U161" s="440"/>
      <c r="V161" s="6601"/>
      <c r="W161" s="5849"/>
      <c r="X161" s="5849"/>
      <c r="Y161" s="82"/>
      <c r="Z161" s="452"/>
      <c r="AA161" s="452"/>
      <c r="AB161" s="2115" t="s">
        <v>4142</v>
      </c>
      <c r="AC161" s="2104"/>
      <c r="AD161" s="2104"/>
      <c r="AE161" s="2104"/>
      <c r="AF161" s="2104"/>
      <c r="AG161" s="2105"/>
      <c r="AH161" s="452"/>
      <c r="AI161" s="3169"/>
      <c r="AJ161" s="3169"/>
      <c r="AK161" s="3169"/>
      <c r="AL161" s="3169"/>
      <c r="AM161" s="3169"/>
      <c r="AN161" s="3169"/>
      <c r="AO161" s="3169"/>
      <c r="AP161" s="3169"/>
      <c r="AQ161" s="3169"/>
      <c r="AR161" s="3169"/>
    </row>
    <row r="162" spans="1:44" ht="14.25" customHeight="1">
      <c r="A162" s="635"/>
      <c r="B162" s="127"/>
      <c r="C162" s="422"/>
      <c r="D162" s="502" t="s">
        <v>3250</v>
      </c>
      <c r="E162" s="127"/>
      <c r="F162" s="127"/>
      <c r="G162" s="127"/>
      <c r="H162" s="127"/>
      <c r="I162" s="127"/>
      <c r="J162" s="127"/>
      <c r="K162" s="127"/>
      <c r="L162" s="127"/>
      <c r="M162" s="127"/>
      <c r="N162" s="127"/>
      <c r="O162" s="127"/>
      <c r="P162" s="127"/>
      <c r="Q162" s="127"/>
      <c r="R162" s="127"/>
      <c r="S162" s="127"/>
      <c r="T162" s="1699" t="s">
        <v>3251</v>
      </c>
      <c r="U162" s="451" t="s">
        <v>17</v>
      </c>
      <c r="V162" s="6680"/>
      <c r="W162" s="6681"/>
      <c r="X162" s="6681"/>
      <c r="Y162" s="704"/>
      <c r="Z162" s="3063" t="str">
        <f>IF(AND($E$155,SchC_StatutoryEmp_2&lt;&gt;""),"See instructions:","")</f>
        <v/>
      </c>
      <c r="AA162" s="452"/>
      <c r="AB162" s="2870" t="s">
        <v>4138</v>
      </c>
      <c r="AC162" s="1408"/>
      <c r="AD162" s="1408"/>
      <c r="AE162" s="4591">
        <f>IF(V162&lt;&gt;"",ROUND(V162,0),-'Sch. F'!Y24)</f>
        <v>0</v>
      </c>
      <c r="AF162" s="1408"/>
      <c r="AG162" s="2107"/>
      <c r="AH162" s="452"/>
      <c r="AI162" s="3169"/>
      <c r="AJ162" s="3169"/>
      <c r="AK162" s="3169"/>
      <c r="AL162" s="3169"/>
      <c r="AM162" s="3169"/>
      <c r="AN162" s="3169"/>
      <c r="AO162" s="3169"/>
      <c r="AP162" s="3169"/>
      <c r="AQ162" s="3169"/>
      <c r="AR162" s="3169"/>
    </row>
    <row r="163" spans="1:44">
      <c r="A163" s="635"/>
      <c r="B163" s="24"/>
      <c r="C163" s="52">
        <v>2</v>
      </c>
      <c r="D163" s="24" t="s">
        <v>137</v>
      </c>
      <c r="E163" s="24"/>
      <c r="F163" s="24"/>
      <c r="G163" s="24"/>
      <c r="H163" s="24"/>
      <c r="I163" s="24"/>
      <c r="J163" s="24"/>
      <c r="K163" s="24"/>
      <c r="L163" s="24"/>
      <c r="M163" s="24"/>
      <c r="N163" s="24"/>
      <c r="O163" s="24"/>
      <c r="P163" s="24"/>
      <c r="Q163" s="24"/>
      <c r="R163" s="24"/>
      <c r="S163" s="24"/>
      <c r="T163" s="24"/>
      <c r="U163" s="57"/>
      <c r="V163" s="6617" t="str">
        <f>IF(AND($V$43&lt;&gt;"",$V$43&gt;0),"Please enter the","")</f>
        <v/>
      </c>
      <c r="W163" s="6618"/>
      <c r="X163" s="6618"/>
      <c r="Y163" s="82"/>
      <c r="Z163" s="3062" t="str">
        <f>IF(AND($E$155,SchC_StatutoryEmp_2&lt;&gt;""),"Statuatory employee","")</f>
        <v/>
      </c>
      <c r="AA163" s="452"/>
      <c r="AB163" s="2870" t="s">
        <v>4139</v>
      </c>
      <c r="AC163" s="1408"/>
      <c r="AD163" s="1408"/>
      <c r="AE163" s="1408"/>
      <c r="AF163" s="1766"/>
      <c r="AG163" s="2107"/>
      <c r="AH163" s="452"/>
      <c r="AI163" s="3169"/>
      <c r="AJ163" s="3169"/>
      <c r="AK163" s="3169"/>
      <c r="AL163" s="3169"/>
      <c r="AM163" s="3169"/>
      <c r="AN163" s="3169"/>
      <c r="AO163" s="3169"/>
      <c r="AP163" s="3169"/>
      <c r="AQ163" s="3169"/>
      <c r="AR163" s="3169"/>
    </row>
    <row r="164" spans="1:44">
      <c r="A164" s="635"/>
      <c r="B164" s="24"/>
      <c r="C164" s="52"/>
      <c r="D164" s="24" t="s">
        <v>491</v>
      </c>
      <c r="E164" s="24"/>
      <c r="F164" s="24"/>
      <c r="G164" s="24"/>
      <c r="H164" s="24"/>
      <c r="I164" s="24"/>
      <c r="J164" s="24"/>
      <c r="K164" s="24"/>
      <c r="L164" s="24"/>
      <c r="M164" s="24"/>
      <c r="N164" s="24"/>
      <c r="O164" s="24"/>
      <c r="P164" s="24"/>
      <c r="Q164" s="24"/>
      <c r="R164" s="24"/>
      <c r="S164" s="24"/>
      <c r="T164" s="24"/>
      <c r="U164" s="450"/>
      <c r="V164" s="6619" t="str">
        <f>IF(AND($V$43&lt;&gt;"",$V$43&gt;0),"amount for line 1b","")</f>
        <v/>
      </c>
      <c r="W164" s="6620"/>
      <c r="X164" s="6620"/>
      <c r="Y164" s="82"/>
      <c r="Z164" s="3062" t="str">
        <f>IF(AND($E$155,SchC_StatutoryEmp_2&lt;&gt;""),"profit is not to be","")</f>
        <v/>
      </c>
      <c r="AA164" s="452"/>
      <c r="AB164" s="2870" t="s">
        <v>4141</v>
      </c>
      <c r="AC164" s="1408"/>
      <c r="AD164" s="1408"/>
      <c r="AE164" s="1408"/>
      <c r="AF164" s="1766"/>
      <c r="AG164" s="2107"/>
      <c r="AH164" s="452"/>
      <c r="AI164" s="3169"/>
      <c r="AJ164" s="3169"/>
      <c r="AK164" s="3169"/>
      <c r="AL164" s="3169"/>
      <c r="AM164" s="3169"/>
      <c r="AN164" s="3169"/>
      <c r="AO164" s="3169"/>
      <c r="AP164" s="3169"/>
      <c r="AQ164" s="3169"/>
      <c r="AR164" s="3169"/>
    </row>
    <row r="165" spans="1:44" ht="12.75" customHeight="1" thickBot="1">
      <c r="A165" s="635"/>
      <c r="B165" s="24"/>
      <c r="C165" s="52"/>
      <c r="D165" s="74" t="s">
        <v>742</v>
      </c>
      <c r="E165" s="24"/>
      <c r="F165" s="24"/>
      <c r="G165" s="24"/>
      <c r="H165" s="24"/>
      <c r="I165" s="24"/>
      <c r="J165" s="24"/>
      <c r="K165" s="24"/>
      <c r="L165" s="24"/>
      <c r="M165" s="24"/>
      <c r="N165" s="24"/>
      <c r="O165" s="24"/>
      <c r="P165" s="24"/>
      <c r="Q165" s="24"/>
      <c r="R165" s="24"/>
      <c r="S165" s="24"/>
      <c r="T165" s="24"/>
      <c r="U165" s="450"/>
      <c r="V165" s="6619" t="str">
        <f>IF(AND($V$43&lt;&gt;"",$V$43&gt;0),"as a negative amount.","")</f>
        <v/>
      </c>
      <c r="W165" s="6620"/>
      <c r="X165" s="6620"/>
      <c r="Y165" s="82"/>
      <c r="Z165" s="3062" t="str">
        <f>IF(AND($E$155,SchC_StatutoryEmp_2&lt;&gt;""),"included on Line 2.","")</f>
        <v/>
      </c>
      <c r="AA165" s="452"/>
      <c r="AB165" s="2872" t="s">
        <v>4140</v>
      </c>
      <c r="AC165" s="2112"/>
      <c r="AD165" s="2112"/>
      <c r="AE165" s="2112"/>
      <c r="AF165" s="2112"/>
      <c r="AG165" s="2113"/>
      <c r="AH165" s="452"/>
      <c r="AI165" s="3169"/>
      <c r="AJ165" s="3169"/>
      <c r="AK165" s="3169"/>
      <c r="AL165" s="3169"/>
      <c r="AM165" s="3169"/>
      <c r="AN165" s="3169"/>
      <c r="AO165" s="3169"/>
      <c r="AP165" s="3169"/>
      <c r="AQ165" s="3169"/>
      <c r="AR165" s="3169"/>
    </row>
    <row r="166" spans="1:44" ht="16.5" customHeight="1" thickBot="1">
      <c r="A166" s="635"/>
      <c r="B166" s="24"/>
      <c r="C166" s="52"/>
      <c r="D166" s="1093" t="s">
        <v>743</v>
      </c>
      <c r="E166" s="24"/>
      <c r="F166" s="24"/>
      <c r="G166" s="24"/>
      <c r="H166" s="24"/>
      <c r="I166" s="24"/>
      <c r="J166" s="24"/>
      <c r="K166" s="24"/>
      <c r="L166" s="24"/>
      <c r="M166" s="24"/>
      <c r="N166" s="24"/>
      <c r="O166" s="24"/>
      <c r="P166" s="24"/>
      <c r="Q166" s="24"/>
      <c r="R166" s="24"/>
      <c r="S166" s="24"/>
      <c r="T166" s="1699" t="s">
        <v>422</v>
      </c>
      <c r="U166" s="447">
        <v>2</v>
      </c>
      <c r="V166" s="6557">
        <f>IF(NOT($E$155),"",IF(Z166&lt;&gt;"",ROUND(Z166,0),IF(AND(AF166&lt;&gt;"",SchC_StatutoryEmp_2=""),SUM(ROUND(AF166,0),SchC_ProfitLoss2),IF(AND(AF201&lt;&gt;"",SchC_StatutoryEmp_2=""),SUM(ROUND(AF201,0),SchC_ProfitLoss2),IF(SchC_StatutoryEmp_2="",SchC_ProfitLoss2,0)))))</f>
        <v>0</v>
      </c>
      <c r="W166" s="6558"/>
      <c r="X166" s="6558"/>
      <c r="Y166" s="82"/>
      <c r="Z166" s="4256"/>
      <c r="AA166" s="452"/>
      <c r="AB166" s="452"/>
      <c r="AE166" s="4133">
        <f>IF(Z166&lt;&gt;"",ROUND(Z166,0),IF(AND(AF166&lt;&gt;"",SchC_StatutoryEmp_2=""),SUM(ROUND(AF166,0),SchC_ProfitLoss2),IF(AND(AF201&lt;&gt;"",SchC_StatutoryEmp_2=""),SUM(ROUND(AF201,0),SchC_ProfitLoss2),IF(SchC_StatutoryEmp_2="",SchC_ProfitLoss2,0))))</f>
        <v>0</v>
      </c>
      <c r="AF166" s="4256">
        <f>-'Sch. F'!Y143</f>
        <v>0</v>
      </c>
      <c r="AG166" s="452"/>
      <c r="AH166" s="452"/>
      <c r="AI166" s="3169"/>
      <c r="AJ166" s="3169"/>
      <c r="AK166" s="3169"/>
      <c r="AL166" s="3169"/>
      <c r="AM166" s="3169"/>
      <c r="AN166" s="3169"/>
      <c r="AO166" s="3169"/>
      <c r="AP166" s="3169"/>
      <c r="AQ166" s="3169"/>
      <c r="AR166" s="3169"/>
    </row>
    <row r="167" spans="1:44" ht="13.5" customHeight="1" thickBot="1">
      <c r="A167" s="635"/>
      <c r="B167" s="127"/>
      <c r="C167" s="422">
        <v>3</v>
      </c>
      <c r="D167" s="1085" t="s">
        <v>4435</v>
      </c>
      <c r="E167" s="127"/>
      <c r="F167" s="127"/>
      <c r="G167" s="127"/>
      <c r="H167" s="127"/>
      <c r="I167" s="127"/>
      <c r="J167" s="127"/>
      <c r="K167" s="127"/>
      <c r="L167" s="127"/>
      <c r="M167" s="127"/>
      <c r="N167" s="127"/>
      <c r="O167" s="127"/>
      <c r="P167" s="127"/>
      <c r="Q167" s="127"/>
      <c r="R167" s="127"/>
      <c r="S167" s="127"/>
      <c r="T167" s="1699" t="s">
        <v>763</v>
      </c>
      <c r="U167" s="451">
        <v>3</v>
      </c>
      <c r="V167" s="6647">
        <f>IF(Z167&lt;&gt;"",ROUND(Z167,0),IF(NOT($E$155),"",IF($E$155,SUM(V160,V162,V166),"")))</f>
        <v>0</v>
      </c>
      <c r="W167" s="6648"/>
      <c r="X167" s="6648"/>
      <c r="Y167" s="704"/>
      <c r="Z167" s="4256"/>
      <c r="AA167" s="452"/>
      <c r="AB167" s="452"/>
      <c r="AC167" s="452"/>
      <c r="AD167" s="452"/>
      <c r="AE167" s="4591">
        <f>IF(Z167&lt;&gt;"",ROUND(Z167,0),SUM(AE160,AE162,AE166))</f>
        <v>0</v>
      </c>
      <c r="AF167" s="452"/>
      <c r="AG167" s="452"/>
      <c r="AH167" s="452"/>
      <c r="AI167" s="3169"/>
      <c r="AJ167" s="3169"/>
      <c r="AK167" s="3169"/>
      <c r="AL167" s="3169"/>
      <c r="AM167" s="3169"/>
      <c r="AN167" s="3169"/>
      <c r="AO167" s="3169"/>
      <c r="AP167" s="3169"/>
      <c r="AQ167" s="3169"/>
      <c r="AR167" s="3169"/>
    </row>
    <row r="168" spans="1:44" ht="13.5" thickBot="1">
      <c r="A168" s="635"/>
      <c r="B168" s="24"/>
      <c r="C168" s="52">
        <v>4</v>
      </c>
      <c r="D168" s="24" t="str">
        <f>"Multiply line 3 by "&amp;TEXT(AC170,"0.00%")&amp;" ("&amp;TEXT(AC170,"0.0000")&amp;")."</f>
        <v>Multiply line 3 by 92.35% (0.9235).</v>
      </c>
      <c r="E168" s="41"/>
      <c r="F168" s="24"/>
      <c r="G168" s="24"/>
      <c r="H168" s="24"/>
      <c r="I168" s="74" t="str">
        <f>"If less than "&amp;TEXT(AC168,"$0")&amp;", you do not owe self-employment tax;"</f>
        <v>If less than $400, you do not owe self-employment tax;</v>
      </c>
      <c r="J168" s="24"/>
      <c r="K168" s="24"/>
      <c r="L168" s="24"/>
      <c r="M168" s="24"/>
      <c r="N168" s="24"/>
      <c r="O168" s="24"/>
      <c r="P168" s="74"/>
      <c r="Q168" s="24"/>
      <c r="R168" s="24"/>
      <c r="S168" s="24"/>
      <c r="T168" s="24"/>
      <c r="U168" s="57"/>
      <c r="V168" s="6649"/>
      <c r="W168" s="6650"/>
      <c r="X168" s="6650"/>
      <c r="Y168" s="82"/>
      <c r="Z168" s="859"/>
      <c r="AC168">
        <v>400</v>
      </c>
      <c r="AI168" s="3169"/>
      <c r="AJ168" s="3169"/>
      <c r="AK168" s="3169"/>
      <c r="AL168" s="3169"/>
      <c r="AM168" s="3169"/>
      <c r="AN168" s="3169"/>
      <c r="AO168" s="3169"/>
      <c r="AP168" s="3169"/>
      <c r="AQ168" s="3169"/>
      <c r="AR168" s="3169"/>
    </row>
    <row r="169" spans="1:44" ht="13.5" thickBot="1">
      <c r="A169" s="635"/>
      <c r="B169" s="24"/>
      <c r="C169" s="52"/>
      <c r="D169" s="74" t="s">
        <v>3252</v>
      </c>
      <c r="E169" s="41"/>
      <c r="F169" s="24"/>
      <c r="G169" s="24"/>
      <c r="H169" s="24"/>
      <c r="I169" s="24"/>
      <c r="J169" s="24"/>
      <c r="K169" s="24"/>
      <c r="L169" s="24"/>
      <c r="M169" s="24"/>
      <c r="N169" s="24"/>
      <c r="O169" s="24"/>
      <c r="P169" s="24"/>
      <c r="Q169" s="24"/>
      <c r="R169" s="24"/>
      <c r="S169" s="566"/>
      <c r="T169" s="566" t="s">
        <v>746</v>
      </c>
      <c r="U169" s="447">
        <v>4</v>
      </c>
      <c r="V169" s="6557">
        <f>IF(Z169&lt;&gt;"",ROUND(Z169,0),IF(NOT($E$155),"",ROUND((V167*AC170),0)))</f>
        <v>0</v>
      </c>
      <c r="W169" s="6558"/>
      <c r="X169" s="6558"/>
      <c r="Y169" s="82"/>
      <c r="Z169" s="4256"/>
      <c r="AE169" s="4133">
        <f>IF(Z169&lt;&gt;"",ROUND(Z169,0),ROUND((AE167*AC170),0))</f>
        <v>0</v>
      </c>
      <c r="AI169" s="3169"/>
      <c r="AJ169" s="3169"/>
      <c r="AK169" s="3169"/>
      <c r="AL169" s="3169"/>
      <c r="AM169" s="3169"/>
      <c r="AN169" s="3169"/>
      <c r="AO169" s="3169"/>
      <c r="AP169" s="3169"/>
      <c r="AQ169" s="3169"/>
      <c r="AR169" s="3169"/>
    </row>
    <row r="170" spans="1:44">
      <c r="A170" s="635"/>
      <c r="B170" s="24"/>
      <c r="C170" s="52"/>
      <c r="D170" s="74" t="s">
        <v>3253</v>
      </c>
      <c r="E170" s="41"/>
      <c r="F170" s="24"/>
      <c r="G170" s="24"/>
      <c r="H170" s="24" t="str">
        <f>TEXT(AC168,"$0")&amp;" due to Conservation Reserve Program payments on line 1b,"</f>
        <v>$400 due to Conservation Reserve Program payments on line 1b,</v>
      </c>
      <c r="I170" s="24"/>
      <c r="J170" s="24"/>
      <c r="K170" s="24"/>
      <c r="L170" s="24"/>
      <c r="M170" s="24"/>
      <c r="N170" s="24"/>
      <c r="O170" s="24"/>
      <c r="P170" s="24"/>
      <c r="Q170" s="24"/>
      <c r="R170" s="24"/>
      <c r="S170" s="566"/>
      <c r="T170" s="566"/>
      <c r="U170" s="460"/>
      <c r="V170" s="6640"/>
      <c r="W170" s="6641"/>
      <c r="X170" s="6641"/>
      <c r="Y170" s="82"/>
      <c r="Z170" s="452"/>
      <c r="AC170">
        <f>AC51</f>
        <v>0.92349999999999999</v>
      </c>
      <c r="AI170" s="3186"/>
      <c r="AJ170" s="3169"/>
      <c r="AK170" s="3169"/>
      <c r="AL170" s="3169"/>
      <c r="AM170" s="3169"/>
      <c r="AN170" s="3169"/>
      <c r="AO170" s="3169"/>
      <c r="AP170" s="3169"/>
      <c r="AQ170" s="3169"/>
      <c r="AR170" s="3169"/>
    </row>
    <row r="171" spans="1:44">
      <c r="A171" s="635"/>
      <c r="B171" s="24"/>
      <c r="C171" s="52"/>
      <c r="D171" s="74" t="s">
        <v>611</v>
      </c>
      <c r="E171" s="41"/>
      <c r="F171" s="24"/>
      <c r="G171" s="24"/>
      <c r="H171" s="24"/>
      <c r="I171" s="24"/>
      <c r="J171" s="24"/>
      <c r="K171" s="24"/>
      <c r="L171" s="24"/>
      <c r="M171" s="24"/>
      <c r="N171" s="24"/>
      <c r="O171" s="24"/>
      <c r="P171" s="24"/>
      <c r="Q171" s="24"/>
      <c r="R171" s="24"/>
      <c r="S171" s="566"/>
      <c r="T171" s="566"/>
      <c r="U171" s="460"/>
      <c r="V171" s="4137"/>
      <c r="W171" s="4138"/>
      <c r="X171" s="4138"/>
      <c r="Y171" s="82"/>
      <c r="Z171" s="452"/>
      <c r="AC171" s="4">
        <f>MaxSSTaxEarnings</f>
        <v>128400</v>
      </c>
      <c r="AI171" s="3169"/>
      <c r="AJ171" s="3169"/>
      <c r="AK171" s="3169"/>
      <c r="AL171" s="3169"/>
      <c r="AM171" s="3169"/>
      <c r="AN171" s="3169"/>
      <c r="AO171" s="3169"/>
      <c r="AP171" s="3169"/>
      <c r="AQ171" s="3169"/>
      <c r="AR171" s="3169"/>
    </row>
    <row r="172" spans="1:44">
      <c r="A172" s="635"/>
      <c r="B172" s="24"/>
      <c r="C172" s="52">
        <v>5</v>
      </c>
      <c r="D172" s="41" t="s">
        <v>142</v>
      </c>
      <c r="E172" s="41"/>
      <c r="F172" s="24"/>
      <c r="G172" s="24"/>
      <c r="H172" s="24"/>
      <c r="I172" s="24"/>
      <c r="J172" s="24"/>
      <c r="K172" s="24"/>
      <c r="L172" s="24"/>
      <c r="M172" s="24"/>
      <c r="N172" s="24"/>
      <c r="O172" s="24"/>
      <c r="P172" s="24"/>
      <c r="Q172" s="24"/>
      <c r="R172" s="24"/>
      <c r="S172" s="14">
        <f>MaxSSTaxEarnings</f>
        <v>128400</v>
      </c>
      <c r="T172" s="24"/>
      <c r="U172" s="450"/>
      <c r="V172" s="6642"/>
      <c r="W172" s="5690"/>
      <c r="X172" s="5690"/>
      <c r="Y172" s="82"/>
      <c r="Z172" s="452"/>
      <c r="AC172">
        <f>AC53</f>
        <v>2.9000000000000001E-2</v>
      </c>
      <c r="AI172" s="3169"/>
      <c r="AJ172" s="3169"/>
      <c r="AK172" s="3169"/>
      <c r="AL172" s="3169"/>
      <c r="AM172" s="3169"/>
      <c r="AN172" s="3169"/>
      <c r="AO172" s="3169"/>
      <c r="AP172" s="3169"/>
      <c r="AQ172" s="3169"/>
      <c r="AR172" s="3169"/>
    </row>
    <row r="173" spans="1:44" ht="15" customHeight="1">
      <c r="A173" s="635"/>
      <c r="B173" s="24"/>
      <c r="C173" s="52"/>
      <c r="D173" s="437" t="s">
        <v>132</v>
      </c>
      <c r="E173" s="74" t="str">
        <f>TEXT(AC171,"$0,000")&amp;" or less, multiply line 4 by "&amp;TEXT(AC174,"0.0%")&amp;" ("&amp;TEXT(AC174,"0.000")&amp;"). Enter the results"</f>
        <v>$128,400 or less, multiply line 4 by 15.3% (0.153). Enter the results</v>
      </c>
      <c r="F173" s="24"/>
      <c r="G173" s="24"/>
      <c r="H173" s="24"/>
      <c r="I173" s="24"/>
      <c r="J173" s="24"/>
      <c r="K173" s="24"/>
      <c r="L173" s="24"/>
      <c r="M173" s="60"/>
      <c r="N173" s="24"/>
      <c r="O173" s="24"/>
      <c r="P173" s="74" t="s">
        <v>3254</v>
      </c>
      <c r="Q173" s="24"/>
      <c r="R173" s="41"/>
      <c r="S173" s="14"/>
      <c r="T173" s="289"/>
      <c r="U173" s="460"/>
      <c r="V173" s="6643"/>
      <c r="W173" s="6644"/>
      <c r="X173" s="6644"/>
      <c r="Y173" s="82"/>
      <c r="Z173" s="452"/>
      <c r="AC173" s="4">
        <f>AC54</f>
        <v>15921.6</v>
      </c>
      <c r="AI173" s="3169"/>
      <c r="AJ173" s="3169"/>
      <c r="AK173" s="3169"/>
      <c r="AL173" s="3169"/>
      <c r="AM173" s="3169"/>
      <c r="AN173" s="3169"/>
      <c r="AO173" s="3169"/>
      <c r="AP173" s="3169"/>
      <c r="AQ173" s="3169"/>
      <c r="AR173" s="3169"/>
    </row>
    <row r="174" spans="1:44" ht="15" customHeight="1">
      <c r="A174" s="635"/>
      <c r="B174" s="24"/>
      <c r="C174" s="52"/>
      <c r="D174" s="437"/>
      <c r="E174" s="74" t="s">
        <v>3255</v>
      </c>
      <c r="F174" s="24"/>
      <c r="G174" s="24"/>
      <c r="H174" s="24"/>
      <c r="I174" s="24"/>
      <c r="J174" s="24"/>
      <c r="K174" s="24"/>
      <c r="L174" s="24"/>
      <c r="M174" s="24"/>
      <c r="N174" s="24"/>
      <c r="O174" s="24"/>
      <c r="P174" s="24"/>
      <c r="Q174" s="24"/>
      <c r="R174" s="41"/>
      <c r="S174" s="14"/>
      <c r="T174" s="24"/>
      <c r="U174" s="460"/>
      <c r="V174" s="6642"/>
      <c r="W174" s="5690"/>
      <c r="X174" s="5690"/>
      <c r="Y174" s="82"/>
      <c r="Z174" s="4164" t="str">
        <f>IF(AND($E$155,OR($V$162="",$V$162=0),$V$169&lt;$AC$168),"Do not file Sch. SE.","")</f>
        <v>Do not file Sch. SE.</v>
      </c>
      <c r="AC174">
        <f>AC55</f>
        <v>0.153</v>
      </c>
      <c r="AI174" s="3169"/>
      <c r="AJ174" s="3169"/>
      <c r="AK174" s="3169"/>
      <c r="AL174" s="3169"/>
      <c r="AM174" s="3169"/>
      <c r="AN174" s="3169"/>
      <c r="AO174" s="3169"/>
      <c r="AP174" s="3169"/>
      <c r="AQ174" s="3169"/>
      <c r="AR174" s="3169"/>
    </row>
    <row r="175" spans="1:44" ht="15" thickBot="1">
      <c r="A175" s="635"/>
      <c r="B175" s="24"/>
      <c r="C175" s="52"/>
      <c r="D175" s="437" t="s">
        <v>132</v>
      </c>
      <c r="E175" s="60" t="str">
        <f>"More than "&amp;TEXT(AC171,"$0,000")&amp;", multiply line 4 by "&amp;TEXT(AC172,"0.0%")&amp;" ("&amp;TEXT(AC172,"0.000")&amp;"). Then, add "&amp;TEXT(AC173,"$0,000.00")&amp;" to the result."</f>
        <v>More than $128,400, multiply line 4 by 2.9% (0.029). Then, add $15,921.60 to the result.</v>
      </c>
      <c r="F175" s="24"/>
      <c r="G175" s="24"/>
      <c r="H175" s="24"/>
      <c r="I175" s="24"/>
      <c r="J175" s="24"/>
      <c r="K175" s="24"/>
      <c r="L175" s="24"/>
      <c r="M175" s="24"/>
      <c r="N175" s="24"/>
      <c r="O175" s="24"/>
      <c r="P175" s="24"/>
      <c r="Q175" s="24"/>
      <c r="R175" s="4161"/>
      <c r="S175" s="4162"/>
      <c r="T175" s="4163"/>
      <c r="U175" s="450"/>
      <c r="V175" s="6645" t="str">
        <f>IF(AND($E$155,OR(V162="",V162=0),V169&lt;AC168),"Stop.","")</f>
        <v>Stop.</v>
      </c>
      <c r="W175" s="6646"/>
      <c r="X175" s="6646"/>
      <c r="Y175" s="82"/>
      <c r="Z175" s="452"/>
      <c r="AI175" s="3169"/>
      <c r="AJ175" s="3169"/>
      <c r="AK175" s="3169"/>
      <c r="AL175" s="3169"/>
      <c r="AM175" s="3169"/>
      <c r="AN175" s="3169"/>
      <c r="AO175" s="3169"/>
      <c r="AP175" s="3169"/>
      <c r="AQ175" s="3169"/>
      <c r="AR175" s="3169"/>
    </row>
    <row r="176" spans="1:44" ht="13.5" thickBot="1">
      <c r="A176" s="635"/>
      <c r="B176" s="24"/>
      <c r="C176" s="52"/>
      <c r="D176" s="52"/>
      <c r="E176" s="60" t="s">
        <v>3256</v>
      </c>
      <c r="F176" s="24"/>
      <c r="G176" s="24"/>
      <c r="H176" s="24"/>
      <c r="I176" s="24"/>
      <c r="J176" s="41"/>
      <c r="K176" s="24"/>
      <c r="L176" s="24"/>
      <c r="M176" s="24"/>
      <c r="N176" s="24"/>
      <c r="O176" s="24"/>
      <c r="P176" s="24"/>
      <c r="Q176" s="24"/>
      <c r="R176" s="24"/>
      <c r="S176" s="7"/>
      <c r="T176" s="1699" t="s">
        <v>963</v>
      </c>
      <c r="U176" s="447">
        <v>5</v>
      </c>
      <c r="V176" s="6557" t="str">
        <f>IF(Z176&lt;&gt;"",ROUND(Z176,0),IF(NOT($E$155),"",IF(AND($E$155,OR(V162="",V162=0),V169&lt;AC168),"",IF(V169&lt;AC171,ROUND((V169*AC174),0),ROUND(SUM((V169*AC172),AC173),0)))))</f>
        <v/>
      </c>
      <c r="W176" s="6558"/>
      <c r="X176" s="6558"/>
      <c r="Y176" s="82"/>
      <c r="Z176" s="4256"/>
      <c r="AE176" s="4134">
        <f>IF(Z176&lt;&gt;"",ROUND(Z176,0),IF(AE169&lt;AC168,0,IF(AE169&lt;AC171,ROUND((AE169*AC174),0),ROUND(SUM((AE169*AC172),AC173),0))))</f>
        <v>0</v>
      </c>
      <c r="AI176" s="3169"/>
      <c r="AJ176" s="3169"/>
      <c r="AK176" s="3169"/>
      <c r="AL176" s="3169"/>
      <c r="AM176" s="3169"/>
      <c r="AN176" s="3169"/>
      <c r="AO176" s="3169"/>
      <c r="AP176" s="3169"/>
      <c r="AQ176" s="3169"/>
      <c r="AR176" s="3169"/>
    </row>
    <row r="177" spans="1:44">
      <c r="A177" s="635"/>
      <c r="B177" s="24"/>
      <c r="C177" s="52">
        <v>6</v>
      </c>
      <c r="D177" s="286" t="s">
        <v>985</v>
      </c>
      <c r="E177" s="24"/>
      <c r="F177" s="24"/>
      <c r="G177" s="24"/>
      <c r="H177" s="24"/>
      <c r="I177" s="24"/>
      <c r="J177" s="24"/>
      <c r="K177" s="24"/>
      <c r="L177" s="24"/>
      <c r="M177" s="24"/>
      <c r="N177" s="24"/>
      <c r="O177" s="24"/>
      <c r="P177" s="450"/>
      <c r="Q177" s="6603"/>
      <c r="R177" s="5601"/>
      <c r="S177" s="5601"/>
      <c r="T177" s="5602"/>
      <c r="U177" s="6634"/>
      <c r="V177" s="5849"/>
      <c r="W177" s="5849"/>
      <c r="X177" s="5849"/>
      <c r="Y177" s="82"/>
      <c r="Z177" s="452"/>
      <c r="AI177" s="3169"/>
      <c r="AJ177" s="3169"/>
      <c r="AK177" s="3169"/>
      <c r="AL177" s="3169"/>
      <c r="AM177" s="3169"/>
      <c r="AN177" s="3169"/>
      <c r="AO177" s="3169"/>
      <c r="AP177" s="3169"/>
      <c r="AQ177" s="3169"/>
      <c r="AR177" s="3169"/>
    </row>
    <row r="178" spans="1:44" ht="13.5" thickBot="1">
      <c r="A178" s="635"/>
      <c r="B178" s="24"/>
      <c r="C178" s="52"/>
      <c r="D178" s="74" t="str">
        <f>"Multiply line 5 by "&amp;TEXT(Q178,"0%")&amp;" ("&amp;TEXT(Q178,"0.00")&amp;"). Enter the result here and on"</f>
        <v>Multiply line 5 by 50% (0.50). Enter the result here and on</v>
      </c>
      <c r="E178" s="74"/>
      <c r="F178" s="24"/>
      <c r="G178" s="24"/>
      <c r="H178" s="24"/>
      <c r="I178" s="24"/>
      <c r="J178" s="24"/>
      <c r="K178" s="24"/>
      <c r="L178" s="24"/>
      <c r="M178" s="25" t="s">
        <v>331</v>
      </c>
      <c r="N178" s="24"/>
      <c r="O178" s="24"/>
      <c r="P178" s="450"/>
      <c r="Q178" s="6635">
        <v>0.5</v>
      </c>
      <c r="R178" s="6583"/>
      <c r="S178" s="6583"/>
      <c r="T178" s="6584"/>
      <c r="U178" s="82"/>
      <c r="V178" s="82"/>
      <c r="W178" s="82"/>
      <c r="X178" s="82"/>
      <c r="Y178" s="82"/>
      <c r="Z178" s="452"/>
      <c r="AI178" s="3169"/>
      <c r="AJ178" s="3169"/>
      <c r="AK178" s="3169"/>
      <c r="AL178" s="3169"/>
      <c r="AM178" s="3169"/>
      <c r="AN178" s="3169"/>
      <c r="AO178" s="3169"/>
      <c r="AP178" s="3169"/>
      <c r="AQ178" s="3169"/>
      <c r="AR178" s="3169"/>
    </row>
    <row r="179" spans="1:44" ht="13.5" thickBot="1">
      <c r="A179" s="635"/>
      <c r="B179" s="39"/>
      <c r="C179" s="454"/>
      <c r="D179" s="1697" t="s">
        <v>3257</v>
      </c>
      <c r="E179" s="1009"/>
      <c r="F179" s="1009"/>
      <c r="G179" s="39"/>
      <c r="H179" s="39"/>
      <c r="I179" s="39"/>
      <c r="J179" s="39"/>
      <c r="K179" s="39"/>
      <c r="L179" s="39"/>
      <c r="M179" s="39"/>
      <c r="N179" s="39"/>
      <c r="O179" s="1698" t="s">
        <v>3258</v>
      </c>
      <c r="P179" s="935">
        <v>6</v>
      </c>
      <c r="Q179" s="6636" t="str">
        <f>IF(Z179&lt;&gt;"",ROUND(Z179,0),IF(OR(NOT($E$155),V175="Stop."),"",IF(OR(NOT($E$155),V169&lt;AC168),0,ROUND(V176*Q178,0))))</f>
        <v/>
      </c>
      <c r="R179" s="6637"/>
      <c r="S179" s="6637"/>
      <c r="T179" s="6638"/>
      <c r="U179" s="6639"/>
      <c r="V179" s="5772"/>
      <c r="W179" s="5772"/>
      <c r="X179" s="5772"/>
      <c r="Y179" s="82"/>
      <c r="Z179" s="4256"/>
      <c r="AI179" s="3169"/>
      <c r="AJ179" s="3169"/>
      <c r="AK179" s="3169"/>
      <c r="AL179" s="3169"/>
      <c r="AM179" s="3169"/>
      <c r="AN179" s="3169"/>
      <c r="AO179" s="3169"/>
      <c r="AP179" s="3169"/>
      <c r="AQ179" s="3169"/>
      <c r="AR179" s="3169"/>
    </row>
    <row r="180" spans="1:44" s="1016" customFormat="1">
      <c r="A180" s="1010"/>
      <c r="B180" s="1011"/>
      <c r="C180" s="1222" t="s">
        <v>564</v>
      </c>
      <c r="D180" s="1012"/>
      <c r="E180" s="1011"/>
      <c r="F180" s="1011"/>
      <c r="G180" s="1011"/>
      <c r="H180" s="1011"/>
      <c r="I180" s="1011"/>
      <c r="J180" s="1011"/>
      <c r="K180" s="1011"/>
      <c r="L180" s="1011"/>
      <c r="M180" s="1011"/>
      <c r="N180" s="1011"/>
      <c r="O180" s="1011"/>
      <c r="P180" s="1011"/>
      <c r="Q180" s="1221" t="s">
        <v>181</v>
      </c>
      <c r="R180" s="1013"/>
      <c r="S180" s="1011"/>
      <c r="T180" s="1011"/>
      <c r="U180" s="1011"/>
      <c r="V180" s="1011"/>
      <c r="W180" s="1011"/>
      <c r="X180" s="1223" t="str">
        <f>"Schedule SE (Form 1040) "&amp;TaxYear</f>
        <v>Schedule SE (Form 1040) 2018</v>
      </c>
      <c r="Y180" s="1014"/>
      <c r="Z180" s="1015"/>
      <c r="AH180"/>
      <c r="AI180" s="3169"/>
      <c r="AJ180" s="3169"/>
      <c r="AK180" s="3169"/>
      <c r="AL180" s="3169"/>
      <c r="AM180" s="3169"/>
      <c r="AN180" s="3169"/>
      <c r="AO180" s="3169"/>
      <c r="AP180" s="3169"/>
      <c r="AQ180" s="3169"/>
      <c r="AR180" s="3169"/>
    </row>
    <row r="181" spans="1:44" ht="16.5" thickBot="1">
      <c r="A181" s="635"/>
      <c r="B181" s="48" t="str">
        <f>"Schedule SE (Form 1040) "&amp;TaxYear</f>
        <v>Schedule SE (Form 1040) 2018</v>
      </c>
      <c r="C181" s="351"/>
      <c r="D181" s="351"/>
      <c r="E181" s="39"/>
      <c r="F181" s="39"/>
      <c r="G181" s="39"/>
      <c r="H181" s="39"/>
      <c r="I181" s="39"/>
      <c r="J181" s="39"/>
      <c r="K181" s="39"/>
      <c r="L181" s="39"/>
      <c r="M181" s="39"/>
      <c r="N181" s="39"/>
      <c r="O181" s="39"/>
      <c r="P181" s="39"/>
      <c r="Q181" s="30" t="s">
        <v>550</v>
      </c>
      <c r="R181" s="456">
        <v>17</v>
      </c>
      <c r="S181" s="39"/>
      <c r="T181" s="39"/>
      <c r="U181" s="39"/>
      <c r="V181" s="39"/>
      <c r="W181" s="39"/>
      <c r="X181" s="457" t="s">
        <v>182</v>
      </c>
      <c r="Y181" s="82"/>
      <c r="Z181" s="452"/>
      <c r="AI181" s="3169"/>
      <c r="AJ181" s="3169"/>
      <c r="AK181" s="3169"/>
      <c r="AL181" s="3169"/>
      <c r="AM181" s="3169"/>
      <c r="AN181" s="3169"/>
      <c r="AO181" s="3169"/>
      <c r="AP181" s="3169"/>
      <c r="AQ181" s="3169"/>
      <c r="AR181" s="3169"/>
    </row>
    <row r="182" spans="1:44" ht="12" customHeight="1">
      <c r="A182" s="635"/>
      <c r="B182" s="60" t="s">
        <v>536</v>
      </c>
      <c r="C182" s="60"/>
      <c r="D182" s="60"/>
      <c r="E182" s="60"/>
      <c r="F182" s="24"/>
      <c r="G182" s="24"/>
      <c r="H182" s="24"/>
      <c r="I182" s="24"/>
      <c r="J182" s="24"/>
      <c r="K182" s="24"/>
      <c r="L182" s="321"/>
      <c r="M182" s="321"/>
      <c r="N182" s="321"/>
      <c r="O182" s="435"/>
      <c r="P182" s="6621" t="s">
        <v>754</v>
      </c>
      <c r="Q182" s="6622"/>
      <c r="R182" s="6622"/>
      <c r="S182" s="6622"/>
      <c r="T182" s="6623"/>
      <c r="U182" s="6625">
        <f>IF(U125&lt;&gt;"",U125,"")</f>
        <v>0</v>
      </c>
      <c r="V182" s="6626"/>
      <c r="W182" s="6626"/>
      <c r="X182" s="6626"/>
      <c r="Y182" s="82"/>
      <c r="Z182" s="452"/>
      <c r="AI182" s="3206"/>
      <c r="AJ182" s="3206"/>
      <c r="AK182" s="3206"/>
      <c r="AL182" s="3206"/>
      <c r="AM182" s="3206"/>
      <c r="AN182" s="3206"/>
      <c r="AO182" s="3206"/>
      <c r="AP182" s="3206"/>
      <c r="AQ182" s="3206"/>
      <c r="AR182" s="3206"/>
    </row>
    <row r="183" spans="1:44" ht="14.25" customHeight="1">
      <c r="A183" s="635"/>
      <c r="B183" s="6629" t="str">
        <f>IF(B126&lt;&gt;"",B126,"")</f>
        <v xml:space="preserve"> </v>
      </c>
      <c r="C183" s="6630"/>
      <c r="D183" s="6630"/>
      <c r="E183" s="6630"/>
      <c r="F183" s="6630"/>
      <c r="G183" s="6630"/>
      <c r="H183" s="6630"/>
      <c r="I183" s="6630"/>
      <c r="J183" s="6630"/>
      <c r="K183" s="6630"/>
      <c r="L183" s="6630"/>
      <c r="M183" s="6630"/>
      <c r="N183" s="6630"/>
      <c r="O183" s="6631"/>
      <c r="P183" s="6624"/>
      <c r="Q183" s="5416"/>
      <c r="R183" s="5416"/>
      <c r="S183" s="5416"/>
      <c r="T183" s="5417"/>
      <c r="U183" s="6627"/>
      <c r="V183" s="6628"/>
      <c r="W183" s="6628"/>
      <c r="X183" s="6628"/>
      <c r="Y183" s="82"/>
      <c r="Z183" s="452"/>
      <c r="AI183" s="3169"/>
      <c r="AJ183" s="3169"/>
      <c r="AK183" s="3169"/>
      <c r="AL183" s="3169"/>
      <c r="AM183" s="3169"/>
      <c r="AN183" s="3169"/>
      <c r="AO183" s="3169"/>
      <c r="AP183" s="3169"/>
      <c r="AQ183" s="3169"/>
      <c r="AR183" s="3169"/>
    </row>
    <row r="184" spans="1:44" ht="17.25" customHeight="1">
      <c r="A184" s="635"/>
      <c r="B184" s="1220" t="s">
        <v>183</v>
      </c>
      <c r="C184" s="458"/>
      <c r="D184" s="458"/>
      <c r="E184" s="458"/>
      <c r="F184" s="458"/>
      <c r="G184" s="458"/>
      <c r="H184" s="458"/>
      <c r="I184" s="458"/>
      <c r="J184" s="458"/>
      <c r="K184" s="458"/>
      <c r="L184" s="458"/>
      <c r="M184" s="458"/>
      <c r="N184" s="458"/>
      <c r="O184" s="458"/>
      <c r="P184" s="458"/>
      <c r="Q184" s="458"/>
      <c r="R184" s="458"/>
      <c r="S184" s="458"/>
      <c r="T184" s="458"/>
      <c r="U184" s="458"/>
      <c r="V184" s="458"/>
      <c r="W184" s="458"/>
      <c r="X184" s="458"/>
      <c r="Y184" s="705"/>
      <c r="Z184" s="462"/>
      <c r="AI184" s="3169"/>
      <c r="AJ184" s="3169"/>
      <c r="AK184" s="3169"/>
      <c r="AL184" s="3169"/>
      <c r="AM184" s="3169"/>
      <c r="AN184" s="3169"/>
      <c r="AO184" s="3169"/>
      <c r="AP184" s="3169"/>
      <c r="AQ184" s="3169"/>
      <c r="AR184" s="3169"/>
    </row>
    <row r="185" spans="1:44" ht="16.5" customHeight="1">
      <c r="A185" s="635"/>
      <c r="B185" s="1087"/>
      <c r="C185" s="1088" t="s">
        <v>58</v>
      </c>
      <c r="D185" s="1089"/>
      <c r="E185" s="1090" t="s">
        <v>184</v>
      </c>
      <c r="F185" s="1091"/>
      <c r="G185" s="1091"/>
      <c r="H185" s="1091"/>
      <c r="I185" s="1091"/>
      <c r="J185" s="1091"/>
      <c r="K185" s="1091"/>
      <c r="L185" s="1091"/>
      <c r="M185" s="1091"/>
      <c r="N185" s="1091"/>
      <c r="O185" s="1091"/>
      <c r="P185" s="1091"/>
      <c r="Q185" s="1091"/>
      <c r="R185" s="1091"/>
      <c r="S185" s="1091"/>
      <c r="T185" s="1091"/>
      <c r="U185" s="1091"/>
      <c r="V185" s="1091"/>
      <c r="W185" s="1091"/>
      <c r="X185" s="1091"/>
      <c r="Y185" s="82"/>
      <c r="Z185" s="452"/>
      <c r="AI185" s="3169"/>
      <c r="AJ185" s="3169"/>
      <c r="AK185" s="3169"/>
      <c r="AL185" s="3169"/>
      <c r="AM185" s="3169"/>
      <c r="AN185" s="3169"/>
      <c r="AO185" s="3169"/>
      <c r="AP185" s="3169"/>
      <c r="AQ185" s="3169"/>
      <c r="AR185" s="3169"/>
    </row>
    <row r="186" spans="1:44">
      <c r="A186" s="635"/>
      <c r="B186" s="25" t="s">
        <v>4070</v>
      </c>
      <c r="C186" s="41"/>
      <c r="D186" s="41"/>
      <c r="E186" s="24"/>
      <c r="F186" s="24"/>
      <c r="G186" s="24"/>
      <c r="H186" s="24"/>
      <c r="I186" s="24"/>
      <c r="J186" s="24"/>
      <c r="K186" s="24"/>
      <c r="L186" s="24"/>
      <c r="M186" s="24"/>
      <c r="N186" s="24"/>
      <c r="O186" s="24"/>
      <c r="P186" s="24"/>
      <c r="Q186" s="24"/>
      <c r="R186" s="24"/>
      <c r="S186" s="24"/>
      <c r="T186" s="24"/>
      <c r="U186" s="24"/>
      <c r="V186" s="24"/>
      <c r="W186" s="24"/>
      <c r="X186" s="24"/>
      <c r="Y186" s="82"/>
      <c r="Z186" s="452"/>
      <c r="AI186" s="3169"/>
      <c r="AJ186" s="3169"/>
      <c r="AK186" s="3169"/>
      <c r="AL186" s="3169"/>
      <c r="AM186" s="3169"/>
      <c r="AN186" s="3169"/>
      <c r="AO186" s="3169"/>
      <c r="AP186" s="3169"/>
      <c r="AQ186" s="3169"/>
      <c r="AR186" s="3169"/>
    </row>
    <row r="187" spans="1:44">
      <c r="A187" s="635"/>
      <c r="B187" s="74" t="s">
        <v>4071</v>
      </c>
      <c r="C187" s="41"/>
      <c r="D187" s="41"/>
      <c r="E187" s="24"/>
      <c r="F187" s="24"/>
      <c r="G187" s="24"/>
      <c r="H187" s="24"/>
      <c r="I187" s="24"/>
      <c r="J187" s="24"/>
      <c r="K187" s="24"/>
      <c r="L187" s="24"/>
      <c r="M187" s="24"/>
      <c r="N187" s="24"/>
      <c r="O187" s="24"/>
      <c r="P187" s="24"/>
      <c r="Q187" s="24"/>
      <c r="R187" s="24"/>
      <c r="S187" s="24"/>
      <c r="T187" s="24"/>
      <c r="U187" s="24"/>
      <c r="V187" s="24"/>
      <c r="W187" s="24"/>
      <c r="X187" s="24"/>
      <c r="Y187" s="82"/>
      <c r="Z187" s="452"/>
      <c r="AI187" s="3169"/>
      <c r="AJ187" s="3169"/>
      <c r="AK187" s="3169"/>
      <c r="AL187" s="3169"/>
      <c r="AM187" s="3169"/>
      <c r="AN187" s="3169"/>
      <c r="AO187" s="3169"/>
      <c r="AP187" s="3169"/>
      <c r="AQ187" s="3169"/>
      <c r="AR187" s="3169"/>
    </row>
    <row r="188" spans="1:44" ht="12" customHeight="1" thickBot="1">
      <c r="A188" s="635"/>
      <c r="B188" s="24"/>
      <c r="C188" s="41" t="s">
        <v>159</v>
      </c>
      <c r="D188" s="421" t="s">
        <v>50</v>
      </c>
      <c r="E188" s="24"/>
      <c r="F188" s="24"/>
      <c r="G188" s="24"/>
      <c r="H188" s="24"/>
      <c r="I188" s="24"/>
      <c r="J188" s="24"/>
      <c r="K188" s="24"/>
      <c r="L188" s="24"/>
      <c r="M188" s="24"/>
      <c r="N188" s="24"/>
      <c r="O188" s="24"/>
      <c r="P188" s="24"/>
      <c r="Q188" s="24"/>
      <c r="R188" s="24"/>
      <c r="S188" s="24"/>
      <c r="T188" s="24"/>
      <c r="U188" s="24"/>
      <c r="V188" s="24"/>
      <c r="W188" s="24"/>
      <c r="X188" s="24"/>
      <c r="Y188" s="82"/>
      <c r="Z188" s="452"/>
      <c r="AI188" s="3169"/>
      <c r="AJ188" s="3169"/>
      <c r="AK188" s="3169"/>
      <c r="AL188" s="3169"/>
      <c r="AM188" s="3169"/>
      <c r="AN188" s="3169"/>
      <c r="AO188" s="3169"/>
      <c r="AP188" s="3169"/>
      <c r="AQ188" s="3169"/>
      <c r="AR188" s="3169"/>
    </row>
    <row r="189" spans="1:44" ht="12.75" customHeight="1" thickBot="1">
      <c r="A189" s="635"/>
      <c r="B189" s="24"/>
      <c r="C189" s="41"/>
      <c r="D189" s="421" t="s">
        <v>548</v>
      </c>
      <c r="E189" s="24"/>
      <c r="F189" s="24"/>
      <c r="G189" s="24"/>
      <c r="H189" s="24"/>
      <c r="I189" s="24"/>
      <c r="J189" s="24"/>
      <c r="K189" s="24"/>
      <c r="L189" s="24"/>
      <c r="M189" s="24"/>
      <c r="N189" s="24"/>
      <c r="O189" s="24"/>
      <c r="P189" s="24"/>
      <c r="Q189" s="24"/>
      <c r="R189" s="24"/>
      <c r="S189" s="24"/>
      <c r="T189" s="24"/>
      <c r="U189" s="24"/>
      <c r="V189" s="566" t="s">
        <v>747</v>
      </c>
      <c r="W189" s="1449"/>
      <c r="X189" s="24"/>
      <c r="Y189" s="82"/>
      <c r="Z189" s="452"/>
      <c r="AI189" s="3169"/>
      <c r="AJ189" s="3169"/>
      <c r="AK189" s="3169"/>
      <c r="AL189" s="3169"/>
      <c r="AM189" s="3169"/>
      <c r="AN189" s="3169"/>
      <c r="AO189" s="3169"/>
      <c r="AP189" s="3169"/>
      <c r="AQ189" s="3169"/>
      <c r="AR189" s="3169"/>
    </row>
    <row r="190" spans="1:44" ht="12.75" customHeight="1" thickBot="1">
      <c r="A190" s="635"/>
      <c r="B190" s="24"/>
      <c r="C190" s="52" t="s">
        <v>14</v>
      </c>
      <c r="D190" s="74" t="s">
        <v>748</v>
      </c>
      <c r="E190" s="24"/>
      <c r="F190" s="24"/>
      <c r="G190" s="24"/>
      <c r="H190" s="24"/>
      <c r="I190" s="24"/>
      <c r="J190" s="24"/>
      <c r="K190" s="24"/>
      <c r="L190" s="24"/>
      <c r="M190" s="24"/>
      <c r="N190" s="24"/>
      <c r="O190" s="24"/>
      <c r="P190" s="24"/>
      <c r="Q190" s="24"/>
      <c r="R190" s="24"/>
      <c r="S190" s="24"/>
      <c r="T190" s="24"/>
      <c r="U190" s="24"/>
      <c r="V190" s="24"/>
      <c r="W190" s="24"/>
      <c r="X190" s="24"/>
      <c r="Y190" s="82"/>
      <c r="Z190" s="452"/>
      <c r="AI190" s="3169"/>
      <c r="AJ190" s="3169"/>
      <c r="AK190" s="3169"/>
      <c r="AL190" s="3169"/>
      <c r="AM190" s="3169"/>
      <c r="AN190" s="3169"/>
      <c r="AO190" s="3169"/>
      <c r="AP190" s="3169"/>
      <c r="AQ190" s="3169"/>
      <c r="AR190" s="3169"/>
    </row>
    <row r="191" spans="1:44" ht="12.75" customHeight="1" thickBot="1">
      <c r="A191" s="635"/>
      <c r="B191" s="127"/>
      <c r="C191" s="127"/>
      <c r="D191" s="1085" t="s">
        <v>749</v>
      </c>
      <c r="E191" s="127"/>
      <c r="F191" s="127"/>
      <c r="G191" s="127"/>
      <c r="H191" s="127"/>
      <c r="I191" s="127"/>
      <c r="J191" s="127"/>
      <c r="K191" s="127"/>
      <c r="L191" s="127"/>
      <c r="M191" s="127"/>
      <c r="N191" s="127"/>
      <c r="O191" s="127"/>
      <c r="P191" s="127"/>
      <c r="Q191" s="127"/>
      <c r="R191" s="127"/>
      <c r="S191" s="127"/>
      <c r="T191" s="566" t="s">
        <v>750</v>
      </c>
      <c r="U191" s="567" t="s">
        <v>14</v>
      </c>
      <c r="V191" s="6590" t="str">
        <f>IF(Z191&lt;&gt;"",ROUND(Z191,0),IF(AND(V155,SchF_SchSE_2),FarmProfitNet,""))</f>
        <v/>
      </c>
      <c r="W191" s="6591"/>
      <c r="X191" s="6591"/>
      <c r="Y191" s="704"/>
      <c r="Z191" s="4256"/>
      <c r="AE191" s="1056">
        <f>IF(Z191&lt;&gt;"",ROUND(Z191,0),FarmProfitNet)</f>
        <v>0</v>
      </c>
      <c r="AI191" s="3169"/>
      <c r="AJ191" s="3169"/>
      <c r="AK191" s="3169"/>
      <c r="AL191" s="3169"/>
      <c r="AM191" s="3169"/>
      <c r="AN191" s="3169"/>
      <c r="AO191" s="3169"/>
      <c r="AP191" s="3169"/>
      <c r="AQ191" s="3169"/>
      <c r="AR191" s="3169"/>
    </row>
    <row r="192" spans="1:44" ht="12.75" customHeight="1" thickBot="1">
      <c r="A192" s="635"/>
      <c r="B192" s="127"/>
      <c r="C192" s="52" t="s">
        <v>54</v>
      </c>
      <c r="D192" s="288" t="s">
        <v>529</v>
      </c>
      <c r="E192" s="127"/>
      <c r="F192" s="127"/>
      <c r="G192" s="127"/>
      <c r="H192" s="127"/>
      <c r="I192" s="127"/>
      <c r="J192" s="127"/>
      <c r="K192" s="127"/>
      <c r="L192" s="127"/>
      <c r="M192" s="127"/>
      <c r="N192" s="127"/>
      <c r="O192" s="127"/>
      <c r="P192" s="127"/>
      <c r="Q192" s="127"/>
      <c r="R192" s="127"/>
      <c r="S192" s="127"/>
      <c r="T192" s="566"/>
      <c r="U192" s="1007"/>
      <c r="V192" s="1008"/>
      <c r="W192" s="1006"/>
      <c r="X192" s="1006"/>
      <c r="Y192" s="704"/>
      <c r="Z192" s="461"/>
      <c r="AA192" s="1408"/>
      <c r="AB192" s="1408"/>
      <c r="AC192" s="1408"/>
      <c r="AD192" s="1408"/>
      <c r="AE192" s="1408"/>
      <c r="AF192" s="1408"/>
      <c r="AG192" s="1408"/>
      <c r="AH192" s="1408"/>
      <c r="AI192" s="2928"/>
    </row>
    <row r="193" spans="1:37" ht="12.75" customHeight="1" thickBot="1">
      <c r="A193" s="635"/>
      <c r="B193" s="127"/>
      <c r="C193" s="52"/>
      <c r="D193" s="502" t="s">
        <v>3250</v>
      </c>
      <c r="E193" s="127"/>
      <c r="F193" s="127"/>
      <c r="G193" s="127"/>
      <c r="H193" s="127"/>
      <c r="I193" s="127"/>
      <c r="J193" s="127"/>
      <c r="K193" s="127"/>
      <c r="L193" s="127"/>
      <c r="M193" s="127"/>
      <c r="N193" s="127"/>
      <c r="O193" s="127"/>
      <c r="P193" s="127"/>
      <c r="Q193" s="127"/>
      <c r="R193" s="127"/>
      <c r="S193" s="127"/>
      <c r="T193" s="566"/>
      <c r="U193" s="463" t="s">
        <v>17</v>
      </c>
      <c r="V193" s="6632" t="str">
        <f>IF(Z193&lt;&gt;"",ROUND(Z193,0),IF(NOT($V$155),"",-'Sch. F'!Y143))</f>
        <v/>
      </c>
      <c r="W193" s="6633"/>
      <c r="X193" s="6633"/>
      <c r="Y193" s="704"/>
      <c r="Z193" s="4256"/>
      <c r="AA193" s="1408"/>
      <c r="AB193" s="5161"/>
      <c r="AC193" s="1408"/>
      <c r="AD193" s="1408"/>
      <c r="AE193" s="5162">
        <f>IF(Z193&lt;&gt;"",ROUND(Z193,0),-'Sch. F'!Y24)</f>
        <v>0</v>
      </c>
      <c r="AF193" s="2953" t="s">
        <v>2473</v>
      </c>
      <c r="AG193" s="1408"/>
      <c r="AH193" s="1408"/>
      <c r="AI193" s="2928"/>
    </row>
    <row r="194" spans="1:37" ht="12.75" customHeight="1">
      <c r="A194" s="635"/>
      <c r="B194" s="24"/>
      <c r="C194" s="52">
        <v>2</v>
      </c>
      <c r="D194" s="1224" t="s">
        <v>137</v>
      </c>
      <c r="E194" s="24"/>
      <c r="F194" s="24"/>
      <c r="G194" s="24"/>
      <c r="H194" s="24"/>
      <c r="I194" s="24"/>
      <c r="J194" s="24"/>
      <c r="K194" s="24"/>
      <c r="L194" s="24"/>
      <c r="M194" s="24"/>
      <c r="N194" s="24"/>
      <c r="O194" s="24"/>
      <c r="P194" s="24"/>
      <c r="Q194" s="24"/>
      <c r="R194" s="24"/>
      <c r="S194" s="24"/>
      <c r="T194" s="24"/>
      <c r="U194" s="450"/>
      <c r="V194" s="6617" t="str">
        <f>IF(AND($V$74&lt;&gt;"",$V$74&gt;0),"Please enter the","")</f>
        <v/>
      </c>
      <c r="W194" s="6618"/>
      <c r="X194" s="6618"/>
      <c r="Y194" s="82"/>
      <c r="Z194" s="3063" t="str">
        <f>IF(AND($V$155,SchC_StatutoryEmp_2&lt;&gt;""),"See instructions:","")</f>
        <v/>
      </c>
      <c r="AA194" s="1408"/>
      <c r="AB194" s="1408"/>
      <c r="AC194" s="1408"/>
      <c r="AD194" s="1408"/>
      <c r="AE194" s="1408"/>
      <c r="AF194" s="2953" t="s">
        <v>2472</v>
      </c>
      <c r="AG194" s="1408"/>
      <c r="AH194" s="1408"/>
      <c r="AI194" s="2928"/>
    </row>
    <row r="195" spans="1:37" ht="12.75" customHeight="1">
      <c r="A195" s="635"/>
      <c r="B195" s="24"/>
      <c r="C195" s="24"/>
      <c r="D195" s="1224" t="s">
        <v>491</v>
      </c>
      <c r="E195" s="24"/>
      <c r="F195" s="24"/>
      <c r="G195" s="24"/>
      <c r="H195" s="24"/>
      <c r="I195" s="24"/>
      <c r="J195" s="24"/>
      <c r="K195" s="24"/>
      <c r="L195" s="24"/>
      <c r="M195" s="24"/>
      <c r="N195" s="24"/>
      <c r="O195" s="24"/>
      <c r="P195" s="24"/>
      <c r="Q195" s="24"/>
      <c r="R195" s="24"/>
      <c r="S195" s="24"/>
      <c r="T195" s="24"/>
      <c r="U195" s="450"/>
      <c r="V195" s="6619" t="str">
        <f>IF(AND($V$74&lt;&gt;"",$V$74&gt;0),"amount for line 1b","")</f>
        <v/>
      </c>
      <c r="W195" s="6620"/>
      <c r="X195" s="6620"/>
      <c r="Y195" s="82"/>
      <c r="Z195" s="3062" t="str">
        <f>IF(AND($V$155,SchC_StatutoryEmp_2&lt;&gt;""),"Statuatory employee","")</f>
        <v/>
      </c>
      <c r="AA195" s="452"/>
      <c r="AB195" s="452"/>
      <c r="AE195" s="4133"/>
      <c r="AF195" s="452"/>
      <c r="AG195" s="452"/>
      <c r="AH195" s="452"/>
      <c r="AI195" s="2928"/>
    </row>
    <row r="196" spans="1:37" ht="12.75" customHeight="1">
      <c r="A196" s="635"/>
      <c r="B196" s="24"/>
      <c r="C196" s="24"/>
      <c r="D196" s="1224" t="s">
        <v>742</v>
      </c>
      <c r="E196" s="24"/>
      <c r="F196" s="24"/>
      <c r="G196" s="24"/>
      <c r="H196" s="24"/>
      <c r="I196" s="24"/>
      <c r="J196" s="24"/>
      <c r="K196" s="24"/>
      <c r="L196" s="24"/>
      <c r="M196" s="24"/>
      <c r="N196" s="24"/>
      <c r="O196" s="24"/>
      <c r="P196" s="24"/>
      <c r="Q196" s="24"/>
      <c r="R196" s="24"/>
      <c r="S196" s="24"/>
      <c r="T196" s="24"/>
      <c r="U196" s="450"/>
      <c r="V196" s="6619" t="str">
        <f>IF(AND($V$74&lt;&gt;"",$V$74&gt;0),"as a negative amount.","")</f>
        <v/>
      </c>
      <c r="W196" s="6620"/>
      <c r="X196" s="6620"/>
      <c r="Y196" s="82"/>
      <c r="Z196" s="3062" t="str">
        <f>IF(AND($V$155,SchC_StatutoryEmp_2&lt;&gt;""),"profit is not to be","")</f>
        <v/>
      </c>
      <c r="AA196" s="452"/>
      <c r="AB196" s="2115" t="s">
        <v>4142</v>
      </c>
      <c r="AC196" s="2104"/>
      <c r="AD196" s="2104"/>
      <c r="AE196" s="2104"/>
      <c r="AF196" s="2104"/>
      <c r="AG196" s="2105"/>
      <c r="AH196" s="452"/>
      <c r="AI196" s="2928"/>
    </row>
    <row r="197" spans="1:37" ht="12.75" customHeight="1" thickBot="1">
      <c r="A197" s="635"/>
      <c r="B197" s="24"/>
      <c r="C197" s="24"/>
      <c r="D197" s="1224" t="s">
        <v>986</v>
      </c>
      <c r="E197" s="24"/>
      <c r="F197" s="24"/>
      <c r="G197" s="24"/>
      <c r="H197" s="24"/>
      <c r="I197" s="24"/>
      <c r="J197" s="24"/>
      <c r="K197" s="24"/>
      <c r="L197" s="24"/>
      <c r="M197" s="24"/>
      <c r="N197" s="24"/>
      <c r="O197" s="24"/>
      <c r="P197" s="24"/>
      <c r="Q197" s="24"/>
      <c r="R197" s="24"/>
      <c r="S197" s="24"/>
      <c r="T197" s="24"/>
      <c r="U197" s="450"/>
      <c r="V197" s="1693"/>
      <c r="W197" s="60"/>
      <c r="X197" s="60"/>
      <c r="Y197" s="82"/>
      <c r="Z197" s="3062" t="str">
        <f>IF(AND($V$155,SchC_StatutoryEmp_2&lt;&gt;""),"included on Line 2.","")</f>
        <v/>
      </c>
      <c r="AA197" s="452"/>
      <c r="AB197" s="2870" t="s">
        <v>4138</v>
      </c>
      <c r="AC197" s="1408"/>
      <c r="AD197" s="1408"/>
      <c r="AE197" s="4591"/>
      <c r="AF197" s="1408"/>
      <c r="AG197" s="2107"/>
      <c r="AH197" s="452"/>
    </row>
    <row r="198" spans="1:37" ht="13.5" customHeight="1" thickBot="1">
      <c r="A198" s="635"/>
      <c r="B198" s="24"/>
      <c r="C198" s="24"/>
      <c r="D198" s="1224" t="s">
        <v>987</v>
      </c>
      <c r="E198" s="24"/>
      <c r="F198" s="24"/>
      <c r="G198" s="24"/>
      <c r="H198" s="24"/>
      <c r="I198" s="24"/>
      <c r="J198" s="24"/>
      <c r="K198" s="24"/>
      <c r="L198" s="24"/>
      <c r="M198" s="24"/>
      <c r="N198" s="24"/>
      <c r="O198" s="24"/>
      <c r="P198" s="24"/>
      <c r="Q198" s="24"/>
      <c r="R198" s="24"/>
      <c r="S198" s="24"/>
      <c r="T198" s="1699" t="s">
        <v>988</v>
      </c>
      <c r="U198" s="350">
        <v>2</v>
      </c>
      <c r="V198" s="6557" t="str">
        <f>IF(Z198&lt;&gt;"",Z198,IF(NOT($V$155),"",IF(AND(AF201&lt;&gt;"",SchC_StatutoryEmp_2=""),SUM(ROUND(AF201,0),SchC_ProfitLoss2),IF(AND(AF166&lt;&gt;"",SchC_StatutoryEmp_2=""),SUM(ROUND(AF166,0),SchC_ProfitLoss2),IF(SchC_StatutoryEmp_2="",SchC_ProfitLoss2,0)))))</f>
        <v/>
      </c>
      <c r="W198" s="6558"/>
      <c r="X198" s="6558"/>
      <c r="Y198" s="82"/>
      <c r="Z198" s="4256"/>
      <c r="AA198" s="452"/>
      <c r="AB198" s="2870" t="s">
        <v>4139</v>
      </c>
      <c r="AC198" s="1408"/>
      <c r="AD198" s="1408"/>
      <c r="AE198" s="1408">
        <f>IF(Z198&lt;&gt;"",ROUND(Z198,0),IF(AND(AF201&lt;&gt;"",SchC_StatutoryEmp_2=""),SUM(ROUND(AF201,0),SchC_ProfitLoss2),IF(AND(AF166&lt;&gt;"",SchC_StatutoryEmp_2=""),SUM(ROUND(AF166,0),SchC_ProfitLoss2),IF(SchC_StatutoryEmp_2="",SchC_ProfitLoss2,0))))</f>
        <v>0</v>
      </c>
      <c r="AF198" s="1766"/>
      <c r="AG198" s="2107"/>
      <c r="AH198" s="452"/>
    </row>
    <row r="199" spans="1:37" ht="13.5" customHeight="1" thickBot="1">
      <c r="A199" s="635"/>
      <c r="B199" s="24"/>
      <c r="C199" s="52">
        <v>3</v>
      </c>
      <c r="D199" s="74" t="s">
        <v>758</v>
      </c>
      <c r="E199" s="24"/>
      <c r="F199" s="24"/>
      <c r="G199" s="24"/>
      <c r="H199" s="24"/>
      <c r="I199" s="24"/>
      <c r="J199" s="24"/>
      <c r="K199" s="24"/>
      <c r="L199" s="24"/>
      <c r="M199" s="24"/>
      <c r="N199" s="24"/>
      <c r="O199" s="24"/>
      <c r="P199" s="24"/>
      <c r="Q199" s="24"/>
      <c r="R199" s="24"/>
      <c r="S199" s="1080"/>
      <c r="T199" s="1080" t="s">
        <v>759</v>
      </c>
      <c r="U199" s="350">
        <v>3</v>
      </c>
      <c r="V199" s="6590" t="str">
        <f>IF(Z199&lt;&gt;"",Z199,IF(NOT($V$155),"",SUM(V191,V193,V198)))</f>
        <v/>
      </c>
      <c r="W199" s="6591"/>
      <c r="X199" s="6591"/>
      <c r="Y199" s="82"/>
      <c r="Z199" s="4256"/>
      <c r="AA199" s="452"/>
      <c r="AB199" s="2870" t="s">
        <v>4141</v>
      </c>
      <c r="AC199" s="1408"/>
      <c r="AD199" s="1408"/>
      <c r="AE199" s="1408">
        <f>IF(Z199&lt;&gt;"",ROUND(Z199,0),SUM(AE191,AE193,AE198))</f>
        <v>0</v>
      </c>
      <c r="AF199" s="1766"/>
      <c r="AG199" s="2107"/>
      <c r="AH199" s="452"/>
    </row>
    <row r="200" spans="1:37" ht="13.5" customHeight="1" thickBot="1">
      <c r="A200" s="635"/>
      <c r="B200" s="24"/>
      <c r="C200" s="42" t="s">
        <v>128</v>
      </c>
      <c r="D200" s="24" t="str">
        <f>"If line 3 is more than zero, multiply line 3 by "&amp;TEXT(AC170,"0.00%")&amp;" ("&amp;TEXT(AC170,"0.0000")&amp;"). Otherwise, enter amount from line 3"</f>
        <v>If line 3 is more than zero, multiply line 3 by 92.35% (0.9235). Otherwise, enter amount from line 3</v>
      </c>
      <c r="E200" s="24"/>
      <c r="F200" s="24"/>
      <c r="G200" s="24"/>
      <c r="H200" s="24"/>
      <c r="I200" s="24"/>
      <c r="J200" s="24"/>
      <c r="K200" s="24"/>
      <c r="L200" s="24"/>
      <c r="M200" s="24"/>
      <c r="N200" s="24"/>
      <c r="O200" s="24"/>
      <c r="P200" s="24"/>
      <c r="Q200" s="24"/>
      <c r="R200" s="24"/>
      <c r="S200" s="24"/>
      <c r="T200" s="24"/>
      <c r="U200" s="350" t="s">
        <v>128</v>
      </c>
      <c r="V200" s="6590" t="str">
        <f>IF(NOT($V$155),"",IF(V199&gt;0,ROUND(V199*AC170,0),V199))</f>
        <v/>
      </c>
      <c r="W200" s="6591"/>
      <c r="X200" s="6591"/>
      <c r="Y200" s="82"/>
      <c r="Z200" s="532" t="str">
        <f>IF(OR($V$111&gt;$V$109,$V$117&gt;$V$115),"Error!","")</f>
        <v/>
      </c>
      <c r="AA200" s="452"/>
      <c r="AB200" s="2872" t="s">
        <v>4140</v>
      </c>
      <c r="AC200" s="2112"/>
      <c r="AD200" s="2112"/>
      <c r="AE200" s="2112">
        <f>IF(AE199&gt;0,ROUND(AE199*AC170,0),AE199)</f>
        <v>0</v>
      </c>
      <c r="AF200" s="2112"/>
      <c r="AG200" s="2113"/>
      <c r="AH200" s="452"/>
    </row>
    <row r="201" spans="1:37" ht="13.5" thickBot="1">
      <c r="A201" s="635"/>
      <c r="B201" s="24"/>
      <c r="C201" s="42"/>
      <c r="D201" s="60" t="s">
        <v>751</v>
      </c>
      <c r="E201" s="24"/>
      <c r="F201" s="24"/>
      <c r="G201" s="24"/>
      <c r="H201" s="24"/>
      <c r="I201" s="24"/>
      <c r="J201" s="24"/>
      <c r="K201" s="24"/>
      <c r="L201" s="24"/>
      <c r="M201" s="24"/>
      <c r="N201" s="24"/>
      <c r="O201" s="24"/>
      <c r="P201" s="24"/>
      <c r="Q201" s="24"/>
      <c r="R201" s="24"/>
      <c r="S201" s="24"/>
      <c r="T201" s="24"/>
      <c r="U201" s="1092"/>
      <c r="V201" s="1619"/>
      <c r="W201" s="1620"/>
      <c r="X201" s="1620"/>
      <c r="Y201" s="82"/>
      <c r="Z201" s="532"/>
      <c r="AA201" s="452"/>
      <c r="AB201" s="452"/>
      <c r="AE201" s="4133"/>
      <c r="AF201" s="4256"/>
      <c r="AG201" s="452"/>
      <c r="AH201" s="452"/>
    </row>
    <row r="202" spans="1:37">
      <c r="A202" s="635"/>
      <c r="B202" s="24"/>
      <c r="C202" s="42" t="s">
        <v>54</v>
      </c>
      <c r="D202" s="24" t="s">
        <v>136</v>
      </c>
      <c r="E202" s="24"/>
      <c r="F202" s="24"/>
      <c r="G202" s="24"/>
      <c r="H202" s="24"/>
      <c r="I202" s="24"/>
      <c r="J202" s="24"/>
      <c r="K202" s="24"/>
      <c r="L202" s="24"/>
      <c r="M202" s="24"/>
      <c r="N202" s="24"/>
      <c r="O202" s="24"/>
      <c r="P202" s="24"/>
      <c r="Q202" s="24"/>
      <c r="R202" s="24"/>
      <c r="S202" s="24"/>
      <c r="T202" s="566" t="s">
        <v>605</v>
      </c>
      <c r="U202" s="350" t="s">
        <v>109</v>
      </c>
      <c r="V202" s="6557" t="str">
        <f>IF(NOT($V$155),"",V230+V236)</f>
        <v/>
      </c>
      <c r="W202" s="6558"/>
      <c r="X202" s="6558"/>
      <c r="Y202" s="82"/>
      <c r="Z202" s="532" t="str">
        <f>IF(OR($V$111&gt;$V$109,$V$117&gt;$V$115),"See Part II.","")</f>
        <v/>
      </c>
      <c r="AA202" s="452"/>
      <c r="AB202" s="452"/>
      <c r="AC202" s="452"/>
      <c r="AD202" s="452"/>
      <c r="AE202" s="1056">
        <f>SUM($V$111,$V$117)</f>
        <v>0</v>
      </c>
      <c r="AF202" s="452"/>
      <c r="AG202" s="452"/>
      <c r="AH202" s="452"/>
    </row>
    <row r="203" spans="1:37">
      <c r="A203" s="635"/>
      <c r="B203" s="24"/>
      <c r="C203" s="42" t="s">
        <v>55</v>
      </c>
      <c r="D203" s="24" t="str">
        <f>"Combine lines 4a and 4b.     If less than "&amp;TEXT(AC168,"$0")&amp; ","</f>
        <v>Combine lines 4a and 4b.     If less than $400,</v>
      </c>
      <c r="E203" s="24"/>
      <c r="F203" s="24"/>
      <c r="G203" s="24"/>
      <c r="H203" s="24"/>
      <c r="I203" s="24"/>
      <c r="J203" s="24"/>
      <c r="K203" s="41" t="s">
        <v>621</v>
      </c>
      <c r="L203" s="24"/>
      <c r="M203" s="24"/>
      <c r="N203" s="24"/>
      <c r="O203" s="24"/>
      <c r="P203" s="24"/>
      <c r="Q203" s="24"/>
      <c r="R203" s="24"/>
      <c r="S203" s="24"/>
      <c r="T203" s="24"/>
      <c r="U203" s="450"/>
      <c r="V203" s="6613" t="str">
        <f>IF(NOT($V$155),"",SUM(V200:V202))</f>
        <v/>
      </c>
      <c r="W203" s="6614"/>
      <c r="X203" s="6614"/>
      <c r="Y203" s="82"/>
      <c r="Z203" s="452"/>
      <c r="AE203" s="1056">
        <f>SUM(V200,V202)</f>
        <v>0</v>
      </c>
    </row>
    <row r="204" spans="1:37" ht="15" thickBot="1">
      <c r="A204" s="635"/>
      <c r="B204" s="24"/>
      <c r="C204" s="24"/>
      <c r="D204" s="74" t="s">
        <v>3259</v>
      </c>
      <c r="E204" s="24"/>
      <c r="F204" s="24"/>
      <c r="G204" s="24"/>
      <c r="H204" s="24"/>
      <c r="I204" s="24"/>
      <c r="J204" s="24"/>
      <c r="K204" s="24"/>
      <c r="L204" s="24"/>
      <c r="M204" s="24"/>
      <c r="N204" s="24"/>
      <c r="O204" s="24"/>
      <c r="P204" s="24"/>
      <c r="Q204" s="24"/>
      <c r="R204" s="24"/>
      <c r="S204" s="24"/>
      <c r="T204" s="459"/>
      <c r="U204" s="350" t="s">
        <v>108</v>
      </c>
      <c r="V204" s="6557" t="str">
        <f>IF(NOT($V$155),"",IF(Y205&lt;&gt;"",0,SUM(V200:V202)))</f>
        <v/>
      </c>
      <c r="W204" s="6558"/>
      <c r="X204" s="6558"/>
      <c r="Y204" s="706" t="str">
        <f>IF(V204&lt;400,"            Stop","")</f>
        <v/>
      </c>
      <c r="Z204" s="2596" t="str">
        <f>IF(NOT(V155),"",IF(AND(Y205&lt;&gt;"",V204=0),"Continue",IF(AND(Y205="",SUM(V200,V202)&lt;AC168),"Stop","Continue")))</f>
        <v/>
      </c>
      <c r="AC204" s="2596" t="str">
        <f>IF(AND(Y205&lt;&gt;"",AE204=0),"Continue",IF(AND(Y205="",SUM(AE200,AE202)&lt;AC168),"Stop","Continue"))</f>
        <v>Stop</v>
      </c>
      <c r="AE204" s="1056">
        <f>IF(Y205&lt;&gt;"",0,SUM(AE200,AE202))</f>
        <v>0</v>
      </c>
    </row>
    <row r="205" spans="1:37" ht="13.5" thickBot="1">
      <c r="A205" s="635"/>
      <c r="B205" s="24"/>
      <c r="C205" s="52" t="s">
        <v>417</v>
      </c>
      <c r="D205" s="74" t="s">
        <v>622</v>
      </c>
      <c r="E205" s="24"/>
      <c r="F205" s="24"/>
      <c r="G205" s="24"/>
      <c r="H205" s="24"/>
      <c r="I205" s="24"/>
      <c r="J205" s="24"/>
      <c r="K205" s="24"/>
      <c r="L205" s="24"/>
      <c r="M205" s="24"/>
      <c r="N205" s="24"/>
      <c r="O205" s="24"/>
      <c r="P205" s="24"/>
      <c r="Q205" s="24"/>
      <c r="R205" s="24"/>
      <c r="S205" s="24"/>
      <c r="T205" s="24"/>
      <c r="U205" s="453"/>
      <c r="V205" s="6615"/>
      <c r="W205" s="6616"/>
      <c r="X205" s="6616"/>
      <c r="Y205" s="3070"/>
      <c r="Z205" s="1049" t="str">
        <f>IF(OR(NOT(V155),AE203=0,AE203&gt;=AC168),"","&lt; Check here if")</f>
        <v/>
      </c>
    </row>
    <row r="206" spans="1:37">
      <c r="A206" s="635"/>
      <c r="B206" s="24"/>
      <c r="C206" s="24"/>
      <c r="D206" s="74" t="s">
        <v>752</v>
      </c>
      <c r="E206" s="24"/>
      <c r="F206" s="24"/>
      <c r="G206" s="24"/>
      <c r="H206" s="24"/>
      <c r="I206" s="24"/>
      <c r="J206" s="24"/>
      <c r="K206" s="24"/>
      <c r="L206" s="24"/>
      <c r="M206" s="24"/>
      <c r="N206" s="24"/>
      <c r="O206" s="566" t="s">
        <v>739</v>
      </c>
      <c r="P206" s="447" t="s">
        <v>417</v>
      </c>
      <c r="Q206" s="6608"/>
      <c r="R206" s="6609"/>
      <c r="S206" s="6609"/>
      <c r="T206" s="6610"/>
      <c r="U206" s="453"/>
      <c r="V206" s="6611"/>
      <c r="W206" s="6612"/>
      <c r="X206" s="6612"/>
      <c r="Y206" s="82"/>
      <c r="Z206" s="1049" t="str">
        <f>IF(OR(NOT(V155),AE203=0,AE203&gt;=AC168),"","church employee")</f>
        <v/>
      </c>
      <c r="AI206" s="4174" t="s">
        <v>2160</v>
      </c>
      <c r="AJ206" s="4175"/>
      <c r="AK206" s="1601"/>
    </row>
    <row r="207" spans="1:37">
      <c r="A207" s="635"/>
      <c r="B207" s="24"/>
      <c r="C207" s="42" t="s">
        <v>54</v>
      </c>
      <c r="D207" s="24" t="str">
        <f>"Multiply line 5a by "&amp;TEXT(AC170,"0.00%")&amp;" ("&amp;TEXT(AC170,"0.0000")&amp;"). If less than $100, enter -0-"</f>
        <v>Multiply line 5a by 92.35% (0.9235). If less than $100, enter -0-</v>
      </c>
      <c r="E207" s="24"/>
      <c r="F207" s="24"/>
      <c r="G207" s="24"/>
      <c r="H207" s="24"/>
      <c r="I207" s="24"/>
      <c r="J207" s="24"/>
      <c r="K207" s="24"/>
      <c r="L207" s="24"/>
      <c r="M207" s="24"/>
      <c r="N207" s="24"/>
      <c r="O207" s="24"/>
      <c r="P207" s="24"/>
      <c r="Q207" s="24"/>
      <c r="R207" s="24"/>
      <c r="S207" s="24"/>
      <c r="T207" s="566" t="s">
        <v>312</v>
      </c>
      <c r="U207" s="350" t="s">
        <v>418</v>
      </c>
      <c r="V207" s="6557" t="str">
        <f>IF(NOT($V$155),"",IF(OR(Q206="",Q206&lt;100),0,ROUND(Q206*AC170,0)))</f>
        <v/>
      </c>
      <c r="W207" s="6558"/>
      <c r="X207" s="6558"/>
      <c r="Y207" s="82"/>
      <c r="Z207" s="1049" t="str">
        <f>IF(OR(NOT(V155),AE203=0,AE203&gt;=AC168),"","income.")</f>
        <v/>
      </c>
      <c r="AE207" s="1056">
        <f>IF(OR(Q206="",Q206&lt;100),0,ROUND(Q206*AC170,0))</f>
        <v>0</v>
      </c>
      <c r="AI207" s="1642" t="s">
        <v>2143</v>
      </c>
      <c r="AJ207" s="1642" t="s">
        <v>2159</v>
      </c>
      <c r="AK207" s="1642" t="s">
        <v>3798</v>
      </c>
    </row>
    <row r="208" spans="1:37" ht="13.5" thickBot="1">
      <c r="A208" s="635"/>
      <c r="B208" s="24"/>
      <c r="C208" s="52">
        <v>6</v>
      </c>
      <c r="D208" s="74" t="s">
        <v>623</v>
      </c>
      <c r="E208" s="24"/>
      <c r="F208" s="24"/>
      <c r="G208" s="24"/>
      <c r="H208" s="24"/>
      <c r="I208" s="24"/>
      <c r="J208" s="24"/>
      <c r="K208" s="24"/>
      <c r="L208" s="24"/>
      <c r="M208" s="24"/>
      <c r="N208" s="24"/>
      <c r="O208" s="24"/>
      <c r="P208" s="24"/>
      <c r="Q208" s="24"/>
      <c r="R208" s="24"/>
      <c r="S208" s="24"/>
      <c r="T208" s="1699" t="s">
        <v>1152</v>
      </c>
      <c r="U208" s="350">
        <v>6</v>
      </c>
      <c r="V208" s="6590" t="str">
        <f>IF(OR(NOT($V$155),Z204="Stop"),"",SUM(V204,V207))</f>
        <v/>
      </c>
      <c r="W208" s="6591"/>
      <c r="X208" s="6591"/>
      <c r="Y208" s="82"/>
      <c r="Z208" s="452"/>
      <c r="AE208" s="1056">
        <f>IF(AC204="Stop",0,SUM(AE204,AE207))</f>
        <v>0</v>
      </c>
      <c r="AI208" s="2069">
        <f>SUM('W-2s'!I126,'W-2s'!I130)</f>
        <v>0</v>
      </c>
      <c r="AJ208" s="2069">
        <f>SUM('W-2s'!I155,'W-2s'!I159)</f>
        <v>0</v>
      </c>
      <c r="AK208" s="2069">
        <f>SUM(AI208,AJ208)</f>
        <v>0</v>
      </c>
    </row>
    <row r="209" spans="1:44" ht="12.75" customHeight="1" thickBot="1">
      <c r="A209" s="635"/>
      <c r="B209" s="24"/>
      <c r="C209" s="52">
        <v>7</v>
      </c>
      <c r="D209" s="24" t="s">
        <v>59</v>
      </c>
      <c r="E209" s="24"/>
      <c r="F209" s="24"/>
      <c r="G209" s="24"/>
      <c r="H209" s="24"/>
      <c r="I209" s="24"/>
      <c r="J209" s="24"/>
      <c r="K209" s="24"/>
      <c r="L209" s="24"/>
      <c r="M209" s="24"/>
      <c r="N209" s="24"/>
      <c r="O209" s="24"/>
      <c r="P209" s="24"/>
      <c r="Q209" s="24"/>
      <c r="R209" s="24"/>
      <c r="S209" s="24"/>
      <c r="T209" s="24"/>
      <c r="U209" s="450"/>
      <c r="V209" s="24"/>
      <c r="W209" s="24"/>
      <c r="X209" s="24"/>
      <c r="Y209" s="82"/>
      <c r="Z209" s="4256"/>
    </row>
    <row r="210" spans="1:44" s="633" customFormat="1" ht="12.75" customHeight="1">
      <c r="A210" s="694"/>
      <c r="B210" s="104"/>
      <c r="C210" s="104"/>
      <c r="D210" s="104" t="str">
        <f>"tax or the 6.2% portion of the 7.65% railroad retirement (tier 1) tax for "&amp;TaxYear</f>
        <v>tax or the 6.2% portion of the 7.65% railroad retirement (tier 1) tax for 2018</v>
      </c>
      <c r="E210" s="104"/>
      <c r="F210" s="104"/>
      <c r="G210" s="104"/>
      <c r="H210" s="104"/>
      <c r="I210" s="104"/>
      <c r="J210" s="104"/>
      <c r="K210" s="104"/>
      <c r="L210" s="104"/>
      <c r="M210" s="104"/>
      <c r="N210" s="104"/>
      <c r="O210" s="104"/>
      <c r="P210" s="104"/>
      <c r="Q210" s="104"/>
      <c r="R210" s="104"/>
      <c r="S210" s="104"/>
      <c r="T210" s="572" t="s">
        <v>678</v>
      </c>
      <c r="U210" s="708">
        <v>7</v>
      </c>
      <c r="V210" s="6586">
        <f>AC171</f>
        <v>128400</v>
      </c>
      <c r="W210" s="6587"/>
      <c r="X210" s="6587"/>
      <c r="Y210" s="707"/>
      <c r="Z210" s="568" t="s">
        <v>389</v>
      </c>
      <c r="AE210" s="4135">
        <f>V210</f>
        <v>128400</v>
      </c>
      <c r="AF210" s="1604"/>
      <c r="AG210" s="1605"/>
      <c r="AH210" s="1605"/>
      <c r="AI210" s="1605"/>
      <c r="AJ210" s="1605"/>
      <c r="AK210" s="1605"/>
      <c r="AL210" s="1606"/>
      <c r="AM210"/>
      <c r="AN210"/>
      <c r="AO210"/>
      <c r="AP210"/>
      <c r="AQ210"/>
      <c r="AR210"/>
    </row>
    <row r="211" spans="1:44" ht="12.75" customHeight="1" thickBot="1">
      <c r="A211" s="635"/>
      <c r="B211" s="24"/>
      <c r="C211" s="52" t="s">
        <v>39</v>
      </c>
      <c r="D211" s="74" t="s">
        <v>624</v>
      </c>
      <c r="E211" s="24"/>
      <c r="F211" s="24"/>
      <c r="G211" s="24"/>
      <c r="H211" s="24"/>
      <c r="I211" s="24"/>
      <c r="J211" s="24"/>
      <c r="K211" s="24"/>
      <c r="L211" s="24"/>
      <c r="M211" s="24"/>
      <c r="N211" s="24"/>
      <c r="O211" s="24"/>
      <c r="P211" s="24"/>
      <c r="Q211" s="6600"/>
      <c r="R211" s="5601"/>
      <c r="S211" s="5601"/>
      <c r="T211" s="5602"/>
      <c r="U211" s="453"/>
      <c r="V211" s="6601"/>
      <c r="W211" s="6602"/>
      <c r="X211" s="6602"/>
      <c r="Y211" s="82"/>
      <c r="Z211" s="568" t="s">
        <v>390</v>
      </c>
      <c r="AF211" s="4153" t="s">
        <v>990</v>
      </c>
      <c r="AG211" s="1608"/>
      <c r="AH211" s="1608"/>
      <c r="AI211" s="1617"/>
      <c r="AJ211" s="1608"/>
      <c r="AK211" s="1608"/>
      <c r="AL211" s="1609"/>
    </row>
    <row r="212" spans="1:44" ht="12.75" customHeight="1" thickBot="1">
      <c r="A212" s="635"/>
      <c r="B212" s="24"/>
      <c r="C212" s="52"/>
      <c r="D212" s="1093" t="s">
        <v>626</v>
      </c>
      <c r="E212" s="24"/>
      <c r="F212" s="24"/>
      <c r="G212" s="24"/>
      <c r="H212" s="24"/>
      <c r="I212" s="24"/>
      <c r="J212" s="24"/>
      <c r="K212" s="24"/>
      <c r="L212" s="24"/>
      <c r="M212" s="24"/>
      <c r="N212" s="24"/>
      <c r="O212" s="24"/>
      <c r="P212" s="460"/>
      <c r="Q212" s="6603"/>
      <c r="R212" s="5601"/>
      <c r="S212" s="5601"/>
      <c r="T212" s="5602"/>
      <c r="U212" s="453"/>
      <c r="V212" s="6604" t="str">
        <f>IF(OR(NOT($V155),Z204="Stop"),"",IF($Z215="","Enter RR retirement",""))</f>
        <v/>
      </c>
      <c r="W212" s="6605"/>
      <c r="X212" s="6605"/>
      <c r="Y212" s="82"/>
      <c r="Z212" s="4256"/>
      <c r="AA212" s="1701"/>
      <c r="AB212" s="1701" t="s">
        <v>991</v>
      </c>
      <c r="AF212" s="2091" t="s">
        <v>989</v>
      </c>
      <c r="AG212" s="1443"/>
      <c r="AH212" s="1443"/>
      <c r="AI212" s="1607"/>
      <c r="AJ212" s="1443"/>
      <c r="AK212" s="1443"/>
      <c r="AL212" s="1554"/>
      <c r="AO212" s="633"/>
      <c r="AP212" s="633"/>
      <c r="AQ212" s="633"/>
      <c r="AR212" s="633"/>
    </row>
    <row r="213" spans="1:44" ht="12.75" customHeight="1">
      <c r="A213" s="635"/>
      <c r="B213" s="24"/>
      <c r="C213" s="24"/>
      <c r="D213" s="104" t="str">
        <f>"If "&amp;TEXT(V210,"$00,000")&amp;" or more, skip lines 8b through 10 and go to line 11"</f>
        <v>If $128,400 or more, skip lines 8b through 10 and go to line 11</v>
      </c>
      <c r="E213" s="24"/>
      <c r="F213" s="24"/>
      <c r="G213" s="24"/>
      <c r="H213" s="24"/>
      <c r="I213" s="24"/>
      <c r="J213" s="24"/>
      <c r="K213" s="24"/>
      <c r="L213" s="24"/>
      <c r="M213" s="24"/>
      <c r="N213" s="24"/>
      <c r="O213" s="42" t="s">
        <v>753</v>
      </c>
      <c r="P213" s="447" t="s">
        <v>39</v>
      </c>
      <c r="Q213" s="6557" t="str">
        <f>IF(Z212&lt;&gt;"",SUM(Z212,Z215),IF(OR(NOT(V155),Z204="Stop"),"",IF(AND(AB124&lt;&gt;"",AB126&lt;&gt;""),AK208,IF(AB124&lt;&gt;"",AI208,IF(AB126&lt;&gt;"",AJ208,"")))))</f>
        <v/>
      </c>
      <c r="R213" s="6558"/>
      <c r="S213" s="6558"/>
      <c r="T213" s="6585"/>
      <c r="U213" s="453"/>
      <c r="V213" s="6606" t="str">
        <f>IF(OR(NOT($V$155),Z204="Stop"),"",IF($Z215="","(tier 1) compensation",""))</f>
        <v/>
      </c>
      <c r="W213" s="6607"/>
      <c r="X213" s="6607"/>
      <c r="Y213" s="82"/>
      <c r="Z213" s="6594" t="s">
        <v>627</v>
      </c>
      <c r="AE213" s="1056">
        <f>IF(Z212&lt;&gt;"",SUM(Z212,Z215),IF(AC204="Stop",0,IF(AND(AB124&lt;&gt;"",AB126&lt;&gt;""),SUM(AI208,AJ208),IF(AB124&lt;&gt;"",AI208,IF(AB126&lt;&gt;"",AJ208,0)))))</f>
        <v>0</v>
      </c>
      <c r="AF213" s="2091" t="s">
        <v>944</v>
      </c>
      <c r="AG213" s="1443"/>
      <c r="AH213" s="1443"/>
      <c r="AI213" s="1607"/>
      <c r="AJ213" s="1607"/>
      <c r="AK213" s="1443"/>
      <c r="AL213" s="1554"/>
    </row>
    <row r="214" spans="1:44" ht="12.75" customHeight="1" thickBot="1">
      <c r="A214" s="635"/>
      <c r="B214" s="24"/>
      <c r="C214" s="52" t="s">
        <v>54</v>
      </c>
      <c r="D214" s="60" t="s">
        <v>428</v>
      </c>
      <c r="E214" s="24"/>
      <c r="F214" s="24"/>
      <c r="G214" s="24"/>
      <c r="H214" s="24"/>
      <c r="I214" s="24"/>
      <c r="J214" s="24"/>
      <c r="K214" s="24"/>
      <c r="L214" s="24"/>
      <c r="M214" s="24"/>
      <c r="N214" s="24"/>
      <c r="O214" s="24"/>
      <c r="P214" s="447" t="s">
        <v>40</v>
      </c>
      <c r="Q214" s="6596"/>
      <c r="R214" s="5575"/>
      <c r="S214" s="5575"/>
      <c r="T214" s="6597"/>
      <c r="U214" s="453"/>
      <c r="V214" s="6598" t="str">
        <f>IF(OR(NOT($V$155),Z204="Stop"),"",IF($Z215="","amounts here.",""))</f>
        <v/>
      </c>
      <c r="W214" s="6599"/>
      <c r="X214" s="6599"/>
      <c r="Y214" s="82"/>
      <c r="Z214" s="6595"/>
      <c r="AE214">
        <f>ROUND(Q214,0)</f>
        <v>0</v>
      </c>
      <c r="AF214" s="1611"/>
      <c r="AG214" s="1612"/>
      <c r="AH214" s="1612"/>
      <c r="AI214" s="1612"/>
      <c r="AJ214" s="1612"/>
      <c r="AK214" s="1612"/>
      <c r="AL214" s="1613"/>
    </row>
    <row r="215" spans="1:44" ht="12.75" customHeight="1" thickBot="1">
      <c r="A215" s="635"/>
      <c r="B215" s="24"/>
      <c r="C215" s="52" t="s">
        <v>55</v>
      </c>
      <c r="D215" s="24" t="s">
        <v>429</v>
      </c>
      <c r="E215" s="24"/>
      <c r="F215" s="24"/>
      <c r="G215" s="24"/>
      <c r="H215" s="24"/>
      <c r="I215" s="24"/>
      <c r="J215" s="24"/>
      <c r="K215" s="24"/>
      <c r="L215" s="24"/>
      <c r="M215" s="24"/>
      <c r="N215" s="24"/>
      <c r="O215" s="24"/>
      <c r="P215" s="447" t="s">
        <v>107</v>
      </c>
      <c r="Q215" s="6596"/>
      <c r="R215" s="5575"/>
      <c r="S215" s="5575"/>
      <c r="T215" s="6597"/>
      <c r="U215" s="453"/>
      <c r="V215" s="6598" t="str">
        <f>IF(OR(NOT($V155),Z204="Stop"),"",IF($Z215="","(Enter '0' if none.) --&gt;",""))</f>
        <v/>
      </c>
      <c r="W215" s="6599"/>
      <c r="X215" s="6599"/>
      <c r="Y215" s="82"/>
      <c r="Z215" s="569"/>
      <c r="AE215">
        <f>ROUND(Q215,0)</f>
        <v>0</v>
      </c>
    </row>
    <row r="216" spans="1:44" ht="12.75" customHeight="1" thickBot="1">
      <c r="A216" s="635"/>
      <c r="B216" s="24"/>
      <c r="C216" s="52" t="s">
        <v>102</v>
      </c>
      <c r="D216" s="24" t="s">
        <v>426</v>
      </c>
      <c r="E216" s="24"/>
      <c r="F216" s="24"/>
      <c r="G216" s="24"/>
      <c r="H216" s="24"/>
      <c r="I216" s="24"/>
      <c r="J216" s="24"/>
      <c r="K216" s="24"/>
      <c r="L216" s="24"/>
      <c r="M216" s="24"/>
      <c r="N216" s="24"/>
      <c r="O216" s="24"/>
      <c r="P216" s="24"/>
      <c r="Q216" s="24"/>
      <c r="R216" s="24"/>
      <c r="S216" s="24"/>
      <c r="T216" s="42" t="s">
        <v>493</v>
      </c>
      <c r="U216" s="350" t="s">
        <v>427</v>
      </c>
      <c r="V216" s="6588" t="str">
        <f>IF(Z216&lt;&gt;"",Z216,IF(OR(NOT($V$155),Z204="Stop"),"",SUM(Q213,Q214,Q215)))</f>
        <v/>
      </c>
      <c r="W216" s="6589"/>
      <c r="X216" s="6589"/>
      <c r="Y216" s="82"/>
      <c r="Z216" s="4256"/>
      <c r="AE216" s="1056">
        <f>IF(Z216&lt;&gt;"",Z216,IF(AC204="Stop",0,IF(AE213&gt;=AE210,"",SUM(AE213,AE214,AE215))))</f>
        <v>0</v>
      </c>
    </row>
    <row r="217" spans="1:44">
      <c r="A217" s="635"/>
      <c r="B217" s="24"/>
      <c r="C217" s="52">
        <v>9</v>
      </c>
      <c r="D217" s="74" t="s">
        <v>3260</v>
      </c>
      <c r="E217" s="24"/>
      <c r="F217" s="24"/>
      <c r="G217" s="24"/>
      <c r="H217" s="24"/>
      <c r="I217" s="24"/>
      <c r="J217" s="24"/>
      <c r="K217" s="24"/>
      <c r="L217" s="24"/>
      <c r="M217" s="24"/>
      <c r="N217" s="24"/>
      <c r="O217" s="24"/>
      <c r="P217" s="24"/>
      <c r="Q217" s="24"/>
      <c r="R217" s="24"/>
      <c r="S217" s="24"/>
      <c r="T217" s="4013" t="s">
        <v>634</v>
      </c>
      <c r="U217" s="350">
        <v>9</v>
      </c>
      <c r="V217" s="6590" t="str">
        <f>IF(OR(NOT($V$155),Z204="Stop"),"",MAX(0,SUM(V210,-V216)))</f>
        <v/>
      </c>
      <c r="W217" s="6591"/>
      <c r="X217" s="6591"/>
      <c r="Y217" s="82"/>
      <c r="Z217" s="452"/>
      <c r="AE217" s="1056">
        <f>IF(AC204="Stop",0,IF(AE213&gt;=AE210,"",IF(SUM(AE210,-AE216)&lt;0,0,SUM(AE210,-AE216))))</f>
        <v>0</v>
      </c>
    </row>
    <row r="218" spans="1:44">
      <c r="A218" s="635"/>
      <c r="B218" s="24"/>
      <c r="C218" s="52">
        <v>10</v>
      </c>
      <c r="D218" s="74" t="s">
        <v>2468</v>
      </c>
      <c r="E218" s="24"/>
      <c r="F218" s="24"/>
      <c r="G218" s="24"/>
      <c r="H218" s="24" t="s">
        <v>2469</v>
      </c>
      <c r="I218" s="24"/>
      <c r="J218" s="24" t="str">
        <f>TEXT(AI218,"0.0%")&amp;" ("&amp;TEXT(AI218,"0.000")&amp;")"</f>
        <v>12.4% (0.124)</v>
      </c>
      <c r="K218" s="24"/>
      <c r="L218" s="24"/>
      <c r="M218" s="24"/>
      <c r="N218" s="24"/>
      <c r="O218" s="24"/>
      <c r="P218" s="24"/>
      <c r="Q218" s="24"/>
      <c r="R218" s="24"/>
      <c r="S218" s="464"/>
      <c r="T218" s="42" t="s">
        <v>633</v>
      </c>
      <c r="U218" s="350">
        <v>10</v>
      </c>
      <c r="V218" s="6590" t="str">
        <f>IF(OR(NOT($V$155),Z204="Stop"),"",IF(V217=0,0,ROUND(AI218*MIN(V208,V217),0)))</f>
        <v/>
      </c>
      <c r="W218" s="6591"/>
      <c r="X218" s="6591"/>
      <c r="Y218" s="82"/>
      <c r="Z218" s="452"/>
      <c r="AE218" s="1056">
        <f>IF(AC204="Stop",0,IF(OR(AE217&lt;=0,AE213&gt;=AE210),"",ROUND(AI218*MIN(AE208,AE217),0)))</f>
        <v>0</v>
      </c>
      <c r="AI218" s="1601">
        <v>0.124</v>
      </c>
    </row>
    <row r="219" spans="1:44" ht="13.5" thickBot="1">
      <c r="A219" s="635"/>
      <c r="B219" s="24"/>
      <c r="C219" s="52">
        <v>11</v>
      </c>
      <c r="D219" s="24" t="str">
        <f>"Multiply line 6 by "&amp;TEXT(AI219,"0.0%")&amp;" ("&amp;TEXT(AI219,"0.000")&amp;")"</f>
        <v>Multiply line 6 by 2.9% (0.029)</v>
      </c>
      <c r="E219" s="24"/>
      <c r="F219" s="24"/>
      <c r="G219" s="24"/>
      <c r="H219" s="24"/>
      <c r="I219" s="24"/>
      <c r="J219" s="24"/>
      <c r="K219" s="24"/>
      <c r="L219" s="24"/>
      <c r="M219" s="24"/>
      <c r="N219" s="24"/>
      <c r="O219" s="24"/>
      <c r="P219" s="24"/>
      <c r="Q219" s="24"/>
      <c r="R219" s="24"/>
      <c r="S219" s="24"/>
      <c r="T219" s="42" t="s">
        <v>341</v>
      </c>
      <c r="U219" s="350">
        <v>11</v>
      </c>
      <c r="V219" s="6590" t="str">
        <f>IF(OR(NOT($V$155),Z204="Stop"),"",ROUND(V208*AI219,0))</f>
        <v/>
      </c>
      <c r="W219" s="6591"/>
      <c r="X219" s="6591"/>
      <c r="Y219" s="82"/>
      <c r="Z219" s="452"/>
      <c r="AE219">
        <f>IF(AC204="Stop",0,ROUND(AE208*AI219,0))</f>
        <v>0</v>
      </c>
      <c r="AI219" s="1601">
        <v>2.9000000000000001E-2</v>
      </c>
    </row>
    <row r="220" spans="1:44" ht="12.75" customHeight="1" thickBot="1">
      <c r="A220" s="635"/>
      <c r="B220" s="24"/>
      <c r="C220" s="52">
        <v>12</v>
      </c>
      <c r="D220" s="60" t="s">
        <v>4072</v>
      </c>
      <c r="E220" s="24"/>
      <c r="F220" s="24"/>
      <c r="G220" s="24"/>
      <c r="H220" s="24"/>
      <c r="I220" s="24"/>
      <c r="J220" s="24"/>
      <c r="K220" s="24"/>
      <c r="L220" s="24"/>
      <c r="M220" s="24"/>
      <c r="N220" s="24"/>
      <c r="O220" s="24"/>
      <c r="P220" s="24"/>
      <c r="Q220" s="24"/>
      <c r="R220" s="24"/>
      <c r="S220" s="24"/>
      <c r="T220" s="42"/>
      <c r="U220" s="2654"/>
      <c r="V220" s="6592"/>
      <c r="W220" s="6593"/>
      <c r="X220" s="6593"/>
      <c r="Y220" s="82"/>
      <c r="Z220" s="4256"/>
    </row>
    <row r="221" spans="1:44" ht="12.75" customHeight="1">
      <c r="A221" s="635"/>
      <c r="B221" s="24"/>
      <c r="C221" s="52"/>
      <c r="D221" s="60" t="s">
        <v>3261</v>
      </c>
      <c r="E221" s="24"/>
      <c r="F221" s="24"/>
      <c r="G221" s="24"/>
      <c r="H221" s="24"/>
      <c r="I221" s="24"/>
      <c r="J221" s="24"/>
      <c r="K221" s="24"/>
      <c r="L221" s="24"/>
      <c r="M221" s="24"/>
      <c r="N221" s="24"/>
      <c r="O221" s="24"/>
      <c r="P221" s="24"/>
      <c r="Q221" s="24"/>
      <c r="R221" s="24"/>
      <c r="S221" s="24"/>
      <c r="T221" s="42" t="s">
        <v>493</v>
      </c>
      <c r="U221" s="463">
        <v>12</v>
      </c>
      <c r="V221" s="6557" t="str">
        <f>IF(Z220&lt;&gt;"",Z220,IF(OR(NOT($V$155),Z204="Stop"),"",SUM(V218,V219)))</f>
        <v/>
      </c>
      <c r="W221" s="6558"/>
      <c r="X221" s="6558"/>
      <c r="Y221" s="82"/>
      <c r="Z221" s="4014"/>
      <c r="AE221" s="4136">
        <f>IF(Z220&lt;&gt;"",Z220,IF(AC204="Stop",0,SUM(AE218,AE219)))</f>
        <v>0</v>
      </c>
    </row>
    <row r="222" spans="1:44">
      <c r="A222" s="635"/>
      <c r="B222" s="24"/>
      <c r="C222" s="52">
        <v>13</v>
      </c>
      <c r="D222" s="1219" t="s">
        <v>985</v>
      </c>
      <c r="E222" s="127"/>
      <c r="F222" s="127"/>
      <c r="G222" s="127"/>
      <c r="H222" s="127"/>
      <c r="I222" s="127"/>
      <c r="J222" s="127"/>
      <c r="K222" s="127"/>
      <c r="L222" s="127"/>
      <c r="M222" s="127"/>
      <c r="N222" s="127"/>
      <c r="O222" s="127"/>
      <c r="P222" s="127"/>
      <c r="Q222" s="1095"/>
      <c r="R222" s="24"/>
      <c r="S222" s="1094"/>
      <c r="T222" s="24"/>
      <c r="U222" s="453"/>
      <c r="V222" s="452"/>
      <c r="W222" s="452"/>
      <c r="X222" s="452"/>
      <c r="Y222" s="82"/>
      <c r="Z222" s="452"/>
    </row>
    <row r="223" spans="1:44" ht="13.5" thickBot="1">
      <c r="A223" s="635"/>
      <c r="B223" s="24"/>
      <c r="C223" s="52"/>
      <c r="D223" s="74" t="str">
        <f>"Multiply line 12 by "&amp;TEXT(Q223,"0%")&amp;" ("&amp;TEXT(Q223,"0.00")&amp;"). Enter the result here and on"</f>
        <v>Multiply line 12 by 50% (0.50). Enter the result here and on</v>
      </c>
      <c r="E223" s="74"/>
      <c r="F223" s="24"/>
      <c r="G223" s="24"/>
      <c r="H223" s="24"/>
      <c r="I223" s="24"/>
      <c r="J223" s="24"/>
      <c r="K223" s="24"/>
      <c r="L223" s="24"/>
      <c r="M223" s="24"/>
      <c r="N223" s="24"/>
      <c r="O223" s="24"/>
      <c r="P223" s="24"/>
      <c r="Q223" s="6582">
        <v>0.5</v>
      </c>
      <c r="R223" s="6583"/>
      <c r="S223" s="6583"/>
      <c r="T223" s="6584"/>
      <c r="U223" s="453"/>
      <c r="V223" s="1081"/>
      <c r="W223" s="452"/>
      <c r="X223" s="452"/>
      <c r="Y223" s="82"/>
      <c r="Z223" s="452"/>
    </row>
    <row r="224" spans="1:44" ht="12.75" customHeight="1" thickBot="1">
      <c r="A224" s="635"/>
      <c r="B224" s="24"/>
      <c r="C224" s="24"/>
      <c r="D224" s="25" t="s">
        <v>3257</v>
      </c>
      <c r="E224" s="24"/>
      <c r="F224" s="24"/>
      <c r="G224" s="24"/>
      <c r="H224" s="24"/>
      <c r="I224" s="24"/>
      <c r="J224" s="24"/>
      <c r="K224" s="140"/>
      <c r="L224" s="140"/>
      <c r="M224" s="140"/>
      <c r="N224" s="140"/>
      <c r="O224" s="3309" t="s">
        <v>3262</v>
      </c>
      <c r="P224" s="460">
        <v>13</v>
      </c>
      <c r="Q224" s="6557" t="str">
        <f>IF(Z224&lt;&gt;"",Z224,IF(OR(NOT($V$155),Z204="Stop"),"",ROUND(V221*Q223,0)))</f>
        <v/>
      </c>
      <c r="R224" s="6558"/>
      <c r="S224" s="6558"/>
      <c r="T224" s="6585"/>
      <c r="U224" s="453"/>
      <c r="V224" s="452"/>
      <c r="W224" s="452"/>
      <c r="X224" s="452"/>
      <c r="Y224" s="82"/>
      <c r="Z224" s="4256"/>
    </row>
    <row r="225" spans="1:26" ht="16.5" customHeight="1">
      <c r="A225" s="635"/>
      <c r="B225" s="1087"/>
      <c r="C225" s="1088" t="s">
        <v>130</v>
      </c>
      <c r="D225" s="1089"/>
      <c r="E225" s="2376" t="s">
        <v>2058</v>
      </c>
      <c r="F225" s="1091"/>
      <c r="G225" s="1091"/>
      <c r="H225" s="1091"/>
      <c r="I225" s="1091"/>
      <c r="J225" s="1091"/>
      <c r="K225" s="1091"/>
      <c r="L225" s="1091"/>
      <c r="M225" s="1091"/>
      <c r="N225" s="1091"/>
      <c r="O225" s="1091"/>
      <c r="P225" s="1091"/>
      <c r="Q225" s="1091"/>
      <c r="R225" s="1091"/>
      <c r="S225" s="1091"/>
      <c r="T225" s="1091"/>
      <c r="U225" s="1091"/>
      <c r="V225" s="1091"/>
      <c r="W225" s="1091"/>
      <c r="X225" s="1091"/>
      <c r="Y225" s="82"/>
      <c r="Z225" s="452"/>
    </row>
    <row r="226" spans="1:26" ht="14.25">
      <c r="A226" s="635"/>
      <c r="B226" s="41" t="s">
        <v>192</v>
      </c>
      <c r="C226" s="24"/>
      <c r="D226" s="24"/>
      <c r="E226" s="24"/>
      <c r="F226" s="24"/>
      <c r="G226" s="24"/>
      <c r="H226" s="24"/>
      <c r="I226" s="24"/>
      <c r="J226" s="24"/>
      <c r="K226" s="24"/>
      <c r="L226" s="24"/>
      <c r="M226" s="24"/>
      <c r="N226" s="24"/>
      <c r="O226" s="24"/>
      <c r="P226" s="24"/>
      <c r="Q226" s="24"/>
      <c r="R226" s="24"/>
      <c r="S226" s="24"/>
      <c r="T226" s="24"/>
      <c r="U226" s="450"/>
      <c r="V226" s="1672">
        <v>7920</v>
      </c>
      <c r="W226" s="24"/>
      <c r="X226" s="24"/>
      <c r="Y226" s="82"/>
      <c r="Z226" s="452"/>
    </row>
    <row r="227" spans="1:26">
      <c r="A227" s="635"/>
      <c r="B227" s="74" t="str">
        <f>"than "&amp;TEXT(V226,"$0,000")&amp;" or (b) your net farm profits were less than "&amp;TEXT(V227,"$0,000")&amp;"."</f>
        <v>than $7,920 or (b) your net farm profits were less than $5,717.</v>
      </c>
      <c r="C227" s="24"/>
      <c r="D227" s="24"/>
      <c r="E227" s="24"/>
      <c r="F227" s="24"/>
      <c r="G227" s="24"/>
      <c r="H227" s="24"/>
      <c r="I227" s="24"/>
      <c r="J227" s="24"/>
      <c r="K227" s="24"/>
      <c r="L227" s="24"/>
      <c r="M227" s="24"/>
      <c r="N227" s="24"/>
      <c r="O227" s="24"/>
      <c r="P227" s="24"/>
      <c r="Q227" s="24"/>
      <c r="R227" s="24"/>
      <c r="S227" s="24"/>
      <c r="T227" s="24"/>
      <c r="U227" s="450"/>
      <c r="V227" s="1672">
        <v>5717</v>
      </c>
      <c r="W227" s="24"/>
      <c r="X227" s="24"/>
      <c r="Y227" s="82"/>
      <c r="Z227" s="452"/>
    </row>
    <row r="228" spans="1:26" ht="15">
      <c r="A228" s="635"/>
      <c r="B228" s="24"/>
      <c r="C228" s="52">
        <v>14</v>
      </c>
      <c r="D228" s="24" t="s">
        <v>553</v>
      </c>
      <c r="E228" s="24"/>
      <c r="F228" s="24"/>
      <c r="G228" s="24"/>
      <c r="H228" s="24"/>
      <c r="I228" s="24"/>
      <c r="J228" s="24"/>
      <c r="K228" s="24"/>
      <c r="L228" s="24"/>
      <c r="M228" s="24"/>
      <c r="N228" s="24"/>
      <c r="O228" s="24"/>
      <c r="P228" s="24"/>
      <c r="Q228" s="24"/>
      <c r="R228" s="24"/>
      <c r="S228" s="24"/>
      <c r="T228" s="42" t="s">
        <v>104</v>
      </c>
      <c r="U228" s="350">
        <v>14</v>
      </c>
      <c r="V228" s="6586">
        <v>5280</v>
      </c>
      <c r="W228" s="6587"/>
      <c r="X228" s="6587"/>
      <c r="Y228" s="82"/>
      <c r="Z228" s="452"/>
    </row>
    <row r="229" spans="1:26" ht="12" customHeight="1">
      <c r="A229" s="635"/>
      <c r="B229" s="24"/>
      <c r="C229" s="52">
        <v>15</v>
      </c>
      <c r="D229" s="74" t="s">
        <v>4073</v>
      </c>
      <c r="E229" s="24"/>
      <c r="F229" s="24"/>
      <c r="G229" s="24"/>
      <c r="H229" s="24"/>
      <c r="I229" s="24"/>
      <c r="J229" s="24"/>
      <c r="K229" s="24"/>
      <c r="L229" s="24"/>
      <c r="M229" s="24"/>
      <c r="N229" s="24"/>
      <c r="O229" s="24"/>
      <c r="P229" s="24"/>
      <c r="Q229" s="24"/>
      <c r="R229" s="140" t="str">
        <f>TEXT(V228,"$0,000")&amp;"."</f>
        <v>$5,280.</v>
      </c>
      <c r="S229" s="74" t="s">
        <v>757</v>
      </c>
      <c r="T229" s="140"/>
      <c r="U229" s="450"/>
      <c r="V229" s="24"/>
      <c r="W229" s="24"/>
      <c r="X229" s="24"/>
      <c r="Y229" s="82"/>
      <c r="Z229" s="532" t="str">
        <f>IF($V$111&gt;$V$109,"Line 15 cannot","")</f>
        <v/>
      </c>
    </row>
    <row r="230" spans="1:26" ht="15" customHeight="1">
      <c r="A230" s="635"/>
      <c r="B230" s="45"/>
      <c r="C230" s="45"/>
      <c r="D230" s="444" t="s">
        <v>554</v>
      </c>
      <c r="E230" s="45"/>
      <c r="F230" s="45"/>
      <c r="G230" s="45"/>
      <c r="H230" s="45"/>
      <c r="I230" s="45"/>
      <c r="J230" s="45"/>
      <c r="K230" s="45"/>
      <c r="L230" s="45"/>
      <c r="M230" s="45"/>
      <c r="N230" s="45"/>
      <c r="O230" s="45"/>
      <c r="P230" s="45"/>
      <c r="Q230" s="45"/>
      <c r="R230" s="45"/>
      <c r="S230" s="45"/>
      <c r="T230" s="570" t="s">
        <v>492</v>
      </c>
      <c r="U230" s="350">
        <v>15</v>
      </c>
      <c r="V230" s="6571"/>
      <c r="W230" s="6572"/>
      <c r="X230" s="6572"/>
      <c r="Y230" s="82"/>
      <c r="Z230" s="532" t="str">
        <f>IF($V$111&gt;$V$109,"be more than","")</f>
        <v/>
      </c>
    </row>
    <row r="231" spans="1:26" ht="12" customHeight="1">
      <c r="A231" s="635"/>
      <c r="B231" s="25" t="s">
        <v>4074</v>
      </c>
      <c r="C231" s="24"/>
      <c r="D231" s="24"/>
      <c r="E231" s="24"/>
      <c r="F231" s="24"/>
      <c r="G231" s="24"/>
      <c r="H231" s="24"/>
      <c r="I231" s="24"/>
      <c r="J231" s="24"/>
      <c r="K231" s="24"/>
      <c r="L231" s="24"/>
      <c r="M231" s="24"/>
      <c r="N231" s="24"/>
      <c r="O231" s="24"/>
      <c r="P231" s="24"/>
      <c r="Q231" s="24"/>
      <c r="R231" s="24"/>
      <c r="S231" s="288" t="str">
        <f>"than "&amp;TEXT(V227,"$0,000")</f>
        <v>than $5,717</v>
      </c>
      <c r="T231" s="4015"/>
      <c r="U231" s="450"/>
      <c r="V231" s="1440">
        <v>0.72189000000000003</v>
      </c>
      <c r="W231" s="24"/>
      <c r="X231" s="24"/>
      <c r="Y231" s="82"/>
      <c r="Z231" s="532" t="str">
        <f>IF($V$111&gt;$V$109,"Line 14.","")</f>
        <v/>
      </c>
    </row>
    <row r="232" spans="1:26" ht="12" customHeight="1">
      <c r="A232" s="635"/>
      <c r="B232" s="74" t="str">
        <f>"and also less than "&amp;TEXT(V231,"0.000%")&amp;" of  your"</f>
        <v>and also less than 72.189% of  your</v>
      </c>
      <c r="C232" s="24"/>
      <c r="D232" s="24"/>
      <c r="E232" s="24"/>
      <c r="F232" s="24"/>
      <c r="G232" s="24"/>
      <c r="H232" s="74" t="s">
        <v>2470</v>
      </c>
      <c r="I232" s="24"/>
      <c r="J232" s="74"/>
      <c r="K232" s="24"/>
      <c r="L232" s="24"/>
      <c r="M232" s="24"/>
      <c r="N232" s="24"/>
      <c r="O232" s="24"/>
      <c r="P232" s="24"/>
      <c r="Q232" s="24"/>
      <c r="R232" s="24"/>
      <c r="S232" s="24"/>
      <c r="T232" s="24"/>
      <c r="U232" s="450"/>
      <c r="V232" s="1440">
        <v>400</v>
      </c>
      <c r="W232" s="24"/>
      <c r="X232" s="24"/>
      <c r="Y232" s="82"/>
      <c r="Z232" s="452"/>
    </row>
    <row r="233" spans="1:26" ht="12" customHeight="1">
      <c r="A233" s="635"/>
      <c r="B233" s="74" t="str">
        <f>"employment of at least "&amp;TEXT(V232,"$0")&amp;" in 2 of the prior 3 years."</f>
        <v>employment of at least $400 in 2 of the prior 3 years.</v>
      </c>
      <c r="C233" s="24"/>
      <c r="D233" s="24"/>
      <c r="E233" s="24"/>
      <c r="F233" s="24"/>
      <c r="G233" s="24"/>
      <c r="H233" s="24"/>
      <c r="I233" s="24"/>
      <c r="J233" s="24"/>
      <c r="K233" s="74" t="s">
        <v>2471</v>
      </c>
      <c r="L233" s="24"/>
      <c r="M233" s="74"/>
      <c r="N233" s="24"/>
      <c r="O233" s="24"/>
      <c r="P233" s="24"/>
      <c r="Q233" s="24"/>
      <c r="R233" s="24"/>
      <c r="S233" s="24"/>
      <c r="T233" s="24"/>
      <c r="U233" s="450"/>
      <c r="V233" s="24"/>
      <c r="W233" s="24"/>
      <c r="X233" s="24"/>
      <c r="Y233" s="82"/>
      <c r="Z233" s="452"/>
    </row>
    <row r="234" spans="1:26">
      <c r="A234" s="635"/>
      <c r="B234" s="24"/>
      <c r="C234" s="52">
        <v>16</v>
      </c>
      <c r="D234" s="24" t="s">
        <v>106</v>
      </c>
      <c r="E234" s="24"/>
      <c r="F234" s="24"/>
      <c r="G234" s="24"/>
      <c r="H234" s="24"/>
      <c r="I234" s="24"/>
      <c r="J234" s="24"/>
      <c r="K234" s="24"/>
      <c r="L234" s="24"/>
      <c r="M234" s="24"/>
      <c r="N234" s="24"/>
      <c r="O234" s="24"/>
      <c r="P234" s="24"/>
      <c r="Q234" s="24"/>
      <c r="R234" s="24"/>
      <c r="S234" s="24"/>
      <c r="T234" s="571" t="s">
        <v>190</v>
      </c>
      <c r="U234" s="350">
        <v>16</v>
      </c>
      <c r="V234" s="6557" t="str">
        <f>IF(V230="","",IF(V228-V230&lt;0,0,V228-V230))</f>
        <v/>
      </c>
      <c r="W234" s="6558"/>
      <c r="X234" s="6558"/>
      <c r="Y234" s="82"/>
      <c r="Z234" s="452"/>
    </row>
    <row r="235" spans="1:26" ht="12" customHeight="1">
      <c r="A235" s="635"/>
      <c r="B235" s="24"/>
      <c r="C235" s="52">
        <v>17</v>
      </c>
      <c r="D235" s="74" t="s">
        <v>3264</v>
      </c>
      <c r="E235" s="24"/>
      <c r="F235" s="24"/>
      <c r="G235" s="24"/>
      <c r="H235" s="24"/>
      <c r="I235" s="24"/>
      <c r="J235" s="24"/>
      <c r="K235" s="24"/>
      <c r="L235" s="24"/>
      <c r="M235" s="24"/>
      <c r="N235" s="24"/>
      <c r="O235" s="24"/>
      <c r="P235" s="24"/>
      <c r="Q235" s="24"/>
      <c r="R235" s="24"/>
      <c r="S235" s="24"/>
      <c r="T235" s="24"/>
      <c r="U235" s="450"/>
      <c r="V235" s="24"/>
      <c r="W235" s="24"/>
      <c r="X235" s="24"/>
      <c r="Y235" s="82"/>
      <c r="Z235" s="532" t="str">
        <f>IF($V$117&gt;$V$115,"Line 17 cannot","")</f>
        <v/>
      </c>
    </row>
    <row r="236" spans="1:26" ht="15" customHeight="1">
      <c r="A236" s="635"/>
      <c r="B236" s="24"/>
      <c r="C236" s="24"/>
      <c r="D236" s="1093" t="s">
        <v>3263</v>
      </c>
      <c r="E236" s="24"/>
      <c r="F236" s="24"/>
      <c r="G236" s="24"/>
      <c r="H236" s="24"/>
      <c r="I236" s="24"/>
      <c r="J236" s="24"/>
      <c r="K236" s="24"/>
      <c r="L236" s="24"/>
      <c r="M236" s="24"/>
      <c r="N236" s="24"/>
      <c r="O236" s="24"/>
      <c r="P236" s="24"/>
      <c r="Q236" s="24"/>
      <c r="R236" s="24"/>
      <c r="S236" s="24"/>
      <c r="T236" s="3309" t="s">
        <v>677</v>
      </c>
      <c r="U236" s="350">
        <v>17</v>
      </c>
      <c r="V236" s="6571"/>
      <c r="W236" s="6572"/>
      <c r="X236" s="6572"/>
      <c r="Y236" s="82"/>
      <c r="Z236" s="532" t="str">
        <f>IF($V$117&gt;$V$115,"be more than","")</f>
        <v/>
      </c>
    </row>
    <row r="237" spans="1:26" ht="22.5" customHeight="1">
      <c r="A237" s="635"/>
      <c r="B237" s="709">
        <v>1</v>
      </c>
      <c r="C237" s="6573" t="s">
        <v>3265</v>
      </c>
      <c r="D237" s="6574"/>
      <c r="E237" s="6574"/>
      <c r="F237" s="6574"/>
      <c r="G237" s="6574"/>
      <c r="H237" s="6574"/>
      <c r="I237" s="6574"/>
      <c r="J237" s="6574"/>
      <c r="K237" s="6575"/>
      <c r="L237" s="709">
        <v>3</v>
      </c>
      <c r="M237" s="6576" t="s">
        <v>2059</v>
      </c>
      <c r="N237" s="5659"/>
      <c r="O237" s="5659"/>
      <c r="P237" s="5659"/>
      <c r="Q237" s="5659"/>
      <c r="R237" s="5659"/>
      <c r="S237" s="5659"/>
      <c r="T237" s="5659"/>
      <c r="U237" s="5659"/>
      <c r="V237" s="5659"/>
      <c r="W237" s="5659"/>
      <c r="X237" s="5659"/>
      <c r="Y237" s="82"/>
      <c r="Z237" s="532" t="str">
        <f>IF($V$117&gt;$V$115,"Line 16.","")</f>
        <v/>
      </c>
    </row>
    <row r="238" spans="1:26" ht="34.5" customHeight="1" thickBot="1">
      <c r="A238" s="635"/>
      <c r="B238" s="710">
        <v>2</v>
      </c>
      <c r="C238" s="6577" t="s">
        <v>4075</v>
      </c>
      <c r="D238" s="6578"/>
      <c r="E238" s="6578"/>
      <c r="F238" s="6578"/>
      <c r="G238" s="6578"/>
      <c r="H238" s="6578"/>
      <c r="I238" s="6578"/>
      <c r="J238" s="6578"/>
      <c r="K238" s="6579"/>
      <c r="L238" s="710">
        <v>4</v>
      </c>
      <c r="M238" s="6580" t="s">
        <v>2060</v>
      </c>
      <c r="N238" s="6581"/>
      <c r="O238" s="6581"/>
      <c r="P238" s="6581"/>
      <c r="Q238" s="6581"/>
      <c r="R238" s="6581"/>
      <c r="S238" s="6581"/>
      <c r="T238" s="6581"/>
      <c r="U238" s="6581"/>
      <c r="V238" s="6581"/>
      <c r="W238" s="6581"/>
      <c r="X238" s="6581"/>
      <c r="Y238" s="82"/>
      <c r="Z238" s="452"/>
    </row>
    <row r="239" spans="1:26" ht="14.25" customHeight="1">
      <c r="A239" s="635"/>
      <c r="B239" s="104"/>
      <c r="C239" s="104"/>
      <c r="D239" s="104"/>
      <c r="E239" s="104"/>
      <c r="F239" s="2332"/>
      <c r="G239" s="2332"/>
      <c r="H239" s="2332"/>
      <c r="I239" s="2333" t="s">
        <v>2031</v>
      </c>
      <c r="J239" s="6568" t="str">
        <f>IF(AND(NOT(E155),NOT(V155)),0,IF(E155,V176,IF(AND(V155,V221=""),0,IF(V155,V221,0))))</f>
        <v/>
      </c>
      <c r="K239" s="6569"/>
      <c r="L239" s="6569"/>
      <c r="M239" s="2332"/>
      <c r="N239" s="2332"/>
      <c r="O239" s="2332"/>
      <c r="P239" s="2332"/>
      <c r="Q239" s="2333" t="s">
        <v>2030</v>
      </c>
      <c r="R239" s="6568">
        <f>IF(AND(E155,V176=""),0,IF(E155,Q179,IF(AND(V155,V221=""),0,IF(V155,Q224,0))))</f>
        <v>0</v>
      </c>
      <c r="S239" s="6569"/>
      <c r="T239" s="104"/>
      <c r="U239" s="104"/>
      <c r="V239" s="104"/>
      <c r="W239" s="104"/>
      <c r="X239" s="1225" t="str">
        <f>"Schedule SE (Form 1040) "&amp;TaxYear</f>
        <v>Schedule SE (Form 1040) 2018</v>
      </c>
      <c r="Y239" s="707"/>
      <c r="Z239" s="452"/>
    </row>
    <row r="240" spans="1:26">
      <c r="A240" s="635"/>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573"/>
    </row>
    <row r="241" spans="2:26" ht="13.5" thickBot="1">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2:26" ht="12.75" customHeight="1" thickTop="1" thickBot="1">
      <c r="B242" s="361"/>
      <c r="C242" s="361"/>
      <c r="D242" s="361"/>
      <c r="E242" s="361"/>
      <c r="F242" s="6673" t="s">
        <v>452</v>
      </c>
      <c r="G242" s="6674"/>
      <c r="H242" s="6674"/>
      <c r="I242" s="6674"/>
      <c r="J242" s="6675"/>
      <c r="K242" s="6676"/>
      <c r="L242" s="361"/>
      <c r="M242" s="361"/>
      <c r="N242" s="361"/>
      <c r="O242" s="361"/>
      <c r="P242" s="361"/>
      <c r="Q242" s="361"/>
      <c r="R242" s="361"/>
      <c r="S242" s="361"/>
      <c r="T242" s="361"/>
      <c r="U242" s="361"/>
      <c r="V242" s="361"/>
      <c r="W242" s="361"/>
      <c r="X242" s="361"/>
      <c r="Y242" s="361"/>
      <c r="Z242" s="46"/>
    </row>
    <row r="243" spans="2:26" ht="14.25" thickTop="1" thickBot="1">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361"/>
    </row>
    <row r="244" spans="2:26" ht="26.25" customHeight="1" thickTop="1" thickBot="1">
      <c r="B244" s="361"/>
      <c r="C244" s="361"/>
      <c r="D244" s="361"/>
      <c r="E244" s="361"/>
      <c r="F244" s="6673" t="s">
        <v>453</v>
      </c>
      <c r="G244" s="6674"/>
      <c r="H244" s="6674"/>
      <c r="I244" s="6674"/>
      <c r="J244" s="6675"/>
      <c r="K244" s="6676"/>
      <c r="L244" s="361"/>
      <c r="M244" s="361"/>
      <c r="N244" s="361"/>
      <c r="O244" s="361"/>
      <c r="P244" s="361"/>
      <c r="Q244" s="361"/>
      <c r="R244" s="361"/>
      <c r="S244" s="361"/>
      <c r="T244" s="361"/>
      <c r="U244" s="361"/>
      <c r="V244" s="361"/>
      <c r="W244" s="361"/>
      <c r="X244" s="361"/>
      <c r="Y244" s="361"/>
      <c r="Z244" s="46"/>
    </row>
    <row r="245" spans="2:26" ht="13.5" thickTop="1">
      <c r="Z245" s="361"/>
    </row>
  </sheetData>
  <sheetProtection password="F07E" sheet="1" objects="1" scenarios="1"/>
  <mergeCells count="173">
    <mergeCell ref="U2:X2"/>
    <mergeCell ref="U6:X7"/>
    <mergeCell ref="V40:X40"/>
    <mergeCell ref="V42:X42"/>
    <mergeCell ref="V43:X43"/>
    <mergeCell ref="V41:X41"/>
    <mergeCell ref="U3:X3"/>
    <mergeCell ref="V55:X55"/>
    <mergeCell ref="V57:X57"/>
    <mergeCell ref="V44:X44"/>
    <mergeCell ref="V47:X47"/>
    <mergeCell ref="V48:X48"/>
    <mergeCell ref="V50:X50"/>
    <mergeCell ref="V51:X51"/>
    <mergeCell ref="V56:X56"/>
    <mergeCell ref="F242:K242"/>
    <mergeCell ref="F244:K244"/>
    <mergeCell ref="M119:X119"/>
    <mergeCell ref="C118:K118"/>
    <mergeCell ref="C119:K119"/>
    <mergeCell ref="M118:X118"/>
    <mergeCell ref="R120:S120"/>
    <mergeCell ref="J120:L120"/>
    <mergeCell ref="U121:X121"/>
    <mergeCell ref="G122:T122"/>
    <mergeCell ref="U122:X122"/>
    <mergeCell ref="G123:T123"/>
    <mergeCell ref="G124:T124"/>
    <mergeCell ref="B125:P125"/>
    <mergeCell ref="Q125:T126"/>
    <mergeCell ref="U125:X126"/>
    <mergeCell ref="V160:X160"/>
    <mergeCell ref="V161:X161"/>
    <mergeCell ref="V162:X162"/>
    <mergeCell ref="V163:X163"/>
    <mergeCell ref="V164:X164"/>
    <mergeCell ref="B126:P126"/>
    <mergeCell ref="F127:Q127"/>
    <mergeCell ref="G131:R131"/>
    <mergeCell ref="V117:X117"/>
    <mergeCell ref="B64:O64"/>
    <mergeCell ref="U63:X64"/>
    <mergeCell ref="V54:X54"/>
    <mergeCell ref="V92:X92"/>
    <mergeCell ref="V72:X72"/>
    <mergeCell ref="U58:X58"/>
    <mergeCell ref="V111:X111"/>
    <mergeCell ref="V115:X115"/>
    <mergeCell ref="V99:X99"/>
    <mergeCell ref="V109:X109"/>
    <mergeCell ref="Q104:T104"/>
    <mergeCell ref="V100:X100"/>
    <mergeCell ref="Q94:T94"/>
    <mergeCell ref="Q105:T105"/>
    <mergeCell ref="U60:X60"/>
    <mergeCell ref="V87:X87"/>
    <mergeCell ref="V75:X75"/>
    <mergeCell ref="V79:X79"/>
    <mergeCell ref="V85:X85"/>
    <mergeCell ref="V86:X86"/>
    <mergeCell ref="V80:X80"/>
    <mergeCell ref="V81:X81"/>
    <mergeCell ref="Z94:Z95"/>
    <mergeCell ref="V96:X96"/>
    <mergeCell ref="V97:X97"/>
    <mergeCell ref="V98:X98"/>
    <mergeCell ref="V91:X91"/>
    <mergeCell ref="Q95:T95"/>
    <mergeCell ref="V88:X88"/>
    <mergeCell ref="V89:X89"/>
    <mergeCell ref="Q96:T96"/>
    <mergeCell ref="Q93:T93"/>
    <mergeCell ref="Q92:T92"/>
    <mergeCell ref="V93:X93"/>
    <mergeCell ref="V94:X94"/>
    <mergeCell ref="V95:X95"/>
    <mergeCell ref="Z37:Z39"/>
    <mergeCell ref="G5:T5"/>
    <mergeCell ref="G3:T3"/>
    <mergeCell ref="G4:T4"/>
    <mergeCell ref="Q87:T87"/>
    <mergeCell ref="P63:T64"/>
    <mergeCell ref="G12:R12"/>
    <mergeCell ref="Q59:T59"/>
    <mergeCell ref="Q58:T58"/>
    <mergeCell ref="Q60:T60"/>
    <mergeCell ref="F8:Q8"/>
    <mergeCell ref="V53:X53"/>
    <mergeCell ref="V49:X49"/>
    <mergeCell ref="V45:X45"/>
    <mergeCell ref="V46:X46"/>
    <mergeCell ref="Q6:T7"/>
    <mergeCell ref="B7:P7"/>
    <mergeCell ref="B6:P6"/>
    <mergeCell ref="V83:X83"/>
    <mergeCell ref="V84:X84"/>
    <mergeCell ref="V77:X77"/>
    <mergeCell ref="V74:X74"/>
    <mergeCell ref="V76:X76"/>
    <mergeCell ref="V176:X176"/>
    <mergeCell ref="Q177:T177"/>
    <mergeCell ref="U177:X177"/>
    <mergeCell ref="Q178:T178"/>
    <mergeCell ref="Q179:T179"/>
    <mergeCell ref="U179:X179"/>
    <mergeCell ref="Z156:Z158"/>
    <mergeCell ref="V159:X159"/>
    <mergeCell ref="V170:X170"/>
    <mergeCell ref="V172:X172"/>
    <mergeCell ref="V173:X173"/>
    <mergeCell ref="V174:X174"/>
    <mergeCell ref="V175:X175"/>
    <mergeCell ref="V165:X165"/>
    <mergeCell ref="V166:X166"/>
    <mergeCell ref="V167:X167"/>
    <mergeCell ref="V168:X168"/>
    <mergeCell ref="V169:X169"/>
    <mergeCell ref="V194:X194"/>
    <mergeCell ref="V195:X195"/>
    <mergeCell ref="V196:X196"/>
    <mergeCell ref="V198:X198"/>
    <mergeCell ref="V199:X199"/>
    <mergeCell ref="P182:T183"/>
    <mergeCell ref="U182:X183"/>
    <mergeCell ref="B183:O183"/>
    <mergeCell ref="V191:X191"/>
    <mergeCell ref="V193:X193"/>
    <mergeCell ref="Q206:T206"/>
    <mergeCell ref="V206:X206"/>
    <mergeCell ref="V207:X207"/>
    <mergeCell ref="V208:X208"/>
    <mergeCell ref="V210:X210"/>
    <mergeCell ref="V200:X200"/>
    <mergeCell ref="V202:X202"/>
    <mergeCell ref="V203:X203"/>
    <mergeCell ref="V204:X204"/>
    <mergeCell ref="V205:X205"/>
    <mergeCell ref="V220:X220"/>
    <mergeCell ref="Z213:Z214"/>
    <mergeCell ref="Q214:T214"/>
    <mergeCell ref="V214:X214"/>
    <mergeCell ref="Q215:T215"/>
    <mergeCell ref="V215:X215"/>
    <mergeCell ref="Q211:T211"/>
    <mergeCell ref="V211:X211"/>
    <mergeCell ref="Q212:T212"/>
    <mergeCell ref="V212:X212"/>
    <mergeCell ref="Q213:T213"/>
    <mergeCell ref="V213:X213"/>
    <mergeCell ref="AB121:AG122"/>
    <mergeCell ref="V221:X221"/>
    <mergeCell ref="AB24:AF29"/>
    <mergeCell ref="AB143:AF148"/>
    <mergeCell ref="V102:X102"/>
    <mergeCell ref="J239:L239"/>
    <mergeCell ref="R239:S239"/>
    <mergeCell ref="AB2:AG4"/>
    <mergeCell ref="AB8:AG13"/>
    <mergeCell ref="AB127:AG132"/>
    <mergeCell ref="V236:X236"/>
    <mergeCell ref="C237:K237"/>
    <mergeCell ref="M237:X237"/>
    <mergeCell ref="C238:K238"/>
    <mergeCell ref="M238:X238"/>
    <mergeCell ref="Q223:T223"/>
    <mergeCell ref="Q224:T224"/>
    <mergeCell ref="V228:X228"/>
    <mergeCell ref="V230:X230"/>
    <mergeCell ref="V234:X234"/>
    <mergeCell ref="V216:X216"/>
    <mergeCell ref="V217:X217"/>
    <mergeCell ref="V218:X218"/>
    <mergeCell ref="V219:X219"/>
  </mergeCells>
  <phoneticPr fontId="12" type="noConversion"/>
  <conditionalFormatting sqref="Z110:Z112">
    <cfRule type="expression" dxfId="1426" priority="200" stopIfTrue="1">
      <formula>IF($V$111&gt;$V$109,0,1)</formula>
    </cfRule>
  </conditionalFormatting>
  <conditionalFormatting sqref="Z116:Z118">
    <cfRule type="expression" dxfId="1425" priority="201" stopIfTrue="1">
      <formula>IF($V$117&gt;$V$115,0,1)</formula>
    </cfRule>
  </conditionalFormatting>
  <conditionalFormatting sqref="B36:X36">
    <cfRule type="expression" dxfId="1424" priority="204" stopIfTrue="1">
      <formula>IF(TaxYear&gt;1996,1,0)</formula>
    </cfRule>
  </conditionalFormatting>
  <conditionalFormatting sqref="V44:X46">
    <cfRule type="expression" dxfId="1423" priority="206" stopIfTrue="1">
      <formula>IF(AND($V$43&lt;&gt;"",$V$43&gt;0),1,0)</formula>
    </cfRule>
    <cfRule type="expression" dxfId="1422" priority="207" stopIfTrue="1">
      <formula>IF($V$43&lt;=0,1,0)</formula>
    </cfRule>
  </conditionalFormatting>
  <conditionalFormatting sqref="V75:X78">
    <cfRule type="expression" dxfId="1421" priority="208" stopIfTrue="1">
      <formula>IF(AND($V$74&lt;&gt;"",$V$74&gt;0),1,0)</formula>
    </cfRule>
    <cfRule type="expression" dxfId="1420" priority="209" stopIfTrue="1">
      <formula>IF($V$74&lt;=0,1,0)</formula>
    </cfRule>
  </conditionalFormatting>
  <conditionalFormatting sqref="V41:X41 V43:X43 V47:X47 V162:X162 V166:X166">
    <cfRule type="expression" dxfId="1419" priority="211" stopIfTrue="1">
      <formula>NOT($E$155)</formula>
    </cfRule>
  </conditionalFormatting>
  <conditionalFormatting sqref="V48">
    <cfRule type="expression" dxfId="1418" priority="197" stopIfTrue="1">
      <formula>IF(AND($C$34="",$P$34=""),1,0)</formula>
    </cfRule>
  </conditionalFormatting>
  <conditionalFormatting sqref="D50">
    <cfRule type="expression" dxfId="1417" priority="193" stopIfTrue="1">
      <formula>IF(AND($C$34&lt;&gt;"",OR($V$43="",$V$43=0),$V$50&lt;$V$49),1,0)</formula>
    </cfRule>
  </conditionalFormatting>
  <conditionalFormatting sqref="I49">
    <cfRule type="expression" dxfId="1416" priority="192" stopIfTrue="1">
      <formula>IF(AND($C$34&lt;&gt;"",OR($V$43="",$V$43=0),$V$50&lt;$V$49),1,0)</formula>
    </cfRule>
  </conditionalFormatting>
  <conditionalFormatting sqref="B7">
    <cfRule type="expression" dxfId="1415" priority="191">
      <formula>IF(NoColor,1,0)</formula>
    </cfRule>
  </conditionalFormatting>
  <conditionalFormatting sqref="C34">
    <cfRule type="expression" dxfId="1414" priority="189">
      <formula>IF(NoColor,1,0)</formula>
    </cfRule>
  </conditionalFormatting>
  <conditionalFormatting sqref="P34">
    <cfRule type="expression" dxfId="1413" priority="188">
      <formula>IF(NoColor,1,0)</formula>
    </cfRule>
  </conditionalFormatting>
  <conditionalFormatting sqref="W70">
    <cfRule type="expression" dxfId="1412" priority="187">
      <formula>IF(NoColor,1,0)</formula>
    </cfRule>
  </conditionalFormatting>
  <conditionalFormatting sqref="V41:X41">
    <cfRule type="expression" dxfId="1411" priority="186">
      <formula>IF(NoColor,1,0)</formula>
    </cfRule>
  </conditionalFormatting>
  <conditionalFormatting sqref="V43:X43">
    <cfRule type="expression" dxfId="1410" priority="185">
      <formula>IF(NoColor,1,0)</formula>
    </cfRule>
  </conditionalFormatting>
  <conditionalFormatting sqref="V47:X47">
    <cfRule type="expression" dxfId="1409" priority="184">
      <formula>IF(NoColor,1,0)</formula>
    </cfRule>
  </conditionalFormatting>
  <conditionalFormatting sqref="V50:X50">
    <cfRule type="expression" dxfId="1408" priority="183" stopIfTrue="1">
      <formula>IF($P$34&lt;&gt;"",1,0)</formula>
    </cfRule>
  </conditionalFormatting>
  <conditionalFormatting sqref="V50:X50">
    <cfRule type="expression" dxfId="1407" priority="182">
      <formula>IF(NoColor,1,0)</formula>
    </cfRule>
  </conditionalFormatting>
  <conditionalFormatting sqref="V57:X57">
    <cfRule type="expression" dxfId="1406" priority="181" stopIfTrue="1">
      <formula>IF($P$34&lt;&gt;"",1,0)</formula>
    </cfRule>
  </conditionalFormatting>
  <conditionalFormatting sqref="V57:X57">
    <cfRule type="expression" dxfId="1405" priority="180">
      <formula>IF(NoColor,1,0)</formula>
    </cfRule>
  </conditionalFormatting>
  <conditionalFormatting sqref="Q60:S60">
    <cfRule type="expression" dxfId="1404" priority="178">
      <formula>IF(NoColor,1,0)</formula>
    </cfRule>
  </conditionalFormatting>
  <conditionalFormatting sqref="B64:O64">
    <cfRule type="expression" dxfId="1403" priority="176">
      <formula>IF(NoColor,1,0)</formula>
    </cfRule>
  </conditionalFormatting>
  <conditionalFormatting sqref="V48:X48">
    <cfRule type="expression" dxfId="1402" priority="175">
      <formula>IF(NoColor,1,0)</formula>
    </cfRule>
  </conditionalFormatting>
  <conditionalFormatting sqref="V79:X79">
    <cfRule type="expression" dxfId="1401" priority="171">
      <formula>IF(NoColor,1,0)</formula>
    </cfRule>
  </conditionalFormatting>
  <conditionalFormatting sqref="V83:X83">
    <cfRule type="expression" dxfId="1400" priority="169">
      <formula>IF(NoColor,1,0)</formula>
    </cfRule>
  </conditionalFormatting>
  <conditionalFormatting sqref="V97:X97">
    <cfRule type="expression" dxfId="1399" priority="167">
      <formula>IF(NoColor,1,0)</formula>
    </cfRule>
  </conditionalFormatting>
  <conditionalFormatting sqref="Q94:T94">
    <cfRule type="expression" dxfId="1398" priority="166">
      <formula>IF(NoColor,1,0)</formula>
    </cfRule>
  </conditionalFormatting>
  <conditionalFormatting sqref="Q105:T105">
    <cfRule type="expression" dxfId="1397" priority="165">
      <formula>IF(NoColor,1,0)</formula>
    </cfRule>
  </conditionalFormatting>
  <conditionalFormatting sqref="V115:X115">
    <cfRule type="expression" dxfId="1396" priority="161">
      <formula>IF(NoColor,1,0)</formula>
    </cfRule>
  </conditionalFormatting>
  <conditionalFormatting sqref="V117:X117">
    <cfRule type="expression" dxfId="1395" priority="159">
      <formula>IF(NoColor,1,0)</formula>
    </cfRule>
  </conditionalFormatting>
  <conditionalFormatting sqref="V85:X85">
    <cfRule type="expression" dxfId="1394" priority="157">
      <formula>IF(NoColor,1,0)</formula>
    </cfRule>
  </conditionalFormatting>
  <conditionalFormatting sqref="V88:X88">
    <cfRule type="expression" dxfId="1393" priority="155">
      <formula>IF(NoColor,1,0)</formula>
    </cfRule>
  </conditionalFormatting>
  <conditionalFormatting sqref="Q87:T87">
    <cfRule type="expression" dxfId="1392" priority="154">
      <formula>IF(NoColor,1,0)</formula>
    </cfRule>
  </conditionalFormatting>
  <conditionalFormatting sqref="V72:X72">
    <cfRule type="expression" dxfId="1391" priority="136">
      <formula>IF(P34="",1,0)</formula>
    </cfRule>
    <cfRule type="expression" dxfId="1390" priority="153">
      <formula>IF(NoColor,1,0)</formula>
    </cfRule>
  </conditionalFormatting>
  <conditionalFormatting sqref="V80:X81">
    <cfRule type="expression" dxfId="1389" priority="152">
      <formula>IF(NoColor,1,0)</formula>
    </cfRule>
  </conditionalFormatting>
  <conditionalFormatting sqref="V89:X89">
    <cfRule type="expression" dxfId="1388" priority="151">
      <formula>IF(NoColor,1,0)</formula>
    </cfRule>
  </conditionalFormatting>
  <conditionalFormatting sqref="V98:X100 V102:X102">
    <cfRule type="expression" dxfId="1387" priority="150">
      <formula>IF(NoColor,1,0)</formula>
    </cfRule>
  </conditionalFormatting>
  <conditionalFormatting sqref="Q95:T96">
    <cfRule type="expression" dxfId="1386" priority="149">
      <formula>IF(NoColor,1,0)</formula>
    </cfRule>
  </conditionalFormatting>
  <conditionalFormatting sqref="Z34">
    <cfRule type="expression" dxfId="1385" priority="147">
      <formula>IF(OR(AND(C34="",P34=""),AND(C34&lt;&gt;"",P34&lt;&gt;"")),0,1)</formula>
    </cfRule>
  </conditionalFormatting>
  <conditionalFormatting sqref="Z81:Z83">
    <cfRule type="expression" dxfId="1384" priority="2015" stopIfTrue="1">
      <formula>IF(OR($V$111&gt;$V$109,$V$118&gt;$V$116),0,1)</formula>
    </cfRule>
  </conditionalFormatting>
  <conditionalFormatting sqref="V74:X74">
    <cfRule type="expression" dxfId="1383" priority="141" stopIfTrue="1">
      <formula>IF($P$34="",1,0)</formula>
    </cfRule>
  </conditionalFormatting>
  <conditionalFormatting sqref="V74:X74">
    <cfRule type="expression" dxfId="1382" priority="140">
      <formula>IF(NoColor,1,0)</formula>
    </cfRule>
  </conditionalFormatting>
  <conditionalFormatting sqref="AI74">
    <cfRule type="expression" dxfId="1381" priority="138">
      <formula>OR(NOT($V$36),$V$72=0)</formula>
    </cfRule>
  </conditionalFormatting>
  <conditionalFormatting sqref="AI75">
    <cfRule type="expression" dxfId="1380" priority="137">
      <formula>IF(OR(NOT($V$36),$V$72=0),TRUE,FALSE)</formula>
    </cfRule>
  </conditionalFormatting>
  <conditionalFormatting sqref="Z44">
    <cfRule type="expression" dxfId="1379" priority="135">
      <formula>IF(AND($E$36,SchC_StatutoryEmp&lt;&gt;""),1,0)</formula>
    </cfRule>
  </conditionalFormatting>
  <conditionalFormatting sqref="Z45:Z46">
    <cfRule type="expression" dxfId="1378" priority="129">
      <formula>IF(AND($E$36,SchC_StatutoryEmp&lt;&gt;""),1,0)</formula>
    </cfRule>
  </conditionalFormatting>
  <conditionalFormatting sqref="Z76">
    <cfRule type="expression" dxfId="1377" priority="128">
      <formula>IF(AND($V$36,SchC_StatutoryEmp&lt;&gt;""),1,0)</formula>
    </cfRule>
  </conditionalFormatting>
  <conditionalFormatting sqref="Z77:Z78">
    <cfRule type="expression" dxfId="1376" priority="127">
      <formula>IF(AND($V$36,SchC_StatutoryEmp&lt;&gt;""),1,0)</formula>
    </cfRule>
  </conditionalFormatting>
  <conditionalFormatting sqref="Z75">
    <cfRule type="expression" dxfId="1375" priority="126">
      <formula>IF(AND($V$36,SchC_StatutoryEmp&lt;&gt;""),1,0)</formula>
    </cfRule>
  </conditionalFormatting>
  <conditionalFormatting sqref="Z43">
    <cfRule type="expression" dxfId="1374" priority="124">
      <formula>IF(AND($E$36,SchC_StatutoryEmp&lt;&gt;""),1,0)</formula>
    </cfRule>
  </conditionalFormatting>
  <conditionalFormatting sqref="S2">
    <cfRule type="expression" dxfId="1373" priority="122">
      <formula>NOT(Draft)</formula>
    </cfRule>
  </conditionalFormatting>
  <conditionalFormatting sqref="G2">
    <cfRule type="expression" dxfId="1372" priority="123">
      <formula>NOT(Draft)</formula>
    </cfRule>
  </conditionalFormatting>
  <conditionalFormatting sqref="Z229:Z231">
    <cfRule type="expression" dxfId="1371" priority="111" stopIfTrue="1">
      <formula>IF($V$111&gt;$V$109,0,1)</formula>
    </cfRule>
  </conditionalFormatting>
  <conditionalFormatting sqref="Z235:Z237">
    <cfRule type="expression" dxfId="1370" priority="112" stopIfTrue="1">
      <formula>IF($V$117&gt;$V$115,0,1)</formula>
    </cfRule>
  </conditionalFormatting>
  <conditionalFormatting sqref="B155:X155">
    <cfRule type="expression" dxfId="1369" priority="113" stopIfTrue="1">
      <formula>IF(TaxYear&gt;1996,1,0)</formula>
    </cfRule>
  </conditionalFormatting>
  <conditionalFormatting sqref="V163:X165">
    <cfRule type="expression" dxfId="1368" priority="114" stopIfTrue="1">
      <formula>IF(AND($V$43&lt;&gt;"",$V$43&gt;0),1,0)</formula>
    </cfRule>
    <cfRule type="expression" dxfId="1367" priority="115" stopIfTrue="1">
      <formula>IF($V$43&lt;=0,1,0)</formula>
    </cfRule>
  </conditionalFormatting>
  <conditionalFormatting sqref="V194:X197">
    <cfRule type="expression" dxfId="1366" priority="116" stopIfTrue="1">
      <formula>IF(AND($V$74&lt;&gt;"",$V$74&gt;0),1,0)</formula>
    </cfRule>
    <cfRule type="expression" dxfId="1365" priority="117" stopIfTrue="1">
      <formula>IF($V$74&lt;=0,1,0)</formula>
    </cfRule>
  </conditionalFormatting>
  <conditionalFormatting sqref="V167">
    <cfRule type="expression" dxfId="1364" priority="110" stopIfTrue="1">
      <formula>IF(AND($C$34="",$P$34=""),1,0)</formula>
    </cfRule>
  </conditionalFormatting>
  <conditionalFormatting sqref="D169">
    <cfRule type="expression" dxfId="1363" priority="109" stopIfTrue="1">
      <formula>IF(AND($C$34&lt;&gt;"",OR($V$43="",$V$43=0),$V$50&lt;$V$49),1,0)</formula>
    </cfRule>
  </conditionalFormatting>
  <conditionalFormatting sqref="I168">
    <cfRule type="expression" dxfId="1362" priority="108" stopIfTrue="1">
      <formula>IF(AND($C$34&lt;&gt;"",OR($V$43="",$V$43=0),$V$50&lt;$V$49),1,0)</formula>
    </cfRule>
  </conditionalFormatting>
  <conditionalFormatting sqref="B126">
    <cfRule type="expression" dxfId="1361" priority="107">
      <formula>IF(NoColor,1,0)</formula>
    </cfRule>
  </conditionalFormatting>
  <conditionalFormatting sqref="W189">
    <cfRule type="expression" dxfId="1360" priority="103">
      <formula>IF(NoColor,1,0)</formula>
    </cfRule>
  </conditionalFormatting>
  <conditionalFormatting sqref="V162:X162">
    <cfRule type="expression" dxfId="1359" priority="101">
      <formula>IF(NoColor,1,0)</formula>
    </cfRule>
  </conditionalFormatting>
  <conditionalFormatting sqref="V166:X166">
    <cfRule type="expression" dxfId="1358" priority="100">
      <formula>IF(NoColor,1,0)</formula>
    </cfRule>
  </conditionalFormatting>
  <conditionalFormatting sqref="V169:X169">
    <cfRule type="expression" dxfId="1357" priority="98">
      <formula>IF(NoColor,1,0)</formula>
    </cfRule>
  </conditionalFormatting>
  <conditionalFormatting sqref="V176:X176">
    <cfRule type="expression" dxfId="1356" priority="96">
      <formula>IF(NoColor,1,0)</formula>
    </cfRule>
  </conditionalFormatting>
  <conditionalFormatting sqref="Q179:S179">
    <cfRule type="expression" dxfId="1355" priority="95">
      <formula>IF(NoColor,1,0)</formula>
    </cfRule>
  </conditionalFormatting>
  <conditionalFormatting sqref="B183:O183">
    <cfRule type="expression" dxfId="1354" priority="93">
      <formula>IF(NoColor,1,0)</formula>
    </cfRule>
  </conditionalFormatting>
  <conditionalFormatting sqref="V167:X167">
    <cfRule type="expression" dxfId="1353" priority="92">
      <formula>IF(NoColor,1,0)</formula>
    </cfRule>
  </conditionalFormatting>
  <conditionalFormatting sqref="V198:X198">
    <cfRule type="expression" dxfId="1352" priority="91">
      <formula>IF(NoColor,1,0)</formula>
    </cfRule>
  </conditionalFormatting>
  <conditionalFormatting sqref="V202:X202">
    <cfRule type="expression" dxfId="1351" priority="90">
      <formula>IF(NoColor,1,0)</formula>
    </cfRule>
  </conditionalFormatting>
  <conditionalFormatting sqref="V216:X216">
    <cfRule type="expression" dxfId="1350" priority="89">
      <formula>IF(NoColor,1,0)</formula>
    </cfRule>
  </conditionalFormatting>
  <conditionalFormatting sqref="Q224:T224">
    <cfRule type="expression" dxfId="1349" priority="87">
      <formula>IF(NoColor,1,0)</formula>
    </cfRule>
  </conditionalFormatting>
  <conditionalFormatting sqref="V230:X230">
    <cfRule type="expression" dxfId="1348" priority="85">
      <formula>IF(NoColor,1,0)</formula>
    </cfRule>
  </conditionalFormatting>
  <conditionalFormatting sqref="V234:X234">
    <cfRule type="expression" dxfId="1347" priority="84">
      <formula>IF(NoColor,1,0)</formula>
    </cfRule>
  </conditionalFormatting>
  <conditionalFormatting sqref="V204:X204">
    <cfRule type="expression" dxfId="1346" priority="81">
      <formula>IF(NoColor,1,0)</formula>
    </cfRule>
  </conditionalFormatting>
  <conditionalFormatting sqref="V207:X207">
    <cfRule type="expression" dxfId="1345" priority="80">
      <formula>IF(NoColor,1,0)</formula>
    </cfRule>
  </conditionalFormatting>
  <conditionalFormatting sqref="Q206:T206">
    <cfRule type="expression" dxfId="1344" priority="79">
      <formula>IF(NoColor,1,0)</formula>
    </cfRule>
  </conditionalFormatting>
  <conditionalFormatting sqref="V199:X200">
    <cfRule type="expression" dxfId="1343" priority="77">
      <formula>IF(NoColor,1,0)</formula>
    </cfRule>
  </conditionalFormatting>
  <conditionalFormatting sqref="V208:X208">
    <cfRule type="expression" dxfId="1342" priority="76">
      <formula>IF(NoColor,1,0)</formula>
    </cfRule>
  </conditionalFormatting>
  <conditionalFormatting sqref="V217:X221">
    <cfRule type="expression" dxfId="1341" priority="75">
      <formula>IF(NoColor,1,0)</formula>
    </cfRule>
  </conditionalFormatting>
  <conditionalFormatting sqref="Q214:T215">
    <cfRule type="expression" dxfId="1340" priority="74">
      <formula>IF(NoColor,1,0)</formula>
    </cfRule>
  </conditionalFormatting>
  <conditionalFormatting sqref="Z153">
    <cfRule type="expression" dxfId="1339" priority="73">
      <formula>IF(OR(AND(C153="",P153=""),AND(C153&lt;&gt;"",P153&lt;&gt;"")),0,1)</formula>
    </cfRule>
  </conditionalFormatting>
  <conditionalFormatting sqref="Z200:Z202">
    <cfRule type="expression" dxfId="1338" priority="121" stopIfTrue="1">
      <formula>IF(OR($V$111&gt;$V$109,$V$118&gt;$V$116),0,1)</formula>
    </cfRule>
  </conditionalFormatting>
  <conditionalFormatting sqref="V193:X193">
    <cfRule type="expression" dxfId="1337" priority="72" stopIfTrue="1">
      <formula>IF($P$34="",1,0)</formula>
    </cfRule>
  </conditionalFormatting>
  <conditionalFormatting sqref="V193:X193">
    <cfRule type="expression" dxfId="1336" priority="71">
      <formula>IF(NoColor,1,0)</formula>
    </cfRule>
  </conditionalFormatting>
  <conditionalFormatting sqref="AI192:AI195">
    <cfRule type="expression" dxfId="1335" priority="69">
      <formula>IF(OR(NOT($V$36),$V$72=0),TRUE,FALSE)</formula>
    </cfRule>
  </conditionalFormatting>
  <conditionalFormatting sqref="AI196">
    <cfRule type="expression" dxfId="1334" priority="68">
      <formula>IF(OR(NOT($V$36),$V$72=0),TRUE,FALSE)</formula>
    </cfRule>
  </conditionalFormatting>
  <conditionalFormatting sqref="Z163">
    <cfRule type="expression" dxfId="1333" priority="66">
      <formula>IF(AND($E$36,SchC_StatutoryEmp&lt;&gt;""),1,0)</formula>
    </cfRule>
  </conditionalFormatting>
  <conditionalFormatting sqref="Z164:Z165">
    <cfRule type="expression" dxfId="1332" priority="65">
      <formula>IF(AND($E$36,SchC_StatutoryEmp&lt;&gt;""),1,0)</formula>
    </cfRule>
  </conditionalFormatting>
  <conditionalFormatting sqref="Z195">
    <cfRule type="expression" dxfId="1331" priority="64">
      <formula>IF(AND($V$36,SchC_StatutoryEmp&lt;&gt;""),1,0)</formula>
    </cfRule>
  </conditionalFormatting>
  <conditionalFormatting sqref="Z196:Z197">
    <cfRule type="expression" dxfId="1330" priority="63">
      <formula>IF(AND($V$36,SchC_StatutoryEmp&lt;&gt;""),1,0)</formula>
    </cfRule>
  </conditionalFormatting>
  <conditionalFormatting sqref="Z194">
    <cfRule type="expression" dxfId="1329" priority="62">
      <formula>IF(AND($V$36,SchC_StatutoryEmp&lt;&gt;""),1,0)</formula>
    </cfRule>
  </conditionalFormatting>
  <conditionalFormatting sqref="Z162">
    <cfRule type="expression" dxfId="1328" priority="61">
      <formula>IF(AND($E$36,SchC_StatutoryEmp&lt;&gt;""),1,0)</formula>
    </cfRule>
  </conditionalFormatting>
  <conditionalFormatting sqref="S121">
    <cfRule type="expression" dxfId="1327" priority="59">
      <formula>NOT(Draft)</formula>
    </cfRule>
  </conditionalFormatting>
  <conditionalFormatting sqref="G121">
    <cfRule type="expression" dxfId="1326" priority="60">
      <formula>NOT(Draft)</formula>
    </cfRule>
  </conditionalFormatting>
  <conditionalFormatting sqref="AB5">
    <cfRule type="expression" dxfId="1325" priority="57">
      <formula>IF(NoColor,1,0)</formula>
    </cfRule>
  </conditionalFormatting>
  <conditionalFormatting sqref="AB7">
    <cfRule type="expression" dxfId="1324" priority="55">
      <formula>OR(NumFileStatusBoxes=0,AND(NumFileStatusBoxes=1,File_Marr_Joint=""))</formula>
    </cfRule>
    <cfRule type="expression" dxfId="1323" priority="56">
      <formula>IF(NoColor,1,0)</formula>
    </cfRule>
  </conditionalFormatting>
  <conditionalFormatting sqref="AB124">
    <cfRule type="expression" dxfId="1322" priority="54">
      <formula>IF(NoColor,1,0)</formula>
    </cfRule>
  </conditionalFormatting>
  <conditionalFormatting sqref="AB126">
    <cfRule type="expression" dxfId="1321" priority="52">
      <formula>IF(OR(NumFileStatusBoxes=0,AND(NumFileStatusBoxes=1,File_Marr_Joint="")),1,0)</formula>
    </cfRule>
    <cfRule type="expression" dxfId="1320" priority="53">
      <formula>IF(NoColor,1,0)</formula>
    </cfRule>
  </conditionalFormatting>
  <conditionalFormatting sqref="AB123:AH123 AB121 AH121:AH122">
    <cfRule type="expression" dxfId="1319" priority="50">
      <formula>(File_Marr_Joint="")</formula>
    </cfRule>
  </conditionalFormatting>
  <conditionalFormatting sqref="AB2:AH4 AH5:AH14">
    <cfRule type="expression" dxfId="1318" priority="49">
      <formula>(File_Marr_Joint="")</formula>
    </cfRule>
  </conditionalFormatting>
  <conditionalFormatting sqref="Z86:Z87 Z205:Z207">
    <cfRule type="expression" dxfId="1317" priority="13" stopIfTrue="1">
      <formula>AND($V$36,$AE$84&lt;$AC$49)</formula>
    </cfRule>
    <cfRule type="expression" dxfId="1316" priority="2498">
      <formula>AND($V$36,$AE$84&lt;$AC$49,Y86&lt;&gt;"")</formula>
    </cfRule>
  </conditionalFormatting>
  <conditionalFormatting sqref="Z55">
    <cfRule type="expression" dxfId="1315" priority="2502">
      <formula>AND($E$36,OR($V$43="",$V$43=0),$V$50&lt;$AC$49)</formula>
    </cfRule>
  </conditionalFormatting>
  <conditionalFormatting sqref="C153">
    <cfRule type="expression" dxfId="1314" priority="36">
      <formula>IF(NoColor,1,0)</formula>
    </cfRule>
  </conditionalFormatting>
  <conditionalFormatting sqref="P153">
    <cfRule type="expression" dxfId="1313" priority="35">
      <formula>IF(NoColor,1,0)</formula>
    </cfRule>
  </conditionalFormatting>
  <conditionalFormatting sqref="AB24:AF29 AB143">
    <cfRule type="expression" dxfId="1312" priority="34">
      <formula>AND(AB32&lt;&gt;"",AB34&lt;&gt;"")</formula>
    </cfRule>
  </conditionalFormatting>
  <conditionalFormatting sqref="AB71">
    <cfRule type="expression" dxfId="1311" priority="32">
      <formula>OR(NOT(V36),V72=0)</formula>
    </cfRule>
  </conditionalFormatting>
  <conditionalFormatting sqref="AF71">
    <cfRule type="expression" dxfId="1310" priority="31">
      <formula>OR(NOT(V36),V72=0)</formula>
    </cfRule>
  </conditionalFormatting>
  <conditionalFormatting sqref="AF72">
    <cfRule type="expression" dxfId="1309" priority="30">
      <formula>OR(NOT(V36),V72=0)</formula>
    </cfRule>
  </conditionalFormatting>
  <conditionalFormatting sqref="V236:X236">
    <cfRule type="expression" dxfId="1308" priority="23">
      <formula>IF(NoColor,1,0)</formula>
    </cfRule>
  </conditionalFormatting>
  <conditionalFormatting sqref="V111:X111">
    <cfRule type="expression" dxfId="1307" priority="22">
      <formula>IF(NoColor,1,0)</formula>
    </cfRule>
  </conditionalFormatting>
  <conditionalFormatting sqref="V160:X160">
    <cfRule type="expression" dxfId="1306" priority="19" stopIfTrue="1">
      <formula>NOT($E$155)</formula>
    </cfRule>
  </conditionalFormatting>
  <conditionalFormatting sqref="V160:X160">
    <cfRule type="expression" dxfId="1305" priority="18">
      <formula>IF(NoColor,1,0)</formula>
    </cfRule>
  </conditionalFormatting>
  <conditionalFormatting sqref="V191:X191">
    <cfRule type="expression" dxfId="1304" priority="16">
      <formula>NOT(V155)</formula>
    </cfRule>
    <cfRule type="expression" dxfId="1303" priority="17">
      <formula>IF(NoColor,1,0)</formula>
    </cfRule>
  </conditionalFormatting>
  <conditionalFormatting sqref="Q213:T213">
    <cfRule type="expression" dxfId="1302" priority="15">
      <formula>IF(NoColor,1,0)</formula>
    </cfRule>
  </conditionalFormatting>
  <conditionalFormatting sqref="AB193">
    <cfRule type="expression" dxfId="1301" priority="2627">
      <formula>OR(NOT(V155),V191=0)</formula>
    </cfRule>
  </conditionalFormatting>
  <conditionalFormatting sqref="AF193">
    <cfRule type="expression" dxfId="1300" priority="2628">
      <formula>OR(NOT(V155),V191=0)</formula>
    </cfRule>
  </conditionalFormatting>
  <conditionalFormatting sqref="AF194">
    <cfRule type="expression" dxfId="1299" priority="2629">
      <formula>OR(NOT(V155),V191=0)</formula>
    </cfRule>
  </conditionalFormatting>
  <conditionalFormatting sqref="Y86 Y205">
    <cfRule type="expression" dxfId="1298" priority="2643" stopIfTrue="1">
      <formula>AND($V$36,$AE$84&lt;$AC$49)</formula>
    </cfRule>
  </conditionalFormatting>
  <conditionalFormatting sqref="Z88">
    <cfRule type="expression" dxfId="1297" priority="2647" stopIfTrue="1">
      <formula>AND(V38,AE83&lt;AC51)</formula>
    </cfRule>
  </conditionalFormatting>
  <conditionalFormatting sqref="Z174">
    <cfRule type="expression" dxfId="1296" priority="2649">
      <formula>AND($E$155,OR($V$162="",$V$162=0),$V$169&lt;$AC$168)</formula>
    </cfRule>
  </conditionalFormatting>
  <conditionalFormatting sqref="Z85">
    <cfRule type="expression" dxfId="1295" priority="14">
      <formula>Z85="Stop"</formula>
    </cfRule>
  </conditionalFormatting>
  <conditionalFormatting sqref="Z204">
    <cfRule type="expression" dxfId="1294" priority="12">
      <formula>Z204="Stop"</formula>
    </cfRule>
  </conditionalFormatting>
  <conditionalFormatting sqref="U6:X7">
    <cfRule type="expression" dxfId="1293" priority="7">
      <formula>AND(NoColor,NoSSN)</formula>
    </cfRule>
    <cfRule type="expression" dxfId="1292" priority="10">
      <formula>IF(NoColor,1,0)</formula>
    </cfRule>
  </conditionalFormatting>
  <conditionalFormatting sqref="U63:X64">
    <cfRule type="expression" dxfId="1291" priority="5">
      <formula>AND(NoColor,NoSSN)</formula>
    </cfRule>
    <cfRule type="expression" dxfId="1290" priority="6">
      <formula>IF(NoColor,1,0)</formula>
    </cfRule>
  </conditionalFormatting>
  <conditionalFormatting sqref="U125:X126">
    <cfRule type="expression" dxfId="1289" priority="3">
      <formula>AND(NoColor,NoSSN)</formula>
    </cfRule>
    <cfRule type="expression" dxfId="1288" priority="4">
      <formula>IF(NoColor,1,0)</formula>
    </cfRule>
  </conditionalFormatting>
  <conditionalFormatting sqref="U182:X183">
    <cfRule type="expression" dxfId="1287" priority="1">
      <formula>AND(NoColor,NoSSN)</formula>
    </cfRule>
    <cfRule type="expression" dxfId="1286" priority="2">
      <formula>IF(NoColor,1,0)</formula>
    </cfRule>
  </conditionalFormatting>
  <hyperlinks>
    <hyperlink ref="F242:I242" r:id="rId1" display="Download Form 1040 Schedule SE"/>
    <hyperlink ref="F244:I244" r:id="rId2" display="Download Form 1040 Schedule SE Instructions"/>
  </hyperlinks>
  <printOptions horizontalCentered="1"/>
  <pageMargins left="0.51" right="0.46" top="0.3" bottom="0" header="0.42" footer="0.35"/>
  <pageSetup scale="84" fitToHeight="2" orientation="portrait" horizontalDpi="4294967292" r:id="rId3"/>
  <headerFooter alignWithMargins="0"/>
  <rowBreaks count="3" manualBreakCount="3">
    <brk id="61" min="1" max="23" man="1"/>
    <brk id="120" max="16383" man="1"/>
    <brk id="180" min="1" max="23"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387"/>
  <sheetViews>
    <sheetView zoomScaleNormal="100" zoomScaleSheetLayoutView="100" workbookViewId="0">
      <selection activeCell="B2" sqref="B2"/>
    </sheetView>
  </sheetViews>
  <sheetFormatPr defaultColWidth="3.42578125" defaultRowHeight="12.75"/>
  <cols>
    <col min="1" max="1" width="6" style="5092" customWidth="1"/>
    <col min="2" max="2" width="3.5703125" style="46" customWidth="1"/>
    <col min="3" max="3" width="3" style="46" customWidth="1"/>
    <col min="4" max="4" width="3.7109375" style="46" customWidth="1"/>
    <col min="5" max="5" width="3.5703125" style="46" customWidth="1"/>
    <col min="6" max="6" width="4.28515625" style="46" customWidth="1"/>
    <col min="7" max="7" width="3.5703125" style="46" customWidth="1"/>
    <col min="8" max="9" width="3" style="46" customWidth="1"/>
    <col min="10" max="11" width="3.42578125" style="46" customWidth="1"/>
    <col min="12" max="12" width="4.5703125" style="46" customWidth="1"/>
    <col min="13" max="13" width="2.7109375" style="46" customWidth="1"/>
    <col min="14" max="14" width="3.5703125" style="46" customWidth="1"/>
    <col min="15" max="15" width="1.5703125" style="46" customWidth="1"/>
    <col min="16" max="19" width="1.85546875" style="46" customWidth="1"/>
    <col min="20" max="25" width="2.42578125" style="46" customWidth="1"/>
    <col min="26" max="26" width="3.28515625" style="46" customWidth="1"/>
    <col min="27" max="27" width="2" style="46" customWidth="1"/>
    <col min="28" max="30" width="2.5703125" style="46" customWidth="1"/>
    <col min="31" max="34" width="2.140625" style="46" customWidth="1"/>
    <col min="35" max="38" width="2.5703125" style="46" customWidth="1"/>
    <col min="39" max="40" width="2.7109375" style="46" customWidth="1"/>
    <col min="41" max="41" width="10.7109375" style="46" customWidth="1"/>
    <col min="42" max="42" width="3.42578125" style="46"/>
    <col min="43" max="43" width="9" style="46" customWidth="1"/>
    <col min="44" max="44" width="3.42578125" style="46"/>
    <col min="45" max="45" width="3.85546875" style="46" customWidth="1"/>
    <col min="46" max="47" width="3.42578125" style="46"/>
    <col min="48" max="48" width="5.140625" style="46" customWidth="1"/>
    <col min="49" max="49" width="5.85546875" style="46" customWidth="1"/>
    <col min="50" max="50" width="10.7109375" style="4352" customWidth="1"/>
    <col min="51" max="52" width="10.7109375" style="5018" customWidth="1"/>
    <col min="53" max="53" width="6.42578125" style="5018" customWidth="1"/>
    <col min="54" max="54" width="10.7109375" style="5018" customWidth="1"/>
    <col min="55" max="55" width="6" style="5018" customWidth="1"/>
    <col min="56" max="60" width="10.7109375" style="5018" customWidth="1"/>
    <col min="61" max="16384" width="3.42578125" style="46"/>
  </cols>
  <sheetData>
    <row r="1" spans="1:60" ht="15">
      <c r="A1" s="5088"/>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3350"/>
      <c r="AJ1" s="3350"/>
      <c r="AK1" s="3350"/>
      <c r="AL1" s="3350"/>
      <c r="AM1" s="3350"/>
      <c r="AN1" s="3350"/>
      <c r="AO1" s="3350"/>
      <c r="AP1" s="3350"/>
      <c r="AQ1" s="1616"/>
      <c r="AR1" s="1443"/>
      <c r="AS1" s="1443"/>
      <c r="AT1" s="1443"/>
      <c r="AU1" s="1443"/>
      <c r="AV1" s="1443"/>
      <c r="AW1" s="1443"/>
      <c r="AX1" s="3741" t="s">
        <v>2552</v>
      </c>
      <c r="AY1" s="5016"/>
      <c r="AZ1" s="5016"/>
      <c r="BA1" s="5016"/>
      <c r="BB1" s="5016"/>
      <c r="BC1" s="5016"/>
      <c r="BD1" s="5016"/>
      <c r="BE1" s="5016"/>
      <c r="BF1" s="5016"/>
      <c r="BG1" s="5016"/>
      <c r="BH1" s="5016"/>
    </row>
    <row r="2" spans="1:60">
      <c r="A2" s="5087" t="b">
        <f>IF(OR(B4="---",B8="---"),FALSE,IF(AND(B4,B6,B8),TRUE,FALSE))</f>
        <v>0</v>
      </c>
      <c r="B2" s="5118" t="str">
        <f>IF(OR(B4="---",B8="---",AND(A4&gt;0,SUM(AM78,AM204,AM330)=0)),"Complete Form 1116.  If all three of these conditions are TRUE, Form 1116 need not be filed.",IF(A2,"Form 1116 is not required to be filed.",IF(OR(ForeignTaxPaid&gt;AQ8,AND(K21="",AO20=1),NOT(B6)),"Form 1116 is required to be filed.",IF(AND(NOT(B4),NOT(B6),NOT(B8)),"You may be able to claim the foreign tax credit without filing Form 1116 -- See IRS instructions for details.","Finish completing Form 1116 to determine if it needs to be filed."))))</f>
        <v>Complete Form 1116.  If all three of these conditions are TRUE, Form 1116 need not be filed.</v>
      </c>
      <c r="C2" s="3350"/>
      <c r="D2" s="3350"/>
      <c r="E2" s="3350"/>
      <c r="F2" s="3350"/>
      <c r="G2" s="3350"/>
      <c r="H2" s="3350"/>
      <c r="I2" s="3350"/>
      <c r="J2" s="3350"/>
      <c r="K2" s="3350"/>
      <c r="L2" s="3350"/>
      <c r="M2" s="3350"/>
      <c r="N2" s="3350"/>
      <c r="O2" s="3350"/>
      <c r="P2" s="3350"/>
      <c r="Q2" s="3350"/>
      <c r="R2" s="3350"/>
      <c r="S2" s="3350"/>
      <c r="T2" s="3350"/>
      <c r="U2" s="3350"/>
      <c r="V2" s="3350"/>
      <c r="W2" s="3350"/>
      <c r="X2" s="3350"/>
      <c r="Y2" s="3350"/>
      <c r="Z2" s="3350"/>
      <c r="AA2" s="3350"/>
      <c r="AB2" s="3350"/>
      <c r="AC2" s="3350"/>
      <c r="AD2" s="3350"/>
      <c r="AE2" s="3350"/>
      <c r="AF2" s="3350"/>
      <c r="AG2" s="3350"/>
      <c r="AH2" s="3350"/>
      <c r="AI2" s="3350"/>
      <c r="AJ2" s="3350"/>
      <c r="AK2" s="3350"/>
      <c r="AL2" s="3350"/>
      <c r="AM2" s="3350"/>
      <c r="AN2" s="3350"/>
      <c r="AO2" s="3350"/>
      <c r="AP2" s="3350"/>
      <c r="AQ2" s="1616"/>
      <c r="AR2" s="1443"/>
      <c r="AS2" s="1443"/>
      <c r="AT2" s="1443"/>
      <c r="AU2" s="1443"/>
      <c r="AV2" s="1443"/>
      <c r="AW2" s="1443"/>
      <c r="AX2" s="5020" t="s">
        <v>123</v>
      </c>
      <c r="AY2" s="5016"/>
      <c r="AZ2" s="5016"/>
      <c r="BA2" s="5016"/>
      <c r="BB2" s="5016"/>
      <c r="BC2" s="5016"/>
      <c r="BD2" s="5016"/>
      <c r="BE2" s="5016"/>
      <c r="BF2" s="5016"/>
      <c r="BG2" s="5016"/>
      <c r="BH2" s="5016"/>
    </row>
    <row r="3" spans="1:60" ht="6.75" customHeight="1">
      <c r="A3" s="5088"/>
      <c r="B3" s="5084"/>
      <c r="C3" s="3350"/>
      <c r="D3" s="3350"/>
      <c r="E3" s="3350"/>
      <c r="F3" s="3350"/>
      <c r="G3" s="3350"/>
      <c r="H3" s="3350"/>
      <c r="I3" s="3350"/>
      <c r="J3" s="3350"/>
      <c r="K3" s="3350"/>
      <c r="L3" s="3350"/>
      <c r="M3" s="3350"/>
      <c r="N3" s="3350"/>
      <c r="O3" s="3350"/>
      <c r="P3" s="3350"/>
      <c r="Q3" s="3350"/>
      <c r="R3" s="3350"/>
      <c r="S3" s="3350"/>
      <c r="T3" s="3350"/>
      <c r="U3" s="3350"/>
      <c r="V3" s="3350"/>
      <c r="W3" s="3350"/>
      <c r="X3" s="3350"/>
      <c r="Y3" s="3350"/>
      <c r="Z3" s="3350"/>
      <c r="AA3" s="3350"/>
      <c r="AB3" s="3350"/>
      <c r="AC3" s="3350"/>
      <c r="AD3" s="3350"/>
      <c r="AE3" s="3350"/>
      <c r="AF3" s="3350"/>
      <c r="AG3" s="3350"/>
      <c r="AH3" s="3350"/>
      <c r="AI3" s="3350"/>
      <c r="AJ3" s="3350"/>
      <c r="AK3" s="3350"/>
      <c r="AL3" s="3350"/>
      <c r="AM3" s="3350"/>
      <c r="AN3" s="3350"/>
      <c r="AO3" s="3350"/>
      <c r="AP3" s="3350"/>
      <c r="AQ3" s="1616"/>
      <c r="AR3" s="1443"/>
      <c r="AS3" s="1443"/>
      <c r="AT3" s="1443"/>
      <c r="AU3" s="1443"/>
      <c r="AV3" s="1443"/>
      <c r="AW3" s="1443"/>
      <c r="AX3" s="3742"/>
      <c r="AY3" s="5016"/>
      <c r="AZ3" s="5016"/>
      <c r="BA3" s="5016"/>
      <c r="BB3" s="5016"/>
      <c r="BC3" s="5016"/>
      <c r="BD3" s="5016"/>
      <c r="BE3" s="5016"/>
      <c r="BF3" s="5016"/>
      <c r="BG3" s="5016"/>
      <c r="BH3" s="5016"/>
    </row>
    <row r="4" spans="1:60" ht="15">
      <c r="A4" s="5093">
        <f>SUM(AO20,AO146,AO272)</f>
        <v>0</v>
      </c>
      <c r="B4" s="6682" t="str">
        <f>IF(OR(B8="---",A4=0,AND(NOT(A78),NOT(A204),NOT(A330))),"---",IF(OR(AND(A4=3,A21,A147,A273),AND(A4=2,OR(AND(A21,A147),AND(A147,A273),AND(A21,A273))),AND(A4=1,OR(A21,A147,A273))),TRUE,FALSE))</f>
        <v>---</v>
      </c>
      <c r="C4" s="6683"/>
      <c r="D4" s="5085" t="s">
        <v>4860</v>
      </c>
      <c r="E4" s="3350"/>
      <c r="F4" s="3350"/>
      <c r="G4" s="3350"/>
      <c r="H4" s="3350"/>
      <c r="I4" s="3350"/>
      <c r="J4" s="3350"/>
      <c r="K4" s="3350"/>
      <c r="L4" s="3350"/>
      <c r="M4" s="3350"/>
      <c r="N4" s="3350"/>
      <c r="O4" s="3350"/>
      <c r="P4" s="3350"/>
      <c r="Q4" s="3350"/>
      <c r="R4" s="3350"/>
      <c r="S4" s="3350"/>
      <c r="T4" s="3350"/>
      <c r="U4" s="3350"/>
      <c r="V4" s="3350"/>
      <c r="W4" s="3350"/>
      <c r="X4" s="3350"/>
      <c r="Y4" s="3350"/>
      <c r="Z4" s="3350"/>
      <c r="AA4" s="3350"/>
      <c r="AB4" s="3350"/>
      <c r="AC4" s="3350"/>
      <c r="AD4" s="3350"/>
      <c r="AE4" s="3350"/>
      <c r="AF4" s="3350"/>
      <c r="AG4" s="3350"/>
      <c r="AH4" s="3350"/>
      <c r="AI4" s="3350"/>
      <c r="AJ4" s="3350"/>
      <c r="AK4" s="3350"/>
      <c r="AL4" s="3350"/>
      <c r="AM4" s="3350"/>
      <c r="AN4" s="3350"/>
      <c r="AO4" s="3350"/>
      <c r="AP4" s="3350"/>
      <c r="AQ4" s="1616">
        <v>600</v>
      </c>
      <c r="AR4" s="1443"/>
      <c r="AS4" s="1443"/>
      <c r="AT4" s="1443"/>
      <c r="AU4" s="1443"/>
      <c r="AV4" s="1443"/>
      <c r="AW4" s="1443"/>
      <c r="AX4" s="3741"/>
      <c r="AY4" s="5016"/>
      <c r="AZ4" s="5016"/>
      <c r="BA4" s="5016"/>
      <c r="BB4" s="5016"/>
      <c r="BC4" s="5016"/>
      <c r="BD4" s="5016"/>
      <c r="BE4" s="5016"/>
      <c r="BF4" s="5016"/>
      <c r="BG4" s="5016"/>
      <c r="BH4" s="5016"/>
    </row>
    <row r="5" spans="1:60" ht="7.5" customHeight="1">
      <c r="A5" s="5088"/>
      <c r="B5" s="3350"/>
      <c r="C5" s="3350"/>
      <c r="D5" s="5086"/>
      <c r="E5" s="3350"/>
      <c r="F5" s="3350"/>
      <c r="G5" s="3350"/>
      <c r="H5" s="3350"/>
      <c r="I5" s="3350"/>
      <c r="J5" s="3350"/>
      <c r="K5" s="3350"/>
      <c r="L5" s="3350"/>
      <c r="M5" s="3350"/>
      <c r="N5" s="3350"/>
      <c r="O5" s="3350"/>
      <c r="P5" s="3350"/>
      <c r="Q5" s="3350"/>
      <c r="R5" s="3350"/>
      <c r="S5" s="3350"/>
      <c r="T5" s="3350"/>
      <c r="U5" s="3350"/>
      <c r="V5" s="3350"/>
      <c r="W5" s="3350"/>
      <c r="X5" s="3350"/>
      <c r="Y5" s="3350"/>
      <c r="Z5" s="3350"/>
      <c r="AA5" s="3350"/>
      <c r="AB5" s="3350"/>
      <c r="AC5" s="3350"/>
      <c r="AD5" s="3350"/>
      <c r="AE5" s="3350"/>
      <c r="AF5" s="3350"/>
      <c r="AG5" s="3350"/>
      <c r="AH5" s="3350"/>
      <c r="AI5" s="3350"/>
      <c r="AJ5" s="3350"/>
      <c r="AK5" s="3350"/>
      <c r="AL5" s="3350"/>
      <c r="AM5" s="3350"/>
      <c r="AN5" s="3350"/>
      <c r="AO5" s="3350"/>
      <c r="AP5" s="3350"/>
      <c r="AQ5" s="1616"/>
      <c r="AR5" s="1443"/>
      <c r="AS5" s="1443"/>
      <c r="AT5" s="1443"/>
      <c r="AU5" s="1443"/>
      <c r="AV5" s="1443"/>
      <c r="AW5" s="1443"/>
      <c r="AX5" s="3741"/>
      <c r="AY5" s="5016"/>
      <c r="AZ5" s="5016"/>
      <c r="BA5" s="5016"/>
      <c r="BB5" s="5016"/>
      <c r="BC5" s="5016"/>
      <c r="BD5" s="5016"/>
      <c r="BE5" s="5016"/>
      <c r="BF5" s="5016"/>
      <c r="BG5" s="5016"/>
      <c r="BH5" s="5016"/>
    </row>
    <row r="6" spans="1:60" ht="15">
      <c r="A6" s="5087"/>
      <c r="B6" s="6684" t="b">
        <v>1</v>
      </c>
      <c r="C6" s="6685"/>
      <c r="D6" s="5085" t="s">
        <v>4828</v>
      </c>
      <c r="E6" s="3350"/>
      <c r="F6" s="3566"/>
      <c r="G6" s="3350"/>
      <c r="H6" s="3350"/>
      <c r="I6" s="3350"/>
      <c r="J6" s="3350"/>
      <c r="K6" s="3350"/>
      <c r="L6" s="3350"/>
      <c r="M6" s="3350"/>
      <c r="N6" s="3350"/>
      <c r="O6" s="3350"/>
      <c r="P6" s="3350"/>
      <c r="Q6" s="3350"/>
      <c r="R6" s="3350"/>
      <c r="S6" s="3350"/>
      <c r="T6" s="3350"/>
      <c r="U6" s="3350"/>
      <c r="V6" s="3350"/>
      <c r="W6" s="3350"/>
      <c r="X6" s="3350"/>
      <c r="Y6" s="3350"/>
      <c r="Z6" s="3350"/>
      <c r="AA6" s="3350"/>
      <c r="AB6" s="3350"/>
      <c r="AC6" s="3350"/>
      <c r="AD6" s="3350"/>
      <c r="AE6" s="3350"/>
      <c r="AF6" s="3350"/>
      <c r="AG6" s="3350"/>
      <c r="AH6" s="3350"/>
      <c r="AI6" s="3350"/>
      <c r="AJ6" s="3350"/>
      <c r="AK6" s="3350"/>
      <c r="AL6" s="3350"/>
      <c r="AM6" s="3350"/>
      <c r="AN6" s="3350"/>
      <c r="AO6" s="5088"/>
      <c r="AP6" s="3350"/>
      <c r="AQ6" s="1616">
        <v>300</v>
      </c>
      <c r="AR6" s="1443"/>
      <c r="AS6" s="1443"/>
      <c r="AT6" s="1443"/>
      <c r="AU6" s="1443"/>
      <c r="AV6" s="1443"/>
      <c r="AW6" s="1443"/>
      <c r="AX6" s="3741"/>
      <c r="AY6" s="5016"/>
      <c r="AZ6" s="5016"/>
      <c r="BA6" s="5016"/>
      <c r="BB6" s="5016"/>
      <c r="BC6" s="5016"/>
      <c r="BD6" s="5016"/>
      <c r="BE6" s="5016"/>
      <c r="BF6" s="5016"/>
      <c r="BG6" s="5016"/>
      <c r="BH6" s="5016"/>
    </row>
    <row r="7" spans="1:60" ht="7.5" customHeight="1">
      <c r="A7" s="5088"/>
      <c r="B7" s="3350"/>
      <c r="C7" s="3350"/>
      <c r="D7" s="5086"/>
      <c r="E7" s="3350"/>
      <c r="F7" s="3350"/>
      <c r="G7" s="3350"/>
      <c r="H7" s="3350"/>
      <c r="I7" s="3350"/>
      <c r="J7" s="3350"/>
      <c r="K7" s="3350"/>
      <c r="L7" s="3350"/>
      <c r="M7" s="3350"/>
      <c r="N7" s="3350"/>
      <c r="O7" s="3350"/>
      <c r="P7" s="3350"/>
      <c r="Q7" s="3350"/>
      <c r="R7" s="3350"/>
      <c r="S7" s="3350"/>
      <c r="T7" s="3350"/>
      <c r="U7" s="3350"/>
      <c r="V7" s="3350"/>
      <c r="W7" s="3350"/>
      <c r="X7" s="3350"/>
      <c r="Y7" s="3350"/>
      <c r="Z7" s="3350"/>
      <c r="AA7" s="3350"/>
      <c r="AB7" s="3350"/>
      <c r="AC7" s="3350"/>
      <c r="AD7" s="3350"/>
      <c r="AE7" s="3350"/>
      <c r="AF7" s="3350"/>
      <c r="AG7" s="3350"/>
      <c r="AH7" s="3350"/>
      <c r="AI7" s="3350"/>
      <c r="AJ7" s="3350"/>
      <c r="AK7" s="3350"/>
      <c r="AL7" s="3350"/>
      <c r="AM7" s="3350"/>
      <c r="AN7" s="3350"/>
      <c r="AO7" s="5088"/>
      <c r="AP7" s="3350"/>
      <c r="AQ7" s="1616"/>
      <c r="AR7" s="1443"/>
      <c r="AS7" s="1443"/>
      <c r="AT7" s="1443"/>
      <c r="AU7" s="1443"/>
      <c r="AV7" s="1443"/>
      <c r="AW7" s="1443"/>
      <c r="AX7" s="3741"/>
      <c r="AY7" s="5016"/>
      <c r="AZ7" s="5016"/>
      <c r="BA7" s="5016"/>
      <c r="BB7" s="5016"/>
      <c r="BC7" s="5016"/>
      <c r="BD7" s="5016"/>
      <c r="BE7" s="5016"/>
      <c r="BF7" s="5016"/>
      <c r="BG7" s="5016"/>
      <c r="BH7" s="5016"/>
    </row>
    <row r="8" spans="1:60" ht="15">
      <c r="A8" s="5095">
        <f>IF(SUM(AM78,AM204,AM330)&gt;0,SUM(AM78,AM204,AM330),SUM(ForeignTaxPaid_INT,ForeignTaxPaid_DIV))</f>
        <v>0</v>
      </c>
      <c r="B8" s="6682" t="str">
        <f>IF(OR(ForeignTaxPaid="",ForeignTaxPaid=0),"---",IF(ForeignTaxPaid&lt;=ForeignTaxThreshold,TRUE,FALSE))</f>
        <v>---</v>
      </c>
      <c r="C8" s="6683"/>
      <c r="D8" s="5085" t="s">
        <v>4829</v>
      </c>
      <c r="E8" s="3350"/>
      <c r="F8" s="3350"/>
      <c r="G8" s="3350"/>
      <c r="H8" s="3350"/>
      <c r="I8" s="3350"/>
      <c r="J8" s="3350"/>
      <c r="K8" s="3350"/>
      <c r="L8" s="3350"/>
      <c r="M8" s="3350"/>
      <c r="N8" s="3350"/>
      <c r="O8" s="3350"/>
      <c r="P8" s="3350"/>
      <c r="Q8" s="3350"/>
      <c r="R8" s="3350"/>
      <c r="S8" s="3350"/>
      <c r="T8" s="3350"/>
      <c r="U8" s="3350"/>
      <c r="V8" s="3350"/>
      <c r="W8" s="3350"/>
      <c r="X8" s="3350"/>
      <c r="Y8" s="3350"/>
      <c r="Z8" s="3350"/>
      <c r="AA8" s="3350"/>
      <c r="AB8" s="3350"/>
      <c r="AC8" s="3350"/>
      <c r="AD8" s="3350"/>
      <c r="AE8" s="3350"/>
      <c r="AF8" s="3350"/>
      <c r="AG8" s="5621" t="str">
        <f>IF(AND(ForeignTaxPaid&lt;&gt;"",ForeignTaxPaid&gt;0),"Foreign taxes paid &gt;","")</f>
        <v/>
      </c>
      <c r="AH8" s="5621"/>
      <c r="AI8" s="5621"/>
      <c r="AJ8" s="5621"/>
      <c r="AK8" s="5621"/>
      <c r="AL8" s="5621"/>
      <c r="AM8" s="5621"/>
      <c r="AN8" s="5621"/>
      <c r="AO8" s="5119" t="str">
        <f>IF(SUM(AM78,AM204,AM330,ForeignTaxPaid_INT,ForeignTaxPaid_DIV)=0,"", IF(SUM(AM78,AM204,AM330)&gt;0,SUM(AM78,AM204,AM330),SUM(ForeignTaxPaid_INT,ForeignTaxPaid_DIV)))</f>
        <v/>
      </c>
      <c r="AP8" s="3350"/>
      <c r="AQ8" s="1616">
        <f>IF(File_Marr_Joint&lt;&gt;"",AQ4,AQ6)</f>
        <v>300</v>
      </c>
      <c r="AR8" s="1443"/>
      <c r="AS8" s="1443"/>
      <c r="AT8" s="1443"/>
      <c r="AU8" s="1443"/>
      <c r="AV8" s="1443"/>
      <c r="AW8" s="1443"/>
      <c r="AX8" s="3741"/>
      <c r="AY8" s="5016"/>
      <c r="AZ8" s="5016"/>
      <c r="BA8" s="5016"/>
      <c r="BB8" s="5016"/>
      <c r="BC8" s="5016"/>
      <c r="BD8" s="5016"/>
      <c r="BE8" s="5016"/>
      <c r="BF8" s="5016"/>
      <c r="BG8" s="5016"/>
      <c r="BH8" s="5016"/>
    </row>
    <row r="9" spans="1:60" ht="15.75" customHeight="1">
      <c r="A9" s="5088"/>
      <c r="B9" s="3350"/>
      <c r="C9" s="3350"/>
      <c r="D9" s="3350"/>
      <c r="E9" s="3350"/>
      <c r="F9" s="3350"/>
      <c r="G9" s="3350"/>
      <c r="H9" s="3350"/>
      <c r="I9" s="3350"/>
      <c r="J9" s="3350"/>
      <c r="K9" s="3350"/>
      <c r="L9" s="3350"/>
      <c r="M9" s="3350"/>
      <c r="N9" s="3350"/>
      <c r="O9" s="3350"/>
      <c r="P9" s="3350"/>
      <c r="Q9" s="3350"/>
      <c r="R9" s="3350"/>
      <c r="S9" s="3350"/>
      <c r="T9" s="3350"/>
      <c r="U9" s="3350"/>
      <c r="V9" s="3350"/>
      <c r="W9" s="3350"/>
      <c r="X9" s="3350"/>
      <c r="Y9" s="3350"/>
      <c r="Z9" s="3350"/>
      <c r="AA9" s="3350"/>
      <c r="AB9" s="3350"/>
      <c r="AC9" s="3350"/>
      <c r="AD9" s="3350"/>
      <c r="AE9" s="3350"/>
      <c r="AF9" s="3350"/>
      <c r="AG9" s="3350"/>
      <c r="AH9" s="3350"/>
      <c r="AI9" s="3350"/>
      <c r="AJ9" s="3350"/>
      <c r="AK9" s="3350"/>
      <c r="AL9" s="3350"/>
      <c r="AM9" s="3350"/>
      <c r="AN9" s="3350"/>
      <c r="AO9" s="3350"/>
      <c r="AP9" s="3350"/>
      <c r="AQ9" s="1607"/>
      <c r="AR9" s="1443"/>
      <c r="AS9" s="1443"/>
      <c r="AT9" s="1443"/>
      <c r="AU9" s="1443"/>
      <c r="AV9" s="1443"/>
      <c r="AW9" s="1443"/>
      <c r="AX9" s="3742"/>
      <c r="AY9" s="5016"/>
      <c r="AZ9" s="5016"/>
      <c r="BA9" s="5016"/>
      <c r="BB9" s="5016"/>
      <c r="BC9" s="5016"/>
      <c r="BD9" s="5016"/>
      <c r="BE9" s="5016"/>
      <c r="BF9" s="5016"/>
      <c r="BG9" s="5016"/>
      <c r="BH9" s="5016"/>
    </row>
    <row r="10" spans="1:60" ht="12.75" customHeight="1">
      <c r="A10" s="5088"/>
      <c r="B10" s="5679" t="s">
        <v>4547</v>
      </c>
      <c r="C10" s="5680"/>
      <c r="D10" s="5680"/>
      <c r="E10" s="5680"/>
      <c r="F10" s="5680"/>
      <c r="G10" s="5680"/>
      <c r="H10" s="4205"/>
      <c r="I10" s="4078"/>
      <c r="J10" s="4078"/>
      <c r="K10" s="4078"/>
      <c r="L10" s="4078"/>
      <c r="M10" s="4078"/>
      <c r="N10" s="4078"/>
      <c r="O10" s="4078"/>
      <c r="P10" s="4078"/>
      <c r="Q10" s="4078"/>
      <c r="R10" s="4078"/>
      <c r="S10" s="4078"/>
      <c r="T10" s="4078"/>
      <c r="U10" s="4078"/>
      <c r="V10" s="4078"/>
      <c r="W10" s="4078"/>
      <c r="X10" s="4078"/>
      <c r="Y10" s="4078"/>
      <c r="Z10" s="4078"/>
      <c r="AA10" s="4078"/>
      <c r="AB10" s="4078"/>
      <c r="AC10" s="4078"/>
      <c r="AD10" s="4078"/>
      <c r="AE10" s="4078"/>
      <c r="AF10" s="4078"/>
      <c r="AG10" s="4078"/>
      <c r="AH10" s="4093"/>
      <c r="AI10" s="6397" t="s">
        <v>2787</v>
      </c>
      <c r="AJ10" s="6251"/>
      <c r="AK10" s="6251"/>
      <c r="AL10" s="6251"/>
      <c r="AM10" s="6251"/>
      <c r="AN10" s="6251"/>
      <c r="AO10" s="6251"/>
      <c r="AP10" s="3350"/>
      <c r="AQ10" s="4608" t="b">
        <f>AND(AQ21="",AQ36="",AQ75="")</f>
        <v>0</v>
      </c>
      <c r="AR10" s="4607"/>
      <c r="AS10" s="4607"/>
      <c r="AT10" s="4607"/>
      <c r="AU10" s="4607"/>
      <c r="AV10" s="4607"/>
      <c r="AW10" s="4607"/>
      <c r="AX10" s="3741"/>
      <c r="AY10" s="5016"/>
      <c r="AZ10" s="5016"/>
      <c r="BA10" s="5016"/>
      <c r="BB10" s="5016"/>
      <c r="BC10" s="5016"/>
      <c r="BD10" s="5016"/>
      <c r="BE10" s="5016"/>
      <c r="BF10" s="5016"/>
      <c r="BG10" s="5016"/>
      <c r="BH10" s="5016"/>
    </row>
    <row r="11" spans="1:60" ht="22.5" customHeight="1">
      <c r="A11" s="5087"/>
      <c r="B11" s="5680"/>
      <c r="C11" s="5680"/>
      <c r="D11" s="5680"/>
      <c r="E11" s="5680"/>
      <c r="F11" s="5680"/>
      <c r="G11" s="5680"/>
      <c r="H11" s="4208"/>
      <c r="I11" s="4078"/>
      <c r="J11" s="4078"/>
      <c r="K11" s="4078"/>
      <c r="L11" s="4078"/>
      <c r="M11" s="4078"/>
      <c r="N11" s="4078"/>
      <c r="O11" s="4078"/>
      <c r="P11" s="4078"/>
      <c r="Q11" s="4078"/>
      <c r="R11" s="4078"/>
      <c r="S11" s="4206"/>
      <c r="T11" s="4206" t="s">
        <v>2742</v>
      </c>
      <c r="U11" s="4078"/>
      <c r="V11" s="4078"/>
      <c r="W11" s="4078"/>
      <c r="X11" s="4078"/>
      <c r="Y11" s="4078"/>
      <c r="Z11" s="4078"/>
      <c r="AA11" s="4078"/>
      <c r="AB11" s="4078"/>
      <c r="AC11" s="4078"/>
      <c r="AD11" s="4078"/>
      <c r="AE11" s="4078"/>
      <c r="AF11" s="4078"/>
      <c r="AG11" s="4078"/>
      <c r="AH11" s="4207"/>
      <c r="AI11" s="6717">
        <f>TaxYear</f>
        <v>2018</v>
      </c>
      <c r="AJ11" s="6718"/>
      <c r="AK11" s="6718"/>
      <c r="AL11" s="6718"/>
      <c r="AM11" s="6718"/>
      <c r="AN11" s="6718"/>
      <c r="AO11" s="6718"/>
      <c r="AP11" s="3350"/>
      <c r="AQ11" s="6916" t="str">
        <f>IF(AND(ForeignTaxPaid&lt;&gt;"",ForeignTaxPaid&gt;0),"Note: Foreign Tax payments of ","")</f>
        <v/>
      </c>
      <c r="AR11" s="6916"/>
      <c r="AS11" s="6916"/>
      <c r="AT11" s="6916"/>
      <c r="AU11" s="6916"/>
      <c r="AV11" s="6916"/>
      <c r="AW11" s="6916"/>
      <c r="AX11" s="3741"/>
      <c r="AY11" s="5016"/>
      <c r="AZ11" s="5016"/>
      <c r="BA11" s="5016"/>
      <c r="BB11" s="5016"/>
      <c r="BC11" s="5016"/>
      <c r="BD11" s="5016"/>
      <c r="BE11" s="5016"/>
      <c r="BF11" s="5016"/>
      <c r="BG11" s="5016"/>
      <c r="BH11" s="5016"/>
    </row>
    <row r="12" spans="1:60" ht="15">
      <c r="A12" s="5088"/>
      <c r="B12" s="2606"/>
      <c r="C12" s="1443"/>
      <c r="D12" s="1443"/>
      <c r="E12" s="1443"/>
      <c r="F12" s="1443"/>
      <c r="G12" s="1443"/>
      <c r="H12" s="6761" t="s">
        <v>2743</v>
      </c>
      <c r="I12" s="6762"/>
      <c r="J12" s="6762"/>
      <c r="K12" s="6762"/>
      <c r="L12" s="6762"/>
      <c r="M12" s="6762"/>
      <c r="N12" s="6762"/>
      <c r="O12" s="6762"/>
      <c r="P12" s="6762"/>
      <c r="Q12" s="6762"/>
      <c r="R12" s="6762"/>
      <c r="S12" s="6762"/>
      <c r="T12" s="6762"/>
      <c r="U12" s="6762"/>
      <c r="V12" s="6762"/>
      <c r="W12" s="6762"/>
      <c r="X12" s="6762"/>
      <c r="Y12" s="6762"/>
      <c r="Z12" s="6762"/>
      <c r="AA12" s="6762"/>
      <c r="AB12" s="6762"/>
      <c r="AC12" s="6762"/>
      <c r="AD12" s="6762"/>
      <c r="AE12" s="6762"/>
      <c r="AF12" s="6762"/>
      <c r="AG12" s="6762"/>
      <c r="AH12" s="6763"/>
      <c r="AI12" s="6719"/>
      <c r="AJ12" s="6720"/>
      <c r="AK12" s="6720"/>
      <c r="AL12" s="6720"/>
      <c r="AM12" s="6720"/>
      <c r="AN12" s="6720"/>
      <c r="AO12" s="6720"/>
      <c r="AP12" s="3350"/>
      <c r="AQ12" s="6916"/>
      <c r="AR12" s="6916"/>
      <c r="AS12" s="6916"/>
      <c r="AT12" s="6916"/>
      <c r="AU12" s="6916"/>
      <c r="AV12" s="6916"/>
      <c r="AW12" s="6916"/>
      <c r="AX12" s="3741"/>
      <c r="AY12" s="5016"/>
      <c r="AZ12" s="5016"/>
      <c r="BA12" s="5016"/>
      <c r="BB12" s="5016"/>
      <c r="BC12" s="5016"/>
      <c r="BD12" s="5016"/>
      <c r="BE12" s="5016"/>
      <c r="BF12" s="5016"/>
      <c r="BG12" s="5016"/>
      <c r="BH12" s="5016"/>
    </row>
    <row r="13" spans="1:60" ht="11.25" customHeight="1">
      <c r="A13" s="5088"/>
      <c r="B13" s="6405" t="s">
        <v>2674</v>
      </c>
      <c r="C13" s="5628"/>
      <c r="D13" s="5628"/>
      <c r="E13" s="5628"/>
      <c r="F13" s="5628"/>
      <c r="G13" s="6406"/>
      <c r="H13" s="6721" t="s">
        <v>2744</v>
      </c>
      <c r="I13" s="6722"/>
      <c r="J13" s="6722"/>
      <c r="K13" s="6722"/>
      <c r="L13" s="6722"/>
      <c r="M13" s="6722"/>
      <c r="N13" s="6722"/>
      <c r="O13" s="6722"/>
      <c r="P13" s="6722"/>
      <c r="Q13" s="6722"/>
      <c r="R13" s="6722"/>
      <c r="S13" s="6722"/>
      <c r="T13" s="6722"/>
      <c r="U13" s="6722"/>
      <c r="V13" s="6722"/>
      <c r="W13" s="6722"/>
      <c r="X13" s="6722"/>
      <c r="Y13" s="6722"/>
      <c r="Z13" s="6722"/>
      <c r="AA13" s="6722"/>
      <c r="AB13" s="6722"/>
      <c r="AC13" s="6722"/>
      <c r="AD13" s="6722"/>
      <c r="AE13" s="6722"/>
      <c r="AF13" s="6722"/>
      <c r="AG13" s="6722"/>
      <c r="AH13" s="6723"/>
      <c r="AI13" s="6724" t="s">
        <v>2597</v>
      </c>
      <c r="AJ13" s="6725"/>
      <c r="AK13" s="6725"/>
      <c r="AL13" s="6725"/>
      <c r="AM13" s="6725"/>
      <c r="AN13" s="6781">
        <v>19</v>
      </c>
      <c r="AO13" s="6782"/>
      <c r="AP13" s="3350"/>
      <c r="AQ13" s="6916" t="str">
        <f>IF(AND(ForeignTaxPaid&lt;&gt;"",ForeignTaxPaid&gt;=1000),TEXT(ForeignTaxPaid_INT_DIV,"$0,000")&amp;" were reported on Forms",IF(AND(ForeignTaxPaid&lt;&gt;"",ForeignTaxPaid&gt;0),TEXT(ForeignTaxPaid_INT_DIV,"$0")&amp;" were reported on Forms",""))</f>
        <v/>
      </c>
      <c r="AR13" s="6916"/>
      <c r="AS13" s="6916"/>
      <c r="AT13" s="6916"/>
      <c r="AU13" s="6916"/>
      <c r="AV13" s="6916"/>
      <c r="AW13" s="6916"/>
      <c r="AX13" s="3741"/>
      <c r="AY13" s="5016"/>
      <c r="AZ13" s="5016"/>
      <c r="BA13" s="5016"/>
      <c r="BB13" s="5016"/>
      <c r="BC13" s="5016"/>
      <c r="BD13" s="5016"/>
      <c r="BE13" s="5016"/>
      <c r="BF13" s="5016"/>
      <c r="BG13" s="5016"/>
      <c r="BH13" s="5016"/>
    </row>
    <row r="14" spans="1:60" ht="11.25" customHeight="1" thickBot="1">
      <c r="A14" s="5088"/>
      <c r="B14" s="5629"/>
      <c r="C14" s="5629"/>
      <c r="D14" s="5629"/>
      <c r="E14" s="5629"/>
      <c r="F14" s="5629"/>
      <c r="G14" s="6407"/>
      <c r="H14" s="6769" t="s">
        <v>4548</v>
      </c>
      <c r="I14" s="6770"/>
      <c r="J14" s="6770"/>
      <c r="K14" s="6770"/>
      <c r="L14" s="6770"/>
      <c r="M14" s="6770"/>
      <c r="N14" s="6770"/>
      <c r="O14" s="6770"/>
      <c r="P14" s="6770"/>
      <c r="Q14" s="6770"/>
      <c r="R14" s="6770"/>
      <c r="S14" s="6770"/>
      <c r="T14" s="6770"/>
      <c r="U14" s="6770"/>
      <c r="V14" s="6770"/>
      <c r="W14" s="6770"/>
      <c r="X14" s="6770"/>
      <c r="Y14" s="6770"/>
      <c r="Z14" s="6770"/>
      <c r="AA14" s="6770"/>
      <c r="AB14" s="6770"/>
      <c r="AC14" s="6770"/>
      <c r="AD14" s="6770"/>
      <c r="AE14" s="6770"/>
      <c r="AF14" s="6770"/>
      <c r="AG14" s="6770"/>
      <c r="AH14" s="6771"/>
      <c r="AI14" s="6726"/>
      <c r="AJ14" s="6727"/>
      <c r="AK14" s="6727"/>
      <c r="AL14" s="6727"/>
      <c r="AM14" s="6727"/>
      <c r="AN14" s="6783"/>
      <c r="AO14" s="6783"/>
      <c r="AP14" s="3350"/>
      <c r="AQ14" s="6917" t="str">
        <f>IF(AND(ForeignTaxPaid&lt;&gt;"",ForeignTaxPaid&gt;0),"1099-INT &amp; DIV. Complete Form 1116,","")</f>
        <v/>
      </c>
      <c r="AR14" s="6917"/>
      <c r="AS14" s="6917"/>
      <c r="AT14" s="6917"/>
      <c r="AU14" s="6917"/>
      <c r="AV14" s="6917"/>
      <c r="AW14" s="6917"/>
      <c r="AX14" s="3742"/>
      <c r="AY14" s="5016"/>
      <c r="AZ14" s="5016"/>
      <c r="BA14" s="5016"/>
      <c r="BB14" s="5016"/>
      <c r="BC14" s="5016"/>
      <c r="BD14" s="5016"/>
      <c r="BE14" s="5016"/>
      <c r="BF14" s="5016"/>
      <c r="BG14" s="5016"/>
      <c r="BH14" s="5016"/>
    </row>
    <row r="15" spans="1:60">
      <c r="A15" s="5088"/>
      <c r="B15" s="1934" t="s">
        <v>2745</v>
      </c>
      <c r="C15" s="1605"/>
      <c r="D15" s="1605"/>
      <c r="E15" s="1605"/>
      <c r="F15" s="1605"/>
      <c r="G15" s="1605"/>
      <c r="H15" s="1605"/>
      <c r="I15" s="1605"/>
      <c r="J15" s="1605"/>
      <c r="K15" s="1605"/>
      <c r="L15" s="1605"/>
      <c r="M15" s="1605"/>
      <c r="N15" s="1605"/>
      <c r="O15" s="1605"/>
      <c r="P15" s="1605"/>
      <c r="Q15" s="1605"/>
      <c r="R15" s="1605"/>
      <c r="S15" s="1605"/>
      <c r="T15" s="1605"/>
      <c r="U15" s="1605"/>
      <c r="V15" s="1605"/>
      <c r="W15" s="1605"/>
      <c r="X15" s="1605"/>
      <c r="Y15" s="1605"/>
      <c r="Z15" s="1605"/>
      <c r="AA15" s="6755" t="s">
        <v>2791</v>
      </c>
      <c r="AB15" s="6756"/>
      <c r="AC15" s="6756"/>
      <c r="AD15" s="6756"/>
      <c r="AE15" s="6756"/>
      <c r="AF15" s="6756"/>
      <c r="AG15" s="6756"/>
      <c r="AH15" s="6756"/>
      <c r="AI15" s="6756"/>
      <c r="AJ15" s="6756"/>
      <c r="AK15" s="6756"/>
      <c r="AL15" s="6756"/>
      <c r="AM15" s="6756"/>
      <c r="AN15" s="6756"/>
      <c r="AO15" s="6756"/>
      <c r="AP15" s="3350"/>
      <c r="AQ15" s="6918" t="str">
        <f>IF(AND(ForeignTaxPaid&lt;&gt;"",ForeignTaxPaid&gt;0),"to determine Sch.3, Line 48 amount.","")</f>
        <v/>
      </c>
      <c r="AR15" s="6918"/>
      <c r="AS15" s="6918"/>
      <c r="AT15" s="6918"/>
      <c r="AU15" s="6918"/>
      <c r="AV15" s="6918"/>
      <c r="AW15" s="6918"/>
      <c r="AX15" s="3742"/>
      <c r="AY15" s="5016"/>
      <c r="AZ15" s="5016"/>
      <c r="BA15" s="5016"/>
      <c r="BB15" s="5016"/>
      <c r="BC15" s="5016"/>
      <c r="BD15" s="5016"/>
      <c r="BE15" s="5016"/>
      <c r="BF15" s="5016"/>
      <c r="BG15" s="5016"/>
      <c r="BH15" s="5016"/>
    </row>
    <row r="16" spans="1:60" ht="9" customHeight="1">
      <c r="A16" s="5088"/>
      <c r="B16" s="6854" t="str">
        <f>Names</f>
        <v/>
      </c>
      <c r="C16" s="5680"/>
      <c r="D16" s="5680"/>
      <c r="E16" s="5680"/>
      <c r="F16" s="5680"/>
      <c r="G16" s="5680"/>
      <c r="H16" s="5680"/>
      <c r="I16" s="5680"/>
      <c r="J16" s="5680"/>
      <c r="K16" s="5680"/>
      <c r="L16" s="5680"/>
      <c r="M16" s="5680"/>
      <c r="N16" s="5680"/>
      <c r="O16" s="5680"/>
      <c r="P16" s="5680"/>
      <c r="Q16" s="5680"/>
      <c r="R16" s="5680"/>
      <c r="S16" s="5680"/>
      <c r="T16" s="5680"/>
      <c r="U16" s="5680"/>
      <c r="V16" s="5680"/>
      <c r="W16" s="5680"/>
      <c r="X16" s="5680"/>
      <c r="Y16" s="5680"/>
      <c r="Z16" s="5680"/>
      <c r="AA16" s="6855">
        <f>IF(NoSSN,"",SS_Yours)</f>
        <v>0</v>
      </c>
      <c r="AB16" s="6856"/>
      <c r="AC16" s="6856"/>
      <c r="AD16" s="6856"/>
      <c r="AE16" s="6856"/>
      <c r="AF16" s="6856"/>
      <c r="AG16" s="6856"/>
      <c r="AH16" s="6856"/>
      <c r="AI16" s="6856"/>
      <c r="AJ16" s="6856"/>
      <c r="AK16" s="6856"/>
      <c r="AL16" s="6856"/>
      <c r="AM16" s="6856"/>
      <c r="AN16" s="6856"/>
      <c r="AO16" s="6856"/>
      <c r="AP16" s="3350"/>
      <c r="AQ16" s="1443"/>
      <c r="AR16" s="1443"/>
      <c r="AS16" s="1443"/>
      <c r="AT16" s="1443"/>
      <c r="AU16" s="1443"/>
      <c r="AV16" s="1443"/>
      <c r="AW16" s="1443"/>
      <c r="AX16" s="3742"/>
      <c r="AY16" s="5016"/>
      <c r="AZ16" s="5016"/>
      <c r="BA16" s="5016"/>
      <c r="BB16" s="5016"/>
      <c r="BC16" s="5016"/>
      <c r="BD16" s="5016"/>
      <c r="BE16" s="5016"/>
      <c r="BF16" s="5016"/>
      <c r="BG16" s="5016"/>
      <c r="BH16" s="5016"/>
    </row>
    <row r="17" spans="1:60" ht="9" customHeight="1">
      <c r="A17" s="5088"/>
      <c r="B17" s="5681"/>
      <c r="C17" s="5681"/>
      <c r="D17" s="5681"/>
      <c r="E17" s="5681"/>
      <c r="F17" s="5681"/>
      <c r="G17" s="5681"/>
      <c r="H17" s="5681"/>
      <c r="I17" s="5681"/>
      <c r="J17" s="5681"/>
      <c r="K17" s="5681"/>
      <c r="L17" s="5681"/>
      <c r="M17" s="5681"/>
      <c r="N17" s="5681"/>
      <c r="O17" s="5681"/>
      <c r="P17" s="5681"/>
      <c r="Q17" s="5681"/>
      <c r="R17" s="5681"/>
      <c r="S17" s="5681"/>
      <c r="T17" s="5681"/>
      <c r="U17" s="5681"/>
      <c r="V17" s="5681"/>
      <c r="W17" s="5681"/>
      <c r="X17" s="5681"/>
      <c r="Y17" s="5681"/>
      <c r="Z17" s="5681"/>
      <c r="AA17" s="6857"/>
      <c r="AB17" s="6858"/>
      <c r="AC17" s="6858"/>
      <c r="AD17" s="6858"/>
      <c r="AE17" s="6858"/>
      <c r="AF17" s="6858"/>
      <c r="AG17" s="6858"/>
      <c r="AH17" s="6858"/>
      <c r="AI17" s="6858"/>
      <c r="AJ17" s="6858"/>
      <c r="AK17" s="6858"/>
      <c r="AL17" s="6858"/>
      <c r="AM17" s="6858"/>
      <c r="AN17" s="6858"/>
      <c r="AO17" s="6858"/>
      <c r="AP17" s="3350"/>
      <c r="AQ17" s="1443"/>
      <c r="AR17" s="1443"/>
      <c r="AS17" s="1443"/>
      <c r="AT17" s="1443"/>
      <c r="AU17" s="1443"/>
      <c r="AV17" s="1443"/>
      <c r="AW17" s="1443"/>
      <c r="AX17" s="3742"/>
      <c r="AY17" s="5016"/>
      <c r="AZ17" s="5016"/>
      <c r="BA17" s="5016"/>
      <c r="BB17" s="5016"/>
      <c r="BC17" s="5016"/>
      <c r="BD17" s="5016"/>
      <c r="BE17" s="5016"/>
      <c r="BF17" s="5016"/>
      <c r="BG17" s="5016"/>
      <c r="BH17" s="5016"/>
    </row>
    <row r="18" spans="1:60" ht="12.75" customHeight="1">
      <c r="A18" s="5088"/>
      <c r="B18" s="3315" t="s">
        <v>3495</v>
      </c>
      <c r="C18" s="1957"/>
      <c r="D18" s="1957"/>
      <c r="E18" s="1957"/>
      <c r="F18" s="1957"/>
      <c r="G18" s="1957"/>
      <c r="H18" s="1957"/>
      <c r="I18" s="1957"/>
      <c r="J18" s="1957"/>
      <c r="K18" s="1957"/>
      <c r="L18" s="1957"/>
      <c r="M18" s="1957"/>
      <c r="N18" s="1957"/>
      <c r="O18" s="1957"/>
      <c r="P18" s="1957"/>
      <c r="Q18" s="1957"/>
      <c r="R18" s="1957"/>
      <c r="S18" s="1957"/>
      <c r="T18" s="1957"/>
      <c r="U18" s="1957"/>
      <c r="V18" s="1957"/>
      <c r="W18" s="1957"/>
      <c r="X18" s="1957"/>
      <c r="Y18" s="1957"/>
      <c r="Z18" s="1957"/>
      <c r="AA18" s="1957"/>
      <c r="AB18" s="1957"/>
      <c r="AC18" s="1957"/>
      <c r="AD18" s="1957"/>
      <c r="AE18" s="1957"/>
      <c r="AF18" s="1957"/>
      <c r="AG18" s="1957"/>
      <c r="AH18" s="1957"/>
      <c r="AI18" s="4706" t="s">
        <v>3496</v>
      </c>
      <c r="AJ18" s="1957"/>
      <c r="AK18" s="1957"/>
      <c r="AL18" s="1957"/>
      <c r="AM18" s="1957"/>
      <c r="AN18" s="1957"/>
      <c r="AO18" s="1539"/>
      <c r="AP18" s="3350"/>
      <c r="AQ18" s="1616" t="b">
        <f>AND(AO20&lt;2,AO146&lt;2,AO272&lt;2,SUM(AO20,AO146,AO272)&gt;1)</f>
        <v>0</v>
      </c>
      <c r="AR18" s="1616"/>
      <c r="AS18" s="1616"/>
      <c r="AT18" s="1616"/>
      <c r="AU18" s="1616"/>
      <c r="AV18" s="3853"/>
      <c r="AW18" s="3853"/>
      <c r="AX18" s="3742"/>
      <c r="AY18" s="5016"/>
      <c r="AZ18" s="5016"/>
      <c r="BA18" s="5016"/>
      <c r="BB18" s="5016"/>
      <c r="BC18" s="5016"/>
      <c r="BD18" s="5016"/>
      <c r="BE18" s="5016"/>
      <c r="BF18" s="5016"/>
      <c r="BG18" s="5016"/>
      <c r="BH18" s="5016"/>
    </row>
    <row r="19" spans="1:60" ht="12.75" customHeight="1">
      <c r="A19" s="5087"/>
      <c r="B19" s="1592" t="s">
        <v>3497</v>
      </c>
      <c r="C19" s="1443"/>
      <c r="D19" s="1443"/>
      <c r="E19" s="1592" t="s">
        <v>3498</v>
      </c>
      <c r="F19" s="1922"/>
      <c r="G19" s="1443"/>
      <c r="H19" s="1443"/>
      <c r="I19" s="1443"/>
      <c r="J19" s="1443"/>
      <c r="K19" s="1443"/>
      <c r="L19" s="1443"/>
      <c r="M19" s="1443"/>
      <c r="N19" s="1443"/>
      <c r="O19" s="1443"/>
      <c r="P19" s="1443"/>
      <c r="Q19" s="1443"/>
      <c r="R19" s="1443"/>
      <c r="S19" s="1443"/>
      <c r="T19" s="1443"/>
      <c r="U19" s="1443"/>
      <c r="V19" s="1443"/>
      <c r="W19" s="1443"/>
      <c r="X19" s="1443"/>
      <c r="Y19" s="1443"/>
      <c r="Z19" s="1443"/>
      <c r="AA19" s="1443"/>
      <c r="AB19" s="1443"/>
      <c r="AC19" s="1443"/>
      <c r="AD19" s="1443"/>
      <c r="AE19" s="1443"/>
      <c r="AF19" s="1443"/>
      <c r="AG19" s="1443"/>
      <c r="AH19" s="1443"/>
      <c r="AI19" s="1443"/>
      <c r="AJ19" s="1443"/>
      <c r="AK19" s="1443"/>
      <c r="AL19" s="1443"/>
      <c r="AM19" s="1443"/>
      <c r="AN19" s="1443"/>
      <c r="AO19" s="1443"/>
      <c r="AP19" s="3350"/>
      <c r="AQ19" s="1616" t="s">
        <v>38</v>
      </c>
      <c r="AR19" s="6686">
        <f>SUM(AR122,AR248,AR374)</f>
        <v>0</v>
      </c>
      <c r="AS19" s="6687"/>
      <c r="AT19" s="6687"/>
      <c r="AU19" s="6687"/>
      <c r="AV19" s="3853"/>
      <c r="AW19" s="3853"/>
      <c r="AX19" s="3742"/>
      <c r="AY19" s="5016"/>
      <c r="AZ19" s="5016"/>
      <c r="BA19" s="5016"/>
      <c r="BB19" s="5016"/>
      <c r="BC19" s="5016"/>
      <c r="BD19" s="5016"/>
      <c r="BE19" s="5016"/>
      <c r="BF19" s="5016"/>
      <c r="BG19" s="5016"/>
      <c r="BH19" s="5016"/>
    </row>
    <row r="20" spans="1:60" ht="8.25" customHeight="1">
      <c r="A20" s="5088"/>
      <c r="B20" s="1443"/>
      <c r="C20" s="2772">
        <f>IF(C21&lt;&gt;"",1,0)</f>
        <v>0</v>
      </c>
      <c r="D20" s="1616"/>
      <c r="E20" s="1616"/>
      <c r="F20" s="3412"/>
      <c r="G20" s="1616"/>
      <c r="H20" s="1616"/>
      <c r="I20" s="1616"/>
      <c r="J20" s="1616"/>
      <c r="K20" s="2772">
        <f>IF(K21&lt;&gt;"",1,0)</f>
        <v>0</v>
      </c>
      <c r="L20" s="1616"/>
      <c r="M20" s="1616"/>
      <c r="N20" s="2772"/>
      <c r="O20" s="1616"/>
      <c r="P20" s="1616"/>
      <c r="Q20" s="1616"/>
      <c r="R20" s="1616"/>
      <c r="S20" s="1616"/>
      <c r="T20" s="1616"/>
      <c r="U20" s="1616"/>
      <c r="V20" s="1616"/>
      <c r="W20" s="2772">
        <f>IF(W21&lt;&gt;"",1,0)</f>
        <v>0</v>
      </c>
      <c r="X20" s="1616"/>
      <c r="Y20" s="1616"/>
      <c r="Z20" s="1616"/>
      <c r="AA20" s="1616"/>
      <c r="AB20" s="2772"/>
      <c r="AC20" s="1443"/>
      <c r="AD20" s="1443"/>
      <c r="AE20" s="1443"/>
      <c r="AF20" s="1443"/>
      <c r="AG20" s="1443"/>
      <c r="AH20" s="1443"/>
      <c r="AI20" s="2772">
        <f>IF(AI21&lt;&gt;"",1,0)</f>
        <v>0</v>
      </c>
      <c r="AJ20" s="1443"/>
      <c r="AK20" s="1443"/>
      <c r="AL20" s="1443"/>
      <c r="AM20" s="1443"/>
      <c r="AN20" s="1443"/>
      <c r="AO20" s="3074">
        <f>SUM(C20,K20,W20,AI20,C22,K22,W22)</f>
        <v>0</v>
      </c>
      <c r="AP20" s="3350"/>
      <c r="AQ20" s="1616"/>
      <c r="AR20" s="1616"/>
      <c r="AS20" s="1616"/>
      <c r="AT20" s="1616"/>
      <c r="AU20" s="1616"/>
      <c r="AV20" s="3853"/>
      <c r="AW20" s="3853"/>
      <c r="AX20" s="3742"/>
      <c r="AY20" s="5016"/>
      <c r="AZ20" s="5016"/>
      <c r="BA20" s="5016"/>
      <c r="BB20" s="5016"/>
      <c r="BC20" s="5016"/>
      <c r="BD20" s="5016"/>
      <c r="BE20" s="5016"/>
      <c r="BF20" s="5016"/>
      <c r="BG20" s="5016"/>
      <c r="BH20" s="5016"/>
    </row>
    <row r="21" spans="1:60" ht="13.5" customHeight="1">
      <c r="A21" s="5087" t="b">
        <f>AND(K21&lt;&gt;"",AO20=1,A78)</f>
        <v>0</v>
      </c>
      <c r="B21" s="3366" t="s">
        <v>38</v>
      </c>
      <c r="C21" s="1669"/>
      <c r="D21" s="3384" t="s">
        <v>3493</v>
      </c>
      <c r="E21" s="1443"/>
      <c r="F21" s="1443"/>
      <c r="G21" s="1443"/>
      <c r="H21" s="1443"/>
      <c r="I21" s="1443"/>
      <c r="J21" s="3366" t="s">
        <v>55</v>
      </c>
      <c r="K21" s="1669"/>
      <c r="L21" s="3384" t="s">
        <v>2746</v>
      </c>
      <c r="M21" s="3384"/>
      <c r="N21" s="1607"/>
      <c r="O21" s="3384"/>
      <c r="P21" s="1607"/>
      <c r="Q21" s="1443"/>
      <c r="R21" s="1443"/>
      <c r="S21" s="1443"/>
      <c r="T21" s="1443"/>
      <c r="U21" s="1443"/>
      <c r="V21" s="3366" t="s">
        <v>1201</v>
      </c>
      <c r="W21" s="1669"/>
      <c r="X21" s="3384" t="s">
        <v>2747</v>
      </c>
      <c r="Y21" s="1443"/>
      <c r="Z21" s="1443"/>
      <c r="AA21" s="3366"/>
      <c r="AB21" s="1443"/>
      <c r="AC21" s="3384"/>
      <c r="AD21" s="3366"/>
      <c r="AE21" s="1443"/>
      <c r="AF21" s="3366"/>
      <c r="AG21" s="1443"/>
      <c r="AH21" s="3366" t="s">
        <v>2693</v>
      </c>
      <c r="AI21" s="1669"/>
      <c r="AJ21" s="3384" t="s">
        <v>2748</v>
      </c>
      <c r="AK21" s="1443"/>
      <c r="AL21" s="1443"/>
      <c r="AM21" s="1443"/>
      <c r="AN21" s="1443"/>
      <c r="AO21" s="1588"/>
      <c r="AP21" s="3350"/>
      <c r="AQ21" s="5278" t="str">
        <f>IF(NOT(AO20),"←  Check one box.","")</f>
        <v>←  Check one box.</v>
      </c>
      <c r="AR21" s="1616"/>
      <c r="AS21" s="1616"/>
      <c r="AT21" s="1616"/>
      <c r="AU21" s="1616"/>
      <c r="AV21" s="3853"/>
      <c r="AW21" s="3853"/>
      <c r="AX21" s="3742"/>
      <c r="AY21" s="5016"/>
      <c r="AZ21" s="5016"/>
      <c r="BA21" s="5016"/>
      <c r="BB21" s="5016"/>
      <c r="BC21" s="5016"/>
      <c r="BD21" s="5016"/>
      <c r="BE21" s="5016"/>
      <c r="BF21" s="5016"/>
      <c r="BG21" s="5016"/>
      <c r="BH21" s="5016"/>
    </row>
    <row r="22" spans="1:60" ht="6" customHeight="1">
      <c r="A22" s="5088"/>
      <c r="B22" s="3286"/>
      <c r="C22" s="2772">
        <f>IF(C23&lt;&gt;"",1,0)</f>
        <v>0</v>
      </c>
      <c r="D22" s="3413"/>
      <c r="E22" s="1616"/>
      <c r="F22" s="1616"/>
      <c r="G22" s="1616"/>
      <c r="H22" s="1616"/>
      <c r="I22" s="1616"/>
      <c r="J22" s="1616"/>
      <c r="K22" s="2772">
        <f>IF(K23&lt;&gt;"",1,0)</f>
        <v>0</v>
      </c>
      <c r="L22" s="1616"/>
      <c r="M22" s="1616"/>
      <c r="N22" s="2772"/>
      <c r="O22" s="1443"/>
      <c r="P22" s="1443"/>
      <c r="Q22" s="1443"/>
      <c r="R22" s="1443"/>
      <c r="S22" s="1443"/>
      <c r="T22" s="1443"/>
      <c r="U22" s="1443"/>
      <c r="V22" s="1443"/>
      <c r="W22" s="2772">
        <f>IF(W23&lt;&gt;"",1,0)</f>
        <v>0</v>
      </c>
      <c r="X22" s="1443"/>
      <c r="Y22" s="1443"/>
      <c r="Z22" s="1443"/>
      <c r="AA22" s="1443"/>
      <c r="AB22" s="1443"/>
      <c r="AC22" s="1443"/>
      <c r="AD22" s="1443"/>
      <c r="AE22" s="1443"/>
      <c r="AF22" s="1443"/>
      <c r="AG22" s="1443"/>
      <c r="AH22" s="1443"/>
      <c r="AI22" s="1443"/>
      <c r="AJ22" s="1443"/>
      <c r="AK22" s="1443"/>
      <c r="AL22" s="1443"/>
      <c r="AM22" s="1443"/>
      <c r="AN22" s="1443"/>
      <c r="AO22" s="1443"/>
      <c r="AP22" s="3350"/>
      <c r="AQ22" s="1616" t="s">
        <v>54</v>
      </c>
      <c r="AR22" s="6686">
        <f>SUM(AR123,AR249,AR375)</f>
        <v>0</v>
      </c>
      <c r="AS22" s="6687"/>
      <c r="AT22" s="6687"/>
      <c r="AU22" s="6687"/>
      <c r="AV22" s="3853"/>
      <c r="AW22" s="3853"/>
      <c r="AX22" s="3742"/>
      <c r="AY22" s="5016"/>
      <c r="AZ22" s="5016"/>
      <c r="BA22" s="5016"/>
      <c r="BB22" s="5016"/>
      <c r="BC22" s="5016"/>
      <c r="BD22" s="5016"/>
      <c r="BE22" s="5016"/>
      <c r="BF22" s="5016"/>
      <c r="BG22" s="5016"/>
      <c r="BH22" s="5016"/>
    </row>
    <row r="23" spans="1:60" ht="13.5" customHeight="1">
      <c r="A23" s="5088"/>
      <c r="B23" s="3366" t="s">
        <v>54</v>
      </c>
      <c r="C23" s="1669"/>
      <c r="D23" s="3384" t="s">
        <v>3494</v>
      </c>
      <c r="E23" s="1443"/>
      <c r="F23" s="1443"/>
      <c r="G23" s="1443"/>
      <c r="H23" s="1443"/>
      <c r="I23" s="1443"/>
      <c r="J23" s="3366" t="s">
        <v>102</v>
      </c>
      <c r="K23" s="1669"/>
      <c r="L23" s="3384" t="s">
        <v>2749</v>
      </c>
      <c r="M23" s="3384"/>
      <c r="N23" s="1607"/>
      <c r="O23" s="3384"/>
      <c r="P23" s="1607"/>
      <c r="Q23" s="1443"/>
      <c r="R23" s="1443"/>
      <c r="S23" s="1443"/>
      <c r="T23" s="1443"/>
      <c r="U23" s="1443"/>
      <c r="V23" s="3366" t="s">
        <v>1202</v>
      </c>
      <c r="W23" s="1669"/>
      <c r="X23" s="3384" t="s">
        <v>2750</v>
      </c>
      <c r="Y23" s="1443"/>
      <c r="Z23" s="1443"/>
      <c r="AA23" s="1443"/>
      <c r="AB23" s="1443"/>
      <c r="AC23" s="1443"/>
      <c r="AD23" s="1443"/>
      <c r="AE23" s="1443"/>
      <c r="AF23" s="1443"/>
      <c r="AG23" s="1443"/>
      <c r="AH23" s="1443"/>
      <c r="AI23" s="1443"/>
      <c r="AJ23" s="1443"/>
      <c r="AK23" s="1443"/>
      <c r="AL23" s="1443"/>
      <c r="AM23" s="1443"/>
      <c r="AN23" s="1443"/>
      <c r="AO23" s="1616" t="b">
        <f>AO20&lt;&gt;1</f>
        <v>1</v>
      </c>
      <c r="AP23" s="3350"/>
      <c r="AQ23" s="1616"/>
      <c r="AR23" s="1616"/>
      <c r="AS23" s="1616"/>
      <c r="AT23" s="1616"/>
      <c r="AU23" s="1616"/>
      <c r="AV23" s="3853"/>
      <c r="AW23" s="3853"/>
      <c r="AX23" s="3742"/>
      <c r="AY23" s="5016"/>
      <c r="AZ23" s="5016"/>
      <c r="BA23" s="5016"/>
      <c r="BB23" s="5016"/>
      <c r="BC23" s="5016"/>
      <c r="BD23" s="5016"/>
      <c r="BE23" s="5016"/>
      <c r="BF23" s="5016"/>
      <c r="BG23" s="5016"/>
      <c r="BH23" s="5016"/>
    </row>
    <row r="24" spans="1:60" ht="8.25" customHeight="1">
      <c r="A24" s="5088"/>
      <c r="B24" s="3286"/>
      <c r="C24" s="3367"/>
      <c r="D24" s="3269"/>
      <c r="E24" s="1443"/>
      <c r="F24" s="1443"/>
      <c r="G24" s="1443"/>
      <c r="H24" s="1443"/>
      <c r="I24" s="1443"/>
      <c r="J24" s="1443"/>
      <c r="K24" s="1443"/>
      <c r="L24" s="1443"/>
      <c r="M24" s="1443"/>
      <c r="N24" s="1443"/>
      <c r="O24" s="1443"/>
      <c r="P24" s="1443"/>
      <c r="Q24" s="1443"/>
      <c r="R24" s="1443"/>
      <c r="S24" s="1443"/>
      <c r="T24" s="1443"/>
      <c r="U24" s="1443"/>
      <c r="V24" s="1443"/>
      <c r="W24" s="1443"/>
      <c r="X24" s="1443"/>
      <c r="Y24" s="1443"/>
      <c r="Z24" s="1443"/>
      <c r="AA24" s="1443"/>
      <c r="AB24" s="1443"/>
      <c r="AC24" s="1443"/>
      <c r="AD24" s="1443"/>
      <c r="AE24" s="1443"/>
      <c r="AF24" s="1443"/>
      <c r="AG24" s="1443"/>
      <c r="AH24" s="1443"/>
      <c r="AI24" s="1443"/>
      <c r="AJ24" s="1443"/>
      <c r="AK24" s="1443"/>
      <c r="AL24" s="1443"/>
      <c r="AM24" s="1443"/>
      <c r="AN24" s="1443"/>
      <c r="AO24" s="1443"/>
      <c r="AP24" s="3350"/>
      <c r="AQ24" s="1616" t="s">
        <v>55</v>
      </c>
      <c r="AR24" s="6686">
        <f>SUM(AR124,AR250,AR376)</f>
        <v>0</v>
      </c>
      <c r="AS24" s="6687"/>
      <c r="AT24" s="6687"/>
      <c r="AU24" s="6687"/>
      <c r="AV24" s="3853"/>
      <c r="AW24" s="3853"/>
      <c r="AX24" s="3742"/>
      <c r="AY24" s="5016"/>
      <c r="AZ24" s="5016"/>
      <c r="BA24" s="5016"/>
      <c r="BB24" s="5016"/>
      <c r="BC24" s="5016"/>
      <c r="BD24" s="5016"/>
      <c r="BE24" s="5016"/>
      <c r="BF24" s="5016"/>
      <c r="BG24" s="5016"/>
      <c r="BH24" s="5016"/>
    </row>
    <row r="25" spans="1:60" ht="15.75" customHeight="1">
      <c r="A25" s="5088"/>
      <c r="B25" s="3385" t="s">
        <v>132</v>
      </c>
      <c r="C25" s="3386" t="s">
        <v>2751</v>
      </c>
      <c r="D25" s="1937"/>
      <c r="E25" s="1937"/>
      <c r="F25" s="1937"/>
      <c r="G25" s="1937"/>
      <c r="H25" s="1937"/>
      <c r="I25" s="1937"/>
      <c r="J25" s="1937"/>
      <c r="K25" s="1937"/>
      <c r="L25" s="6775"/>
      <c r="M25" s="6775"/>
      <c r="N25" s="6775"/>
      <c r="O25" s="6775"/>
      <c r="P25" s="6775"/>
      <c r="Q25" s="6775"/>
      <c r="R25" s="6775"/>
      <c r="S25" s="6775"/>
      <c r="T25" s="6775"/>
      <c r="U25" s="6775"/>
      <c r="V25" s="6775"/>
      <c r="W25" s="6775"/>
      <c r="X25" s="6775"/>
      <c r="Y25" s="6775"/>
      <c r="Z25" s="6775"/>
      <c r="AA25" s="6775"/>
      <c r="AB25" s="6775"/>
      <c r="AC25" s="6775"/>
      <c r="AD25" s="6775"/>
      <c r="AE25" s="6775"/>
      <c r="AF25" s="6775"/>
      <c r="AG25" s="6775"/>
      <c r="AH25" s="6775"/>
      <c r="AI25" s="6775"/>
      <c r="AJ25" s="6775"/>
      <c r="AK25" s="6775"/>
      <c r="AL25" s="6775"/>
      <c r="AM25" s="6775"/>
      <c r="AN25" s="6775"/>
      <c r="AO25" s="6775"/>
      <c r="AP25" s="3350"/>
      <c r="AQ25" s="1616"/>
      <c r="AR25" s="1616"/>
      <c r="AS25" s="1616"/>
      <c r="AT25" s="1616"/>
      <c r="AU25" s="1616"/>
      <c r="AV25" s="3853"/>
      <c r="AW25" s="3853"/>
      <c r="AX25" s="3742"/>
      <c r="AY25" s="5016"/>
      <c r="AZ25" s="5016"/>
      <c r="BA25" s="5016"/>
      <c r="BB25" s="5016"/>
      <c r="BC25" s="5016"/>
      <c r="BD25" s="5016"/>
      <c r="BE25" s="5016"/>
      <c r="BF25" s="5016"/>
      <c r="BG25" s="5016"/>
      <c r="BH25" s="5016"/>
    </row>
    <row r="26" spans="1:60" ht="12.75" customHeight="1">
      <c r="A26" s="5088"/>
      <c r="B26" s="6859" t="s">
        <v>30</v>
      </c>
      <c r="C26" s="6860"/>
      <c r="D26" s="1607" t="s">
        <v>2752</v>
      </c>
      <c r="E26" s="1443"/>
      <c r="F26" s="1443"/>
      <c r="G26" s="1443"/>
      <c r="H26" s="1443"/>
      <c r="I26" s="1443"/>
      <c r="J26" s="1443"/>
      <c r="K26" s="1443"/>
      <c r="L26" s="1443"/>
      <c r="M26" s="1443"/>
      <c r="N26" s="1443"/>
      <c r="O26" s="1443"/>
      <c r="P26" s="1443"/>
      <c r="Q26" s="1443"/>
      <c r="R26" s="1443"/>
      <c r="S26" s="1443"/>
      <c r="T26" s="1443"/>
      <c r="U26" s="1443"/>
      <c r="V26" s="1443"/>
      <c r="W26" s="1443"/>
      <c r="X26" s="1443"/>
      <c r="Y26" s="1443"/>
      <c r="Z26" s="1443"/>
      <c r="AA26" s="1443"/>
      <c r="AB26" s="1443"/>
      <c r="AC26" s="1443"/>
      <c r="AD26" s="1443"/>
      <c r="AE26" s="1443"/>
      <c r="AF26" s="1443"/>
      <c r="AG26" s="1443"/>
      <c r="AH26" s="1443"/>
      <c r="AI26" s="1443"/>
      <c r="AJ26" s="1443"/>
      <c r="AK26" s="1443"/>
      <c r="AL26" s="1443"/>
      <c r="AM26" s="1443"/>
      <c r="AN26" s="1443"/>
      <c r="AO26" s="1443"/>
      <c r="AP26" s="3350"/>
      <c r="AQ26" s="1616" t="s">
        <v>102</v>
      </c>
      <c r="AR26" s="6686">
        <f>SUM(AR125,AR251,AR377)</f>
        <v>0</v>
      </c>
      <c r="AS26" s="6687"/>
      <c r="AT26" s="6687"/>
      <c r="AU26" s="6687"/>
      <c r="AV26" s="3853"/>
      <c r="AW26" s="3853"/>
      <c r="AX26" s="3742"/>
      <c r="AY26" s="5016"/>
      <c r="AZ26" s="5016"/>
      <c r="BA26" s="5016"/>
      <c r="BB26" s="5016"/>
      <c r="BC26" s="5016"/>
      <c r="BD26" s="5016"/>
      <c r="BE26" s="5016"/>
      <c r="BF26" s="5016"/>
      <c r="BG26" s="5016"/>
      <c r="BH26" s="5016"/>
    </row>
    <row r="27" spans="1:60" ht="12.75" customHeight="1">
      <c r="A27" s="5088"/>
      <c r="B27" s="3400" t="s">
        <v>2790</v>
      </c>
      <c r="C27" s="3387"/>
      <c r="D27" s="3388"/>
      <c r="E27" s="1936"/>
      <c r="F27" s="1936"/>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6"/>
      <c r="AJ27" s="1936"/>
      <c r="AK27" s="1936"/>
      <c r="AL27" s="1936"/>
      <c r="AM27" s="1936"/>
      <c r="AN27" s="1936"/>
      <c r="AO27" s="1936"/>
      <c r="AP27" s="3350"/>
      <c r="AQ27" s="1616"/>
      <c r="AR27" s="1616"/>
      <c r="AS27" s="1616"/>
      <c r="AT27" s="1616"/>
      <c r="AU27" s="1616"/>
      <c r="AV27" s="3853"/>
      <c r="AW27" s="3853"/>
      <c r="AX27" s="3742"/>
      <c r="AY27" s="5016"/>
      <c r="AZ27" s="5016"/>
      <c r="BA27" s="5016"/>
      <c r="BB27" s="5016"/>
      <c r="BC27" s="5016"/>
      <c r="BD27" s="5016"/>
      <c r="BE27" s="5016"/>
      <c r="BF27" s="5016"/>
      <c r="BG27" s="5016"/>
      <c r="BH27" s="5016"/>
    </row>
    <row r="28" spans="1:60" s="3272" customFormat="1" ht="17.25" customHeight="1">
      <c r="A28" s="5090"/>
      <c r="B28" s="6871" t="s">
        <v>58</v>
      </c>
      <c r="C28" s="6871"/>
      <c r="D28" s="6872"/>
      <c r="E28" s="6861" t="s">
        <v>3536</v>
      </c>
      <c r="F28" s="6862"/>
      <c r="G28" s="6862"/>
      <c r="H28" s="6862"/>
      <c r="I28" s="6862"/>
      <c r="J28" s="6862"/>
      <c r="K28" s="6862"/>
      <c r="L28" s="6862"/>
      <c r="M28" s="6862"/>
      <c r="N28" s="6862"/>
      <c r="O28" s="6862"/>
      <c r="P28" s="6862"/>
      <c r="Q28" s="6862"/>
      <c r="R28" s="6862"/>
      <c r="S28" s="6862"/>
      <c r="T28" s="6862"/>
      <c r="U28" s="6862"/>
      <c r="V28" s="6862"/>
      <c r="W28" s="6862"/>
      <c r="X28" s="6862"/>
      <c r="Y28" s="6862"/>
      <c r="Z28" s="6862"/>
      <c r="AA28" s="6862"/>
      <c r="AB28" s="6862"/>
      <c r="AC28" s="6862"/>
      <c r="AD28" s="6862"/>
      <c r="AE28" s="6862"/>
      <c r="AF28" s="6862"/>
      <c r="AG28" s="6862"/>
      <c r="AH28" s="6862"/>
      <c r="AI28" s="6862"/>
      <c r="AJ28" s="6862"/>
      <c r="AK28" s="6862"/>
      <c r="AL28" s="6862"/>
      <c r="AM28" s="6862"/>
      <c r="AN28" s="6862"/>
      <c r="AO28" s="6862"/>
      <c r="AP28" s="3350"/>
      <c r="AQ28" s="1616" t="s">
        <v>1201</v>
      </c>
      <c r="AR28" s="6686">
        <f>SUM(AR126,AR252,AR378)</f>
        <v>0</v>
      </c>
      <c r="AS28" s="6687"/>
      <c r="AT28" s="6687"/>
      <c r="AU28" s="6687"/>
      <c r="AV28" s="3853"/>
      <c r="AW28" s="3853"/>
      <c r="AX28" s="3742"/>
      <c r="AY28" s="5016"/>
      <c r="AZ28" s="5016"/>
      <c r="BA28" s="5016"/>
      <c r="BB28" s="5016"/>
      <c r="BC28" s="5016"/>
      <c r="BD28" s="5016"/>
      <c r="BE28" s="5016"/>
      <c r="BF28" s="5016"/>
      <c r="BG28" s="5016"/>
      <c r="BH28" s="5016"/>
    </row>
    <row r="29" spans="1:60" ht="15">
      <c r="A29" s="5088"/>
      <c r="B29" s="6863"/>
      <c r="C29" s="6863"/>
      <c r="D29" s="3269"/>
      <c r="E29" s="1443"/>
      <c r="F29" s="1443"/>
      <c r="G29" s="1443"/>
      <c r="H29" s="1443"/>
      <c r="I29" s="1443"/>
      <c r="J29" s="1443"/>
      <c r="K29" s="1443"/>
      <c r="L29" s="1443"/>
      <c r="M29" s="1443"/>
      <c r="N29" s="1443"/>
      <c r="O29" s="1443"/>
      <c r="P29" s="6864" t="s">
        <v>2759</v>
      </c>
      <c r="Q29" s="6865"/>
      <c r="R29" s="6865"/>
      <c r="S29" s="6865"/>
      <c r="T29" s="6865"/>
      <c r="U29" s="6865"/>
      <c r="V29" s="6865"/>
      <c r="W29" s="6865"/>
      <c r="X29" s="6865"/>
      <c r="Y29" s="6865"/>
      <c r="Z29" s="6865"/>
      <c r="AA29" s="6865"/>
      <c r="AB29" s="6865"/>
      <c r="AC29" s="6865"/>
      <c r="AD29" s="6865"/>
      <c r="AE29" s="6865"/>
      <c r="AF29" s="6865"/>
      <c r="AG29" s="6865"/>
      <c r="AH29" s="6865"/>
      <c r="AI29" s="6866"/>
      <c r="AJ29" s="6247" t="s">
        <v>2753</v>
      </c>
      <c r="AK29" s="5872"/>
      <c r="AL29" s="5872"/>
      <c r="AM29" s="5872"/>
      <c r="AN29" s="5872"/>
      <c r="AO29" s="5872"/>
      <c r="AP29" s="3350"/>
      <c r="AQ29" s="1616" t="s">
        <v>1202</v>
      </c>
      <c r="AR29" s="6686">
        <f>SUM(AR127,AR253,AR379)</f>
        <v>0</v>
      </c>
      <c r="AS29" s="6687"/>
      <c r="AT29" s="6687"/>
      <c r="AU29" s="6687"/>
      <c r="AV29" s="1922"/>
      <c r="AW29" s="1922"/>
      <c r="AX29" s="3742"/>
      <c r="AY29" s="5016"/>
      <c r="AZ29" s="5016"/>
      <c r="BA29" s="5016"/>
      <c r="BB29" s="5016"/>
      <c r="BC29" s="5016"/>
      <c r="BD29" s="5016"/>
      <c r="BE29" s="5016"/>
      <c r="BF29" s="5016"/>
      <c r="BG29" s="5016"/>
      <c r="BH29" s="5016"/>
    </row>
    <row r="30" spans="1:60" ht="15">
      <c r="A30" s="5088"/>
      <c r="B30" s="6888" t="s">
        <v>2702</v>
      </c>
      <c r="C30" s="6888"/>
      <c r="D30" s="3405" t="s">
        <v>2754</v>
      </c>
      <c r="E30" s="1443"/>
      <c r="F30" s="1443"/>
      <c r="G30" s="1443"/>
      <c r="H30" s="1443"/>
      <c r="I30" s="1443"/>
      <c r="J30" s="1443"/>
      <c r="K30" s="1443"/>
      <c r="L30" s="1443"/>
      <c r="M30" s="1443"/>
      <c r="N30" s="1443"/>
      <c r="O30" s="1443"/>
      <c r="P30" s="6795" t="s">
        <v>159</v>
      </c>
      <c r="Q30" s="6867"/>
      <c r="R30" s="6867"/>
      <c r="S30" s="6867"/>
      <c r="T30" s="6867"/>
      <c r="U30" s="6867"/>
      <c r="V30" s="6868"/>
      <c r="W30" s="6795" t="s">
        <v>327</v>
      </c>
      <c r="X30" s="6867"/>
      <c r="Y30" s="6867"/>
      <c r="Z30" s="6867"/>
      <c r="AA30" s="6867"/>
      <c r="AB30" s="6867"/>
      <c r="AC30" s="6868"/>
      <c r="AD30" s="6795" t="s">
        <v>160</v>
      </c>
      <c r="AE30" s="6867"/>
      <c r="AF30" s="6867"/>
      <c r="AG30" s="6867"/>
      <c r="AH30" s="6867"/>
      <c r="AI30" s="6868"/>
      <c r="AJ30" s="6250"/>
      <c r="AK30" s="6251"/>
      <c r="AL30" s="6251"/>
      <c r="AM30" s="6251"/>
      <c r="AN30" s="6251"/>
      <c r="AO30" s="6251"/>
      <c r="AP30" s="3350"/>
      <c r="AQ30" s="1616" t="s">
        <v>2693</v>
      </c>
      <c r="AR30" s="6686">
        <f>SUM(AR128,AR254,AR380)</f>
        <v>0</v>
      </c>
      <c r="AS30" s="6687"/>
      <c r="AT30" s="6687"/>
      <c r="AU30" s="6687"/>
      <c r="AV30" s="1443"/>
      <c r="AW30" s="1443"/>
      <c r="AX30" s="3742"/>
      <c r="AY30" s="5016"/>
      <c r="AZ30" s="5016"/>
      <c r="BA30" s="5016"/>
      <c r="BB30" s="5016"/>
      <c r="BC30" s="5016"/>
      <c r="BD30" s="5016"/>
      <c r="BE30" s="5016"/>
      <c r="BF30" s="5016"/>
      <c r="BG30" s="5016"/>
      <c r="BH30" s="5016"/>
    </row>
    <row r="31" spans="1:60" s="1029" customFormat="1" ht="13.5" customHeight="1">
      <c r="A31" s="5091"/>
      <c r="B31" s="6889"/>
      <c r="C31" s="6889"/>
      <c r="D31" s="3406" t="s">
        <v>2755</v>
      </c>
      <c r="E31" s="1608"/>
      <c r="F31" s="1608"/>
      <c r="G31" s="1608"/>
      <c r="H31" s="1608"/>
      <c r="I31" s="1608"/>
      <c r="J31" s="1608"/>
      <c r="K31" s="1608"/>
      <c r="L31" s="1608"/>
      <c r="M31" s="1608"/>
      <c r="N31" s="1608"/>
      <c r="O31" s="4843" t="s">
        <v>1312</v>
      </c>
      <c r="P31" s="6847"/>
      <c r="Q31" s="6848"/>
      <c r="R31" s="6848"/>
      <c r="S31" s="6848"/>
      <c r="T31" s="6848"/>
      <c r="U31" s="6848"/>
      <c r="V31" s="6849"/>
      <c r="W31" s="6847"/>
      <c r="X31" s="6848"/>
      <c r="Y31" s="6848"/>
      <c r="Z31" s="6848"/>
      <c r="AA31" s="6848"/>
      <c r="AB31" s="6848"/>
      <c r="AC31" s="6849"/>
      <c r="AD31" s="6847"/>
      <c r="AE31" s="6848"/>
      <c r="AF31" s="6848"/>
      <c r="AG31" s="6848"/>
      <c r="AH31" s="6848"/>
      <c r="AI31" s="6849"/>
      <c r="AJ31" s="6850"/>
      <c r="AK31" s="6851"/>
      <c r="AL31" s="3415"/>
      <c r="AM31" s="3403"/>
      <c r="AN31" s="3403"/>
      <c r="AO31" s="3403"/>
      <c r="AP31" s="3389"/>
      <c r="AQ31" s="1443"/>
      <c r="AR31" s="1443"/>
      <c r="AS31" s="1443"/>
      <c r="AT31" s="1443"/>
      <c r="AU31" s="1443"/>
      <c r="AV31" s="1443"/>
      <c r="AW31" s="1443"/>
      <c r="AX31" s="5019"/>
      <c r="AY31" s="5017"/>
      <c r="AZ31" s="5017"/>
      <c r="BA31" s="5017"/>
      <c r="BB31" s="5017"/>
      <c r="BC31" s="5017"/>
      <c r="BD31" s="5017"/>
      <c r="BE31" s="5017"/>
      <c r="BF31" s="5017"/>
      <c r="BG31" s="5017"/>
      <c r="BH31" s="5017"/>
    </row>
    <row r="32" spans="1:60" ht="12" customHeight="1">
      <c r="A32" s="5088"/>
      <c r="B32" s="6879" t="s">
        <v>14</v>
      </c>
      <c r="C32" s="6879"/>
      <c r="D32" s="1592" t="s">
        <v>2756</v>
      </c>
      <c r="E32" s="1443"/>
      <c r="F32" s="1443"/>
      <c r="G32" s="1443"/>
      <c r="H32" s="1443"/>
      <c r="I32" s="1443"/>
      <c r="J32" s="1443"/>
      <c r="K32" s="1443"/>
      <c r="L32" s="1443"/>
      <c r="M32" s="1443"/>
      <c r="N32" s="1443"/>
      <c r="O32" s="1443"/>
      <c r="P32" s="2255"/>
      <c r="Q32" s="1945"/>
      <c r="R32" s="1945"/>
      <c r="S32" s="1945"/>
      <c r="T32" s="1945"/>
      <c r="U32" s="1945"/>
      <c r="V32" s="2256"/>
      <c r="W32" s="2255"/>
      <c r="X32" s="1945"/>
      <c r="Y32" s="1945"/>
      <c r="Z32" s="1945"/>
      <c r="AA32" s="1945"/>
      <c r="AB32" s="1945"/>
      <c r="AC32" s="2256"/>
      <c r="AD32" s="2255"/>
      <c r="AE32" s="1945"/>
      <c r="AF32" s="1945"/>
      <c r="AG32" s="1945"/>
      <c r="AH32" s="1945"/>
      <c r="AI32" s="2256"/>
      <c r="AJ32" s="6696"/>
      <c r="AK32" s="5680"/>
      <c r="AL32" s="1965"/>
      <c r="AM32" s="1443"/>
      <c r="AN32" s="1443"/>
      <c r="AO32" s="1443"/>
      <c r="AP32" s="3350"/>
      <c r="AQ32" s="1608"/>
      <c r="AR32" s="1608"/>
      <c r="AS32" s="1608"/>
      <c r="AT32" s="1608"/>
      <c r="AU32" s="1608"/>
      <c r="AV32" s="1608"/>
      <c r="AW32" s="1608"/>
      <c r="AX32" s="3742"/>
      <c r="AY32" s="5016"/>
      <c r="AZ32" s="5016"/>
      <c r="BA32" s="5016"/>
      <c r="BB32" s="5016"/>
      <c r="BC32" s="5016"/>
      <c r="BD32" s="5016"/>
      <c r="BE32" s="5016"/>
      <c r="BF32" s="5016"/>
      <c r="BG32" s="5016"/>
      <c r="BH32" s="5016"/>
    </row>
    <row r="33" spans="1:60" ht="12" customHeight="1">
      <c r="A33" s="5088"/>
      <c r="B33" s="3285"/>
      <c r="C33" s="3285"/>
      <c r="D33" s="1607" t="s">
        <v>2757</v>
      </c>
      <c r="E33" s="1443"/>
      <c r="F33" s="1443"/>
      <c r="G33" s="1443"/>
      <c r="H33" s="1443"/>
      <c r="I33" s="1443"/>
      <c r="J33" s="1443"/>
      <c r="K33" s="1443"/>
      <c r="L33" s="1443"/>
      <c r="M33" s="1443"/>
      <c r="N33" s="1443"/>
      <c r="O33" s="1443"/>
      <c r="P33" s="2257"/>
      <c r="Q33" s="1945"/>
      <c r="R33" s="1945"/>
      <c r="S33" s="1945"/>
      <c r="T33" s="1945"/>
      <c r="U33" s="1945"/>
      <c r="V33" s="2258"/>
      <c r="W33" s="2257"/>
      <c r="X33" s="1945"/>
      <c r="Y33" s="1945"/>
      <c r="Z33" s="1945"/>
      <c r="AA33" s="1945"/>
      <c r="AB33" s="1945"/>
      <c r="AC33" s="2258"/>
      <c r="AD33" s="2257"/>
      <c r="AE33" s="1945"/>
      <c r="AF33" s="1945"/>
      <c r="AG33" s="1945"/>
      <c r="AH33" s="1945"/>
      <c r="AI33" s="2258"/>
      <c r="AJ33" s="6696"/>
      <c r="AK33" s="5680"/>
      <c r="AL33" s="1965"/>
      <c r="AM33" s="1443"/>
      <c r="AN33" s="1443"/>
      <c r="AO33" s="1443"/>
      <c r="AP33" s="3350"/>
      <c r="AQ33" s="1443"/>
      <c r="AR33" s="1443"/>
      <c r="AS33" s="1443"/>
      <c r="AT33" s="1443"/>
      <c r="AU33" s="1443"/>
      <c r="AV33" s="1443"/>
      <c r="AW33" s="1443"/>
      <c r="AX33" s="3742"/>
      <c r="AY33" s="5016"/>
      <c r="AZ33" s="5016"/>
      <c r="BA33" s="5016"/>
      <c r="BB33" s="5016"/>
      <c r="BC33" s="5016"/>
      <c r="BD33" s="5016"/>
      <c r="BE33" s="5016"/>
      <c r="BF33" s="5016"/>
      <c r="BG33" s="5016"/>
      <c r="BH33" s="5016"/>
    </row>
    <row r="34" spans="1:60" ht="12" customHeight="1">
      <c r="A34" s="5088"/>
      <c r="B34" s="3285"/>
      <c r="C34" s="3285"/>
      <c r="D34" s="2378" t="s">
        <v>2758</v>
      </c>
      <c r="E34" s="1443"/>
      <c r="F34" s="1443"/>
      <c r="G34" s="1443"/>
      <c r="H34" s="6852"/>
      <c r="I34" s="6853"/>
      <c r="J34" s="6853"/>
      <c r="K34" s="6853"/>
      <c r="L34" s="6853"/>
      <c r="M34" s="6853"/>
      <c r="N34" s="6853"/>
      <c r="O34" s="1443"/>
      <c r="P34" s="2257"/>
      <c r="Q34" s="1945"/>
      <c r="R34" s="1945"/>
      <c r="S34" s="1945"/>
      <c r="T34" s="1945"/>
      <c r="U34" s="1945"/>
      <c r="V34" s="2258"/>
      <c r="W34" s="2257"/>
      <c r="X34" s="1945"/>
      <c r="Y34" s="1945"/>
      <c r="Z34" s="1945"/>
      <c r="AA34" s="1945"/>
      <c r="AB34" s="1945"/>
      <c r="AC34" s="2258"/>
      <c r="AD34" s="2257"/>
      <c r="AE34" s="1945"/>
      <c r="AF34" s="1945"/>
      <c r="AG34" s="1945"/>
      <c r="AH34" s="1945"/>
      <c r="AI34" s="2258"/>
      <c r="AJ34" s="6696"/>
      <c r="AK34" s="5680"/>
      <c r="AL34" s="1965"/>
      <c r="AM34" s="1443"/>
      <c r="AN34" s="1443"/>
      <c r="AO34" s="1443"/>
      <c r="AP34" s="3350"/>
      <c r="AQ34" s="1443"/>
      <c r="AR34" s="1443"/>
      <c r="AS34" s="1443"/>
      <c r="AT34" s="1443"/>
      <c r="AU34" s="1443"/>
      <c r="AV34" s="1443"/>
      <c r="AW34" s="1443"/>
      <c r="AX34" s="3742"/>
      <c r="AY34" s="5016"/>
      <c r="AZ34" s="5016"/>
      <c r="BA34" s="5016"/>
      <c r="BB34" s="5016"/>
      <c r="BC34" s="5016"/>
      <c r="BD34" s="5016"/>
      <c r="BE34" s="5016"/>
      <c r="BF34" s="5016"/>
      <c r="BG34" s="5016"/>
      <c r="BH34" s="5016"/>
    </row>
    <row r="35" spans="1:60" ht="12" customHeight="1">
      <c r="A35" s="5088"/>
      <c r="B35" s="3285"/>
      <c r="C35" s="3285"/>
      <c r="D35" s="6702"/>
      <c r="E35" s="6703"/>
      <c r="F35" s="6703"/>
      <c r="G35" s="6703"/>
      <c r="H35" s="6703"/>
      <c r="I35" s="6703"/>
      <c r="J35" s="6703"/>
      <c r="K35" s="6703"/>
      <c r="L35" s="6703"/>
      <c r="M35" s="6703"/>
      <c r="N35" s="6703"/>
      <c r="O35" s="1443"/>
      <c r="P35" s="2257"/>
      <c r="Q35" s="1945"/>
      <c r="R35" s="1945"/>
      <c r="S35" s="1945"/>
      <c r="T35" s="1945"/>
      <c r="U35" s="1945"/>
      <c r="V35" s="2258"/>
      <c r="W35" s="2257"/>
      <c r="X35" s="1945"/>
      <c r="Y35" s="1945"/>
      <c r="Z35" s="1945"/>
      <c r="AA35" s="1945"/>
      <c r="AB35" s="1945"/>
      <c r="AC35" s="2258"/>
      <c r="AD35" s="2257"/>
      <c r="AE35" s="1945"/>
      <c r="AF35" s="1945"/>
      <c r="AG35" s="1945"/>
      <c r="AH35" s="1945"/>
      <c r="AI35" s="2258"/>
      <c r="AJ35" s="6696"/>
      <c r="AK35" s="5680"/>
      <c r="AL35" s="1965"/>
      <c r="AM35" s="1443"/>
      <c r="AN35" s="1443"/>
      <c r="AO35" s="1443"/>
      <c r="AP35" s="3350"/>
      <c r="AQ35" s="1443"/>
      <c r="AR35" s="1443"/>
      <c r="AS35" s="1443"/>
      <c r="AT35" s="1443"/>
      <c r="AU35" s="1443"/>
      <c r="AV35" s="1443"/>
      <c r="AW35" s="1443"/>
      <c r="AX35" s="3742"/>
      <c r="AY35" s="5016"/>
      <c r="AZ35" s="5016"/>
      <c r="BA35" s="5016"/>
      <c r="BB35" s="5016"/>
      <c r="BC35" s="5016"/>
      <c r="BD35" s="5016"/>
      <c r="BE35" s="5016"/>
      <c r="BF35" s="5016"/>
      <c r="BG35" s="5016"/>
      <c r="BH35" s="5016"/>
    </row>
    <row r="36" spans="1:60" ht="12" customHeight="1">
      <c r="A36" s="5088"/>
      <c r="B36" s="3285"/>
      <c r="C36" s="3285"/>
      <c r="D36" s="6704"/>
      <c r="E36" s="6705"/>
      <c r="F36" s="6705"/>
      <c r="G36" s="6705"/>
      <c r="H36" s="6705"/>
      <c r="I36" s="6705"/>
      <c r="J36" s="6705"/>
      <c r="K36" s="6705"/>
      <c r="L36" s="6705"/>
      <c r="M36" s="6705"/>
      <c r="N36" s="6705"/>
      <c r="O36" s="1443"/>
      <c r="P36" s="6699"/>
      <c r="Q36" s="6700"/>
      <c r="R36" s="6700"/>
      <c r="S36" s="6700"/>
      <c r="T36" s="6700"/>
      <c r="U36" s="6700"/>
      <c r="V36" s="6701"/>
      <c r="W36" s="6699"/>
      <c r="X36" s="6700"/>
      <c r="Y36" s="6700"/>
      <c r="Z36" s="6700"/>
      <c r="AA36" s="6700"/>
      <c r="AB36" s="6700"/>
      <c r="AC36" s="6701"/>
      <c r="AD36" s="6699"/>
      <c r="AE36" s="6700"/>
      <c r="AF36" s="6700"/>
      <c r="AG36" s="6700"/>
      <c r="AH36" s="6700"/>
      <c r="AI36" s="6701"/>
      <c r="AJ36" s="6706" t="s">
        <v>14</v>
      </c>
      <c r="AK36" s="6080"/>
      <c r="AL36" s="6707">
        <f>IF(AND(SUM(P36,W36,AD36)&gt;0,AO20=0),"Check one box.",ROUND(SUM(P36,W36,AD36),0))</f>
        <v>0</v>
      </c>
      <c r="AM36" s="5809"/>
      <c r="AN36" s="5809"/>
      <c r="AO36" s="5809"/>
      <c r="AP36" s="3350"/>
      <c r="AQ36" s="5278" t="str">
        <f>IF(AND(ForeignTaxPaid&lt;&gt;"",ForeignTaxPaid&gt;0,P36="",W36="",AD36=""),"←  Enter gross income.","")</f>
        <v/>
      </c>
      <c r="AR36" s="1443"/>
      <c r="AS36" s="1443"/>
      <c r="AT36" s="1443"/>
      <c r="AU36" s="1443"/>
      <c r="AV36" s="1443"/>
      <c r="AW36" s="1443"/>
      <c r="AX36" s="3742"/>
      <c r="AY36" s="5016"/>
      <c r="AZ36" s="5016"/>
      <c r="BA36" s="5016"/>
      <c r="BB36" s="5016"/>
      <c r="BC36" s="5016"/>
      <c r="BD36" s="5016"/>
      <c r="BE36" s="5016"/>
      <c r="BF36" s="5016"/>
      <c r="BG36" s="5016"/>
      <c r="BH36" s="5016"/>
    </row>
    <row r="37" spans="1:60" ht="12" customHeight="1">
      <c r="A37" s="5088"/>
      <c r="B37" s="6879" t="s">
        <v>54</v>
      </c>
      <c r="C37" s="6879"/>
      <c r="D37" s="2378" t="s">
        <v>2760</v>
      </c>
      <c r="E37" s="1443"/>
      <c r="F37" s="1443"/>
      <c r="G37" s="1443"/>
      <c r="H37" s="1443"/>
      <c r="I37" s="1443"/>
      <c r="J37" s="1443"/>
      <c r="K37" s="1443"/>
      <c r="L37" s="1443"/>
      <c r="M37" s="1443"/>
      <c r="N37" s="1443"/>
      <c r="O37" s="1443"/>
      <c r="P37" s="2257"/>
      <c r="Q37" s="1945"/>
      <c r="R37" s="1945"/>
      <c r="S37" s="1945"/>
      <c r="T37" s="1945"/>
      <c r="U37" s="1945"/>
      <c r="V37" s="2258"/>
      <c r="W37" s="2257"/>
      <c r="X37" s="1945"/>
      <c r="Y37" s="1945"/>
      <c r="Z37" s="1945"/>
      <c r="AA37" s="1945"/>
      <c r="AB37" s="1945"/>
      <c r="AC37" s="2258"/>
      <c r="AD37" s="2257"/>
      <c r="AE37" s="1945"/>
      <c r="AF37" s="1945"/>
      <c r="AG37" s="1945"/>
      <c r="AH37" s="1945"/>
      <c r="AI37" s="2258"/>
      <c r="AJ37" s="6780"/>
      <c r="AK37" s="6078"/>
      <c r="AL37" s="1964"/>
      <c r="AM37" s="1443"/>
      <c r="AN37" s="1443"/>
      <c r="AO37" s="1443"/>
      <c r="AP37" s="3350"/>
      <c r="AQ37" s="1443"/>
      <c r="AR37" s="1443"/>
      <c r="AS37" s="1443"/>
      <c r="AT37" s="1443"/>
      <c r="AU37" s="1443"/>
      <c r="AV37" s="1443"/>
      <c r="AW37" s="1443"/>
      <c r="AX37" s="3742"/>
      <c r="AY37" s="5016"/>
      <c r="AZ37" s="5016"/>
      <c r="BA37" s="5016"/>
      <c r="BB37" s="5016"/>
      <c r="BC37" s="5016"/>
      <c r="BD37" s="5016"/>
      <c r="BE37" s="5016"/>
      <c r="BF37" s="5016"/>
      <c r="BG37" s="5016"/>
      <c r="BH37" s="5016"/>
    </row>
    <row r="38" spans="1:60" ht="12" customHeight="1">
      <c r="A38" s="5088"/>
      <c r="B38" s="3285"/>
      <c r="C38" s="3285"/>
      <c r="D38" s="2378" t="s">
        <v>2761</v>
      </c>
      <c r="E38" s="1443"/>
      <c r="F38" s="1443"/>
      <c r="G38" s="1443"/>
      <c r="H38" s="1443"/>
      <c r="I38" s="1443"/>
      <c r="J38" s="1443"/>
      <c r="K38" s="1443"/>
      <c r="L38" s="1443"/>
      <c r="M38" s="1443"/>
      <c r="N38" s="1443"/>
      <c r="O38" s="1443"/>
      <c r="P38" s="2257"/>
      <c r="Q38" s="1945"/>
      <c r="R38" s="1945"/>
      <c r="S38" s="1945"/>
      <c r="T38" s="1945"/>
      <c r="U38" s="1945"/>
      <c r="V38" s="2258"/>
      <c r="W38" s="2257"/>
      <c r="X38" s="1945"/>
      <c r="Y38" s="1945"/>
      <c r="Z38" s="1945"/>
      <c r="AA38" s="1945"/>
      <c r="AB38" s="1945"/>
      <c r="AC38" s="2258"/>
      <c r="AD38" s="2257"/>
      <c r="AE38" s="1945"/>
      <c r="AF38" s="1945"/>
      <c r="AG38" s="1945"/>
      <c r="AH38" s="1945"/>
      <c r="AI38" s="2258"/>
      <c r="AJ38" s="6696"/>
      <c r="AK38" s="5680"/>
      <c r="AL38" s="1965"/>
      <c r="AM38" s="1443"/>
      <c r="AN38" s="1443"/>
      <c r="AO38" s="1443"/>
      <c r="AP38" s="3350"/>
      <c r="AQ38" s="1443"/>
      <c r="AR38" s="1443"/>
      <c r="AS38" s="1443"/>
      <c r="AT38" s="1443"/>
      <c r="AU38" s="1443"/>
      <c r="AV38" s="1443"/>
      <c r="AW38" s="1443"/>
      <c r="AX38" s="3742"/>
      <c r="AY38" s="5016"/>
      <c r="AZ38" s="5016"/>
      <c r="BA38" s="5016"/>
      <c r="BB38" s="5016"/>
      <c r="BC38" s="5016"/>
      <c r="BD38" s="5016"/>
      <c r="BE38" s="5016"/>
      <c r="BF38" s="5016"/>
      <c r="BG38" s="5016"/>
      <c r="BH38" s="5016"/>
    </row>
    <row r="39" spans="1:60" ht="12" customHeight="1">
      <c r="A39" s="5088"/>
      <c r="B39" s="3285"/>
      <c r="C39" s="3285"/>
      <c r="D39" s="2378" t="s">
        <v>2762</v>
      </c>
      <c r="E39" s="1443"/>
      <c r="F39" s="1443"/>
      <c r="G39" s="1443"/>
      <c r="H39" s="1443"/>
      <c r="I39" s="1443"/>
      <c r="J39" s="1443"/>
      <c r="K39" s="1443"/>
      <c r="L39" s="1443"/>
      <c r="M39" s="1443"/>
      <c r="N39" s="1443"/>
      <c r="O39" s="1443"/>
      <c r="P39" s="2257"/>
      <c r="Q39" s="1945"/>
      <c r="R39" s="1945"/>
      <c r="S39" s="1945"/>
      <c r="T39" s="1945"/>
      <c r="U39" s="1945"/>
      <c r="V39" s="2258"/>
      <c r="W39" s="2257"/>
      <c r="X39" s="1945"/>
      <c r="Y39" s="1945"/>
      <c r="Z39" s="1945"/>
      <c r="AA39" s="1945"/>
      <c r="AB39" s="1945"/>
      <c r="AC39" s="2258"/>
      <c r="AD39" s="2257"/>
      <c r="AE39" s="1945"/>
      <c r="AF39" s="1945"/>
      <c r="AG39" s="1945"/>
      <c r="AH39" s="1945"/>
      <c r="AI39" s="2258"/>
      <c r="AJ39" s="6696"/>
      <c r="AK39" s="5680"/>
      <c r="AL39" s="1965"/>
      <c r="AM39" s="1443"/>
      <c r="AN39" s="1443"/>
      <c r="AO39" s="1443"/>
      <c r="AP39" s="3350"/>
      <c r="AQ39" s="1443"/>
      <c r="AR39" s="1443"/>
      <c r="AS39" s="1443"/>
      <c r="AT39" s="1443"/>
      <c r="AU39" s="1443"/>
      <c r="AV39" s="1443"/>
      <c r="AW39" s="1443"/>
      <c r="AX39" s="3742"/>
      <c r="AY39" s="5016"/>
      <c r="AZ39" s="5016"/>
      <c r="BA39" s="5016"/>
      <c r="BB39" s="5016"/>
      <c r="BC39" s="5016"/>
      <c r="BD39" s="5016"/>
      <c r="BE39" s="5016"/>
      <c r="BF39" s="5016"/>
      <c r="BG39" s="5016"/>
      <c r="BH39" s="5016"/>
    </row>
    <row r="40" spans="1:60" ht="12" customHeight="1">
      <c r="A40" s="5088"/>
      <c r="B40" s="3285"/>
      <c r="C40" s="3285"/>
      <c r="D40" s="2378" t="s">
        <v>2763</v>
      </c>
      <c r="E40" s="1443"/>
      <c r="F40" s="1443"/>
      <c r="G40" s="1443"/>
      <c r="H40" s="1443"/>
      <c r="I40" s="1443"/>
      <c r="J40" s="1443"/>
      <c r="K40" s="1443"/>
      <c r="L40" s="1443"/>
      <c r="M40" s="1443"/>
      <c r="N40" s="1443"/>
      <c r="O40" s="1443"/>
      <c r="P40" s="2257"/>
      <c r="Q40" s="1945"/>
      <c r="R40" s="1945"/>
      <c r="S40" s="1945"/>
      <c r="T40" s="1945"/>
      <c r="U40" s="1945"/>
      <c r="V40" s="2258"/>
      <c r="W40" s="2257"/>
      <c r="X40" s="1945"/>
      <c r="Y40" s="1945"/>
      <c r="Z40" s="1945"/>
      <c r="AA40" s="1945"/>
      <c r="AB40" s="1945"/>
      <c r="AC40" s="2258"/>
      <c r="AD40" s="2257"/>
      <c r="AE40" s="1945"/>
      <c r="AF40" s="1945"/>
      <c r="AG40" s="1945"/>
      <c r="AH40" s="1945"/>
      <c r="AI40" s="2258"/>
      <c r="AJ40" s="6696"/>
      <c r="AK40" s="5680"/>
      <c r="AL40" s="1965"/>
      <c r="AM40" s="1443"/>
      <c r="AN40" s="1443"/>
      <c r="AO40" s="1443"/>
      <c r="AP40" s="3350"/>
      <c r="AQ40" s="1443"/>
      <c r="AR40" s="1443"/>
      <c r="AS40" s="1443"/>
      <c r="AT40" s="1443"/>
      <c r="AU40" s="1443"/>
      <c r="AV40" s="1443"/>
      <c r="AW40" s="1443"/>
      <c r="AX40" s="3742"/>
      <c r="AY40" s="5016"/>
      <c r="AZ40" s="5016"/>
      <c r="BA40" s="5016"/>
      <c r="BB40" s="5016"/>
      <c r="BC40" s="5016"/>
      <c r="BD40" s="5016"/>
      <c r="BE40" s="5016"/>
      <c r="BF40" s="5016"/>
      <c r="BG40" s="5016"/>
      <c r="BH40" s="5016"/>
    </row>
    <row r="41" spans="1:60" ht="12" customHeight="1">
      <c r="A41" s="5088"/>
      <c r="B41" s="3285"/>
      <c r="C41" s="3285"/>
      <c r="D41" s="2378" t="s">
        <v>2764</v>
      </c>
      <c r="E41" s="1443"/>
      <c r="F41" s="1443"/>
      <c r="G41" s="1443"/>
      <c r="H41" s="1443"/>
      <c r="I41" s="1443"/>
      <c r="J41" s="1443"/>
      <c r="K41" s="1443"/>
      <c r="L41" s="1443"/>
      <c r="M41" s="1943" t="s">
        <v>1280</v>
      </c>
      <c r="N41" s="1444"/>
      <c r="O41" s="1443"/>
      <c r="P41" s="2257"/>
      <c r="Q41" s="1945"/>
      <c r="R41" s="1945"/>
      <c r="S41" s="1945"/>
      <c r="T41" s="1945"/>
      <c r="U41" s="1945"/>
      <c r="V41" s="2258"/>
      <c r="W41" s="2257"/>
      <c r="X41" s="1945"/>
      <c r="Y41" s="1945"/>
      <c r="Z41" s="1945"/>
      <c r="AA41" s="1945"/>
      <c r="AB41" s="1945"/>
      <c r="AC41" s="2258"/>
      <c r="AD41" s="2257"/>
      <c r="AE41" s="1945"/>
      <c r="AF41" s="1945"/>
      <c r="AG41" s="1945"/>
      <c r="AH41" s="1945"/>
      <c r="AI41" s="2258"/>
      <c r="AJ41" s="6696"/>
      <c r="AK41" s="5680"/>
      <c r="AL41" s="1965"/>
      <c r="AM41" s="1443"/>
      <c r="AN41" s="1443"/>
      <c r="AO41" s="1443"/>
      <c r="AP41" s="3350"/>
      <c r="AQ41" s="1443"/>
      <c r="AR41" s="1443"/>
      <c r="AS41" s="1443"/>
      <c r="AT41" s="1443"/>
      <c r="AU41" s="1443"/>
      <c r="AV41" s="1443"/>
      <c r="AW41" s="1443"/>
      <c r="AX41" s="3742"/>
      <c r="AY41" s="5016"/>
      <c r="AZ41" s="5016"/>
      <c r="BA41" s="5016"/>
      <c r="BB41" s="5016"/>
      <c r="BC41" s="5016"/>
      <c r="BD41" s="5016"/>
      <c r="BE41" s="5016"/>
      <c r="BF41" s="5016"/>
      <c r="BG41" s="5016"/>
      <c r="BH41" s="5016"/>
    </row>
    <row r="42" spans="1:60" ht="6" customHeight="1">
      <c r="A42" s="5088"/>
      <c r="B42" s="3387"/>
      <c r="C42" s="3387"/>
      <c r="D42" s="3390"/>
      <c r="E42" s="1936"/>
      <c r="F42" s="1936"/>
      <c r="G42" s="1936"/>
      <c r="H42" s="1936"/>
      <c r="I42" s="1936"/>
      <c r="J42" s="1936"/>
      <c r="K42" s="1936"/>
      <c r="L42" s="1936"/>
      <c r="M42" s="1936"/>
      <c r="N42" s="1936"/>
      <c r="O42" s="1936"/>
      <c r="P42" s="3391"/>
      <c r="Q42" s="3281"/>
      <c r="R42" s="3281"/>
      <c r="S42" s="3281"/>
      <c r="T42" s="3281"/>
      <c r="U42" s="3281"/>
      <c r="V42" s="3282"/>
      <c r="W42" s="3391"/>
      <c r="X42" s="3281"/>
      <c r="Y42" s="3281"/>
      <c r="Z42" s="3281"/>
      <c r="AA42" s="3281"/>
      <c r="AB42" s="3281"/>
      <c r="AC42" s="3282"/>
      <c r="AD42" s="3391"/>
      <c r="AE42" s="3281"/>
      <c r="AF42" s="3281"/>
      <c r="AG42" s="3281"/>
      <c r="AH42" s="3281"/>
      <c r="AI42" s="3282"/>
      <c r="AJ42" s="6696"/>
      <c r="AK42" s="5680"/>
      <c r="AL42" s="1965"/>
      <c r="AM42" s="1443"/>
      <c r="AN42" s="1443"/>
      <c r="AO42" s="1443"/>
      <c r="AP42" s="3350"/>
      <c r="AQ42" s="1443"/>
      <c r="AR42" s="1443"/>
      <c r="AS42" s="1443"/>
      <c r="AT42" s="1443"/>
      <c r="AU42" s="1443"/>
      <c r="AV42" s="1443"/>
      <c r="AW42" s="1443"/>
      <c r="AX42" s="3742"/>
      <c r="AY42" s="5016"/>
      <c r="AZ42" s="5016"/>
      <c r="BA42" s="5016"/>
      <c r="BB42" s="5016"/>
      <c r="BC42" s="5016"/>
      <c r="BD42" s="5016"/>
      <c r="BE42" s="5016"/>
      <c r="BF42" s="5016"/>
      <c r="BG42" s="5016"/>
      <c r="BH42" s="5016"/>
    </row>
    <row r="43" spans="1:60" ht="13.5" customHeight="1">
      <c r="A43" s="5088"/>
      <c r="B43" s="1592" t="s">
        <v>4549</v>
      </c>
      <c r="C43" s="3285"/>
      <c r="D43" s="3269"/>
      <c r="E43" s="1443"/>
      <c r="F43" s="1443"/>
      <c r="G43" s="1443"/>
      <c r="H43" s="1443"/>
      <c r="I43" s="1443"/>
      <c r="J43" s="1443"/>
      <c r="K43" s="1443"/>
      <c r="L43" s="1443"/>
      <c r="M43" s="1443"/>
      <c r="N43" s="1443"/>
      <c r="O43" s="1443"/>
      <c r="P43" s="2257"/>
      <c r="Q43" s="1945"/>
      <c r="R43" s="1945"/>
      <c r="S43" s="1945"/>
      <c r="T43" s="1945"/>
      <c r="U43" s="1945"/>
      <c r="V43" s="2258"/>
      <c r="W43" s="2257"/>
      <c r="X43" s="1945"/>
      <c r="Y43" s="1945"/>
      <c r="Z43" s="1945"/>
      <c r="AA43" s="1945"/>
      <c r="AB43" s="1945"/>
      <c r="AC43" s="2258"/>
      <c r="AD43" s="2257"/>
      <c r="AE43" s="1945"/>
      <c r="AF43" s="1945"/>
      <c r="AG43" s="1945"/>
      <c r="AH43" s="1945"/>
      <c r="AI43" s="2258"/>
      <c r="AJ43" s="6696"/>
      <c r="AK43" s="5680"/>
      <c r="AL43" s="1965"/>
      <c r="AM43" s="1443"/>
      <c r="AN43" s="1443"/>
      <c r="AO43" s="1443"/>
      <c r="AP43" s="3350"/>
      <c r="AQ43" s="1443"/>
      <c r="AR43" s="1443"/>
      <c r="AS43" s="1443"/>
      <c r="AT43" s="1443"/>
      <c r="AU43" s="1443"/>
      <c r="AV43" s="1443"/>
      <c r="AW43" s="1443"/>
      <c r="AX43" s="3742"/>
      <c r="AY43" s="5016"/>
      <c r="AZ43" s="5016"/>
      <c r="BA43" s="5016"/>
      <c r="BB43" s="5016"/>
      <c r="BC43" s="5016"/>
      <c r="BD43" s="5016"/>
      <c r="BE43" s="5016"/>
      <c r="BF43" s="5016"/>
      <c r="BG43" s="5016"/>
      <c r="BH43" s="5016"/>
    </row>
    <row r="44" spans="1:60" ht="13.5" customHeight="1">
      <c r="A44" s="5088"/>
      <c r="B44" s="6698">
        <v>2</v>
      </c>
      <c r="C44" s="6698"/>
      <c r="D44" s="1592" t="s">
        <v>2766</v>
      </c>
      <c r="E44" s="1443"/>
      <c r="F44" s="1443"/>
      <c r="G44" s="1443"/>
      <c r="H44" s="1443"/>
      <c r="I44" s="1443"/>
      <c r="J44" s="1443"/>
      <c r="K44" s="1443"/>
      <c r="L44" s="1443"/>
      <c r="M44" s="1443"/>
      <c r="N44" s="1443"/>
      <c r="O44" s="1443"/>
      <c r="P44" s="1965"/>
      <c r="Q44" s="1443"/>
      <c r="R44" s="1443"/>
      <c r="S44" s="1443"/>
      <c r="T44" s="1443"/>
      <c r="U44" s="1443"/>
      <c r="V44" s="1966"/>
      <c r="W44" s="1443"/>
      <c r="X44" s="1443"/>
      <c r="Y44" s="1443"/>
      <c r="Z44" s="1443"/>
      <c r="AA44" s="1443"/>
      <c r="AB44" s="1443"/>
      <c r="AC44" s="1966"/>
      <c r="AD44" s="1443"/>
      <c r="AE44" s="1443"/>
      <c r="AF44" s="1443"/>
      <c r="AG44" s="1443"/>
      <c r="AH44" s="1443"/>
      <c r="AI44" s="1966"/>
      <c r="AJ44" s="6696"/>
      <c r="AK44" s="5680"/>
      <c r="AL44" s="1965"/>
      <c r="AM44" s="1443"/>
      <c r="AN44" s="1443"/>
      <c r="AO44" s="1443"/>
      <c r="AP44" s="3350"/>
      <c r="AQ44" s="1443"/>
      <c r="AR44" s="1443"/>
      <c r="AS44" s="1443"/>
      <c r="AT44" s="1443"/>
      <c r="AU44" s="1443"/>
      <c r="AV44" s="1443"/>
      <c r="AW44" s="1443"/>
      <c r="AX44" s="3742"/>
      <c r="AY44" s="5016"/>
      <c r="AZ44" s="5016"/>
      <c r="BA44" s="5016"/>
      <c r="BB44" s="5016"/>
      <c r="BC44" s="5016"/>
      <c r="BD44" s="5016"/>
      <c r="BE44" s="5016"/>
      <c r="BF44" s="5016"/>
      <c r="BG44" s="5016"/>
      <c r="BH44" s="5016"/>
    </row>
    <row r="45" spans="1:60" ht="13.5" customHeight="1">
      <c r="A45" s="5088"/>
      <c r="B45" s="6879"/>
      <c r="C45" s="6879"/>
      <c r="D45" s="1607" t="s">
        <v>2767</v>
      </c>
      <c r="E45" s="1443"/>
      <c r="F45" s="1443"/>
      <c r="G45" s="1443"/>
      <c r="H45" s="1443"/>
      <c r="I45" s="1443"/>
      <c r="J45" s="1443"/>
      <c r="K45" s="1443"/>
      <c r="L45" s="1443"/>
      <c r="M45" s="1443"/>
      <c r="N45" s="1443"/>
      <c r="O45" s="1943" t="s">
        <v>3533</v>
      </c>
      <c r="P45" s="6699"/>
      <c r="Q45" s="6700"/>
      <c r="R45" s="6700"/>
      <c r="S45" s="6700"/>
      <c r="T45" s="6700"/>
      <c r="U45" s="6700"/>
      <c r="V45" s="6701"/>
      <c r="W45" s="6699"/>
      <c r="X45" s="6700"/>
      <c r="Y45" s="6700"/>
      <c r="Z45" s="6700"/>
      <c r="AA45" s="6700"/>
      <c r="AB45" s="6700"/>
      <c r="AC45" s="6701"/>
      <c r="AD45" s="6699"/>
      <c r="AE45" s="6700"/>
      <c r="AF45" s="6700"/>
      <c r="AG45" s="6700"/>
      <c r="AH45" s="6700"/>
      <c r="AI45" s="6701"/>
      <c r="AJ45" s="6696"/>
      <c r="AK45" s="5680"/>
      <c r="AL45" s="1965"/>
      <c r="AM45" s="1443"/>
      <c r="AN45" s="1443"/>
      <c r="AO45" s="1443"/>
      <c r="AP45" s="3350"/>
      <c r="AQ45" s="1443"/>
      <c r="AR45" s="1443"/>
      <c r="AS45" s="1443"/>
      <c r="AT45" s="1443"/>
      <c r="AU45" s="1443"/>
      <c r="AV45" s="1443"/>
      <c r="AW45" s="1443"/>
      <c r="AX45" s="3742"/>
      <c r="AY45" s="5016"/>
      <c r="AZ45" s="5016"/>
      <c r="BA45" s="5016"/>
      <c r="BB45" s="5016"/>
      <c r="BC45" s="5016"/>
      <c r="BD45" s="5016"/>
      <c r="BE45" s="5016"/>
      <c r="BF45" s="5016"/>
      <c r="BG45" s="5016"/>
      <c r="BH45" s="5016"/>
    </row>
    <row r="46" spans="1:60" ht="13.5" customHeight="1">
      <c r="A46" s="5088"/>
      <c r="B46" s="6698">
        <v>3</v>
      </c>
      <c r="C46" s="6698"/>
      <c r="D46" s="1592" t="s">
        <v>2828</v>
      </c>
      <c r="E46" s="1443"/>
      <c r="F46" s="1443"/>
      <c r="G46" s="1443"/>
      <c r="H46" s="1443"/>
      <c r="I46" s="1443"/>
      <c r="J46" s="1443"/>
      <c r="K46" s="1443"/>
      <c r="L46" s="1443"/>
      <c r="M46" s="1443"/>
      <c r="N46" s="1443"/>
      <c r="O46" s="1443"/>
      <c r="P46" s="2257"/>
      <c r="Q46" s="1945"/>
      <c r="R46" s="1945"/>
      <c r="S46" s="1945"/>
      <c r="T46" s="1945"/>
      <c r="U46" s="1945"/>
      <c r="V46" s="2258"/>
      <c r="W46" s="2257"/>
      <c r="X46" s="1945"/>
      <c r="Y46" s="1945"/>
      <c r="Z46" s="1945"/>
      <c r="AA46" s="1945"/>
      <c r="AB46" s="1945"/>
      <c r="AC46" s="2258"/>
      <c r="AD46" s="2257"/>
      <c r="AE46" s="1945"/>
      <c r="AF46" s="1945"/>
      <c r="AG46" s="1945"/>
      <c r="AH46" s="1945"/>
      <c r="AI46" s="2258"/>
      <c r="AJ46" s="6696"/>
      <c r="AK46" s="5680"/>
      <c r="AL46" s="1965"/>
      <c r="AM46" s="1443"/>
      <c r="AN46" s="1443"/>
      <c r="AO46" s="1443"/>
      <c r="AP46" s="3350"/>
      <c r="AQ46" s="1443"/>
      <c r="AR46" s="1443"/>
      <c r="AS46" s="1443"/>
      <c r="AT46" s="1443"/>
      <c r="AU46" s="1443"/>
      <c r="AV46" s="1443"/>
      <c r="AW46" s="1443"/>
      <c r="AX46" s="3742"/>
      <c r="AY46" s="5016"/>
      <c r="AZ46" s="5016"/>
      <c r="BA46" s="5016"/>
      <c r="BB46" s="5016"/>
      <c r="BC46" s="5016"/>
      <c r="BD46" s="5016"/>
      <c r="BE46" s="5016"/>
      <c r="BF46" s="5016"/>
      <c r="BG46" s="5016"/>
      <c r="BH46" s="5016"/>
    </row>
    <row r="47" spans="1:60" ht="13.5" customHeight="1">
      <c r="A47" s="5088"/>
      <c r="B47" s="6879"/>
      <c r="C47" s="6879"/>
      <c r="D47" s="3405" t="s">
        <v>2829</v>
      </c>
      <c r="E47" s="1443"/>
      <c r="F47" s="1443"/>
      <c r="G47" s="1443"/>
      <c r="H47" s="1443"/>
      <c r="I47" s="1443"/>
      <c r="J47" s="1443"/>
      <c r="K47" s="1443"/>
      <c r="L47" s="1443"/>
      <c r="M47" s="1443"/>
      <c r="N47" s="1443"/>
      <c r="O47" s="1443"/>
      <c r="P47" s="2257"/>
      <c r="Q47" s="1945"/>
      <c r="R47" s="1945"/>
      <c r="S47" s="1945"/>
      <c r="T47" s="1945"/>
      <c r="U47" s="1945"/>
      <c r="V47" s="2258"/>
      <c r="W47" s="2257"/>
      <c r="X47" s="1945"/>
      <c r="Y47" s="1945"/>
      <c r="Z47" s="1945"/>
      <c r="AA47" s="1945"/>
      <c r="AB47" s="1945"/>
      <c r="AC47" s="2258"/>
      <c r="AD47" s="2257"/>
      <c r="AE47" s="1945"/>
      <c r="AF47" s="1945"/>
      <c r="AG47" s="1945"/>
      <c r="AH47" s="1945"/>
      <c r="AI47" s="2258"/>
      <c r="AJ47" s="6696"/>
      <c r="AK47" s="5680"/>
      <c r="AL47" s="1965"/>
      <c r="AM47" s="1443"/>
      <c r="AN47" s="1443"/>
      <c r="AO47" s="1443"/>
      <c r="AP47" s="3350"/>
      <c r="AQ47" s="1443"/>
      <c r="AR47" s="1443"/>
      <c r="AS47" s="1443"/>
      <c r="AT47" s="1443"/>
      <c r="AU47" s="1443"/>
      <c r="AV47" s="1443"/>
      <c r="AW47" s="1443"/>
      <c r="AX47" s="3742"/>
      <c r="AY47" s="5016"/>
      <c r="AZ47" s="5016"/>
      <c r="BA47" s="5016"/>
      <c r="BB47" s="5016"/>
      <c r="BC47" s="5016"/>
      <c r="BD47" s="5016"/>
      <c r="BE47" s="5016"/>
      <c r="BF47" s="5016"/>
      <c r="BG47" s="5016"/>
      <c r="BH47" s="5016"/>
    </row>
    <row r="48" spans="1:60" ht="13.5" customHeight="1">
      <c r="A48" s="5088"/>
      <c r="B48" s="6698" t="s">
        <v>38</v>
      </c>
      <c r="C48" s="6698"/>
      <c r="D48" s="1592" t="s">
        <v>3499</v>
      </c>
      <c r="E48" s="1443"/>
      <c r="F48" s="1443"/>
      <c r="G48" s="1443"/>
      <c r="H48" s="1443"/>
      <c r="I48" s="1443"/>
      <c r="J48" s="1443"/>
      <c r="K48" s="1443"/>
      <c r="L48" s="1443"/>
      <c r="M48" s="1443"/>
      <c r="N48" s="1443"/>
      <c r="O48" s="1443"/>
      <c r="P48" s="1965"/>
      <c r="Q48" s="1443"/>
      <c r="R48" s="1443"/>
      <c r="S48" s="1443"/>
      <c r="T48" s="1443"/>
      <c r="U48" s="1443"/>
      <c r="V48" s="1966"/>
      <c r="W48" s="1443"/>
      <c r="X48" s="1443"/>
      <c r="Y48" s="1443"/>
      <c r="Z48" s="1443"/>
      <c r="AA48" s="1443"/>
      <c r="AB48" s="1443"/>
      <c r="AC48" s="1966"/>
      <c r="AD48" s="1443"/>
      <c r="AE48" s="1443"/>
      <c r="AF48" s="1443"/>
      <c r="AG48" s="1443"/>
      <c r="AH48" s="1443"/>
      <c r="AI48" s="1966"/>
      <c r="AJ48" s="6696"/>
      <c r="AK48" s="5680"/>
      <c r="AL48" s="1965"/>
      <c r="AM48" s="1443"/>
      <c r="AN48" s="1443"/>
      <c r="AO48" s="1443"/>
      <c r="AP48" s="3350"/>
      <c r="AQ48" s="1443"/>
      <c r="AR48" s="1443"/>
      <c r="AS48" s="1443"/>
      <c r="AT48" s="1443"/>
      <c r="AU48" s="1443"/>
      <c r="AV48" s="1443"/>
      <c r="AW48" s="1443"/>
      <c r="AX48" s="3742"/>
      <c r="AY48" s="5016"/>
      <c r="AZ48" s="5016"/>
      <c r="BA48" s="5016"/>
      <c r="BB48" s="5016"/>
      <c r="BC48" s="5016"/>
      <c r="BD48" s="5016"/>
      <c r="BE48" s="5016"/>
      <c r="BF48" s="5016"/>
      <c r="BG48" s="5016"/>
      <c r="BH48" s="5016"/>
    </row>
    <row r="49" spans="1:60" ht="13.5" customHeight="1">
      <c r="A49" s="5088"/>
      <c r="B49" s="3286"/>
      <c r="C49" s="3286"/>
      <c r="D49" s="1592" t="s">
        <v>2271</v>
      </c>
      <c r="E49" s="1443"/>
      <c r="F49" s="1443"/>
      <c r="G49" s="1443"/>
      <c r="H49" s="1443"/>
      <c r="I49" s="1443"/>
      <c r="J49" s="1443"/>
      <c r="K49" s="1443"/>
      <c r="L49" s="1443"/>
      <c r="M49" s="1443"/>
      <c r="N49" s="1443"/>
      <c r="O49" s="1943" t="s">
        <v>2426</v>
      </c>
      <c r="P49" s="6699"/>
      <c r="Q49" s="6700"/>
      <c r="R49" s="6700"/>
      <c r="S49" s="6700"/>
      <c r="T49" s="6700"/>
      <c r="U49" s="6700"/>
      <c r="V49" s="6701"/>
      <c r="W49" s="6699"/>
      <c r="X49" s="6700"/>
      <c r="Y49" s="6700"/>
      <c r="Z49" s="6700"/>
      <c r="AA49" s="6700"/>
      <c r="AB49" s="6700"/>
      <c r="AC49" s="6701"/>
      <c r="AD49" s="6699"/>
      <c r="AE49" s="6700"/>
      <c r="AF49" s="6700"/>
      <c r="AG49" s="6700"/>
      <c r="AH49" s="6700"/>
      <c r="AI49" s="6701"/>
      <c r="AJ49" s="6696"/>
      <c r="AK49" s="5680"/>
      <c r="AL49" s="1965"/>
      <c r="AM49" s="1443"/>
      <c r="AN49" s="1443"/>
      <c r="AO49" s="1443"/>
      <c r="AP49" s="3350"/>
      <c r="AQ49" s="1443"/>
      <c r="AR49" s="1443"/>
      <c r="AS49" s="1443"/>
      <c r="AT49" s="1443"/>
      <c r="AU49" s="1443"/>
      <c r="AV49" s="1443"/>
      <c r="AW49" s="1443"/>
      <c r="AX49" s="3742"/>
      <c r="AY49" s="5016"/>
      <c r="AZ49" s="5016"/>
      <c r="BA49" s="5016"/>
      <c r="BB49" s="5016"/>
      <c r="BC49" s="5016"/>
      <c r="BD49" s="5016"/>
      <c r="BE49" s="5016"/>
      <c r="BF49" s="5016"/>
      <c r="BG49" s="5016"/>
      <c r="BH49" s="5016"/>
    </row>
    <row r="50" spans="1:60" ht="13.5" customHeight="1">
      <c r="A50" s="5088"/>
      <c r="B50" s="6698" t="s">
        <v>54</v>
      </c>
      <c r="C50" s="6698"/>
      <c r="D50" s="1592" t="s">
        <v>2768</v>
      </c>
      <c r="E50" s="1443"/>
      <c r="F50" s="1443"/>
      <c r="G50" s="1443"/>
      <c r="H50" s="1443"/>
      <c r="I50" s="1443"/>
      <c r="J50" s="1443"/>
      <c r="K50" s="1443"/>
      <c r="L50" s="1443"/>
      <c r="M50" s="1443"/>
      <c r="N50" s="1443"/>
      <c r="O50" s="1943" t="s">
        <v>605</v>
      </c>
      <c r="P50" s="6890"/>
      <c r="Q50" s="6891"/>
      <c r="R50" s="6891"/>
      <c r="S50" s="6891"/>
      <c r="T50" s="6891"/>
      <c r="U50" s="6891"/>
      <c r="V50" s="6892"/>
      <c r="W50" s="6890"/>
      <c r="X50" s="6891"/>
      <c r="Y50" s="6891"/>
      <c r="Z50" s="6891"/>
      <c r="AA50" s="6891"/>
      <c r="AB50" s="6891"/>
      <c r="AC50" s="6892"/>
      <c r="AD50" s="6890"/>
      <c r="AE50" s="6891"/>
      <c r="AF50" s="6891"/>
      <c r="AG50" s="6891"/>
      <c r="AH50" s="6891"/>
      <c r="AI50" s="6892"/>
      <c r="AJ50" s="6696"/>
      <c r="AK50" s="5680"/>
      <c r="AL50" s="1965"/>
      <c r="AM50" s="1443"/>
      <c r="AN50" s="1443"/>
      <c r="AO50" s="1443"/>
      <c r="AP50" s="3350"/>
      <c r="AQ50" s="1443"/>
      <c r="AR50" s="1443"/>
      <c r="AS50" s="1443"/>
      <c r="AT50" s="1443"/>
      <c r="AU50" s="1443"/>
      <c r="AV50" s="1443"/>
      <c r="AW50" s="1443"/>
      <c r="AX50" s="3742"/>
      <c r="AY50" s="5016"/>
      <c r="AZ50" s="5016"/>
      <c r="BA50" s="5016"/>
      <c r="BB50" s="5016"/>
      <c r="BC50" s="5016"/>
      <c r="BD50" s="5016"/>
      <c r="BE50" s="5016"/>
      <c r="BF50" s="5016"/>
      <c r="BG50" s="5016"/>
      <c r="BH50" s="5016"/>
    </row>
    <row r="51" spans="1:60" ht="13.5" customHeight="1">
      <c r="A51" s="5088"/>
      <c r="B51" s="6698" t="s">
        <v>55</v>
      </c>
      <c r="C51" s="6698"/>
      <c r="D51" s="1592" t="s">
        <v>2769</v>
      </c>
      <c r="E51" s="1443"/>
      <c r="F51" s="1443"/>
      <c r="G51" s="1443"/>
      <c r="H51" s="1443"/>
      <c r="I51" s="1443"/>
      <c r="J51" s="1443"/>
      <c r="K51" s="1443"/>
      <c r="L51" s="1443"/>
      <c r="M51" s="1443"/>
      <c r="N51" s="1443"/>
      <c r="O51" s="1943" t="s">
        <v>3239</v>
      </c>
      <c r="P51" s="6843">
        <f>SUM(P49:P50)</f>
        <v>0</v>
      </c>
      <c r="Q51" s="6844"/>
      <c r="R51" s="6844"/>
      <c r="S51" s="6844"/>
      <c r="T51" s="6844"/>
      <c r="U51" s="6844"/>
      <c r="V51" s="6845"/>
      <c r="W51" s="6843">
        <f>SUM(W49:W50)</f>
        <v>0</v>
      </c>
      <c r="X51" s="6844"/>
      <c r="Y51" s="6844"/>
      <c r="Z51" s="6844"/>
      <c r="AA51" s="6844"/>
      <c r="AB51" s="6844"/>
      <c r="AC51" s="6845"/>
      <c r="AD51" s="6843">
        <f>SUM(AD49:AD50)</f>
        <v>0</v>
      </c>
      <c r="AE51" s="6844"/>
      <c r="AF51" s="6844"/>
      <c r="AG51" s="6844"/>
      <c r="AH51" s="6844"/>
      <c r="AI51" s="6845"/>
      <c r="AJ51" s="6696"/>
      <c r="AK51" s="5680"/>
      <c r="AL51" s="1965"/>
      <c r="AM51" s="1443"/>
      <c r="AN51" s="1443"/>
      <c r="AO51" s="1443"/>
      <c r="AP51" s="3350"/>
      <c r="AQ51" s="1443"/>
      <c r="AR51" s="1443"/>
      <c r="AS51" s="1443"/>
      <c r="AT51" s="1443"/>
      <c r="AU51" s="1443"/>
      <c r="AV51" s="1443"/>
      <c r="AW51" s="1443"/>
      <c r="AX51" s="3742"/>
      <c r="AY51" s="5016"/>
      <c r="AZ51" s="5016"/>
      <c r="BA51" s="5016"/>
      <c r="BB51" s="5016"/>
      <c r="BC51" s="5016"/>
      <c r="BD51" s="5016"/>
      <c r="BE51" s="5016"/>
      <c r="BF51" s="5016"/>
      <c r="BG51" s="5016"/>
      <c r="BH51" s="5016"/>
    </row>
    <row r="52" spans="1:60" ht="13.5" customHeight="1">
      <c r="A52" s="5088"/>
      <c r="B52" s="6698" t="s">
        <v>102</v>
      </c>
      <c r="C52" s="6698"/>
      <c r="D52" s="1592" t="s">
        <v>2770</v>
      </c>
      <c r="E52" s="1443"/>
      <c r="F52" s="1443"/>
      <c r="G52" s="1443"/>
      <c r="H52" s="1443"/>
      <c r="I52" s="1443"/>
      <c r="J52" s="1443"/>
      <c r="K52" s="1443"/>
      <c r="L52" s="1443"/>
      <c r="M52" s="1443"/>
      <c r="N52" s="1443"/>
      <c r="O52" s="1943" t="s">
        <v>3539</v>
      </c>
      <c r="P52" s="6890"/>
      <c r="Q52" s="6891"/>
      <c r="R52" s="6891"/>
      <c r="S52" s="6891"/>
      <c r="T52" s="6891"/>
      <c r="U52" s="6891"/>
      <c r="V52" s="6892"/>
      <c r="W52" s="6890"/>
      <c r="X52" s="6891"/>
      <c r="Y52" s="6891"/>
      <c r="Z52" s="6891"/>
      <c r="AA52" s="6891"/>
      <c r="AB52" s="6891"/>
      <c r="AC52" s="6892"/>
      <c r="AD52" s="6890"/>
      <c r="AE52" s="6891"/>
      <c r="AF52" s="6891"/>
      <c r="AG52" s="6891"/>
      <c r="AH52" s="6891"/>
      <c r="AI52" s="6892"/>
      <c r="AJ52" s="6696"/>
      <c r="AK52" s="5680"/>
      <c r="AL52" s="1965"/>
      <c r="AM52" s="1443"/>
      <c r="AN52" s="1443"/>
      <c r="AO52" s="1443"/>
      <c r="AP52" s="3350"/>
      <c r="AQ52" s="1443"/>
      <c r="AR52" s="1443"/>
      <c r="AS52" s="1443"/>
      <c r="AT52" s="1443"/>
      <c r="AU52" s="1443"/>
      <c r="AV52" s="1443"/>
      <c r="AW52" s="1443"/>
      <c r="AX52" s="3742"/>
      <c r="AY52" s="5016"/>
      <c r="AZ52" s="5016"/>
      <c r="BA52" s="5016"/>
      <c r="BB52" s="5016"/>
      <c r="BC52" s="5016"/>
      <c r="BD52" s="5016"/>
      <c r="BE52" s="5016"/>
      <c r="BF52" s="5016"/>
      <c r="BG52" s="5016"/>
      <c r="BH52" s="5016"/>
    </row>
    <row r="53" spans="1:60" ht="13.5" customHeight="1">
      <c r="A53" s="5088"/>
      <c r="B53" s="6698" t="s">
        <v>1201</v>
      </c>
      <c r="C53" s="6698"/>
      <c r="D53" s="1592" t="s">
        <v>2771</v>
      </c>
      <c r="E53" s="1443"/>
      <c r="F53" s="1443"/>
      <c r="G53" s="1443"/>
      <c r="H53" s="1443"/>
      <c r="I53" s="1443"/>
      <c r="J53" s="1443"/>
      <c r="K53" s="1443"/>
      <c r="L53" s="1443"/>
      <c r="M53" s="1443"/>
      <c r="N53" s="1443"/>
      <c r="O53" s="1943" t="s">
        <v>3539</v>
      </c>
      <c r="P53" s="6890"/>
      <c r="Q53" s="6891"/>
      <c r="R53" s="6891"/>
      <c r="S53" s="6891"/>
      <c r="T53" s="6891"/>
      <c r="U53" s="6891"/>
      <c r="V53" s="6892"/>
      <c r="W53" s="6890"/>
      <c r="X53" s="6891"/>
      <c r="Y53" s="6891"/>
      <c r="Z53" s="6891"/>
      <c r="AA53" s="6891"/>
      <c r="AB53" s="6891"/>
      <c r="AC53" s="6892"/>
      <c r="AD53" s="6890"/>
      <c r="AE53" s="6891"/>
      <c r="AF53" s="6891"/>
      <c r="AG53" s="6891"/>
      <c r="AH53" s="6891"/>
      <c r="AI53" s="6892"/>
      <c r="AJ53" s="6696"/>
      <c r="AK53" s="5680"/>
      <c r="AL53" s="1965"/>
      <c r="AM53" s="1443"/>
      <c r="AN53" s="1443"/>
      <c r="AO53" s="1443"/>
      <c r="AP53" s="3350"/>
      <c r="AQ53" s="1443"/>
      <c r="AR53" s="1443"/>
      <c r="AS53" s="1443"/>
      <c r="AT53" s="1443"/>
      <c r="AU53" s="1443"/>
      <c r="AV53" s="1443"/>
      <c r="AW53" s="1443"/>
      <c r="AX53" s="3742"/>
      <c r="AY53" s="5016"/>
      <c r="AZ53" s="5016"/>
      <c r="BA53" s="5016"/>
      <c r="BB53" s="5016"/>
      <c r="BC53" s="5016"/>
      <c r="BD53" s="5016"/>
      <c r="BE53" s="5016"/>
      <c r="BF53" s="5016"/>
      <c r="BG53" s="5016"/>
      <c r="BH53" s="5016"/>
    </row>
    <row r="54" spans="1:60" ht="13.5" customHeight="1">
      <c r="A54" s="5088"/>
      <c r="B54" s="6698" t="s">
        <v>1202</v>
      </c>
      <c r="C54" s="6698"/>
      <c r="D54" s="1592" t="s">
        <v>2772</v>
      </c>
      <c r="E54" s="1443"/>
      <c r="F54" s="1443"/>
      <c r="G54" s="1443"/>
      <c r="H54" s="1443"/>
      <c r="I54" s="1443"/>
      <c r="J54" s="1443"/>
      <c r="K54" s="1443"/>
      <c r="L54" s="1443"/>
      <c r="M54" s="1443"/>
      <c r="N54" s="1443"/>
      <c r="O54" s="1943" t="s">
        <v>3417</v>
      </c>
      <c r="P54" s="6898" t="str">
        <f>IF(P53=0,"",ROUND(P52/P53,4))</f>
        <v/>
      </c>
      <c r="Q54" s="6899"/>
      <c r="R54" s="6899"/>
      <c r="S54" s="6899"/>
      <c r="T54" s="6899"/>
      <c r="U54" s="6899"/>
      <c r="V54" s="6900"/>
      <c r="W54" s="6898" t="str">
        <f>IF(W53=0,"",ROUND(W52/W53,4))</f>
        <v/>
      </c>
      <c r="X54" s="6899"/>
      <c r="Y54" s="6899"/>
      <c r="Z54" s="6899"/>
      <c r="AA54" s="6899"/>
      <c r="AB54" s="6899"/>
      <c r="AC54" s="6900"/>
      <c r="AD54" s="6901" t="str">
        <f>IF(AD53=0,"",ROUND(AD52/AD53,4))</f>
        <v/>
      </c>
      <c r="AE54" s="6902"/>
      <c r="AF54" s="6902"/>
      <c r="AG54" s="6902"/>
      <c r="AH54" s="6902"/>
      <c r="AI54" s="6903"/>
      <c r="AJ54" s="6696"/>
      <c r="AK54" s="5680"/>
      <c r="AL54" s="1965"/>
      <c r="AM54" s="1443"/>
      <c r="AN54" s="1443"/>
      <c r="AO54" s="1443"/>
      <c r="AP54" s="3350"/>
      <c r="AQ54" s="1443"/>
      <c r="AR54" s="1443"/>
      <c r="AS54" s="1443"/>
      <c r="AT54" s="1443"/>
      <c r="AU54" s="1443"/>
      <c r="AV54" s="1443"/>
      <c r="AW54" s="1443"/>
      <c r="AX54" s="3742"/>
      <c r="AY54" s="5016"/>
      <c r="AZ54" s="5016"/>
      <c r="BA54" s="5016"/>
      <c r="BB54" s="5016"/>
      <c r="BC54" s="5016"/>
      <c r="BD54" s="5016"/>
      <c r="BE54" s="5016"/>
      <c r="BF54" s="5016"/>
      <c r="BG54" s="5016"/>
      <c r="BH54" s="5016"/>
    </row>
    <row r="55" spans="1:60" ht="13.5" customHeight="1">
      <c r="A55" s="5088"/>
      <c r="B55" s="6698" t="s">
        <v>2693</v>
      </c>
      <c r="C55" s="6698"/>
      <c r="D55" s="1592" t="s">
        <v>2773</v>
      </c>
      <c r="E55" s="1443"/>
      <c r="F55" s="1443"/>
      <c r="G55" s="1443"/>
      <c r="H55" s="1443"/>
      <c r="I55" s="1443"/>
      <c r="J55" s="1443"/>
      <c r="K55" s="1443"/>
      <c r="L55" s="1443"/>
      <c r="M55" s="1443"/>
      <c r="N55" s="1443"/>
      <c r="O55" s="1943" t="s">
        <v>3530</v>
      </c>
      <c r="P55" s="6843" t="str">
        <f>IF(OR(P51="",P54=""),"",P51*P54)</f>
        <v/>
      </c>
      <c r="Q55" s="6844"/>
      <c r="R55" s="6844"/>
      <c r="S55" s="6844"/>
      <c r="T55" s="6844"/>
      <c r="U55" s="6844"/>
      <c r="V55" s="6845"/>
      <c r="W55" s="6843" t="str">
        <f>IF(OR(W51="",W54=""),"",W51*W54)</f>
        <v/>
      </c>
      <c r="X55" s="6844"/>
      <c r="Y55" s="6844"/>
      <c r="Z55" s="6844"/>
      <c r="AA55" s="6844"/>
      <c r="AB55" s="6844"/>
      <c r="AC55" s="6845"/>
      <c r="AD55" s="6843" t="str">
        <f>IF(OR(AD51="",AD54=""),"",AD51*AD54)</f>
        <v/>
      </c>
      <c r="AE55" s="6844"/>
      <c r="AF55" s="6844"/>
      <c r="AG55" s="6844"/>
      <c r="AH55" s="6844"/>
      <c r="AI55" s="6845"/>
      <c r="AJ55" s="6696"/>
      <c r="AK55" s="5680"/>
      <c r="AL55" s="1965"/>
      <c r="AM55" s="1443"/>
      <c r="AN55" s="1443"/>
      <c r="AO55" s="1443"/>
      <c r="AP55" s="3350"/>
      <c r="AQ55" s="1443"/>
      <c r="AR55" s="1443"/>
      <c r="AS55" s="1443"/>
      <c r="AT55" s="1443"/>
      <c r="AU55" s="1443"/>
      <c r="AV55" s="1443"/>
      <c r="AW55" s="1443"/>
      <c r="AX55" s="3742"/>
      <c r="AY55" s="5016"/>
      <c r="AZ55" s="5016"/>
      <c r="BA55" s="5016"/>
      <c r="BB55" s="5016"/>
      <c r="BC55" s="5016"/>
      <c r="BD55" s="5016"/>
      <c r="BE55" s="5016"/>
      <c r="BF55" s="5016"/>
      <c r="BG55" s="5016"/>
      <c r="BH55" s="5016"/>
    </row>
    <row r="56" spans="1:60" ht="13.5" customHeight="1">
      <c r="A56" s="5088"/>
      <c r="B56" s="6833">
        <v>4</v>
      </c>
      <c r="C56" s="6833"/>
      <c r="D56" s="1592" t="s">
        <v>3500</v>
      </c>
      <c r="E56" s="1443"/>
      <c r="F56" s="1443"/>
      <c r="G56" s="1443"/>
      <c r="H56" s="1443"/>
      <c r="I56" s="1443"/>
      <c r="J56" s="1443"/>
      <c r="K56" s="1443"/>
      <c r="L56" s="1443"/>
      <c r="M56" s="1443"/>
      <c r="N56" s="1443"/>
      <c r="O56" s="1443"/>
      <c r="P56" s="3416"/>
      <c r="Q56" s="3417"/>
      <c r="R56" s="3417"/>
      <c r="S56" s="3417"/>
      <c r="T56" s="3417"/>
      <c r="U56" s="3417"/>
      <c r="V56" s="3418"/>
      <c r="W56" s="3416"/>
      <c r="X56" s="3417"/>
      <c r="Y56" s="3417"/>
      <c r="Z56" s="3417"/>
      <c r="AA56" s="3417"/>
      <c r="AB56" s="3417"/>
      <c r="AC56" s="3418"/>
      <c r="AD56" s="3416"/>
      <c r="AE56" s="3417"/>
      <c r="AF56" s="3417"/>
      <c r="AG56" s="3417"/>
      <c r="AH56" s="3417"/>
      <c r="AI56" s="3418"/>
      <c r="AJ56" s="6696"/>
      <c r="AK56" s="5680"/>
      <c r="AL56" s="1965"/>
      <c r="AM56" s="1443"/>
      <c r="AN56" s="1443"/>
      <c r="AO56" s="1443"/>
      <c r="AP56" s="3350"/>
      <c r="AQ56" s="1443"/>
      <c r="AR56" s="1443"/>
      <c r="AS56" s="1443"/>
      <c r="AT56" s="1443"/>
      <c r="AU56" s="1443"/>
      <c r="AV56" s="1443"/>
      <c r="AW56" s="1443"/>
      <c r="AX56" s="3742"/>
      <c r="AY56" s="5016"/>
      <c r="AZ56" s="5016"/>
      <c r="BA56" s="5016"/>
      <c r="BB56" s="5016"/>
      <c r="BC56" s="5016"/>
      <c r="BD56" s="5016"/>
      <c r="BE56" s="5016"/>
      <c r="BF56" s="5016"/>
      <c r="BG56" s="5016"/>
      <c r="BH56" s="5016"/>
    </row>
    <row r="57" spans="1:60" ht="13.5" customHeight="1">
      <c r="A57" s="5088"/>
      <c r="B57" s="6698" t="s">
        <v>38</v>
      </c>
      <c r="C57" s="6698"/>
      <c r="D57" s="1592" t="s">
        <v>2775</v>
      </c>
      <c r="E57" s="1443"/>
      <c r="F57" s="1443"/>
      <c r="G57" s="1443"/>
      <c r="H57" s="1443"/>
      <c r="I57" s="1443"/>
      <c r="J57" s="1443"/>
      <c r="K57" s="1443"/>
      <c r="L57" s="1443"/>
      <c r="M57" s="1443"/>
      <c r="N57" s="1443"/>
      <c r="O57" s="1443"/>
      <c r="P57" s="3419"/>
      <c r="Q57" s="1607"/>
      <c r="R57" s="1607"/>
      <c r="S57" s="1607"/>
      <c r="T57" s="1607"/>
      <c r="U57" s="1607"/>
      <c r="V57" s="3420"/>
      <c r="W57" s="1607"/>
      <c r="X57" s="1607"/>
      <c r="Y57" s="1607"/>
      <c r="Z57" s="1607"/>
      <c r="AA57" s="1607"/>
      <c r="AB57" s="1607"/>
      <c r="AC57" s="3420"/>
      <c r="AD57" s="1607"/>
      <c r="AE57" s="1607"/>
      <c r="AF57" s="1607"/>
      <c r="AG57" s="1607"/>
      <c r="AH57" s="1607"/>
      <c r="AI57" s="3420"/>
      <c r="AJ57" s="6696"/>
      <c r="AK57" s="5680"/>
      <c r="AL57" s="1965"/>
      <c r="AM57" s="1443"/>
      <c r="AN57" s="1443"/>
      <c r="AO57" s="1443"/>
      <c r="AP57" s="3350"/>
      <c r="AQ57" s="1443"/>
      <c r="AR57" s="1443"/>
      <c r="AS57" s="1443"/>
      <c r="AT57" s="1443"/>
      <c r="AU57" s="1443"/>
      <c r="AV57" s="1443"/>
      <c r="AW57" s="1443"/>
      <c r="AX57" s="3742"/>
      <c r="AY57" s="5016"/>
      <c r="AZ57" s="5016"/>
      <c r="BA57" s="5016"/>
      <c r="BB57" s="5016"/>
      <c r="BC57" s="5016"/>
      <c r="BD57" s="5016"/>
      <c r="BE57" s="5016"/>
      <c r="BF57" s="5016"/>
      <c r="BG57" s="5016"/>
      <c r="BH57" s="5016"/>
    </row>
    <row r="58" spans="1:60" ht="13.5" customHeight="1">
      <c r="A58" s="5088"/>
      <c r="B58" s="4844"/>
      <c r="C58" s="4844"/>
      <c r="D58" s="1592" t="s">
        <v>2776</v>
      </c>
      <c r="E58" s="1443"/>
      <c r="F58" s="1443"/>
      <c r="G58" s="1443"/>
      <c r="H58" s="1443"/>
      <c r="I58" s="1443"/>
      <c r="J58" s="1443"/>
      <c r="K58" s="1443"/>
      <c r="L58" s="1443"/>
      <c r="M58" s="1443"/>
      <c r="N58" s="1443"/>
      <c r="O58" s="1943" t="s">
        <v>3417</v>
      </c>
      <c r="P58" s="6699"/>
      <c r="Q58" s="6700"/>
      <c r="R58" s="6700"/>
      <c r="S58" s="6700"/>
      <c r="T58" s="6700"/>
      <c r="U58" s="6700"/>
      <c r="V58" s="6701"/>
      <c r="W58" s="6699"/>
      <c r="X58" s="6700"/>
      <c r="Y58" s="6700"/>
      <c r="Z58" s="6700"/>
      <c r="AA58" s="6700"/>
      <c r="AB58" s="6700"/>
      <c r="AC58" s="6701"/>
      <c r="AD58" s="6699"/>
      <c r="AE58" s="6700"/>
      <c r="AF58" s="6700"/>
      <c r="AG58" s="6700"/>
      <c r="AH58" s="6700"/>
      <c r="AI58" s="6701"/>
      <c r="AJ58" s="6696"/>
      <c r="AK58" s="5680"/>
      <c r="AL58" s="1965"/>
      <c r="AM58" s="1443"/>
      <c r="AN58" s="1443"/>
      <c r="AO58" s="1443"/>
      <c r="AP58" s="3350"/>
      <c r="AQ58" s="1443"/>
      <c r="AR58" s="1443"/>
      <c r="AS58" s="1443"/>
      <c r="AT58" s="1443"/>
      <c r="AU58" s="1443"/>
      <c r="AV58" s="1443"/>
      <c r="AW58" s="1443"/>
      <c r="AX58" s="3742"/>
      <c r="AY58" s="5016"/>
      <c r="AZ58" s="5016"/>
      <c r="BA58" s="5016"/>
      <c r="BB58" s="5016"/>
      <c r="BC58" s="5016"/>
      <c r="BD58" s="5016"/>
      <c r="BE58" s="5016"/>
      <c r="BF58" s="5016"/>
      <c r="BG58" s="5016"/>
      <c r="BH58" s="5016"/>
    </row>
    <row r="59" spans="1:60" ht="13.5" customHeight="1">
      <c r="A59" s="5088"/>
      <c r="B59" s="6698" t="s">
        <v>54</v>
      </c>
      <c r="C59" s="6698"/>
      <c r="D59" s="1592" t="s">
        <v>2774</v>
      </c>
      <c r="E59" s="1443"/>
      <c r="F59" s="1443"/>
      <c r="G59" s="1443"/>
      <c r="H59" s="1443"/>
      <c r="I59" s="1443"/>
      <c r="J59" s="1443"/>
      <c r="K59" s="1443"/>
      <c r="L59" s="1443"/>
      <c r="M59" s="1443"/>
      <c r="N59" s="1443"/>
      <c r="O59" s="1943" t="s">
        <v>3530</v>
      </c>
      <c r="P59" s="6890"/>
      <c r="Q59" s="6891"/>
      <c r="R59" s="6891"/>
      <c r="S59" s="6891"/>
      <c r="T59" s="6891"/>
      <c r="U59" s="6891"/>
      <c r="V59" s="6892"/>
      <c r="W59" s="6890"/>
      <c r="X59" s="6891"/>
      <c r="Y59" s="6891"/>
      <c r="Z59" s="6891"/>
      <c r="AA59" s="6891"/>
      <c r="AB59" s="6891"/>
      <c r="AC59" s="6892"/>
      <c r="AD59" s="6890"/>
      <c r="AE59" s="6891"/>
      <c r="AF59" s="6891"/>
      <c r="AG59" s="6891"/>
      <c r="AH59" s="6891"/>
      <c r="AI59" s="6892"/>
      <c r="AJ59" s="6696"/>
      <c r="AK59" s="5680"/>
      <c r="AL59" s="1965"/>
      <c r="AM59" s="1443"/>
      <c r="AN59" s="1443"/>
      <c r="AO59" s="1443"/>
      <c r="AP59" s="3350"/>
      <c r="AQ59" s="1443"/>
      <c r="AR59" s="1443"/>
      <c r="AS59" s="1443"/>
      <c r="AT59" s="1443"/>
      <c r="AU59" s="1443"/>
      <c r="AV59" s="1443"/>
      <c r="AW59" s="1443"/>
      <c r="AX59" s="3742"/>
      <c r="AY59" s="5016"/>
      <c r="AZ59" s="5016"/>
      <c r="BA59" s="5016"/>
      <c r="BB59" s="5016"/>
      <c r="BC59" s="5016"/>
      <c r="BD59" s="5016"/>
      <c r="BE59" s="5016"/>
      <c r="BF59" s="5016"/>
      <c r="BG59" s="5016"/>
      <c r="BH59" s="5016"/>
    </row>
    <row r="60" spans="1:60" ht="13.5" customHeight="1">
      <c r="A60" s="5088"/>
      <c r="B60" s="6833">
        <v>5</v>
      </c>
      <c r="C60" s="6833"/>
      <c r="D60" s="1592" t="s">
        <v>2777</v>
      </c>
      <c r="E60" s="1443"/>
      <c r="F60" s="1443"/>
      <c r="G60" s="1443"/>
      <c r="H60" s="1443"/>
      <c r="I60" s="1443"/>
      <c r="J60" s="1443"/>
      <c r="K60" s="1443"/>
      <c r="L60" s="1443"/>
      <c r="M60" s="1443"/>
      <c r="N60" s="1443"/>
      <c r="O60" s="1943" t="s">
        <v>2482</v>
      </c>
      <c r="P60" s="6890"/>
      <c r="Q60" s="6891"/>
      <c r="R60" s="6891"/>
      <c r="S60" s="6891"/>
      <c r="T60" s="6891"/>
      <c r="U60" s="6891"/>
      <c r="V60" s="6892"/>
      <c r="W60" s="6890"/>
      <c r="X60" s="6891"/>
      <c r="Y60" s="6891"/>
      <c r="Z60" s="6891"/>
      <c r="AA60" s="6891"/>
      <c r="AB60" s="6891"/>
      <c r="AC60" s="6892"/>
      <c r="AD60" s="6890"/>
      <c r="AE60" s="6891"/>
      <c r="AF60" s="6891"/>
      <c r="AG60" s="6891"/>
      <c r="AH60" s="6891"/>
      <c r="AI60" s="6892"/>
      <c r="AJ60" s="6696"/>
      <c r="AK60" s="5680"/>
      <c r="AL60" s="1965"/>
      <c r="AM60" s="1443"/>
      <c r="AN60" s="1443"/>
      <c r="AO60" s="1443"/>
      <c r="AP60" s="3350"/>
      <c r="AQ60" s="3350"/>
      <c r="AR60" s="3350"/>
      <c r="AS60" s="3350"/>
      <c r="AT60" s="3350"/>
      <c r="AU60" s="3350"/>
      <c r="AV60" s="1443"/>
      <c r="AW60" s="1443"/>
      <c r="AX60" s="3742"/>
      <c r="AY60" s="5016"/>
      <c r="AZ60" s="5016"/>
      <c r="BA60" s="5016"/>
      <c r="BB60" s="5016"/>
      <c r="BC60" s="5016"/>
      <c r="BD60" s="5016"/>
      <c r="BE60" s="5016"/>
      <c r="BF60" s="5016"/>
      <c r="BG60" s="5016"/>
      <c r="BH60" s="5016"/>
    </row>
    <row r="61" spans="1:60" ht="13.5" customHeight="1">
      <c r="A61" s="5088"/>
      <c r="B61" s="6833">
        <v>6</v>
      </c>
      <c r="C61" s="6833"/>
      <c r="D61" s="1592" t="s">
        <v>2778</v>
      </c>
      <c r="E61" s="1443"/>
      <c r="F61" s="1443"/>
      <c r="G61" s="1443"/>
      <c r="H61" s="1443"/>
      <c r="I61" s="1443"/>
      <c r="J61" s="1443"/>
      <c r="K61" s="1443"/>
      <c r="L61" s="1443"/>
      <c r="M61" s="1443"/>
      <c r="N61" s="1443"/>
      <c r="O61" s="1943" t="s">
        <v>2482</v>
      </c>
      <c r="P61" s="6904">
        <f>SUM(P45,P55,P58,P59,P60)</f>
        <v>0</v>
      </c>
      <c r="Q61" s="6905"/>
      <c r="R61" s="6905"/>
      <c r="S61" s="6905"/>
      <c r="T61" s="6905"/>
      <c r="U61" s="6905"/>
      <c r="V61" s="6906"/>
      <c r="W61" s="6904">
        <f>SUM(W45,W55,W58,W59,W60)</f>
        <v>0</v>
      </c>
      <c r="X61" s="6905"/>
      <c r="Y61" s="6905"/>
      <c r="Z61" s="6905"/>
      <c r="AA61" s="6905"/>
      <c r="AB61" s="6905"/>
      <c r="AC61" s="6906"/>
      <c r="AD61" s="6904">
        <f>SUM(AD45,AD55,AD58,AD59,AD60)</f>
        <v>0</v>
      </c>
      <c r="AE61" s="6905"/>
      <c r="AF61" s="6905"/>
      <c r="AG61" s="6905"/>
      <c r="AH61" s="6905"/>
      <c r="AI61" s="6906"/>
      <c r="AJ61" s="6706">
        <v>6</v>
      </c>
      <c r="AK61" s="6080"/>
      <c r="AL61" s="6913" t="str">
        <f>IF(AQ61&lt;&gt;"",ROUND(AQ61,0),IF(AO20=0,"",ROUND(SUM(P61,W61,AD61),0)))</f>
        <v/>
      </c>
      <c r="AM61" s="6914"/>
      <c r="AN61" s="6914"/>
      <c r="AO61" s="6914"/>
      <c r="AP61" s="3350"/>
      <c r="AQ61" s="6715"/>
      <c r="AR61" s="6716"/>
      <c r="AS61" s="6716"/>
      <c r="AT61" s="6716"/>
      <c r="AU61" s="3350"/>
      <c r="AV61" s="1443"/>
      <c r="AW61" s="1443"/>
      <c r="AX61" s="3742"/>
      <c r="AY61" s="5016"/>
      <c r="AZ61" s="5016"/>
      <c r="BA61" s="5016"/>
      <c r="BB61" s="5016"/>
      <c r="BC61" s="5016"/>
      <c r="BD61" s="5016"/>
      <c r="BE61" s="5016"/>
      <c r="BF61" s="5016"/>
      <c r="BG61" s="5016"/>
      <c r="BH61" s="5016"/>
    </row>
    <row r="62" spans="1:60" ht="16.5" customHeight="1">
      <c r="A62" s="5088"/>
      <c r="B62" s="6805">
        <v>7</v>
      </c>
      <c r="C62" s="6805"/>
      <c r="D62" s="3414" t="s">
        <v>2779</v>
      </c>
      <c r="E62" s="1937"/>
      <c r="F62" s="1937"/>
      <c r="G62" s="1937"/>
      <c r="H62" s="1937"/>
      <c r="I62" s="1937"/>
      <c r="J62" s="1937"/>
      <c r="K62" s="1937"/>
      <c r="L62" s="1937"/>
      <c r="M62" s="1937"/>
      <c r="N62" s="1937"/>
      <c r="O62" s="1937"/>
      <c r="P62" s="1937"/>
      <c r="Q62" s="1937"/>
      <c r="R62" s="1937"/>
      <c r="S62" s="1937"/>
      <c r="T62" s="1937"/>
      <c r="U62" s="1937"/>
      <c r="V62" s="1937"/>
      <c r="W62" s="1937"/>
      <c r="X62" s="1937"/>
      <c r="Y62" s="1937"/>
      <c r="Z62" s="1937"/>
      <c r="AA62" s="1937"/>
      <c r="AB62" s="1937"/>
      <c r="AC62" s="1937"/>
      <c r="AD62" s="1937"/>
      <c r="AE62" s="1937"/>
      <c r="AF62" s="1937"/>
      <c r="AG62" s="1937"/>
      <c r="AH62" s="1937"/>
      <c r="AI62" s="1943" t="s">
        <v>1993</v>
      </c>
      <c r="AJ62" s="6795">
        <v>7</v>
      </c>
      <c r="AK62" s="6796"/>
      <c r="AL62" s="6913" t="str">
        <f>IF(AQ62&lt;&gt;"",ROUND(AQ62,0),IF(AO20=0,"",ROUND(SUM(AL36,-AL61),0)))</f>
        <v/>
      </c>
      <c r="AM62" s="6914"/>
      <c r="AN62" s="6914"/>
      <c r="AO62" s="6914"/>
      <c r="AP62" s="3350"/>
      <c r="AQ62" s="6715"/>
      <c r="AR62" s="6716"/>
      <c r="AS62" s="6716"/>
      <c r="AT62" s="6716"/>
      <c r="AU62" s="3350"/>
      <c r="AV62" s="1443"/>
      <c r="AW62" s="1443"/>
      <c r="AX62" s="3742"/>
      <c r="AY62" s="5016"/>
      <c r="AZ62" s="5016"/>
      <c r="BA62" s="5016"/>
      <c r="BB62" s="5016"/>
      <c r="BC62" s="5016"/>
      <c r="BD62" s="5016"/>
      <c r="BE62" s="5016"/>
      <c r="BF62" s="5016"/>
      <c r="BG62" s="5016"/>
      <c r="BH62" s="5016"/>
    </row>
    <row r="63" spans="1:60" s="3272" customFormat="1" ht="17.25" customHeight="1">
      <c r="A63" s="5090"/>
      <c r="B63" s="6871" t="s">
        <v>130</v>
      </c>
      <c r="C63" s="6871"/>
      <c r="D63" s="6872"/>
      <c r="E63" s="6873" t="s">
        <v>4550</v>
      </c>
      <c r="F63" s="6874"/>
      <c r="G63" s="6874"/>
      <c r="H63" s="6874"/>
      <c r="I63" s="6874"/>
      <c r="J63" s="6874"/>
      <c r="K63" s="6874"/>
      <c r="L63" s="6874"/>
      <c r="M63" s="6874"/>
      <c r="N63" s="6874"/>
      <c r="O63" s="6874"/>
      <c r="P63" s="6874"/>
      <c r="Q63" s="6874"/>
      <c r="R63" s="6874"/>
      <c r="S63" s="6874"/>
      <c r="T63" s="6874"/>
      <c r="U63" s="6874"/>
      <c r="V63" s="6874"/>
      <c r="W63" s="6874"/>
      <c r="X63" s="6874"/>
      <c r="Y63" s="6874"/>
      <c r="Z63" s="6874"/>
      <c r="AA63" s="6874"/>
      <c r="AB63" s="6874"/>
      <c r="AC63" s="6874"/>
      <c r="AD63" s="6874"/>
      <c r="AE63" s="6874"/>
      <c r="AF63" s="6874"/>
      <c r="AG63" s="6874"/>
      <c r="AH63" s="6874"/>
      <c r="AI63" s="6874"/>
      <c r="AJ63" s="6874"/>
      <c r="AK63" s="6874"/>
      <c r="AL63" s="6874"/>
      <c r="AM63" s="6874"/>
      <c r="AN63" s="6874"/>
      <c r="AO63" s="6874"/>
      <c r="AP63" s="3350"/>
      <c r="AQ63" s="3350"/>
      <c r="AR63" s="3350"/>
      <c r="AS63" s="3350"/>
      <c r="AT63" s="3350"/>
      <c r="AU63" s="3350"/>
      <c r="AV63" s="1922"/>
      <c r="AW63" s="1922"/>
      <c r="AX63" s="3742"/>
      <c r="AY63" s="5016"/>
      <c r="AZ63" s="5016"/>
      <c r="BA63" s="5016"/>
      <c r="BB63" s="5016"/>
      <c r="BC63" s="5016"/>
      <c r="BD63" s="5016"/>
      <c r="BE63" s="5016"/>
      <c r="BF63" s="5016"/>
      <c r="BG63" s="5016"/>
      <c r="BH63" s="5016"/>
    </row>
    <row r="64" spans="1:60" s="3272" customFormat="1" ht="10.5" customHeight="1">
      <c r="A64" s="5090"/>
      <c r="B64" s="6808" t="s">
        <v>2788</v>
      </c>
      <c r="C64" s="6811" t="s">
        <v>3538</v>
      </c>
      <c r="D64" s="6311"/>
      <c r="E64" s="6311"/>
      <c r="F64" s="6311"/>
      <c r="G64" s="6312"/>
      <c r="H64" s="6812" t="s">
        <v>2827</v>
      </c>
      <c r="I64" s="6813"/>
      <c r="J64" s="6813"/>
      <c r="K64" s="6813"/>
      <c r="L64" s="6813"/>
      <c r="M64" s="6813"/>
      <c r="N64" s="6813"/>
      <c r="O64" s="6813"/>
      <c r="P64" s="6813"/>
      <c r="Q64" s="6813"/>
      <c r="R64" s="6813"/>
      <c r="S64" s="6813"/>
      <c r="T64" s="6813"/>
      <c r="U64" s="6813"/>
      <c r="V64" s="6813"/>
      <c r="W64" s="6813"/>
      <c r="X64" s="6813"/>
      <c r="Y64" s="6813"/>
      <c r="Z64" s="6813"/>
      <c r="AA64" s="6813"/>
      <c r="AB64" s="6813"/>
      <c r="AC64" s="6813"/>
      <c r="AD64" s="6813"/>
      <c r="AE64" s="6813"/>
      <c r="AF64" s="6813"/>
      <c r="AG64" s="6813"/>
      <c r="AH64" s="6813"/>
      <c r="AI64" s="6813"/>
      <c r="AJ64" s="6813"/>
      <c r="AK64" s="6813"/>
      <c r="AL64" s="6813"/>
      <c r="AM64" s="6813"/>
      <c r="AN64" s="6813"/>
      <c r="AO64" s="6813"/>
      <c r="AP64" s="3350"/>
      <c r="AQ64" s="1922"/>
      <c r="AR64" s="1922"/>
      <c r="AS64" s="1922"/>
      <c r="AT64" s="1922"/>
      <c r="AU64" s="1922"/>
      <c r="AV64" s="1922"/>
      <c r="AW64" s="1922"/>
      <c r="AX64" s="3742"/>
      <c r="AY64" s="5016"/>
      <c r="AZ64" s="5016"/>
      <c r="BA64" s="5016"/>
      <c r="BB64" s="5016"/>
      <c r="BC64" s="5016"/>
      <c r="BD64" s="5016"/>
      <c r="BE64" s="5016"/>
      <c r="BF64" s="5016"/>
      <c r="BG64" s="5016"/>
      <c r="BH64" s="5016"/>
    </row>
    <row r="65" spans="1:60" s="3272" customFormat="1" ht="10.5" customHeight="1">
      <c r="A65" s="5090"/>
      <c r="B65" s="6809"/>
      <c r="C65" s="6248"/>
      <c r="D65" s="6249"/>
      <c r="E65" s="6249"/>
      <c r="F65" s="6249"/>
      <c r="G65" s="6117"/>
      <c r="H65" s="6814"/>
      <c r="I65" s="6815"/>
      <c r="J65" s="6815"/>
      <c r="K65" s="6815"/>
      <c r="L65" s="6815"/>
      <c r="M65" s="6815"/>
      <c r="N65" s="6815"/>
      <c r="O65" s="6815"/>
      <c r="P65" s="6815"/>
      <c r="Q65" s="6815"/>
      <c r="R65" s="6815"/>
      <c r="S65" s="6815"/>
      <c r="T65" s="6815"/>
      <c r="U65" s="6815"/>
      <c r="V65" s="6815"/>
      <c r="W65" s="6815"/>
      <c r="X65" s="6815"/>
      <c r="Y65" s="6815"/>
      <c r="Z65" s="6815"/>
      <c r="AA65" s="6815"/>
      <c r="AB65" s="6815"/>
      <c r="AC65" s="6815"/>
      <c r="AD65" s="6815"/>
      <c r="AE65" s="6815"/>
      <c r="AF65" s="6815"/>
      <c r="AG65" s="6815"/>
      <c r="AH65" s="6815"/>
      <c r="AI65" s="6815"/>
      <c r="AJ65" s="6815"/>
      <c r="AK65" s="6815"/>
      <c r="AL65" s="6815"/>
      <c r="AM65" s="6815"/>
      <c r="AN65" s="6815"/>
      <c r="AO65" s="6815"/>
      <c r="AP65" s="3350"/>
      <c r="AQ65" s="1922"/>
      <c r="AR65" s="1922"/>
      <c r="AS65" s="1922"/>
      <c r="AT65" s="1922"/>
      <c r="AU65" s="1922"/>
      <c r="AV65" s="1922"/>
      <c r="AW65" s="1922"/>
      <c r="AX65" s="3742"/>
      <c r="AY65" s="5016"/>
      <c r="AZ65" s="5016"/>
      <c r="BA65" s="5016"/>
      <c r="BB65" s="5016"/>
      <c r="BC65" s="5016"/>
      <c r="BD65" s="5016"/>
      <c r="BE65" s="5016"/>
      <c r="BF65" s="5016"/>
      <c r="BG65" s="5016"/>
      <c r="BH65" s="5016"/>
    </row>
    <row r="66" spans="1:60" s="3272" customFormat="1" ht="12.75" customHeight="1">
      <c r="A66" s="5090"/>
      <c r="B66" s="6809"/>
      <c r="C66" s="6248"/>
      <c r="D66" s="6249"/>
      <c r="E66" s="6249"/>
      <c r="F66" s="6249"/>
      <c r="G66" s="6117"/>
      <c r="H66" s="6816"/>
      <c r="I66" s="6817"/>
      <c r="J66" s="6817"/>
      <c r="K66" s="6817"/>
      <c r="L66" s="6817"/>
      <c r="M66" s="6817"/>
      <c r="N66" s="6817"/>
      <c r="O66" s="6817"/>
      <c r="P66" s="6817"/>
      <c r="Q66" s="6817"/>
      <c r="R66" s="6817"/>
      <c r="S66" s="6817"/>
      <c r="T66" s="6817"/>
      <c r="U66" s="6817"/>
      <c r="V66" s="6817"/>
      <c r="W66" s="6817"/>
      <c r="X66" s="6817"/>
      <c r="Y66" s="6817"/>
      <c r="Z66" s="6817"/>
      <c r="AA66" s="6817"/>
      <c r="AB66" s="6817"/>
      <c r="AC66" s="6817"/>
      <c r="AD66" s="6817"/>
      <c r="AE66" s="6817"/>
      <c r="AF66" s="6817"/>
      <c r="AG66" s="6817"/>
      <c r="AH66" s="6817"/>
      <c r="AI66" s="6817"/>
      <c r="AJ66" s="6817"/>
      <c r="AK66" s="6817"/>
      <c r="AL66" s="6817"/>
      <c r="AM66" s="6817"/>
      <c r="AN66" s="6817"/>
      <c r="AO66" s="6817"/>
      <c r="AP66" s="3350"/>
      <c r="AQ66" s="1922"/>
      <c r="AR66" s="1922"/>
      <c r="AS66" s="1922"/>
      <c r="AT66" s="1922"/>
      <c r="AU66" s="1922"/>
      <c r="AV66" s="1922"/>
      <c r="AW66" s="1922"/>
      <c r="AX66" s="3742"/>
      <c r="AY66" s="5016"/>
      <c r="AZ66" s="5016"/>
      <c r="BA66" s="5016"/>
      <c r="BB66" s="5016"/>
      <c r="BC66" s="5016"/>
      <c r="BD66" s="5016"/>
      <c r="BE66" s="5016"/>
      <c r="BF66" s="5016"/>
      <c r="BG66" s="5016"/>
      <c r="BH66" s="5016"/>
    </row>
    <row r="67" spans="1:60" s="3272" customFormat="1" ht="10.5" customHeight="1">
      <c r="A67" s="5090"/>
      <c r="B67" s="6809"/>
      <c r="C67" s="3407">
        <f>IF(E67&lt;&gt;"",1,0)</f>
        <v>0</v>
      </c>
      <c r="D67" s="2254" t="s">
        <v>3501</v>
      </c>
      <c r="E67" s="1446"/>
      <c r="F67" s="2292" t="s">
        <v>2786</v>
      </c>
      <c r="G67" s="3393"/>
      <c r="H67" s="6227" t="s">
        <v>2825</v>
      </c>
      <c r="I67" s="6228"/>
      <c r="J67" s="6228"/>
      <c r="K67" s="6228"/>
      <c r="L67" s="6228"/>
      <c r="M67" s="6228"/>
      <c r="N67" s="6228"/>
      <c r="O67" s="6228"/>
      <c r="P67" s="6228"/>
      <c r="Q67" s="6228"/>
      <c r="R67" s="6228"/>
      <c r="S67" s="6228"/>
      <c r="T67" s="6228"/>
      <c r="U67" s="6228"/>
      <c r="V67" s="6228"/>
      <c r="W67" s="6229"/>
      <c r="X67" s="6227" t="s">
        <v>2826</v>
      </c>
      <c r="Y67" s="6212"/>
      <c r="Z67" s="6212"/>
      <c r="AA67" s="6212"/>
      <c r="AB67" s="6212"/>
      <c r="AC67" s="6212"/>
      <c r="AD67" s="6212"/>
      <c r="AE67" s="6212"/>
      <c r="AF67" s="6212"/>
      <c r="AG67" s="6212"/>
      <c r="AH67" s="6212"/>
      <c r="AI67" s="6212"/>
      <c r="AJ67" s="6212"/>
      <c r="AK67" s="6212"/>
      <c r="AL67" s="6212"/>
      <c r="AM67" s="6212"/>
      <c r="AN67" s="6212"/>
      <c r="AO67" s="6212"/>
      <c r="AP67" s="3350"/>
      <c r="AQ67" s="6915"/>
      <c r="AR67" s="4605"/>
      <c r="AS67" s="4605"/>
      <c r="AT67" s="4605"/>
      <c r="AU67" s="4605"/>
      <c r="AV67" s="4605"/>
      <c r="AW67" s="4605"/>
      <c r="AX67" s="3742"/>
      <c r="AY67" s="5016"/>
      <c r="AZ67" s="5016"/>
      <c r="BA67" s="5016"/>
      <c r="BB67" s="5016"/>
      <c r="BC67" s="5016"/>
      <c r="BD67" s="5016"/>
      <c r="BE67" s="5016"/>
      <c r="BF67" s="5016"/>
      <c r="BG67" s="5016"/>
      <c r="BH67" s="5016"/>
    </row>
    <row r="68" spans="1:60" ht="6.75" customHeight="1">
      <c r="A68" s="5088"/>
      <c r="B68" s="6809"/>
      <c r="C68" s="3408"/>
      <c r="D68" s="1607"/>
      <c r="E68" s="1443"/>
      <c r="F68" s="1443"/>
      <c r="G68" s="1966"/>
      <c r="H68" s="6233"/>
      <c r="I68" s="6234"/>
      <c r="J68" s="6234"/>
      <c r="K68" s="6234"/>
      <c r="L68" s="6234"/>
      <c r="M68" s="6234"/>
      <c r="N68" s="6234"/>
      <c r="O68" s="6234"/>
      <c r="P68" s="6234"/>
      <c r="Q68" s="6234"/>
      <c r="R68" s="6234"/>
      <c r="S68" s="6234"/>
      <c r="T68" s="6234"/>
      <c r="U68" s="6234"/>
      <c r="V68" s="6234"/>
      <c r="W68" s="6235"/>
      <c r="X68" s="6818"/>
      <c r="Y68" s="6819"/>
      <c r="Z68" s="6819"/>
      <c r="AA68" s="6819"/>
      <c r="AB68" s="6819"/>
      <c r="AC68" s="6819"/>
      <c r="AD68" s="6819"/>
      <c r="AE68" s="6819"/>
      <c r="AF68" s="6819"/>
      <c r="AG68" s="6819"/>
      <c r="AH68" s="6819"/>
      <c r="AI68" s="6819"/>
      <c r="AJ68" s="6819"/>
      <c r="AK68" s="6819"/>
      <c r="AL68" s="6819"/>
      <c r="AM68" s="6819"/>
      <c r="AN68" s="6819"/>
      <c r="AO68" s="6819"/>
      <c r="AP68" s="3350"/>
      <c r="AQ68" s="6915"/>
      <c r="AR68" s="4606"/>
      <c r="AS68" s="4606"/>
      <c r="AT68" s="4606"/>
      <c r="AU68" s="4606"/>
      <c r="AV68" s="4606"/>
      <c r="AW68" s="4606"/>
      <c r="AX68" s="3742"/>
      <c r="AY68" s="5016"/>
      <c r="AZ68" s="5016"/>
      <c r="BA68" s="5016"/>
      <c r="BB68" s="5016"/>
      <c r="BC68" s="5016"/>
      <c r="BD68" s="5016"/>
      <c r="BE68" s="5016"/>
      <c r="BF68" s="5016"/>
      <c r="BG68" s="5016"/>
      <c r="BH68" s="5016"/>
    </row>
    <row r="69" spans="1:60" ht="10.5" customHeight="1">
      <c r="A69" s="5088"/>
      <c r="B69" s="6809"/>
      <c r="C69" s="3407">
        <f>IF(E69&lt;&gt;"",1,0)</f>
        <v>0</v>
      </c>
      <c r="D69" s="1804" t="s">
        <v>3502</v>
      </c>
      <c r="E69" s="1446"/>
      <c r="F69" s="2292" t="s">
        <v>2780</v>
      </c>
      <c r="G69" s="3395"/>
      <c r="H69" s="6310" t="s">
        <v>2782</v>
      </c>
      <c r="I69" s="6311"/>
      <c r="J69" s="6311"/>
      <c r="K69" s="6311"/>
      <c r="L69" s="6311"/>
      <c r="M69" s="6311"/>
      <c r="N69" s="6311"/>
      <c r="O69" s="6311"/>
      <c r="P69" s="6311"/>
      <c r="Q69" s="6311"/>
      <c r="R69" s="6311"/>
      <c r="S69" s="6312"/>
      <c r="T69" s="6310" t="s">
        <v>3507</v>
      </c>
      <c r="U69" s="6311"/>
      <c r="V69" s="6311"/>
      <c r="W69" s="6312"/>
      <c r="X69" s="6310" t="s">
        <v>2782</v>
      </c>
      <c r="Y69" s="6311"/>
      <c r="Z69" s="6311"/>
      <c r="AA69" s="6311"/>
      <c r="AB69" s="6311"/>
      <c r="AC69" s="6311"/>
      <c r="AD69" s="6311"/>
      <c r="AE69" s="6311"/>
      <c r="AF69" s="6311"/>
      <c r="AG69" s="6311"/>
      <c r="AH69" s="6312"/>
      <c r="AI69" s="6310" t="s">
        <v>3511</v>
      </c>
      <c r="AJ69" s="6311"/>
      <c r="AK69" s="6311"/>
      <c r="AL69" s="6312"/>
      <c r="AM69" s="6310" t="s">
        <v>3535</v>
      </c>
      <c r="AN69" s="6820"/>
      <c r="AO69" s="6820"/>
      <c r="AP69" s="3350"/>
      <c r="AQ69" s="6915"/>
      <c r="AR69" s="6915"/>
      <c r="AS69" s="6915"/>
      <c r="AT69" s="6915"/>
      <c r="AU69" s="6915"/>
      <c r="AV69" s="6915"/>
      <c r="AW69" s="6915"/>
      <c r="AX69" s="3742"/>
      <c r="AY69" s="5016"/>
      <c r="AZ69" s="5016"/>
      <c r="BA69" s="5016"/>
      <c r="BB69" s="5016"/>
      <c r="BC69" s="5016"/>
      <c r="BD69" s="5016"/>
      <c r="BE69" s="5016"/>
      <c r="BF69" s="5016"/>
      <c r="BG69" s="5016"/>
      <c r="BH69" s="5016"/>
    </row>
    <row r="70" spans="1:60" ht="7.5" customHeight="1">
      <c r="A70" s="5088"/>
      <c r="B70" s="6810"/>
      <c r="C70" s="3396"/>
      <c r="D70" s="1953"/>
      <c r="E70" s="1953"/>
      <c r="F70" s="1953"/>
      <c r="G70" s="3397"/>
      <c r="H70" s="6316"/>
      <c r="I70" s="6317"/>
      <c r="J70" s="6317"/>
      <c r="K70" s="6317"/>
      <c r="L70" s="6317"/>
      <c r="M70" s="6317"/>
      <c r="N70" s="6317"/>
      <c r="O70" s="6317"/>
      <c r="P70" s="6317"/>
      <c r="Q70" s="6317"/>
      <c r="R70" s="6317"/>
      <c r="S70" s="6318"/>
      <c r="T70" s="6313"/>
      <c r="U70" s="6314"/>
      <c r="V70" s="6314"/>
      <c r="W70" s="6315"/>
      <c r="X70" s="6316"/>
      <c r="Y70" s="6317"/>
      <c r="Z70" s="6317"/>
      <c r="AA70" s="6317"/>
      <c r="AB70" s="6317"/>
      <c r="AC70" s="6317"/>
      <c r="AD70" s="6317"/>
      <c r="AE70" s="6317"/>
      <c r="AF70" s="6317"/>
      <c r="AG70" s="6317"/>
      <c r="AH70" s="6318"/>
      <c r="AI70" s="6313"/>
      <c r="AJ70" s="6314"/>
      <c r="AK70" s="6314"/>
      <c r="AL70" s="6315"/>
      <c r="AM70" s="6821"/>
      <c r="AN70" s="6822"/>
      <c r="AO70" s="6822"/>
      <c r="AP70" s="3350"/>
      <c r="AQ70" s="1443"/>
      <c r="AR70" s="1443"/>
      <c r="AS70" s="1443"/>
      <c r="AT70" s="1443"/>
      <c r="AU70" s="1443"/>
      <c r="AV70" s="1443"/>
      <c r="AW70" s="1443"/>
      <c r="AX70" s="3742"/>
      <c r="AY70" s="5016"/>
      <c r="AZ70" s="5016"/>
      <c r="BA70" s="5016"/>
      <c r="BB70" s="5016"/>
      <c r="BC70" s="5016"/>
      <c r="BD70" s="5016"/>
      <c r="BE70" s="5016"/>
      <c r="BF70" s="5016"/>
      <c r="BG70" s="5016"/>
      <c r="BH70" s="5016"/>
    </row>
    <row r="71" spans="1:60" ht="7.5" customHeight="1">
      <c r="A71" s="5088"/>
      <c r="B71" s="3392"/>
      <c r="C71" s="6825" t="s">
        <v>4553</v>
      </c>
      <c r="D71" s="6826"/>
      <c r="E71" s="6826"/>
      <c r="F71" s="6826"/>
      <c r="G71" s="6827"/>
      <c r="H71" s="6310" t="s">
        <v>3504</v>
      </c>
      <c r="I71" s="6311"/>
      <c r="J71" s="6311"/>
      <c r="K71" s="6310" t="s">
        <v>3505</v>
      </c>
      <c r="L71" s="6311"/>
      <c r="M71" s="6311"/>
      <c r="N71" s="6311"/>
      <c r="O71" s="6310" t="s">
        <v>3506</v>
      </c>
      <c r="P71" s="6311"/>
      <c r="Q71" s="6311"/>
      <c r="R71" s="6311"/>
      <c r="S71" s="6749"/>
      <c r="T71" s="6313"/>
      <c r="U71" s="6314"/>
      <c r="V71" s="6314"/>
      <c r="W71" s="6315"/>
      <c r="X71" s="6310" t="s">
        <v>3508</v>
      </c>
      <c r="Y71" s="6311"/>
      <c r="Z71" s="6311"/>
      <c r="AA71" s="6310" t="s">
        <v>3509</v>
      </c>
      <c r="AB71" s="6311"/>
      <c r="AC71" s="6311"/>
      <c r="AD71" s="6311"/>
      <c r="AE71" s="6310" t="s">
        <v>3510</v>
      </c>
      <c r="AF71" s="6748"/>
      <c r="AG71" s="6748"/>
      <c r="AH71" s="6749"/>
      <c r="AI71" s="6313"/>
      <c r="AJ71" s="6314"/>
      <c r="AK71" s="6314"/>
      <c r="AL71" s="6315"/>
      <c r="AM71" s="6821"/>
      <c r="AN71" s="6822"/>
      <c r="AO71" s="6822"/>
      <c r="AP71" s="3350"/>
      <c r="AQ71" s="1443"/>
      <c r="AR71" s="1443"/>
      <c r="AS71" s="1443"/>
      <c r="AT71" s="1443"/>
      <c r="AU71" s="1443"/>
      <c r="AV71" s="1443"/>
      <c r="AW71" s="1443"/>
      <c r="AX71" s="3742"/>
      <c r="AY71" s="5016"/>
      <c r="AZ71" s="5016"/>
      <c r="BA71" s="5016"/>
      <c r="BB71" s="5016"/>
      <c r="BC71" s="5016"/>
      <c r="BD71" s="5016"/>
      <c r="BE71" s="5016"/>
      <c r="BF71" s="5016"/>
      <c r="BG71" s="5016"/>
      <c r="BH71" s="5016"/>
    </row>
    <row r="72" spans="1:60" ht="13.5" customHeight="1">
      <c r="A72" s="5088"/>
      <c r="B72" s="3452" t="b">
        <f>IF(SUM(C67,C69)=1,TRUE,FALSE)</f>
        <v>0</v>
      </c>
      <c r="C72" s="6828"/>
      <c r="D72" s="6829"/>
      <c r="E72" s="6829"/>
      <c r="F72" s="6829"/>
      <c r="G72" s="6830"/>
      <c r="H72" s="6313"/>
      <c r="I72" s="6314"/>
      <c r="J72" s="6314"/>
      <c r="K72" s="6313"/>
      <c r="L72" s="6314"/>
      <c r="M72" s="6314"/>
      <c r="N72" s="6314"/>
      <c r="O72" s="6313"/>
      <c r="P72" s="6314"/>
      <c r="Q72" s="6314"/>
      <c r="R72" s="6314"/>
      <c r="S72" s="6751"/>
      <c r="T72" s="6313"/>
      <c r="U72" s="6314"/>
      <c r="V72" s="6314"/>
      <c r="W72" s="6315"/>
      <c r="X72" s="6313"/>
      <c r="Y72" s="6314"/>
      <c r="Z72" s="6314"/>
      <c r="AA72" s="6313"/>
      <c r="AB72" s="6314"/>
      <c r="AC72" s="6314"/>
      <c r="AD72" s="6314"/>
      <c r="AE72" s="6750"/>
      <c r="AF72" s="5659"/>
      <c r="AG72" s="5659"/>
      <c r="AH72" s="6751"/>
      <c r="AI72" s="6313"/>
      <c r="AJ72" s="6314"/>
      <c r="AK72" s="6314"/>
      <c r="AL72" s="6315"/>
      <c r="AM72" s="6821"/>
      <c r="AN72" s="6822"/>
      <c r="AO72" s="6822"/>
      <c r="AP72" s="3350"/>
      <c r="AQ72" s="1443"/>
      <c r="AR72" s="1443"/>
      <c r="AS72" s="1443"/>
      <c r="AT72" s="1443"/>
      <c r="AU72" s="1443"/>
      <c r="AV72" s="1443"/>
      <c r="AW72" s="1443"/>
      <c r="AX72" s="3742"/>
      <c r="AY72" s="5016"/>
      <c r="AZ72" s="5016"/>
      <c r="BA72" s="5016"/>
      <c r="BB72" s="5016"/>
      <c r="BC72" s="5016"/>
      <c r="BD72" s="5016"/>
      <c r="BE72" s="5016"/>
      <c r="BF72" s="5016"/>
      <c r="BG72" s="5016"/>
      <c r="BH72" s="5016"/>
    </row>
    <row r="73" spans="1:60" ht="13.5" customHeight="1">
      <c r="A73" s="5088"/>
      <c r="B73" s="3392"/>
      <c r="C73" s="6831" t="s">
        <v>2781</v>
      </c>
      <c r="D73" s="6574"/>
      <c r="E73" s="6574"/>
      <c r="F73" s="6574"/>
      <c r="G73" s="6575"/>
      <c r="H73" s="6313"/>
      <c r="I73" s="6314"/>
      <c r="J73" s="6314"/>
      <c r="K73" s="6313"/>
      <c r="L73" s="6314"/>
      <c r="M73" s="6314"/>
      <c r="N73" s="6314"/>
      <c r="O73" s="6313"/>
      <c r="P73" s="6314"/>
      <c r="Q73" s="6314"/>
      <c r="R73" s="6314"/>
      <c r="S73" s="6751"/>
      <c r="T73" s="6313"/>
      <c r="U73" s="6314"/>
      <c r="V73" s="6314"/>
      <c r="W73" s="6315"/>
      <c r="X73" s="6313"/>
      <c r="Y73" s="6314"/>
      <c r="Z73" s="6314"/>
      <c r="AA73" s="6313"/>
      <c r="AB73" s="6314"/>
      <c r="AC73" s="6314"/>
      <c r="AD73" s="6314"/>
      <c r="AE73" s="6750"/>
      <c r="AF73" s="5659"/>
      <c r="AG73" s="5659"/>
      <c r="AH73" s="6751"/>
      <c r="AI73" s="6313"/>
      <c r="AJ73" s="6314"/>
      <c r="AK73" s="6314"/>
      <c r="AL73" s="6315"/>
      <c r="AM73" s="6821"/>
      <c r="AN73" s="6822"/>
      <c r="AO73" s="6822"/>
      <c r="AP73" s="3350"/>
      <c r="AQ73" s="1443"/>
      <c r="AR73" s="1443"/>
      <c r="AS73" s="1443"/>
      <c r="AT73" s="1443"/>
      <c r="AU73" s="1443"/>
      <c r="AV73" s="1443"/>
      <c r="AW73" s="1443"/>
      <c r="AX73" s="3742"/>
      <c r="AY73" s="5016"/>
      <c r="AZ73" s="5016"/>
      <c r="BA73" s="5016"/>
      <c r="BB73" s="5016"/>
      <c r="BC73" s="5016"/>
      <c r="BD73" s="5016"/>
      <c r="BE73" s="5016"/>
      <c r="BF73" s="5016"/>
      <c r="BG73" s="5016"/>
      <c r="BH73" s="5016"/>
    </row>
    <row r="74" spans="1:60" ht="6.75" customHeight="1">
      <c r="A74" s="5088"/>
      <c r="B74" s="3394"/>
      <c r="C74" s="3398"/>
      <c r="D74" s="3376"/>
      <c r="E74" s="3376"/>
      <c r="F74" s="3376"/>
      <c r="G74" s="3399"/>
      <c r="H74" s="6316"/>
      <c r="I74" s="6317"/>
      <c r="J74" s="6317"/>
      <c r="K74" s="6316"/>
      <c r="L74" s="6317"/>
      <c r="M74" s="6317"/>
      <c r="N74" s="6317"/>
      <c r="O74" s="6832"/>
      <c r="P74" s="6753"/>
      <c r="Q74" s="6753"/>
      <c r="R74" s="6753"/>
      <c r="S74" s="6754"/>
      <c r="T74" s="6316"/>
      <c r="U74" s="6317"/>
      <c r="V74" s="6317"/>
      <c r="W74" s="6318"/>
      <c r="X74" s="6316"/>
      <c r="Y74" s="6317"/>
      <c r="Z74" s="6317"/>
      <c r="AA74" s="6316"/>
      <c r="AB74" s="6317"/>
      <c r="AC74" s="6317"/>
      <c r="AD74" s="6317"/>
      <c r="AE74" s="6752"/>
      <c r="AF74" s="6753"/>
      <c r="AG74" s="6753"/>
      <c r="AH74" s="6754"/>
      <c r="AI74" s="6316"/>
      <c r="AJ74" s="6317"/>
      <c r="AK74" s="6317"/>
      <c r="AL74" s="6318"/>
      <c r="AM74" s="6823"/>
      <c r="AN74" s="6824"/>
      <c r="AO74" s="6824"/>
      <c r="AP74" s="3350"/>
      <c r="AQ74" s="1443"/>
      <c r="AR74" s="1443"/>
      <c r="AS74" s="1443"/>
      <c r="AT74" s="1443"/>
      <c r="AU74" s="1443"/>
      <c r="AV74" s="1443"/>
      <c r="AW74" s="1443"/>
      <c r="AX74" s="3742"/>
      <c r="AY74" s="5016"/>
      <c r="AZ74" s="5016"/>
      <c r="BA74" s="5016"/>
      <c r="BB74" s="5016"/>
      <c r="BC74" s="5016"/>
      <c r="BD74" s="5016"/>
      <c r="BE74" s="5016"/>
      <c r="BF74" s="5016"/>
      <c r="BG74" s="5016"/>
      <c r="BH74" s="5016"/>
    </row>
    <row r="75" spans="1:60" ht="15" customHeight="1">
      <c r="A75" s="5174">
        <f>SUM(X75:AL75)</f>
        <v>0</v>
      </c>
      <c r="B75" s="3333" t="s">
        <v>159</v>
      </c>
      <c r="C75" s="6893"/>
      <c r="D75" s="6894"/>
      <c r="E75" s="6894"/>
      <c r="F75" s="6894"/>
      <c r="G75" s="6895"/>
      <c r="H75" s="6745"/>
      <c r="I75" s="6746"/>
      <c r="J75" s="6747"/>
      <c r="K75" s="6746"/>
      <c r="L75" s="6803"/>
      <c r="M75" s="6803"/>
      <c r="N75" s="6803"/>
      <c r="O75" s="6745"/>
      <c r="P75" s="6746"/>
      <c r="Q75" s="6746"/>
      <c r="R75" s="6746"/>
      <c r="S75" s="6747"/>
      <c r="T75" s="6745"/>
      <c r="U75" s="6746"/>
      <c r="V75" s="6746"/>
      <c r="W75" s="6747"/>
      <c r="X75" s="6745"/>
      <c r="Y75" s="6803"/>
      <c r="Z75" s="6804"/>
      <c r="AA75" s="6746"/>
      <c r="AB75" s="6746"/>
      <c r="AC75" s="6746"/>
      <c r="AD75" s="6747"/>
      <c r="AE75" s="6745"/>
      <c r="AF75" s="6746"/>
      <c r="AG75" s="6746"/>
      <c r="AH75" s="6747"/>
      <c r="AI75" s="6745"/>
      <c r="AJ75" s="6746"/>
      <c r="AK75" s="6746"/>
      <c r="AL75" s="6747"/>
      <c r="AM75" s="6744">
        <f>ROUND(SUM(X75:AL75),0)</f>
        <v>0</v>
      </c>
      <c r="AN75" s="6744"/>
      <c r="AO75" s="6744"/>
      <c r="AP75" s="3350"/>
      <c r="AQ75" s="5278" t="str">
        <f>IF(AND(ForeignTaxPaid&lt;&gt;"",ForeignTaxPaid&gt;0,X75="",AA75="",AE75="",X76="",AA76="",AE76="",X77="",AA77="",AE77=""),"←  Enter foreign tax paid.","")</f>
        <v/>
      </c>
      <c r="AR75" s="1443"/>
      <c r="AS75" s="1443"/>
      <c r="AT75" s="1443"/>
      <c r="AU75" s="1443"/>
      <c r="AV75" s="1443"/>
      <c r="AW75" s="1443"/>
      <c r="AX75" s="3742"/>
      <c r="AY75" s="5016"/>
      <c r="AZ75" s="5016"/>
      <c r="BA75" s="5016"/>
      <c r="BB75" s="5016"/>
      <c r="BC75" s="5016"/>
      <c r="BD75" s="5016"/>
      <c r="BE75" s="5016"/>
      <c r="BF75" s="5016"/>
      <c r="BG75" s="5016"/>
      <c r="BH75" s="5016"/>
    </row>
    <row r="76" spans="1:60" ht="15" customHeight="1">
      <c r="A76" s="5174">
        <f>SUM(X76:AL76)</f>
        <v>0</v>
      </c>
      <c r="B76" s="3333" t="s">
        <v>327</v>
      </c>
      <c r="C76" s="6893"/>
      <c r="D76" s="6894"/>
      <c r="E76" s="6894"/>
      <c r="F76" s="6894"/>
      <c r="G76" s="6895"/>
      <c r="H76" s="6745"/>
      <c r="I76" s="6746"/>
      <c r="J76" s="6747"/>
      <c r="K76" s="6746"/>
      <c r="L76" s="6803"/>
      <c r="M76" s="6803"/>
      <c r="N76" s="6803"/>
      <c r="O76" s="6745"/>
      <c r="P76" s="6746"/>
      <c r="Q76" s="6746"/>
      <c r="R76" s="6746"/>
      <c r="S76" s="6747"/>
      <c r="T76" s="6745"/>
      <c r="U76" s="6746"/>
      <c r="V76" s="6746"/>
      <c r="W76" s="6747"/>
      <c r="X76" s="6745"/>
      <c r="Y76" s="6803"/>
      <c r="Z76" s="6804"/>
      <c r="AA76" s="6746"/>
      <c r="AB76" s="6746"/>
      <c r="AC76" s="6746"/>
      <c r="AD76" s="6747"/>
      <c r="AE76" s="6745"/>
      <c r="AF76" s="6746"/>
      <c r="AG76" s="6746"/>
      <c r="AH76" s="6747"/>
      <c r="AI76" s="6745"/>
      <c r="AJ76" s="6746"/>
      <c r="AK76" s="6746"/>
      <c r="AL76" s="6747"/>
      <c r="AM76" s="6744">
        <f>ROUND(SUM(X76:AL76),0)</f>
        <v>0</v>
      </c>
      <c r="AN76" s="6744"/>
      <c r="AO76" s="6744"/>
      <c r="AP76" s="3350"/>
      <c r="AQ76" s="1443"/>
      <c r="AR76" s="1443"/>
      <c r="AS76" s="1443"/>
      <c r="AT76" s="1443"/>
      <c r="AU76" s="1443"/>
      <c r="AV76" s="1443"/>
      <c r="AW76" s="1443"/>
      <c r="AX76" s="3742"/>
      <c r="AY76" s="5016"/>
      <c r="AZ76" s="5016"/>
      <c r="BA76" s="5016"/>
      <c r="BB76" s="5016"/>
      <c r="BC76" s="5016"/>
      <c r="BD76" s="5016"/>
      <c r="BE76" s="5016"/>
      <c r="BF76" s="5016"/>
      <c r="BG76" s="5016"/>
      <c r="BH76" s="5016"/>
    </row>
    <row r="77" spans="1:60" ht="15" customHeight="1">
      <c r="A77" s="5174">
        <f>SUM(X77:AL77)</f>
        <v>0</v>
      </c>
      <c r="B77" s="3333" t="s">
        <v>160</v>
      </c>
      <c r="C77" s="6893"/>
      <c r="D77" s="6894"/>
      <c r="E77" s="6894"/>
      <c r="F77" s="6894"/>
      <c r="G77" s="6895"/>
      <c r="H77" s="6745"/>
      <c r="I77" s="6746"/>
      <c r="J77" s="6747"/>
      <c r="K77" s="6746"/>
      <c r="L77" s="6803"/>
      <c r="M77" s="6803"/>
      <c r="N77" s="6803"/>
      <c r="O77" s="6745"/>
      <c r="P77" s="6746"/>
      <c r="Q77" s="6746"/>
      <c r="R77" s="6746"/>
      <c r="S77" s="6747"/>
      <c r="T77" s="6745"/>
      <c r="U77" s="6746"/>
      <c r="V77" s="6746"/>
      <c r="W77" s="6747"/>
      <c r="X77" s="6745"/>
      <c r="Y77" s="6803"/>
      <c r="Z77" s="6804"/>
      <c r="AA77" s="6746"/>
      <c r="AB77" s="6746"/>
      <c r="AC77" s="6746"/>
      <c r="AD77" s="6747"/>
      <c r="AE77" s="6745"/>
      <c r="AF77" s="6746"/>
      <c r="AG77" s="6746"/>
      <c r="AH77" s="6747"/>
      <c r="AI77" s="6745"/>
      <c r="AJ77" s="6746"/>
      <c r="AK77" s="6746"/>
      <c r="AL77" s="6747"/>
      <c r="AM77" s="6744">
        <f>ROUND(SUM(X77:AL77),0)</f>
        <v>0</v>
      </c>
      <c r="AN77" s="6744"/>
      <c r="AO77" s="6744"/>
      <c r="AP77" s="3350"/>
      <c r="AQ77" s="3350"/>
      <c r="AR77" s="3350"/>
      <c r="AS77" s="3350"/>
      <c r="AT77" s="3350"/>
      <c r="AU77" s="3350"/>
      <c r="AV77" s="1443"/>
      <c r="AW77" s="1443"/>
      <c r="AX77" s="3742"/>
      <c r="AY77" s="5016"/>
      <c r="AZ77" s="5016"/>
      <c r="BA77" s="5016"/>
      <c r="BB77" s="5016"/>
      <c r="BC77" s="5016"/>
      <c r="BD77" s="5016"/>
      <c r="BE77" s="5016"/>
      <c r="BF77" s="5016"/>
      <c r="BG77" s="5016"/>
      <c r="BH77" s="5016"/>
    </row>
    <row r="78" spans="1:60" ht="16.5" customHeight="1">
      <c r="A78" s="5094" t="b">
        <f>SUM(A75:A77)&gt;0</f>
        <v>0</v>
      </c>
      <c r="B78" s="6794">
        <v>8</v>
      </c>
      <c r="C78" s="6794"/>
      <c r="D78" s="3404" t="s">
        <v>3512</v>
      </c>
      <c r="E78" s="1937"/>
      <c r="F78" s="1937"/>
      <c r="G78" s="1937"/>
      <c r="H78" s="1937"/>
      <c r="I78" s="1937"/>
      <c r="J78" s="1937"/>
      <c r="K78" s="1937"/>
      <c r="L78" s="1937"/>
      <c r="M78" s="1937"/>
      <c r="N78" s="1937"/>
      <c r="O78" s="1937"/>
      <c r="P78" s="1937"/>
      <c r="Q78" s="1937"/>
      <c r="R78" s="1937"/>
      <c r="S78" s="1937"/>
      <c r="T78" s="1937"/>
      <c r="U78" s="1937"/>
      <c r="V78" s="1937"/>
      <c r="W78" s="1937"/>
      <c r="X78" s="1937"/>
      <c r="Y78" s="1937"/>
      <c r="Z78" s="1937"/>
      <c r="AA78" s="1937"/>
      <c r="AB78" s="1937"/>
      <c r="AC78" s="1937"/>
      <c r="AD78" s="1937"/>
      <c r="AE78" s="1937"/>
      <c r="AF78" s="1937"/>
      <c r="AG78" s="1937"/>
      <c r="AH78" s="1937"/>
      <c r="AI78" s="1937"/>
      <c r="AJ78" s="4850" t="s">
        <v>3239</v>
      </c>
      <c r="AK78" s="6795">
        <v>8</v>
      </c>
      <c r="AL78" s="6796"/>
      <c r="AM78" s="6907">
        <f>IF(AQ78&lt;&gt;"",ROUND(AQ78,0),ROUND(SUM(AM75:AM77),0))</f>
        <v>0</v>
      </c>
      <c r="AN78" s="6908"/>
      <c r="AO78" s="6908"/>
      <c r="AP78" s="3350"/>
      <c r="AQ78" s="6767"/>
      <c r="AR78" s="6768"/>
      <c r="AS78" s="6768"/>
      <c r="AT78" s="6768"/>
      <c r="AU78" s="3350"/>
      <c r="AV78" s="1443"/>
      <c r="AW78" s="1443"/>
      <c r="AX78" s="3742"/>
      <c r="AY78" s="5016"/>
      <c r="AZ78" s="5016"/>
      <c r="BA78" s="5016"/>
      <c r="BB78" s="5016"/>
      <c r="BC78" s="5016"/>
      <c r="BD78" s="5016"/>
      <c r="BE78" s="5016"/>
      <c r="BF78" s="5016"/>
      <c r="BG78" s="5016"/>
      <c r="BH78" s="5016"/>
    </row>
    <row r="79" spans="1:60" ht="18">
      <c r="A79" s="5088"/>
      <c r="B79" s="3287" t="s">
        <v>2785</v>
      </c>
      <c r="C79" s="3285"/>
      <c r="D79" s="1443"/>
      <c r="E79" s="1443"/>
      <c r="F79" s="1443"/>
      <c r="G79" s="1443"/>
      <c r="H79" s="1443"/>
      <c r="I79" s="1443"/>
      <c r="J79" s="1443"/>
      <c r="K79" s="1443"/>
      <c r="L79" s="1443"/>
      <c r="M79" s="1443"/>
      <c r="N79" s="1443"/>
      <c r="O79" s="1443"/>
      <c r="P79" s="1443"/>
      <c r="Q79" s="1443"/>
      <c r="R79" s="1443"/>
      <c r="S79" s="1443"/>
      <c r="T79" s="1443"/>
      <c r="U79" s="1443"/>
      <c r="V79" s="1443"/>
      <c r="W79" s="1443"/>
      <c r="X79" s="1607" t="s">
        <v>2784</v>
      </c>
      <c r="Y79" s="1443"/>
      <c r="Z79" s="1443"/>
      <c r="AA79" s="1443"/>
      <c r="AB79" s="1443"/>
      <c r="AC79" s="1443"/>
      <c r="AD79" s="1443"/>
      <c r="AE79" s="1443"/>
      <c r="AF79" s="1443"/>
      <c r="AG79" s="1443"/>
      <c r="AH79" s="1443"/>
      <c r="AI79" s="1443"/>
      <c r="AJ79" s="1443"/>
      <c r="AK79" s="2541"/>
      <c r="AL79" s="1443"/>
      <c r="AM79" s="2541"/>
      <c r="AN79" s="2541" t="s">
        <v>2783</v>
      </c>
      <c r="AO79" s="2379" t="str">
        <f>"("&amp;TaxYear&amp;")"</f>
        <v>(2018)</v>
      </c>
      <c r="AP79" s="3350"/>
      <c r="AQ79" s="3350"/>
      <c r="AR79" s="3350"/>
      <c r="AS79" s="3350"/>
      <c r="AT79" s="3350"/>
      <c r="AU79" s="3350"/>
      <c r="AV79" s="1443"/>
      <c r="AW79" s="1443"/>
      <c r="AX79" s="3742"/>
      <c r="AY79" s="5016"/>
      <c r="AZ79" s="5016"/>
      <c r="BA79" s="5016"/>
      <c r="BB79" s="5016"/>
      <c r="BC79" s="5016"/>
      <c r="BD79" s="5016"/>
      <c r="BE79" s="5016"/>
      <c r="BF79" s="5016"/>
      <c r="BG79" s="5016"/>
      <c r="BH79" s="5016"/>
    </row>
    <row r="80" spans="1:60" ht="6" customHeight="1">
      <c r="A80" s="5088"/>
      <c r="B80" s="1443"/>
      <c r="C80" s="1443"/>
      <c r="D80" s="1443"/>
      <c r="E80" s="1443"/>
      <c r="F80" s="1443"/>
      <c r="G80" s="1443"/>
      <c r="H80" s="1443"/>
      <c r="I80" s="1443"/>
      <c r="J80" s="1443"/>
      <c r="K80" s="1443"/>
      <c r="L80" s="1443"/>
      <c r="M80" s="1443"/>
      <c r="N80" s="1443"/>
      <c r="O80" s="1443"/>
      <c r="P80" s="1443"/>
      <c r="Q80" s="1443"/>
      <c r="R80" s="1443"/>
      <c r="S80" s="1443"/>
      <c r="T80" s="1617"/>
      <c r="U80" s="1443"/>
      <c r="V80" s="1443"/>
      <c r="W80" s="1443"/>
      <c r="X80" s="1443"/>
      <c r="Y80" s="1443"/>
      <c r="Z80" s="1443"/>
      <c r="AA80" s="1443"/>
      <c r="AB80" s="1443"/>
      <c r="AC80" s="1443"/>
      <c r="AD80" s="1443"/>
      <c r="AE80" s="1443"/>
      <c r="AF80" s="1443"/>
      <c r="AG80" s="1443"/>
      <c r="AH80" s="1443"/>
      <c r="AI80" s="1443"/>
      <c r="AJ80" s="1443"/>
      <c r="AK80" s="1443"/>
      <c r="AL80" s="1443"/>
      <c r="AM80" s="1443"/>
      <c r="AN80" s="1443"/>
      <c r="AO80" s="1443"/>
      <c r="AP80" s="3350"/>
      <c r="AQ80" s="1443"/>
      <c r="AR80" s="1443"/>
      <c r="AS80" s="1443"/>
      <c r="AT80" s="1443"/>
      <c r="AU80" s="1443"/>
      <c r="AV80" s="1443"/>
      <c r="AW80" s="1443"/>
      <c r="AX80" s="3742"/>
      <c r="AY80" s="5016"/>
      <c r="AZ80" s="5016"/>
      <c r="BA80" s="5016"/>
      <c r="BB80" s="5016"/>
      <c r="BC80" s="5016"/>
      <c r="BD80" s="5016"/>
      <c r="BE80" s="5016"/>
      <c r="BF80" s="5016"/>
      <c r="BG80" s="5016"/>
      <c r="BH80" s="5016"/>
    </row>
    <row r="81" spans="1:60" ht="18" customHeight="1" thickBot="1">
      <c r="A81" s="5088"/>
      <c r="B81" s="2381" t="str">
        <f>"Form 1116 ("&amp;TaxYear&amp;")"</f>
        <v>Form 1116 (2018)</v>
      </c>
      <c r="C81" s="1612"/>
      <c r="D81" s="1612"/>
      <c r="E81" s="1612"/>
      <c r="F81" s="1612"/>
      <c r="G81" s="1612"/>
      <c r="H81" s="1612"/>
      <c r="I81" s="1612"/>
      <c r="J81" s="1612"/>
      <c r="K81" s="1612"/>
      <c r="L81" s="1612"/>
      <c r="M81" s="1612"/>
      <c r="N81" s="1612"/>
      <c r="O81" s="1612"/>
      <c r="P81" s="1612"/>
      <c r="Q81" s="1612"/>
      <c r="R81" s="1612"/>
      <c r="S81" s="1612"/>
      <c r="T81" s="1612"/>
      <c r="U81" s="1612"/>
      <c r="V81" s="1612"/>
      <c r="W81" s="1612"/>
      <c r="X81" s="1612"/>
      <c r="Y81" s="1612"/>
      <c r="Z81" s="1612"/>
      <c r="AA81" s="1612"/>
      <c r="AB81" s="1612"/>
      <c r="AC81" s="1612"/>
      <c r="AD81" s="1612"/>
      <c r="AE81" s="1612"/>
      <c r="AF81" s="1612"/>
      <c r="AG81" s="1612"/>
      <c r="AH81" s="1612"/>
      <c r="AI81" s="1612"/>
      <c r="AJ81" s="1612"/>
      <c r="AK81" s="1612"/>
      <c r="AL81" s="1612"/>
      <c r="AM81" s="1612"/>
      <c r="AN81" s="1612"/>
      <c r="AO81" s="3332" t="s">
        <v>4551</v>
      </c>
      <c r="AP81" s="3350"/>
      <c r="AQ81" s="1443"/>
      <c r="AR81" s="1443"/>
      <c r="AS81" s="1443"/>
      <c r="AT81" s="1443"/>
      <c r="AU81" s="1443"/>
      <c r="AV81" s="1443"/>
      <c r="AW81" s="1443"/>
      <c r="AX81" s="3742"/>
      <c r="AY81" s="5016"/>
      <c r="AZ81" s="5016"/>
      <c r="BA81" s="5016"/>
      <c r="BB81" s="5016"/>
      <c r="BC81" s="5016"/>
      <c r="BD81" s="5016"/>
      <c r="BE81" s="5016"/>
      <c r="BF81" s="5016"/>
      <c r="BG81" s="5016"/>
      <c r="BH81" s="5016"/>
    </row>
    <row r="82" spans="1:60" s="3272" customFormat="1" ht="16.5" customHeight="1">
      <c r="A82" s="5090"/>
      <c r="B82" s="6885" t="s">
        <v>363</v>
      </c>
      <c r="C82" s="6885"/>
      <c r="D82" s="6886"/>
      <c r="E82" s="3273"/>
      <c r="F82" s="3372" t="s">
        <v>2795</v>
      </c>
      <c r="G82" s="3273"/>
      <c r="H82" s="3273"/>
      <c r="I82" s="3273"/>
      <c r="J82" s="3273"/>
      <c r="K82" s="3273"/>
      <c r="L82" s="3273"/>
      <c r="M82" s="3273"/>
      <c r="N82" s="3273"/>
      <c r="O82" s="3273"/>
      <c r="P82" s="3273"/>
      <c r="Q82" s="3273"/>
      <c r="R82" s="3273"/>
      <c r="S82" s="3273"/>
      <c r="T82" s="3273"/>
      <c r="U82" s="3273"/>
      <c r="V82" s="3273"/>
      <c r="W82" s="3273"/>
      <c r="X82" s="3273"/>
      <c r="Y82" s="3273"/>
      <c r="Z82" s="3273"/>
      <c r="AA82" s="3273"/>
      <c r="AB82" s="3273"/>
      <c r="AC82" s="3273"/>
      <c r="AD82" s="3273"/>
      <c r="AE82" s="3273"/>
      <c r="AF82" s="3273"/>
      <c r="AG82" s="3273"/>
      <c r="AH82" s="3273"/>
      <c r="AI82" s="3273"/>
      <c r="AJ82" s="3273"/>
      <c r="AK82" s="3273"/>
      <c r="AL82" s="3273"/>
      <c r="AM82" s="3273"/>
      <c r="AN82" s="3273"/>
      <c r="AO82" s="3273"/>
      <c r="AP82" s="3350"/>
      <c r="AQ82" s="1922"/>
      <c r="AR82" s="1922"/>
      <c r="AS82" s="1922"/>
      <c r="AT82" s="1922"/>
      <c r="AU82" s="1922"/>
      <c r="AV82" s="1922"/>
      <c r="AW82" s="1922"/>
      <c r="AX82" s="3742"/>
      <c r="AY82" s="5016"/>
      <c r="AZ82" s="5016"/>
      <c r="BA82" s="5016"/>
      <c r="BB82" s="5016"/>
      <c r="BC82" s="5016"/>
      <c r="BD82" s="5016"/>
      <c r="BE82" s="5016"/>
      <c r="BF82" s="5016"/>
      <c r="BG82" s="5016"/>
      <c r="BH82" s="5016"/>
    </row>
    <row r="83" spans="1:60" ht="17.25" customHeight="1">
      <c r="A83" s="5088"/>
      <c r="B83" s="6887">
        <v>9</v>
      </c>
      <c r="C83" s="6887"/>
      <c r="D83" s="1443" t="s">
        <v>2796</v>
      </c>
      <c r="E83" s="1443"/>
      <c r="F83" s="3269"/>
      <c r="G83" s="1443"/>
      <c r="H83" s="1443"/>
      <c r="I83" s="1443"/>
      <c r="J83" s="1443"/>
      <c r="K83" s="1443"/>
      <c r="L83" s="1443"/>
      <c r="M83" s="1443"/>
      <c r="N83" s="1443"/>
      <c r="O83" s="1443"/>
      <c r="P83" s="1443"/>
      <c r="Q83" s="1443"/>
      <c r="R83" s="1443"/>
      <c r="S83" s="1443"/>
      <c r="T83" s="1443"/>
      <c r="U83" s="1443"/>
      <c r="V83" s="1443"/>
      <c r="W83" s="1443"/>
      <c r="X83" s="1443"/>
      <c r="Y83" s="1443"/>
      <c r="Z83" s="6789"/>
      <c r="AA83" s="6790"/>
      <c r="AB83" s="1964"/>
      <c r="AC83" s="1957"/>
      <c r="AD83" s="1957"/>
      <c r="AE83" s="1957"/>
      <c r="AF83" s="1957"/>
      <c r="AG83" s="1957"/>
      <c r="AH83" s="1957"/>
      <c r="AI83" s="1958"/>
      <c r="AJ83" s="6696"/>
      <c r="AK83" s="6697"/>
      <c r="AL83" s="1964"/>
      <c r="AM83" s="1957"/>
      <c r="AN83" s="1957"/>
      <c r="AO83" s="1957"/>
      <c r="AP83" s="3350"/>
      <c r="AQ83" s="1922"/>
      <c r="AR83" s="1922"/>
      <c r="AS83" s="1922"/>
      <c r="AT83" s="1922"/>
      <c r="AU83" s="1922"/>
      <c r="AV83" s="1443"/>
      <c r="AW83" s="1443"/>
      <c r="AX83" s="3742"/>
      <c r="AY83" s="5016"/>
      <c r="AZ83" s="5016"/>
      <c r="BA83" s="5016"/>
      <c r="BB83" s="5016"/>
      <c r="BC83" s="5016"/>
      <c r="BD83" s="5016"/>
      <c r="BE83" s="5016"/>
      <c r="BF83" s="5016"/>
      <c r="BG83" s="5016"/>
      <c r="BH83" s="5016"/>
    </row>
    <row r="84" spans="1:60" ht="14.25" customHeight="1">
      <c r="A84" s="5088"/>
      <c r="B84" s="1607"/>
      <c r="C84" s="1607"/>
      <c r="D84" s="1443" t="s">
        <v>2797</v>
      </c>
      <c r="E84" s="1443"/>
      <c r="F84" s="3269"/>
      <c r="G84" s="1443"/>
      <c r="H84" s="1443"/>
      <c r="I84" s="1443"/>
      <c r="J84" s="1443"/>
      <c r="K84" s="1443"/>
      <c r="L84" s="1443"/>
      <c r="M84" s="1443"/>
      <c r="N84" s="1443"/>
      <c r="O84" s="1443"/>
      <c r="P84" s="1443"/>
      <c r="Q84" s="1443"/>
      <c r="R84" s="1443"/>
      <c r="S84" s="1443"/>
      <c r="T84" s="1443"/>
      <c r="U84" s="1443"/>
      <c r="V84" s="1443"/>
      <c r="W84" s="1443"/>
      <c r="X84" s="1443"/>
      <c r="Y84" s="1943" t="s">
        <v>3235</v>
      </c>
      <c r="Z84" s="6691">
        <v>9</v>
      </c>
      <c r="AA84" s="6692"/>
      <c r="AB84" s="6785">
        <f>AM78</f>
        <v>0</v>
      </c>
      <c r="AC84" s="6786"/>
      <c r="AD84" s="6786"/>
      <c r="AE84" s="6786"/>
      <c r="AF84" s="6786"/>
      <c r="AG84" s="6786"/>
      <c r="AH84" s="6786"/>
      <c r="AI84" s="6787"/>
      <c r="AJ84" s="6696"/>
      <c r="AK84" s="6697"/>
      <c r="AL84" s="1965"/>
      <c r="AM84" s="1443"/>
      <c r="AN84" s="1443"/>
      <c r="AO84" s="1443"/>
      <c r="AP84" s="3350"/>
      <c r="AQ84" s="1922"/>
      <c r="AR84" s="1922"/>
      <c r="AS84" s="1922"/>
      <c r="AT84" s="1922"/>
      <c r="AU84" s="1922"/>
      <c r="AV84" s="1443"/>
      <c r="AW84" s="1443"/>
      <c r="AX84" s="3742"/>
      <c r="AY84" s="5016"/>
      <c r="AZ84" s="5016"/>
      <c r="BA84" s="5016"/>
      <c r="BB84" s="5016"/>
      <c r="BC84" s="5016"/>
      <c r="BD84" s="5016"/>
      <c r="BE84" s="5016"/>
      <c r="BF84" s="5016"/>
      <c r="BG84" s="5016"/>
      <c r="BH84" s="5016"/>
    </row>
    <row r="85" spans="1:60" ht="9.75" customHeight="1">
      <c r="A85" s="5088"/>
      <c r="B85" s="6884"/>
      <c r="C85" s="6884"/>
      <c r="D85" s="1443"/>
      <c r="E85" s="1443"/>
      <c r="F85" s="3269"/>
      <c r="G85" s="1443"/>
      <c r="H85" s="1443"/>
      <c r="I85" s="1443"/>
      <c r="J85" s="1443"/>
      <c r="K85" s="1443"/>
      <c r="L85" s="1443"/>
      <c r="M85" s="1443"/>
      <c r="N85" s="1443"/>
      <c r="O85" s="1443"/>
      <c r="P85" s="1443"/>
      <c r="Q85" s="1443"/>
      <c r="R85" s="1443"/>
      <c r="S85" s="1443"/>
      <c r="T85" s="1443"/>
      <c r="U85" s="1443"/>
      <c r="V85" s="1443"/>
      <c r="W85" s="1443"/>
      <c r="X85" s="1443"/>
      <c r="Y85" s="1443"/>
      <c r="Z85" s="6789"/>
      <c r="AA85" s="6790"/>
      <c r="AB85" s="1964"/>
      <c r="AC85" s="1957"/>
      <c r="AD85" s="1957"/>
      <c r="AE85" s="1957"/>
      <c r="AF85" s="1957"/>
      <c r="AG85" s="1957"/>
      <c r="AH85" s="1957"/>
      <c r="AI85" s="1958"/>
      <c r="AJ85" s="6696"/>
      <c r="AK85" s="6697"/>
      <c r="AL85" s="1965"/>
      <c r="AM85" s="1443"/>
      <c r="AN85" s="1443"/>
      <c r="AO85" s="1443"/>
      <c r="AP85" s="3350"/>
      <c r="AQ85" s="1922"/>
      <c r="AR85" s="1922"/>
      <c r="AS85" s="1922"/>
      <c r="AT85" s="1922"/>
      <c r="AU85" s="1922"/>
      <c r="AV85" s="1443"/>
      <c r="AW85" s="1443"/>
      <c r="AX85" s="3742"/>
      <c r="AY85" s="5016"/>
      <c r="AZ85" s="5016"/>
      <c r="BA85" s="5016"/>
      <c r="BB85" s="5016"/>
      <c r="BC85" s="5016"/>
      <c r="BD85" s="5016"/>
      <c r="BE85" s="5016"/>
      <c r="BF85" s="5016"/>
      <c r="BG85" s="5016"/>
      <c r="BH85" s="5016"/>
    </row>
    <row r="86" spans="1:60" ht="13.5" customHeight="1" thickBot="1">
      <c r="A86" s="5088"/>
      <c r="B86" s="6884">
        <v>10</v>
      </c>
      <c r="C86" s="6884"/>
      <c r="D86" s="1607" t="s">
        <v>2820</v>
      </c>
      <c r="E86" s="1443"/>
      <c r="F86" s="3269"/>
      <c r="G86" s="1443"/>
      <c r="H86" s="1443"/>
      <c r="I86" s="1443"/>
      <c r="J86" s="1443"/>
      <c r="K86" s="1443"/>
      <c r="L86" s="1443"/>
      <c r="M86" s="1443"/>
      <c r="N86" s="1443"/>
      <c r="O86" s="1443"/>
      <c r="P86" s="1443"/>
      <c r="Q86" s="1443"/>
      <c r="R86" s="1443"/>
      <c r="S86" s="1443"/>
      <c r="T86" s="1443"/>
      <c r="U86" s="1443"/>
      <c r="V86" s="1443"/>
      <c r="W86" s="1443"/>
      <c r="X86" s="1443"/>
      <c r="Y86" s="1943" t="s">
        <v>3530</v>
      </c>
      <c r="Z86" s="6764">
        <v>10</v>
      </c>
      <c r="AA86" s="6772"/>
      <c r="AB86" s="6910"/>
      <c r="AC86" s="6911"/>
      <c r="AD86" s="6911"/>
      <c r="AE86" s="6911"/>
      <c r="AF86" s="6911"/>
      <c r="AG86" s="6911"/>
      <c r="AH86" s="6911"/>
      <c r="AI86" s="6912"/>
      <c r="AJ86" s="6696"/>
      <c r="AK86" s="6697"/>
      <c r="AL86" s="1965"/>
      <c r="AM86" s="1443"/>
      <c r="AN86" s="1443"/>
      <c r="AO86" s="1443"/>
      <c r="AP86" s="3350"/>
      <c r="AQ86" s="1443"/>
      <c r="AR86" s="1443"/>
      <c r="AS86" s="1443"/>
      <c r="AT86" s="1443"/>
      <c r="AU86" s="1443"/>
      <c r="AV86" s="1443"/>
      <c r="AW86" s="1443"/>
      <c r="AX86" s="3742"/>
      <c r="AY86" s="5016"/>
      <c r="AZ86" s="5016"/>
      <c r="BA86" s="5016"/>
      <c r="BB86" s="5016"/>
      <c r="BC86" s="5016"/>
      <c r="BD86" s="5016"/>
      <c r="BE86" s="5016"/>
      <c r="BF86" s="5016"/>
      <c r="BG86" s="5016"/>
      <c r="BH86" s="5016"/>
    </row>
    <row r="87" spans="1:60" ht="13.5" customHeight="1">
      <c r="A87" s="5088"/>
      <c r="B87" s="6884"/>
      <c r="C87" s="6884"/>
      <c r="D87" s="1607" t="s">
        <v>3513</v>
      </c>
      <c r="E87" s="1443"/>
      <c r="F87" s="3269"/>
      <c r="G87" s="1443"/>
      <c r="H87" s="1443"/>
      <c r="I87" s="1443"/>
      <c r="J87" s="1443"/>
      <c r="K87" s="1443"/>
      <c r="L87" s="1443"/>
      <c r="M87" s="1443"/>
      <c r="N87" s="1443"/>
      <c r="O87" s="1443"/>
      <c r="P87" s="1443"/>
      <c r="Q87" s="1443"/>
      <c r="R87" s="1443"/>
      <c r="S87" s="1443"/>
      <c r="T87" s="1443"/>
      <c r="U87" s="1443"/>
      <c r="V87" s="1443"/>
      <c r="W87" s="1443"/>
      <c r="X87" s="1443"/>
      <c r="Y87" s="1443"/>
      <c r="Z87" s="6896"/>
      <c r="AA87" s="6897"/>
      <c r="AB87" s="1935"/>
      <c r="AC87" s="1605"/>
      <c r="AD87" s="1605"/>
      <c r="AE87" s="1605"/>
      <c r="AF87" s="1605"/>
      <c r="AG87" s="1605"/>
      <c r="AH87" s="1605"/>
      <c r="AI87" s="4209"/>
      <c r="AJ87" s="6696"/>
      <c r="AK87" s="6697"/>
      <c r="AL87" s="1965"/>
      <c r="AM87" s="1443"/>
      <c r="AN87" s="1443"/>
      <c r="AO87" s="1443"/>
      <c r="AP87" s="3350"/>
      <c r="AQ87" s="1443"/>
      <c r="AR87" s="1443"/>
      <c r="AS87" s="1443"/>
      <c r="AT87" s="1443"/>
      <c r="AU87" s="1443"/>
      <c r="AV87" s="1443"/>
      <c r="AW87" s="1443"/>
      <c r="AX87" s="3742"/>
      <c r="AY87" s="5016"/>
      <c r="AZ87" s="5016"/>
      <c r="BA87" s="5016"/>
      <c r="BB87" s="5016"/>
      <c r="BC87" s="5016"/>
      <c r="BD87" s="5016"/>
      <c r="BE87" s="5016"/>
      <c r="BF87" s="5016"/>
      <c r="BG87" s="5016"/>
      <c r="BH87" s="5016"/>
    </row>
    <row r="88" spans="1:60" ht="13.5" customHeight="1">
      <c r="A88" s="5088"/>
      <c r="B88" s="6884"/>
      <c r="C88" s="6884"/>
      <c r="D88" s="1607" t="s">
        <v>3514</v>
      </c>
      <c r="E88" s="1443"/>
      <c r="F88" s="3269"/>
      <c r="G88" s="1443"/>
      <c r="H88" s="1443"/>
      <c r="I88" s="1443"/>
      <c r="J88" s="1443"/>
      <c r="K88" s="1443"/>
      <c r="L88" s="1443"/>
      <c r="M88" s="1443"/>
      <c r="N88" s="1443"/>
      <c r="O88" s="1443"/>
      <c r="P88" s="1443"/>
      <c r="Q88" s="1443"/>
      <c r="R88" s="1443"/>
      <c r="S88" s="1443"/>
      <c r="T88" s="1443"/>
      <c r="U88" s="1443"/>
      <c r="V88" s="1443"/>
      <c r="W88" s="1443"/>
      <c r="X88" s="1443"/>
      <c r="Y88" s="1443"/>
      <c r="Z88" s="6764"/>
      <c r="AA88" s="6772"/>
      <c r="AB88" s="1965"/>
      <c r="AC88" s="1443"/>
      <c r="AD88" s="1443"/>
      <c r="AE88" s="1443"/>
      <c r="AF88" s="1443"/>
      <c r="AG88" s="1443"/>
      <c r="AH88" s="1443"/>
      <c r="AI88" s="1966"/>
      <c r="AJ88" s="6696"/>
      <c r="AK88" s="6697"/>
      <c r="AL88" s="1965"/>
      <c r="AM88" s="1443"/>
      <c r="AN88" s="1443"/>
      <c r="AO88" s="1443"/>
      <c r="AP88" s="3350"/>
      <c r="AQ88" s="1443"/>
      <c r="AR88" s="1443"/>
      <c r="AS88" s="1443"/>
      <c r="AT88" s="1443"/>
      <c r="AU88" s="1443"/>
      <c r="AV88" s="1443"/>
      <c r="AW88" s="1443"/>
      <c r="AX88" s="3742"/>
      <c r="AY88" s="5016"/>
      <c r="AZ88" s="5016"/>
      <c r="BA88" s="5016"/>
      <c r="BB88" s="5016"/>
      <c r="BC88" s="5016"/>
      <c r="BD88" s="5016"/>
      <c r="BE88" s="5016"/>
      <c r="BF88" s="5016"/>
      <c r="BG88" s="5016"/>
      <c r="BH88" s="5016"/>
    </row>
    <row r="89" spans="1:60" ht="13.5" customHeight="1">
      <c r="A89" s="5088"/>
      <c r="B89" s="6884">
        <v>11</v>
      </c>
      <c r="C89" s="6884"/>
      <c r="D89" s="1443" t="s">
        <v>2394</v>
      </c>
      <c r="E89" s="1443"/>
      <c r="F89" s="3269"/>
      <c r="G89" s="1443"/>
      <c r="H89" s="1443"/>
      <c r="I89" s="1443"/>
      <c r="J89" s="1443"/>
      <c r="K89" s="1443"/>
      <c r="L89" s="1443"/>
      <c r="M89" s="1443"/>
      <c r="N89" s="1443"/>
      <c r="O89" s="1443"/>
      <c r="P89" s="1443"/>
      <c r="Q89" s="1443"/>
      <c r="R89" s="1443"/>
      <c r="S89" s="1443"/>
      <c r="T89" s="1443"/>
      <c r="U89" s="1443"/>
      <c r="V89" s="1443"/>
      <c r="W89" s="1443"/>
      <c r="X89" s="1443"/>
      <c r="Y89" s="1943" t="s">
        <v>4281</v>
      </c>
      <c r="Z89" s="6691">
        <v>11</v>
      </c>
      <c r="AA89" s="6692"/>
      <c r="AB89" s="6785">
        <f>ROUND(SUM(AB84,AB86),0)</f>
        <v>0</v>
      </c>
      <c r="AC89" s="6786"/>
      <c r="AD89" s="6786"/>
      <c r="AE89" s="6786"/>
      <c r="AF89" s="6786"/>
      <c r="AG89" s="6786"/>
      <c r="AH89" s="6786"/>
      <c r="AI89" s="6787"/>
      <c r="AJ89" s="6696"/>
      <c r="AK89" s="6697"/>
      <c r="AL89" s="1965"/>
      <c r="AM89" s="1443"/>
      <c r="AN89" s="1443"/>
      <c r="AO89" s="1443"/>
      <c r="AP89" s="3350"/>
      <c r="AQ89" s="1443"/>
      <c r="AR89" s="1443"/>
      <c r="AS89" s="1443"/>
      <c r="AT89" s="1443"/>
      <c r="AU89" s="1443"/>
      <c r="AV89" s="1443"/>
      <c r="AW89" s="1443"/>
      <c r="AX89" s="3742"/>
      <c r="AY89" s="5016"/>
      <c r="AZ89" s="5016"/>
      <c r="BA89" s="5016"/>
      <c r="BB89" s="5016"/>
      <c r="BC89" s="5016"/>
      <c r="BD89" s="5016"/>
      <c r="BE89" s="5016"/>
      <c r="BF89" s="5016"/>
      <c r="BG89" s="5016"/>
      <c r="BH89" s="5016"/>
    </row>
    <row r="90" spans="1:60" ht="13.5" customHeight="1">
      <c r="A90" s="5088"/>
      <c r="B90" s="6884"/>
      <c r="C90" s="6884"/>
      <c r="D90" s="1443"/>
      <c r="E90" s="1443"/>
      <c r="F90" s="3269"/>
      <c r="G90" s="1443"/>
      <c r="H90" s="1443"/>
      <c r="I90" s="1443"/>
      <c r="J90" s="1443"/>
      <c r="K90" s="1443"/>
      <c r="L90" s="1443"/>
      <c r="M90" s="1443"/>
      <c r="N90" s="1443"/>
      <c r="O90" s="1443"/>
      <c r="P90" s="1443"/>
      <c r="Q90" s="1443"/>
      <c r="R90" s="1443"/>
      <c r="S90" s="1443"/>
      <c r="T90" s="1443"/>
      <c r="U90" s="1443"/>
      <c r="V90" s="1443"/>
      <c r="W90" s="1443"/>
      <c r="X90" s="1443"/>
      <c r="Y90" s="1443"/>
      <c r="Z90" s="6789"/>
      <c r="AA90" s="6790"/>
      <c r="AB90" s="1964"/>
      <c r="AC90" s="1957"/>
      <c r="AD90" s="1957"/>
      <c r="AE90" s="1957"/>
      <c r="AF90" s="1957"/>
      <c r="AG90" s="1957"/>
      <c r="AH90" s="1957"/>
      <c r="AI90" s="1958"/>
      <c r="AJ90" s="6696"/>
      <c r="AK90" s="6697"/>
      <c r="AL90" s="6688" t="str">
        <f>IF(AB91&gt;0,"Line 12 cannot be","")</f>
        <v/>
      </c>
      <c r="AM90" s="6689"/>
      <c r="AN90" s="6689"/>
      <c r="AO90" s="6689"/>
      <c r="AP90" s="3350"/>
      <c r="AQ90" s="1443"/>
      <c r="AR90" s="1443"/>
      <c r="AS90" s="1443"/>
      <c r="AT90" s="1443"/>
      <c r="AU90" s="1443"/>
      <c r="AV90" s="1443"/>
      <c r="AW90" s="1443"/>
      <c r="AX90" s="3742"/>
      <c r="AY90" s="5016"/>
      <c r="AZ90" s="5016"/>
      <c r="BA90" s="5016"/>
      <c r="BB90" s="5016"/>
      <c r="BC90" s="5016"/>
      <c r="BD90" s="5016"/>
      <c r="BE90" s="5016"/>
      <c r="BF90" s="5016"/>
      <c r="BG90" s="5016"/>
      <c r="BH90" s="5016"/>
    </row>
    <row r="91" spans="1:60" ht="13.5" customHeight="1">
      <c r="A91" s="5088"/>
      <c r="B91" s="6884">
        <v>12</v>
      </c>
      <c r="C91" s="6884"/>
      <c r="D91" s="1607" t="s">
        <v>2798</v>
      </c>
      <c r="E91" s="1443"/>
      <c r="F91" s="3269"/>
      <c r="G91" s="1443"/>
      <c r="H91" s="1443"/>
      <c r="I91" s="1443"/>
      <c r="J91" s="1443"/>
      <c r="K91" s="1443"/>
      <c r="L91" s="1443"/>
      <c r="M91" s="1443"/>
      <c r="N91" s="1443"/>
      <c r="O91" s="1443"/>
      <c r="P91" s="1443"/>
      <c r="Q91" s="1443"/>
      <c r="R91" s="1443"/>
      <c r="S91" s="1443"/>
      <c r="T91" s="1443"/>
      <c r="U91" s="1443"/>
      <c r="V91" s="1443"/>
      <c r="W91" s="1443"/>
      <c r="X91" s="1443"/>
      <c r="Y91" s="1943" t="s">
        <v>3200</v>
      </c>
      <c r="Z91" s="6691">
        <v>12</v>
      </c>
      <c r="AA91" s="6692"/>
      <c r="AB91" s="6909"/>
      <c r="AC91" s="6694"/>
      <c r="AD91" s="6694"/>
      <c r="AE91" s="6694"/>
      <c r="AF91" s="6694"/>
      <c r="AG91" s="6694"/>
      <c r="AH91" s="6694"/>
      <c r="AI91" s="6695"/>
      <c r="AJ91" s="6696"/>
      <c r="AK91" s="6697"/>
      <c r="AL91" s="6688" t="str">
        <f>IF(AB91&gt;0,"a positive number.","")</f>
        <v/>
      </c>
      <c r="AM91" s="6689"/>
      <c r="AN91" s="6689"/>
      <c r="AO91" s="6689"/>
      <c r="AP91" s="3350"/>
      <c r="AQ91" s="1443"/>
      <c r="AR91" s="1443"/>
      <c r="AS91" s="1443"/>
      <c r="AT91" s="1443"/>
      <c r="AU91" s="1443"/>
      <c r="AV91" s="1443"/>
      <c r="AW91" s="1443"/>
      <c r="AX91" s="3742"/>
      <c r="AY91" s="5016"/>
      <c r="AZ91" s="5016"/>
      <c r="BA91" s="5016"/>
      <c r="BB91" s="5016"/>
      <c r="BC91" s="5016"/>
      <c r="BD91" s="5016"/>
      <c r="BE91" s="5016"/>
      <c r="BF91" s="5016"/>
      <c r="BG91" s="5016"/>
      <c r="BH91" s="5016"/>
    </row>
    <row r="92" spans="1:60" ht="13.5" customHeight="1">
      <c r="A92" s="5088"/>
      <c r="B92" s="6884"/>
      <c r="C92" s="6884"/>
      <c r="D92" s="1443"/>
      <c r="E92" s="1443"/>
      <c r="F92" s="3269"/>
      <c r="G92" s="1443"/>
      <c r="H92" s="1443"/>
      <c r="I92" s="1443"/>
      <c r="J92" s="1443"/>
      <c r="K92" s="1443"/>
      <c r="L92" s="1443"/>
      <c r="M92" s="1443"/>
      <c r="N92" s="1443"/>
      <c r="O92" s="1443"/>
      <c r="P92" s="1443"/>
      <c r="Q92" s="1443"/>
      <c r="R92" s="1443"/>
      <c r="S92" s="1443"/>
      <c r="T92" s="1443"/>
      <c r="U92" s="1443"/>
      <c r="V92" s="1443"/>
      <c r="W92" s="1443"/>
      <c r="X92" s="1443"/>
      <c r="Y92" s="1443"/>
      <c r="Z92" s="6789"/>
      <c r="AA92" s="6790"/>
      <c r="AB92" s="1964"/>
      <c r="AC92" s="1957"/>
      <c r="AD92" s="1957"/>
      <c r="AE92" s="1957"/>
      <c r="AF92" s="1957"/>
      <c r="AG92" s="1957"/>
      <c r="AH92" s="1957"/>
      <c r="AI92" s="1958"/>
      <c r="AJ92" s="6696"/>
      <c r="AK92" s="6697"/>
      <c r="AL92" s="1965"/>
      <c r="AM92" s="1443"/>
      <c r="AN92" s="1443"/>
      <c r="AO92" s="1443"/>
      <c r="AP92" s="3350"/>
      <c r="AQ92" s="1443"/>
      <c r="AR92" s="1443"/>
      <c r="AS92" s="1443"/>
      <c r="AT92" s="1443"/>
      <c r="AU92" s="1443"/>
      <c r="AV92" s="1443"/>
      <c r="AW92" s="1443"/>
      <c r="AX92" s="3742"/>
      <c r="AY92" s="5016"/>
      <c r="AZ92" s="5016"/>
      <c r="BA92" s="5016"/>
      <c r="BB92" s="5016"/>
      <c r="BC92" s="5016"/>
      <c r="BD92" s="5016"/>
      <c r="BE92" s="5016"/>
      <c r="BF92" s="5016"/>
      <c r="BG92" s="5016"/>
      <c r="BH92" s="5016"/>
    </row>
    <row r="93" spans="1:60" ht="13.5" customHeight="1">
      <c r="A93" s="5088"/>
      <c r="B93" s="6884">
        <v>13</v>
      </c>
      <c r="C93" s="6884"/>
      <c r="D93" s="1607" t="s">
        <v>2799</v>
      </c>
      <c r="E93" s="1443"/>
      <c r="F93" s="3269"/>
      <c r="G93" s="1443"/>
      <c r="H93" s="1443"/>
      <c r="I93" s="1443"/>
      <c r="J93" s="1443"/>
      <c r="K93" s="1443"/>
      <c r="L93" s="1443"/>
      <c r="M93" s="1443"/>
      <c r="N93" s="1443"/>
      <c r="O93" s="1443"/>
      <c r="P93" s="1443"/>
      <c r="Q93" s="1443"/>
      <c r="R93" s="1443"/>
      <c r="S93" s="1443"/>
      <c r="T93" s="1443"/>
      <c r="U93" s="1443"/>
      <c r="V93" s="1443"/>
      <c r="W93" s="1443"/>
      <c r="X93" s="1443"/>
      <c r="Y93" s="1943" t="s">
        <v>3235</v>
      </c>
      <c r="Z93" s="6691">
        <v>13</v>
      </c>
      <c r="AA93" s="6692"/>
      <c r="AB93" s="6693"/>
      <c r="AC93" s="6694"/>
      <c r="AD93" s="6694"/>
      <c r="AE93" s="6694"/>
      <c r="AF93" s="6694"/>
      <c r="AG93" s="6694"/>
      <c r="AH93" s="6694"/>
      <c r="AI93" s="6695"/>
      <c r="AJ93" s="6696"/>
      <c r="AK93" s="6697"/>
      <c r="AL93" s="1965"/>
      <c r="AM93" s="1443"/>
      <c r="AN93" s="1443"/>
      <c r="AO93" s="1443"/>
      <c r="AP93" s="3350"/>
      <c r="AQ93" s="1443"/>
      <c r="AR93" s="1443"/>
      <c r="AS93" s="1443"/>
      <c r="AT93" s="1443"/>
      <c r="AU93" s="1443"/>
      <c r="AV93" s="1443"/>
      <c r="AW93" s="1443"/>
      <c r="AX93" s="3742"/>
      <c r="AY93" s="5016"/>
      <c r="AZ93" s="5016"/>
      <c r="BA93" s="5016"/>
      <c r="BB93" s="5016"/>
      <c r="BC93" s="5016"/>
      <c r="BD93" s="5016"/>
      <c r="BE93" s="5016"/>
      <c r="BF93" s="5016"/>
      <c r="BG93" s="5016"/>
      <c r="BH93" s="5016"/>
    </row>
    <row r="94" spans="1:60" ht="13.5" customHeight="1">
      <c r="A94" s="5088"/>
      <c r="B94" s="6884"/>
      <c r="C94" s="6884"/>
      <c r="D94" s="1443"/>
      <c r="E94" s="1443"/>
      <c r="F94" s="3269"/>
      <c r="G94" s="1443"/>
      <c r="H94" s="1443"/>
      <c r="I94" s="1443"/>
      <c r="J94" s="1443"/>
      <c r="K94" s="1443"/>
      <c r="L94" s="1443"/>
      <c r="M94" s="1443"/>
      <c r="N94" s="1443"/>
      <c r="O94" s="1443"/>
      <c r="P94" s="1443"/>
      <c r="Q94" s="1443"/>
      <c r="R94" s="1443"/>
      <c r="S94" s="1443"/>
      <c r="T94" s="1443"/>
      <c r="U94" s="1443"/>
      <c r="V94" s="1443"/>
      <c r="W94" s="1443"/>
      <c r="X94" s="1443"/>
      <c r="Y94" s="1443"/>
      <c r="Z94" s="1443"/>
      <c r="AA94" s="1443"/>
      <c r="AB94" s="1443"/>
      <c r="AC94" s="1443"/>
      <c r="AD94" s="1443"/>
      <c r="AE94" s="1443"/>
      <c r="AF94" s="1443"/>
      <c r="AG94" s="1443"/>
      <c r="AH94" s="1443"/>
      <c r="AI94" s="1443"/>
      <c r="AJ94" s="1964"/>
      <c r="AK94" s="1958"/>
      <c r="AL94" s="1964"/>
      <c r="AM94" s="1957"/>
      <c r="AN94" s="1957"/>
      <c r="AO94" s="1957"/>
      <c r="AP94" s="3350"/>
      <c r="AQ94" s="1443"/>
      <c r="AR94" s="1443"/>
      <c r="AS94" s="1443"/>
      <c r="AT94" s="1443"/>
      <c r="AU94" s="1443"/>
      <c r="AV94" s="1443"/>
      <c r="AW94" s="1443"/>
      <c r="AX94" s="3742"/>
      <c r="AY94" s="5016"/>
      <c r="AZ94" s="5016"/>
      <c r="BA94" s="5016"/>
      <c r="BB94" s="5016"/>
      <c r="BC94" s="5016"/>
      <c r="BD94" s="5016"/>
      <c r="BE94" s="5016"/>
      <c r="BF94" s="5016"/>
      <c r="BG94" s="5016"/>
      <c r="BH94" s="5016"/>
    </row>
    <row r="95" spans="1:60" ht="13.5" customHeight="1">
      <c r="A95" s="5088"/>
      <c r="B95" s="6884">
        <v>14</v>
      </c>
      <c r="C95" s="6884"/>
      <c r="D95" s="1607" t="s">
        <v>2800</v>
      </c>
      <c r="E95" s="1443"/>
      <c r="F95" s="3269"/>
      <c r="G95" s="1443"/>
      <c r="H95" s="1443"/>
      <c r="I95" s="1443"/>
      <c r="J95" s="1443"/>
      <c r="K95" s="1443"/>
      <c r="L95" s="1443"/>
      <c r="M95" s="1443"/>
      <c r="N95" s="1443"/>
      <c r="O95" s="1443"/>
      <c r="P95" s="1443"/>
      <c r="Q95" s="1443"/>
      <c r="R95" s="1443"/>
      <c r="S95" s="1443"/>
      <c r="T95" s="1443"/>
      <c r="U95" s="1443"/>
      <c r="V95" s="1443"/>
      <c r="W95" s="1443"/>
      <c r="X95" s="1443"/>
      <c r="Y95" s="1443"/>
      <c r="Z95" s="1443"/>
      <c r="AA95" s="1443"/>
      <c r="AB95" s="1443"/>
      <c r="AC95" s="1443"/>
      <c r="AD95" s="1443"/>
      <c r="AE95" s="1443"/>
      <c r="AF95" s="1443"/>
      <c r="AG95" s="1443"/>
      <c r="AH95" s="1443"/>
      <c r="AI95" s="1943" t="s">
        <v>605</v>
      </c>
      <c r="AJ95" s="6691">
        <v>14</v>
      </c>
      <c r="AK95" s="6692"/>
      <c r="AL95" s="6739">
        <f>SUM(AB89,AB91,AB93)</f>
        <v>0</v>
      </c>
      <c r="AM95" s="5861"/>
      <c r="AN95" s="5861"/>
      <c r="AO95" s="5861"/>
      <c r="AP95" s="3350"/>
      <c r="AQ95" s="1443"/>
      <c r="AR95" s="1443"/>
      <c r="AS95" s="1443"/>
      <c r="AT95" s="1443"/>
      <c r="AU95" s="1443"/>
      <c r="AV95" s="1443"/>
      <c r="AW95" s="1443"/>
      <c r="AX95" s="3742"/>
      <c r="AY95" s="5016"/>
      <c r="AZ95" s="5016"/>
      <c r="BA95" s="5016"/>
      <c r="BB95" s="5016"/>
      <c r="BC95" s="5016"/>
      <c r="BD95" s="5016"/>
      <c r="BE95" s="5016"/>
      <c r="BF95" s="5016"/>
      <c r="BG95" s="5016"/>
      <c r="BH95" s="5016"/>
    </row>
    <row r="96" spans="1:60" ht="18" customHeight="1">
      <c r="A96" s="5088"/>
      <c r="B96" s="6884">
        <v>15</v>
      </c>
      <c r="C96" s="6884"/>
      <c r="D96" s="1443" t="s">
        <v>2801</v>
      </c>
      <c r="E96" s="1443"/>
      <c r="F96" s="3269"/>
      <c r="G96" s="1443"/>
      <c r="H96" s="1443"/>
      <c r="I96" s="1443"/>
      <c r="J96" s="1443"/>
      <c r="K96" s="1443"/>
      <c r="L96" s="1443"/>
      <c r="M96" s="1443"/>
      <c r="N96" s="1443"/>
      <c r="O96" s="1443"/>
      <c r="P96" s="1443"/>
      <c r="Q96" s="1443"/>
      <c r="R96" s="1443"/>
      <c r="S96" s="1443"/>
      <c r="T96" s="1443"/>
      <c r="U96" s="1443"/>
      <c r="V96" s="1443"/>
      <c r="W96" s="1443"/>
      <c r="X96" s="1443"/>
      <c r="Y96" s="1443"/>
      <c r="Z96" s="6764"/>
      <c r="AA96" s="6772"/>
      <c r="AB96" s="1965"/>
      <c r="AC96" s="1443"/>
      <c r="AD96" s="1443"/>
      <c r="AE96" s="1443"/>
      <c r="AF96" s="1443"/>
      <c r="AG96" s="1443"/>
      <c r="AH96" s="1443"/>
      <c r="AI96" s="1966"/>
      <c r="AJ96" s="6696"/>
      <c r="AK96" s="6697"/>
      <c r="AL96" s="1965"/>
      <c r="AM96" s="1443"/>
      <c r="AN96" s="1443"/>
      <c r="AO96" s="1443"/>
      <c r="AP96" s="3350"/>
      <c r="AQ96" s="1443"/>
      <c r="AR96" s="1443"/>
      <c r="AS96" s="1443"/>
      <c r="AT96" s="1443"/>
      <c r="AU96" s="1443"/>
      <c r="AV96" s="1443"/>
      <c r="AW96" s="1443"/>
      <c r="AX96" s="3742"/>
      <c r="AY96" s="5016"/>
      <c r="AZ96" s="5016"/>
      <c r="BA96" s="5016"/>
      <c r="BB96" s="5016"/>
      <c r="BC96" s="5016"/>
      <c r="BD96" s="5016"/>
      <c r="BE96" s="5016"/>
      <c r="BF96" s="5016"/>
      <c r="BG96" s="5016"/>
      <c r="BH96" s="5016"/>
    </row>
    <row r="97" spans="1:60" ht="13.5" customHeight="1">
      <c r="A97" s="5088"/>
      <c r="B97" s="6884"/>
      <c r="C97" s="6884"/>
      <c r="D97" s="1443" t="s">
        <v>2802</v>
      </c>
      <c r="E97" s="1443"/>
      <c r="F97" s="3269"/>
      <c r="G97" s="1443"/>
      <c r="H97" s="1443"/>
      <c r="I97" s="1443"/>
      <c r="J97" s="1443"/>
      <c r="K97" s="1443"/>
      <c r="L97" s="1443"/>
      <c r="M97" s="1443"/>
      <c r="N97" s="1443"/>
      <c r="O97" s="1443"/>
      <c r="P97" s="1443"/>
      <c r="Q97" s="1443"/>
      <c r="R97" s="1443"/>
      <c r="S97" s="1443"/>
      <c r="T97" s="1443"/>
      <c r="U97" s="1443"/>
      <c r="V97" s="1443"/>
      <c r="W97" s="1443"/>
      <c r="X97" s="1443"/>
      <c r="Y97" s="1443"/>
      <c r="Z97" s="6764"/>
      <c r="AA97" s="6772"/>
      <c r="AB97" s="1965"/>
      <c r="AC97" s="1443"/>
      <c r="AD97" s="1443"/>
      <c r="AE97" s="1443"/>
      <c r="AF97" s="1443"/>
      <c r="AG97" s="1443"/>
      <c r="AH97" s="1443"/>
      <c r="AI97" s="1966"/>
      <c r="AJ97" s="6696"/>
      <c r="AK97" s="6697"/>
      <c r="AL97" s="1965"/>
      <c r="AM97" s="1443"/>
      <c r="AN97" s="1443"/>
      <c r="AO97" s="1443"/>
      <c r="AP97" s="3350"/>
      <c r="AQ97" s="1443"/>
      <c r="AR97" s="1443"/>
      <c r="AS97" s="1443"/>
      <c r="AT97" s="1443"/>
      <c r="AU97" s="1443"/>
      <c r="AV97" s="1443"/>
      <c r="AW97" s="1443"/>
      <c r="AX97" s="3742"/>
      <c r="AY97" s="5016"/>
      <c r="AZ97" s="5016"/>
      <c r="BA97" s="5016"/>
      <c r="BB97" s="5016"/>
      <c r="BC97" s="5016"/>
      <c r="BD97" s="5016"/>
      <c r="BE97" s="5016"/>
      <c r="BF97" s="5016"/>
      <c r="BG97" s="5016"/>
      <c r="BH97" s="5016"/>
    </row>
    <row r="98" spans="1:60" ht="13.5" customHeight="1">
      <c r="A98" s="5088"/>
      <c r="B98" s="3563"/>
      <c r="C98" s="3563"/>
      <c r="D98" s="1608" t="s">
        <v>2803</v>
      </c>
      <c r="E98" s="1443"/>
      <c r="F98" s="1443"/>
      <c r="G98" s="1443"/>
      <c r="H98" s="1443"/>
      <c r="I98" s="1443"/>
      <c r="J98" s="1443"/>
      <c r="K98" s="1443"/>
      <c r="L98" s="1443"/>
      <c r="M98" s="1443"/>
      <c r="N98" s="1443"/>
      <c r="O98" s="1443"/>
      <c r="P98" s="1443"/>
      <c r="Q98" s="1443"/>
      <c r="R98" s="1443"/>
      <c r="S98" s="1443"/>
      <c r="T98" s="1443"/>
      <c r="U98" s="1443"/>
      <c r="V98" s="1443"/>
      <c r="W98" s="1443"/>
      <c r="X98" s="1443"/>
      <c r="Y98" s="1943" t="s">
        <v>3239</v>
      </c>
      <c r="Z98" s="6691">
        <v>15</v>
      </c>
      <c r="AA98" s="6784"/>
      <c r="AB98" s="6785" t="str">
        <f>AL62</f>
        <v/>
      </c>
      <c r="AC98" s="6786"/>
      <c r="AD98" s="6786"/>
      <c r="AE98" s="6786"/>
      <c r="AF98" s="6786"/>
      <c r="AG98" s="6786"/>
      <c r="AH98" s="6786"/>
      <c r="AI98" s="6787"/>
      <c r="AJ98" s="6696"/>
      <c r="AK98" s="6697"/>
      <c r="AL98" s="1965"/>
      <c r="AM98" s="1443"/>
      <c r="AN98" s="1443"/>
      <c r="AO98" s="1443"/>
      <c r="AP98" s="3350"/>
      <c r="AQ98" s="1443"/>
      <c r="AR98" s="1443"/>
      <c r="AS98" s="1443"/>
      <c r="AT98" s="1443"/>
      <c r="AU98" s="1443"/>
      <c r="AV98" s="1443"/>
      <c r="AW98" s="1443"/>
      <c r="AX98" s="3742"/>
      <c r="AY98" s="5016"/>
      <c r="AZ98" s="5016"/>
      <c r="BA98" s="5016"/>
      <c r="BB98" s="5016"/>
      <c r="BC98" s="5016"/>
      <c r="BD98" s="5016"/>
      <c r="BE98" s="5016"/>
      <c r="BF98" s="5016"/>
      <c r="BG98" s="5016"/>
      <c r="BH98" s="5016"/>
    </row>
    <row r="99" spans="1:60" ht="13.5" customHeight="1">
      <c r="A99" s="5088"/>
      <c r="B99" s="6884">
        <v>16</v>
      </c>
      <c r="C99" s="6884"/>
      <c r="D99" s="2753" t="s">
        <v>2804</v>
      </c>
      <c r="E99" s="1804"/>
      <c r="F99" s="2292"/>
      <c r="G99" s="1443"/>
      <c r="H99" s="1443"/>
      <c r="I99" s="1443"/>
      <c r="J99" s="1443"/>
      <c r="K99" s="1443"/>
      <c r="L99" s="1443"/>
      <c r="M99" s="1443"/>
      <c r="N99" s="1443"/>
      <c r="O99" s="1443"/>
      <c r="P99" s="3366"/>
      <c r="Q99" s="1804"/>
      <c r="R99" s="2292"/>
      <c r="S99" s="1607"/>
      <c r="T99" s="1443"/>
      <c r="U99" s="1443"/>
      <c r="V99" s="1443"/>
      <c r="W99" s="1443"/>
      <c r="X99" s="1443"/>
      <c r="Y99" s="1943" t="s">
        <v>3200</v>
      </c>
      <c r="Z99" s="6788">
        <v>16</v>
      </c>
      <c r="AA99" s="6209"/>
      <c r="AB99" s="6693"/>
      <c r="AC99" s="6694"/>
      <c r="AD99" s="6694"/>
      <c r="AE99" s="6694"/>
      <c r="AF99" s="6694"/>
      <c r="AG99" s="6694"/>
      <c r="AH99" s="6694"/>
      <c r="AI99" s="6695"/>
      <c r="AJ99" s="6696"/>
      <c r="AK99" s="6697"/>
      <c r="AL99" s="1965"/>
      <c r="AM99" s="1443"/>
      <c r="AN99" s="1443"/>
      <c r="AO99" s="1443"/>
      <c r="AP99" s="3350"/>
      <c r="AQ99" s="1443"/>
      <c r="AR99" s="1443"/>
      <c r="AS99" s="1443"/>
      <c r="AT99" s="1443"/>
      <c r="AU99" s="1443"/>
      <c r="AV99" s="1443"/>
      <c r="AW99" s="1443"/>
      <c r="AX99" s="3742"/>
      <c r="AY99" s="5016"/>
      <c r="AZ99" s="5016"/>
      <c r="BA99" s="5016"/>
      <c r="BB99" s="5016"/>
      <c r="BC99" s="5016"/>
      <c r="BD99" s="5016"/>
      <c r="BE99" s="5016"/>
      <c r="BF99" s="5016"/>
      <c r="BG99" s="5016"/>
      <c r="BH99" s="5016"/>
    </row>
    <row r="100" spans="1:60" ht="18" customHeight="1">
      <c r="A100" s="5088"/>
      <c r="B100" s="6884">
        <v>17</v>
      </c>
      <c r="C100" s="6884"/>
      <c r="D100" s="1607" t="s">
        <v>2805</v>
      </c>
      <c r="E100" s="1443"/>
      <c r="F100" s="3269"/>
      <c r="G100" s="1443"/>
      <c r="H100" s="1443"/>
      <c r="I100" s="1443"/>
      <c r="J100" s="1443"/>
      <c r="K100" s="1443"/>
      <c r="L100" s="1443"/>
      <c r="M100" s="1443"/>
      <c r="N100" s="1443"/>
      <c r="O100" s="1443"/>
      <c r="P100" s="1443"/>
      <c r="Q100" s="1443"/>
      <c r="R100" s="1443"/>
      <c r="S100" s="1443"/>
      <c r="T100" s="1443"/>
      <c r="U100" s="1443"/>
      <c r="V100" s="1443"/>
      <c r="W100" s="1443"/>
      <c r="X100" s="1443"/>
      <c r="Y100" s="1443"/>
      <c r="Z100" s="6764"/>
      <c r="AA100" s="6772"/>
      <c r="AB100" s="1965"/>
      <c r="AC100" s="1443"/>
      <c r="AD100" s="1443"/>
      <c r="AE100" s="1443"/>
      <c r="AF100" s="1443"/>
      <c r="AG100" s="1443"/>
      <c r="AH100" s="1443"/>
      <c r="AI100" s="1966"/>
      <c r="AJ100" s="6696"/>
      <c r="AK100" s="6697"/>
      <c r="AL100" s="1965"/>
      <c r="AM100" s="1443"/>
      <c r="AN100" s="1443"/>
      <c r="AO100" s="1443"/>
      <c r="AP100" s="3350"/>
      <c r="AQ100" s="1443"/>
      <c r="AR100" s="1443"/>
      <c r="AS100" s="1443"/>
      <c r="AT100" s="1443"/>
      <c r="AU100" s="1443"/>
      <c r="AV100" s="1443"/>
      <c r="AW100" s="1443"/>
      <c r="AX100" s="3742"/>
      <c r="AY100" s="5016"/>
      <c r="AZ100" s="5016"/>
      <c r="BA100" s="5016"/>
      <c r="BB100" s="5016"/>
      <c r="BC100" s="5016"/>
      <c r="BD100" s="5016"/>
      <c r="BE100" s="5016"/>
      <c r="BF100" s="5016"/>
      <c r="BG100" s="5016"/>
      <c r="BH100" s="5016"/>
    </row>
    <row r="101" spans="1:60" ht="13.5" customHeight="1">
      <c r="A101" s="5088"/>
      <c r="B101" s="6884"/>
      <c r="C101" s="6884"/>
      <c r="D101" s="1443" t="s">
        <v>2806</v>
      </c>
      <c r="E101" s="1443"/>
      <c r="F101" s="3269"/>
      <c r="G101" s="1443"/>
      <c r="H101" s="1443"/>
      <c r="I101" s="1443"/>
      <c r="J101" s="1443"/>
      <c r="K101" s="1443"/>
      <c r="L101" s="1443"/>
      <c r="M101" s="1443"/>
      <c r="N101" s="1443"/>
      <c r="O101" s="1443"/>
      <c r="P101" s="1443"/>
      <c r="Q101" s="1443"/>
      <c r="R101" s="1443"/>
      <c r="S101" s="1443"/>
      <c r="T101" s="1443"/>
      <c r="U101" s="1443"/>
      <c r="V101" s="1443"/>
      <c r="W101" s="1443"/>
      <c r="X101" s="1443"/>
      <c r="Y101" s="1443"/>
      <c r="Z101" s="6764"/>
      <c r="AA101" s="6772"/>
      <c r="AB101" s="1965"/>
      <c r="AC101" s="1443"/>
      <c r="AD101" s="1443"/>
      <c r="AE101" s="1443"/>
      <c r="AF101" s="1443"/>
      <c r="AG101" s="1443"/>
      <c r="AH101" s="1443"/>
      <c r="AI101" s="1966"/>
      <c r="AJ101" s="6696"/>
      <c r="AK101" s="6697"/>
      <c r="AL101" s="1965"/>
      <c r="AM101" s="1443"/>
      <c r="AN101" s="1443"/>
      <c r="AO101" s="1443"/>
      <c r="AP101" s="3350"/>
      <c r="AQ101" s="1443"/>
      <c r="AR101" s="1443"/>
      <c r="AS101" s="1443"/>
      <c r="AT101" s="1443"/>
      <c r="AU101" s="1443"/>
      <c r="AV101" s="1443"/>
      <c r="AW101" s="1443"/>
      <c r="AX101" s="3742"/>
      <c r="AY101" s="5016"/>
      <c r="AZ101" s="5016"/>
      <c r="BA101" s="5016"/>
      <c r="BB101" s="5016"/>
      <c r="BC101" s="5016"/>
      <c r="BD101" s="5016"/>
      <c r="BE101" s="5016"/>
      <c r="BF101" s="5016"/>
      <c r="BG101" s="5016"/>
      <c r="BH101" s="5016"/>
    </row>
    <row r="102" spans="1:60" ht="13.5" customHeight="1">
      <c r="A102" s="5088"/>
      <c r="B102" s="6884"/>
      <c r="C102" s="6884"/>
      <c r="D102" s="1443" t="s">
        <v>2807</v>
      </c>
      <c r="E102" s="1443"/>
      <c r="F102" s="3269"/>
      <c r="G102" s="1443"/>
      <c r="H102" s="1443"/>
      <c r="I102" s="1443"/>
      <c r="J102" s="1443"/>
      <c r="K102" s="1443"/>
      <c r="L102" s="1443"/>
      <c r="M102" s="1443"/>
      <c r="N102" s="1443"/>
      <c r="O102" s="1443"/>
      <c r="P102" s="1443"/>
      <c r="Q102" s="1443"/>
      <c r="R102" s="1443"/>
      <c r="S102" s="1443"/>
      <c r="T102" s="1443"/>
      <c r="U102" s="1443"/>
      <c r="V102" s="1443"/>
      <c r="W102" s="1443"/>
      <c r="X102" s="1443"/>
      <c r="Y102" s="1443"/>
      <c r="Z102" s="6764"/>
      <c r="AA102" s="6772"/>
      <c r="AB102" s="1965"/>
      <c r="AC102" s="1443"/>
      <c r="AD102" s="1443"/>
      <c r="AE102" s="1443"/>
      <c r="AF102" s="1443"/>
      <c r="AG102" s="1443"/>
      <c r="AH102" s="1443"/>
      <c r="AI102" s="1966"/>
      <c r="AJ102" s="6696"/>
      <c r="AK102" s="6697"/>
      <c r="AL102" s="1965"/>
      <c r="AM102" s="1443"/>
      <c r="AN102" s="1443"/>
      <c r="AO102" s="1443"/>
      <c r="AP102" s="3350"/>
      <c r="AQ102" s="1443"/>
      <c r="AR102" s="1443"/>
      <c r="AS102" s="1443"/>
      <c r="AT102" s="1443"/>
      <c r="AU102" s="1443"/>
      <c r="AV102" s="1443"/>
      <c r="AW102" s="1443"/>
      <c r="AX102" s="3742"/>
      <c r="AY102" s="5016"/>
      <c r="AZ102" s="5016"/>
      <c r="BA102" s="5016"/>
      <c r="BB102" s="5016"/>
      <c r="BC102" s="5016"/>
      <c r="BD102" s="5016"/>
      <c r="BE102" s="5016"/>
      <c r="BF102" s="5016"/>
      <c r="BG102" s="5016"/>
      <c r="BH102" s="5016"/>
    </row>
    <row r="103" spans="1:60" ht="13.5" customHeight="1">
      <c r="A103" s="5088"/>
      <c r="B103" s="6884"/>
      <c r="C103" s="6884"/>
      <c r="D103" s="1443" t="s">
        <v>2808</v>
      </c>
      <c r="E103" s="1443"/>
      <c r="F103" s="3269"/>
      <c r="G103" s="1443"/>
      <c r="H103" s="1443"/>
      <c r="I103" s="1443"/>
      <c r="J103" s="1443"/>
      <c r="K103" s="1443"/>
      <c r="L103" s="1443"/>
      <c r="M103" s="1443"/>
      <c r="N103" s="1443"/>
      <c r="O103" s="1443"/>
      <c r="P103" s="1443"/>
      <c r="Q103" s="1443"/>
      <c r="R103" s="1443"/>
      <c r="S103" s="1443"/>
      <c r="T103" s="1443"/>
      <c r="U103" s="1443"/>
      <c r="V103" s="1443"/>
      <c r="W103" s="1443"/>
      <c r="X103" s="1443"/>
      <c r="Y103" s="1443"/>
      <c r="Z103" s="6764"/>
      <c r="AA103" s="6772"/>
      <c r="AB103" s="1965"/>
      <c r="AC103" s="1443"/>
      <c r="AD103" s="1443"/>
      <c r="AE103" s="1443"/>
      <c r="AF103" s="1443"/>
      <c r="AG103" s="1443"/>
      <c r="AH103" s="1443"/>
      <c r="AI103" s="1966"/>
      <c r="AJ103" s="6696"/>
      <c r="AK103" s="6697"/>
      <c r="AL103" s="1965"/>
      <c r="AM103" s="1443"/>
      <c r="AN103" s="1443"/>
      <c r="AO103" s="1443"/>
      <c r="AP103" s="3350"/>
      <c r="AQ103" s="1443"/>
      <c r="AR103" s="1443"/>
      <c r="AS103" s="1443"/>
      <c r="AT103" s="1443"/>
      <c r="AU103" s="1443"/>
      <c r="AV103" s="1443"/>
      <c r="AW103" s="1443"/>
      <c r="AX103" s="3742"/>
      <c r="AY103" s="5016"/>
      <c r="AZ103" s="5016"/>
      <c r="BA103" s="5016"/>
      <c r="BB103" s="5016"/>
      <c r="BC103" s="5016"/>
      <c r="BD103" s="5016"/>
      <c r="BE103" s="5016"/>
      <c r="BF103" s="5016"/>
      <c r="BG103" s="5016"/>
      <c r="BH103" s="5016"/>
    </row>
    <row r="104" spans="1:60" ht="13.5" customHeight="1">
      <c r="A104" s="5088"/>
      <c r="B104" s="3563"/>
      <c r="C104" s="3563"/>
      <c r="D104" s="1608" t="s">
        <v>2809</v>
      </c>
      <c r="E104" s="1443"/>
      <c r="F104" s="1443"/>
      <c r="G104" s="1443"/>
      <c r="H104" s="1443"/>
      <c r="I104" s="1443"/>
      <c r="J104" s="1443"/>
      <c r="K104" s="1443"/>
      <c r="L104" s="1443"/>
      <c r="M104" s="1443"/>
      <c r="N104" s="1443"/>
      <c r="O104" s="1443"/>
      <c r="P104" s="1443"/>
      <c r="Q104" s="1443"/>
      <c r="R104" s="1443"/>
      <c r="S104" s="1443"/>
      <c r="T104" s="1443"/>
      <c r="U104" s="1443"/>
      <c r="V104" s="1443"/>
      <c r="W104" s="1443"/>
      <c r="X104" s="1443"/>
      <c r="Y104" s="1943" t="s">
        <v>2426</v>
      </c>
      <c r="Z104" s="6691">
        <v>17</v>
      </c>
      <c r="AA104" s="6784"/>
      <c r="AB104" s="6785">
        <f>SUM(AB98,AB99)</f>
        <v>0</v>
      </c>
      <c r="AC104" s="6786"/>
      <c r="AD104" s="6786"/>
      <c r="AE104" s="6786"/>
      <c r="AF104" s="6786"/>
      <c r="AG104" s="6786"/>
      <c r="AH104" s="6786"/>
      <c r="AI104" s="6787"/>
      <c r="AJ104" s="6696"/>
      <c r="AK104" s="6697"/>
      <c r="AL104" s="6728"/>
      <c r="AM104" s="6729"/>
      <c r="AN104" s="6729"/>
      <c r="AO104" s="6729"/>
      <c r="AP104" s="3350"/>
      <c r="AQ104" s="6730" t="str">
        <f>IF(AND(AL95&gt;0,AB105),"Skip lines 18 through 22.","")</f>
        <v/>
      </c>
      <c r="AR104" s="6731"/>
      <c r="AS104" s="6731"/>
      <c r="AT104" s="6731"/>
      <c r="AU104" s="5768"/>
      <c r="AV104" s="5768"/>
      <c r="AW104" s="5768"/>
      <c r="AX104" s="3742"/>
      <c r="AY104" s="5016"/>
      <c r="AZ104" s="5016"/>
      <c r="BA104" s="5016"/>
      <c r="BB104" s="5016"/>
      <c r="BC104" s="5016"/>
      <c r="BD104" s="5016"/>
      <c r="BE104" s="5016"/>
      <c r="BF104" s="5016"/>
      <c r="BG104" s="5016"/>
      <c r="BH104" s="5016"/>
    </row>
    <row r="105" spans="1:60" ht="18.75" customHeight="1">
      <c r="A105" s="5088"/>
      <c r="B105" s="6884">
        <v>18</v>
      </c>
      <c r="C105" s="6884"/>
      <c r="D105" s="1607" t="s">
        <v>3515</v>
      </c>
      <c r="E105" s="1443"/>
      <c r="F105" s="3269"/>
      <c r="G105" s="1443"/>
      <c r="H105" s="1443"/>
      <c r="I105" s="1443"/>
      <c r="J105" s="1443"/>
      <c r="K105" s="1443"/>
      <c r="L105" s="1443"/>
      <c r="M105" s="1443"/>
      <c r="N105" s="1443"/>
      <c r="O105" s="1443"/>
      <c r="P105" s="1443"/>
      <c r="Q105" s="1443"/>
      <c r="R105" s="1443"/>
      <c r="S105" s="1443"/>
      <c r="T105" s="1443"/>
      <c r="U105" s="1443"/>
      <c r="V105" s="1443"/>
      <c r="W105" s="1443"/>
      <c r="X105" s="1443"/>
      <c r="Y105" s="1443"/>
      <c r="Z105" s="6764"/>
      <c r="AA105" s="6772"/>
      <c r="AB105" s="6732" t="b">
        <f>AB104&lt;=0</f>
        <v>1</v>
      </c>
      <c r="AC105" s="6425"/>
      <c r="AD105" s="6425"/>
      <c r="AE105" s="6425"/>
      <c r="AF105" s="6425"/>
      <c r="AG105" s="6425"/>
      <c r="AH105" s="6425"/>
      <c r="AI105" s="6733"/>
      <c r="AJ105" s="6696"/>
      <c r="AK105" s="6697"/>
      <c r="AL105" s="6734"/>
      <c r="AM105" s="6735"/>
      <c r="AN105" s="6735"/>
      <c r="AO105" s="6735"/>
      <c r="AP105" s="3350"/>
      <c r="AQ105" s="6736"/>
      <c r="AR105" s="6735"/>
      <c r="AS105" s="6735"/>
      <c r="AT105" s="6735"/>
      <c r="AU105" s="5601"/>
      <c r="AV105" s="5601"/>
      <c r="AW105" s="5601"/>
      <c r="AX105" s="3742"/>
      <c r="AY105" s="5016"/>
      <c r="AZ105" s="5016"/>
      <c r="BA105" s="5016"/>
      <c r="BB105" s="5016"/>
      <c r="BC105" s="5016"/>
      <c r="BD105" s="5016"/>
      <c r="BE105" s="5016"/>
      <c r="BF105" s="5016"/>
      <c r="BG105" s="5016"/>
      <c r="BH105" s="5016"/>
    </row>
    <row r="106" spans="1:60" ht="12.75" customHeight="1">
      <c r="A106" s="5088"/>
      <c r="B106" s="6884"/>
      <c r="C106" s="6884"/>
      <c r="D106" s="1607" t="s">
        <v>3516</v>
      </c>
      <c r="E106" s="1443"/>
      <c r="F106" s="3269"/>
      <c r="G106" s="1443"/>
      <c r="H106" s="1443"/>
      <c r="I106" s="1443"/>
      <c r="J106" s="1443"/>
      <c r="K106" s="1443"/>
      <c r="L106" s="1443"/>
      <c r="M106" s="1443"/>
      <c r="N106" s="1443"/>
      <c r="O106" s="1443"/>
      <c r="P106" s="1443"/>
      <c r="Q106" s="1443"/>
      <c r="R106" s="1443"/>
      <c r="S106" s="1443"/>
      <c r="T106" s="1443"/>
      <c r="U106" s="1443"/>
      <c r="V106" s="1443"/>
      <c r="W106" s="1443"/>
      <c r="X106" s="1443"/>
      <c r="Y106" s="1443"/>
      <c r="Z106" s="6764"/>
      <c r="AA106" s="6772"/>
      <c r="AB106" s="1965"/>
      <c r="AC106" s="1443"/>
      <c r="AD106" s="1443"/>
      <c r="AE106" s="1443"/>
      <c r="AF106" s="1443"/>
      <c r="AG106" s="1443"/>
      <c r="AH106" s="1443"/>
      <c r="AI106" s="1966"/>
      <c r="AJ106" s="6696"/>
      <c r="AK106" s="6697"/>
      <c r="AL106" s="1965"/>
      <c r="AM106" s="1443"/>
      <c r="AN106" s="1443"/>
      <c r="AO106" s="1443"/>
      <c r="AP106" s="3350"/>
      <c r="AQ106" s="3350"/>
      <c r="AR106" s="3350"/>
      <c r="AS106" s="3350"/>
      <c r="AT106" s="3350"/>
      <c r="AU106" s="3350"/>
      <c r="AV106" s="1443"/>
      <c r="AW106" s="1443"/>
      <c r="AX106" s="3742"/>
      <c r="AY106" s="5016"/>
      <c r="AZ106" s="5016"/>
      <c r="BA106" s="5016"/>
      <c r="BB106" s="5016"/>
      <c r="BC106" s="5016"/>
      <c r="BD106" s="5016"/>
      <c r="BE106" s="5016"/>
      <c r="BF106" s="5016"/>
      <c r="BG106" s="5016"/>
      <c r="BH106" s="5016"/>
    </row>
    <row r="107" spans="1:60" ht="12.75" customHeight="1">
      <c r="A107" s="5088"/>
      <c r="B107" s="3563"/>
      <c r="C107" s="3563"/>
      <c r="D107" s="1608" t="s">
        <v>2810</v>
      </c>
      <c r="E107" s="1443"/>
      <c r="F107" s="1443"/>
      <c r="G107" s="1443"/>
      <c r="H107" s="1443"/>
      <c r="I107" s="1443"/>
      <c r="J107" s="1443"/>
      <c r="K107" s="1443"/>
      <c r="L107" s="1443"/>
      <c r="M107" s="1443"/>
      <c r="N107" s="1443"/>
      <c r="O107" s="1443"/>
      <c r="P107" s="1443"/>
      <c r="Q107" s="1443"/>
      <c r="R107" s="1443"/>
      <c r="S107" s="1443"/>
      <c r="T107" s="1443"/>
      <c r="U107" s="1443"/>
      <c r="V107" s="1443"/>
      <c r="W107" s="1443"/>
      <c r="X107" s="1443"/>
      <c r="Y107" s="1943" t="s">
        <v>3200</v>
      </c>
      <c r="Z107" s="6691">
        <v>18</v>
      </c>
      <c r="AA107" s="6784"/>
      <c r="AB107" s="6785" t="str">
        <f>IF(AQ107&lt;&gt;"",ROUND(AQ107,0),IF(AB105,"",Taxable_Inc))</f>
        <v/>
      </c>
      <c r="AC107" s="6786"/>
      <c r="AD107" s="6786"/>
      <c r="AE107" s="6786"/>
      <c r="AF107" s="6786"/>
      <c r="AG107" s="6786"/>
      <c r="AH107" s="6786"/>
      <c r="AI107" s="6787"/>
      <c r="AJ107" s="6696"/>
      <c r="AK107" s="6697"/>
      <c r="AL107" s="1965"/>
      <c r="AM107" s="1443"/>
      <c r="AN107" s="1443"/>
      <c r="AO107" s="1443"/>
      <c r="AP107" s="3350"/>
      <c r="AQ107" s="6715"/>
      <c r="AR107" s="6716"/>
      <c r="AS107" s="6716"/>
      <c r="AT107" s="6716"/>
      <c r="AU107" s="3350"/>
      <c r="AV107" s="1443"/>
      <c r="AW107" s="1443"/>
      <c r="AX107" s="3742"/>
      <c r="AY107" s="5016"/>
      <c r="AZ107" s="5016"/>
      <c r="BA107" s="5016"/>
      <c r="BB107" s="5016"/>
      <c r="BC107" s="5016"/>
      <c r="BD107" s="5016"/>
      <c r="BE107" s="5016"/>
      <c r="BF107" s="5016"/>
      <c r="BG107" s="5016"/>
      <c r="BH107" s="5016"/>
    </row>
    <row r="108" spans="1:60" ht="12.75" customHeight="1">
      <c r="A108" s="5088"/>
      <c r="B108" s="3563"/>
      <c r="C108" s="3563"/>
      <c r="D108" s="2378" t="s">
        <v>2823</v>
      </c>
      <c r="E108" s="1804"/>
      <c r="F108" s="2292"/>
      <c r="G108" s="1443"/>
      <c r="H108" s="1443"/>
      <c r="I108" s="1443"/>
      <c r="J108" s="1443"/>
      <c r="K108" s="1443"/>
      <c r="L108" s="1443"/>
      <c r="M108" s="1443"/>
      <c r="N108" s="1443"/>
      <c r="O108" s="1443"/>
      <c r="P108" s="3366"/>
      <c r="Q108" s="1804"/>
      <c r="R108" s="2292"/>
      <c r="S108" s="1607"/>
      <c r="T108" s="1443"/>
      <c r="U108" s="1443"/>
      <c r="V108" s="1443"/>
      <c r="W108" s="1443"/>
      <c r="X108" s="1443"/>
      <c r="Y108" s="1443"/>
      <c r="Z108" s="1443"/>
      <c r="AA108" s="1443"/>
      <c r="AB108" s="1443"/>
      <c r="AC108" s="1443"/>
      <c r="AD108" s="3366"/>
      <c r="AE108" s="1804"/>
      <c r="AF108" s="2292"/>
      <c r="AG108" s="1443"/>
      <c r="AH108" s="1443"/>
      <c r="AI108" s="1443"/>
      <c r="AJ108" s="1964"/>
      <c r="AK108" s="1958"/>
      <c r="AL108" s="1443"/>
      <c r="AM108" s="1443"/>
      <c r="AN108" s="1443"/>
      <c r="AO108" s="1443"/>
      <c r="AP108" s="3350"/>
      <c r="AQ108" s="3350"/>
      <c r="AR108" s="3350"/>
      <c r="AS108" s="3350"/>
      <c r="AT108" s="3350"/>
      <c r="AU108" s="3350"/>
      <c r="AV108" s="1443"/>
      <c r="AW108" s="1443"/>
      <c r="AX108" s="3742"/>
      <c r="AY108" s="5016"/>
      <c r="AZ108" s="5016"/>
      <c r="BA108" s="5016"/>
      <c r="BB108" s="5016"/>
      <c r="BC108" s="5016"/>
      <c r="BD108" s="5016"/>
      <c r="BE108" s="5016"/>
      <c r="BF108" s="5016"/>
      <c r="BG108" s="5016"/>
      <c r="BH108" s="5016"/>
    </row>
    <row r="109" spans="1:60" ht="12.75" customHeight="1">
      <c r="A109" s="5088"/>
      <c r="B109" s="1607"/>
      <c r="C109" s="1607"/>
      <c r="D109" s="1608" t="s">
        <v>565</v>
      </c>
      <c r="E109" s="1443"/>
      <c r="F109" s="1443"/>
      <c r="G109" s="1443"/>
      <c r="H109" s="1443"/>
      <c r="I109" s="1443"/>
      <c r="J109" s="1443"/>
      <c r="K109" s="1443"/>
      <c r="L109" s="1443"/>
      <c r="M109" s="1443"/>
      <c r="N109" s="1443"/>
      <c r="O109" s="1443"/>
      <c r="P109" s="1443"/>
      <c r="Q109" s="1443"/>
      <c r="R109" s="1443"/>
      <c r="S109" s="1443"/>
      <c r="T109" s="1617"/>
      <c r="U109" s="1443"/>
      <c r="V109" s="1443"/>
      <c r="W109" s="1443"/>
      <c r="X109" s="1443"/>
      <c r="Y109" s="1443"/>
      <c r="Z109" s="1443"/>
      <c r="AA109" s="1443"/>
      <c r="AB109" s="1443"/>
      <c r="AC109" s="1443"/>
      <c r="AD109" s="1443"/>
      <c r="AE109" s="1443"/>
      <c r="AF109" s="1443"/>
      <c r="AG109" s="1443"/>
      <c r="AH109" s="1443"/>
      <c r="AI109" s="1443"/>
      <c r="AJ109" s="1965"/>
      <c r="AK109" s="1966"/>
      <c r="AL109" s="1443"/>
      <c r="AM109" s="1443"/>
      <c r="AN109" s="1443"/>
      <c r="AO109" s="1443"/>
      <c r="AP109" s="3350"/>
      <c r="AQ109" s="3350"/>
      <c r="AR109" s="3350"/>
      <c r="AS109" s="3350"/>
      <c r="AT109" s="3350"/>
      <c r="AU109" s="3350"/>
      <c r="AV109" s="1443"/>
      <c r="AW109" s="1443"/>
      <c r="AX109" s="3742"/>
      <c r="AY109" s="5016"/>
      <c r="AZ109" s="5016"/>
      <c r="BA109" s="5016"/>
      <c r="BB109" s="5016"/>
      <c r="BC109" s="5016"/>
      <c r="BD109" s="5016"/>
      <c r="BE109" s="5016"/>
      <c r="BF109" s="5016"/>
      <c r="BG109" s="5016"/>
      <c r="BH109" s="5016"/>
    </row>
    <row r="110" spans="1:60" ht="16.5" customHeight="1">
      <c r="A110" s="5088"/>
      <c r="B110" s="6884">
        <v>19</v>
      </c>
      <c r="C110" s="6884"/>
      <c r="D110" s="1607" t="s">
        <v>2811</v>
      </c>
      <c r="E110" s="1443"/>
      <c r="F110" s="3269"/>
      <c r="G110" s="1443"/>
      <c r="H110" s="1443"/>
      <c r="I110" s="1443"/>
      <c r="J110" s="1443"/>
      <c r="K110" s="1443"/>
      <c r="L110" s="1443"/>
      <c r="M110" s="1443"/>
      <c r="N110" s="1443"/>
      <c r="O110" s="1443"/>
      <c r="P110" s="1443"/>
      <c r="Q110" s="1443"/>
      <c r="R110" s="1443"/>
      <c r="S110" s="1443"/>
      <c r="T110" s="1443"/>
      <c r="U110" s="1443"/>
      <c r="V110" s="1443"/>
      <c r="W110" s="1443"/>
      <c r="X110" s="1443"/>
      <c r="Y110" s="1443"/>
      <c r="Z110" s="1443"/>
      <c r="AA110" s="1443"/>
      <c r="AB110" s="1443"/>
      <c r="AC110" s="1443"/>
      <c r="AD110" s="1443"/>
      <c r="AE110" s="1443"/>
      <c r="AF110" s="1443"/>
      <c r="AG110" s="1443"/>
      <c r="AH110" s="1443"/>
      <c r="AI110" s="1943" t="s">
        <v>1312</v>
      </c>
      <c r="AJ110" s="6691">
        <v>19</v>
      </c>
      <c r="AK110" s="6692"/>
      <c r="AL110" s="6740" t="str">
        <f>IF(AQ110&lt;&gt;"",ROUND(AQ110,4),IF(AB105,"",IF(OR(AB107="",AB107=0),"                    ---",IF(AB104&gt;AB107,1,ROUND(AB104/AB107,4)))))</f>
        <v/>
      </c>
      <c r="AM110" s="6741"/>
      <c r="AN110" s="6741"/>
      <c r="AO110" s="6741"/>
      <c r="AP110" s="3350"/>
      <c r="AQ110" s="6713"/>
      <c r="AR110" s="6714"/>
      <c r="AS110" s="6714"/>
      <c r="AT110" s="6714"/>
      <c r="AU110" s="3350"/>
      <c r="AV110" s="1443"/>
      <c r="AW110" s="1443"/>
      <c r="AX110" s="3742"/>
      <c r="AY110" s="5016"/>
      <c r="AZ110" s="5016"/>
      <c r="BA110" s="5016"/>
      <c r="BB110" s="5016"/>
      <c r="BC110" s="5016"/>
      <c r="BD110" s="5016"/>
      <c r="BE110" s="5016"/>
      <c r="BF110" s="5016"/>
      <c r="BG110" s="5016"/>
      <c r="BH110" s="5016"/>
    </row>
    <row r="111" spans="1:60" ht="18" customHeight="1">
      <c r="A111" s="5088"/>
      <c r="B111" s="6884">
        <v>20</v>
      </c>
      <c r="C111" s="6884"/>
      <c r="D111" s="1607" t="s">
        <v>3517</v>
      </c>
      <c r="E111" s="1443"/>
      <c r="F111" s="3269"/>
      <c r="G111" s="1443"/>
      <c r="H111" s="1443"/>
      <c r="I111" s="1443"/>
      <c r="J111" s="1443"/>
      <c r="K111" s="1443"/>
      <c r="L111" s="1443"/>
      <c r="M111" s="1443"/>
      <c r="N111" s="1443"/>
      <c r="O111" s="1443"/>
      <c r="P111" s="1443"/>
      <c r="Q111" s="1443"/>
      <c r="R111" s="1443"/>
      <c r="S111" s="1443"/>
      <c r="T111" s="1443"/>
      <c r="U111" s="1443"/>
      <c r="V111" s="1443"/>
      <c r="W111" s="1443"/>
      <c r="X111" s="1443"/>
      <c r="Y111" s="1443"/>
      <c r="Z111" s="1443"/>
      <c r="AA111" s="1443"/>
      <c r="AB111" s="1443"/>
      <c r="AC111" s="1443"/>
      <c r="AD111" s="1443"/>
      <c r="AE111" s="1443"/>
      <c r="AF111" s="1443"/>
      <c r="AG111" s="1443"/>
      <c r="AH111" s="1443"/>
      <c r="AI111" s="1443"/>
      <c r="AJ111" s="6742"/>
      <c r="AK111" s="6743"/>
      <c r="AL111" s="1965"/>
      <c r="AM111" s="1443"/>
      <c r="AN111" s="1443"/>
      <c r="AO111" s="1443"/>
      <c r="AP111" s="3350"/>
      <c r="AQ111" s="3350"/>
      <c r="AR111" s="3350"/>
      <c r="AS111" s="3350"/>
      <c r="AT111" s="3350"/>
      <c r="AU111" s="3350"/>
      <c r="AV111" s="1443"/>
      <c r="AW111" s="1443"/>
      <c r="AX111" s="3742"/>
      <c r="AY111" s="5016"/>
      <c r="AZ111" s="5016"/>
      <c r="BA111" s="5016"/>
      <c r="BB111" s="5016"/>
      <c r="BC111" s="5016"/>
      <c r="BD111" s="5016"/>
      <c r="BE111" s="5016"/>
      <c r="BF111" s="5016"/>
      <c r="BG111" s="5016"/>
      <c r="BH111" s="5016"/>
    </row>
    <row r="112" spans="1:60" ht="13.5" customHeight="1">
      <c r="A112" s="5088"/>
      <c r="B112" s="6884"/>
      <c r="C112" s="6884"/>
      <c r="D112" s="1607" t="s">
        <v>3518</v>
      </c>
      <c r="E112" s="1443"/>
      <c r="F112" s="3269"/>
      <c r="G112" s="1443"/>
      <c r="H112" s="1443"/>
      <c r="I112" s="1443"/>
      <c r="J112" s="1443"/>
      <c r="K112" s="1443"/>
      <c r="L112" s="1443"/>
      <c r="M112" s="1443"/>
      <c r="N112" s="1443"/>
      <c r="O112" s="1443"/>
      <c r="P112" s="1443"/>
      <c r="Q112" s="1443"/>
      <c r="R112" s="1443"/>
      <c r="S112" s="1443"/>
      <c r="T112" s="1443"/>
      <c r="U112" s="1443"/>
      <c r="V112" s="1443"/>
      <c r="W112" s="1443"/>
      <c r="X112" s="1443"/>
      <c r="Y112" s="1443"/>
      <c r="Z112" s="1443"/>
      <c r="AA112" s="1443"/>
      <c r="AB112" s="1443"/>
      <c r="AC112" s="1443"/>
      <c r="AD112" s="1443"/>
      <c r="AE112" s="1443"/>
      <c r="AF112" s="1443"/>
      <c r="AG112" s="1443"/>
      <c r="AH112" s="1443"/>
      <c r="AI112" s="1443"/>
      <c r="AJ112" s="6742"/>
      <c r="AK112" s="6743"/>
      <c r="AL112" s="1965"/>
      <c r="AM112" s="1443"/>
      <c r="AN112" s="1443"/>
      <c r="AO112" s="1443"/>
      <c r="AP112" s="3350"/>
      <c r="AQ112" s="1443"/>
      <c r="AR112" s="1443"/>
      <c r="AS112" s="1443"/>
      <c r="AT112" s="1443"/>
      <c r="AU112" s="1443"/>
      <c r="AV112" s="1443"/>
      <c r="AW112" s="1443"/>
      <c r="AX112" s="3742"/>
      <c r="AY112" s="5016"/>
      <c r="AZ112" s="5016"/>
      <c r="BA112" s="5016"/>
      <c r="BB112" s="5016"/>
      <c r="BC112" s="5016"/>
      <c r="BD112" s="5016"/>
      <c r="BE112" s="5016"/>
      <c r="BF112" s="5016"/>
      <c r="BG112" s="5016"/>
      <c r="BH112" s="5016"/>
    </row>
    <row r="113" spans="1:60" ht="13.5" customHeight="1">
      <c r="A113" s="5088"/>
      <c r="B113" s="6884"/>
      <c r="C113" s="6884"/>
      <c r="D113" s="1607" t="s">
        <v>3519</v>
      </c>
      <c r="E113" s="1443"/>
      <c r="F113" s="3269"/>
      <c r="G113" s="1443"/>
      <c r="H113" s="1443"/>
      <c r="I113" s="1443"/>
      <c r="J113" s="1443"/>
      <c r="K113" s="1443"/>
      <c r="L113" s="1443"/>
      <c r="M113" s="1443"/>
      <c r="N113" s="1443"/>
      <c r="O113" s="1443"/>
      <c r="P113" s="1443"/>
      <c r="Q113" s="1443"/>
      <c r="R113" s="1443"/>
      <c r="S113" s="1443"/>
      <c r="T113" s="1443"/>
      <c r="U113" s="1443"/>
      <c r="V113" s="1443"/>
      <c r="W113" s="1443"/>
      <c r="X113" s="1443"/>
      <c r="Y113" s="1443"/>
      <c r="Z113" s="1443"/>
      <c r="AA113" s="1443"/>
      <c r="AB113" s="1443"/>
      <c r="AC113" s="1443"/>
      <c r="AD113" s="1443"/>
      <c r="AE113" s="1443"/>
      <c r="AF113" s="1443"/>
      <c r="AG113" s="1443"/>
      <c r="AH113" s="1443"/>
      <c r="AI113" s="1443"/>
      <c r="AJ113" s="6742"/>
      <c r="AK113" s="6743"/>
      <c r="AL113" s="1965"/>
      <c r="AM113" s="1443"/>
      <c r="AN113" s="1443"/>
      <c r="AO113" s="1443"/>
      <c r="AP113" s="3350"/>
      <c r="AQ113" s="3350"/>
      <c r="AR113" s="3350"/>
      <c r="AS113" s="3350"/>
      <c r="AT113" s="3350"/>
      <c r="AU113" s="3350"/>
      <c r="AV113" s="1443"/>
      <c r="AW113" s="1443"/>
      <c r="AX113" s="3742"/>
      <c r="AY113" s="5016"/>
      <c r="AZ113" s="5016"/>
      <c r="BA113" s="5016"/>
      <c r="BB113" s="5016"/>
      <c r="BC113" s="5016"/>
      <c r="BD113" s="5016"/>
      <c r="BE113" s="5016"/>
      <c r="BF113" s="5016"/>
      <c r="BG113" s="5016"/>
      <c r="BH113" s="5016"/>
    </row>
    <row r="114" spans="1:60" ht="13.5" customHeight="1">
      <c r="A114" s="5088"/>
      <c r="B114" s="3563"/>
      <c r="C114" s="3563"/>
      <c r="D114" s="2378" t="s">
        <v>3520</v>
      </c>
      <c r="E114" s="1443"/>
      <c r="F114" s="1443"/>
      <c r="G114" s="1443"/>
      <c r="H114" s="1443"/>
      <c r="I114" s="1443"/>
      <c r="J114" s="1443"/>
      <c r="K114" s="1443"/>
      <c r="L114" s="1443"/>
      <c r="M114" s="1443"/>
      <c r="N114" s="1443"/>
      <c r="O114" s="1443"/>
      <c r="P114" s="1443"/>
      <c r="Q114" s="1443"/>
      <c r="R114" s="1443"/>
      <c r="S114" s="1443"/>
      <c r="T114" s="1443"/>
      <c r="U114" s="1443"/>
      <c r="V114" s="1443"/>
      <c r="W114" s="1443"/>
      <c r="X114" s="1443"/>
      <c r="Y114" s="1443"/>
      <c r="Z114" s="1443"/>
      <c r="AA114" s="1443"/>
      <c r="AB114" s="1443"/>
      <c r="AC114" s="1443"/>
      <c r="AD114" s="1443"/>
      <c r="AE114" s="1443"/>
      <c r="AF114" s="1443"/>
      <c r="AG114" s="1443"/>
      <c r="AH114" s="1443"/>
      <c r="AI114" s="1943" t="s">
        <v>3530</v>
      </c>
      <c r="AJ114" s="6691">
        <v>20</v>
      </c>
      <c r="AK114" s="6692"/>
      <c r="AL114" s="6739" t="str">
        <f>IF(AQ114&lt;&gt;"",ROUND(AQ114,0),IF(AB105,"",IF(AO20&lt;&gt;1,"",SUM(Tax1040_Line11a,PTC_ExcessAdv))))</f>
        <v/>
      </c>
      <c r="AM114" s="5861"/>
      <c r="AN114" s="5861"/>
      <c r="AO114" s="5861"/>
      <c r="AP114" s="3350"/>
      <c r="AQ114" s="6715"/>
      <c r="AR114" s="6716"/>
      <c r="AS114" s="6716"/>
      <c r="AT114" s="6716"/>
      <c r="AU114" s="3350"/>
      <c r="AV114" s="1443"/>
      <c r="AW114" s="1443"/>
      <c r="AX114" s="3742"/>
      <c r="AY114" s="5016"/>
      <c r="AZ114" s="5016"/>
      <c r="BA114" s="5016"/>
      <c r="BB114" s="5016"/>
      <c r="BC114" s="5016"/>
      <c r="BD114" s="5016"/>
      <c r="BE114" s="5016"/>
      <c r="BF114" s="5016"/>
      <c r="BG114" s="5016"/>
      <c r="BH114" s="5016"/>
    </row>
    <row r="115" spans="1:60" ht="13.5" customHeight="1">
      <c r="A115" s="5088"/>
      <c r="B115" s="6884"/>
      <c r="C115" s="6884"/>
      <c r="D115" s="1607" t="s">
        <v>3521</v>
      </c>
      <c r="E115" s="1443"/>
      <c r="F115" s="3269"/>
      <c r="G115" s="1443"/>
      <c r="H115" s="1443"/>
      <c r="I115" s="1443"/>
      <c r="J115" s="1443"/>
      <c r="K115" s="1443"/>
      <c r="L115" s="1443"/>
      <c r="M115" s="1443"/>
      <c r="N115" s="1443"/>
      <c r="O115" s="1443"/>
      <c r="P115" s="1443"/>
      <c r="Q115" s="1443"/>
      <c r="R115" s="1443"/>
      <c r="S115" s="1443"/>
      <c r="T115" s="1443"/>
      <c r="U115" s="1443"/>
      <c r="V115" s="1443"/>
      <c r="W115" s="1443"/>
      <c r="X115" s="1443"/>
      <c r="Y115" s="1443"/>
      <c r="Z115" s="1443"/>
      <c r="AA115" s="1443"/>
      <c r="AB115" s="1443"/>
      <c r="AC115" s="1443"/>
      <c r="AD115" s="1443"/>
      <c r="AE115" s="1443"/>
      <c r="AF115" s="1443"/>
      <c r="AG115" s="1443"/>
      <c r="AH115" s="1443"/>
      <c r="AI115" s="1443"/>
      <c r="AJ115" s="1965"/>
      <c r="AK115" s="1966"/>
      <c r="AL115" s="1443"/>
      <c r="AM115" s="1443"/>
      <c r="AN115" s="1443"/>
      <c r="AO115" s="1443"/>
      <c r="AP115" s="3350"/>
      <c r="AQ115" s="3350"/>
      <c r="AR115" s="3350"/>
      <c r="AS115" s="3350"/>
      <c r="AT115" s="3350"/>
      <c r="AU115" s="3350"/>
      <c r="AV115" s="1443"/>
      <c r="AW115" s="1443"/>
      <c r="AX115" s="3742"/>
      <c r="AY115" s="5016"/>
      <c r="AZ115" s="5016"/>
      <c r="BA115" s="5016"/>
      <c r="BB115" s="5016"/>
      <c r="BC115" s="5016"/>
      <c r="BD115" s="5016"/>
      <c r="BE115" s="5016"/>
      <c r="BF115" s="5016"/>
      <c r="BG115" s="5016"/>
      <c r="BH115" s="5016"/>
    </row>
    <row r="116" spans="1:60" ht="13.5" customHeight="1">
      <c r="A116" s="5088"/>
      <c r="B116" s="1607"/>
      <c r="C116" s="1607"/>
      <c r="D116" s="1608" t="s">
        <v>565</v>
      </c>
      <c r="E116" s="1443"/>
      <c r="F116" s="1443"/>
      <c r="G116" s="1443"/>
      <c r="H116" s="1443"/>
      <c r="I116" s="1443"/>
      <c r="J116" s="1443"/>
      <c r="K116" s="1443"/>
      <c r="L116" s="1443"/>
      <c r="M116" s="1443"/>
      <c r="N116" s="1443"/>
      <c r="O116" s="1443"/>
      <c r="P116" s="1443"/>
      <c r="Q116" s="1443"/>
      <c r="R116" s="1443"/>
      <c r="S116" s="1443"/>
      <c r="T116" s="1617"/>
      <c r="U116" s="1443"/>
      <c r="V116" s="1443"/>
      <c r="W116" s="1443"/>
      <c r="X116" s="1443"/>
      <c r="Y116" s="1443"/>
      <c r="Z116" s="1443"/>
      <c r="AA116" s="1443"/>
      <c r="AB116" s="1443"/>
      <c r="AC116" s="1443"/>
      <c r="AD116" s="1443"/>
      <c r="AE116" s="1443"/>
      <c r="AF116" s="1443"/>
      <c r="AG116" s="1443"/>
      <c r="AH116" s="1443"/>
      <c r="AI116" s="1443"/>
      <c r="AJ116" s="1965"/>
      <c r="AK116" s="1966"/>
      <c r="AL116" s="1443"/>
      <c r="AM116" s="1443"/>
      <c r="AN116" s="1443"/>
      <c r="AO116" s="1443"/>
      <c r="AP116" s="3350"/>
      <c r="AQ116" s="1443"/>
      <c r="AR116" s="1443"/>
      <c r="AS116" s="1443"/>
      <c r="AT116" s="1443"/>
      <c r="AU116" s="1443"/>
      <c r="AV116" s="1443"/>
      <c r="AW116" s="1443"/>
      <c r="AX116" s="3742"/>
      <c r="AY116" s="5016"/>
      <c r="AZ116" s="5016"/>
      <c r="BA116" s="5016"/>
      <c r="BB116" s="5016"/>
      <c r="BC116" s="5016"/>
      <c r="BD116" s="5016"/>
      <c r="BE116" s="5016"/>
      <c r="BF116" s="5016"/>
      <c r="BG116" s="5016"/>
      <c r="BH116" s="5016"/>
    </row>
    <row r="117" spans="1:60" ht="13.5" customHeight="1">
      <c r="A117" s="5088"/>
      <c r="B117" s="6884">
        <v>21</v>
      </c>
      <c r="C117" s="6884"/>
      <c r="D117" s="1443" t="s">
        <v>2812</v>
      </c>
      <c r="E117" s="1443"/>
      <c r="F117" s="1443"/>
      <c r="G117" s="1443"/>
      <c r="H117" s="1443"/>
      <c r="I117" s="1443"/>
      <c r="J117" s="1443"/>
      <c r="K117" s="1443"/>
      <c r="L117" s="1443"/>
      <c r="M117" s="1443"/>
      <c r="N117" s="1443"/>
      <c r="O117" s="1443"/>
      <c r="P117" s="1443"/>
      <c r="Q117" s="1443"/>
      <c r="R117" s="1443"/>
      <c r="S117" s="1443"/>
      <c r="T117" s="1617"/>
      <c r="U117" s="1443"/>
      <c r="V117" s="1443"/>
      <c r="W117" s="1443"/>
      <c r="X117" s="1443"/>
      <c r="Y117" s="1443"/>
      <c r="Z117" s="1443"/>
      <c r="AA117" s="1443"/>
      <c r="AB117" s="1443"/>
      <c r="AC117" s="1443"/>
      <c r="AD117" s="1443"/>
      <c r="AE117" s="1443"/>
      <c r="AF117" s="1443"/>
      <c r="AG117" s="1443"/>
      <c r="AH117" s="1443"/>
      <c r="AI117" s="1943" t="s">
        <v>3531</v>
      </c>
      <c r="AJ117" s="6691">
        <v>21</v>
      </c>
      <c r="AK117" s="6692"/>
      <c r="AL117" s="6739" t="str">
        <f>IF(AB105,"",IF(ISERROR(AL110*AL114),"                    ---",ROUND(AL110*AL114,0)))</f>
        <v/>
      </c>
      <c r="AM117" s="5861"/>
      <c r="AN117" s="5861"/>
      <c r="AO117" s="5861"/>
      <c r="AP117" s="3350"/>
      <c r="AQ117" s="1443"/>
      <c r="AR117" s="1443"/>
      <c r="AS117" s="1443"/>
      <c r="AT117" s="1443"/>
      <c r="AU117" s="1443"/>
      <c r="AV117" s="1443"/>
      <c r="AW117" s="1443"/>
      <c r="AX117" s="3742"/>
      <c r="AY117" s="5016"/>
      <c r="AZ117" s="5016"/>
      <c r="BA117" s="5016"/>
      <c r="BB117" s="5016"/>
      <c r="BC117" s="5016"/>
      <c r="BD117" s="5016"/>
      <c r="BE117" s="5016"/>
      <c r="BF117" s="5016"/>
      <c r="BG117" s="5016"/>
      <c r="BH117" s="5016"/>
    </row>
    <row r="118" spans="1:60" ht="13.5" customHeight="1">
      <c r="A118" s="5088"/>
      <c r="B118" s="6884">
        <v>22</v>
      </c>
      <c r="C118" s="6884"/>
      <c r="D118" s="1607" t="s">
        <v>2824</v>
      </c>
      <c r="E118" s="1443"/>
      <c r="F118" s="3269"/>
      <c r="G118" s="1443"/>
      <c r="H118" s="1443"/>
      <c r="I118" s="1443"/>
      <c r="J118" s="1443"/>
      <c r="K118" s="1443"/>
      <c r="L118" s="1443"/>
      <c r="M118" s="1443"/>
      <c r="N118" s="1443"/>
      <c r="O118" s="1443"/>
      <c r="P118" s="1443"/>
      <c r="Q118" s="1443"/>
      <c r="R118" s="1443"/>
      <c r="S118" s="1443"/>
      <c r="T118" s="1443"/>
      <c r="U118" s="1443"/>
      <c r="V118" s="1443"/>
      <c r="W118" s="1443"/>
      <c r="X118" s="1443"/>
      <c r="Y118" s="1443"/>
      <c r="Z118" s="1443"/>
      <c r="AA118" s="1443"/>
      <c r="AB118" s="1443"/>
      <c r="AC118" s="1443"/>
      <c r="AD118" s="1443"/>
      <c r="AE118" s="1443"/>
      <c r="AF118" s="1443"/>
      <c r="AG118" s="1443"/>
      <c r="AH118" s="1443"/>
      <c r="AI118" s="1443"/>
      <c r="AJ118" s="1965"/>
      <c r="AK118" s="1966"/>
      <c r="AL118" s="1443"/>
      <c r="AM118" s="1443"/>
      <c r="AN118" s="1443"/>
      <c r="AO118" s="1443"/>
      <c r="AP118" s="3350"/>
      <c r="AQ118" s="1443"/>
      <c r="AR118" s="1443"/>
      <c r="AS118" s="1443"/>
      <c r="AT118" s="1443"/>
      <c r="AU118" s="1443"/>
      <c r="AV118" s="1443"/>
      <c r="AW118" s="1443"/>
      <c r="AX118" s="3742"/>
      <c r="AY118" s="5016"/>
      <c r="AZ118" s="5016"/>
      <c r="BA118" s="5016"/>
      <c r="BB118" s="5016"/>
      <c r="BC118" s="5016"/>
      <c r="BD118" s="5016"/>
      <c r="BE118" s="5016"/>
      <c r="BF118" s="5016"/>
      <c r="BG118" s="5016"/>
      <c r="BH118" s="5016"/>
    </row>
    <row r="119" spans="1:60" ht="13.5" customHeight="1">
      <c r="A119" s="5088"/>
      <c r="B119" s="1607"/>
      <c r="C119" s="1607"/>
      <c r="D119" s="2378" t="s">
        <v>3534</v>
      </c>
      <c r="E119" s="1443"/>
      <c r="F119" s="1443"/>
      <c r="G119" s="1443"/>
      <c r="H119" s="1443"/>
      <c r="I119" s="1443"/>
      <c r="J119" s="1443"/>
      <c r="K119" s="1443"/>
      <c r="L119" s="1443"/>
      <c r="M119" s="1443"/>
      <c r="N119" s="1443"/>
      <c r="O119" s="1443"/>
      <c r="P119" s="1443"/>
      <c r="Q119" s="1443"/>
      <c r="R119" s="1443"/>
      <c r="S119" s="1443"/>
      <c r="T119" s="1617"/>
      <c r="U119" s="1443"/>
      <c r="V119" s="1443"/>
      <c r="W119" s="1443"/>
      <c r="X119" s="1443"/>
      <c r="Y119" s="1443"/>
      <c r="Z119" s="1443"/>
      <c r="AA119" s="1443"/>
      <c r="AB119" s="1443"/>
      <c r="AC119" s="1443"/>
      <c r="AD119" s="1443"/>
      <c r="AE119" s="1443"/>
      <c r="AF119" s="1443"/>
      <c r="AG119" s="1443"/>
      <c r="AH119" s="1443"/>
      <c r="AI119" s="1443"/>
      <c r="AJ119" s="1965"/>
      <c r="AK119" s="1966"/>
      <c r="AL119" s="6776">
        <f>SUM($AO$20,$AO$146,$AO$272)</f>
        <v>0</v>
      </c>
      <c r="AM119" s="6777"/>
      <c r="AN119" s="6777"/>
      <c r="AO119" s="6777"/>
      <c r="AP119" s="3350"/>
      <c r="AQ119" s="3350"/>
      <c r="AR119" s="3350"/>
      <c r="AS119" s="3350"/>
      <c r="AT119" s="3350"/>
      <c r="AU119" s="3350"/>
      <c r="AV119" s="1443"/>
      <c r="AW119" s="1443"/>
      <c r="AX119" s="3742"/>
      <c r="AY119" s="5016"/>
      <c r="AZ119" s="5016"/>
      <c r="BA119" s="5016"/>
      <c r="BB119" s="5016"/>
      <c r="BC119" s="5016"/>
      <c r="BD119" s="5016"/>
      <c r="BE119" s="5016"/>
      <c r="BF119" s="5016"/>
      <c r="BG119" s="5016"/>
      <c r="BH119" s="5016"/>
    </row>
    <row r="120" spans="1:60" ht="13.5" customHeight="1" thickBot="1">
      <c r="A120" s="5088"/>
      <c r="B120" s="6884"/>
      <c r="C120" s="6884"/>
      <c r="D120" s="1443" t="s">
        <v>1121</v>
      </c>
      <c r="E120" s="1443"/>
      <c r="F120" s="1443"/>
      <c r="G120" s="1443"/>
      <c r="H120" s="1443"/>
      <c r="I120" s="1443"/>
      <c r="J120" s="1443"/>
      <c r="K120" s="1443"/>
      <c r="L120" s="1443"/>
      <c r="M120" s="1443"/>
      <c r="N120" s="1443"/>
      <c r="O120" s="1443"/>
      <c r="P120" s="1443"/>
      <c r="Q120" s="1443"/>
      <c r="R120" s="1443"/>
      <c r="S120" s="1443"/>
      <c r="T120" s="1617"/>
      <c r="U120" s="1443"/>
      <c r="V120" s="1443"/>
      <c r="W120" s="1443"/>
      <c r="X120" s="1443"/>
      <c r="Y120" s="1443"/>
      <c r="Z120" s="1443"/>
      <c r="AA120" s="1443"/>
      <c r="AB120" s="1443"/>
      <c r="AC120" s="1443"/>
      <c r="AD120" s="1443"/>
      <c r="AE120" s="1443"/>
      <c r="AF120" s="1443"/>
      <c r="AG120" s="1443"/>
      <c r="AH120" s="1443"/>
      <c r="AI120" s="1943" t="s">
        <v>4315</v>
      </c>
      <c r="AJ120" s="6691">
        <v>22</v>
      </c>
      <c r="AK120" s="6692"/>
      <c r="AL120" s="6739" t="str">
        <f>IF(AQ120&lt;&gt;"",ROUND(AQ120,0),IF(AB105,"",IF(ISERROR(AL95*AL117),"                    ---",MIN(AL95,AL117))))</f>
        <v/>
      </c>
      <c r="AM120" s="5861"/>
      <c r="AN120" s="5861"/>
      <c r="AO120" s="5861"/>
      <c r="AP120" s="3350"/>
      <c r="AQ120" s="6715"/>
      <c r="AR120" s="6716"/>
      <c r="AS120" s="6716"/>
      <c r="AT120" s="6716"/>
      <c r="AU120" s="3350"/>
      <c r="AV120" s="1443"/>
      <c r="AW120" s="1443"/>
      <c r="AX120" s="3742"/>
      <c r="AY120" s="5016"/>
      <c r="AZ120" s="5016"/>
      <c r="BA120" s="5016"/>
      <c r="BB120" s="5016"/>
      <c r="BC120" s="5016"/>
      <c r="BD120" s="5016"/>
      <c r="BE120" s="5016"/>
      <c r="BF120" s="5016"/>
      <c r="BG120" s="5016"/>
      <c r="BH120" s="5016"/>
    </row>
    <row r="121" spans="1:60" s="3272" customFormat="1" ht="16.5" customHeight="1">
      <c r="A121" s="5090"/>
      <c r="B121" s="6737" t="s">
        <v>546</v>
      </c>
      <c r="C121" s="6737"/>
      <c r="D121" s="6738"/>
      <c r="E121" s="3273"/>
      <c r="F121" s="3411" t="s">
        <v>2831</v>
      </c>
      <c r="G121" s="3273"/>
      <c r="H121" s="3273"/>
      <c r="I121" s="3273"/>
      <c r="J121" s="3273"/>
      <c r="K121" s="3273"/>
      <c r="L121" s="3273"/>
      <c r="M121" s="3273"/>
      <c r="N121" s="3273"/>
      <c r="O121" s="3273"/>
      <c r="P121" s="3273"/>
      <c r="Q121" s="3273"/>
      <c r="R121" s="3273"/>
      <c r="S121" s="3273"/>
      <c r="T121" s="3273"/>
      <c r="U121" s="3273"/>
      <c r="V121" s="3273"/>
      <c r="W121" s="3273"/>
      <c r="X121" s="3273"/>
      <c r="Y121" s="3273"/>
      <c r="Z121" s="3273"/>
      <c r="AA121" s="3273"/>
      <c r="AB121" s="3273"/>
      <c r="AC121" s="3273"/>
      <c r="AD121" s="3273"/>
      <c r="AE121" s="3273"/>
      <c r="AF121" s="3273"/>
      <c r="AG121" s="3273"/>
      <c r="AH121" s="3273"/>
      <c r="AI121" s="3273"/>
      <c r="AJ121" s="3273"/>
      <c r="AK121" s="3273"/>
      <c r="AL121" s="6778" t="b">
        <f>IF(AND(AL119&gt;1,AL120=MAX($AL$120,$AL$246,$AL$372)),TRUE,FALSE)</f>
        <v>0</v>
      </c>
      <c r="AM121" s="6779"/>
      <c r="AN121" s="6779"/>
      <c r="AO121" s="6779"/>
      <c r="AP121" s="3350"/>
      <c r="AQ121" s="3350"/>
      <c r="AR121" s="3350"/>
      <c r="AS121" s="3350"/>
      <c r="AT121" s="3350"/>
      <c r="AU121" s="3350"/>
      <c r="AV121" s="1443"/>
      <c r="AW121" s="1443"/>
      <c r="AX121" s="3742"/>
      <c r="AY121" s="5016"/>
      <c r="AZ121" s="5016"/>
      <c r="BA121" s="5016"/>
      <c r="BB121" s="5016"/>
      <c r="BC121" s="5016"/>
      <c r="BD121" s="5016"/>
      <c r="BE121" s="5016"/>
      <c r="BF121" s="5016"/>
      <c r="BG121" s="5016"/>
      <c r="BH121" s="5016"/>
    </row>
    <row r="122" spans="1:60" ht="14.25" customHeight="1">
      <c r="A122" s="5088"/>
      <c r="B122" s="6884">
        <v>23</v>
      </c>
      <c r="C122" s="6884"/>
      <c r="D122" s="1607" t="s">
        <v>3522</v>
      </c>
      <c r="E122" s="1443"/>
      <c r="F122" s="3269"/>
      <c r="G122" s="1443"/>
      <c r="H122" s="1443"/>
      <c r="I122" s="1443"/>
      <c r="J122" s="1443"/>
      <c r="K122" s="1443"/>
      <c r="L122" s="1443"/>
      <c r="M122" s="1443"/>
      <c r="N122" s="1443"/>
      <c r="O122" s="1443"/>
      <c r="P122" s="1443"/>
      <c r="Q122" s="1443"/>
      <c r="R122" s="1443"/>
      <c r="S122" s="1443"/>
      <c r="T122" s="1443"/>
      <c r="U122" s="1443"/>
      <c r="V122" s="1443"/>
      <c r="W122" s="1443"/>
      <c r="X122" s="3756"/>
      <c r="Y122" s="1943" t="s">
        <v>3529</v>
      </c>
      <c r="Z122" s="6691">
        <v>23</v>
      </c>
      <c r="AA122" s="6692"/>
      <c r="AB122" s="6693" t="str">
        <f>IF(AL121,$AR$19,"")</f>
        <v/>
      </c>
      <c r="AC122" s="6694"/>
      <c r="AD122" s="6694"/>
      <c r="AE122" s="6694"/>
      <c r="AF122" s="6694"/>
      <c r="AG122" s="6694"/>
      <c r="AH122" s="6694"/>
      <c r="AI122" s="6695"/>
      <c r="AJ122" s="6696"/>
      <c r="AK122" s="6697"/>
      <c r="AL122" s="1965"/>
      <c r="AM122" s="1443"/>
      <c r="AN122" s="1443"/>
      <c r="AO122" s="1443"/>
      <c r="AP122" s="3350"/>
      <c r="AQ122" s="1616" t="s">
        <v>38</v>
      </c>
      <c r="AR122" s="6686">
        <f>IF(C21&lt;&gt;"",$AL$120,0)</f>
        <v>0</v>
      </c>
      <c r="AS122" s="6686"/>
      <c r="AT122" s="6686"/>
      <c r="AU122" s="6686"/>
      <c r="AV122" s="1443"/>
      <c r="AW122" s="1443"/>
      <c r="AX122" s="3742"/>
      <c r="AY122" s="5016"/>
      <c r="AZ122" s="5016"/>
      <c r="BA122" s="5016"/>
      <c r="BB122" s="5016"/>
      <c r="BC122" s="5016"/>
      <c r="BD122" s="5016"/>
      <c r="BE122" s="5016"/>
      <c r="BF122" s="5016"/>
      <c r="BG122" s="5016"/>
      <c r="BH122" s="5016"/>
    </row>
    <row r="123" spans="1:60" ht="14.25" customHeight="1">
      <c r="A123" s="5088"/>
      <c r="B123" s="6884">
        <v>24</v>
      </c>
      <c r="C123" s="6884"/>
      <c r="D123" s="1607" t="s">
        <v>3523</v>
      </c>
      <c r="E123" s="1443"/>
      <c r="F123" s="3269"/>
      <c r="G123" s="1443"/>
      <c r="H123" s="1443"/>
      <c r="I123" s="1443"/>
      <c r="J123" s="1443"/>
      <c r="K123" s="1443"/>
      <c r="L123" s="1443"/>
      <c r="M123" s="1443"/>
      <c r="N123" s="1443"/>
      <c r="O123" s="1443"/>
      <c r="P123" s="1443"/>
      <c r="Q123" s="1443"/>
      <c r="R123" s="1443"/>
      <c r="S123" s="1443"/>
      <c r="T123" s="1443"/>
      <c r="U123" s="1443"/>
      <c r="V123" s="1443"/>
      <c r="W123" s="1443"/>
      <c r="X123" s="3756"/>
      <c r="Y123" s="1943" t="s">
        <v>3200</v>
      </c>
      <c r="Z123" s="6691">
        <v>24</v>
      </c>
      <c r="AA123" s="6692"/>
      <c r="AB123" s="6693" t="str">
        <f>IF(AL121,$AR$22,"")</f>
        <v/>
      </c>
      <c r="AC123" s="6694"/>
      <c r="AD123" s="6694"/>
      <c r="AE123" s="6694"/>
      <c r="AF123" s="6694"/>
      <c r="AG123" s="6694"/>
      <c r="AH123" s="6694"/>
      <c r="AI123" s="6695"/>
      <c r="AJ123" s="6696"/>
      <c r="AK123" s="6697"/>
      <c r="AL123" s="1965"/>
      <c r="AM123" s="1443"/>
      <c r="AN123" s="1443"/>
      <c r="AO123" s="1443"/>
      <c r="AP123" s="3350"/>
      <c r="AQ123" s="1616" t="s">
        <v>54</v>
      </c>
      <c r="AR123" s="6686">
        <f>IF(C23&lt;&gt;"",$AL$120,0)</f>
        <v>0</v>
      </c>
      <c r="AS123" s="6686"/>
      <c r="AT123" s="6686"/>
      <c r="AU123" s="6686"/>
      <c r="AV123" s="1443"/>
      <c r="AW123" s="1443"/>
      <c r="AX123" s="3742"/>
      <c r="AY123" s="5016"/>
      <c r="AZ123" s="5016"/>
      <c r="BA123" s="5016"/>
      <c r="BB123" s="5016"/>
      <c r="BC123" s="5016"/>
      <c r="BD123" s="5016"/>
      <c r="BE123" s="5016"/>
      <c r="BF123" s="5016"/>
      <c r="BG123" s="5016"/>
      <c r="BH123" s="5016"/>
    </row>
    <row r="124" spans="1:60" ht="14.25" customHeight="1">
      <c r="A124" s="5088"/>
      <c r="B124" s="6884">
        <v>25</v>
      </c>
      <c r="C124" s="6884"/>
      <c r="D124" s="1607" t="s">
        <v>2813</v>
      </c>
      <c r="E124" s="1443"/>
      <c r="F124" s="3269"/>
      <c r="G124" s="1443"/>
      <c r="H124" s="1443"/>
      <c r="I124" s="1443"/>
      <c r="J124" s="1443"/>
      <c r="K124" s="1443"/>
      <c r="L124" s="1443"/>
      <c r="M124" s="1443"/>
      <c r="N124" s="1443"/>
      <c r="O124" s="1443"/>
      <c r="P124" s="1443"/>
      <c r="Q124" s="1443"/>
      <c r="R124" s="1443"/>
      <c r="S124" s="1443"/>
      <c r="T124" s="1443"/>
      <c r="U124" s="1443"/>
      <c r="V124" s="1443"/>
      <c r="W124" s="1443"/>
      <c r="X124" s="3756"/>
      <c r="Y124" s="1943" t="s">
        <v>2426</v>
      </c>
      <c r="Z124" s="6691">
        <v>25</v>
      </c>
      <c r="AA124" s="6692"/>
      <c r="AB124" s="6693" t="str">
        <f>IF(AL121,$AR$24,"")</f>
        <v/>
      </c>
      <c r="AC124" s="6694"/>
      <c r="AD124" s="6694"/>
      <c r="AE124" s="6694"/>
      <c r="AF124" s="6694"/>
      <c r="AG124" s="6694"/>
      <c r="AH124" s="6694"/>
      <c r="AI124" s="6695"/>
      <c r="AJ124" s="6696"/>
      <c r="AK124" s="6697"/>
      <c r="AL124" s="1965"/>
      <c r="AM124" s="1443"/>
      <c r="AN124" s="1443"/>
      <c r="AO124" s="1443"/>
      <c r="AP124" s="3350"/>
      <c r="AQ124" s="1616" t="s">
        <v>55</v>
      </c>
      <c r="AR124" s="6686">
        <f>IF(K21&lt;&gt;"",$AL$120,0)</f>
        <v>0</v>
      </c>
      <c r="AS124" s="6686"/>
      <c r="AT124" s="6686"/>
      <c r="AU124" s="6686"/>
      <c r="AV124" s="1443"/>
      <c r="AW124" s="1443"/>
      <c r="AX124" s="3742"/>
      <c r="AY124" s="5016"/>
      <c r="AZ124" s="5016"/>
      <c r="BA124" s="5016"/>
      <c r="BB124" s="5016"/>
      <c r="BC124" s="5016"/>
      <c r="BD124" s="5016"/>
      <c r="BE124" s="5016"/>
      <c r="BF124" s="5016"/>
      <c r="BG124" s="5016"/>
      <c r="BH124" s="5016"/>
    </row>
    <row r="125" spans="1:60" ht="14.25" customHeight="1">
      <c r="A125" s="5088"/>
      <c r="B125" s="6884">
        <v>26</v>
      </c>
      <c r="C125" s="6884"/>
      <c r="D125" s="1607" t="s">
        <v>2814</v>
      </c>
      <c r="E125" s="1443"/>
      <c r="F125" s="3269"/>
      <c r="G125" s="1443"/>
      <c r="H125" s="1443"/>
      <c r="I125" s="1443"/>
      <c r="J125" s="1443"/>
      <c r="K125" s="1443"/>
      <c r="L125" s="1443"/>
      <c r="M125" s="1443"/>
      <c r="N125" s="1443"/>
      <c r="O125" s="1443"/>
      <c r="P125" s="1443"/>
      <c r="Q125" s="1443"/>
      <c r="R125" s="1443"/>
      <c r="S125" s="1443"/>
      <c r="T125" s="1443"/>
      <c r="U125" s="1443"/>
      <c r="V125" s="1443"/>
      <c r="W125" s="1443"/>
      <c r="X125" s="3756"/>
      <c r="Y125" s="1943" t="s">
        <v>2426</v>
      </c>
      <c r="Z125" s="6691">
        <v>26</v>
      </c>
      <c r="AA125" s="6692"/>
      <c r="AB125" s="6693" t="str">
        <f>IF(AL121,$AR$26,"")</f>
        <v/>
      </c>
      <c r="AC125" s="6694"/>
      <c r="AD125" s="6694"/>
      <c r="AE125" s="6694"/>
      <c r="AF125" s="6694"/>
      <c r="AG125" s="6694"/>
      <c r="AH125" s="6694"/>
      <c r="AI125" s="6695"/>
      <c r="AJ125" s="6696"/>
      <c r="AK125" s="6697"/>
      <c r="AL125" s="1965"/>
      <c r="AM125" s="1443"/>
      <c r="AN125" s="1443"/>
      <c r="AO125" s="1443"/>
      <c r="AP125" s="3350"/>
      <c r="AQ125" s="1616" t="s">
        <v>102</v>
      </c>
      <c r="AR125" s="6686">
        <f>IF(K23&lt;&gt;"",$AL$120,0)</f>
        <v>0</v>
      </c>
      <c r="AS125" s="6686"/>
      <c r="AT125" s="6686"/>
      <c r="AU125" s="6686"/>
      <c r="AV125" s="1443"/>
      <c r="AW125" s="1443"/>
      <c r="AX125" s="3742"/>
      <c r="AY125" s="5016"/>
      <c r="AZ125" s="5016"/>
      <c r="BA125" s="5016"/>
      <c r="BB125" s="5016"/>
      <c r="BC125" s="5016"/>
      <c r="BD125" s="5016"/>
      <c r="BE125" s="5016"/>
      <c r="BF125" s="5016"/>
      <c r="BG125" s="5016"/>
      <c r="BH125" s="5016"/>
    </row>
    <row r="126" spans="1:60" ht="14.25" customHeight="1">
      <c r="A126" s="5088"/>
      <c r="B126" s="6884">
        <v>27</v>
      </c>
      <c r="C126" s="6884"/>
      <c r="D126" s="1607" t="s">
        <v>3524</v>
      </c>
      <c r="E126" s="1443"/>
      <c r="F126" s="3269"/>
      <c r="G126" s="1443"/>
      <c r="H126" s="1443"/>
      <c r="I126" s="1443"/>
      <c r="J126" s="1443"/>
      <c r="K126" s="1443"/>
      <c r="L126" s="1443"/>
      <c r="M126" s="1443"/>
      <c r="N126" s="1443"/>
      <c r="O126" s="1443"/>
      <c r="P126" s="1443"/>
      <c r="Q126" s="1443"/>
      <c r="R126" s="1443"/>
      <c r="S126" s="1443"/>
      <c r="T126" s="1443"/>
      <c r="U126" s="1443"/>
      <c r="V126" s="1443"/>
      <c r="W126" s="1443"/>
      <c r="X126" s="3756"/>
      <c r="Y126" s="1943" t="s">
        <v>3200</v>
      </c>
      <c r="Z126" s="6691">
        <v>27</v>
      </c>
      <c r="AA126" s="6692"/>
      <c r="AB126" s="6693" t="str">
        <f>IF(AL121,$AR$28,"")</f>
        <v/>
      </c>
      <c r="AC126" s="6694"/>
      <c r="AD126" s="6694"/>
      <c r="AE126" s="6694"/>
      <c r="AF126" s="6694"/>
      <c r="AG126" s="6694"/>
      <c r="AH126" s="6694"/>
      <c r="AI126" s="6695"/>
      <c r="AJ126" s="6696"/>
      <c r="AK126" s="6697"/>
      <c r="AL126" s="1965"/>
      <c r="AM126" s="1443"/>
      <c r="AN126" s="1443"/>
      <c r="AO126" s="1443"/>
      <c r="AP126" s="3350"/>
      <c r="AQ126" s="1616" t="s">
        <v>1201</v>
      </c>
      <c r="AR126" s="6686">
        <f>IF(W21&lt;&gt;"",$AL$120,0)</f>
        <v>0</v>
      </c>
      <c r="AS126" s="6686"/>
      <c r="AT126" s="6686"/>
      <c r="AU126" s="6686"/>
      <c r="AV126" s="1443"/>
      <c r="AW126" s="1443"/>
      <c r="AX126" s="3742"/>
      <c r="AY126" s="5016"/>
      <c r="AZ126" s="5016"/>
      <c r="BA126" s="5016"/>
      <c r="BB126" s="5016"/>
      <c r="BC126" s="5016"/>
      <c r="BD126" s="5016"/>
      <c r="BE126" s="5016"/>
      <c r="BF126" s="5016"/>
      <c r="BG126" s="5016"/>
      <c r="BH126" s="5016"/>
    </row>
    <row r="127" spans="1:60" ht="14.25" customHeight="1">
      <c r="A127" s="5088"/>
      <c r="B127" s="6884">
        <v>28</v>
      </c>
      <c r="C127" s="6884"/>
      <c r="D127" s="1607" t="s">
        <v>2815</v>
      </c>
      <c r="E127" s="1443"/>
      <c r="F127" s="3269"/>
      <c r="G127" s="1443"/>
      <c r="H127" s="1443"/>
      <c r="I127" s="1443"/>
      <c r="J127" s="1443"/>
      <c r="K127" s="1443"/>
      <c r="L127" s="1443"/>
      <c r="M127" s="1443"/>
      <c r="N127" s="1443"/>
      <c r="O127" s="1443"/>
      <c r="P127" s="1443"/>
      <c r="Q127" s="1443"/>
      <c r="R127" s="1443"/>
      <c r="S127" s="1443"/>
      <c r="T127" s="1443"/>
      <c r="U127" s="1443"/>
      <c r="V127" s="1443"/>
      <c r="W127" s="1443"/>
      <c r="X127" s="3756"/>
      <c r="Y127" s="1943" t="s">
        <v>2482</v>
      </c>
      <c r="Z127" s="6691">
        <v>28</v>
      </c>
      <c r="AA127" s="6692"/>
      <c r="AB127" s="6693" t="str">
        <f>IF(AL121,$AR$29,"")</f>
        <v/>
      </c>
      <c r="AC127" s="6694"/>
      <c r="AD127" s="6694"/>
      <c r="AE127" s="6694"/>
      <c r="AF127" s="6694"/>
      <c r="AG127" s="6694"/>
      <c r="AH127" s="6694"/>
      <c r="AI127" s="6695"/>
      <c r="AJ127" s="6696"/>
      <c r="AK127" s="6697"/>
      <c r="AL127" s="1965"/>
      <c r="AM127" s="1443"/>
      <c r="AN127" s="1443"/>
      <c r="AO127" s="1443"/>
      <c r="AP127" s="3350"/>
      <c r="AQ127" s="1616" t="s">
        <v>1202</v>
      </c>
      <c r="AR127" s="6686">
        <f>IF(W23&lt;&gt;"",$AL$120,0)</f>
        <v>0</v>
      </c>
      <c r="AS127" s="6686"/>
      <c r="AT127" s="6686"/>
      <c r="AU127" s="6686"/>
      <c r="AV127" s="1443"/>
      <c r="AW127" s="1443"/>
      <c r="AX127" s="3742"/>
      <c r="AY127" s="5016"/>
      <c r="AZ127" s="5016"/>
      <c r="BA127" s="5016"/>
      <c r="BB127" s="5016"/>
      <c r="BC127" s="5016"/>
      <c r="BD127" s="5016"/>
      <c r="BE127" s="5016"/>
      <c r="BF127" s="5016"/>
      <c r="BG127" s="5016"/>
      <c r="BH127" s="5016"/>
    </row>
    <row r="128" spans="1:60" ht="14.25" customHeight="1" thickBot="1">
      <c r="A128" s="5088"/>
      <c r="B128" s="6884">
        <v>29</v>
      </c>
      <c r="C128" s="6884"/>
      <c r="D128" s="1607" t="s">
        <v>2816</v>
      </c>
      <c r="E128" s="1443"/>
      <c r="F128" s="3269"/>
      <c r="G128" s="1443"/>
      <c r="H128" s="1443"/>
      <c r="I128" s="1443"/>
      <c r="J128" s="1443"/>
      <c r="K128" s="1443"/>
      <c r="L128" s="1443"/>
      <c r="M128" s="1443"/>
      <c r="N128" s="1443"/>
      <c r="O128" s="1443"/>
      <c r="P128" s="1443"/>
      <c r="Q128" s="1443"/>
      <c r="R128" s="1443"/>
      <c r="S128" s="1443"/>
      <c r="T128" s="1443"/>
      <c r="U128" s="1443"/>
      <c r="V128" s="1443"/>
      <c r="W128" s="1443"/>
      <c r="X128" s="3756"/>
      <c r="Y128" s="1943" t="s">
        <v>3200</v>
      </c>
      <c r="Z128" s="6708">
        <v>29</v>
      </c>
      <c r="AA128" s="6709"/>
      <c r="AB128" s="6710" t="str">
        <f>IF(AL121,$AR$30,"")</f>
        <v/>
      </c>
      <c r="AC128" s="6711"/>
      <c r="AD128" s="6711"/>
      <c r="AE128" s="6711"/>
      <c r="AF128" s="6711"/>
      <c r="AG128" s="6711"/>
      <c r="AH128" s="6711"/>
      <c r="AI128" s="6712"/>
      <c r="AJ128" s="6696"/>
      <c r="AK128" s="6697"/>
      <c r="AL128" s="1965"/>
      <c r="AM128" s="1443"/>
      <c r="AN128" s="1443"/>
      <c r="AO128" s="1443"/>
      <c r="AP128" s="3350"/>
      <c r="AQ128" s="1616" t="s">
        <v>2693</v>
      </c>
      <c r="AR128" s="6686">
        <f>IF(AI21&lt;&gt;"",$AL$120,0)</f>
        <v>0</v>
      </c>
      <c r="AS128" s="6686"/>
      <c r="AT128" s="6686"/>
      <c r="AU128" s="6686"/>
      <c r="AV128" s="1443"/>
      <c r="AW128" s="1443"/>
      <c r="AX128" s="3742"/>
      <c r="AY128" s="5016"/>
      <c r="AZ128" s="5016"/>
      <c r="BA128" s="5016"/>
      <c r="BB128" s="5016"/>
      <c r="BC128" s="5016"/>
      <c r="BD128" s="5016"/>
      <c r="BE128" s="5016"/>
      <c r="BF128" s="5016"/>
      <c r="BG128" s="5016"/>
      <c r="BH128" s="5016"/>
    </row>
    <row r="129" spans="1:60" ht="14.25" customHeight="1">
      <c r="A129" s="5088"/>
      <c r="B129" s="6884">
        <v>30</v>
      </c>
      <c r="C129" s="6884"/>
      <c r="D129" s="1607" t="s">
        <v>3525</v>
      </c>
      <c r="E129" s="1443"/>
      <c r="F129" s="3269"/>
      <c r="G129" s="1443"/>
      <c r="H129" s="1443"/>
      <c r="I129" s="1443"/>
      <c r="J129" s="1443"/>
      <c r="K129" s="1443"/>
      <c r="L129" s="1443"/>
      <c r="M129" s="1443"/>
      <c r="N129" s="1443"/>
      <c r="O129" s="1443"/>
      <c r="P129" s="1443"/>
      <c r="Q129" s="1443"/>
      <c r="R129" s="1443"/>
      <c r="S129" s="1443"/>
      <c r="T129" s="1443"/>
      <c r="U129" s="1443"/>
      <c r="V129" s="1443"/>
      <c r="W129" s="1443"/>
      <c r="X129" s="1443"/>
      <c r="Y129" s="1443"/>
      <c r="Z129" s="2254"/>
      <c r="AA129" s="2254"/>
      <c r="AB129" s="1443"/>
      <c r="AC129" s="1443"/>
      <c r="AD129" s="1443"/>
      <c r="AE129" s="1443"/>
      <c r="AF129" s="1443"/>
      <c r="AG129" s="1443"/>
      <c r="AH129" s="1443"/>
      <c r="AI129" s="1943" t="s">
        <v>3542</v>
      </c>
      <c r="AJ129" s="6691">
        <v>30</v>
      </c>
      <c r="AK129" s="6692"/>
      <c r="AL129" s="6739" t="str">
        <f>IF(NOT(AL121),"",SUM(AB122:AI125))</f>
        <v/>
      </c>
      <c r="AM129" s="5861"/>
      <c r="AN129" s="5861"/>
      <c r="AO129" s="5861"/>
      <c r="AP129" s="3350"/>
      <c r="AQ129" s="3853"/>
      <c r="AR129" s="6766"/>
      <c r="AS129" s="6766"/>
      <c r="AT129" s="6766"/>
      <c r="AU129" s="6766"/>
      <c r="AV129" s="1922"/>
      <c r="AW129" s="1922"/>
      <c r="AX129" s="3742"/>
      <c r="AY129" s="5025" t="s">
        <v>4730</v>
      </c>
      <c r="AZ129" s="5016"/>
      <c r="BA129" s="5016"/>
      <c r="BB129" s="5027" t="str">
        <f>IF(ISERROR(SUM(AL117,-ForeignTaxCredit_1))," ---",MAX(SUM(AL117,-ForeignTaxCredit_1),0))</f>
        <v xml:space="preserve"> ---</v>
      </c>
      <c r="BC129" s="5029" t="s">
        <v>4731</v>
      </c>
      <c r="BD129" s="5016"/>
      <c r="BE129" s="5016"/>
      <c r="BF129" s="5016"/>
      <c r="BG129" s="5016"/>
      <c r="BH129" s="5016"/>
    </row>
    <row r="130" spans="1:60" ht="14.25" customHeight="1">
      <c r="A130" s="5088"/>
      <c r="B130" s="6884">
        <v>31</v>
      </c>
      <c r="C130" s="6884"/>
      <c r="D130" s="1607" t="s">
        <v>3526</v>
      </c>
      <c r="E130" s="1443"/>
      <c r="F130" s="3269"/>
      <c r="G130" s="1443"/>
      <c r="H130" s="1443"/>
      <c r="I130" s="1443"/>
      <c r="J130" s="1443"/>
      <c r="K130" s="1443"/>
      <c r="L130" s="1443"/>
      <c r="M130" s="1443"/>
      <c r="N130" s="1443"/>
      <c r="O130" s="1443"/>
      <c r="P130" s="1443"/>
      <c r="Q130" s="1443"/>
      <c r="R130" s="1443"/>
      <c r="S130" s="1443"/>
      <c r="T130" s="1443"/>
      <c r="U130" s="1443"/>
      <c r="V130" s="1443"/>
      <c r="W130" s="1443"/>
      <c r="X130" s="1443"/>
      <c r="Y130" s="1443"/>
      <c r="Z130" s="2254"/>
      <c r="AA130" s="2254"/>
      <c r="AB130" s="1443"/>
      <c r="AC130" s="1443"/>
      <c r="AD130" s="1443"/>
      <c r="AE130" s="1443"/>
      <c r="AF130" s="1443"/>
      <c r="AG130" s="1443"/>
      <c r="AH130" s="1443"/>
      <c r="AI130" s="1943" t="s">
        <v>4281</v>
      </c>
      <c r="AJ130" s="6691">
        <v>31</v>
      </c>
      <c r="AK130" s="6692"/>
      <c r="AL130" s="6739" t="str">
        <f>IF(NOT(AQ18),AL120,IF(ISERROR(MIN(AL114,AL129)),"",MIN(AL114,AL129)))</f>
        <v/>
      </c>
      <c r="AM130" s="5861"/>
      <c r="AN130" s="5861"/>
      <c r="AO130" s="5861"/>
      <c r="AP130" s="3350"/>
      <c r="AQ130" s="1443"/>
      <c r="AR130" s="1443"/>
      <c r="AS130" s="1443"/>
      <c r="AT130" s="1443"/>
      <c r="AU130" s="1443"/>
      <c r="AV130" s="1443"/>
      <c r="AW130" s="1443"/>
      <c r="AX130" s="3742"/>
      <c r="AY130" s="5025" t="s">
        <v>4732</v>
      </c>
      <c r="AZ130" s="5016"/>
      <c r="BA130" s="5016"/>
      <c r="BB130" s="5028" t="str">
        <f>IF(ISERROR(SUM(AL95,-ForeignTaxCredit_1))," ---",MAX(SUM(AL95,-ForeignTaxCredit_1),0))</f>
        <v xml:space="preserve"> ---</v>
      </c>
      <c r="BC130" s="5029" t="s">
        <v>4733</v>
      </c>
      <c r="BD130" s="5016"/>
      <c r="BE130" s="5016"/>
      <c r="BF130" s="5016"/>
      <c r="BG130" s="5016"/>
      <c r="BH130" s="5016"/>
    </row>
    <row r="131" spans="1:60" ht="14.25" customHeight="1" thickBot="1">
      <c r="A131" s="5088"/>
      <c r="B131" s="6884">
        <v>32</v>
      </c>
      <c r="C131" s="6884"/>
      <c r="D131" s="1607" t="s">
        <v>2818</v>
      </c>
      <c r="E131" s="1443"/>
      <c r="F131" s="3269"/>
      <c r="G131" s="1443"/>
      <c r="H131" s="1443"/>
      <c r="I131" s="1443"/>
      <c r="J131" s="1443"/>
      <c r="K131" s="1443"/>
      <c r="L131" s="1443"/>
      <c r="M131" s="1443"/>
      <c r="N131" s="1443"/>
      <c r="O131" s="1443"/>
      <c r="P131" s="1443"/>
      <c r="Q131" s="1443"/>
      <c r="R131" s="1443"/>
      <c r="S131" s="1443"/>
      <c r="T131" s="1443"/>
      <c r="U131" s="1443"/>
      <c r="V131" s="1443"/>
      <c r="W131" s="1443"/>
      <c r="X131" s="1443"/>
      <c r="Y131" s="1443"/>
      <c r="Z131" s="2254"/>
      <c r="AA131" s="2254"/>
      <c r="AB131" s="1443"/>
      <c r="AC131" s="1443"/>
      <c r="AD131" s="1443"/>
      <c r="AE131" s="1443"/>
      <c r="AF131" s="1443"/>
      <c r="AG131" s="1443"/>
      <c r="AH131" s="1443"/>
      <c r="AI131" s="1943" t="s">
        <v>2482</v>
      </c>
      <c r="AJ131" s="6708">
        <v>32</v>
      </c>
      <c r="AK131" s="6709"/>
      <c r="AL131" s="6773"/>
      <c r="AM131" s="6774"/>
      <c r="AN131" s="6774"/>
      <c r="AO131" s="6774"/>
      <c r="AP131" s="3350"/>
      <c r="AQ131" s="1443"/>
      <c r="AR131" s="1443"/>
      <c r="AS131" s="1443"/>
      <c r="AT131" s="1443"/>
      <c r="AU131" s="1443"/>
      <c r="AV131" s="1443"/>
      <c r="AW131" s="1443"/>
      <c r="AX131" s="3742"/>
      <c r="AY131" s="5016"/>
      <c r="AZ131" s="5016"/>
      <c r="BA131" s="5016"/>
      <c r="BB131" s="5016"/>
      <c r="BC131" s="5016"/>
      <c r="BD131" s="5016"/>
      <c r="BE131" s="5016"/>
      <c r="BF131" s="5016"/>
      <c r="BG131" s="5016"/>
      <c r="BH131" s="5016"/>
    </row>
    <row r="132" spans="1:60" ht="14.25" customHeight="1">
      <c r="A132" s="5088"/>
      <c r="B132" s="6884">
        <v>33</v>
      </c>
      <c r="C132" s="6884"/>
      <c r="D132" s="1607" t="s">
        <v>3527</v>
      </c>
      <c r="E132" s="1443"/>
      <c r="F132" s="1443"/>
      <c r="G132" s="1443"/>
      <c r="H132" s="1443"/>
      <c r="I132" s="1443"/>
      <c r="J132" s="1443"/>
      <c r="K132" s="1443"/>
      <c r="L132" s="1443"/>
      <c r="M132" s="1443"/>
      <c r="N132" s="1443"/>
      <c r="O132" s="1443"/>
      <c r="P132" s="1443"/>
      <c r="Q132" s="1443"/>
      <c r="R132" s="1443"/>
      <c r="S132" s="1443"/>
      <c r="T132" s="1617"/>
      <c r="U132" s="1443"/>
      <c r="V132" s="1443"/>
      <c r="W132" s="1443"/>
      <c r="X132" s="1443"/>
      <c r="Y132" s="1443"/>
      <c r="Z132" s="1443"/>
      <c r="AA132" s="1443"/>
      <c r="AB132" s="1443"/>
      <c r="AC132" s="1443"/>
      <c r="AD132" s="1443"/>
      <c r="AE132" s="1443"/>
      <c r="AF132" s="1443"/>
      <c r="AG132" s="1443"/>
      <c r="AH132" s="1443"/>
      <c r="AI132" s="1443"/>
      <c r="AJ132" s="6742"/>
      <c r="AK132" s="6743"/>
      <c r="AL132" s="1965"/>
      <c r="AM132" s="1443"/>
      <c r="AN132" s="1443"/>
      <c r="AO132" s="1443"/>
      <c r="AP132" s="3350"/>
      <c r="AQ132" s="3350"/>
      <c r="AR132" s="3350"/>
      <c r="AS132" s="3350"/>
      <c r="AT132" s="3350"/>
      <c r="AU132" s="3350"/>
      <c r="AV132" s="1443"/>
      <c r="AW132" s="1443"/>
      <c r="AX132" s="3742"/>
      <c r="AY132" s="5025" t="s">
        <v>4734</v>
      </c>
      <c r="AZ132" s="5016"/>
      <c r="BA132" s="5016"/>
      <c r="BB132" s="5016"/>
      <c r="BC132" s="5016"/>
      <c r="BD132" s="5016"/>
      <c r="BE132" s="5016"/>
      <c r="BF132" s="5016"/>
      <c r="BG132" s="5016"/>
      <c r="BH132" s="5016"/>
    </row>
    <row r="133" spans="1:60" ht="14.25" customHeight="1" thickBot="1">
      <c r="A133" s="5088"/>
      <c r="B133" s="4845"/>
      <c r="C133" s="4845"/>
      <c r="D133" s="2123" t="s">
        <v>3528</v>
      </c>
      <c r="E133" s="1612"/>
      <c r="F133" s="1612"/>
      <c r="G133" s="1612"/>
      <c r="H133" s="1612"/>
      <c r="I133" s="1612"/>
      <c r="J133" s="1612"/>
      <c r="K133" s="1612"/>
      <c r="L133" s="1612"/>
      <c r="M133" s="1612"/>
      <c r="N133" s="1612"/>
      <c r="O133" s="1612"/>
      <c r="P133" s="1612"/>
      <c r="Q133" s="1612"/>
      <c r="R133" s="1612"/>
      <c r="S133" s="1612"/>
      <c r="T133" s="3410"/>
      <c r="U133" s="1612"/>
      <c r="V133" s="1612"/>
      <c r="W133" s="1612"/>
      <c r="X133" s="1612"/>
      <c r="Y133" s="1612"/>
      <c r="Z133" s="1612"/>
      <c r="AA133" s="1612"/>
      <c r="AB133" s="1612"/>
      <c r="AC133" s="1612"/>
      <c r="AD133" s="1612"/>
      <c r="AE133" s="1612"/>
      <c r="AF133" s="1612"/>
      <c r="AG133" s="1612"/>
      <c r="AH133" s="1612"/>
      <c r="AI133" s="4210" t="s">
        <v>3417</v>
      </c>
      <c r="AJ133" s="6757">
        <v>33</v>
      </c>
      <c r="AK133" s="6758"/>
      <c r="AL133" s="6759" t="str">
        <f>IF(AQ133&lt;&gt;"",ROUND(AQ133,0),IF(AND(AL119=1,AO20=1),AL120,IF(NOT(AL121),"",IF(ISERROR(SUM(AL130,-AL131)),"",SUM(AL130,-AL131)))))</f>
        <v/>
      </c>
      <c r="AM133" s="6760"/>
      <c r="AN133" s="6760"/>
      <c r="AO133" s="6760"/>
      <c r="AP133" s="3350"/>
      <c r="AQ133" s="6715"/>
      <c r="AR133" s="6716"/>
      <c r="AS133" s="6716"/>
      <c r="AT133" s="6716"/>
      <c r="AU133" s="3350"/>
      <c r="AV133" s="1443"/>
      <c r="AW133" s="1443"/>
      <c r="AX133" s="3742"/>
      <c r="AY133" s="5025" t="s">
        <v>4735</v>
      </c>
      <c r="AZ133" s="5016"/>
      <c r="BA133" s="5016"/>
      <c r="BB133" s="5016"/>
      <c r="BC133" s="5016"/>
      <c r="BD133" s="5016"/>
      <c r="BE133" s="5016"/>
      <c r="BF133" s="5016"/>
      <c r="BG133" s="5016"/>
      <c r="BH133" s="5016"/>
    </row>
    <row r="134" spans="1:60" ht="18" customHeight="1">
      <c r="A134" s="5088"/>
      <c r="B134" s="3287"/>
      <c r="C134" s="3285"/>
      <c r="D134" s="1443"/>
      <c r="E134" s="1443"/>
      <c r="F134" s="1443"/>
      <c r="G134" s="1443"/>
      <c r="H134" s="1443"/>
      <c r="I134" s="1443"/>
      <c r="J134" s="1443"/>
      <c r="K134" s="1443"/>
      <c r="L134" s="1443"/>
      <c r="M134" s="1443"/>
      <c r="N134" s="1443"/>
      <c r="O134" s="1443"/>
      <c r="P134" s="1443"/>
      <c r="Q134" s="1443"/>
      <c r="R134" s="1443"/>
      <c r="S134" s="1443"/>
      <c r="T134" s="1443"/>
      <c r="U134" s="1443"/>
      <c r="V134" s="1443"/>
      <c r="W134" s="1443"/>
      <c r="X134" s="1443"/>
      <c r="Y134" s="1443"/>
      <c r="Z134" s="1443"/>
      <c r="AA134" s="1443"/>
      <c r="AB134" s="1443"/>
      <c r="AC134" s="1443"/>
      <c r="AD134" s="1443"/>
      <c r="AE134" s="1443"/>
      <c r="AF134" s="1443"/>
      <c r="AG134" s="1443"/>
      <c r="AH134" s="1443"/>
      <c r="AI134" s="1443"/>
      <c r="AJ134" s="1443"/>
      <c r="AK134" s="2541"/>
      <c r="AL134" s="1443"/>
      <c r="AM134" s="1443"/>
      <c r="AN134" s="2541" t="s">
        <v>2819</v>
      </c>
      <c r="AO134" s="2379" t="str">
        <f>"("&amp;TaxYear&amp;")"</f>
        <v>(2018)</v>
      </c>
      <c r="AP134" s="3350"/>
      <c r="AQ134" s="3350"/>
      <c r="AR134" s="3350"/>
      <c r="AS134" s="3350"/>
      <c r="AT134" s="3350"/>
      <c r="AU134" s="3350"/>
      <c r="AV134" s="1443"/>
      <c r="AW134" s="1443"/>
      <c r="AX134" s="3742"/>
      <c r="AY134" s="5026" t="s">
        <v>4736</v>
      </c>
      <c r="AZ134" s="5016"/>
      <c r="BA134" s="5016"/>
      <c r="BB134" s="5016"/>
      <c r="BC134" s="5016"/>
      <c r="BD134" s="5016"/>
      <c r="BE134" s="5016"/>
      <c r="BF134" s="5016"/>
      <c r="BG134" s="5016"/>
      <c r="BH134" s="5016"/>
    </row>
    <row r="135" spans="1:60" ht="8.25" customHeight="1">
      <c r="A135" s="5088"/>
      <c r="B135" s="3350"/>
      <c r="C135" s="3350"/>
      <c r="D135" s="3350"/>
      <c r="E135" s="3350"/>
      <c r="F135" s="3350"/>
      <c r="G135" s="3350"/>
      <c r="H135" s="3350"/>
      <c r="I135" s="3350"/>
      <c r="J135" s="3350"/>
      <c r="K135" s="3350"/>
      <c r="L135" s="3350"/>
      <c r="M135" s="3350"/>
      <c r="N135" s="3350"/>
      <c r="O135" s="3350"/>
      <c r="P135" s="3350"/>
      <c r="Q135" s="3350"/>
      <c r="R135" s="3350"/>
      <c r="S135" s="3350"/>
      <c r="T135" s="3350"/>
      <c r="U135" s="3350"/>
      <c r="V135" s="3350"/>
      <c r="W135" s="3350"/>
      <c r="X135" s="3350"/>
      <c r="Y135" s="3350"/>
      <c r="Z135" s="3350"/>
      <c r="AA135" s="3350"/>
      <c r="AB135" s="3350"/>
      <c r="AC135" s="3350"/>
      <c r="AD135" s="3350"/>
      <c r="AE135" s="3350"/>
      <c r="AF135" s="3350"/>
      <c r="AG135" s="3350"/>
      <c r="AH135" s="3350"/>
      <c r="AI135" s="3350"/>
      <c r="AJ135" s="3350"/>
      <c r="AK135" s="3350"/>
      <c r="AL135" s="3350"/>
      <c r="AM135" s="3350"/>
      <c r="AN135" s="3350"/>
      <c r="AO135" s="3350"/>
      <c r="AP135" s="3350"/>
      <c r="AQ135" s="1443"/>
      <c r="AR135" s="1443"/>
      <c r="AS135" s="1443"/>
      <c r="AT135" s="1443"/>
      <c r="AU135" s="1443"/>
      <c r="AV135" s="1443"/>
      <c r="AW135" s="1443"/>
      <c r="AX135" s="3741"/>
      <c r="AY135" s="5016"/>
      <c r="AZ135" s="5016"/>
      <c r="BA135" s="5016"/>
      <c r="BB135" s="5016"/>
      <c r="BC135" s="5016"/>
      <c r="BD135" s="5016"/>
      <c r="BE135" s="5016"/>
      <c r="BF135" s="5016"/>
      <c r="BG135" s="5016"/>
      <c r="BH135" s="5016"/>
    </row>
    <row r="136" spans="1:60" ht="12.75" customHeight="1">
      <c r="A136" s="5088"/>
      <c r="B136" s="5679" t="s">
        <v>4552</v>
      </c>
      <c r="C136" s="5680"/>
      <c r="D136" s="5680"/>
      <c r="E136" s="5680"/>
      <c r="F136" s="5680"/>
      <c r="G136" s="5680"/>
      <c r="H136" s="4205"/>
      <c r="I136" s="4078"/>
      <c r="J136" s="4078"/>
      <c r="K136" s="4078"/>
      <c r="L136" s="4078"/>
      <c r="M136" s="4078"/>
      <c r="N136" s="4078"/>
      <c r="O136" s="4078"/>
      <c r="P136" s="4078"/>
      <c r="Q136" s="4078"/>
      <c r="R136" s="4078"/>
      <c r="S136" s="4078"/>
      <c r="T136" s="4078"/>
      <c r="U136" s="4078"/>
      <c r="V136" s="4078"/>
      <c r="W136" s="4078"/>
      <c r="X136" s="4078"/>
      <c r="Y136" s="4078"/>
      <c r="Z136" s="4078"/>
      <c r="AA136" s="4078"/>
      <c r="AB136" s="4078"/>
      <c r="AC136" s="4078"/>
      <c r="AD136" s="4078"/>
      <c r="AE136" s="4078"/>
      <c r="AF136" s="4078"/>
      <c r="AG136" s="4078"/>
      <c r="AH136" s="4093"/>
      <c r="AI136" s="6397" t="s">
        <v>2787</v>
      </c>
      <c r="AJ136" s="6251"/>
      <c r="AK136" s="6251"/>
      <c r="AL136" s="6251"/>
      <c r="AM136" s="6251"/>
      <c r="AN136" s="6251"/>
      <c r="AO136" s="6251"/>
      <c r="AP136" s="3350"/>
      <c r="AQ136" s="1443"/>
      <c r="AR136" s="1443"/>
      <c r="AS136" s="1443"/>
      <c r="AT136" s="1443"/>
      <c r="AU136" s="1443"/>
      <c r="AV136" s="1443"/>
      <c r="AW136" s="1443"/>
      <c r="AX136" s="3741" t="s">
        <v>2552</v>
      </c>
      <c r="AY136" s="5016"/>
      <c r="AZ136" s="5016"/>
      <c r="BA136" s="5016"/>
      <c r="BB136" s="5016"/>
      <c r="BC136" s="5016"/>
      <c r="BD136" s="5016"/>
      <c r="BE136" s="5016"/>
      <c r="BF136" s="5016"/>
      <c r="BG136" s="5016"/>
      <c r="BH136" s="5016"/>
    </row>
    <row r="137" spans="1:60" ht="22.5" customHeight="1">
      <c r="A137" s="5087"/>
      <c r="B137" s="5680"/>
      <c r="C137" s="5680"/>
      <c r="D137" s="5680"/>
      <c r="E137" s="5680"/>
      <c r="F137" s="5680"/>
      <c r="G137" s="5680"/>
      <c r="H137" s="4208"/>
      <c r="I137" s="4078"/>
      <c r="J137" s="4078"/>
      <c r="K137" s="4078"/>
      <c r="L137" s="4078"/>
      <c r="M137" s="4078"/>
      <c r="N137" s="4078"/>
      <c r="O137" s="4078"/>
      <c r="P137" s="4078"/>
      <c r="Q137" s="4078"/>
      <c r="R137" s="4078"/>
      <c r="S137" s="4078"/>
      <c r="T137" s="4206" t="s">
        <v>2742</v>
      </c>
      <c r="U137" s="4078"/>
      <c r="V137" s="4078"/>
      <c r="W137" s="4078"/>
      <c r="X137" s="4078"/>
      <c r="Y137" s="4078"/>
      <c r="Z137" s="4078"/>
      <c r="AA137" s="4078"/>
      <c r="AB137" s="4078"/>
      <c r="AC137" s="4078"/>
      <c r="AD137" s="4078"/>
      <c r="AE137" s="4078"/>
      <c r="AF137" s="4078"/>
      <c r="AG137" s="4078"/>
      <c r="AH137" s="4207"/>
      <c r="AI137" s="6717">
        <f>TaxYear</f>
        <v>2018</v>
      </c>
      <c r="AJ137" s="6718"/>
      <c r="AK137" s="6718"/>
      <c r="AL137" s="6718"/>
      <c r="AM137" s="6718"/>
      <c r="AN137" s="6718"/>
      <c r="AO137" s="6718"/>
      <c r="AP137" s="3350"/>
      <c r="AQ137" s="1443"/>
      <c r="AR137" s="1443"/>
      <c r="AS137" s="1443"/>
      <c r="AT137" s="1443"/>
      <c r="AU137" s="1443"/>
      <c r="AV137" s="1443"/>
      <c r="AW137" s="1443"/>
      <c r="AX137" s="3742"/>
      <c r="AY137" s="5016"/>
      <c r="AZ137" s="5016"/>
      <c r="BA137" s="5016"/>
      <c r="BB137" s="5016"/>
      <c r="BC137" s="5016"/>
      <c r="BD137" s="5016"/>
      <c r="BE137" s="5016"/>
      <c r="BF137" s="5016"/>
      <c r="BG137" s="5016"/>
      <c r="BH137" s="5016"/>
    </row>
    <row r="138" spans="1:60">
      <c r="A138" s="5088"/>
      <c r="B138" s="2606"/>
      <c r="C138" s="1443"/>
      <c r="D138" s="1443"/>
      <c r="E138" s="1443"/>
      <c r="F138" s="1443"/>
      <c r="G138" s="1443"/>
      <c r="H138" s="6761" t="s">
        <v>2743</v>
      </c>
      <c r="I138" s="6762"/>
      <c r="J138" s="6762"/>
      <c r="K138" s="6762"/>
      <c r="L138" s="6762"/>
      <c r="M138" s="6762"/>
      <c r="N138" s="6762"/>
      <c r="O138" s="6762"/>
      <c r="P138" s="6762"/>
      <c r="Q138" s="6762"/>
      <c r="R138" s="6762"/>
      <c r="S138" s="6762"/>
      <c r="T138" s="6762"/>
      <c r="U138" s="6762"/>
      <c r="V138" s="6762"/>
      <c r="W138" s="6762"/>
      <c r="X138" s="6762"/>
      <c r="Y138" s="6762"/>
      <c r="Z138" s="6762"/>
      <c r="AA138" s="6762"/>
      <c r="AB138" s="6762"/>
      <c r="AC138" s="6762"/>
      <c r="AD138" s="6762"/>
      <c r="AE138" s="6762"/>
      <c r="AF138" s="6762"/>
      <c r="AG138" s="6762"/>
      <c r="AH138" s="6763"/>
      <c r="AI138" s="6719"/>
      <c r="AJ138" s="6720"/>
      <c r="AK138" s="6720"/>
      <c r="AL138" s="6720"/>
      <c r="AM138" s="6720"/>
      <c r="AN138" s="6720"/>
      <c r="AO138" s="6720"/>
      <c r="AP138" s="3350"/>
      <c r="AQ138" s="1443"/>
      <c r="AR138" s="1443"/>
      <c r="AS138" s="1443"/>
      <c r="AT138" s="1443"/>
      <c r="AU138" s="1443"/>
      <c r="AV138" s="1443"/>
      <c r="AW138" s="1443"/>
      <c r="AX138" s="5020" t="s">
        <v>123</v>
      </c>
      <c r="AY138" s="5016"/>
      <c r="AZ138" s="5016"/>
      <c r="BA138" s="5016"/>
      <c r="BB138" s="5016"/>
      <c r="BC138" s="5016"/>
      <c r="BD138" s="5016"/>
      <c r="BE138" s="5016"/>
      <c r="BF138" s="5016"/>
      <c r="BG138" s="5016"/>
      <c r="BH138" s="5016"/>
    </row>
    <row r="139" spans="1:60" ht="11.25" customHeight="1">
      <c r="A139" s="5088"/>
      <c r="B139" s="6405" t="s">
        <v>2674</v>
      </c>
      <c r="C139" s="5628"/>
      <c r="D139" s="5628"/>
      <c r="E139" s="5628"/>
      <c r="F139" s="5628"/>
      <c r="G139" s="6406"/>
      <c r="H139" s="6721" t="s">
        <v>2744</v>
      </c>
      <c r="I139" s="6722"/>
      <c r="J139" s="6722"/>
      <c r="K139" s="6722"/>
      <c r="L139" s="6722"/>
      <c r="M139" s="6722"/>
      <c r="N139" s="6722"/>
      <c r="O139" s="6722"/>
      <c r="P139" s="6722"/>
      <c r="Q139" s="6722"/>
      <c r="R139" s="6722"/>
      <c r="S139" s="6722"/>
      <c r="T139" s="6722"/>
      <c r="U139" s="6722"/>
      <c r="V139" s="6722"/>
      <c r="W139" s="6722"/>
      <c r="X139" s="6722"/>
      <c r="Y139" s="6722"/>
      <c r="Z139" s="6722"/>
      <c r="AA139" s="6722"/>
      <c r="AB139" s="6722"/>
      <c r="AC139" s="6722"/>
      <c r="AD139" s="6722"/>
      <c r="AE139" s="6722"/>
      <c r="AF139" s="6722"/>
      <c r="AG139" s="6722"/>
      <c r="AH139" s="6723"/>
      <c r="AI139" s="6724" t="s">
        <v>2597</v>
      </c>
      <c r="AJ139" s="6725"/>
      <c r="AK139" s="6725"/>
      <c r="AL139" s="6725"/>
      <c r="AM139" s="6725"/>
      <c r="AN139" s="6881">
        <v>19</v>
      </c>
      <c r="AO139" s="6882"/>
      <c r="AP139" s="3350"/>
      <c r="AQ139" s="1443"/>
      <c r="AR139" s="1443"/>
      <c r="AS139" s="1443"/>
      <c r="AT139" s="1443"/>
      <c r="AU139" s="1443"/>
      <c r="AV139" s="1443"/>
      <c r="AW139" s="1443"/>
      <c r="AX139" s="3742"/>
      <c r="AY139" s="5016"/>
      <c r="AZ139" s="5016"/>
      <c r="BA139" s="5016"/>
      <c r="BB139" s="5016"/>
      <c r="BC139" s="5016"/>
      <c r="BD139" s="5016"/>
      <c r="BE139" s="5016"/>
      <c r="BF139" s="5016"/>
      <c r="BG139" s="5016"/>
      <c r="BH139" s="5016"/>
    </row>
    <row r="140" spans="1:60" ht="11.25" customHeight="1" thickBot="1">
      <c r="A140" s="5088"/>
      <c r="B140" s="5629"/>
      <c r="C140" s="5629"/>
      <c r="D140" s="5629"/>
      <c r="E140" s="5629"/>
      <c r="F140" s="5629"/>
      <c r="G140" s="6407"/>
      <c r="H140" s="6769" t="s">
        <v>4548</v>
      </c>
      <c r="I140" s="6770"/>
      <c r="J140" s="6770"/>
      <c r="K140" s="6770"/>
      <c r="L140" s="6770"/>
      <c r="M140" s="6770"/>
      <c r="N140" s="6770"/>
      <c r="O140" s="6770"/>
      <c r="P140" s="6770"/>
      <c r="Q140" s="6770"/>
      <c r="R140" s="6770"/>
      <c r="S140" s="6770"/>
      <c r="T140" s="6770"/>
      <c r="U140" s="6770"/>
      <c r="V140" s="6770"/>
      <c r="W140" s="6770"/>
      <c r="X140" s="6770"/>
      <c r="Y140" s="6770"/>
      <c r="Z140" s="6770"/>
      <c r="AA140" s="6770"/>
      <c r="AB140" s="6770"/>
      <c r="AC140" s="6770"/>
      <c r="AD140" s="6770"/>
      <c r="AE140" s="6770"/>
      <c r="AF140" s="6770"/>
      <c r="AG140" s="6770"/>
      <c r="AH140" s="6771"/>
      <c r="AI140" s="6726"/>
      <c r="AJ140" s="6727"/>
      <c r="AK140" s="6727"/>
      <c r="AL140" s="6727"/>
      <c r="AM140" s="6727"/>
      <c r="AN140" s="6883"/>
      <c r="AO140" s="6883"/>
      <c r="AP140" s="3350"/>
      <c r="AQ140" s="1443"/>
      <c r="AR140" s="1443"/>
      <c r="AS140" s="1443"/>
      <c r="AT140" s="1443"/>
      <c r="AU140" s="1443"/>
      <c r="AV140" s="1443"/>
      <c r="AW140" s="1443"/>
      <c r="AX140" s="3742"/>
      <c r="AY140" s="5016"/>
      <c r="AZ140" s="5016"/>
      <c r="BA140" s="5016"/>
      <c r="BB140" s="5016"/>
      <c r="BC140" s="5016"/>
      <c r="BD140" s="5016"/>
      <c r="BE140" s="5016"/>
      <c r="BF140" s="5016"/>
      <c r="BG140" s="5016"/>
      <c r="BH140" s="5016"/>
    </row>
    <row r="141" spans="1:60">
      <c r="A141" s="5088"/>
      <c r="B141" s="1934" t="s">
        <v>2745</v>
      </c>
      <c r="C141" s="1605"/>
      <c r="D141" s="1605"/>
      <c r="E141" s="1605"/>
      <c r="F141" s="1605"/>
      <c r="G141" s="1605"/>
      <c r="H141" s="1605"/>
      <c r="I141" s="1605"/>
      <c r="J141" s="1605"/>
      <c r="K141" s="1605"/>
      <c r="L141" s="1605"/>
      <c r="M141" s="1605"/>
      <c r="N141" s="1605"/>
      <c r="O141" s="1605"/>
      <c r="P141" s="1605"/>
      <c r="Q141" s="1605"/>
      <c r="R141" s="1605"/>
      <c r="S141" s="1605"/>
      <c r="T141" s="1605"/>
      <c r="U141" s="1605"/>
      <c r="V141" s="1605"/>
      <c r="W141" s="1605"/>
      <c r="X141" s="1605"/>
      <c r="Y141" s="1605"/>
      <c r="Z141" s="1605"/>
      <c r="AA141" s="6755" t="s">
        <v>2791</v>
      </c>
      <c r="AB141" s="6756"/>
      <c r="AC141" s="6756"/>
      <c r="AD141" s="6756"/>
      <c r="AE141" s="6756"/>
      <c r="AF141" s="6756"/>
      <c r="AG141" s="6756"/>
      <c r="AH141" s="6756"/>
      <c r="AI141" s="6756"/>
      <c r="AJ141" s="6756"/>
      <c r="AK141" s="6756"/>
      <c r="AL141" s="6756"/>
      <c r="AM141" s="6756"/>
      <c r="AN141" s="6756"/>
      <c r="AO141" s="6756"/>
      <c r="AP141" s="3350"/>
      <c r="AQ141" s="1443"/>
      <c r="AR141" s="1443"/>
      <c r="AS141" s="1443"/>
      <c r="AT141" s="1443"/>
      <c r="AU141" s="1443"/>
      <c r="AV141" s="1443"/>
      <c r="AW141" s="1443"/>
      <c r="AX141" s="3742"/>
      <c r="AY141" s="5016"/>
      <c r="AZ141" s="5016"/>
      <c r="BA141" s="5016"/>
      <c r="BB141" s="5016"/>
      <c r="BC141" s="5016"/>
      <c r="BD141" s="5016"/>
      <c r="BE141" s="5016"/>
      <c r="BF141" s="5016"/>
      <c r="BG141" s="5016"/>
      <c r="BH141" s="5016"/>
    </row>
    <row r="142" spans="1:60" ht="9" customHeight="1">
      <c r="A142" s="5088"/>
      <c r="B142" s="6854" t="str">
        <f>Names</f>
        <v/>
      </c>
      <c r="C142" s="5680"/>
      <c r="D142" s="5680"/>
      <c r="E142" s="5680"/>
      <c r="F142" s="5680"/>
      <c r="G142" s="5680"/>
      <c r="H142" s="5680"/>
      <c r="I142" s="5680"/>
      <c r="J142" s="5680"/>
      <c r="K142" s="5680"/>
      <c r="L142" s="5680"/>
      <c r="M142" s="5680"/>
      <c r="N142" s="5680"/>
      <c r="O142" s="5680"/>
      <c r="P142" s="5680"/>
      <c r="Q142" s="5680"/>
      <c r="R142" s="5680"/>
      <c r="S142" s="5680"/>
      <c r="T142" s="5680"/>
      <c r="U142" s="5680"/>
      <c r="V142" s="5680"/>
      <c r="W142" s="5680"/>
      <c r="X142" s="5680"/>
      <c r="Y142" s="5680"/>
      <c r="Z142" s="5680"/>
      <c r="AA142" s="6855">
        <f>IF(NoSSN,"",SS_Yours)</f>
        <v>0</v>
      </c>
      <c r="AB142" s="6856"/>
      <c r="AC142" s="6856"/>
      <c r="AD142" s="6856"/>
      <c r="AE142" s="6856"/>
      <c r="AF142" s="6856"/>
      <c r="AG142" s="6856"/>
      <c r="AH142" s="6856"/>
      <c r="AI142" s="6856"/>
      <c r="AJ142" s="6856"/>
      <c r="AK142" s="6856"/>
      <c r="AL142" s="6856"/>
      <c r="AM142" s="6856"/>
      <c r="AN142" s="6856"/>
      <c r="AO142" s="6856"/>
      <c r="AP142" s="3350"/>
      <c r="AQ142" s="1443"/>
      <c r="AR142" s="1443"/>
      <c r="AS142" s="1443"/>
      <c r="AT142" s="1443"/>
      <c r="AU142" s="1443"/>
      <c r="AV142" s="1443"/>
      <c r="AW142" s="1443"/>
      <c r="AX142" s="3742"/>
      <c r="AY142" s="5016"/>
      <c r="AZ142" s="5016"/>
      <c r="BA142" s="5016"/>
      <c r="BB142" s="5016"/>
      <c r="BC142" s="5016"/>
      <c r="BD142" s="5016"/>
      <c r="BE142" s="5016"/>
      <c r="BF142" s="5016"/>
      <c r="BG142" s="5016"/>
      <c r="BH142" s="5016"/>
    </row>
    <row r="143" spans="1:60" ht="9" customHeight="1">
      <c r="A143" s="5088"/>
      <c r="B143" s="5681"/>
      <c r="C143" s="5681"/>
      <c r="D143" s="5681"/>
      <c r="E143" s="5681"/>
      <c r="F143" s="5681"/>
      <c r="G143" s="5681"/>
      <c r="H143" s="5681"/>
      <c r="I143" s="5681"/>
      <c r="J143" s="5681"/>
      <c r="K143" s="5681"/>
      <c r="L143" s="5681"/>
      <c r="M143" s="5681"/>
      <c r="N143" s="5681"/>
      <c r="O143" s="5681"/>
      <c r="P143" s="5681"/>
      <c r="Q143" s="5681"/>
      <c r="R143" s="5681"/>
      <c r="S143" s="5681"/>
      <c r="T143" s="5681"/>
      <c r="U143" s="5681"/>
      <c r="V143" s="5681"/>
      <c r="W143" s="5681"/>
      <c r="X143" s="5681"/>
      <c r="Y143" s="5681"/>
      <c r="Z143" s="5681"/>
      <c r="AA143" s="6857"/>
      <c r="AB143" s="6858"/>
      <c r="AC143" s="6858"/>
      <c r="AD143" s="6858"/>
      <c r="AE143" s="6858"/>
      <c r="AF143" s="6858"/>
      <c r="AG143" s="6858"/>
      <c r="AH143" s="6858"/>
      <c r="AI143" s="6858"/>
      <c r="AJ143" s="6858"/>
      <c r="AK143" s="6858"/>
      <c r="AL143" s="6858"/>
      <c r="AM143" s="6858"/>
      <c r="AN143" s="6858"/>
      <c r="AO143" s="6858"/>
      <c r="AP143" s="3350"/>
      <c r="AQ143" s="1443"/>
      <c r="AR143" s="1443"/>
      <c r="AS143" s="1443"/>
      <c r="AT143" s="1443"/>
      <c r="AU143" s="1443"/>
      <c r="AV143" s="1443"/>
      <c r="AW143" s="1443"/>
      <c r="AX143" s="3742"/>
      <c r="AY143" s="5016"/>
      <c r="AZ143" s="5016"/>
      <c r="BA143" s="5016"/>
      <c r="BB143" s="5016"/>
      <c r="BC143" s="5016"/>
      <c r="BD143" s="5016"/>
      <c r="BE143" s="5016"/>
      <c r="BF143" s="5016"/>
      <c r="BG143" s="5016"/>
      <c r="BH143" s="5016"/>
    </row>
    <row r="144" spans="1:60" ht="12.75" customHeight="1">
      <c r="A144" s="5088"/>
      <c r="B144" s="3315" t="s">
        <v>3495</v>
      </c>
      <c r="C144" s="1957"/>
      <c r="D144" s="1957"/>
      <c r="E144" s="1957"/>
      <c r="F144" s="1957"/>
      <c r="G144" s="1957"/>
      <c r="H144" s="1957"/>
      <c r="I144" s="1957"/>
      <c r="J144" s="1957"/>
      <c r="K144" s="1957"/>
      <c r="L144" s="1957"/>
      <c r="M144" s="1957"/>
      <c r="N144" s="1957"/>
      <c r="O144" s="1957"/>
      <c r="P144" s="1957"/>
      <c r="Q144" s="1957"/>
      <c r="R144" s="1957"/>
      <c r="S144" s="1957"/>
      <c r="T144" s="1957"/>
      <c r="U144" s="1957"/>
      <c r="V144" s="1957"/>
      <c r="W144" s="1957"/>
      <c r="X144" s="1957"/>
      <c r="Y144" s="1957"/>
      <c r="Z144" s="1957"/>
      <c r="AA144" s="1957"/>
      <c r="AB144" s="1957"/>
      <c r="AC144" s="1957"/>
      <c r="AD144" s="1957"/>
      <c r="AE144" s="1957"/>
      <c r="AF144" s="1957"/>
      <c r="AG144" s="1957"/>
      <c r="AH144" s="1957"/>
      <c r="AI144" s="4706" t="s">
        <v>3496</v>
      </c>
      <c r="AJ144" s="1957"/>
      <c r="AK144" s="1957"/>
      <c r="AL144" s="1957"/>
      <c r="AM144" s="1957"/>
      <c r="AN144" s="1957"/>
      <c r="AO144" s="1957"/>
      <c r="AP144" s="3350"/>
      <c r="AQ144" s="1443"/>
      <c r="AR144" s="1443"/>
      <c r="AS144" s="1443"/>
      <c r="AT144" s="1443"/>
      <c r="AU144" s="1443"/>
      <c r="AV144" s="1443"/>
      <c r="AW144" s="1443"/>
      <c r="AX144" s="3742"/>
      <c r="AY144" s="5016"/>
      <c r="AZ144" s="5016"/>
      <c r="BA144" s="5016"/>
      <c r="BB144" s="5016"/>
      <c r="BC144" s="5016"/>
      <c r="BD144" s="5016"/>
      <c r="BE144" s="5016"/>
      <c r="BF144" s="5016"/>
      <c r="BG144" s="5016"/>
      <c r="BH144" s="5016"/>
    </row>
    <row r="145" spans="1:60" ht="12.75" customHeight="1">
      <c r="A145" s="5087"/>
      <c r="B145" s="1443" t="s">
        <v>3497</v>
      </c>
      <c r="C145" s="1443"/>
      <c r="D145" s="1443"/>
      <c r="E145" s="1443" t="s">
        <v>3498</v>
      </c>
      <c r="F145" s="1922"/>
      <c r="G145" s="1443"/>
      <c r="H145" s="1443"/>
      <c r="I145" s="1443"/>
      <c r="J145" s="1443"/>
      <c r="K145" s="1443"/>
      <c r="L145" s="1443"/>
      <c r="M145" s="1443"/>
      <c r="N145" s="1443"/>
      <c r="O145" s="1443"/>
      <c r="P145" s="1443"/>
      <c r="Q145" s="1443"/>
      <c r="R145" s="1443"/>
      <c r="S145" s="1443"/>
      <c r="T145" s="1443"/>
      <c r="U145" s="1443"/>
      <c r="V145" s="1443"/>
      <c r="W145" s="1443"/>
      <c r="X145" s="1443"/>
      <c r="Y145" s="1443"/>
      <c r="Z145" s="1443"/>
      <c r="AA145" s="1443"/>
      <c r="AB145" s="1443"/>
      <c r="AC145" s="1443"/>
      <c r="AD145" s="1443"/>
      <c r="AE145" s="1443"/>
      <c r="AF145" s="1443"/>
      <c r="AG145" s="1443"/>
      <c r="AH145" s="1443"/>
      <c r="AI145" s="1443"/>
      <c r="AJ145" s="1443"/>
      <c r="AK145" s="1443"/>
      <c r="AL145" s="1443"/>
      <c r="AM145" s="1443"/>
      <c r="AN145" s="1443"/>
      <c r="AO145" s="1443"/>
      <c r="AP145" s="3350"/>
      <c r="AQ145" s="1616"/>
      <c r="AR145" s="6686"/>
      <c r="AS145" s="6687"/>
      <c r="AT145" s="6687"/>
      <c r="AU145" s="6687"/>
      <c r="AV145" s="1443"/>
      <c r="AW145" s="1443"/>
      <c r="AX145" s="3742"/>
      <c r="AY145" s="5016"/>
      <c r="AZ145" s="5016"/>
      <c r="BA145" s="5016"/>
      <c r="BB145" s="5016"/>
      <c r="BC145" s="5016"/>
      <c r="BD145" s="5016"/>
      <c r="BE145" s="5016"/>
      <c r="BF145" s="5016"/>
      <c r="BG145" s="5016"/>
      <c r="BH145" s="5016"/>
    </row>
    <row r="146" spans="1:60" ht="8.25" customHeight="1">
      <c r="A146" s="5088"/>
      <c r="B146" s="1443"/>
      <c r="C146" s="2772">
        <f>IF(C147&lt;&gt;"",1,0)</f>
        <v>0</v>
      </c>
      <c r="D146" s="1616"/>
      <c r="E146" s="1616"/>
      <c r="F146" s="3412"/>
      <c r="G146" s="1616"/>
      <c r="H146" s="1616"/>
      <c r="I146" s="1616"/>
      <c r="J146" s="1616"/>
      <c r="K146" s="2772">
        <f>IF(K147&lt;&gt;"",1,0)</f>
        <v>0</v>
      </c>
      <c r="L146" s="1616"/>
      <c r="M146" s="1616"/>
      <c r="N146" s="2772"/>
      <c r="O146" s="1616"/>
      <c r="P146" s="1616"/>
      <c r="Q146" s="1616"/>
      <c r="R146" s="1616"/>
      <c r="S146" s="1616"/>
      <c r="T146" s="1616"/>
      <c r="U146" s="1616"/>
      <c r="V146" s="1616"/>
      <c r="W146" s="2772">
        <f>IF(W147&lt;&gt;"",1,0)</f>
        <v>0</v>
      </c>
      <c r="X146" s="1616"/>
      <c r="Y146" s="1616"/>
      <c r="Z146" s="1616"/>
      <c r="AA146" s="1616"/>
      <c r="AB146" s="2772"/>
      <c r="AC146" s="1443"/>
      <c r="AD146" s="1443"/>
      <c r="AE146" s="1443"/>
      <c r="AF146" s="1443"/>
      <c r="AG146" s="1443"/>
      <c r="AH146" s="1443"/>
      <c r="AI146" s="2772">
        <f>IF(AI147&lt;&gt;"",1,0)</f>
        <v>0</v>
      </c>
      <c r="AJ146" s="1443"/>
      <c r="AK146" s="1443"/>
      <c r="AL146" s="1443"/>
      <c r="AM146" s="1443"/>
      <c r="AN146" s="1443"/>
      <c r="AO146" s="3074">
        <f>SUM(C146,K146,W146,AI146,C148,K148,W148)</f>
        <v>0</v>
      </c>
      <c r="AP146" s="3350"/>
      <c r="AQ146" s="1616"/>
      <c r="AR146" s="1616"/>
      <c r="AS146" s="1616"/>
      <c r="AT146" s="1616"/>
      <c r="AU146" s="1616"/>
      <c r="AV146" s="1443"/>
      <c r="AW146" s="1443"/>
      <c r="AX146" s="3742"/>
      <c r="AY146" s="5016"/>
      <c r="AZ146" s="5016"/>
      <c r="BA146" s="5016"/>
      <c r="BB146" s="5016"/>
      <c r="BC146" s="5016"/>
      <c r="BD146" s="5016"/>
      <c r="BE146" s="5016"/>
      <c r="BF146" s="5016"/>
      <c r="BG146" s="5016"/>
      <c r="BH146" s="5016"/>
    </row>
    <row r="147" spans="1:60" ht="13.5" customHeight="1">
      <c r="A147" s="5087" t="b">
        <f>AND(K147&lt;&gt;"",AO146=1,A204)</f>
        <v>0</v>
      </c>
      <c r="B147" s="3366" t="s">
        <v>38</v>
      </c>
      <c r="C147" s="1669"/>
      <c r="D147" s="3384" t="s">
        <v>3493</v>
      </c>
      <c r="E147" s="1443"/>
      <c r="F147" s="1443"/>
      <c r="G147" s="1443"/>
      <c r="H147" s="1443"/>
      <c r="I147" s="1443"/>
      <c r="J147" s="3366" t="s">
        <v>55</v>
      </c>
      <c r="K147" s="1669"/>
      <c r="L147" s="3384" t="s">
        <v>2746</v>
      </c>
      <c r="M147" s="3384"/>
      <c r="N147" s="1607"/>
      <c r="O147" s="3384"/>
      <c r="P147" s="1607"/>
      <c r="Q147" s="1443"/>
      <c r="R147" s="1443"/>
      <c r="S147" s="1443"/>
      <c r="T147" s="1443"/>
      <c r="U147" s="1443"/>
      <c r="V147" s="3366" t="s">
        <v>1201</v>
      </c>
      <c r="W147" s="1669"/>
      <c r="X147" s="3384" t="s">
        <v>2747</v>
      </c>
      <c r="Y147" s="1443"/>
      <c r="Z147" s="1443"/>
      <c r="AA147" s="3366"/>
      <c r="AB147" s="1443"/>
      <c r="AC147" s="3384"/>
      <c r="AD147" s="3366"/>
      <c r="AE147" s="1443"/>
      <c r="AF147" s="3366"/>
      <c r="AG147" s="1443"/>
      <c r="AH147" s="3366" t="s">
        <v>2693</v>
      </c>
      <c r="AI147" s="1669"/>
      <c r="AJ147" s="3384" t="s">
        <v>2748</v>
      </c>
      <c r="AK147" s="1443"/>
      <c r="AL147" s="1443"/>
      <c r="AM147" s="1443"/>
      <c r="AN147" s="1443"/>
      <c r="AO147" s="1588"/>
      <c r="AP147" s="3350"/>
      <c r="AQ147" s="1616"/>
      <c r="AR147" s="6686"/>
      <c r="AS147" s="6687"/>
      <c r="AT147" s="6687"/>
      <c r="AU147" s="6687"/>
      <c r="AV147" s="1443"/>
      <c r="AW147" s="1443"/>
      <c r="AX147" s="3742"/>
      <c r="AY147" s="5016"/>
      <c r="AZ147" s="5016"/>
      <c r="BA147" s="5016"/>
      <c r="BB147" s="5016"/>
      <c r="BC147" s="5016"/>
      <c r="BD147" s="5016"/>
      <c r="BE147" s="5016"/>
      <c r="BF147" s="5016"/>
      <c r="BG147" s="5016"/>
      <c r="BH147" s="5016"/>
    </row>
    <row r="148" spans="1:60" ht="6" customHeight="1">
      <c r="A148" s="5088"/>
      <c r="B148" s="3286"/>
      <c r="C148" s="2772">
        <f>IF(C149&lt;&gt;"",1,0)</f>
        <v>0</v>
      </c>
      <c r="D148" s="3413"/>
      <c r="E148" s="1616"/>
      <c r="F148" s="1616"/>
      <c r="G148" s="1616"/>
      <c r="H148" s="1616"/>
      <c r="I148" s="1616"/>
      <c r="J148" s="1616"/>
      <c r="K148" s="2772">
        <f>IF(K149&lt;&gt;"",1,0)</f>
        <v>0</v>
      </c>
      <c r="L148" s="1616"/>
      <c r="M148" s="1616"/>
      <c r="N148" s="2772"/>
      <c r="O148" s="1443"/>
      <c r="P148" s="1443"/>
      <c r="Q148" s="1443"/>
      <c r="R148" s="1443"/>
      <c r="S148" s="1443"/>
      <c r="T148" s="1443"/>
      <c r="U148" s="1443"/>
      <c r="V148" s="1443"/>
      <c r="W148" s="2772">
        <f>IF(W149&lt;&gt;"",1,0)</f>
        <v>0</v>
      </c>
      <c r="X148" s="1443"/>
      <c r="Y148" s="1443"/>
      <c r="Z148" s="1443"/>
      <c r="AA148" s="1443"/>
      <c r="AB148" s="1443"/>
      <c r="AC148" s="1443"/>
      <c r="AD148" s="1443"/>
      <c r="AE148" s="1443"/>
      <c r="AF148" s="1443"/>
      <c r="AG148" s="1443"/>
      <c r="AH148" s="1443"/>
      <c r="AI148" s="1443"/>
      <c r="AJ148" s="1443"/>
      <c r="AK148" s="1443"/>
      <c r="AL148" s="1443"/>
      <c r="AM148" s="1443"/>
      <c r="AN148" s="1443"/>
      <c r="AO148" s="1443"/>
      <c r="AP148" s="3350"/>
      <c r="AQ148" s="1616"/>
      <c r="AR148" s="1616"/>
      <c r="AS148" s="1616"/>
      <c r="AT148" s="1616"/>
      <c r="AU148" s="1616"/>
      <c r="AV148" s="1443"/>
      <c r="AW148" s="1443"/>
      <c r="AX148" s="3742"/>
      <c r="AY148" s="5016"/>
      <c r="AZ148" s="5016"/>
      <c r="BA148" s="5016"/>
      <c r="BB148" s="5016"/>
      <c r="BC148" s="5016"/>
      <c r="BD148" s="5016"/>
      <c r="BE148" s="5016"/>
      <c r="BF148" s="5016"/>
      <c r="BG148" s="5016"/>
      <c r="BH148" s="5016"/>
    </row>
    <row r="149" spans="1:60" ht="13.5" customHeight="1">
      <c r="A149" s="5088"/>
      <c r="B149" s="3366" t="s">
        <v>54</v>
      </c>
      <c r="C149" s="1669"/>
      <c r="D149" s="3384" t="s">
        <v>3494</v>
      </c>
      <c r="E149" s="1443"/>
      <c r="F149" s="1443"/>
      <c r="G149" s="1443"/>
      <c r="H149" s="1443"/>
      <c r="I149" s="1443"/>
      <c r="J149" s="3366" t="s">
        <v>102</v>
      </c>
      <c r="K149" s="1669"/>
      <c r="L149" s="3384" t="s">
        <v>2749</v>
      </c>
      <c r="M149" s="3384"/>
      <c r="N149" s="1607"/>
      <c r="O149" s="3384"/>
      <c r="P149" s="1607"/>
      <c r="Q149" s="1443"/>
      <c r="R149" s="1443"/>
      <c r="S149" s="1443"/>
      <c r="T149" s="1443"/>
      <c r="U149" s="1443"/>
      <c r="V149" s="3366" t="s">
        <v>1202</v>
      </c>
      <c r="W149" s="1669"/>
      <c r="X149" s="3384" t="s">
        <v>2750</v>
      </c>
      <c r="Y149" s="1443"/>
      <c r="Z149" s="1443"/>
      <c r="AA149" s="1443"/>
      <c r="AB149" s="1443"/>
      <c r="AC149" s="1443"/>
      <c r="AD149" s="1443"/>
      <c r="AE149" s="1443"/>
      <c r="AF149" s="1443"/>
      <c r="AG149" s="1443"/>
      <c r="AH149" s="1443"/>
      <c r="AI149" s="1443"/>
      <c r="AJ149" s="1443"/>
      <c r="AK149" s="1443"/>
      <c r="AL149" s="1443"/>
      <c r="AM149" s="1443"/>
      <c r="AN149" s="1443"/>
      <c r="AO149" s="1616" t="b">
        <f>IF(AO146&lt;&gt;1,TRUE,FALSE)</f>
        <v>1</v>
      </c>
      <c r="AP149" s="3350"/>
      <c r="AQ149" s="1616"/>
      <c r="AR149" s="6686"/>
      <c r="AS149" s="6687"/>
      <c r="AT149" s="6687"/>
      <c r="AU149" s="6687"/>
      <c r="AV149" s="1443"/>
      <c r="AW149" s="1443"/>
      <c r="AX149" s="3742"/>
      <c r="AY149" s="5016"/>
      <c r="AZ149" s="5016"/>
      <c r="BA149" s="5016"/>
      <c r="BB149" s="5016"/>
      <c r="BC149" s="5016"/>
      <c r="BD149" s="5016"/>
      <c r="BE149" s="5016"/>
      <c r="BF149" s="5016"/>
      <c r="BG149" s="5016"/>
      <c r="BH149" s="5016"/>
    </row>
    <row r="150" spans="1:60" ht="8.25" customHeight="1">
      <c r="A150" s="5088"/>
      <c r="B150" s="3286"/>
      <c r="C150" s="3367"/>
      <c r="D150" s="3269"/>
      <c r="E150" s="1443"/>
      <c r="F150" s="1443"/>
      <c r="G150" s="1443"/>
      <c r="H150" s="1443"/>
      <c r="I150" s="1443"/>
      <c r="J150" s="1443"/>
      <c r="K150" s="1443"/>
      <c r="L150" s="1443"/>
      <c r="M150" s="1443"/>
      <c r="N150" s="1443"/>
      <c r="O150" s="1443"/>
      <c r="P150" s="1443"/>
      <c r="Q150" s="1443"/>
      <c r="R150" s="1443"/>
      <c r="S150" s="1443"/>
      <c r="T150" s="1443"/>
      <c r="U150" s="1443"/>
      <c r="V150" s="1443"/>
      <c r="W150" s="1443"/>
      <c r="X150" s="1443"/>
      <c r="Y150" s="1443"/>
      <c r="Z150" s="1443"/>
      <c r="AA150" s="1443"/>
      <c r="AB150" s="1443"/>
      <c r="AC150" s="1443"/>
      <c r="AD150" s="1443"/>
      <c r="AE150" s="1443"/>
      <c r="AF150" s="1443"/>
      <c r="AG150" s="1443"/>
      <c r="AH150" s="1443"/>
      <c r="AI150" s="1443"/>
      <c r="AJ150" s="1443"/>
      <c r="AK150" s="1443"/>
      <c r="AL150" s="1443"/>
      <c r="AM150" s="1443"/>
      <c r="AN150" s="1443"/>
      <c r="AO150" s="1443"/>
      <c r="AP150" s="3350"/>
      <c r="AQ150" s="1616"/>
      <c r="AR150" s="1616"/>
      <c r="AS150" s="1616"/>
      <c r="AT150" s="1616"/>
      <c r="AU150" s="1616"/>
      <c r="AV150" s="1443"/>
      <c r="AW150" s="1443"/>
      <c r="AX150" s="3742"/>
      <c r="AY150" s="5016"/>
      <c r="AZ150" s="5016"/>
      <c r="BA150" s="5016"/>
      <c r="BB150" s="5016"/>
      <c r="BC150" s="5016"/>
      <c r="BD150" s="5016"/>
      <c r="BE150" s="5016"/>
      <c r="BF150" s="5016"/>
      <c r="BG150" s="5016"/>
      <c r="BH150" s="5016"/>
    </row>
    <row r="151" spans="1:60" ht="16.5" customHeight="1">
      <c r="A151" s="5088"/>
      <c r="B151" s="3385" t="s">
        <v>1202</v>
      </c>
      <c r="C151" s="3386" t="s">
        <v>2751</v>
      </c>
      <c r="D151" s="1937"/>
      <c r="E151" s="1937"/>
      <c r="F151" s="1937"/>
      <c r="G151" s="1937"/>
      <c r="H151" s="1937"/>
      <c r="I151" s="1937"/>
      <c r="J151" s="1937"/>
      <c r="K151" s="1937"/>
      <c r="L151" s="6775"/>
      <c r="M151" s="6775"/>
      <c r="N151" s="6775"/>
      <c r="O151" s="6775"/>
      <c r="P151" s="6775"/>
      <c r="Q151" s="6775"/>
      <c r="R151" s="6775"/>
      <c r="S151" s="6775"/>
      <c r="T151" s="6775"/>
      <c r="U151" s="6775"/>
      <c r="V151" s="6775"/>
      <c r="W151" s="6775"/>
      <c r="X151" s="6775"/>
      <c r="Y151" s="6775"/>
      <c r="Z151" s="6775"/>
      <c r="AA151" s="6775"/>
      <c r="AB151" s="6775"/>
      <c r="AC151" s="6775"/>
      <c r="AD151" s="6775"/>
      <c r="AE151" s="6775"/>
      <c r="AF151" s="6775"/>
      <c r="AG151" s="6775"/>
      <c r="AH151" s="6775"/>
      <c r="AI151" s="6775"/>
      <c r="AJ151" s="6775"/>
      <c r="AK151" s="6775"/>
      <c r="AL151" s="6775"/>
      <c r="AM151" s="6775"/>
      <c r="AN151" s="6775"/>
      <c r="AO151" s="6775"/>
      <c r="AP151" s="3350"/>
      <c r="AQ151" s="1443"/>
      <c r="AR151" s="1443"/>
      <c r="AS151" s="1443"/>
      <c r="AT151" s="1443"/>
      <c r="AU151" s="1443"/>
      <c r="AV151" s="1443"/>
      <c r="AW151" s="1443"/>
      <c r="AX151" s="3742"/>
      <c r="AY151" s="5016"/>
      <c r="AZ151" s="5016"/>
      <c r="BA151" s="5016"/>
      <c r="BB151" s="5016"/>
      <c r="BC151" s="5016"/>
      <c r="BD151" s="5016"/>
      <c r="BE151" s="5016"/>
      <c r="BF151" s="5016"/>
      <c r="BG151" s="5016"/>
      <c r="BH151" s="5016"/>
    </row>
    <row r="152" spans="1:60" ht="12.75" customHeight="1">
      <c r="A152" s="5088"/>
      <c r="B152" s="6859" t="s">
        <v>30</v>
      </c>
      <c r="C152" s="6860"/>
      <c r="D152" s="1607" t="s">
        <v>2752</v>
      </c>
      <c r="E152" s="1443"/>
      <c r="F152" s="1443"/>
      <c r="G152" s="1443"/>
      <c r="H152" s="1443"/>
      <c r="I152" s="1443"/>
      <c r="J152" s="1443"/>
      <c r="K152" s="1443"/>
      <c r="L152" s="1443"/>
      <c r="M152" s="1443"/>
      <c r="N152" s="1443"/>
      <c r="O152" s="1443"/>
      <c r="P152" s="1443"/>
      <c r="Q152" s="1443"/>
      <c r="R152" s="1443"/>
      <c r="S152" s="1443"/>
      <c r="T152" s="1443"/>
      <c r="U152" s="1443"/>
      <c r="V152" s="1443"/>
      <c r="W152" s="1443"/>
      <c r="X152" s="1443"/>
      <c r="Y152" s="1443"/>
      <c r="Z152" s="1443"/>
      <c r="AA152" s="1443"/>
      <c r="AB152" s="1443"/>
      <c r="AC152" s="1443"/>
      <c r="AD152" s="1443"/>
      <c r="AE152" s="1443"/>
      <c r="AF152" s="1443"/>
      <c r="AG152" s="1443"/>
      <c r="AH152" s="1443"/>
      <c r="AI152" s="1443"/>
      <c r="AJ152" s="1443"/>
      <c r="AK152" s="1443"/>
      <c r="AL152" s="1443"/>
      <c r="AM152" s="1443"/>
      <c r="AN152" s="1443"/>
      <c r="AO152" s="1443"/>
      <c r="AP152" s="3350"/>
      <c r="AQ152" s="1443"/>
      <c r="AR152" s="1443"/>
      <c r="AS152" s="1443"/>
      <c r="AT152" s="1443"/>
      <c r="AU152" s="1443"/>
      <c r="AV152" s="1443"/>
      <c r="AW152" s="1443"/>
      <c r="AX152" s="3742"/>
      <c r="AY152" s="5016"/>
      <c r="AZ152" s="5016"/>
      <c r="BA152" s="5016"/>
      <c r="BB152" s="5016"/>
      <c r="BC152" s="5016"/>
      <c r="BD152" s="5016"/>
      <c r="BE152" s="5016"/>
      <c r="BF152" s="5016"/>
      <c r="BG152" s="5016"/>
      <c r="BH152" s="5016"/>
    </row>
    <row r="153" spans="1:60" ht="12.75" customHeight="1">
      <c r="A153" s="5088"/>
      <c r="B153" s="3400" t="s">
        <v>2790</v>
      </c>
      <c r="C153" s="3387"/>
      <c r="D153" s="3388"/>
      <c r="E153" s="1936"/>
      <c r="F153" s="1936"/>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6"/>
      <c r="AJ153" s="1936"/>
      <c r="AK153" s="1936"/>
      <c r="AL153" s="1936"/>
      <c r="AM153" s="1936"/>
      <c r="AN153" s="1936"/>
      <c r="AO153" s="1936"/>
      <c r="AP153" s="3350"/>
      <c r="AQ153" s="1443"/>
      <c r="AR153" s="1443"/>
      <c r="AS153" s="1443"/>
      <c r="AT153" s="1443"/>
      <c r="AU153" s="1443"/>
      <c r="AV153" s="1443"/>
      <c r="AW153" s="1443"/>
      <c r="AX153" s="3742"/>
      <c r="AY153" s="5016"/>
      <c r="AZ153" s="5016"/>
      <c r="BA153" s="5016"/>
      <c r="BB153" s="5016"/>
      <c r="BC153" s="5016"/>
      <c r="BD153" s="5016"/>
      <c r="BE153" s="5016"/>
      <c r="BF153" s="5016"/>
      <c r="BG153" s="5016"/>
      <c r="BH153" s="5016"/>
    </row>
    <row r="154" spans="1:60" s="3272" customFormat="1" ht="17.25" customHeight="1">
      <c r="A154" s="5090"/>
      <c r="B154" s="6207" t="s">
        <v>58</v>
      </c>
      <c r="C154" s="6207"/>
      <c r="D154" s="6880"/>
      <c r="E154" s="6861" t="s">
        <v>3536</v>
      </c>
      <c r="F154" s="6862"/>
      <c r="G154" s="6862"/>
      <c r="H154" s="6862"/>
      <c r="I154" s="6862"/>
      <c r="J154" s="6862"/>
      <c r="K154" s="6862"/>
      <c r="L154" s="6862"/>
      <c r="M154" s="6862"/>
      <c r="N154" s="6862"/>
      <c r="O154" s="6862"/>
      <c r="P154" s="6862"/>
      <c r="Q154" s="6862"/>
      <c r="R154" s="6862"/>
      <c r="S154" s="6862"/>
      <c r="T154" s="6862"/>
      <c r="U154" s="6862"/>
      <c r="V154" s="6862"/>
      <c r="W154" s="6862"/>
      <c r="X154" s="6862"/>
      <c r="Y154" s="6862"/>
      <c r="Z154" s="6862"/>
      <c r="AA154" s="6862"/>
      <c r="AB154" s="6862"/>
      <c r="AC154" s="6862"/>
      <c r="AD154" s="6862"/>
      <c r="AE154" s="6862"/>
      <c r="AF154" s="6862"/>
      <c r="AG154" s="6862"/>
      <c r="AH154" s="6862"/>
      <c r="AI154" s="6862"/>
      <c r="AJ154" s="6862"/>
      <c r="AK154" s="6862"/>
      <c r="AL154" s="6862"/>
      <c r="AM154" s="6862"/>
      <c r="AN154" s="6862"/>
      <c r="AO154" s="6862"/>
      <c r="AP154" s="3350"/>
      <c r="AQ154" s="1922"/>
      <c r="AR154" s="1922"/>
      <c r="AS154" s="1922"/>
      <c r="AT154" s="1922"/>
      <c r="AU154" s="1922"/>
      <c r="AV154" s="1922"/>
      <c r="AW154" s="1922"/>
      <c r="AX154" s="3742"/>
      <c r="AY154" s="5016"/>
      <c r="AZ154" s="5016"/>
      <c r="BA154" s="5016"/>
      <c r="BB154" s="5016"/>
      <c r="BC154" s="5016"/>
      <c r="BD154" s="5016"/>
      <c r="BE154" s="5016"/>
      <c r="BF154" s="5016"/>
      <c r="BG154" s="5016"/>
      <c r="BH154" s="5016"/>
    </row>
    <row r="155" spans="1:60" ht="14.25">
      <c r="A155" s="5088"/>
      <c r="B155" s="6863"/>
      <c r="C155" s="6863"/>
      <c r="D155" s="3269"/>
      <c r="E155" s="1443"/>
      <c r="F155" s="1443"/>
      <c r="G155" s="1443"/>
      <c r="H155" s="1443"/>
      <c r="I155" s="1443"/>
      <c r="J155" s="1443"/>
      <c r="K155" s="1443"/>
      <c r="L155" s="1443"/>
      <c r="M155" s="1443"/>
      <c r="N155" s="1443"/>
      <c r="O155" s="1443"/>
      <c r="P155" s="6864" t="s">
        <v>2759</v>
      </c>
      <c r="Q155" s="6865"/>
      <c r="R155" s="6865"/>
      <c r="S155" s="6865"/>
      <c r="T155" s="6865"/>
      <c r="U155" s="6865"/>
      <c r="V155" s="6865"/>
      <c r="W155" s="6865"/>
      <c r="X155" s="6865"/>
      <c r="Y155" s="6865"/>
      <c r="Z155" s="6865"/>
      <c r="AA155" s="6865"/>
      <c r="AB155" s="6865"/>
      <c r="AC155" s="6865"/>
      <c r="AD155" s="6865"/>
      <c r="AE155" s="6865"/>
      <c r="AF155" s="6865"/>
      <c r="AG155" s="6865"/>
      <c r="AH155" s="6865"/>
      <c r="AI155" s="6866"/>
      <c r="AJ155" s="6247" t="s">
        <v>2753</v>
      </c>
      <c r="AK155" s="5872"/>
      <c r="AL155" s="5872"/>
      <c r="AM155" s="5872"/>
      <c r="AN155" s="5872"/>
      <c r="AO155" s="5872"/>
      <c r="AP155" s="3350"/>
      <c r="AQ155" s="1443"/>
      <c r="AR155" s="1443"/>
      <c r="AS155" s="1443"/>
      <c r="AT155" s="1443"/>
      <c r="AU155" s="1443"/>
      <c r="AV155" s="1443"/>
      <c r="AW155" s="1443"/>
      <c r="AX155" s="3742"/>
      <c r="AY155" s="5016"/>
      <c r="AZ155" s="5016"/>
      <c r="BA155" s="5016"/>
      <c r="BB155" s="5016"/>
      <c r="BC155" s="5016"/>
      <c r="BD155" s="5016"/>
      <c r="BE155" s="5016"/>
      <c r="BF155" s="5016"/>
      <c r="BG155" s="5016"/>
      <c r="BH155" s="5016"/>
    </row>
    <row r="156" spans="1:60">
      <c r="A156" s="5088"/>
      <c r="B156" s="6833" t="str">
        <f>B30</f>
        <v>i</v>
      </c>
      <c r="C156" s="6833"/>
      <c r="D156" s="3405" t="s">
        <v>2754</v>
      </c>
      <c r="E156" s="1443"/>
      <c r="F156" s="1443"/>
      <c r="G156" s="1443"/>
      <c r="H156" s="1443"/>
      <c r="I156" s="1443"/>
      <c r="J156" s="1443"/>
      <c r="K156" s="1443"/>
      <c r="L156" s="1443"/>
      <c r="M156" s="1443"/>
      <c r="N156" s="1443"/>
      <c r="O156" s="1443"/>
      <c r="P156" s="6795" t="s">
        <v>159</v>
      </c>
      <c r="Q156" s="6867"/>
      <c r="R156" s="6867"/>
      <c r="S156" s="6867"/>
      <c r="T156" s="6867"/>
      <c r="U156" s="6867"/>
      <c r="V156" s="6868"/>
      <c r="W156" s="6795" t="s">
        <v>327</v>
      </c>
      <c r="X156" s="6867"/>
      <c r="Y156" s="6867"/>
      <c r="Z156" s="6867"/>
      <c r="AA156" s="6867"/>
      <c r="AB156" s="6867"/>
      <c r="AC156" s="6868"/>
      <c r="AD156" s="6795" t="s">
        <v>160</v>
      </c>
      <c r="AE156" s="6867"/>
      <c r="AF156" s="6867"/>
      <c r="AG156" s="6867"/>
      <c r="AH156" s="6867"/>
      <c r="AI156" s="6868"/>
      <c r="AJ156" s="6250"/>
      <c r="AK156" s="6251"/>
      <c r="AL156" s="6251"/>
      <c r="AM156" s="6251"/>
      <c r="AN156" s="6251"/>
      <c r="AO156" s="6251"/>
      <c r="AP156" s="3350"/>
      <c r="AQ156" s="1443"/>
      <c r="AR156" s="1443"/>
      <c r="AS156" s="1443"/>
      <c r="AT156" s="1443"/>
      <c r="AU156" s="1443"/>
      <c r="AV156" s="1443"/>
      <c r="AW156" s="1443"/>
      <c r="AX156" s="3742"/>
      <c r="AY156" s="5016"/>
      <c r="AZ156" s="5016"/>
      <c r="BA156" s="5016"/>
      <c r="BB156" s="5016"/>
      <c r="BC156" s="5016"/>
      <c r="BD156" s="5016"/>
      <c r="BE156" s="5016"/>
      <c r="BF156" s="5016"/>
      <c r="BG156" s="5016"/>
      <c r="BH156" s="5016"/>
    </row>
    <row r="157" spans="1:60" s="1029" customFormat="1" ht="13.5" customHeight="1">
      <c r="A157" s="5091"/>
      <c r="B157" s="6846"/>
      <c r="C157" s="6846"/>
      <c r="D157" s="3406" t="s">
        <v>2755</v>
      </c>
      <c r="E157" s="1608"/>
      <c r="F157" s="1608"/>
      <c r="G157" s="1608"/>
      <c r="H157" s="1608"/>
      <c r="I157" s="1608"/>
      <c r="J157" s="1608"/>
      <c r="K157" s="1608"/>
      <c r="L157" s="1608"/>
      <c r="M157" s="1608"/>
      <c r="N157" s="1608"/>
      <c r="O157" s="4843" t="s">
        <v>1312</v>
      </c>
      <c r="P157" s="6847"/>
      <c r="Q157" s="6848"/>
      <c r="R157" s="6848"/>
      <c r="S157" s="6848"/>
      <c r="T157" s="6848"/>
      <c r="U157" s="6848"/>
      <c r="V157" s="6849"/>
      <c r="W157" s="6847"/>
      <c r="X157" s="6848"/>
      <c r="Y157" s="6848"/>
      <c r="Z157" s="6848"/>
      <c r="AA157" s="6848"/>
      <c r="AB157" s="6848"/>
      <c r="AC157" s="6849"/>
      <c r="AD157" s="6847"/>
      <c r="AE157" s="6848"/>
      <c r="AF157" s="6848"/>
      <c r="AG157" s="6848"/>
      <c r="AH157" s="6848"/>
      <c r="AI157" s="6849"/>
      <c r="AJ157" s="6850"/>
      <c r="AK157" s="6851"/>
      <c r="AL157" s="3415"/>
      <c r="AM157" s="1608"/>
      <c r="AN157" s="1608"/>
      <c r="AO157" s="1608"/>
      <c r="AP157" s="3389"/>
      <c r="AQ157" s="1608"/>
      <c r="AR157" s="1608"/>
      <c r="AS157" s="1608"/>
      <c r="AT157" s="1608"/>
      <c r="AU157" s="1608"/>
      <c r="AV157" s="1608"/>
      <c r="AW157" s="1608"/>
      <c r="AX157" s="5019"/>
      <c r="AY157" s="5017"/>
      <c r="AZ157" s="5017"/>
      <c r="BA157" s="5017"/>
      <c r="BB157" s="5017"/>
      <c r="BC157" s="5017"/>
      <c r="BD157" s="5017"/>
      <c r="BE157" s="5017"/>
      <c r="BF157" s="5017"/>
      <c r="BG157" s="5017"/>
      <c r="BH157" s="5017"/>
    </row>
    <row r="158" spans="1:60" ht="12" customHeight="1">
      <c r="A158" s="5088"/>
      <c r="B158" s="6698" t="s">
        <v>14</v>
      </c>
      <c r="C158" s="6698"/>
      <c r="D158" s="1592" t="s">
        <v>2756</v>
      </c>
      <c r="E158" s="1443"/>
      <c r="F158" s="1443"/>
      <c r="G158" s="1443"/>
      <c r="H158" s="1443"/>
      <c r="I158" s="1443"/>
      <c r="J158" s="1443"/>
      <c r="K158" s="1443"/>
      <c r="L158" s="1443"/>
      <c r="M158" s="1443"/>
      <c r="N158" s="1443"/>
      <c r="O158" s="1443"/>
      <c r="P158" s="2255"/>
      <c r="Q158" s="1945"/>
      <c r="R158" s="1945"/>
      <c r="S158" s="1945"/>
      <c r="T158" s="1945"/>
      <c r="U158" s="1945"/>
      <c r="V158" s="2256"/>
      <c r="W158" s="2255"/>
      <c r="X158" s="1945"/>
      <c r="Y158" s="1945"/>
      <c r="Z158" s="1945"/>
      <c r="AA158" s="1945"/>
      <c r="AB158" s="1945"/>
      <c r="AC158" s="2256"/>
      <c r="AD158" s="2255"/>
      <c r="AE158" s="1945"/>
      <c r="AF158" s="1945"/>
      <c r="AG158" s="1945"/>
      <c r="AH158" s="1945"/>
      <c r="AI158" s="2256"/>
      <c r="AJ158" s="6696"/>
      <c r="AK158" s="5680"/>
      <c r="AL158" s="1965"/>
      <c r="AM158" s="1443"/>
      <c r="AN158" s="1443"/>
      <c r="AO158" s="1443"/>
      <c r="AP158" s="3350"/>
      <c r="AQ158" s="1443"/>
      <c r="AR158" s="1443"/>
      <c r="AS158" s="1443"/>
      <c r="AT158" s="1443"/>
      <c r="AU158" s="1443"/>
      <c r="AV158" s="1443"/>
      <c r="AW158" s="1443"/>
      <c r="AX158" s="3742"/>
      <c r="AY158" s="5016"/>
      <c r="AZ158" s="5016"/>
      <c r="BA158" s="5016"/>
      <c r="BB158" s="5016"/>
      <c r="BC158" s="5016"/>
      <c r="BD158" s="5016"/>
      <c r="BE158" s="5016"/>
      <c r="BF158" s="5016"/>
      <c r="BG158" s="5016"/>
      <c r="BH158" s="5016"/>
    </row>
    <row r="159" spans="1:60" ht="12" customHeight="1">
      <c r="A159" s="5088"/>
      <c r="B159" s="3285"/>
      <c r="C159" s="3285"/>
      <c r="D159" s="1607" t="s">
        <v>2757</v>
      </c>
      <c r="E159" s="1443"/>
      <c r="F159" s="1443"/>
      <c r="G159" s="1443"/>
      <c r="H159" s="1443"/>
      <c r="I159" s="1443"/>
      <c r="J159" s="1443"/>
      <c r="K159" s="1443"/>
      <c r="L159" s="1443"/>
      <c r="M159" s="1443"/>
      <c r="N159" s="1443"/>
      <c r="O159" s="1443"/>
      <c r="P159" s="2257"/>
      <c r="Q159" s="1945"/>
      <c r="R159" s="1945"/>
      <c r="S159" s="1945"/>
      <c r="T159" s="1945"/>
      <c r="U159" s="1945"/>
      <c r="V159" s="2258"/>
      <c r="W159" s="2257"/>
      <c r="X159" s="1945"/>
      <c r="Y159" s="1945"/>
      <c r="Z159" s="1945"/>
      <c r="AA159" s="1945"/>
      <c r="AB159" s="1945"/>
      <c r="AC159" s="2258"/>
      <c r="AD159" s="2257"/>
      <c r="AE159" s="1945"/>
      <c r="AF159" s="1945"/>
      <c r="AG159" s="1945"/>
      <c r="AH159" s="1945"/>
      <c r="AI159" s="2258"/>
      <c r="AJ159" s="6696"/>
      <c r="AK159" s="5680"/>
      <c r="AL159" s="1965"/>
      <c r="AM159" s="1443"/>
      <c r="AN159" s="1443"/>
      <c r="AO159" s="1443"/>
      <c r="AP159" s="3350"/>
      <c r="AQ159" s="1443"/>
      <c r="AR159" s="1443"/>
      <c r="AS159" s="1443"/>
      <c r="AT159" s="1443"/>
      <c r="AU159" s="1443"/>
      <c r="AV159" s="1443"/>
      <c r="AW159" s="1443"/>
      <c r="AX159" s="3742"/>
      <c r="AY159" s="5016"/>
      <c r="AZ159" s="5016"/>
      <c r="BA159" s="5016"/>
      <c r="BB159" s="5016"/>
      <c r="BC159" s="5016"/>
      <c r="BD159" s="5016"/>
      <c r="BE159" s="5016"/>
      <c r="BF159" s="5016"/>
      <c r="BG159" s="5016"/>
      <c r="BH159" s="5016"/>
    </row>
    <row r="160" spans="1:60" ht="12" customHeight="1">
      <c r="A160" s="5088"/>
      <c r="B160" s="3285"/>
      <c r="C160" s="3285"/>
      <c r="D160" s="2378" t="s">
        <v>2758</v>
      </c>
      <c r="E160" s="1443"/>
      <c r="F160" s="1443"/>
      <c r="G160" s="1443"/>
      <c r="H160" s="6852"/>
      <c r="I160" s="6853"/>
      <c r="J160" s="6853"/>
      <c r="K160" s="6853"/>
      <c r="L160" s="6853"/>
      <c r="M160" s="6853"/>
      <c r="N160" s="6853"/>
      <c r="O160" s="1443"/>
      <c r="P160" s="2257"/>
      <c r="Q160" s="1945"/>
      <c r="R160" s="1945"/>
      <c r="S160" s="1945"/>
      <c r="T160" s="1945"/>
      <c r="U160" s="1945"/>
      <c r="V160" s="2258"/>
      <c r="W160" s="2257"/>
      <c r="X160" s="1945"/>
      <c r="Y160" s="1945"/>
      <c r="Z160" s="1945"/>
      <c r="AA160" s="1945"/>
      <c r="AB160" s="1945"/>
      <c r="AC160" s="2258"/>
      <c r="AD160" s="2257"/>
      <c r="AE160" s="1945"/>
      <c r="AF160" s="1945"/>
      <c r="AG160" s="1945"/>
      <c r="AH160" s="1945"/>
      <c r="AI160" s="2258"/>
      <c r="AJ160" s="6696"/>
      <c r="AK160" s="5680"/>
      <c r="AL160" s="1965"/>
      <c r="AM160" s="1443"/>
      <c r="AN160" s="1443"/>
      <c r="AO160" s="1443"/>
      <c r="AP160" s="3350"/>
      <c r="AQ160" s="1443"/>
      <c r="AR160" s="1443"/>
      <c r="AS160" s="1443"/>
      <c r="AT160" s="1443"/>
      <c r="AU160" s="1443"/>
      <c r="AV160" s="1443"/>
      <c r="AW160" s="1443"/>
      <c r="AX160" s="3742"/>
      <c r="AY160" s="5016"/>
      <c r="AZ160" s="5016"/>
      <c r="BA160" s="5016"/>
      <c r="BB160" s="5016"/>
      <c r="BC160" s="5016"/>
      <c r="BD160" s="5016"/>
      <c r="BE160" s="5016"/>
      <c r="BF160" s="5016"/>
      <c r="BG160" s="5016"/>
      <c r="BH160" s="5016"/>
    </row>
    <row r="161" spans="1:60" ht="12" customHeight="1">
      <c r="A161" s="5088"/>
      <c r="B161" s="3285"/>
      <c r="C161" s="3285"/>
      <c r="D161" s="6702"/>
      <c r="E161" s="6703"/>
      <c r="F161" s="6703"/>
      <c r="G161" s="6703"/>
      <c r="H161" s="6703"/>
      <c r="I161" s="6703"/>
      <c r="J161" s="6703"/>
      <c r="K161" s="6703"/>
      <c r="L161" s="6703"/>
      <c r="M161" s="6703"/>
      <c r="N161" s="6703"/>
      <c r="O161" s="1443"/>
      <c r="P161" s="2257"/>
      <c r="Q161" s="1945"/>
      <c r="R161" s="1945"/>
      <c r="S161" s="1945"/>
      <c r="T161" s="1945"/>
      <c r="U161" s="1945"/>
      <c r="V161" s="2258"/>
      <c r="W161" s="2257"/>
      <c r="X161" s="1945"/>
      <c r="Y161" s="1945"/>
      <c r="Z161" s="1945"/>
      <c r="AA161" s="1945"/>
      <c r="AB161" s="1945"/>
      <c r="AC161" s="2258"/>
      <c r="AD161" s="2257"/>
      <c r="AE161" s="1945"/>
      <c r="AF161" s="1945"/>
      <c r="AG161" s="1945"/>
      <c r="AH161" s="1945"/>
      <c r="AI161" s="2258"/>
      <c r="AJ161" s="6696"/>
      <c r="AK161" s="5680"/>
      <c r="AL161" s="1965"/>
      <c r="AM161" s="1443"/>
      <c r="AN161" s="1443"/>
      <c r="AO161" s="1443"/>
      <c r="AP161" s="3350"/>
      <c r="AQ161" s="1443"/>
      <c r="AR161" s="1443"/>
      <c r="AS161" s="1443"/>
      <c r="AT161" s="1443"/>
      <c r="AU161" s="1443"/>
      <c r="AV161" s="1443"/>
      <c r="AW161" s="1443"/>
      <c r="AX161" s="3742"/>
      <c r="AY161" s="5016"/>
      <c r="AZ161" s="5016"/>
      <c r="BA161" s="5016"/>
      <c r="BB161" s="5016"/>
      <c r="BC161" s="5016"/>
      <c r="BD161" s="5016"/>
      <c r="BE161" s="5016"/>
      <c r="BF161" s="5016"/>
      <c r="BG161" s="5016"/>
      <c r="BH161" s="5016"/>
    </row>
    <row r="162" spans="1:60" ht="12" customHeight="1">
      <c r="A162" s="5088"/>
      <c r="B162" s="3285"/>
      <c r="C162" s="3285"/>
      <c r="D162" s="6704"/>
      <c r="E162" s="6705"/>
      <c r="F162" s="6705"/>
      <c r="G162" s="6705"/>
      <c r="H162" s="6705"/>
      <c r="I162" s="6705"/>
      <c r="J162" s="6705"/>
      <c r="K162" s="6705"/>
      <c r="L162" s="6705"/>
      <c r="M162" s="6705"/>
      <c r="N162" s="6705"/>
      <c r="O162" s="1443"/>
      <c r="P162" s="6876"/>
      <c r="Q162" s="6877"/>
      <c r="R162" s="6877"/>
      <c r="S162" s="6877"/>
      <c r="T162" s="6877"/>
      <c r="U162" s="6877"/>
      <c r="V162" s="6878"/>
      <c r="W162" s="6876"/>
      <c r="X162" s="6877"/>
      <c r="Y162" s="6877"/>
      <c r="Z162" s="6877"/>
      <c r="AA162" s="6877"/>
      <c r="AB162" s="6877"/>
      <c r="AC162" s="6878"/>
      <c r="AD162" s="6876"/>
      <c r="AE162" s="6877"/>
      <c r="AF162" s="6877"/>
      <c r="AG162" s="6877"/>
      <c r="AH162" s="6877"/>
      <c r="AI162" s="6878"/>
      <c r="AJ162" s="6706" t="s">
        <v>14</v>
      </c>
      <c r="AK162" s="6080"/>
      <c r="AL162" s="6707">
        <f>IF(AND(SUM(P162,W162,AD162)&gt;0,AO146=0),"Check one box.",ROUND(SUM(P162,W162,AD162),0))</f>
        <v>0</v>
      </c>
      <c r="AM162" s="5809"/>
      <c r="AN162" s="5809"/>
      <c r="AO162" s="5809"/>
      <c r="AP162" s="3350"/>
      <c r="AQ162" s="1443"/>
      <c r="AR162" s="1443"/>
      <c r="AS162" s="1443"/>
      <c r="AT162" s="1443"/>
      <c r="AU162" s="1443"/>
      <c r="AV162" s="1443"/>
      <c r="AW162" s="1443"/>
      <c r="AX162" s="3742"/>
      <c r="AY162" s="5016"/>
      <c r="AZ162" s="5016"/>
      <c r="BA162" s="5016"/>
      <c r="BB162" s="5016"/>
      <c r="BC162" s="5016"/>
      <c r="BD162" s="5016"/>
      <c r="BE162" s="5016"/>
      <c r="BF162" s="5016"/>
      <c r="BG162" s="5016"/>
      <c r="BH162" s="5016"/>
    </row>
    <row r="163" spans="1:60" ht="12" customHeight="1">
      <c r="A163" s="5088"/>
      <c r="B163" s="6879" t="s">
        <v>54</v>
      </c>
      <c r="C163" s="6879"/>
      <c r="D163" s="2378" t="s">
        <v>2760</v>
      </c>
      <c r="E163" s="1443"/>
      <c r="F163" s="1443"/>
      <c r="G163" s="1443"/>
      <c r="H163" s="1443"/>
      <c r="I163" s="1443"/>
      <c r="J163" s="1443"/>
      <c r="K163" s="1443"/>
      <c r="L163" s="1443"/>
      <c r="M163" s="1443"/>
      <c r="N163" s="1443"/>
      <c r="O163" s="1443"/>
      <c r="P163" s="3416"/>
      <c r="Q163" s="3417"/>
      <c r="R163" s="3417"/>
      <c r="S163" s="3417"/>
      <c r="T163" s="3417"/>
      <c r="U163" s="3417"/>
      <c r="V163" s="3418"/>
      <c r="W163" s="3416"/>
      <c r="X163" s="3417"/>
      <c r="Y163" s="3417"/>
      <c r="Z163" s="3417"/>
      <c r="AA163" s="3417"/>
      <c r="AB163" s="3417"/>
      <c r="AC163" s="3418"/>
      <c r="AD163" s="3416"/>
      <c r="AE163" s="3417"/>
      <c r="AF163" s="3417"/>
      <c r="AG163" s="3417"/>
      <c r="AH163" s="3417"/>
      <c r="AI163" s="3418"/>
      <c r="AJ163" s="6780"/>
      <c r="AK163" s="6078"/>
      <c r="AL163" s="1964"/>
      <c r="AM163" s="1443"/>
      <c r="AN163" s="1443"/>
      <c r="AO163" s="1443"/>
      <c r="AP163" s="3350"/>
      <c r="AQ163" s="1443"/>
      <c r="AR163" s="1443"/>
      <c r="AS163" s="1443"/>
      <c r="AT163" s="1443"/>
      <c r="AU163" s="1443"/>
      <c r="AV163" s="1443"/>
      <c r="AW163" s="1443"/>
      <c r="AX163" s="3742"/>
      <c r="AY163" s="5016"/>
      <c r="AZ163" s="5016"/>
      <c r="BA163" s="5016"/>
      <c r="BB163" s="5016"/>
      <c r="BC163" s="5016"/>
      <c r="BD163" s="5016"/>
      <c r="BE163" s="5016"/>
      <c r="BF163" s="5016"/>
      <c r="BG163" s="5016"/>
      <c r="BH163" s="5016"/>
    </row>
    <row r="164" spans="1:60" ht="12" customHeight="1">
      <c r="A164" s="5088"/>
      <c r="B164" s="3285"/>
      <c r="C164" s="3285"/>
      <c r="D164" s="2378" t="s">
        <v>2761</v>
      </c>
      <c r="E164" s="1443"/>
      <c r="F164" s="1443"/>
      <c r="G164" s="1443"/>
      <c r="H164" s="1443"/>
      <c r="I164" s="1443"/>
      <c r="J164" s="1443"/>
      <c r="K164" s="1443"/>
      <c r="L164" s="1443"/>
      <c r="M164" s="1443"/>
      <c r="N164" s="1443"/>
      <c r="O164" s="1443"/>
      <c r="P164" s="3416"/>
      <c r="Q164" s="3417"/>
      <c r="R164" s="3417"/>
      <c r="S164" s="3417"/>
      <c r="T164" s="3417"/>
      <c r="U164" s="3417"/>
      <c r="V164" s="3418"/>
      <c r="W164" s="3416"/>
      <c r="X164" s="3417"/>
      <c r="Y164" s="3417"/>
      <c r="Z164" s="3417"/>
      <c r="AA164" s="3417"/>
      <c r="AB164" s="3417"/>
      <c r="AC164" s="3418"/>
      <c r="AD164" s="3416"/>
      <c r="AE164" s="3417"/>
      <c r="AF164" s="3417"/>
      <c r="AG164" s="3417"/>
      <c r="AH164" s="3417"/>
      <c r="AI164" s="3418"/>
      <c r="AJ164" s="6696"/>
      <c r="AK164" s="5680"/>
      <c r="AL164" s="1965"/>
      <c r="AM164" s="1443"/>
      <c r="AN164" s="1443"/>
      <c r="AO164" s="1443"/>
      <c r="AP164" s="3350"/>
      <c r="AQ164" s="1443"/>
      <c r="AR164" s="1443"/>
      <c r="AS164" s="1443"/>
      <c r="AT164" s="1443"/>
      <c r="AU164" s="1443"/>
      <c r="AV164" s="1443"/>
      <c r="AW164" s="1443"/>
      <c r="AX164" s="3742"/>
      <c r="AY164" s="5016"/>
      <c r="AZ164" s="5016"/>
      <c r="BA164" s="5016"/>
      <c r="BB164" s="5016"/>
      <c r="BC164" s="5016"/>
      <c r="BD164" s="5016"/>
      <c r="BE164" s="5016"/>
      <c r="BF164" s="5016"/>
      <c r="BG164" s="5016"/>
      <c r="BH164" s="5016"/>
    </row>
    <row r="165" spans="1:60" ht="12" customHeight="1">
      <c r="A165" s="5088"/>
      <c r="B165" s="3285"/>
      <c r="C165" s="3285"/>
      <c r="D165" s="2378" t="s">
        <v>2762</v>
      </c>
      <c r="E165" s="1443"/>
      <c r="F165" s="1443"/>
      <c r="G165" s="1443"/>
      <c r="H165" s="1443"/>
      <c r="I165" s="1443"/>
      <c r="J165" s="1443"/>
      <c r="K165" s="1443"/>
      <c r="L165" s="1443"/>
      <c r="M165" s="1443"/>
      <c r="N165" s="1443"/>
      <c r="O165" s="1443"/>
      <c r="P165" s="3416"/>
      <c r="Q165" s="3417"/>
      <c r="R165" s="3417"/>
      <c r="S165" s="3417"/>
      <c r="T165" s="3417"/>
      <c r="U165" s="3417"/>
      <c r="V165" s="3418"/>
      <c r="W165" s="3416"/>
      <c r="X165" s="3417"/>
      <c r="Y165" s="3417"/>
      <c r="Z165" s="3417"/>
      <c r="AA165" s="3417"/>
      <c r="AB165" s="3417"/>
      <c r="AC165" s="3418"/>
      <c r="AD165" s="3416"/>
      <c r="AE165" s="3417"/>
      <c r="AF165" s="3417"/>
      <c r="AG165" s="3417"/>
      <c r="AH165" s="3417"/>
      <c r="AI165" s="3418"/>
      <c r="AJ165" s="6696"/>
      <c r="AK165" s="5680"/>
      <c r="AL165" s="1965"/>
      <c r="AM165" s="1443"/>
      <c r="AN165" s="1443"/>
      <c r="AO165" s="1443"/>
      <c r="AP165" s="3350"/>
      <c r="AQ165" s="1443"/>
      <c r="AR165" s="1443"/>
      <c r="AS165" s="1443"/>
      <c r="AT165" s="1443"/>
      <c r="AU165" s="1443"/>
      <c r="AV165" s="1443"/>
      <c r="AW165" s="1443"/>
      <c r="AX165" s="3742"/>
      <c r="AY165" s="5016"/>
      <c r="AZ165" s="5016"/>
      <c r="BA165" s="5016"/>
      <c r="BB165" s="5016"/>
      <c r="BC165" s="5016"/>
      <c r="BD165" s="5016"/>
      <c r="BE165" s="5016"/>
      <c r="BF165" s="5016"/>
      <c r="BG165" s="5016"/>
      <c r="BH165" s="5016"/>
    </row>
    <row r="166" spans="1:60" ht="12" customHeight="1">
      <c r="A166" s="5088"/>
      <c r="B166" s="3285"/>
      <c r="C166" s="3285"/>
      <c r="D166" s="2378" t="s">
        <v>2763</v>
      </c>
      <c r="E166" s="1443"/>
      <c r="F166" s="1443"/>
      <c r="G166" s="1443"/>
      <c r="H166" s="1443"/>
      <c r="I166" s="1443"/>
      <c r="J166" s="1443"/>
      <c r="K166" s="1443"/>
      <c r="L166" s="1443"/>
      <c r="M166" s="1443"/>
      <c r="N166" s="1443"/>
      <c r="O166" s="1443"/>
      <c r="P166" s="3416"/>
      <c r="Q166" s="3417"/>
      <c r="R166" s="3417"/>
      <c r="S166" s="3417"/>
      <c r="T166" s="3417"/>
      <c r="U166" s="3417"/>
      <c r="V166" s="3418"/>
      <c r="W166" s="3416"/>
      <c r="X166" s="3417"/>
      <c r="Y166" s="3417"/>
      <c r="Z166" s="3417"/>
      <c r="AA166" s="3417"/>
      <c r="AB166" s="3417"/>
      <c r="AC166" s="3418"/>
      <c r="AD166" s="3416"/>
      <c r="AE166" s="3417"/>
      <c r="AF166" s="3417"/>
      <c r="AG166" s="3417"/>
      <c r="AH166" s="3417"/>
      <c r="AI166" s="3418"/>
      <c r="AJ166" s="6696"/>
      <c r="AK166" s="5680"/>
      <c r="AL166" s="1965"/>
      <c r="AM166" s="1443"/>
      <c r="AN166" s="1443"/>
      <c r="AO166" s="1443"/>
      <c r="AP166" s="3350"/>
      <c r="AQ166" s="1443"/>
      <c r="AR166" s="1443"/>
      <c r="AS166" s="1443"/>
      <c r="AT166" s="1443"/>
      <c r="AU166" s="1443"/>
      <c r="AV166" s="1443"/>
      <c r="AW166" s="1443"/>
      <c r="AX166" s="3742"/>
      <c r="AY166" s="5016"/>
      <c r="AZ166" s="5016"/>
      <c r="BA166" s="5016"/>
      <c r="BB166" s="5016"/>
      <c r="BC166" s="5016"/>
      <c r="BD166" s="5016"/>
      <c r="BE166" s="5016"/>
      <c r="BF166" s="5016"/>
      <c r="BG166" s="5016"/>
      <c r="BH166" s="5016"/>
    </row>
    <row r="167" spans="1:60" ht="12" customHeight="1">
      <c r="A167" s="5088"/>
      <c r="B167" s="3285"/>
      <c r="C167" s="3285"/>
      <c r="D167" s="2378" t="s">
        <v>2764</v>
      </c>
      <c r="E167" s="1443"/>
      <c r="F167" s="1443"/>
      <c r="G167" s="1443"/>
      <c r="H167" s="1443"/>
      <c r="I167" s="1443"/>
      <c r="J167" s="1443"/>
      <c r="K167" s="1443"/>
      <c r="L167" s="1443"/>
      <c r="M167" s="1943" t="s">
        <v>1280</v>
      </c>
      <c r="N167" s="1444"/>
      <c r="O167" s="1443"/>
      <c r="P167" s="3416"/>
      <c r="Q167" s="3417"/>
      <c r="R167" s="3417"/>
      <c r="S167" s="3417"/>
      <c r="T167" s="3417"/>
      <c r="U167" s="3417"/>
      <c r="V167" s="3418"/>
      <c r="W167" s="3416"/>
      <c r="X167" s="3417"/>
      <c r="Y167" s="3417"/>
      <c r="Z167" s="3417"/>
      <c r="AA167" s="3417"/>
      <c r="AB167" s="3417"/>
      <c r="AC167" s="3418"/>
      <c r="AD167" s="3416"/>
      <c r="AE167" s="3417"/>
      <c r="AF167" s="3417"/>
      <c r="AG167" s="3417"/>
      <c r="AH167" s="3417"/>
      <c r="AI167" s="3418"/>
      <c r="AJ167" s="6696"/>
      <c r="AK167" s="5680"/>
      <c r="AL167" s="1965"/>
      <c r="AM167" s="1443"/>
      <c r="AN167" s="1443"/>
      <c r="AO167" s="1443"/>
      <c r="AP167" s="3350"/>
      <c r="AQ167" s="1443"/>
      <c r="AR167" s="1443"/>
      <c r="AS167" s="1443"/>
      <c r="AT167" s="1443"/>
      <c r="AU167" s="1443"/>
      <c r="AV167" s="1443"/>
      <c r="AW167" s="1443"/>
      <c r="AX167" s="3742"/>
      <c r="AY167" s="5016"/>
      <c r="AZ167" s="5016"/>
      <c r="BA167" s="5016"/>
      <c r="BB167" s="5016"/>
      <c r="BC167" s="5016"/>
      <c r="BD167" s="5016"/>
      <c r="BE167" s="5016"/>
      <c r="BF167" s="5016"/>
      <c r="BG167" s="5016"/>
      <c r="BH167" s="5016"/>
    </row>
    <row r="168" spans="1:60" ht="6" customHeight="1">
      <c r="A168" s="5088"/>
      <c r="B168" s="3387"/>
      <c r="C168" s="3387"/>
      <c r="D168" s="3390"/>
      <c r="E168" s="1936"/>
      <c r="F168" s="1936"/>
      <c r="G168" s="1936"/>
      <c r="H168" s="1936"/>
      <c r="I168" s="1936"/>
      <c r="J168" s="1936"/>
      <c r="K168" s="1936"/>
      <c r="L168" s="1936"/>
      <c r="M168" s="1936"/>
      <c r="N168" s="1936"/>
      <c r="O168" s="1936"/>
      <c r="P168" s="3421"/>
      <c r="Q168" s="3422"/>
      <c r="R168" s="3422"/>
      <c r="S168" s="3422"/>
      <c r="T168" s="3422"/>
      <c r="U168" s="3422"/>
      <c r="V168" s="3423"/>
      <c r="W168" s="3421"/>
      <c r="X168" s="3422"/>
      <c r="Y168" s="3422"/>
      <c r="Z168" s="3422"/>
      <c r="AA168" s="3422"/>
      <c r="AB168" s="3422"/>
      <c r="AC168" s="3423"/>
      <c r="AD168" s="3421"/>
      <c r="AE168" s="3422"/>
      <c r="AF168" s="3422"/>
      <c r="AG168" s="3422"/>
      <c r="AH168" s="3422"/>
      <c r="AI168" s="3423"/>
      <c r="AJ168" s="6696"/>
      <c r="AK168" s="5680"/>
      <c r="AL168" s="1965"/>
      <c r="AM168" s="1443"/>
      <c r="AN168" s="1443"/>
      <c r="AO168" s="1443"/>
      <c r="AP168" s="3350"/>
      <c r="AQ168" s="1443"/>
      <c r="AR168" s="1443"/>
      <c r="AS168" s="1443"/>
      <c r="AT168" s="1443"/>
      <c r="AU168" s="1443"/>
      <c r="AV168" s="1443"/>
      <c r="AW168" s="1443"/>
      <c r="AX168" s="3742"/>
      <c r="AY168" s="5016"/>
      <c r="AZ168" s="5016"/>
      <c r="BA168" s="5016"/>
      <c r="BB168" s="5016"/>
      <c r="BC168" s="5016"/>
      <c r="BD168" s="5016"/>
      <c r="BE168" s="5016"/>
      <c r="BF168" s="5016"/>
      <c r="BG168" s="5016"/>
      <c r="BH168" s="5016"/>
    </row>
    <row r="169" spans="1:60" ht="13.5" customHeight="1">
      <c r="A169" s="5088"/>
      <c r="B169" s="1607" t="s">
        <v>2765</v>
      </c>
      <c r="C169" s="3285"/>
      <c r="D169" s="3269"/>
      <c r="E169" s="1443"/>
      <c r="F169" s="1443"/>
      <c r="G169" s="1443"/>
      <c r="H169" s="1443"/>
      <c r="I169" s="1443"/>
      <c r="J169" s="1443"/>
      <c r="K169" s="1443"/>
      <c r="L169" s="1443"/>
      <c r="M169" s="1443"/>
      <c r="N169" s="1443"/>
      <c r="O169" s="1443"/>
      <c r="P169" s="3416"/>
      <c r="Q169" s="3417"/>
      <c r="R169" s="3417"/>
      <c r="S169" s="3417"/>
      <c r="T169" s="3417"/>
      <c r="U169" s="3417"/>
      <c r="V169" s="3418"/>
      <c r="W169" s="3416"/>
      <c r="X169" s="3417"/>
      <c r="Y169" s="3417"/>
      <c r="Z169" s="3417"/>
      <c r="AA169" s="3417"/>
      <c r="AB169" s="3417"/>
      <c r="AC169" s="3418"/>
      <c r="AD169" s="3416"/>
      <c r="AE169" s="3417"/>
      <c r="AF169" s="3417"/>
      <c r="AG169" s="3417"/>
      <c r="AH169" s="3417"/>
      <c r="AI169" s="3418"/>
      <c r="AJ169" s="6696"/>
      <c r="AK169" s="5680"/>
      <c r="AL169" s="1965"/>
      <c r="AM169" s="1443"/>
      <c r="AN169" s="1443"/>
      <c r="AO169" s="1443"/>
      <c r="AP169" s="3350"/>
      <c r="AQ169" s="1443"/>
      <c r="AR169" s="1443"/>
      <c r="AS169" s="1443"/>
      <c r="AT169" s="1443"/>
      <c r="AU169" s="1443"/>
      <c r="AV169" s="1443"/>
      <c r="AW169" s="1443"/>
      <c r="AX169" s="3742"/>
      <c r="AY169" s="5016"/>
      <c r="AZ169" s="5016"/>
      <c r="BA169" s="5016"/>
      <c r="BB169" s="5016"/>
      <c r="BC169" s="5016"/>
      <c r="BD169" s="5016"/>
      <c r="BE169" s="5016"/>
      <c r="BF169" s="5016"/>
      <c r="BG169" s="5016"/>
      <c r="BH169" s="5016"/>
    </row>
    <row r="170" spans="1:60" ht="13.5" customHeight="1">
      <c r="A170" s="5088"/>
      <c r="B170" s="6698">
        <v>2</v>
      </c>
      <c r="C170" s="6698"/>
      <c r="D170" s="1592" t="s">
        <v>2766</v>
      </c>
      <c r="E170" s="1443"/>
      <c r="F170" s="1443"/>
      <c r="G170" s="1443"/>
      <c r="H170" s="1443"/>
      <c r="I170" s="1443"/>
      <c r="J170" s="1443"/>
      <c r="K170" s="1443"/>
      <c r="L170" s="1443"/>
      <c r="M170" s="1443"/>
      <c r="N170" s="1443"/>
      <c r="O170" s="1443"/>
      <c r="P170" s="3419"/>
      <c r="Q170" s="1607"/>
      <c r="R170" s="1607"/>
      <c r="S170" s="1607"/>
      <c r="T170" s="1607"/>
      <c r="U170" s="1607"/>
      <c r="V170" s="3420"/>
      <c r="W170" s="1607"/>
      <c r="X170" s="1607"/>
      <c r="Y170" s="1607"/>
      <c r="Z170" s="1607"/>
      <c r="AA170" s="1607"/>
      <c r="AB170" s="1607"/>
      <c r="AC170" s="3420"/>
      <c r="AD170" s="1607"/>
      <c r="AE170" s="1607"/>
      <c r="AF170" s="1607"/>
      <c r="AG170" s="1607"/>
      <c r="AH170" s="1607"/>
      <c r="AI170" s="3420"/>
      <c r="AJ170" s="6696"/>
      <c r="AK170" s="5680"/>
      <c r="AL170" s="1965"/>
      <c r="AM170" s="1443"/>
      <c r="AN170" s="1443"/>
      <c r="AO170" s="1443"/>
      <c r="AP170" s="3350"/>
      <c r="AQ170" s="1443"/>
      <c r="AR170" s="1443"/>
      <c r="AS170" s="1443"/>
      <c r="AT170" s="1443"/>
      <c r="AU170" s="1443"/>
      <c r="AV170" s="1443"/>
      <c r="AW170" s="1443"/>
      <c r="AX170" s="3742"/>
      <c r="AY170" s="5016"/>
      <c r="AZ170" s="5016"/>
      <c r="BA170" s="5016"/>
      <c r="BB170" s="5016"/>
      <c r="BC170" s="5016"/>
      <c r="BD170" s="5016"/>
      <c r="BE170" s="5016"/>
      <c r="BF170" s="5016"/>
      <c r="BG170" s="5016"/>
      <c r="BH170" s="5016"/>
    </row>
    <row r="171" spans="1:60" ht="13.5" customHeight="1">
      <c r="A171" s="5088"/>
      <c r="B171" s="6698"/>
      <c r="C171" s="6698"/>
      <c r="D171" s="1607" t="s">
        <v>2767</v>
      </c>
      <c r="E171" s="1443"/>
      <c r="F171" s="1443"/>
      <c r="G171" s="1443"/>
      <c r="H171" s="1443"/>
      <c r="I171" s="1443"/>
      <c r="J171" s="1443"/>
      <c r="K171" s="1443"/>
      <c r="L171" s="1443"/>
      <c r="M171" s="1443"/>
      <c r="N171" s="1443"/>
      <c r="O171" s="1943" t="s">
        <v>3533</v>
      </c>
      <c r="P171" s="6699"/>
      <c r="Q171" s="6700"/>
      <c r="R171" s="6700"/>
      <c r="S171" s="6700"/>
      <c r="T171" s="6700"/>
      <c r="U171" s="6700"/>
      <c r="V171" s="6701"/>
      <c r="W171" s="6699"/>
      <c r="X171" s="6700"/>
      <c r="Y171" s="6700"/>
      <c r="Z171" s="6700"/>
      <c r="AA171" s="6700"/>
      <c r="AB171" s="6700"/>
      <c r="AC171" s="6701"/>
      <c r="AD171" s="6699"/>
      <c r="AE171" s="6700"/>
      <c r="AF171" s="6700"/>
      <c r="AG171" s="6700"/>
      <c r="AH171" s="6700"/>
      <c r="AI171" s="6701"/>
      <c r="AJ171" s="6696"/>
      <c r="AK171" s="5680"/>
      <c r="AL171" s="1965"/>
      <c r="AM171" s="1443"/>
      <c r="AN171" s="1443"/>
      <c r="AO171" s="1443"/>
      <c r="AP171" s="3350"/>
      <c r="AQ171" s="1443"/>
      <c r="AR171" s="1443"/>
      <c r="AS171" s="1443"/>
      <c r="AT171" s="1443"/>
      <c r="AU171" s="1443"/>
      <c r="AV171" s="1443"/>
      <c r="AW171" s="1443"/>
      <c r="AX171" s="3742"/>
      <c r="AY171" s="5016"/>
      <c r="AZ171" s="5016"/>
      <c r="BA171" s="5016"/>
      <c r="BB171" s="5016"/>
      <c r="BC171" s="5016"/>
      <c r="BD171" s="5016"/>
      <c r="BE171" s="5016"/>
      <c r="BF171" s="5016"/>
      <c r="BG171" s="5016"/>
      <c r="BH171" s="5016"/>
    </row>
    <row r="172" spans="1:60" ht="13.5" customHeight="1">
      <c r="A172" s="5088"/>
      <c r="B172" s="4846"/>
      <c r="C172" s="4846"/>
      <c r="D172" s="1592" t="s">
        <v>2828</v>
      </c>
      <c r="E172" s="1443"/>
      <c r="F172" s="1443"/>
      <c r="G172" s="1443"/>
      <c r="H172" s="1443"/>
      <c r="I172" s="1443"/>
      <c r="J172" s="1443"/>
      <c r="K172" s="1443"/>
      <c r="L172" s="1443"/>
      <c r="M172" s="1443"/>
      <c r="N172" s="1443"/>
      <c r="O172" s="1443"/>
      <c r="P172" s="3416"/>
      <c r="Q172" s="3417"/>
      <c r="R172" s="3417"/>
      <c r="S172" s="3417"/>
      <c r="T172" s="3417"/>
      <c r="U172" s="3417"/>
      <c r="V172" s="3418"/>
      <c r="W172" s="3416"/>
      <c r="X172" s="3417"/>
      <c r="Y172" s="3417"/>
      <c r="Z172" s="3417"/>
      <c r="AA172" s="3417"/>
      <c r="AB172" s="3417"/>
      <c r="AC172" s="3418"/>
      <c r="AD172" s="3416"/>
      <c r="AE172" s="3417"/>
      <c r="AF172" s="3417"/>
      <c r="AG172" s="3417"/>
      <c r="AH172" s="3417"/>
      <c r="AI172" s="3418"/>
      <c r="AJ172" s="6696"/>
      <c r="AK172" s="5680"/>
      <c r="AL172" s="1965"/>
      <c r="AM172" s="1443"/>
      <c r="AN172" s="1443"/>
      <c r="AO172" s="1443"/>
      <c r="AP172" s="3350"/>
      <c r="AQ172" s="1443"/>
      <c r="AR172" s="1443"/>
      <c r="AS172" s="1443"/>
      <c r="AT172" s="1443"/>
      <c r="AU172" s="1443"/>
      <c r="AV172" s="1443"/>
      <c r="AW172" s="1443"/>
      <c r="AX172" s="3742"/>
      <c r="AY172" s="5016"/>
      <c r="AZ172" s="5016"/>
      <c r="BA172" s="5016"/>
      <c r="BB172" s="5016"/>
      <c r="BC172" s="5016"/>
      <c r="BD172" s="5016"/>
      <c r="BE172" s="5016"/>
      <c r="BF172" s="5016"/>
      <c r="BG172" s="5016"/>
      <c r="BH172" s="5016"/>
    </row>
    <row r="173" spans="1:60" ht="13.5" customHeight="1">
      <c r="A173" s="5088"/>
      <c r="B173" s="6698"/>
      <c r="C173" s="6698"/>
      <c r="D173" s="3405" t="s">
        <v>2829</v>
      </c>
      <c r="E173" s="1443"/>
      <c r="F173" s="1443"/>
      <c r="G173" s="1443"/>
      <c r="H173" s="1443"/>
      <c r="I173" s="1443"/>
      <c r="J173" s="1443"/>
      <c r="K173" s="1443"/>
      <c r="L173" s="1443"/>
      <c r="M173" s="1443"/>
      <c r="N173" s="1443"/>
      <c r="O173" s="1443"/>
      <c r="P173" s="3416"/>
      <c r="Q173" s="3417"/>
      <c r="R173" s="3417"/>
      <c r="S173" s="3417"/>
      <c r="T173" s="3417"/>
      <c r="U173" s="3417"/>
      <c r="V173" s="3418"/>
      <c r="W173" s="3416"/>
      <c r="X173" s="3417"/>
      <c r="Y173" s="3417"/>
      <c r="Z173" s="3417"/>
      <c r="AA173" s="3417"/>
      <c r="AB173" s="3417"/>
      <c r="AC173" s="3418"/>
      <c r="AD173" s="3416"/>
      <c r="AE173" s="3417"/>
      <c r="AF173" s="3417"/>
      <c r="AG173" s="3417"/>
      <c r="AH173" s="3417"/>
      <c r="AI173" s="3418"/>
      <c r="AJ173" s="6696"/>
      <c r="AK173" s="5680"/>
      <c r="AL173" s="1965"/>
      <c r="AM173" s="1443"/>
      <c r="AN173" s="1443"/>
      <c r="AO173" s="1443"/>
      <c r="AP173" s="3350"/>
      <c r="AQ173" s="1443"/>
      <c r="AR173" s="1443"/>
      <c r="AS173" s="1443"/>
      <c r="AT173" s="1443"/>
      <c r="AU173" s="1443"/>
      <c r="AV173" s="1443"/>
      <c r="AW173" s="1443"/>
      <c r="AX173" s="3742"/>
      <c r="AY173" s="5016"/>
      <c r="AZ173" s="5016"/>
      <c r="BA173" s="5016"/>
      <c r="BB173" s="5016"/>
      <c r="BC173" s="5016"/>
      <c r="BD173" s="5016"/>
      <c r="BE173" s="5016"/>
      <c r="BF173" s="5016"/>
      <c r="BG173" s="5016"/>
      <c r="BH173" s="5016"/>
    </row>
    <row r="174" spans="1:60" ht="13.5" customHeight="1">
      <c r="A174" s="5088"/>
      <c r="B174" s="6698" t="s">
        <v>38</v>
      </c>
      <c r="C174" s="6698"/>
      <c r="D174" s="1592" t="s">
        <v>3499</v>
      </c>
      <c r="E174" s="1443"/>
      <c r="F174" s="1443"/>
      <c r="G174" s="1443"/>
      <c r="H174" s="1443"/>
      <c r="I174" s="1443"/>
      <c r="J174" s="1443"/>
      <c r="K174" s="1443"/>
      <c r="L174" s="1443"/>
      <c r="M174" s="1443"/>
      <c r="N174" s="1443"/>
      <c r="O174" s="1443"/>
      <c r="P174" s="3419"/>
      <c r="Q174" s="1607"/>
      <c r="R174" s="1607"/>
      <c r="S174" s="1607"/>
      <c r="T174" s="1607"/>
      <c r="U174" s="1607"/>
      <c r="V174" s="3420"/>
      <c r="W174" s="1607"/>
      <c r="X174" s="1607"/>
      <c r="Y174" s="1607"/>
      <c r="Z174" s="1607"/>
      <c r="AA174" s="1607"/>
      <c r="AB174" s="1607"/>
      <c r="AC174" s="3420"/>
      <c r="AD174" s="1607"/>
      <c r="AE174" s="1607"/>
      <c r="AF174" s="1607"/>
      <c r="AG174" s="1607"/>
      <c r="AH174" s="1607"/>
      <c r="AI174" s="3420"/>
      <c r="AJ174" s="6696"/>
      <c r="AK174" s="5680"/>
      <c r="AL174" s="1965"/>
      <c r="AM174" s="1443"/>
      <c r="AN174" s="1443"/>
      <c r="AO174" s="1443"/>
      <c r="AP174" s="3350"/>
      <c r="AQ174" s="1443"/>
      <c r="AR174" s="1443"/>
      <c r="AS174" s="1443"/>
      <c r="AT174" s="1443"/>
      <c r="AU174" s="1443"/>
      <c r="AV174" s="1443"/>
      <c r="AW174" s="1443"/>
      <c r="AX174" s="3742"/>
      <c r="AY174" s="5016"/>
      <c r="AZ174" s="5016"/>
      <c r="BA174" s="5016"/>
      <c r="BB174" s="5016"/>
      <c r="BC174" s="5016"/>
      <c r="BD174" s="5016"/>
      <c r="BE174" s="5016"/>
      <c r="BF174" s="5016"/>
      <c r="BG174" s="5016"/>
      <c r="BH174" s="5016"/>
    </row>
    <row r="175" spans="1:60" ht="13.5" customHeight="1">
      <c r="A175" s="5088"/>
      <c r="B175" s="4844"/>
      <c r="C175" s="4844"/>
      <c r="D175" s="1592" t="s">
        <v>2271</v>
      </c>
      <c r="E175" s="1443"/>
      <c r="F175" s="1443"/>
      <c r="G175" s="1443"/>
      <c r="H175" s="1443"/>
      <c r="I175" s="1443"/>
      <c r="J175" s="1443"/>
      <c r="K175" s="1443"/>
      <c r="L175" s="1443"/>
      <c r="M175" s="1443"/>
      <c r="N175" s="1443"/>
      <c r="O175" s="1943" t="s">
        <v>2426</v>
      </c>
      <c r="P175" s="6699"/>
      <c r="Q175" s="6700"/>
      <c r="R175" s="6700"/>
      <c r="S175" s="6700"/>
      <c r="T175" s="6700"/>
      <c r="U175" s="6700"/>
      <c r="V175" s="6701"/>
      <c r="W175" s="6699"/>
      <c r="X175" s="6700"/>
      <c r="Y175" s="6700"/>
      <c r="Z175" s="6700"/>
      <c r="AA175" s="6700"/>
      <c r="AB175" s="6700"/>
      <c r="AC175" s="6701"/>
      <c r="AD175" s="6699"/>
      <c r="AE175" s="6700"/>
      <c r="AF175" s="6700"/>
      <c r="AG175" s="6700"/>
      <c r="AH175" s="6700"/>
      <c r="AI175" s="6701"/>
      <c r="AJ175" s="6696"/>
      <c r="AK175" s="5680"/>
      <c r="AL175" s="1965"/>
      <c r="AM175" s="1443"/>
      <c r="AN175" s="1443"/>
      <c r="AO175" s="1443"/>
      <c r="AP175" s="3350"/>
      <c r="AQ175" s="1443"/>
      <c r="AR175" s="1443"/>
      <c r="AS175" s="1443"/>
      <c r="AT175" s="1443"/>
      <c r="AU175" s="1443"/>
      <c r="AV175" s="1443"/>
      <c r="AW175" s="1443"/>
      <c r="AX175" s="3742"/>
      <c r="AY175" s="5016"/>
      <c r="AZ175" s="5016"/>
      <c r="BA175" s="5016"/>
      <c r="BB175" s="5016"/>
      <c r="BC175" s="5016"/>
      <c r="BD175" s="5016"/>
      <c r="BE175" s="5016"/>
      <c r="BF175" s="5016"/>
      <c r="BG175" s="5016"/>
      <c r="BH175" s="5016"/>
    </row>
    <row r="176" spans="1:60" ht="13.5" customHeight="1">
      <c r="A176" s="5088"/>
      <c r="B176" s="6698" t="s">
        <v>54</v>
      </c>
      <c r="C176" s="6698"/>
      <c r="D176" s="1592" t="s">
        <v>2768</v>
      </c>
      <c r="E176" s="1443"/>
      <c r="F176" s="1443"/>
      <c r="G176" s="1443"/>
      <c r="H176" s="1443"/>
      <c r="I176" s="1443"/>
      <c r="J176" s="1443"/>
      <c r="K176" s="1443"/>
      <c r="L176" s="1443"/>
      <c r="M176" s="1443"/>
      <c r="N176" s="1443"/>
      <c r="O176" s="1943" t="s">
        <v>605</v>
      </c>
      <c r="P176" s="6699"/>
      <c r="Q176" s="6700"/>
      <c r="R176" s="6700"/>
      <c r="S176" s="6700"/>
      <c r="T176" s="6700"/>
      <c r="U176" s="6700"/>
      <c r="V176" s="6701"/>
      <c r="W176" s="6699"/>
      <c r="X176" s="6700"/>
      <c r="Y176" s="6700"/>
      <c r="Z176" s="6700"/>
      <c r="AA176" s="6700"/>
      <c r="AB176" s="6700"/>
      <c r="AC176" s="6701"/>
      <c r="AD176" s="6699"/>
      <c r="AE176" s="6700"/>
      <c r="AF176" s="6700"/>
      <c r="AG176" s="6700"/>
      <c r="AH176" s="6700"/>
      <c r="AI176" s="6701"/>
      <c r="AJ176" s="6696"/>
      <c r="AK176" s="5680"/>
      <c r="AL176" s="1965"/>
      <c r="AM176" s="1443"/>
      <c r="AN176" s="1443"/>
      <c r="AO176" s="1443"/>
      <c r="AP176" s="3350"/>
      <c r="AQ176" s="1443"/>
      <c r="AR176" s="1443"/>
      <c r="AS176" s="1443"/>
      <c r="AT176" s="1443"/>
      <c r="AU176" s="1443"/>
      <c r="AV176" s="1443"/>
      <c r="AW176" s="1443"/>
      <c r="AX176" s="3742"/>
      <c r="AY176" s="5016"/>
      <c r="AZ176" s="5016"/>
      <c r="BA176" s="5016"/>
      <c r="BB176" s="5016"/>
      <c r="BC176" s="5016"/>
      <c r="BD176" s="5016"/>
      <c r="BE176" s="5016"/>
      <c r="BF176" s="5016"/>
      <c r="BG176" s="5016"/>
      <c r="BH176" s="5016"/>
    </row>
    <row r="177" spans="1:60" ht="13.5" customHeight="1">
      <c r="A177" s="5088"/>
      <c r="B177" s="6698" t="s">
        <v>55</v>
      </c>
      <c r="C177" s="6698"/>
      <c r="D177" s="1592" t="s">
        <v>2769</v>
      </c>
      <c r="E177" s="1443"/>
      <c r="F177" s="1443"/>
      <c r="G177" s="1443"/>
      <c r="H177" s="1443"/>
      <c r="I177" s="1443"/>
      <c r="J177" s="1443"/>
      <c r="K177" s="1443"/>
      <c r="L177" s="1443"/>
      <c r="M177" s="1443"/>
      <c r="N177" s="1443"/>
      <c r="O177" s="1943" t="s">
        <v>3239</v>
      </c>
      <c r="P177" s="6843">
        <f>SUM(P175:P176)</f>
        <v>0</v>
      </c>
      <c r="Q177" s="6844"/>
      <c r="R177" s="6844"/>
      <c r="S177" s="6844"/>
      <c r="T177" s="6844"/>
      <c r="U177" s="6844"/>
      <c r="V177" s="6845"/>
      <c r="W177" s="6843">
        <f>SUM(W175:W176)</f>
        <v>0</v>
      </c>
      <c r="X177" s="6844"/>
      <c r="Y177" s="6844"/>
      <c r="Z177" s="6844"/>
      <c r="AA177" s="6844"/>
      <c r="AB177" s="6844"/>
      <c r="AC177" s="6845"/>
      <c r="AD177" s="6843">
        <f>SUM(AD175:AD176)</f>
        <v>0</v>
      </c>
      <c r="AE177" s="6844"/>
      <c r="AF177" s="6844"/>
      <c r="AG177" s="6844"/>
      <c r="AH177" s="6844"/>
      <c r="AI177" s="6845"/>
      <c r="AJ177" s="6696"/>
      <c r="AK177" s="5680"/>
      <c r="AL177" s="1965"/>
      <c r="AM177" s="1443"/>
      <c r="AN177" s="1443"/>
      <c r="AO177" s="1443"/>
      <c r="AP177" s="3350"/>
      <c r="AQ177" s="1443"/>
      <c r="AR177" s="1443"/>
      <c r="AS177" s="1443"/>
      <c r="AT177" s="1443"/>
      <c r="AU177" s="1443"/>
      <c r="AV177" s="1443"/>
      <c r="AW177" s="1443"/>
      <c r="AX177" s="3742"/>
      <c r="AY177" s="5016"/>
      <c r="AZ177" s="5016"/>
      <c r="BA177" s="5016"/>
      <c r="BB177" s="5016"/>
      <c r="BC177" s="5016"/>
      <c r="BD177" s="5016"/>
      <c r="BE177" s="5016"/>
      <c r="BF177" s="5016"/>
      <c r="BG177" s="5016"/>
      <c r="BH177" s="5016"/>
    </row>
    <row r="178" spans="1:60" ht="13.5" customHeight="1">
      <c r="A178" s="5088"/>
      <c r="B178" s="6698" t="s">
        <v>102</v>
      </c>
      <c r="C178" s="6698"/>
      <c r="D178" s="1592" t="s">
        <v>2770</v>
      </c>
      <c r="E178" s="1443"/>
      <c r="F178" s="1443"/>
      <c r="G178" s="1443"/>
      <c r="H178" s="1443"/>
      <c r="I178" s="1443"/>
      <c r="J178" s="1443"/>
      <c r="K178" s="1443"/>
      <c r="L178" s="1443"/>
      <c r="M178" s="1443"/>
      <c r="N178" s="1443"/>
      <c r="O178" s="1943" t="s">
        <v>3539</v>
      </c>
      <c r="P178" s="6699"/>
      <c r="Q178" s="6700"/>
      <c r="R178" s="6700"/>
      <c r="S178" s="6700"/>
      <c r="T178" s="6700"/>
      <c r="U178" s="6700"/>
      <c r="V178" s="6701"/>
      <c r="W178" s="6699"/>
      <c r="X178" s="6700"/>
      <c r="Y178" s="6700"/>
      <c r="Z178" s="6700"/>
      <c r="AA178" s="6700"/>
      <c r="AB178" s="6700"/>
      <c r="AC178" s="6701"/>
      <c r="AD178" s="6699"/>
      <c r="AE178" s="6700"/>
      <c r="AF178" s="6700"/>
      <c r="AG178" s="6700"/>
      <c r="AH178" s="6700"/>
      <c r="AI178" s="6701"/>
      <c r="AJ178" s="6696"/>
      <c r="AK178" s="5680"/>
      <c r="AL178" s="1965"/>
      <c r="AM178" s="1443"/>
      <c r="AN178" s="1443"/>
      <c r="AO178" s="1443"/>
      <c r="AP178" s="3350"/>
      <c r="AQ178" s="1443"/>
      <c r="AR178" s="1443"/>
      <c r="AS178" s="1443"/>
      <c r="AT178" s="1443"/>
      <c r="AU178" s="1443"/>
      <c r="AV178" s="1443"/>
      <c r="AW178" s="1443"/>
      <c r="AX178" s="3742"/>
      <c r="AY178" s="5016"/>
      <c r="AZ178" s="5016"/>
      <c r="BA178" s="5016"/>
      <c r="BB178" s="5016"/>
      <c r="BC178" s="5016"/>
      <c r="BD178" s="5016"/>
      <c r="BE178" s="5016"/>
      <c r="BF178" s="5016"/>
      <c r="BG178" s="5016"/>
      <c r="BH178" s="5016"/>
    </row>
    <row r="179" spans="1:60" ht="13.5" customHeight="1">
      <c r="A179" s="5088"/>
      <c r="B179" s="6698" t="s">
        <v>1201</v>
      </c>
      <c r="C179" s="6698"/>
      <c r="D179" s="1592" t="s">
        <v>2771</v>
      </c>
      <c r="E179" s="1443"/>
      <c r="F179" s="1443"/>
      <c r="G179" s="1443"/>
      <c r="H179" s="1443"/>
      <c r="I179" s="1443"/>
      <c r="J179" s="1443"/>
      <c r="K179" s="1443"/>
      <c r="L179" s="1443"/>
      <c r="M179" s="1443"/>
      <c r="N179" s="1443"/>
      <c r="O179" s="1943" t="s">
        <v>3539</v>
      </c>
      <c r="P179" s="6699"/>
      <c r="Q179" s="6700"/>
      <c r="R179" s="6700"/>
      <c r="S179" s="6700"/>
      <c r="T179" s="6700"/>
      <c r="U179" s="6700"/>
      <c r="V179" s="6701"/>
      <c r="W179" s="6699"/>
      <c r="X179" s="6700"/>
      <c r="Y179" s="6700"/>
      <c r="Z179" s="6700"/>
      <c r="AA179" s="6700"/>
      <c r="AB179" s="6700"/>
      <c r="AC179" s="6701"/>
      <c r="AD179" s="6699"/>
      <c r="AE179" s="6700"/>
      <c r="AF179" s="6700"/>
      <c r="AG179" s="6700"/>
      <c r="AH179" s="6700"/>
      <c r="AI179" s="6701"/>
      <c r="AJ179" s="6696"/>
      <c r="AK179" s="5680"/>
      <c r="AL179" s="1965"/>
      <c r="AM179" s="1443"/>
      <c r="AN179" s="1443"/>
      <c r="AO179" s="1443"/>
      <c r="AP179" s="3350"/>
      <c r="AQ179" s="1443"/>
      <c r="AR179" s="1443"/>
      <c r="AS179" s="1443"/>
      <c r="AT179" s="1443"/>
      <c r="AU179" s="1443"/>
      <c r="AV179" s="1443"/>
      <c r="AW179" s="1443"/>
      <c r="AX179" s="3742"/>
      <c r="AY179" s="5016"/>
      <c r="AZ179" s="5016"/>
      <c r="BA179" s="5016"/>
      <c r="BB179" s="5016"/>
      <c r="BC179" s="5016"/>
      <c r="BD179" s="5016"/>
      <c r="BE179" s="5016"/>
      <c r="BF179" s="5016"/>
      <c r="BG179" s="5016"/>
      <c r="BH179" s="5016"/>
    </row>
    <row r="180" spans="1:60" ht="13.5" customHeight="1">
      <c r="A180" s="5088"/>
      <c r="B180" s="6698" t="s">
        <v>1202</v>
      </c>
      <c r="C180" s="6698"/>
      <c r="D180" s="1592" t="s">
        <v>2772</v>
      </c>
      <c r="E180" s="1443"/>
      <c r="F180" s="1443"/>
      <c r="G180" s="1443"/>
      <c r="H180" s="1443"/>
      <c r="I180" s="1443"/>
      <c r="J180" s="1443"/>
      <c r="K180" s="1443"/>
      <c r="L180" s="1443"/>
      <c r="M180" s="1443"/>
      <c r="N180" s="1443"/>
      <c r="O180" s="1943" t="s">
        <v>3417</v>
      </c>
      <c r="P180" s="6837" t="str">
        <f>IF(P179=0,"",ROUND(P178/P179,4))</f>
        <v/>
      </c>
      <c r="Q180" s="6838"/>
      <c r="R180" s="6838"/>
      <c r="S180" s="6838"/>
      <c r="T180" s="6838"/>
      <c r="U180" s="6838"/>
      <c r="V180" s="6839"/>
      <c r="W180" s="6837" t="str">
        <f>IF(W179=0,"",ROUND(W178/W179,4))</f>
        <v/>
      </c>
      <c r="X180" s="6838"/>
      <c r="Y180" s="6838"/>
      <c r="Z180" s="6838"/>
      <c r="AA180" s="6838"/>
      <c r="AB180" s="6838"/>
      <c r="AC180" s="6839"/>
      <c r="AD180" s="6840" t="str">
        <f>IF(AD179=0,"",ROUND(AD178/AD179,4))</f>
        <v/>
      </c>
      <c r="AE180" s="6841"/>
      <c r="AF180" s="6841"/>
      <c r="AG180" s="6841"/>
      <c r="AH180" s="6841"/>
      <c r="AI180" s="6842"/>
      <c r="AJ180" s="6696"/>
      <c r="AK180" s="5680"/>
      <c r="AL180" s="1965"/>
      <c r="AM180" s="1443"/>
      <c r="AN180" s="1443"/>
      <c r="AO180" s="1443"/>
      <c r="AP180" s="3350"/>
      <c r="AQ180" s="1443"/>
      <c r="AR180" s="1443"/>
      <c r="AS180" s="1443"/>
      <c r="AT180" s="1443"/>
      <c r="AU180" s="1443"/>
      <c r="AV180" s="1443"/>
      <c r="AW180" s="1443"/>
      <c r="AX180" s="3742"/>
      <c r="AY180" s="5016"/>
      <c r="AZ180" s="5016"/>
      <c r="BA180" s="5016"/>
      <c r="BB180" s="5016"/>
      <c r="BC180" s="5016"/>
      <c r="BD180" s="5016"/>
      <c r="BE180" s="5016"/>
      <c r="BF180" s="5016"/>
      <c r="BG180" s="5016"/>
      <c r="BH180" s="5016"/>
    </row>
    <row r="181" spans="1:60" ht="13.5" customHeight="1">
      <c r="A181" s="5088"/>
      <c r="B181" s="6698" t="s">
        <v>2693</v>
      </c>
      <c r="C181" s="6698"/>
      <c r="D181" s="1592" t="s">
        <v>2773</v>
      </c>
      <c r="E181" s="1443"/>
      <c r="F181" s="1443"/>
      <c r="G181" s="1443"/>
      <c r="H181" s="1443"/>
      <c r="I181" s="1443"/>
      <c r="J181" s="1443"/>
      <c r="K181" s="1443"/>
      <c r="L181" s="1443"/>
      <c r="M181" s="1443"/>
      <c r="N181" s="1443"/>
      <c r="O181" s="1943" t="s">
        <v>3530</v>
      </c>
      <c r="P181" s="6834" t="str">
        <f>IF(OR(P177="",P180=""),"",P177*P180)</f>
        <v/>
      </c>
      <c r="Q181" s="6835"/>
      <c r="R181" s="6835"/>
      <c r="S181" s="6835"/>
      <c r="T181" s="6835"/>
      <c r="U181" s="6835"/>
      <c r="V181" s="6836"/>
      <c r="W181" s="6834" t="str">
        <f>IF(OR(W177="",W180=""),"",W177*W180)</f>
        <v/>
      </c>
      <c r="X181" s="6835"/>
      <c r="Y181" s="6835"/>
      <c r="Z181" s="6835"/>
      <c r="AA181" s="6835"/>
      <c r="AB181" s="6835"/>
      <c r="AC181" s="6836"/>
      <c r="AD181" s="6834" t="str">
        <f>IF(OR(AD177="",AD180=""),"",AD177*AD180)</f>
        <v/>
      </c>
      <c r="AE181" s="6835"/>
      <c r="AF181" s="6835"/>
      <c r="AG181" s="6835"/>
      <c r="AH181" s="6835"/>
      <c r="AI181" s="6836"/>
      <c r="AJ181" s="6696"/>
      <c r="AK181" s="5680"/>
      <c r="AL181" s="1965"/>
      <c r="AM181" s="1443"/>
      <c r="AN181" s="1443"/>
      <c r="AO181" s="1443"/>
      <c r="AP181" s="3350"/>
      <c r="AQ181" s="1443"/>
      <c r="AR181" s="1443"/>
      <c r="AS181" s="1443"/>
      <c r="AT181" s="1443"/>
      <c r="AU181" s="1443"/>
      <c r="AV181" s="1443"/>
      <c r="AW181" s="1443"/>
      <c r="AX181" s="3742"/>
      <c r="AY181" s="5016"/>
      <c r="AZ181" s="5016"/>
      <c r="BA181" s="5016"/>
      <c r="BB181" s="5016"/>
      <c r="BC181" s="5016"/>
      <c r="BD181" s="5016"/>
      <c r="BE181" s="5016"/>
      <c r="BF181" s="5016"/>
      <c r="BG181" s="5016"/>
      <c r="BH181" s="5016"/>
    </row>
    <row r="182" spans="1:60" ht="13.5" customHeight="1">
      <c r="A182" s="5088"/>
      <c r="B182" s="6833">
        <v>4</v>
      </c>
      <c r="C182" s="6833"/>
      <c r="D182" s="1592" t="s">
        <v>3500</v>
      </c>
      <c r="E182" s="1443"/>
      <c r="F182" s="1443"/>
      <c r="G182" s="1443"/>
      <c r="H182" s="1443"/>
      <c r="I182" s="1443"/>
      <c r="J182" s="1443"/>
      <c r="K182" s="1443"/>
      <c r="L182" s="1443"/>
      <c r="M182" s="1443"/>
      <c r="N182" s="1443"/>
      <c r="O182" s="1443"/>
      <c r="P182" s="3416"/>
      <c r="Q182" s="3417"/>
      <c r="R182" s="3417"/>
      <c r="S182" s="3417"/>
      <c r="T182" s="3417"/>
      <c r="U182" s="3417"/>
      <c r="V182" s="3418"/>
      <c r="W182" s="3416"/>
      <c r="X182" s="3417"/>
      <c r="Y182" s="3417"/>
      <c r="Z182" s="3417"/>
      <c r="AA182" s="3417"/>
      <c r="AB182" s="3417"/>
      <c r="AC182" s="3418"/>
      <c r="AD182" s="3416"/>
      <c r="AE182" s="3417"/>
      <c r="AF182" s="3417"/>
      <c r="AG182" s="3417"/>
      <c r="AH182" s="3417"/>
      <c r="AI182" s="3418"/>
      <c r="AJ182" s="6696"/>
      <c r="AK182" s="5680"/>
      <c r="AL182" s="1965"/>
      <c r="AM182" s="1443"/>
      <c r="AN182" s="1443"/>
      <c r="AO182" s="1443"/>
      <c r="AP182" s="3350"/>
      <c r="AQ182" s="1443"/>
      <c r="AR182" s="1443"/>
      <c r="AS182" s="1443"/>
      <c r="AT182" s="1443"/>
      <c r="AU182" s="1443"/>
      <c r="AV182" s="1443"/>
      <c r="AW182" s="1443"/>
      <c r="AX182" s="3742"/>
      <c r="AY182" s="5016"/>
      <c r="AZ182" s="5016"/>
      <c r="BA182" s="5016"/>
      <c r="BB182" s="5016"/>
      <c r="BC182" s="5016"/>
      <c r="BD182" s="5016"/>
      <c r="BE182" s="5016"/>
      <c r="BF182" s="5016"/>
      <c r="BG182" s="5016"/>
      <c r="BH182" s="5016"/>
    </row>
    <row r="183" spans="1:60" ht="13.5" customHeight="1">
      <c r="A183" s="5088"/>
      <c r="B183" s="6698" t="s">
        <v>38</v>
      </c>
      <c r="C183" s="6698"/>
      <c r="D183" s="1450" t="s">
        <v>2775</v>
      </c>
      <c r="E183" s="1443"/>
      <c r="F183" s="1443"/>
      <c r="G183" s="1443"/>
      <c r="H183" s="1443"/>
      <c r="I183" s="1443"/>
      <c r="J183" s="1443"/>
      <c r="K183" s="1443"/>
      <c r="L183" s="1443"/>
      <c r="M183" s="1443"/>
      <c r="N183" s="1443"/>
      <c r="O183" s="1443"/>
      <c r="P183" s="3419"/>
      <c r="Q183" s="1607"/>
      <c r="R183" s="1607"/>
      <c r="S183" s="1607"/>
      <c r="T183" s="1607"/>
      <c r="U183" s="1607"/>
      <c r="V183" s="3420"/>
      <c r="W183" s="1607"/>
      <c r="X183" s="1607"/>
      <c r="Y183" s="1607"/>
      <c r="Z183" s="1607"/>
      <c r="AA183" s="1607"/>
      <c r="AB183" s="1607"/>
      <c r="AC183" s="3420"/>
      <c r="AD183" s="1607"/>
      <c r="AE183" s="1607"/>
      <c r="AF183" s="1607"/>
      <c r="AG183" s="1607"/>
      <c r="AH183" s="1607"/>
      <c r="AI183" s="3420"/>
      <c r="AJ183" s="6696"/>
      <c r="AK183" s="5680"/>
      <c r="AL183" s="1965"/>
      <c r="AM183" s="1443"/>
      <c r="AN183" s="1443"/>
      <c r="AO183" s="1443"/>
      <c r="AP183" s="3350"/>
      <c r="AQ183" s="1443"/>
      <c r="AR183" s="1443"/>
      <c r="AS183" s="1443"/>
      <c r="AT183" s="1443"/>
      <c r="AU183" s="1443"/>
      <c r="AV183" s="1443"/>
      <c r="AW183" s="1443"/>
      <c r="AX183" s="3742"/>
      <c r="AY183" s="5016"/>
      <c r="AZ183" s="5016"/>
      <c r="BA183" s="5016"/>
      <c r="BB183" s="5016"/>
      <c r="BC183" s="5016"/>
      <c r="BD183" s="5016"/>
      <c r="BE183" s="5016"/>
      <c r="BF183" s="5016"/>
      <c r="BG183" s="5016"/>
      <c r="BH183" s="5016"/>
    </row>
    <row r="184" spans="1:60" ht="13.5" customHeight="1">
      <c r="A184" s="5088"/>
      <c r="B184" s="4844"/>
      <c r="C184" s="4844"/>
      <c r="D184" s="1450" t="s">
        <v>2776</v>
      </c>
      <c r="E184" s="1443"/>
      <c r="F184" s="1443"/>
      <c r="G184" s="1443"/>
      <c r="H184" s="1443"/>
      <c r="I184" s="1443"/>
      <c r="J184" s="1443"/>
      <c r="K184" s="1443"/>
      <c r="L184" s="1443"/>
      <c r="M184" s="1443"/>
      <c r="N184" s="1443"/>
      <c r="O184" s="1943" t="s">
        <v>3417</v>
      </c>
      <c r="P184" s="6699"/>
      <c r="Q184" s="6700"/>
      <c r="R184" s="6700"/>
      <c r="S184" s="6700"/>
      <c r="T184" s="6700"/>
      <c r="U184" s="6700"/>
      <c r="V184" s="6701"/>
      <c r="W184" s="6699"/>
      <c r="X184" s="6700"/>
      <c r="Y184" s="6700"/>
      <c r="Z184" s="6700"/>
      <c r="AA184" s="6700"/>
      <c r="AB184" s="6700"/>
      <c r="AC184" s="6701"/>
      <c r="AD184" s="6699"/>
      <c r="AE184" s="6700"/>
      <c r="AF184" s="6700"/>
      <c r="AG184" s="6700"/>
      <c r="AH184" s="6700"/>
      <c r="AI184" s="6701"/>
      <c r="AJ184" s="6696"/>
      <c r="AK184" s="5680"/>
      <c r="AL184" s="1965"/>
      <c r="AM184" s="1443"/>
      <c r="AN184" s="1443"/>
      <c r="AO184" s="1443"/>
      <c r="AP184" s="3350"/>
      <c r="AQ184" s="1443"/>
      <c r="AR184" s="1443"/>
      <c r="AS184" s="1443"/>
      <c r="AT184" s="1443"/>
      <c r="AU184" s="1443"/>
      <c r="AV184" s="1443"/>
      <c r="AW184" s="1443"/>
      <c r="AX184" s="3742"/>
      <c r="AY184" s="5016"/>
      <c r="AZ184" s="5016"/>
      <c r="BA184" s="5016"/>
      <c r="BB184" s="5016"/>
      <c r="BC184" s="5016"/>
      <c r="BD184" s="5016"/>
      <c r="BE184" s="5016"/>
      <c r="BF184" s="5016"/>
      <c r="BG184" s="5016"/>
      <c r="BH184" s="5016"/>
    </row>
    <row r="185" spans="1:60" ht="13.5" customHeight="1">
      <c r="A185" s="5088"/>
      <c r="B185" s="6698" t="s">
        <v>54</v>
      </c>
      <c r="C185" s="6698"/>
      <c r="D185" s="1450" t="s">
        <v>2774</v>
      </c>
      <c r="E185" s="1443"/>
      <c r="F185" s="1443"/>
      <c r="G185" s="1443"/>
      <c r="H185" s="1443"/>
      <c r="I185" s="1443"/>
      <c r="J185" s="1443"/>
      <c r="K185" s="1443"/>
      <c r="L185" s="1443"/>
      <c r="M185" s="1443"/>
      <c r="N185" s="1443"/>
      <c r="O185" s="1943" t="s">
        <v>3530</v>
      </c>
      <c r="P185" s="6699"/>
      <c r="Q185" s="6700"/>
      <c r="R185" s="6700"/>
      <c r="S185" s="6700"/>
      <c r="T185" s="6700"/>
      <c r="U185" s="6700"/>
      <c r="V185" s="6701"/>
      <c r="W185" s="6699"/>
      <c r="X185" s="6700"/>
      <c r="Y185" s="6700"/>
      <c r="Z185" s="6700"/>
      <c r="AA185" s="6700"/>
      <c r="AB185" s="6700"/>
      <c r="AC185" s="6701"/>
      <c r="AD185" s="6699"/>
      <c r="AE185" s="6700"/>
      <c r="AF185" s="6700"/>
      <c r="AG185" s="6700"/>
      <c r="AH185" s="6700"/>
      <c r="AI185" s="6701"/>
      <c r="AJ185" s="6696"/>
      <c r="AK185" s="5680"/>
      <c r="AL185" s="1965"/>
      <c r="AM185" s="1443"/>
      <c r="AN185" s="1443"/>
      <c r="AO185" s="1443"/>
      <c r="AP185" s="3350"/>
      <c r="AQ185" s="1443"/>
      <c r="AR185" s="1443"/>
      <c r="AS185" s="1443"/>
      <c r="AT185" s="1443"/>
      <c r="AU185" s="1443"/>
      <c r="AV185" s="1443"/>
      <c r="AW185" s="1443"/>
      <c r="AX185" s="3742"/>
      <c r="AY185" s="5016"/>
      <c r="AZ185" s="5016"/>
      <c r="BA185" s="5016"/>
      <c r="BB185" s="5016"/>
      <c r="BC185" s="5016"/>
      <c r="BD185" s="5016"/>
      <c r="BE185" s="5016"/>
      <c r="BF185" s="5016"/>
      <c r="BG185" s="5016"/>
      <c r="BH185" s="5016"/>
    </row>
    <row r="186" spans="1:60" ht="13.5" customHeight="1">
      <c r="A186" s="5088"/>
      <c r="B186" s="6833">
        <v>5</v>
      </c>
      <c r="C186" s="6833"/>
      <c r="D186" s="1450" t="s">
        <v>2777</v>
      </c>
      <c r="E186" s="1443"/>
      <c r="F186" s="1443"/>
      <c r="G186" s="1443"/>
      <c r="H186" s="1443"/>
      <c r="I186" s="1443"/>
      <c r="J186" s="1443"/>
      <c r="K186" s="1443"/>
      <c r="L186" s="1443"/>
      <c r="M186" s="1443"/>
      <c r="N186" s="1443"/>
      <c r="O186" s="1943" t="s">
        <v>2482</v>
      </c>
      <c r="P186" s="6699"/>
      <c r="Q186" s="6700"/>
      <c r="R186" s="6700"/>
      <c r="S186" s="6700"/>
      <c r="T186" s="6700"/>
      <c r="U186" s="6700"/>
      <c r="V186" s="6701"/>
      <c r="W186" s="6699"/>
      <c r="X186" s="6700"/>
      <c r="Y186" s="6700"/>
      <c r="Z186" s="6700"/>
      <c r="AA186" s="6700"/>
      <c r="AB186" s="6700"/>
      <c r="AC186" s="6701"/>
      <c r="AD186" s="6699"/>
      <c r="AE186" s="6700"/>
      <c r="AF186" s="6700"/>
      <c r="AG186" s="6700"/>
      <c r="AH186" s="6700"/>
      <c r="AI186" s="6701"/>
      <c r="AJ186" s="6696"/>
      <c r="AK186" s="5680"/>
      <c r="AL186" s="1965"/>
      <c r="AM186" s="1443"/>
      <c r="AN186" s="1443"/>
      <c r="AO186" s="1443"/>
      <c r="AP186" s="3350"/>
      <c r="AQ186" s="3350"/>
      <c r="AR186" s="3350"/>
      <c r="AS186" s="3350"/>
      <c r="AT186" s="3350"/>
      <c r="AU186" s="3350"/>
      <c r="AV186" s="1443"/>
      <c r="AW186" s="1443"/>
      <c r="AX186" s="3742"/>
      <c r="AY186" s="5016"/>
      <c r="AZ186" s="5016"/>
      <c r="BA186" s="5016"/>
      <c r="BB186" s="5016"/>
      <c r="BC186" s="5016"/>
      <c r="BD186" s="5016"/>
      <c r="BE186" s="5016"/>
      <c r="BF186" s="5016"/>
      <c r="BG186" s="5016"/>
      <c r="BH186" s="5016"/>
    </row>
    <row r="187" spans="1:60" ht="13.5" customHeight="1">
      <c r="A187" s="5088"/>
      <c r="B187" s="6833">
        <v>6</v>
      </c>
      <c r="C187" s="6833"/>
      <c r="D187" s="1607" t="s">
        <v>2778</v>
      </c>
      <c r="E187" s="1443"/>
      <c r="F187" s="1443"/>
      <c r="G187" s="1443"/>
      <c r="H187" s="1443"/>
      <c r="I187" s="1443"/>
      <c r="J187" s="1443"/>
      <c r="K187" s="1443"/>
      <c r="L187" s="1443"/>
      <c r="M187" s="1443"/>
      <c r="N187" s="1443"/>
      <c r="O187" s="1943" t="s">
        <v>2482</v>
      </c>
      <c r="P187" s="6834">
        <f>SUM(P171,P181,P184,P185,P186)</f>
        <v>0</v>
      </c>
      <c r="Q187" s="6835"/>
      <c r="R187" s="6835"/>
      <c r="S187" s="6835"/>
      <c r="T187" s="6835"/>
      <c r="U187" s="6835"/>
      <c r="V187" s="6836"/>
      <c r="W187" s="6834">
        <f>SUM(W171,W181,W184,W185,W186)</f>
        <v>0</v>
      </c>
      <c r="X187" s="6835"/>
      <c r="Y187" s="6835"/>
      <c r="Z187" s="6835"/>
      <c r="AA187" s="6835"/>
      <c r="AB187" s="6835"/>
      <c r="AC187" s="6836"/>
      <c r="AD187" s="6834">
        <f>SUM(AD171,AD181,AD184,AD185,AD186)</f>
        <v>0</v>
      </c>
      <c r="AE187" s="6835"/>
      <c r="AF187" s="6835"/>
      <c r="AG187" s="6835"/>
      <c r="AH187" s="6835"/>
      <c r="AI187" s="6836"/>
      <c r="AJ187" s="6706">
        <v>6</v>
      </c>
      <c r="AK187" s="6080"/>
      <c r="AL187" s="6707" t="str">
        <f>IF(AQ187&lt;&gt;"",ROUND(AQ187,0),IF(AO146=0,"",ROUND(SUM(P187,W187,AD187),0)))</f>
        <v/>
      </c>
      <c r="AM187" s="5809"/>
      <c r="AN187" s="5809"/>
      <c r="AO187" s="5809"/>
      <c r="AP187" s="3350"/>
      <c r="AQ187" s="6715"/>
      <c r="AR187" s="6716"/>
      <c r="AS187" s="6716"/>
      <c r="AT187" s="6716"/>
      <c r="AU187" s="3350"/>
      <c r="AV187" s="1443"/>
      <c r="AW187" s="1443"/>
      <c r="AX187" s="3742"/>
      <c r="AY187" s="5016"/>
      <c r="AZ187" s="5016"/>
      <c r="BA187" s="5016"/>
      <c r="BB187" s="5016"/>
      <c r="BC187" s="5016"/>
      <c r="BD187" s="5016"/>
      <c r="BE187" s="5016"/>
      <c r="BF187" s="5016"/>
      <c r="BG187" s="5016"/>
      <c r="BH187" s="5016"/>
    </row>
    <row r="188" spans="1:60" ht="16.5" customHeight="1">
      <c r="A188" s="5088"/>
      <c r="B188" s="6805">
        <v>7</v>
      </c>
      <c r="C188" s="6805"/>
      <c r="D188" s="3414" t="s">
        <v>2779</v>
      </c>
      <c r="E188" s="1937"/>
      <c r="F188" s="1937"/>
      <c r="G188" s="1937"/>
      <c r="H188" s="1937"/>
      <c r="I188" s="1937"/>
      <c r="J188" s="1937"/>
      <c r="K188" s="1937"/>
      <c r="L188" s="1937"/>
      <c r="M188" s="1937"/>
      <c r="N188" s="1937"/>
      <c r="O188" s="1937"/>
      <c r="P188" s="1937"/>
      <c r="Q188" s="1937"/>
      <c r="R188" s="1937"/>
      <c r="S188" s="1937"/>
      <c r="T188" s="1937"/>
      <c r="U188" s="1937"/>
      <c r="V188" s="1937"/>
      <c r="W188" s="1937"/>
      <c r="X188" s="1937"/>
      <c r="Y188" s="1937"/>
      <c r="Z188" s="1937"/>
      <c r="AA188" s="1937"/>
      <c r="AB188" s="1937"/>
      <c r="AC188" s="1937"/>
      <c r="AD188" s="1937"/>
      <c r="AE188" s="1937"/>
      <c r="AF188" s="1937"/>
      <c r="AG188" s="1937"/>
      <c r="AH188" s="1937"/>
      <c r="AI188" s="1943" t="s">
        <v>1993</v>
      </c>
      <c r="AJ188" s="6795">
        <v>7</v>
      </c>
      <c r="AK188" s="6796"/>
      <c r="AL188" s="6707" t="str">
        <f>IF(AQ188&lt;&gt;"",ROUND(AQ188,0),IF(AO146=0,"",ROUND(SUM(AL162,-AL187),0)))</f>
        <v/>
      </c>
      <c r="AM188" s="5809"/>
      <c r="AN188" s="5809"/>
      <c r="AO188" s="5809"/>
      <c r="AP188" s="3350"/>
      <c r="AQ188" s="6715"/>
      <c r="AR188" s="6716"/>
      <c r="AS188" s="6716"/>
      <c r="AT188" s="6716"/>
      <c r="AU188" s="3350"/>
      <c r="AV188" s="1443"/>
      <c r="AW188" s="1443"/>
      <c r="AX188" s="3742"/>
      <c r="AY188" s="5016"/>
      <c r="AZ188" s="5016"/>
      <c r="BA188" s="5016"/>
      <c r="BB188" s="5016"/>
      <c r="BC188" s="5016"/>
      <c r="BD188" s="5016"/>
      <c r="BE188" s="5016"/>
      <c r="BF188" s="5016"/>
      <c r="BG188" s="5016"/>
      <c r="BH188" s="5016"/>
    </row>
    <row r="189" spans="1:60" s="3272" customFormat="1" ht="17.25" customHeight="1">
      <c r="A189" s="5090"/>
      <c r="B189" s="6871" t="s">
        <v>130</v>
      </c>
      <c r="C189" s="6871"/>
      <c r="D189" s="6872"/>
      <c r="E189" s="6873" t="s">
        <v>4550</v>
      </c>
      <c r="F189" s="6874"/>
      <c r="G189" s="6874"/>
      <c r="H189" s="6874"/>
      <c r="I189" s="6874"/>
      <c r="J189" s="6874"/>
      <c r="K189" s="6874"/>
      <c r="L189" s="6874"/>
      <c r="M189" s="6874"/>
      <c r="N189" s="6874"/>
      <c r="O189" s="6874"/>
      <c r="P189" s="6874"/>
      <c r="Q189" s="6874"/>
      <c r="R189" s="6874"/>
      <c r="S189" s="6874"/>
      <c r="T189" s="6874"/>
      <c r="U189" s="6874"/>
      <c r="V189" s="6874"/>
      <c r="W189" s="6874"/>
      <c r="X189" s="6874"/>
      <c r="Y189" s="6874"/>
      <c r="Z189" s="6874"/>
      <c r="AA189" s="6874"/>
      <c r="AB189" s="6874"/>
      <c r="AC189" s="6874"/>
      <c r="AD189" s="6874"/>
      <c r="AE189" s="6874"/>
      <c r="AF189" s="6874"/>
      <c r="AG189" s="6874"/>
      <c r="AH189" s="6874"/>
      <c r="AI189" s="6874"/>
      <c r="AJ189" s="6874"/>
      <c r="AK189" s="6874"/>
      <c r="AL189" s="6874"/>
      <c r="AM189" s="6874"/>
      <c r="AN189" s="6874"/>
      <c r="AO189" s="6874"/>
      <c r="AP189" s="3350"/>
      <c r="AQ189" s="3350"/>
      <c r="AR189" s="3350"/>
      <c r="AS189" s="3350"/>
      <c r="AT189" s="3350"/>
      <c r="AU189" s="3350"/>
      <c r="AV189" s="1922"/>
      <c r="AW189" s="1922"/>
      <c r="AX189" s="3742"/>
      <c r="AY189" s="5016"/>
      <c r="AZ189" s="5016"/>
      <c r="BA189" s="5016"/>
      <c r="BB189" s="5016"/>
      <c r="BC189" s="5016"/>
      <c r="BD189" s="5016"/>
      <c r="BE189" s="5016"/>
      <c r="BF189" s="5016"/>
      <c r="BG189" s="5016"/>
      <c r="BH189" s="5016"/>
    </row>
    <row r="190" spans="1:60" s="3272" customFormat="1" ht="12" customHeight="1">
      <c r="A190" s="5090"/>
      <c r="B190" s="6808" t="s">
        <v>2788</v>
      </c>
      <c r="C190" s="6811" t="s">
        <v>3538</v>
      </c>
      <c r="D190" s="6311"/>
      <c r="E190" s="6311"/>
      <c r="F190" s="6311"/>
      <c r="G190" s="6312"/>
      <c r="H190" s="6812" t="s">
        <v>2827</v>
      </c>
      <c r="I190" s="6813"/>
      <c r="J190" s="6813"/>
      <c r="K190" s="6813"/>
      <c r="L190" s="6813"/>
      <c r="M190" s="6813"/>
      <c r="N190" s="6813"/>
      <c r="O190" s="6813"/>
      <c r="P190" s="6813"/>
      <c r="Q190" s="6813"/>
      <c r="R190" s="6813"/>
      <c r="S190" s="6813"/>
      <c r="T190" s="6813"/>
      <c r="U190" s="6813"/>
      <c r="V190" s="6813"/>
      <c r="W190" s="6813"/>
      <c r="X190" s="6813"/>
      <c r="Y190" s="6813"/>
      <c r="Z190" s="6813"/>
      <c r="AA190" s="6813"/>
      <c r="AB190" s="6813"/>
      <c r="AC190" s="6813"/>
      <c r="AD190" s="6813"/>
      <c r="AE190" s="6813"/>
      <c r="AF190" s="6813"/>
      <c r="AG190" s="6813"/>
      <c r="AH190" s="6813"/>
      <c r="AI190" s="6813"/>
      <c r="AJ190" s="6813"/>
      <c r="AK190" s="6813"/>
      <c r="AL190" s="6813"/>
      <c r="AM190" s="6813"/>
      <c r="AN190" s="6813"/>
      <c r="AO190" s="6813"/>
      <c r="AP190" s="3350"/>
      <c r="AQ190" s="1922"/>
      <c r="AR190" s="1922"/>
      <c r="AS190" s="1922"/>
      <c r="AT190" s="1922"/>
      <c r="AU190" s="1922"/>
      <c r="AV190" s="1922"/>
      <c r="AW190" s="1922"/>
      <c r="AX190" s="3742"/>
      <c r="AY190" s="5016"/>
      <c r="AZ190" s="5016"/>
      <c r="BA190" s="5016"/>
      <c r="BB190" s="5016"/>
      <c r="BC190" s="5016"/>
      <c r="BD190" s="5016"/>
      <c r="BE190" s="5016"/>
      <c r="BF190" s="5016"/>
      <c r="BG190" s="5016"/>
      <c r="BH190" s="5016"/>
    </row>
    <row r="191" spans="1:60" s="3272" customFormat="1" ht="12" customHeight="1">
      <c r="A191" s="5090"/>
      <c r="B191" s="6809"/>
      <c r="C191" s="6248"/>
      <c r="D191" s="6249"/>
      <c r="E191" s="6249"/>
      <c r="F191" s="6249"/>
      <c r="G191" s="6117"/>
      <c r="H191" s="6814"/>
      <c r="I191" s="6815"/>
      <c r="J191" s="6815"/>
      <c r="K191" s="6815"/>
      <c r="L191" s="6815"/>
      <c r="M191" s="6815"/>
      <c r="N191" s="6815"/>
      <c r="O191" s="6815"/>
      <c r="P191" s="6815"/>
      <c r="Q191" s="6815"/>
      <c r="R191" s="6815"/>
      <c r="S191" s="6815"/>
      <c r="T191" s="6815"/>
      <c r="U191" s="6815"/>
      <c r="V191" s="6815"/>
      <c r="W191" s="6815"/>
      <c r="X191" s="6815"/>
      <c r="Y191" s="6815"/>
      <c r="Z191" s="6815"/>
      <c r="AA191" s="6815"/>
      <c r="AB191" s="6815"/>
      <c r="AC191" s="6815"/>
      <c r="AD191" s="6815"/>
      <c r="AE191" s="6815"/>
      <c r="AF191" s="6815"/>
      <c r="AG191" s="6815"/>
      <c r="AH191" s="6815"/>
      <c r="AI191" s="6815"/>
      <c r="AJ191" s="6815"/>
      <c r="AK191" s="6815"/>
      <c r="AL191" s="6815"/>
      <c r="AM191" s="6815"/>
      <c r="AN191" s="6815"/>
      <c r="AO191" s="6815"/>
      <c r="AP191" s="3350"/>
      <c r="AQ191" s="1922"/>
      <c r="AR191" s="1922"/>
      <c r="AS191" s="1922"/>
      <c r="AT191" s="1922"/>
      <c r="AU191" s="1922"/>
      <c r="AV191" s="1922"/>
      <c r="AW191" s="1922"/>
      <c r="AX191" s="3742"/>
      <c r="AY191" s="5016"/>
      <c r="AZ191" s="5016"/>
      <c r="BA191" s="5016"/>
      <c r="BB191" s="5016"/>
      <c r="BC191" s="5016"/>
      <c r="BD191" s="5016"/>
      <c r="BE191" s="5016"/>
      <c r="BF191" s="5016"/>
      <c r="BG191" s="5016"/>
      <c r="BH191" s="5016"/>
    </row>
    <row r="192" spans="1:60" s="3272" customFormat="1" ht="12" customHeight="1">
      <c r="A192" s="5090"/>
      <c r="B192" s="6809"/>
      <c r="C192" s="6248"/>
      <c r="D192" s="6249"/>
      <c r="E192" s="6249"/>
      <c r="F192" s="6249"/>
      <c r="G192" s="6117"/>
      <c r="H192" s="6816"/>
      <c r="I192" s="6817"/>
      <c r="J192" s="6817"/>
      <c r="K192" s="6817"/>
      <c r="L192" s="6817"/>
      <c r="M192" s="6817"/>
      <c r="N192" s="6817"/>
      <c r="O192" s="6817"/>
      <c r="P192" s="6817"/>
      <c r="Q192" s="6817"/>
      <c r="R192" s="6817"/>
      <c r="S192" s="6817"/>
      <c r="T192" s="6817"/>
      <c r="U192" s="6817"/>
      <c r="V192" s="6817"/>
      <c r="W192" s="6817"/>
      <c r="X192" s="6817"/>
      <c r="Y192" s="6817"/>
      <c r="Z192" s="6817"/>
      <c r="AA192" s="6817"/>
      <c r="AB192" s="6817"/>
      <c r="AC192" s="6817"/>
      <c r="AD192" s="6817"/>
      <c r="AE192" s="6817"/>
      <c r="AF192" s="6817"/>
      <c r="AG192" s="6817"/>
      <c r="AH192" s="6817"/>
      <c r="AI192" s="6817"/>
      <c r="AJ192" s="6817"/>
      <c r="AK192" s="6817"/>
      <c r="AL192" s="6817"/>
      <c r="AM192" s="6817"/>
      <c r="AN192" s="6817"/>
      <c r="AO192" s="6817"/>
      <c r="AP192" s="3350"/>
      <c r="AQ192" s="1922"/>
      <c r="AR192" s="1922"/>
      <c r="AS192" s="1922"/>
      <c r="AT192" s="1922"/>
      <c r="AU192" s="1922"/>
      <c r="AV192" s="1922"/>
      <c r="AW192" s="1922"/>
      <c r="AX192" s="3742"/>
      <c r="AY192" s="5016"/>
      <c r="AZ192" s="5016"/>
      <c r="BA192" s="5016"/>
      <c r="BB192" s="5016"/>
      <c r="BC192" s="5016"/>
      <c r="BD192" s="5016"/>
      <c r="BE192" s="5016"/>
      <c r="BF192" s="5016"/>
      <c r="BG192" s="5016"/>
      <c r="BH192" s="5016"/>
    </row>
    <row r="193" spans="1:60" s="3272" customFormat="1" ht="10.5" customHeight="1">
      <c r="A193" s="5090"/>
      <c r="B193" s="6809"/>
      <c r="C193" s="3407">
        <f>IF(E193&lt;&gt;"",1,0)</f>
        <v>0</v>
      </c>
      <c r="D193" s="2254" t="s">
        <v>3501</v>
      </c>
      <c r="E193" s="1446"/>
      <c r="F193" s="2292" t="s">
        <v>2786</v>
      </c>
      <c r="G193" s="3393"/>
      <c r="H193" s="6227" t="s">
        <v>2825</v>
      </c>
      <c r="I193" s="6228"/>
      <c r="J193" s="6228"/>
      <c r="K193" s="6228"/>
      <c r="L193" s="6228"/>
      <c r="M193" s="6228"/>
      <c r="N193" s="6228"/>
      <c r="O193" s="6228"/>
      <c r="P193" s="6228"/>
      <c r="Q193" s="6228"/>
      <c r="R193" s="6228"/>
      <c r="S193" s="6228"/>
      <c r="T193" s="6228"/>
      <c r="U193" s="6228"/>
      <c r="V193" s="6228"/>
      <c r="W193" s="6229"/>
      <c r="X193" s="6227" t="s">
        <v>2826</v>
      </c>
      <c r="Y193" s="6212"/>
      <c r="Z193" s="6212"/>
      <c r="AA193" s="6212"/>
      <c r="AB193" s="6212"/>
      <c r="AC193" s="6212"/>
      <c r="AD193" s="6212"/>
      <c r="AE193" s="6212"/>
      <c r="AF193" s="6212"/>
      <c r="AG193" s="6212"/>
      <c r="AH193" s="6212"/>
      <c r="AI193" s="6212"/>
      <c r="AJ193" s="6212"/>
      <c r="AK193" s="6212"/>
      <c r="AL193" s="6212"/>
      <c r="AM193" s="6212"/>
      <c r="AN193" s="6212"/>
      <c r="AO193" s="6212"/>
      <c r="AP193" s="3350"/>
      <c r="AQ193" s="1922"/>
      <c r="AR193" s="1922"/>
      <c r="AS193" s="1922"/>
      <c r="AT193" s="1922"/>
      <c r="AU193" s="1922"/>
      <c r="AV193" s="1922"/>
      <c r="AW193" s="1922"/>
      <c r="AX193" s="3742"/>
      <c r="AY193" s="5016"/>
      <c r="AZ193" s="5016"/>
      <c r="BA193" s="5016"/>
      <c r="BB193" s="5016"/>
      <c r="BC193" s="5016"/>
      <c r="BD193" s="5016"/>
      <c r="BE193" s="5016"/>
      <c r="BF193" s="5016"/>
      <c r="BG193" s="5016"/>
      <c r="BH193" s="5016"/>
    </row>
    <row r="194" spans="1:60" ht="6.75" customHeight="1">
      <c r="A194" s="5088"/>
      <c r="B194" s="6809"/>
      <c r="C194" s="3408"/>
      <c r="D194" s="1607"/>
      <c r="E194" s="1443"/>
      <c r="F194" s="1443"/>
      <c r="G194" s="1966"/>
      <c r="H194" s="6233"/>
      <c r="I194" s="6234"/>
      <c r="J194" s="6234"/>
      <c r="K194" s="6234"/>
      <c r="L194" s="6234"/>
      <c r="M194" s="6234"/>
      <c r="N194" s="6234"/>
      <c r="O194" s="6234"/>
      <c r="P194" s="6234"/>
      <c r="Q194" s="6234"/>
      <c r="R194" s="6234"/>
      <c r="S194" s="6234"/>
      <c r="T194" s="6234"/>
      <c r="U194" s="6234"/>
      <c r="V194" s="6234"/>
      <c r="W194" s="6235"/>
      <c r="X194" s="6818"/>
      <c r="Y194" s="6819"/>
      <c r="Z194" s="6819"/>
      <c r="AA194" s="6819"/>
      <c r="AB194" s="6819"/>
      <c r="AC194" s="6819"/>
      <c r="AD194" s="6819"/>
      <c r="AE194" s="6819"/>
      <c r="AF194" s="6819"/>
      <c r="AG194" s="6819"/>
      <c r="AH194" s="6819"/>
      <c r="AI194" s="6819"/>
      <c r="AJ194" s="6819"/>
      <c r="AK194" s="6819"/>
      <c r="AL194" s="6819"/>
      <c r="AM194" s="6819"/>
      <c r="AN194" s="6819"/>
      <c r="AO194" s="6819"/>
      <c r="AP194" s="3350"/>
      <c r="AQ194" s="1443"/>
      <c r="AR194" s="1443"/>
      <c r="AS194" s="1443"/>
      <c r="AT194" s="1443"/>
      <c r="AU194" s="1443"/>
      <c r="AV194" s="1443"/>
      <c r="AW194" s="1443"/>
      <c r="AX194" s="3742"/>
      <c r="AY194" s="5016"/>
      <c r="AZ194" s="5016"/>
      <c r="BA194" s="5016"/>
      <c r="BB194" s="5016"/>
      <c r="BC194" s="5016"/>
      <c r="BD194" s="5016"/>
      <c r="BE194" s="5016"/>
      <c r="BF194" s="5016"/>
      <c r="BG194" s="5016"/>
      <c r="BH194" s="5016"/>
    </row>
    <row r="195" spans="1:60" ht="10.5" customHeight="1">
      <c r="A195" s="5088"/>
      <c r="B195" s="6809"/>
      <c r="C195" s="3407">
        <f>IF(E195&lt;&gt;"",1,0)</f>
        <v>0</v>
      </c>
      <c r="D195" s="1804" t="s">
        <v>3502</v>
      </c>
      <c r="E195" s="1446"/>
      <c r="F195" s="2292" t="s">
        <v>2780</v>
      </c>
      <c r="G195" s="3395"/>
      <c r="H195" s="6310" t="s">
        <v>2782</v>
      </c>
      <c r="I195" s="6311"/>
      <c r="J195" s="6311"/>
      <c r="K195" s="6311"/>
      <c r="L195" s="6311"/>
      <c r="M195" s="6311"/>
      <c r="N195" s="6311"/>
      <c r="O195" s="6311"/>
      <c r="P195" s="6311"/>
      <c r="Q195" s="6311"/>
      <c r="R195" s="6311"/>
      <c r="S195" s="6312"/>
      <c r="T195" s="6310" t="s">
        <v>3507</v>
      </c>
      <c r="U195" s="6311"/>
      <c r="V195" s="6311"/>
      <c r="W195" s="6312"/>
      <c r="X195" s="6310" t="s">
        <v>2782</v>
      </c>
      <c r="Y195" s="6311"/>
      <c r="Z195" s="6311"/>
      <c r="AA195" s="6311"/>
      <c r="AB195" s="6311"/>
      <c r="AC195" s="6311"/>
      <c r="AD195" s="6311"/>
      <c r="AE195" s="6311"/>
      <c r="AF195" s="6311"/>
      <c r="AG195" s="6311"/>
      <c r="AH195" s="6312"/>
      <c r="AI195" s="6310" t="s">
        <v>3511</v>
      </c>
      <c r="AJ195" s="6311"/>
      <c r="AK195" s="6311"/>
      <c r="AL195" s="6312"/>
      <c r="AM195" s="6310" t="s">
        <v>3535</v>
      </c>
      <c r="AN195" s="6820"/>
      <c r="AO195" s="6820"/>
      <c r="AP195" s="3350"/>
      <c r="AQ195" s="1443"/>
      <c r="AR195" s="1443"/>
      <c r="AS195" s="1443"/>
      <c r="AT195" s="1443"/>
      <c r="AU195" s="1443"/>
      <c r="AV195" s="1443"/>
      <c r="AW195" s="1443"/>
      <c r="AX195" s="3742"/>
      <c r="AY195" s="5016"/>
      <c r="AZ195" s="5016"/>
      <c r="BA195" s="5016"/>
      <c r="BB195" s="5016"/>
      <c r="BC195" s="5016"/>
      <c r="BD195" s="5016"/>
      <c r="BE195" s="5016"/>
      <c r="BF195" s="5016"/>
      <c r="BG195" s="5016"/>
      <c r="BH195" s="5016"/>
    </row>
    <row r="196" spans="1:60" ht="7.5" customHeight="1">
      <c r="A196" s="5088"/>
      <c r="B196" s="6810"/>
      <c r="C196" s="3396"/>
      <c r="D196" s="1953"/>
      <c r="E196" s="1953"/>
      <c r="F196" s="1953"/>
      <c r="G196" s="3397"/>
      <c r="H196" s="6316"/>
      <c r="I196" s="6317"/>
      <c r="J196" s="6317"/>
      <c r="K196" s="6317"/>
      <c r="L196" s="6317"/>
      <c r="M196" s="6317"/>
      <c r="N196" s="6317"/>
      <c r="O196" s="6317"/>
      <c r="P196" s="6317"/>
      <c r="Q196" s="6317"/>
      <c r="R196" s="6317"/>
      <c r="S196" s="6318"/>
      <c r="T196" s="6313"/>
      <c r="U196" s="6314"/>
      <c r="V196" s="6314"/>
      <c r="W196" s="6315"/>
      <c r="X196" s="6316"/>
      <c r="Y196" s="6317"/>
      <c r="Z196" s="6317"/>
      <c r="AA196" s="6317"/>
      <c r="AB196" s="6317"/>
      <c r="AC196" s="6317"/>
      <c r="AD196" s="6317"/>
      <c r="AE196" s="6317"/>
      <c r="AF196" s="6317"/>
      <c r="AG196" s="6317"/>
      <c r="AH196" s="6318"/>
      <c r="AI196" s="6313"/>
      <c r="AJ196" s="6314"/>
      <c r="AK196" s="6314"/>
      <c r="AL196" s="6315"/>
      <c r="AM196" s="6821"/>
      <c r="AN196" s="6822"/>
      <c r="AO196" s="6822"/>
      <c r="AP196" s="3350"/>
      <c r="AQ196" s="1443"/>
      <c r="AR196" s="1443"/>
      <c r="AS196" s="1443"/>
      <c r="AT196" s="1443"/>
      <c r="AU196" s="1443"/>
      <c r="AV196" s="1443"/>
      <c r="AW196" s="1443"/>
      <c r="AX196" s="3742"/>
      <c r="AY196" s="5016"/>
      <c r="AZ196" s="5016"/>
      <c r="BA196" s="5016"/>
      <c r="BB196" s="5016"/>
      <c r="BC196" s="5016"/>
      <c r="BD196" s="5016"/>
      <c r="BE196" s="5016"/>
      <c r="BF196" s="5016"/>
      <c r="BG196" s="5016"/>
      <c r="BH196" s="5016"/>
    </row>
    <row r="197" spans="1:60" ht="7.5" customHeight="1">
      <c r="A197" s="5088"/>
      <c r="B197" s="3392"/>
      <c r="C197" s="6875" t="s">
        <v>3503</v>
      </c>
      <c r="D197" s="6826"/>
      <c r="E197" s="6826"/>
      <c r="F197" s="6826"/>
      <c r="G197" s="6827"/>
      <c r="H197" s="6310" t="s">
        <v>3504</v>
      </c>
      <c r="I197" s="6311"/>
      <c r="J197" s="6311"/>
      <c r="K197" s="6310" t="s">
        <v>3505</v>
      </c>
      <c r="L197" s="6311"/>
      <c r="M197" s="6311"/>
      <c r="N197" s="6311"/>
      <c r="O197" s="6310" t="s">
        <v>3506</v>
      </c>
      <c r="P197" s="6311"/>
      <c r="Q197" s="6311"/>
      <c r="R197" s="6311"/>
      <c r="S197" s="6749"/>
      <c r="T197" s="6313"/>
      <c r="U197" s="6314"/>
      <c r="V197" s="6314"/>
      <c r="W197" s="6315"/>
      <c r="X197" s="6310" t="s">
        <v>3508</v>
      </c>
      <c r="Y197" s="6311"/>
      <c r="Z197" s="6311"/>
      <c r="AA197" s="6310" t="s">
        <v>3509</v>
      </c>
      <c r="AB197" s="6311"/>
      <c r="AC197" s="6311"/>
      <c r="AD197" s="6311"/>
      <c r="AE197" s="6310" t="s">
        <v>3510</v>
      </c>
      <c r="AF197" s="6748"/>
      <c r="AG197" s="6748"/>
      <c r="AH197" s="6749"/>
      <c r="AI197" s="6313"/>
      <c r="AJ197" s="6314"/>
      <c r="AK197" s="6314"/>
      <c r="AL197" s="6315"/>
      <c r="AM197" s="6821"/>
      <c r="AN197" s="6822"/>
      <c r="AO197" s="6822"/>
      <c r="AP197" s="3350"/>
      <c r="AQ197" s="1443"/>
      <c r="AR197" s="1443"/>
      <c r="AS197" s="1443"/>
      <c r="AT197" s="1443"/>
      <c r="AU197" s="1443"/>
      <c r="AV197" s="1443"/>
      <c r="AW197" s="1443"/>
      <c r="AX197" s="3742"/>
      <c r="AY197" s="5016"/>
      <c r="AZ197" s="5016"/>
      <c r="BA197" s="5016"/>
      <c r="BB197" s="5016"/>
      <c r="BC197" s="5016"/>
      <c r="BD197" s="5016"/>
      <c r="BE197" s="5016"/>
      <c r="BF197" s="5016"/>
      <c r="BG197" s="5016"/>
      <c r="BH197" s="5016"/>
    </row>
    <row r="198" spans="1:60" ht="13.5" customHeight="1">
      <c r="A198" s="5088"/>
      <c r="B198" s="3392"/>
      <c r="C198" s="6828"/>
      <c r="D198" s="6829"/>
      <c r="E198" s="6829"/>
      <c r="F198" s="6829"/>
      <c r="G198" s="6830"/>
      <c r="H198" s="6313"/>
      <c r="I198" s="6314"/>
      <c r="J198" s="6314"/>
      <c r="K198" s="6313"/>
      <c r="L198" s="6314"/>
      <c r="M198" s="6314"/>
      <c r="N198" s="6314"/>
      <c r="O198" s="6313"/>
      <c r="P198" s="6314"/>
      <c r="Q198" s="6314"/>
      <c r="R198" s="6314"/>
      <c r="S198" s="6751"/>
      <c r="T198" s="6313"/>
      <c r="U198" s="6314"/>
      <c r="V198" s="6314"/>
      <c r="W198" s="6315"/>
      <c r="X198" s="6313"/>
      <c r="Y198" s="6314"/>
      <c r="Z198" s="6314"/>
      <c r="AA198" s="6313"/>
      <c r="AB198" s="6314"/>
      <c r="AC198" s="6314"/>
      <c r="AD198" s="6314"/>
      <c r="AE198" s="6750"/>
      <c r="AF198" s="5659"/>
      <c r="AG198" s="5659"/>
      <c r="AH198" s="6751"/>
      <c r="AI198" s="6313"/>
      <c r="AJ198" s="6314"/>
      <c r="AK198" s="6314"/>
      <c r="AL198" s="6315"/>
      <c r="AM198" s="6821"/>
      <c r="AN198" s="6822"/>
      <c r="AO198" s="6822"/>
      <c r="AP198" s="3350"/>
      <c r="AQ198" s="1443"/>
      <c r="AR198" s="1443"/>
      <c r="AS198" s="1443"/>
      <c r="AT198" s="1443"/>
      <c r="AU198" s="1443"/>
      <c r="AV198" s="1443"/>
      <c r="AW198" s="1443"/>
      <c r="AX198" s="3742"/>
      <c r="AY198" s="5016"/>
      <c r="AZ198" s="5016"/>
      <c r="BA198" s="5016"/>
      <c r="BB198" s="5016"/>
      <c r="BC198" s="5016"/>
      <c r="BD198" s="5016"/>
      <c r="BE198" s="5016"/>
      <c r="BF198" s="5016"/>
      <c r="BG198" s="5016"/>
      <c r="BH198" s="5016"/>
    </row>
    <row r="199" spans="1:60" ht="13.5" customHeight="1">
      <c r="A199" s="5088"/>
      <c r="B199" s="3392"/>
      <c r="C199" s="6831" t="s">
        <v>2781</v>
      </c>
      <c r="D199" s="6869"/>
      <c r="E199" s="6869"/>
      <c r="F199" s="6869"/>
      <c r="G199" s="6870"/>
      <c r="H199" s="6313"/>
      <c r="I199" s="6314"/>
      <c r="J199" s="6314"/>
      <c r="K199" s="6313"/>
      <c r="L199" s="6314"/>
      <c r="M199" s="6314"/>
      <c r="N199" s="6314"/>
      <c r="O199" s="6313"/>
      <c r="P199" s="6314"/>
      <c r="Q199" s="6314"/>
      <c r="R199" s="6314"/>
      <c r="S199" s="6751"/>
      <c r="T199" s="6313"/>
      <c r="U199" s="6314"/>
      <c r="V199" s="6314"/>
      <c r="W199" s="6315"/>
      <c r="X199" s="6313"/>
      <c r="Y199" s="6314"/>
      <c r="Z199" s="6314"/>
      <c r="AA199" s="6313"/>
      <c r="AB199" s="6314"/>
      <c r="AC199" s="6314"/>
      <c r="AD199" s="6314"/>
      <c r="AE199" s="6750"/>
      <c r="AF199" s="5659"/>
      <c r="AG199" s="5659"/>
      <c r="AH199" s="6751"/>
      <c r="AI199" s="6313"/>
      <c r="AJ199" s="6314"/>
      <c r="AK199" s="6314"/>
      <c r="AL199" s="6315"/>
      <c r="AM199" s="6821"/>
      <c r="AN199" s="6822"/>
      <c r="AO199" s="6822"/>
      <c r="AP199" s="3350"/>
      <c r="AQ199" s="1443"/>
      <c r="AR199" s="1443"/>
      <c r="AS199" s="1443"/>
      <c r="AT199" s="1443"/>
      <c r="AU199" s="1443"/>
      <c r="AV199" s="1443"/>
      <c r="AW199" s="1443"/>
      <c r="AX199" s="3742"/>
      <c r="AY199" s="5016"/>
      <c r="AZ199" s="5016"/>
      <c r="BA199" s="5016"/>
      <c r="BB199" s="5016"/>
      <c r="BC199" s="5016"/>
      <c r="BD199" s="5016"/>
      <c r="BE199" s="5016"/>
      <c r="BF199" s="5016"/>
      <c r="BG199" s="5016"/>
      <c r="BH199" s="5016"/>
    </row>
    <row r="200" spans="1:60" ht="6.75" customHeight="1">
      <c r="A200" s="5088"/>
      <c r="B200" s="3394"/>
      <c r="C200" s="3398"/>
      <c r="D200" s="3376"/>
      <c r="E200" s="3376"/>
      <c r="F200" s="3376"/>
      <c r="G200" s="3399"/>
      <c r="H200" s="6316"/>
      <c r="I200" s="6317"/>
      <c r="J200" s="6317"/>
      <c r="K200" s="6316"/>
      <c r="L200" s="6317"/>
      <c r="M200" s="6317"/>
      <c r="N200" s="6317"/>
      <c r="O200" s="6832"/>
      <c r="P200" s="6753"/>
      <c r="Q200" s="6753"/>
      <c r="R200" s="6753"/>
      <c r="S200" s="6754"/>
      <c r="T200" s="6316"/>
      <c r="U200" s="6317"/>
      <c r="V200" s="6317"/>
      <c r="W200" s="6318"/>
      <c r="X200" s="6316"/>
      <c r="Y200" s="6317"/>
      <c r="Z200" s="6317"/>
      <c r="AA200" s="6316"/>
      <c r="AB200" s="6317"/>
      <c r="AC200" s="6317"/>
      <c r="AD200" s="6317"/>
      <c r="AE200" s="6752"/>
      <c r="AF200" s="6753"/>
      <c r="AG200" s="6753"/>
      <c r="AH200" s="6754"/>
      <c r="AI200" s="6316"/>
      <c r="AJ200" s="6317"/>
      <c r="AK200" s="6317"/>
      <c r="AL200" s="6318"/>
      <c r="AM200" s="6823"/>
      <c r="AN200" s="6824"/>
      <c r="AO200" s="6824"/>
      <c r="AP200" s="3350"/>
      <c r="AQ200" s="1443"/>
      <c r="AR200" s="1443"/>
      <c r="AS200" s="1443"/>
      <c r="AT200" s="1443"/>
      <c r="AU200" s="1443"/>
      <c r="AV200" s="1443"/>
      <c r="AW200" s="1443"/>
      <c r="AX200" s="3742"/>
      <c r="AY200" s="5016"/>
      <c r="AZ200" s="5016"/>
      <c r="BA200" s="5016"/>
      <c r="BB200" s="5016"/>
      <c r="BC200" s="5016"/>
      <c r="BD200" s="5016"/>
      <c r="BE200" s="5016"/>
      <c r="BF200" s="5016"/>
      <c r="BG200" s="5016"/>
      <c r="BH200" s="5016"/>
    </row>
    <row r="201" spans="1:60" ht="15" customHeight="1">
      <c r="A201" s="5174">
        <f>SUM(X201:AL201)</f>
        <v>0</v>
      </c>
      <c r="B201" s="3333" t="s">
        <v>159</v>
      </c>
      <c r="C201" s="6800"/>
      <c r="D201" s="6801"/>
      <c r="E201" s="6801"/>
      <c r="F201" s="6801"/>
      <c r="G201" s="6802"/>
      <c r="H201" s="6745"/>
      <c r="I201" s="6746"/>
      <c r="J201" s="6747"/>
      <c r="K201" s="6746"/>
      <c r="L201" s="6803"/>
      <c r="M201" s="6803"/>
      <c r="N201" s="6803"/>
      <c r="O201" s="6745"/>
      <c r="P201" s="6746"/>
      <c r="Q201" s="6746"/>
      <c r="R201" s="6746"/>
      <c r="S201" s="6747"/>
      <c r="T201" s="6745"/>
      <c r="U201" s="6746"/>
      <c r="V201" s="6746"/>
      <c r="W201" s="6747"/>
      <c r="X201" s="6745"/>
      <c r="Y201" s="6803"/>
      <c r="Z201" s="6804"/>
      <c r="AA201" s="6746"/>
      <c r="AB201" s="6746"/>
      <c r="AC201" s="6746"/>
      <c r="AD201" s="6747"/>
      <c r="AE201" s="6745"/>
      <c r="AF201" s="6746"/>
      <c r="AG201" s="6746"/>
      <c r="AH201" s="6747"/>
      <c r="AI201" s="6745"/>
      <c r="AJ201" s="6746"/>
      <c r="AK201" s="6746"/>
      <c r="AL201" s="6747"/>
      <c r="AM201" s="6744">
        <f>ROUND(SUM(X201:AL201),0)</f>
        <v>0</v>
      </c>
      <c r="AN201" s="6744"/>
      <c r="AO201" s="6744"/>
      <c r="AP201" s="3350"/>
      <c r="AQ201" s="1443"/>
      <c r="AR201" s="1443"/>
      <c r="AS201" s="1443"/>
      <c r="AT201" s="1443"/>
      <c r="AU201" s="1443"/>
      <c r="AV201" s="1443"/>
      <c r="AW201" s="1443"/>
      <c r="AX201" s="3742"/>
      <c r="AY201" s="5016"/>
      <c r="AZ201" s="5016"/>
      <c r="BA201" s="5016"/>
      <c r="BB201" s="5016"/>
      <c r="BC201" s="5016"/>
      <c r="BD201" s="5016"/>
      <c r="BE201" s="5016"/>
      <c r="BF201" s="5016"/>
      <c r="BG201" s="5016"/>
      <c r="BH201" s="5016"/>
    </row>
    <row r="202" spans="1:60" ht="15" customHeight="1">
      <c r="A202" s="5174">
        <f>SUM(X202:AL202)</f>
        <v>0</v>
      </c>
      <c r="B202" s="3333" t="s">
        <v>327</v>
      </c>
      <c r="C202" s="6800"/>
      <c r="D202" s="6801"/>
      <c r="E202" s="6801"/>
      <c r="F202" s="6801"/>
      <c r="G202" s="6802"/>
      <c r="H202" s="6745"/>
      <c r="I202" s="6746"/>
      <c r="J202" s="6747"/>
      <c r="K202" s="6746"/>
      <c r="L202" s="6803"/>
      <c r="M202" s="6803"/>
      <c r="N202" s="6803"/>
      <c r="O202" s="6745"/>
      <c r="P202" s="6746"/>
      <c r="Q202" s="6746"/>
      <c r="R202" s="6746"/>
      <c r="S202" s="6747"/>
      <c r="T202" s="6745"/>
      <c r="U202" s="6746"/>
      <c r="V202" s="6746"/>
      <c r="W202" s="6747"/>
      <c r="X202" s="6745"/>
      <c r="Y202" s="6803"/>
      <c r="Z202" s="6804"/>
      <c r="AA202" s="6746"/>
      <c r="AB202" s="6746"/>
      <c r="AC202" s="6746"/>
      <c r="AD202" s="6747"/>
      <c r="AE202" s="6745"/>
      <c r="AF202" s="6746"/>
      <c r="AG202" s="6746"/>
      <c r="AH202" s="6747"/>
      <c r="AI202" s="6745"/>
      <c r="AJ202" s="6746"/>
      <c r="AK202" s="6746"/>
      <c r="AL202" s="6747"/>
      <c r="AM202" s="6744">
        <f>ROUND(SUM(X202:AL202),0)</f>
        <v>0</v>
      </c>
      <c r="AN202" s="6744"/>
      <c r="AO202" s="6744"/>
      <c r="AP202" s="3350"/>
      <c r="AQ202" s="1443"/>
      <c r="AR202" s="1443"/>
      <c r="AS202" s="1443"/>
      <c r="AT202" s="1443"/>
      <c r="AU202" s="1443"/>
      <c r="AV202" s="1443"/>
      <c r="AW202" s="1443"/>
      <c r="AX202" s="3742"/>
      <c r="AY202" s="5016"/>
      <c r="AZ202" s="5016"/>
      <c r="BA202" s="5016"/>
      <c r="BB202" s="5016"/>
      <c r="BC202" s="5016"/>
      <c r="BD202" s="5016"/>
      <c r="BE202" s="5016"/>
      <c r="BF202" s="5016"/>
      <c r="BG202" s="5016"/>
      <c r="BH202" s="5016"/>
    </row>
    <row r="203" spans="1:60" ht="15" customHeight="1">
      <c r="A203" s="5174">
        <f>SUM(X203:AL203)</f>
        <v>0</v>
      </c>
      <c r="B203" s="3333" t="s">
        <v>160</v>
      </c>
      <c r="C203" s="6800"/>
      <c r="D203" s="6801"/>
      <c r="E203" s="6801"/>
      <c r="F203" s="6801"/>
      <c r="G203" s="6802"/>
      <c r="H203" s="6745"/>
      <c r="I203" s="6746"/>
      <c r="J203" s="6747"/>
      <c r="K203" s="6746"/>
      <c r="L203" s="6803"/>
      <c r="M203" s="6803"/>
      <c r="N203" s="6803"/>
      <c r="O203" s="6745"/>
      <c r="P203" s="6746"/>
      <c r="Q203" s="6746"/>
      <c r="R203" s="6746"/>
      <c r="S203" s="6747"/>
      <c r="T203" s="6745"/>
      <c r="U203" s="6746"/>
      <c r="V203" s="6746"/>
      <c r="W203" s="6747"/>
      <c r="X203" s="6745"/>
      <c r="Y203" s="6803"/>
      <c r="Z203" s="6804"/>
      <c r="AA203" s="6746"/>
      <c r="AB203" s="6746"/>
      <c r="AC203" s="6746"/>
      <c r="AD203" s="6747"/>
      <c r="AE203" s="6745"/>
      <c r="AF203" s="6746"/>
      <c r="AG203" s="6746"/>
      <c r="AH203" s="6747"/>
      <c r="AI203" s="6745"/>
      <c r="AJ203" s="6746"/>
      <c r="AK203" s="6746"/>
      <c r="AL203" s="6747"/>
      <c r="AM203" s="6744">
        <f>ROUND(SUM(X203:AL203),0)</f>
        <v>0</v>
      </c>
      <c r="AN203" s="6744"/>
      <c r="AO203" s="6744"/>
      <c r="AP203" s="3350"/>
      <c r="AQ203" s="3350"/>
      <c r="AR203" s="3350"/>
      <c r="AS203" s="3350"/>
      <c r="AT203" s="3350"/>
      <c r="AU203" s="3350"/>
      <c r="AV203" s="1443"/>
      <c r="AW203" s="1443"/>
      <c r="AX203" s="3742"/>
      <c r="AY203" s="5016"/>
      <c r="AZ203" s="5016"/>
      <c r="BA203" s="5016"/>
      <c r="BB203" s="5016"/>
      <c r="BC203" s="5016"/>
      <c r="BD203" s="5016"/>
      <c r="BE203" s="5016"/>
      <c r="BF203" s="5016"/>
      <c r="BG203" s="5016"/>
      <c r="BH203" s="5016"/>
    </row>
    <row r="204" spans="1:60" ht="16.5" customHeight="1">
      <c r="A204" s="5094" t="b">
        <f>SUM(A201:A203)&gt;0</f>
        <v>0</v>
      </c>
      <c r="B204" s="6794">
        <v>8</v>
      </c>
      <c r="C204" s="6794"/>
      <c r="D204" s="3404" t="s">
        <v>2789</v>
      </c>
      <c r="E204" s="1937"/>
      <c r="F204" s="1937"/>
      <c r="G204" s="1937"/>
      <c r="H204" s="1937"/>
      <c r="I204" s="1937"/>
      <c r="J204" s="1937"/>
      <c r="K204" s="1937"/>
      <c r="L204" s="1937"/>
      <c r="M204" s="1937"/>
      <c r="N204" s="1937"/>
      <c r="O204" s="1937"/>
      <c r="P204" s="1937"/>
      <c r="Q204" s="1937"/>
      <c r="R204" s="1937"/>
      <c r="S204" s="1937"/>
      <c r="T204" s="1937"/>
      <c r="U204" s="1937"/>
      <c r="V204" s="1937"/>
      <c r="W204" s="1937"/>
      <c r="X204" s="1937"/>
      <c r="Y204" s="1937"/>
      <c r="Z204" s="1937"/>
      <c r="AA204" s="1937"/>
      <c r="AB204" s="1937"/>
      <c r="AC204" s="1937"/>
      <c r="AD204" s="1937"/>
      <c r="AE204" s="1937"/>
      <c r="AF204" s="1937"/>
      <c r="AG204" s="1937"/>
      <c r="AH204" s="1937"/>
      <c r="AI204" s="1937"/>
      <c r="AJ204" s="4850" t="s">
        <v>3239</v>
      </c>
      <c r="AK204" s="6795">
        <v>8</v>
      </c>
      <c r="AL204" s="6796"/>
      <c r="AM204" s="6797">
        <f>IF(AQ204&lt;&gt;"",ROUND(AQ204,0),ROUND(SUM(AM201:AO203),0))</f>
        <v>0</v>
      </c>
      <c r="AN204" s="6798"/>
      <c r="AO204" s="6798"/>
      <c r="AP204" s="3350"/>
      <c r="AQ204" s="6767"/>
      <c r="AR204" s="6768"/>
      <c r="AS204" s="6768"/>
      <c r="AT204" s="6768"/>
      <c r="AU204" s="3350"/>
      <c r="AV204" s="1443"/>
      <c r="AW204" s="1443"/>
      <c r="AX204" s="3742"/>
      <c r="AY204" s="5016"/>
      <c r="AZ204" s="5016"/>
      <c r="BA204" s="5016"/>
      <c r="BB204" s="5016"/>
      <c r="BC204" s="5016"/>
      <c r="BD204" s="5016"/>
      <c r="BE204" s="5016"/>
      <c r="BF204" s="5016"/>
      <c r="BG204" s="5016"/>
      <c r="BH204" s="5016"/>
    </row>
    <row r="205" spans="1:60" ht="18">
      <c r="A205" s="5088"/>
      <c r="B205" s="3287" t="s">
        <v>2785</v>
      </c>
      <c r="C205" s="3285"/>
      <c r="D205" s="1443"/>
      <c r="E205" s="1443"/>
      <c r="F205" s="1443"/>
      <c r="G205" s="1443"/>
      <c r="H205" s="1443"/>
      <c r="I205" s="1443"/>
      <c r="J205" s="1443"/>
      <c r="K205" s="1443"/>
      <c r="L205" s="1443"/>
      <c r="M205" s="1443"/>
      <c r="N205" s="1443"/>
      <c r="O205" s="1443"/>
      <c r="P205" s="1443"/>
      <c r="Q205" s="1443"/>
      <c r="R205" s="1443"/>
      <c r="S205" s="1443"/>
      <c r="T205" s="1443"/>
      <c r="U205" s="1443"/>
      <c r="V205" s="1443"/>
      <c r="W205" s="1443"/>
      <c r="X205" s="1607" t="s">
        <v>2784</v>
      </c>
      <c r="Y205" s="1443"/>
      <c r="Z205" s="1443"/>
      <c r="AA205" s="1443"/>
      <c r="AB205" s="1443"/>
      <c r="AC205" s="1443"/>
      <c r="AD205" s="1443"/>
      <c r="AE205" s="1443"/>
      <c r="AF205" s="1443"/>
      <c r="AG205" s="1443"/>
      <c r="AH205" s="1443"/>
      <c r="AI205" s="1443"/>
      <c r="AJ205" s="1443"/>
      <c r="AK205" s="2541"/>
      <c r="AL205" s="1443"/>
      <c r="AM205" s="2541"/>
      <c r="AN205" s="2541" t="s">
        <v>2783</v>
      </c>
      <c r="AO205" s="2379" t="str">
        <f>"("&amp;TaxYear&amp;")"</f>
        <v>(2018)</v>
      </c>
      <c r="AP205" s="3350"/>
      <c r="AQ205" s="3350"/>
      <c r="AR205" s="3350"/>
      <c r="AS205" s="3350"/>
      <c r="AT205" s="3350"/>
      <c r="AU205" s="3350"/>
      <c r="AV205" s="1443"/>
      <c r="AW205" s="1443"/>
      <c r="AX205" s="3742"/>
      <c r="AY205" s="5016"/>
      <c r="AZ205" s="5016"/>
      <c r="BA205" s="5016"/>
      <c r="BB205" s="5016"/>
      <c r="BC205" s="5016"/>
      <c r="BD205" s="5016"/>
      <c r="BE205" s="5016"/>
      <c r="BF205" s="5016"/>
      <c r="BG205" s="5016"/>
      <c r="BH205" s="5016"/>
    </row>
    <row r="206" spans="1:60" ht="6" customHeight="1">
      <c r="A206" s="5088"/>
      <c r="B206" s="1443"/>
      <c r="C206" s="1443"/>
      <c r="D206" s="1443"/>
      <c r="E206" s="1443"/>
      <c r="F206" s="1443"/>
      <c r="G206" s="1443"/>
      <c r="H206" s="1443"/>
      <c r="I206" s="1443"/>
      <c r="J206" s="1443"/>
      <c r="K206" s="1443"/>
      <c r="L206" s="1443"/>
      <c r="M206" s="1443"/>
      <c r="N206" s="1443"/>
      <c r="O206" s="1443"/>
      <c r="P206" s="1443"/>
      <c r="Q206" s="1443"/>
      <c r="R206" s="1443"/>
      <c r="S206" s="1443"/>
      <c r="T206" s="1617"/>
      <c r="U206" s="1443"/>
      <c r="V206" s="1443"/>
      <c r="W206" s="1443"/>
      <c r="X206" s="1443"/>
      <c r="Y206" s="1443"/>
      <c r="Z206" s="1443"/>
      <c r="AA206" s="1443"/>
      <c r="AB206" s="1443"/>
      <c r="AC206" s="1443"/>
      <c r="AD206" s="1443"/>
      <c r="AE206" s="1443"/>
      <c r="AF206" s="1443"/>
      <c r="AG206" s="1443"/>
      <c r="AH206" s="1443"/>
      <c r="AI206" s="1443"/>
      <c r="AJ206" s="1443"/>
      <c r="AK206" s="1443"/>
      <c r="AL206" s="1443"/>
      <c r="AM206" s="1443"/>
      <c r="AN206" s="1443"/>
      <c r="AO206" s="1443"/>
      <c r="AP206" s="3350"/>
      <c r="AQ206" s="1443"/>
      <c r="AR206" s="1443"/>
      <c r="AS206" s="1443"/>
      <c r="AT206" s="1443"/>
      <c r="AU206" s="1443"/>
      <c r="AV206" s="1443"/>
      <c r="AW206" s="1443"/>
      <c r="AX206" s="3742"/>
      <c r="AY206" s="5016"/>
      <c r="AZ206" s="5016"/>
      <c r="BA206" s="5016"/>
      <c r="BB206" s="5016"/>
      <c r="BC206" s="5016"/>
      <c r="BD206" s="5016"/>
      <c r="BE206" s="5016"/>
      <c r="BF206" s="5016"/>
      <c r="BG206" s="5016"/>
      <c r="BH206" s="5016"/>
    </row>
    <row r="207" spans="1:60" ht="18" customHeight="1" thickBot="1">
      <c r="A207" s="5088"/>
      <c r="B207" s="2381" t="str">
        <f>"Form 1116 ("&amp;TaxYear&amp;")"</f>
        <v>Form 1116 (2018)</v>
      </c>
      <c r="C207" s="1612"/>
      <c r="D207" s="1612"/>
      <c r="E207" s="1612"/>
      <c r="F207" s="1612"/>
      <c r="G207" s="1612"/>
      <c r="H207" s="1612"/>
      <c r="I207" s="1612"/>
      <c r="J207" s="1612"/>
      <c r="K207" s="1612"/>
      <c r="L207" s="1612"/>
      <c r="M207" s="1612"/>
      <c r="N207" s="1612"/>
      <c r="O207" s="1612"/>
      <c r="P207" s="1612"/>
      <c r="Q207" s="1612"/>
      <c r="R207" s="1612"/>
      <c r="S207" s="1612"/>
      <c r="T207" s="1612"/>
      <c r="U207" s="1612"/>
      <c r="V207" s="1612"/>
      <c r="W207" s="1612"/>
      <c r="X207" s="1612"/>
      <c r="Y207" s="1612"/>
      <c r="Z207" s="1612"/>
      <c r="AA207" s="1612"/>
      <c r="AB207" s="1612"/>
      <c r="AC207" s="1612"/>
      <c r="AD207" s="1612"/>
      <c r="AE207" s="1612"/>
      <c r="AF207" s="1612"/>
      <c r="AG207" s="1612"/>
      <c r="AH207" s="1612"/>
      <c r="AI207" s="1612"/>
      <c r="AJ207" s="1612"/>
      <c r="AK207" s="1612"/>
      <c r="AL207" s="1612"/>
      <c r="AM207" s="1612"/>
      <c r="AN207" s="1612"/>
      <c r="AO207" s="3332" t="s">
        <v>4551</v>
      </c>
      <c r="AP207" s="3350"/>
      <c r="AQ207" s="1443"/>
      <c r="AR207" s="1443"/>
      <c r="AS207" s="1443"/>
      <c r="AT207" s="1443"/>
      <c r="AU207" s="1443"/>
      <c r="AV207" s="1443"/>
      <c r="AW207" s="1443"/>
      <c r="AX207" s="3742"/>
      <c r="AY207" s="5016"/>
      <c r="AZ207" s="5016"/>
      <c r="BA207" s="5016"/>
      <c r="BB207" s="5016"/>
      <c r="BC207" s="5016"/>
      <c r="BD207" s="5016"/>
      <c r="BE207" s="5016"/>
      <c r="BF207" s="5016"/>
      <c r="BG207" s="5016"/>
      <c r="BH207" s="5016"/>
    </row>
    <row r="208" spans="1:60" s="3272" customFormat="1" ht="16.5" customHeight="1">
      <c r="A208" s="5090"/>
      <c r="B208" s="6737" t="s">
        <v>363</v>
      </c>
      <c r="C208" s="6737"/>
      <c r="D208" s="6738"/>
      <c r="E208" s="3273"/>
      <c r="F208" s="3372" t="s">
        <v>2795</v>
      </c>
      <c r="G208" s="3273"/>
      <c r="H208" s="3273"/>
      <c r="I208" s="3273"/>
      <c r="J208" s="3273"/>
      <c r="K208" s="3273"/>
      <c r="L208" s="3273"/>
      <c r="M208" s="3273"/>
      <c r="N208" s="3273"/>
      <c r="O208" s="3273"/>
      <c r="P208" s="3273"/>
      <c r="Q208" s="3273"/>
      <c r="R208" s="3273"/>
      <c r="S208" s="3273"/>
      <c r="T208" s="3273"/>
      <c r="U208" s="3273"/>
      <c r="V208" s="3273"/>
      <c r="W208" s="3273"/>
      <c r="X208" s="3273"/>
      <c r="Y208" s="3273"/>
      <c r="Z208" s="3273"/>
      <c r="AA208" s="3273"/>
      <c r="AB208" s="3273"/>
      <c r="AC208" s="3273"/>
      <c r="AD208" s="3273"/>
      <c r="AE208" s="3273"/>
      <c r="AF208" s="3273"/>
      <c r="AG208" s="3273"/>
      <c r="AH208" s="3273"/>
      <c r="AI208" s="3273"/>
      <c r="AJ208" s="3273"/>
      <c r="AK208" s="3273"/>
      <c r="AL208" s="3273"/>
      <c r="AM208" s="3273"/>
      <c r="AN208" s="3273"/>
      <c r="AO208" s="3273"/>
      <c r="AP208" s="3350"/>
      <c r="AQ208" s="1922"/>
      <c r="AR208" s="1922"/>
      <c r="AS208" s="1922"/>
      <c r="AT208" s="1922"/>
      <c r="AU208" s="1922"/>
      <c r="AV208" s="1922"/>
      <c r="AW208" s="1922"/>
      <c r="AX208" s="3742"/>
      <c r="AY208" s="5016"/>
      <c r="AZ208" s="5016"/>
      <c r="BA208" s="5016"/>
      <c r="BB208" s="5016"/>
      <c r="BC208" s="5016"/>
      <c r="BD208" s="5016"/>
      <c r="BE208" s="5016"/>
      <c r="BF208" s="5016"/>
      <c r="BG208" s="5016"/>
      <c r="BH208" s="5016"/>
    </row>
    <row r="209" spans="1:60" ht="15.75" customHeight="1">
      <c r="A209" s="5088"/>
      <c r="B209" s="6799">
        <v>9</v>
      </c>
      <c r="C209" s="6799"/>
      <c r="D209" s="1443" t="s">
        <v>2796</v>
      </c>
      <c r="E209" s="1443"/>
      <c r="F209" s="3269"/>
      <c r="G209" s="1443"/>
      <c r="H209" s="1443"/>
      <c r="I209" s="1443"/>
      <c r="J209" s="1443"/>
      <c r="K209" s="1443"/>
      <c r="L209" s="1443"/>
      <c r="M209" s="1443"/>
      <c r="N209" s="1443"/>
      <c r="O209" s="1443"/>
      <c r="P209" s="1443"/>
      <c r="Q209" s="1443"/>
      <c r="R209" s="1443"/>
      <c r="S209" s="1443"/>
      <c r="T209" s="1443"/>
      <c r="U209" s="1443"/>
      <c r="V209" s="1443"/>
      <c r="W209" s="1443"/>
      <c r="X209" s="1443"/>
      <c r="Y209" s="1443"/>
      <c r="Z209" s="6789"/>
      <c r="AA209" s="6790"/>
      <c r="AB209" s="1964"/>
      <c r="AC209" s="1957"/>
      <c r="AD209" s="1957"/>
      <c r="AE209" s="1957"/>
      <c r="AF209" s="1957"/>
      <c r="AG209" s="1957"/>
      <c r="AH209" s="1957"/>
      <c r="AI209" s="1958"/>
      <c r="AJ209" s="6696"/>
      <c r="AK209" s="6697"/>
      <c r="AL209" s="1964"/>
      <c r="AM209" s="1957"/>
      <c r="AN209" s="1957"/>
      <c r="AO209" s="1957"/>
      <c r="AP209" s="3350"/>
      <c r="AQ209" s="1443"/>
      <c r="AR209" s="1443"/>
      <c r="AS209" s="1443"/>
      <c r="AT209" s="1443"/>
      <c r="AU209" s="1443"/>
      <c r="AV209" s="1443"/>
      <c r="AW209" s="1443"/>
      <c r="AX209" s="3742"/>
      <c r="AY209" s="5016"/>
      <c r="AZ209" s="5016"/>
      <c r="BA209" s="5016"/>
      <c r="BB209" s="5016"/>
      <c r="BC209" s="5016"/>
      <c r="BD209" s="5016"/>
      <c r="BE209" s="5016"/>
      <c r="BF209" s="5016"/>
      <c r="BG209" s="5016"/>
      <c r="BH209" s="5016"/>
    </row>
    <row r="210" spans="1:60" ht="14.25" customHeight="1">
      <c r="A210" s="5088"/>
      <c r="B210" s="1443"/>
      <c r="C210" s="1443"/>
      <c r="D210" s="1443" t="s">
        <v>2797</v>
      </c>
      <c r="E210" s="1443"/>
      <c r="F210" s="3269"/>
      <c r="G210" s="1443"/>
      <c r="H210" s="1443"/>
      <c r="I210" s="1443"/>
      <c r="J210" s="1443"/>
      <c r="K210" s="1443"/>
      <c r="L210" s="1443"/>
      <c r="M210" s="1443"/>
      <c r="N210" s="1443"/>
      <c r="O210" s="1443"/>
      <c r="P210" s="1443"/>
      <c r="Q210" s="1443"/>
      <c r="R210" s="1443"/>
      <c r="S210" s="1443"/>
      <c r="T210" s="1443"/>
      <c r="U210" s="1443"/>
      <c r="V210" s="1443"/>
      <c r="W210" s="1443"/>
      <c r="X210" s="1443"/>
      <c r="Y210" s="1443"/>
      <c r="Z210" s="6691">
        <v>9</v>
      </c>
      <c r="AA210" s="6692"/>
      <c r="AB210" s="6785">
        <f>AM204</f>
        <v>0</v>
      </c>
      <c r="AC210" s="6786"/>
      <c r="AD210" s="6786"/>
      <c r="AE210" s="6786"/>
      <c r="AF210" s="6786"/>
      <c r="AG210" s="6786"/>
      <c r="AH210" s="6786"/>
      <c r="AI210" s="6787"/>
      <c r="AJ210" s="6696"/>
      <c r="AK210" s="6697"/>
      <c r="AL210" s="1965"/>
      <c r="AM210" s="1443"/>
      <c r="AN210" s="1443"/>
      <c r="AO210" s="1443"/>
      <c r="AP210" s="3350"/>
      <c r="AQ210" s="1443"/>
      <c r="AR210" s="1443"/>
      <c r="AS210" s="1443"/>
      <c r="AT210" s="1443"/>
      <c r="AU210" s="1443"/>
      <c r="AV210" s="1443"/>
      <c r="AW210" s="1443"/>
      <c r="AX210" s="3742"/>
      <c r="AY210" s="5016"/>
      <c r="AZ210" s="5016"/>
      <c r="BA210" s="5016"/>
      <c r="BB210" s="5016"/>
      <c r="BC210" s="5016"/>
      <c r="BD210" s="5016"/>
      <c r="BE210" s="5016"/>
      <c r="BF210" s="5016"/>
      <c r="BG210" s="5016"/>
      <c r="BH210" s="5016"/>
    </row>
    <row r="211" spans="1:60" ht="9" customHeight="1">
      <c r="A211" s="5088"/>
      <c r="B211" s="6690"/>
      <c r="C211" s="6690"/>
      <c r="D211" s="1443"/>
      <c r="E211" s="1443"/>
      <c r="F211" s="3269"/>
      <c r="G211" s="1443"/>
      <c r="H211" s="1443"/>
      <c r="I211" s="1443"/>
      <c r="J211" s="1443"/>
      <c r="K211" s="1443"/>
      <c r="L211" s="1443"/>
      <c r="M211" s="1443"/>
      <c r="N211" s="1443"/>
      <c r="O211" s="1443"/>
      <c r="P211" s="1443"/>
      <c r="Q211" s="1443"/>
      <c r="R211" s="1443"/>
      <c r="S211" s="1443"/>
      <c r="T211" s="1443"/>
      <c r="U211" s="1443"/>
      <c r="V211" s="1443"/>
      <c r="W211" s="1443"/>
      <c r="X211" s="1443"/>
      <c r="Y211" s="1443"/>
      <c r="Z211" s="6789"/>
      <c r="AA211" s="6790"/>
      <c r="AB211" s="1964"/>
      <c r="AC211" s="1957"/>
      <c r="AD211" s="1957"/>
      <c r="AE211" s="1957"/>
      <c r="AF211" s="1957"/>
      <c r="AG211" s="1957"/>
      <c r="AH211" s="1957"/>
      <c r="AI211" s="1958"/>
      <c r="AJ211" s="6696"/>
      <c r="AK211" s="6697"/>
      <c r="AL211" s="1965"/>
      <c r="AM211" s="1443"/>
      <c r="AN211" s="1443"/>
      <c r="AO211" s="1443"/>
      <c r="AP211" s="3350"/>
      <c r="AQ211" s="1443"/>
      <c r="AR211" s="1443"/>
      <c r="AS211" s="1443"/>
      <c r="AT211" s="1443"/>
      <c r="AU211" s="1443"/>
      <c r="AV211" s="1443"/>
      <c r="AW211" s="1443"/>
      <c r="AX211" s="3742"/>
      <c r="AY211" s="5016"/>
      <c r="AZ211" s="5016"/>
      <c r="BA211" s="5016"/>
      <c r="BB211" s="5016"/>
      <c r="BC211" s="5016"/>
      <c r="BD211" s="5016"/>
      <c r="BE211" s="5016"/>
      <c r="BF211" s="5016"/>
      <c r="BG211" s="5016"/>
      <c r="BH211" s="5016"/>
    </row>
    <row r="212" spans="1:60" ht="13.5" customHeight="1" thickBot="1">
      <c r="A212" s="5088"/>
      <c r="B212" s="6690">
        <v>10</v>
      </c>
      <c r="C212" s="6690"/>
      <c r="D212" s="1607" t="s">
        <v>2820</v>
      </c>
      <c r="E212" s="1443"/>
      <c r="F212" s="3269"/>
      <c r="G212" s="1443"/>
      <c r="H212" s="1443"/>
      <c r="I212" s="1443"/>
      <c r="J212" s="1443"/>
      <c r="K212" s="1443"/>
      <c r="L212" s="1443"/>
      <c r="M212" s="1443"/>
      <c r="N212" s="1443"/>
      <c r="O212" s="1443"/>
      <c r="P212" s="1443"/>
      <c r="Q212" s="1443"/>
      <c r="R212" s="1443"/>
      <c r="S212" s="1443"/>
      <c r="T212" s="1443"/>
      <c r="U212" s="1443"/>
      <c r="V212" s="1443"/>
      <c r="W212" s="1443"/>
      <c r="X212" s="1443"/>
      <c r="Y212" s="1943" t="s">
        <v>3530</v>
      </c>
      <c r="Z212" s="6757">
        <v>10</v>
      </c>
      <c r="AA212" s="6758"/>
      <c r="AB212" s="6791"/>
      <c r="AC212" s="6792"/>
      <c r="AD212" s="6792"/>
      <c r="AE212" s="6792"/>
      <c r="AF212" s="6792"/>
      <c r="AG212" s="6792"/>
      <c r="AH212" s="6792"/>
      <c r="AI212" s="6793"/>
      <c r="AJ212" s="6696"/>
      <c r="AK212" s="6697"/>
      <c r="AL212" s="1965"/>
      <c r="AM212" s="1443"/>
      <c r="AN212" s="1443"/>
      <c r="AO212" s="1443"/>
      <c r="AP212" s="3350"/>
      <c r="AQ212" s="1443"/>
      <c r="AR212" s="1443"/>
      <c r="AS212" s="1443"/>
      <c r="AT212" s="1443"/>
      <c r="AU212" s="1443"/>
      <c r="AV212" s="1443"/>
      <c r="AW212" s="1443"/>
      <c r="AX212" s="3742"/>
      <c r="AY212" s="5016"/>
      <c r="AZ212" s="5016"/>
      <c r="BA212" s="5016"/>
      <c r="BB212" s="5016"/>
      <c r="BC212" s="5016"/>
      <c r="BD212" s="5016"/>
      <c r="BE212" s="5016"/>
      <c r="BF212" s="5016"/>
      <c r="BG212" s="5016"/>
      <c r="BH212" s="5016"/>
    </row>
    <row r="213" spans="1:60" ht="13.5" customHeight="1">
      <c r="A213" s="5088"/>
      <c r="B213" s="4840"/>
      <c r="C213" s="4840"/>
      <c r="D213" s="1607" t="s">
        <v>3513</v>
      </c>
      <c r="E213" s="1443"/>
      <c r="F213" s="3269"/>
      <c r="G213" s="1443"/>
      <c r="H213" s="1443"/>
      <c r="I213" s="1443"/>
      <c r="J213" s="1443"/>
      <c r="K213" s="1443"/>
      <c r="L213" s="1443"/>
      <c r="M213" s="1443"/>
      <c r="N213" s="1443"/>
      <c r="O213" s="1443"/>
      <c r="P213" s="1443"/>
      <c r="Q213" s="1443"/>
      <c r="R213" s="1443"/>
      <c r="S213" s="1443"/>
      <c r="T213" s="1443"/>
      <c r="U213" s="1443"/>
      <c r="V213" s="1443"/>
      <c r="W213" s="1443"/>
      <c r="X213" s="1443"/>
      <c r="Y213" s="1943"/>
      <c r="Z213" s="4841"/>
      <c r="AA213" s="4842"/>
      <c r="AB213" s="4847"/>
      <c r="AC213" s="4848"/>
      <c r="AD213" s="4848"/>
      <c r="AE213" s="4848"/>
      <c r="AF213" s="4848"/>
      <c r="AG213" s="4848"/>
      <c r="AH213" s="4848"/>
      <c r="AI213" s="4849"/>
      <c r="AJ213" s="6696"/>
      <c r="AK213" s="6697"/>
      <c r="AL213" s="1965"/>
      <c r="AM213" s="1443"/>
      <c r="AN213" s="1443"/>
      <c r="AO213" s="1443"/>
      <c r="AP213" s="3350"/>
      <c r="AQ213" s="1443"/>
      <c r="AR213" s="1443"/>
      <c r="AS213" s="1443"/>
      <c r="AT213" s="1443"/>
      <c r="AU213" s="1443"/>
      <c r="AV213" s="1443"/>
      <c r="AW213" s="1443"/>
      <c r="AX213" s="3742"/>
      <c r="AY213" s="5016"/>
      <c r="AZ213" s="5016"/>
      <c r="BA213" s="5016"/>
      <c r="BB213" s="5016"/>
      <c r="BC213" s="5016"/>
      <c r="BD213" s="5016"/>
      <c r="BE213" s="5016"/>
      <c r="BF213" s="5016"/>
      <c r="BG213" s="5016"/>
      <c r="BH213" s="5016"/>
    </row>
    <row r="214" spans="1:60" ht="13.5" customHeight="1">
      <c r="A214" s="5088"/>
      <c r="B214" s="6690"/>
      <c r="C214" s="6690"/>
      <c r="D214" s="1607" t="s">
        <v>3514</v>
      </c>
      <c r="E214" s="1443"/>
      <c r="F214" s="3269"/>
      <c r="G214" s="1443"/>
      <c r="H214" s="1443"/>
      <c r="I214" s="1443"/>
      <c r="J214" s="1443"/>
      <c r="K214" s="1443"/>
      <c r="L214" s="1443"/>
      <c r="M214" s="1443"/>
      <c r="N214" s="1443"/>
      <c r="O214" s="1443"/>
      <c r="P214" s="1443"/>
      <c r="Q214" s="1443"/>
      <c r="R214" s="1443"/>
      <c r="S214" s="1443"/>
      <c r="T214" s="1443"/>
      <c r="U214" s="1443"/>
      <c r="V214" s="1443"/>
      <c r="W214" s="1443"/>
      <c r="X214" s="1443"/>
      <c r="Y214" s="1443"/>
      <c r="Z214" s="6764"/>
      <c r="AA214" s="6765"/>
      <c r="AB214" s="1965"/>
      <c r="AC214" s="1443"/>
      <c r="AD214" s="1443"/>
      <c r="AE214" s="1443"/>
      <c r="AF214" s="1443"/>
      <c r="AG214" s="1443"/>
      <c r="AH214" s="1443"/>
      <c r="AI214" s="1966"/>
      <c r="AJ214" s="6696"/>
      <c r="AK214" s="6697"/>
      <c r="AL214" s="1965"/>
      <c r="AM214" s="1443"/>
      <c r="AN214" s="1443"/>
      <c r="AO214" s="1443"/>
      <c r="AP214" s="3350"/>
      <c r="AQ214" s="1443"/>
      <c r="AR214" s="1443"/>
      <c r="AS214" s="1443"/>
      <c r="AT214" s="1443"/>
      <c r="AU214" s="1443"/>
      <c r="AV214" s="1443"/>
      <c r="AW214" s="1443"/>
      <c r="AX214" s="3742"/>
      <c r="AY214" s="5016"/>
      <c r="AZ214" s="5016"/>
      <c r="BA214" s="5016"/>
      <c r="BB214" s="5016"/>
      <c r="BC214" s="5016"/>
      <c r="BD214" s="5016"/>
      <c r="BE214" s="5016"/>
      <c r="BF214" s="5016"/>
      <c r="BG214" s="5016"/>
      <c r="BH214" s="5016"/>
    </row>
    <row r="215" spans="1:60" ht="13.5" customHeight="1">
      <c r="A215" s="5088"/>
      <c r="B215" s="6690">
        <v>11</v>
      </c>
      <c r="C215" s="6690"/>
      <c r="D215" s="1443" t="s">
        <v>2394</v>
      </c>
      <c r="E215" s="1443"/>
      <c r="F215" s="3269"/>
      <c r="G215" s="1443"/>
      <c r="H215" s="1443"/>
      <c r="I215" s="1443"/>
      <c r="J215" s="1443"/>
      <c r="K215" s="1443"/>
      <c r="L215" s="1443"/>
      <c r="M215" s="1443"/>
      <c r="N215" s="1443"/>
      <c r="O215" s="1443"/>
      <c r="P215" s="1443"/>
      <c r="Q215" s="1443"/>
      <c r="R215" s="1443"/>
      <c r="S215" s="1443"/>
      <c r="T215" s="1443"/>
      <c r="U215" s="1443"/>
      <c r="V215" s="1443"/>
      <c r="W215" s="1443"/>
      <c r="X215" s="1443"/>
      <c r="Y215" s="1943" t="s">
        <v>4281</v>
      </c>
      <c r="Z215" s="6691">
        <v>11</v>
      </c>
      <c r="AA215" s="6692"/>
      <c r="AB215" s="6785">
        <f>ROUND(SUM(AB210,AB212),0)</f>
        <v>0</v>
      </c>
      <c r="AC215" s="6786"/>
      <c r="AD215" s="6786"/>
      <c r="AE215" s="6786"/>
      <c r="AF215" s="6786"/>
      <c r="AG215" s="6786"/>
      <c r="AH215" s="6786"/>
      <c r="AI215" s="6787"/>
      <c r="AJ215" s="6696"/>
      <c r="AK215" s="6697"/>
      <c r="AL215" s="1965"/>
      <c r="AM215" s="1443"/>
      <c r="AN215" s="1443"/>
      <c r="AO215" s="1443"/>
      <c r="AP215" s="3350"/>
      <c r="AQ215" s="1443"/>
      <c r="AR215" s="1443"/>
      <c r="AS215" s="1443"/>
      <c r="AT215" s="1443"/>
      <c r="AU215" s="1443"/>
      <c r="AV215" s="1443"/>
      <c r="AW215" s="1443"/>
      <c r="AX215" s="3742"/>
      <c r="AY215" s="5016"/>
      <c r="AZ215" s="5016"/>
      <c r="BA215" s="5016"/>
      <c r="BB215" s="5016"/>
      <c r="BC215" s="5016"/>
      <c r="BD215" s="5016"/>
      <c r="BE215" s="5016"/>
      <c r="BF215" s="5016"/>
      <c r="BG215" s="5016"/>
      <c r="BH215" s="5016"/>
    </row>
    <row r="216" spans="1:60" ht="13.5" customHeight="1">
      <c r="A216" s="5088"/>
      <c r="B216" s="6690"/>
      <c r="C216" s="6690"/>
      <c r="D216" s="1443"/>
      <c r="E216" s="1443"/>
      <c r="F216" s="3269"/>
      <c r="G216" s="1443"/>
      <c r="H216" s="1443"/>
      <c r="I216" s="1443"/>
      <c r="J216" s="1443"/>
      <c r="K216" s="1443"/>
      <c r="L216" s="1443"/>
      <c r="M216" s="1443"/>
      <c r="N216" s="1443"/>
      <c r="O216" s="1443"/>
      <c r="P216" s="1443"/>
      <c r="Q216" s="1443"/>
      <c r="R216" s="1443"/>
      <c r="S216" s="1443"/>
      <c r="T216" s="1443"/>
      <c r="U216" s="1443"/>
      <c r="V216" s="1443"/>
      <c r="W216" s="1443"/>
      <c r="X216" s="1443"/>
      <c r="Y216" s="1443"/>
      <c r="Z216" s="6789"/>
      <c r="AA216" s="6790"/>
      <c r="AB216" s="1964"/>
      <c r="AC216" s="1957"/>
      <c r="AD216" s="1957"/>
      <c r="AE216" s="1957"/>
      <c r="AF216" s="1957"/>
      <c r="AG216" s="1957"/>
      <c r="AH216" s="1957"/>
      <c r="AI216" s="1958"/>
      <c r="AJ216" s="6696"/>
      <c r="AK216" s="6697"/>
      <c r="AL216" s="6688" t="str">
        <f>IF(AB217&gt;0,"Line 12 cannot be","")</f>
        <v/>
      </c>
      <c r="AM216" s="6689"/>
      <c r="AN216" s="6689"/>
      <c r="AO216" s="6689"/>
      <c r="AP216" s="3350"/>
      <c r="AQ216" s="1443"/>
      <c r="AR216" s="1443"/>
      <c r="AS216" s="1443"/>
      <c r="AT216" s="1443"/>
      <c r="AU216" s="1443"/>
      <c r="AV216" s="1443"/>
      <c r="AW216" s="1443"/>
      <c r="AX216" s="3742"/>
      <c r="AY216" s="5016"/>
      <c r="AZ216" s="5016"/>
      <c r="BA216" s="5016"/>
      <c r="BB216" s="5016"/>
      <c r="BC216" s="5016"/>
      <c r="BD216" s="5016"/>
      <c r="BE216" s="5016"/>
      <c r="BF216" s="5016"/>
      <c r="BG216" s="5016"/>
      <c r="BH216" s="5016"/>
    </row>
    <row r="217" spans="1:60" ht="13.5" customHeight="1">
      <c r="A217" s="5088"/>
      <c r="B217" s="6690">
        <v>12</v>
      </c>
      <c r="C217" s="6690"/>
      <c r="D217" s="1607" t="s">
        <v>2798</v>
      </c>
      <c r="E217" s="1443"/>
      <c r="F217" s="3269"/>
      <c r="G217" s="1443"/>
      <c r="H217" s="1443"/>
      <c r="I217" s="1443"/>
      <c r="J217" s="1443"/>
      <c r="K217" s="1443"/>
      <c r="L217" s="1443"/>
      <c r="M217" s="1443"/>
      <c r="N217" s="1443"/>
      <c r="O217" s="1443"/>
      <c r="P217" s="1443"/>
      <c r="Q217" s="1443"/>
      <c r="R217" s="1443"/>
      <c r="S217" s="1443"/>
      <c r="T217" s="1443"/>
      <c r="U217" s="1443"/>
      <c r="V217" s="1443"/>
      <c r="W217" s="1443"/>
      <c r="X217" s="1443"/>
      <c r="Y217" s="1943" t="s">
        <v>3200</v>
      </c>
      <c r="Z217" s="6691">
        <v>12</v>
      </c>
      <c r="AA217" s="6692"/>
      <c r="AB217" s="6693"/>
      <c r="AC217" s="6694"/>
      <c r="AD217" s="6694"/>
      <c r="AE217" s="6694"/>
      <c r="AF217" s="6694"/>
      <c r="AG217" s="6694"/>
      <c r="AH217" s="6694"/>
      <c r="AI217" s="6695"/>
      <c r="AJ217" s="6696"/>
      <c r="AK217" s="6697"/>
      <c r="AL217" s="6688" t="str">
        <f>IF(AB217&gt;0,"a positive number.","")</f>
        <v/>
      </c>
      <c r="AM217" s="6689"/>
      <c r="AN217" s="6689"/>
      <c r="AO217" s="6689"/>
      <c r="AP217" s="3350"/>
      <c r="AQ217" s="1443"/>
      <c r="AR217" s="1443"/>
      <c r="AS217" s="1443"/>
      <c r="AT217" s="1443"/>
      <c r="AU217" s="1443"/>
      <c r="AV217" s="1443"/>
      <c r="AW217" s="1443"/>
      <c r="AX217" s="3742"/>
      <c r="AY217" s="5016"/>
      <c r="AZ217" s="5016"/>
      <c r="BA217" s="5016"/>
      <c r="BB217" s="5016"/>
      <c r="BC217" s="5016"/>
      <c r="BD217" s="5016"/>
      <c r="BE217" s="5016"/>
      <c r="BF217" s="5016"/>
      <c r="BG217" s="5016"/>
      <c r="BH217" s="5016"/>
    </row>
    <row r="218" spans="1:60" ht="13.5" customHeight="1">
      <c r="A218" s="5088"/>
      <c r="B218" s="6690"/>
      <c r="C218" s="6690"/>
      <c r="D218" s="1443"/>
      <c r="E218" s="1443"/>
      <c r="F218" s="3269"/>
      <c r="G218" s="1443"/>
      <c r="H218" s="1443"/>
      <c r="I218" s="1443"/>
      <c r="J218" s="1443"/>
      <c r="K218" s="1443"/>
      <c r="L218" s="1443"/>
      <c r="M218" s="1443"/>
      <c r="N218" s="1443"/>
      <c r="O218" s="1443"/>
      <c r="P218" s="1443"/>
      <c r="Q218" s="1443"/>
      <c r="R218" s="1443"/>
      <c r="S218" s="1443"/>
      <c r="T218" s="1443"/>
      <c r="U218" s="1443"/>
      <c r="V218" s="1443"/>
      <c r="W218" s="1443"/>
      <c r="X218" s="1443"/>
      <c r="Y218" s="1443"/>
      <c r="Z218" s="6789"/>
      <c r="AA218" s="6790"/>
      <c r="AB218" s="1964"/>
      <c r="AC218" s="1957"/>
      <c r="AD218" s="1957"/>
      <c r="AE218" s="1957"/>
      <c r="AF218" s="1957"/>
      <c r="AG218" s="1957"/>
      <c r="AH218" s="1957"/>
      <c r="AI218" s="1958"/>
      <c r="AJ218" s="6696"/>
      <c r="AK218" s="6697"/>
      <c r="AL218" s="1965"/>
      <c r="AM218" s="1443"/>
      <c r="AN218" s="1443"/>
      <c r="AO218" s="1443"/>
      <c r="AP218" s="3350"/>
      <c r="AQ218" s="1443"/>
      <c r="AR218" s="1443"/>
      <c r="AS218" s="1443"/>
      <c r="AT218" s="1443"/>
      <c r="AU218" s="1443"/>
      <c r="AV218" s="1443"/>
      <c r="AW218" s="1443"/>
      <c r="AX218" s="3742"/>
      <c r="AY218" s="5016"/>
      <c r="AZ218" s="5016"/>
      <c r="BA218" s="5016"/>
      <c r="BB218" s="5016"/>
      <c r="BC218" s="5016"/>
      <c r="BD218" s="5016"/>
      <c r="BE218" s="5016"/>
      <c r="BF218" s="5016"/>
      <c r="BG218" s="5016"/>
      <c r="BH218" s="5016"/>
    </row>
    <row r="219" spans="1:60" ht="13.5" customHeight="1">
      <c r="A219" s="5088"/>
      <c r="B219" s="6690">
        <v>13</v>
      </c>
      <c r="C219" s="6690"/>
      <c r="D219" s="1607" t="s">
        <v>2799</v>
      </c>
      <c r="E219" s="1443"/>
      <c r="F219" s="3269"/>
      <c r="G219" s="1443"/>
      <c r="H219" s="1443"/>
      <c r="I219" s="1443"/>
      <c r="J219" s="1443"/>
      <c r="K219" s="1443"/>
      <c r="L219" s="1443"/>
      <c r="M219" s="1443"/>
      <c r="N219" s="1443"/>
      <c r="O219" s="1443"/>
      <c r="P219" s="1443"/>
      <c r="Q219" s="1443"/>
      <c r="R219" s="1443"/>
      <c r="S219" s="1443"/>
      <c r="T219" s="1443"/>
      <c r="U219" s="1443"/>
      <c r="V219" s="1443"/>
      <c r="W219" s="1443"/>
      <c r="X219" s="1443"/>
      <c r="Y219" s="1943" t="s">
        <v>3235</v>
      </c>
      <c r="Z219" s="6691">
        <v>13</v>
      </c>
      <c r="AA219" s="6692"/>
      <c r="AB219" s="6693"/>
      <c r="AC219" s="6694"/>
      <c r="AD219" s="6694"/>
      <c r="AE219" s="6694"/>
      <c r="AF219" s="6694"/>
      <c r="AG219" s="6694"/>
      <c r="AH219" s="6694"/>
      <c r="AI219" s="6695"/>
      <c r="AJ219" s="6696"/>
      <c r="AK219" s="6697"/>
      <c r="AL219" s="1965"/>
      <c r="AM219" s="1443"/>
      <c r="AN219" s="1443"/>
      <c r="AO219" s="1443"/>
      <c r="AP219" s="3350"/>
      <c r="AQ219" s="1443"/>
      <c r="AR219" s="1443"/>
      <c r="AS219" s="1443"/>
      <c r="AT219" s="1443"/>
      <c r="AU219" s="1443"/>
      <c r="AV219" s="1443"/>
      <c r="AW219" s="1443"/>
      <c r="AX219" s="3742"/>
      <c r="AY219" s="5016"/>
      <c r="AZ219" s="5016"/>
      <c r="BA219" s="5016"/>
      <c r="BB219" s="5016"/>
      <c r="BC219" s="5016"/>
      <c r="BD219" s="5016"/>
      <c r="BE219" s="5016"/>
      <c r="BF219" s="5016"/>
      <c r="BG219" s="5016"/>
      <c r="BH219" s="5016"/>
    </row>
    <row r="220" spans="1:60" ht="13.5" customHeight="1">
      <c r="A220" s="5088"/>
      <c r="B220" s="6690"/>
      <c r="C220" s="6690"/>
      <c r="D220" s="1443"/>
      <c r="E220" s="1443"/>
      <c r="F220" s="3269"/>
      <c r="G220" s="1443"/>
      <c r="H220" s="1443"/>
      <c r="I220" s="1443"/>
      <c r="J220" s="1443"/>
      <c r="K220" s="1443"/>
      <c r="L220" s="1443"/>
      <c r="M220" s="1443"/>
      <c r="N220" s="1443"/>
      <c r="O220" s="1443"/>
      <c r="P220" s="1443"/>
      <c r="Q220" s="1443"/>
      <c r="R220" s="1443"/>
      <c r="S220" s="1443"/>
      <c r="T220" s="1443"/>
      <c r="U220" s="1443"/>
      <c r="V220" s="1443"/>
      <c r="W220" s="1443"/>
      <c r="X220" s="1443"/>
      <c r="Y220" s="1443"/>
      <c r="Z220" s="1443"/>
      <c r="AA220" s="1443"/>
      <c r="AB220" s="1443"/>
      <c r="AC220" s="1443"/>
      <c r="AD220" s="1443"/>
      <c r="AE220" s="1443"/>
      <c r="AF220" s="1443"/>
      <c r="AG220" s="1443"/>
      <c r="AH220" s="1443"/>
      <c r="AI220" s="1443"/>
      <c r="AJ220" s="1964"/>
      <c r="AK220" s="1958"/>
      <c r="AL220" s="1964"/>
      <c r="AM220" s="1957"/>
      <c r="AN220" s="1957"/>
      <c r="AO220" s="1957"/>
      <c r="AP220" s="3350"/>
      <c r="AQ220" s="1443"/>
      <c r="AR220" s="1443"/>
      <c r="AS220" s="1443"/>
      <c r="AT220" s="1443"/>
      <c r="AU220" s="1443"/>
      <c r="AV220" s="1443"/>
      <c r="AW220" s="1443"/>
      <c r="AX220" s="3742"/>
      <c r="AY220" s="5016"/>
      <c r="AZ220" s="5016"/>
      <c r="BA220" s="5016"/>
      <c r="BB220" s="5016"/>
      <c r="BC220" s="5016"/>
      <c r="BD220" s="5016"/>
      <c r="BE220" s="5016"/>
      <c r="BF220" s="5016"/>
      <c r="BG220" s="5016"/>
      <c r="BH220" s="5016"/>
    </row>
    <row r="221" spans="1:60" ht="13.5" customHeight="1">
      <c r="A221" s="5088"/>
      <c r="B221" s="6690">
        <v>14</v>
      </c>
      <c r="C221" s="6690"/>
      <c r="D221" s="1607" t="s">
        <v>2800</v>
      </c>
      <c r="E221" s="1443"/>
      <c r="F221" s="3269"/>
      <c r="G221" s="1443"/>
      <c r="H221" s="1443"/>
      <c r="I221" s="1443"/>
      <c r="J221" s="1443"/>
      <c r="K221" s="1443"/>
      <c r="L221" s="1443"/>
      <c r="M221" s="1443"/>
      <c r="N221" s="1443"/>
      <c r="O221" s="1443"/>
      <c r="P221" s="1443"/>
      <c r="Q221" s="1443"/>
      <c r="R221" s="1443"/>
      <c r="S221" s="1443"/>
      <c r="T221" s="1443"/>
      <c r="U221" s="1443"/>
      <c r="V221" s="1443"/>
      <c r="W221" s="1443"/>
      <c r="X221" s="1443"/>
      <c r="Y221" s="1443"/>
      <c r="Z221" s="1443"/>
      <c r="AA221" s="1443"/>
      <c r="AB221" s="1443"/>
      <c r="AC221" s="1443"/>
      <c r="AD221" s="1443"/>
      <c r="AE221" s="1443"/>
      <c r="AF221" s="1443"/>
      <c r="AG221" s="1443"/>
      <c r="AH221" s="1443"/>
      <c r="AI221" s="1943" t="s">
        <v>3235</v>
      </c>
      <c r="AJ221" s="6691">
        <v>14</v>
      </c>
      <c r="AK221" s="6692"/>
      <c r="AL221" s="6739">
        <f>SUM(AB215,AB217,AB219)</f>
        <v>0</v>
      </c>
      <c r="AM221" s="5861"/>
      <c r="AN221" s="5861"/>
      <c r="AO221" s="5861"/>
      <c r="AP221" s="3350"/>
      <c r="AQ221" s="1443"/>
      <c r="AR221" s="1443"/>
      <c r="AS221" s="1443"/>
      <c r="AT221" s="1443"/>
      <c r="AU221" s="1443"/>
      <c r="AV221" s="1443"/>
      <c r="AW221" s="1443"/>
      <c r="AX221" s="3742"/>
      <c r="AY221" s="5016"/>
      <c r="AZ221" s="5016"/>
      <c r="BA221" s="5016"/>
      <c r="BB221" s="5016"/>
      <c r="BC221" s="5016"/>
      <c r="BD221" s="5016"/>
      <c r="BE221" s="5016"/>
      <c r="BF221" s="5016"/>
      <c r="BG221" s="5016"/>
      <c r="BH221" s="5016"/>
    </row>
    <row r="222" spans="1:60" ht="18" customHeight="1">
      <c r="A222" s="5088"/>
      <c r="B222" s="6690">
        <v>15</v>
      </c>
      <c r="C222" s="6690"/>
      <c r="D222" s="1443" t="s">
        <v>2801</v>
      </c>
      <c r="E222" s="1443"/>
      <c r="F222" s="3269"/>
      <c r="G222" s="1443"/>
      <c r="H222" s="1443"/>
      <c r="I222" s="1443"/>
      <c r="J222" s="1443"/>
      <c r="K222" s="1443"/>
      <c r="L222" s="1443"/>
      <c r="M222" s="1443"/>
      <c r="N222" s="1443"/>
      <c r="O222" s="1443"/>
      <c r="P222" s="1443"/>
      <c r="Q222" s="1443"/>
      <c r="R222" s="1443"/>
      <c r="S222" s="1443"/>
      <c r="T222" s="1443"/>
      <c r="U222" s="1443"/>
      <c r="V222" s="1443"/>
      <c r="W222" s="1443"/>
      <c r="X222" s="1443"/>
      <c r="Y222" s="1443"/>
      <c r="Z222" s="6764"/>
      <c r="AA222" s="6772"/>
      <c r="AB222" s="1965"/>
      <c r="AC222" s="1443"/>
      <c r="AD222" s="1443"/>
      <c r="AE222" s="1443"/>
      <c r="AF222" s="1443"/>
      <c r="AG222" s="1443"/>
      <c r="AH222" s="1443"/>
      <c r="AI222" s="1966"/>
      <c r="AJ222" s="6696"/>
      <c r="AK222" s="6697"/>
      <c r="AL222" s="1965"/>
      <c r="AM222" s="1443"/>
      <c r="AN222" s="1443"/>
      <c r="AO222" s="1443"/>
      <c r="AP222" s="3350"/>
      <c r="AQ222" s="1443"/>
      <c r="AR222" s="1443"/>
      <c r="AS222" s="1443"/>
      <c r="AT222" s="1443"/>
      <c r="AU222" s="1443"/>
      <c r="AV222" s="1443"/>
      <c r="AW222" s="1443"/>
      <c r="AX222" s="3742"/>
      <c r="AY222" s="5016"/>
      <c r="AZ222" s="5016"/>
      <c r="BA222" s="5016"/>
      <c r="BB222" s="5016"/>
      <c r="BC222" s="5016"/>
      <c r="BD222" s="5016"/>
      <c r="BE222" s="5016"/>
      <c r="BF222" s="5016"/>
      <c r="BG222" s="5016"/>
      <c r="BH222" s="5016"/>
    </row>
    <row r="223" spans="1:60" ht="13.5" customHeight="1">
      <c r="A223" s="5088"/>
      <c r="B223" s="6690"/>
      <c r="C223" s="6690"/>
      <c r="D223" s="1443" t="s">
        <v>2802</v>
      </c>
      <c r="E223" s="1443"/>
      <c r="F223" s="3269"/>
      <c r="G223" s="1443"/>
      <c r="H223" s="1443"/>
      <c r="I223" s="1443"/>
      <c r="J223" s="1443"/>
      <c r="K223" s="1443"/>
      <c r="L223" s="1443"/>
      <c r="M223" s="1443"/>
      <c r="N223" s="1443"/>
      <c r="O223" s="1443"/>
      <c r="P223" s="1443"/>
      <c r="Q223" s="1443"/>
      <c r="R223" s="1443"/>
      <c r="S223" s="1443"/>
      <c r="T223" s="1443"/>
      <c r="U223" s="1443"/>
      <c r="V223" s="1443"/>
      <c r="W223" s="1443"/>
      <c r="X223" s="1443"/>
      <c r="Y223" s="1443"/>
      <c r="Z223" s="6764"/>
      <c r="AA223" s="6772"/>
      <c r="AB223" s="1965"/>
      <c r="AC223" s="1443"/>
      <c r="AD223" s="1443"/>
      <c r="AE223" s="1443"/>
      <c r="AF223" s="1443"/>
      <c r="AG223" s="1443"/>
      <c r="AH223" s="1443"/>
      <c r="AI223" s="1966"/>
      <c r="AJ223" s="6696"/>
      <c r="AK223" s="6697"/>
      <c r="AL223" s="1965"/>
      <c r="AM223" s="1443"/>
      <c r="AN223" s="1443"/>
      <c r="AO223" s="1443"/>
      <c r="AP223" s="3350"/>
      <c r="AQ223" s="1443"/>
      <c r="AR223" s="1443"/>
      <c r="AS223" s="1443"/>
      <c r="AT223" s="1443"/>
      <c r="AU223" s="1443"/>
      <c r="AV223" s="1443"/>
      <c r="AW223" s="1443"/>
      <c r="AX223" s="3742"/>
      <c r="AY223" s="5016"/>
      <c r="AZ223" s="5016"/>
      <c r="BA223" s="5016"/>
      <c r="BB223" s="5016"/>
      <c r="BC223" s="5016"/>
      <c r="BD223" s="5016"/>
      <c r="BE223" s="5016"/>
      <c r="BF223" s="5016"/>
      <c r="BG223" s="5016"/>
      <c r="BH223" s="5016"/>
    </row>
    <row r="224" spans="1:60" ht="13.5" customHeight="1">
      <c r="A224" s="5088"/>
      <c r="B224" s="3392"/>
      <c r="C224" s="3392"/>
      <c r="D224" s="1608" t="s">
        <v>2803</v>
      </c>
      <c r="E224" s="1443"/>
      <c r="F224" s="1443"/>
      <c r="G224" s="1443"/>
      <c r="H224" s="1443"/>
      <c r="I224" s="1443"/>
      <c r="J224" s="1443"/>
      <c r="K224" s="1443"/>
      <c r="L224" s="1443"/>
      <c r="M224" s="1443"/>
      <c r="N224" s="1443"/>
      <c r="O224" s="1443"/>
      <c r="P224" s="1443"/>
      <c r="Q224" s="1443"/>
      <c r="R224" s="1443"/>
      <c r="S224" s="1443"/>
      <c r="T224" s="1443"/>
      <c r="U224" s="1443"/>
      <c r="V224" s="1443"/>
      <c r="W224" s="1443"/>
      <c r="X224" s="1443"/>
      <c r="Y224" s="1943" t="s">
        <v>3239</v>
      </c>
      <c r="Z224" s="6691">
        <v>15</v>
      </c>
      <c r="AA224" s="6784"/>
      <c r="AB224" s="6785" t="str">
        <f>AL188</f>
        <v/>
      </c>
      <c r="AC224" s="6786"/>
      <c r="AD224" s="6786"/>
      <c r="AE224" s="6786"/>
      <c r="AF224" s="6786"/>
      <c r="AG224" s="6786"/>
      <c r="AH224" s="6786"/>
      <c r="AI224" s="6787"/>
      <c r="AJ224" s="6696"/>
      <c r="AK224" s="6697"/>
      <c r="AL224" s="1965"/>
      <c r="AM224" s="1443"/>
      <c r="AN224" s="1443"/>
      <c r="AO224" s="1443"/>
      <c r="AP224" s="3350"/>
      <c r="AQ224" s="1443"/>
      <c r="AR224" s="1443"/>
      <c r="AS224" s="1443"/>
      <c r="AT224" s="1443"/>
      <c r="AU224" s="1443"/>
      <c r="AV224" s="1443"/>
      <c r="AW224" s="1443"/>
      <c r="AX224" s="3742"/>
      <c r="AY224" s="5016"/>
      <c r="AZ224" s="5016"/>
      <c r="BA224" s="5016"/>
      <c r="BB224" s="5016"/>
      <c r="BC224" s="5016"/>
      <c r="BD224" s="5016"/>
      <c r="BE224" s="5016"/>
      <c r="BF224" s="5016"/>
      <c r="BG224" s="5016"/>
      <c r="BH224" s="5016"/>
    </row>
    <row r="225" spans="1:60" ht="13.5" customHeight="1">
      <c r="A225" s="5088"/>
      <c r="B225" s="6690">
        <v>16</v>
      </c>
      <c r="C225" s="6690"/>
      <c r="D225" s="2753" t="s">
        <v>2804</v>
      </c>
      <c r="E225" s="1804"/>
      <c r="F225" s="2292"/>
      <c r="G225" s="1443"/>
      <c r="H225" s="1443"/>
      <c r="I225" s="1443"/>
      <c r="J225" s="1443"/>
      <c r="K225" s="1443"/>
      <c r="L225" s="1443"/>
      <c r="M225" s="1443"/>
      <c r="N225" s="1443"/>
      <c r="O225" s="1443"/>
      <c r="P225" s="3366"/>
      <c r="Q225" s="1804"/>
      <c r="R225" s="2292"/>
      <c r="S225" s="1607"/>
      <c r="T225" s="1443"/>
      <c r="U225" s="1443"/>
      <c r="V225" s="1443"/>
      <c r="W225" s="1443"/>
      <c r="X225" s="1443"/>
      <c r="Y225" s="1943" t="s">
        <v>1993</v>
      </c>
      <c r="Z225" s="6788">
        <v>16</v>
      </c>
      <c r="AA225" s="6209"/>
      <c r="AB225" s="6693"/>
      <c r="AC225" s="6694"/>
      <c r="AD225" s="6694"/>
      <c r="AE225" s="6694"/>
      <c r="AF225" s="6694"/>
      <c r="AG225" s="6694"/>
      <c r="AH225" s="6694"/>
      <c r="AI225" s="6695"/>
      <c r="AJ225" s="6696"/>
      <c r="AK225" s="6697"/>
      <c r="AL225" s="1965"/>
      <c r="AM225" s="1443"/>
      <c r="AN225" s="1443"/>
      <c r="AO225" s="1443"/>
      <c r="AP225" s="3350"/>
      <c r="AQ225" s="1443"/>
      <c r="AR225" s="1443"/>
      <c r="AS225" s="1443"/>
      <c r="AT225" s="1443"/>
      <c r="AU225" s="1443"/>
      <c r="AV225" s="1443"/>
      <c r="AW225" s="1443"/>
      <c r="AX225" s="3742"/>
      <c r="AY225" s="5016"/>
      <c r="AZ225" s="5016"/>
      <c r="BA225" s="5016"/>
      <c r="BB225" s="5016"/>
      <c r="BC225" s="5016"/>
      <c r="BD225" s="5016"/>
      <c r="BE225" s="5016"/>
      <c r="BF225" s="5016"/>
      <c r="BG225" s="5016"/>
      <c r="BH225" s="5016"/>
    </row>
    <row r="226" spans="1:60" ht="18" customHeight="1">
      <c r="A226" s="5088"/>
      <c r="B226" s="6690">
        <v>17</v>
      </c>
      <c r="C226" s="6690"/>
      <c r="D226" s="1607" t="s">
        <v>2805</v>
      </c>
      <c r="E226" s="1443"/>
      <c r="F226" s="3269"/>
      <c r="G226" s="1443"/>
      <c r="H226" s="1443"/>
      <c r="I226" s="1443"/>
      <c r="J226" s="1443"/>
      <c r="K226" s="1443"/>
      <c r="L226" s="1443"/>
      <c r="M226" s="1443"/>
      <c r="N226" s="1443"/>
      <c r="O226" s="1443"/>
      <c r="P226" s="1443"/>
      <c r="Q226" s="1443"/>
      <c r="R226" s="1443"/>
      <c r="S226" s="1443"/>
      <c r="T226" s="1443"/>
      <c r="U226" s="1443"/>
      <c r="V226" s="1443"/>
      <c r="W226" s="1443"/>
      <c r="X226" s="1443"/>
      <c r="Y226" s="1443"/>
      <c r="Z226" s="6764"/>
      <c r="AA226" s="6772"/>
      <c r="AB226" s="1965"/>
      <c r="AC226" s="1443"/>
      <c r="AD226" s="1443"/>
      <c r="AE226" s="1443"/>
      <c r="AF226" s="1443"/>
      <c r="AG226" s="1443"/>
      <c r="AH226" s="1443"/>
      <c r="AI226" s="1966"/>
      <c r="AJ226" s="6696"/>
      <c r="AK226" s="6697"/>
      <c r="AL226" s="1965"/>
      <c r="AM226" s="1443"/>
      <c r="AN226" s="1443"/>
      <c r="AO226" s="1443"/>
      <c r="AP226" s="3350"/>
      <c r="AQ226" s="1443"/>
      <c r="AR226" s="1443"/>
      <c r="AS226" s="1443"/>
      <c r="AT226" s="1443"/>
      <c r="AU226" s="1443"/>
      <c r="AV226" s="1443"/>
      <c r="AW226" s="1443"/>
      <c r="AX226" s="3742"/>
      <c r="AY226" s="5016"/>
      <c r="AZ226" s="5016"/>
      <c r="BA226" s="5016"/>
      <c r="BB226" s="5016"/>
      <c r="BC226" s="5016"/>
      <c r="BD226" s="5016"/>
      <c r="BE226" s="5016"/>
      <c r="BF226" s="5016"/>
      <c r="BG226" s="5016"/>
      <c r="BH226" s="5016"/>
    </row>
    <row r="227" spans="1:60" ht="13.5" customHeight="1">
      <c r="A227" s="5088"/>
      <c r="B227" s="6690"/>
      <c r="C227" s="6690"/>
      <c r="D227" s="1443" t="s">
        <v>2806</v>
      </c>
      <c r="E227" s="1443"/>
      <c r="F227" s="3269"/>
      <c r="G227" s="1443"/>
      <c r="H227" s="1443"/>
      <c r="I227" s="1443"/>
      <c r="J227" s="1443"/>
      <c r="K227" s="1443"/>
      <c r="L227" s="1443"/>
      <c r="M227" s="1443"/>
      <c r="N227" s="1443"/>
      <c r="O227" s="1443"/>
      <c r="P227" s="1443"/>
      <c r="Q227" s="1443"/>
      <c r="R227" s="1443"/>
      <c r="S227" s="1443"/>
      <c r="T227" s="1443"/>
      <c r="U227" s="1443"/>
      <c r="V227" s="1443"/>
      <c r="W227" s="1443"/>
      <c r="X227" s="1443"/>
      <c r="Y227" s="1443"/>
      <c r="Z227" s="6764"/>
      <c r="AA227" s="6772"/>
      <c r="AB227" s="1965"/>
      <c r="AC227" s="1443"/>
      <c r="AD227" s="1443"/>
      <c r="AE227" s="1443"/>
      <c r="AF227" s="1443"/>
      <c r="AG227" s="1443"/>
      <c r="AH227" s="1443"/>
      <c r="AI227" s="1966"/>
      <c r="AJ227" s="6696"/>
      <c r="AK227" s="6697"/>
      <c r="AL227" s="1965"/>
      <c r="AM227" s="1443"/>
      <c r="AN227" s="1443"/>
      <c r="AO227" s="1443"/>
      <c r="AP227" s="3350"/>
      <c r="AQ227" s="1443"/>
      <c r="AR227" s="1443"/>
      <c r="AS227" s="1443"/>
      <c r="AT227" s="1443"/>
      <c r="AU227" s="1443"/>
      <c r="AV227" s="1443"/>
      <c r="AW227" s="1443"/>
      <c r="AX227" s="3742"/>
      <c r="AY227" s="5016"/>
      <c r="AZ227" s="5016"/>
      <c r="BA227" s="5016"/>
      <c r="BB227" s="5016"/>
      <c r="BC227" s="5016"/>
      <c r="BD227" s="5016"/>
      <c r="BE227" s="5016"/>
      <c r="BF227" s="5016"/>
      <c r="BG227" s="5016"/>
      <c r="BH227" s="5016"/>
    </row>
    <row r="228" spans="1:60" ht="13.5" customHeight="1">
      <c r="A228" s="5088"/>
      <c r="B228" s="6690"/>
      <c r="C228" s="6690"/>
      <c r="D228" s="1443" t="s">
        <v>2807</v>
      </c>
      <c r="E228" s="1443"/>
      <c r="F228" s="3269"/>
      <c r="G228" s="1443"/>
      <c r="H228" s="1443"/>
      <c r="I228" s="1443"/>
      <c r="J228" s="1443"/>
      <c r="K228" s="1443"/>
      <c r="L228" s="1443"/>
      <c r="M228" s="1443"/>
      <c r="N228" s="1443"/>
      <c r="O228" s="1443"/>
      <c r="P228" s="1443"/>
      <c r="Q228" s="1443"/>
      <c r="R228" s="1443"/>
      <c r="S228" s="1443"/>
      <c r="T228" s="1443"/>
      <c r="U228" s="1443"/>
      <c r="V228" s="1443"/>
      <c r="W228" s="1443"/>
      <c r="X228" s="1443"/>
      <c r="Y228" s="1443"/>
      <c r="Z228" s="6764"/>
      <c r="AA228" s="6772"/>
      <c r="AB228" s="1965"/>
      <c r="AC228" s="1443"/>
      <c r="AD228" s="1443"/>
      <c r="AE228" s="1443"/>
      <c r="AF228" s="1443"/>
      <c r="AG228" s="1443"/>
      <c r="AH228" s="1443"/>
      <c r="AI228" s="1966"/>
      <c r="AJ228" s="6696"/>
      <c r="AK228" s="6697"/>
      <c r="AL228" s="1965"/>
      <c r="AM228" s="1443"/>
      <c r="AN228" s="1443"/>
      <c r="AO228" s="1443"/>
      <c r="AP228" s="3350"/>
      <c r="AQ228" s="1443"/>
      <c r="AR228" s="1443"/>
      <c r="AS228" s="1443"/>
      <c r="AT228" s="1443"/>
      <c r="AU228" s="1443"/>
      <c r="AV228" s="1443"/>
      <c r="AW228" s="1443"/>
      <c r="AX228" s="3742"/>
      <c r="AY228" s="5016"/>
      <c r="AZ228" s="5016"/>
      <c r="BA228" s="5016"/>
      <c r="BB228" s="5016"/>
      <c r="BC228" s="5016"/>
      <c r="BD228" s="5016"/>
      <c r="BE228" s="5016"/>
      <c r="BF228" s="5016"/>
      <c r="BG228" s="5016"/>
      <c r="BH228" s="5016"/>
    </row>
    <row r="229" spans="1:60" ht="13.5" customHeight="1">
      <c r="A229" s="5088"/>
      <c r="B229" s="6690"/>
      <c r="C229" s="6690"/>
      <c r="D229" s="1443" t="s">
        <v>2808</v>
      </c>
      <c r="E229" s="1443"/>
      <c r="F229" s="3269"/>
      <c r="G229" s="1443"/>
      <c r="H229" s="1443"/>
      <c r="I229" s="1443"/>
      <c r="J229" s="1443"/>
      <c r="K229" s="1443"/>
      <c r="L229" s="1443"/>
      <c r="M229" s="1443"/>
      <c r="N229" s="1443"/>
      <c r="O229" s="1443"/>
      <c r="P229" s="1443"/>
      <c r="Q229" s="1443"/>
      <c r="R229" s="1443"/>
      <c r="S229" s="1443"/>
      <c r="T229" s="1443"/>
      <c r="U229" s="1443"/>
      <c r="V229" s="1443"/>
      <c r="W229" s="1443"/>
      <c r="X229" s="1443"/>
      <c r="Y229" s="1443"/>
      <c r="Z229" s="6764"/>
      <c r="AA229" s="6772"/>
      <c r="AB229" s="1965"/>
      <c r="AC229" s="1443"/>
      <c r="AD229" s="1443"/>
      <c r="AE229" s="1443"/>
      <c r="AF229" s="1443"/>
      <c r="AG229" s="1443"/>
      <c r="AH229" s="1443"/>
      <c r="AI229" s="1966"/>
      <c r="AJ229" s="6696"/>
      <c r="AK229" s="6697"/>
      <c r="AL229" s="1965"/>
      <c r="AM229" s="1443"/>
      <c r="AN229" s="1443"/>
      <c r="AO229" s="1443"/>
      <c r="AP229" s="3350"/>
      <c r="AQ229" s="1443"/>
      <c r="AR229" s="1443"/>
      <c r="AS229" s="1443"/>
      <c r="AT229" s="1443"/>
      <c r="AU229" s="1443"/>
      <c r="AV229" s="1443"/>
      <c r="AW229" s="1443"/>
      <c r="AX229" s="3742"/>
      <c r="AY229" s="5016"/>
      <c r="AZ229" s="5016"/>
      <c r="BA229" s="5016"/>
      <c r="BB229" s="5016"/>
      <c r="BC229" s="5016"/>
      <c r="BD229" s="5016"/>
      <c r="BE229" s="5016"/>
      <c r="BF229" s="5016"/>
      <c r="BG229" s="5016"/>
      <c r="BH229" s="5016"/>
    </row>
    <row r="230" spans="1:60" ht="13.5" customHeight="1">
      <c r="A230" s="5088"/>
      <c r="B230" s="3392"/>
      <c r="C230" s="3392"/>
      <c r="D230" s="1608" t="s">
        <v>2809</v>
      </c>
      <c r="E230" s="1443"/>
      <c r="F230" s="1443"/>
      <c r="G230" s="1443"/>
      <c r="H230" s="1443"/>
      <c r="I230" s="1443"/>
      <c r="J230" s="1443"/>
      <c r="K230" s="1443"/>
      <c r="L230" s="1443"/>
      <c r="M230" s="1443"/>
      <c r="N230" s="1443"/>
      <c r="O230" s="1443"/>
      <c r="P230" s="1443"/>
      <c r="Q230" s="1443"/>
      <c r="R230" s="1443"/>
      <c r="S230" s="1443"/>
      <c r="T230" s="1443"/>
      <c r="U230" s="1443"/>
      <c r="V230" s="1443"/>
      <c r="W230" s="1443"/>
      <c r="X230" s="1443"/>
      <c r="Y230" s="1943" t="s">
        <v>3200</v>
      </c>
      <c r="Z230" s="6691">
        <v>17</v>
      </c>
      <c r="AA230" s="6784"/>
      <c r="AB230" s="6785">
        <f>SUM(AB224,AB225)</f>
        <v>0</v>
      </c>
      <c r="AC230" s="6786"/>
      <c r="AD230" s="6786"/>
      <c r="AE230" s="6786"/>
      <c r="AF230" s="6786"/>
      <c r="AG230" s="6786"/>
      <c r="AH230" s="6786"/>
      <c r="AI230" s="6787"/>
      <c r="AJ230" s="6696"/>
      <c r="AK230" s="6697"/>
      <c r="AL230" s="6728"/>
      <c r="AM230" s="6729"/>
      <c r="AN230" s="6729"/>
      <c r="AO230" s="6729"/>
      <c r="AP230" s="3350"/>
      <c r="AQ230" s="6730" t="str">
        <f>IF(AND(AL221&gt;0,AB231),"Skip lines 18 through 22.","")</f>
        <v/>
      </c>
      <c r="AR230" s="6731"/>
      <c r="AS230" s="6731"/>
      <c r="AT230" s="6731"/>
      <c r="AU230" s="5768"/>
      <c r="AV230" s="5768"/>
      <c r="AW230" s="5768"/>
      <c r="AX230" s="3742"/>
      <c r="AY230" s="5016"/>
      <c r="AZ230" s="5016"/>
      <c r="BA230" s="5016"/>
      <c r="BB230" s="5016"/>
      <c r="BC230" s="5016"/>
      <c r="BD230" s="5016"/>
      <c r="BE230" s="5016"/>
      <c r="BF230" s="5016"/>
      <c r="BG230" s="5016"/>
      <c r="BH230" s="5016"/>
    </row>
    <row r="231" spans="1:60" ht="18.75" customHeight="1">
      <c r="A231" s="5088"/>
      <c r="B231" s="6690">
        <v>18</v>
      </c>
      <c r="C231" s="6690"/>
      <c r="D231" s="1607" t="s">
        <v>2821</v>
      </c>
      <c r="E231" s="1443"/>
      <c r="F231" s="3269"/>
      <c r="G231" s="1443"/>
      <c r="H231" s="1443"/>
      <c r="I231" s="1443"/>
      <c r="J231" s="1443"/>
      <c r="K231" s="1443"/>
      <c r="L231" s="1443"/>
      <c r="M231" s="1443"/>
      <c r="N231" s="1443"/>
      <c r="O231" s="1443"/>
      <c r="P231" s="1443"/>
      <c r="Q231" s="1443"/>
      <c r="R231" s="1443"/>
      <c r="S231" s="1443"/>
      <c r="T231" s="1443"/>
      <c r="U231" s="1443"/>
      <c r="V231" s="1443"/>
      <c r="W231" s="1443"/>
      <c r="X231" s="1443"/>
      <c r="Y231" s="1443"/>
      <c r="Z231" s="6764"/>
      <c r="AA231" s="6772"/>
      <c r="AB231" s="6732" t="b">
        <f>AB230&lt;=0</f>
        <v>1</v>
      </c>
      <c r="AC231" s="6425"/>
      <c r="AD231" s="6425"/>
      <c r="AE231" s="6425"/>
      <c r="AF231" s="6425"/>
      <c r="AG231" s="6425"/>
      <c r="AH231" s="6425"/>
      <c r="AI231" s="6733"/>
      <c r="AJ231" s="6696"/>
      <c r="AK231" s="6697"/>
      <c r="AL231" s="6734"/>
      <c r="AM231" s="6735"/>
      <c r="AN231" s="6735"/>
      <c r="AO231" s="6735"/>
      <c r="AP231" s="3350"/>
      <c r="AQ231" s="6736"/>
      <c r="AR231" s="6735"/>
      <c r="AS231" s="6735"/>
      <c r="AT231" s="6735"/>
      <c r="AU231" s="5601"/>
      <c r="AV231" s="5601"/>
      <c r="AW231" s="5601"/>
      <c r="AX231" s="3742"/>
      <c r="AY231" s="5016"/>
      <c r="AZ231" s="5016"/>
      <c r="BA231" s="5016"/>
      <c r="BB231" s="5016"/>
      <c r="BC231" s="5016"/>
      <c r="BD231" s="5016"/>
      <c r="BE231" s="5016"/>
      <c r="BF231" s="5016"/>
      <c r="BG231" s="5016"/>
      <c r="BH231" s="5016"/>
    </row>
    <row r="232" spans="1:60" ht="12.75" customHeight="1">
      <c r="A232" s="5088"/>
      <c r="B232" s="6690"/>
      <c r="C232" s="6690"/>
      <c r="D232" s="1607" t="s">
        <v>2822</v>
      </c>
      <c r="E232" s="1443"/>
      <c r="F232" s="3269"/>
      <c r="G232" s="1443"/>
      <c r="H232" s="1443"/>
      <c r="I232" s="1443"/>
      <c r="J232" s="1443"/>
      <c r="K232" s="1443"/>
      <c r="L232" s="1443"/>
      <c r="M232" s="1443"/>
      <c r="N232" s="1443"/>
      <c r="O232" s="1443"/>
      <c r="P232" s="1443"/>
      <c r="Q232" s="1443"/>
      <c r="R232" s="1443"/>
      <c r="S232" s="1443"/>
      <c r="T232" s="1443"/>
      <c r="U232" s="1443"/>
      <c r="V232" s="1443"/>
      <c r="W232" s="1443"/>
      <c r="X232" s="1443"/>
      <c r="Y232" s="1443"/>
      <c r="Z232" s="6764"/>
      <c r="AA232" s="6772"/>
      <c r="AB232" s="1965"/>
      <c r="AC232" s="1443"/>
      <c r="AD232" s="1443"/>
      <c r="AE232" s="1443"/>
      <c r="AF232" s="1443"/>
      <c r="AG232" s="1443"/>
      <c r="AH232" s="1443"/>
      <c r="AI232" s="1966"/>
      <c r="AJ232" s="6696"/>
      <c r="AK232" s="6697"/>
      <c r="AL232" s="1965"/>
      <c r="AM232" s="1443"/>
      <c r="AN232" s="1443"/>
      <c r="AO232" s="1443"/>
      <c r="AP232" s="3350"/>
      <c r="AQ232" s="3350"/>
      <c r="AR232" s="3350"/>
      <c r="AS232" s="3350"/>
      <c r="AT232" s="3350"/>
      <c r="AU232" s="3350"/>
      <c r="AV232" s="1443"/>
      <c r="AW232" s="1443"/>
      <c r="AX232" s="3742"/>
      <c r="AY232" s="5016"/>
      <c r="AZ232" s="5016"/>
      <c r="BA232" s="5016"/>
      <c r="BB232" s="5016"/>
      <c r="BC232" s="5016"/>
      <c r="BD232" s="5016"/>
      <c r="BE232" s="5016"/>
      <c r="BF232" s="5016"/>
      <c r="BG232" s="5016"/>
      <c r="BH232" s="5016"/>
    </row>
    <row r="233" spans="1:60" ht="12.75" customHeight="1">
      <c r="A233" s="5088"/>
      <c r="B233" s="3392"/>
      <c r="C233" s="3392"/>
      <c r="D233" s="1608" t="s">
        <v>2810</v>
      </c>
      <c r="E233" s="1443"/>
      <c r="F233" s="1443"/>
      <c r="G233" s="1443"/>
      <c r="H233" s="1443"/>
      <c r="I233" s="1443"/>
      <c r="J233" s="1443"/>
      <c r="K233" s="1443"/>
      <c r="L233" s="1443"/>
      <c r="M233" s="1443"/>
      <c r="N233" s="1443"/>
      <c r="O233" s="1443"/>
      <c r="P233" s="1443"/>
      <c r="Q233" s="1443"/>
      <c r="R233" s="1443"/>
      <c r="S233" s="1443"/>
      <c r="T233" s="1443"/>
      <c r="U233" s="1443"/>
      <c r="V233" s="1443"/>
      <c r="W233" s="1443"/>
      <c r="X233" s="1443"/>
      <c r="Y233" s="1943" t="s">
        <v>3529</v>
      </c>
      <c r="Z233" s="6691">
        <v>18</v>
      </c>
      <c r="AA233" s="6784"/>
      <c r="AB233" s="6785" t="str">
        <f>IF(AQ233&lt;&gt;"",ROUND(AQ233,0),IF(AB231,"",Taxable_Inc))</f>
        <v/>
      </c>
      <c r="AC233" s="6786"/>
      <c r="AD233" s="6786"/>
      <c r="AE233" s="6786"/>
      <c r="AF233" s="6786"/>
      <c r="AG233" s="6786"/>
      <c r="AH233" s="6786"/>
      <c r="AI233" s="6787"/>
      <c r="AJ233" s="6696"/>
      <c r="AK233" s="6697"/>
      <c r="AL233" s="1965"/>
      <c r="AM233" s="1443"/>
      <c r="AN233" s="1443"/>
      <c r="AO233" s="1443"/>
      <c r="AP233" s="3350"/>
      <c r="AQ233" s="6715"/>
      <c r="AR233" s="6716"/>
      <c r="AS233" s="6716"/>
      <c r="AT233" s="6716"/>
      <c r="AU233" s="3350"/>
      <c r="AV233" s="1443"/>
      <c r="AW233" s="1443"/>
      <c r="AX233" s="3742"/>
      <c r="AY233" s="5016"/>
      <c r="AZ233" s="5016"/>
      <c r="BA233" s="5016"/>
      <c r="BB233" s="5016"/>
      <c r="BC233" s="5016"/>
      <c r="BD233" s="5016"/>
      <c r="BE233" s="5016"/>
      <c r="BF233" s="5016"/>
      <c r="BG233" s="5016"/>
      <c r="BH233" s="5016"/>
    </row>
    <row r="234" spans="1:60" ht="12.75" customHeight="1">
      <c r="A234" s="5088"/>
      <c r="B234" s="3392"/>
      <c r="C234" s="3392"/>
      <c r="D234" s="2378" t="s">
        <v>2823</v>
      </c>
      <c r="E234" s="1804"/>
      <c r="F234" s="2292"/>
      <c r="G234" s="1443"/>
      <c r="H234" s="1443"/>
      <c r="I234" s="1443"/>
      <c r="J234" s="1443"/>
      <c r="K234" s="1443"/>
      <c r="L234" s="1443"/>
      <c r="M234" s="1443"/>
      <c r="N234" s="1443"/>
      <c r="O234" s="1443"/>
      <c r="P234" s="3366"/>
      <c r="Q234" s="1804"/>
      <c r="R234" s="2292"/>
      <c r="S234" s="1607"/>
      <c r="T234" s="1443"/>
      <c r="U234" s="1443"/>
      <c r="V234" s="1443"/>
      <c r="W234" s="1443"/>
      <c r="X234" s="1443"/>
      <c r="Y234" s="1443"/>
      <c r="Z234" s="1443"/>
      <c r="AA234" s="1443"/>
      <c r="AB234" s="1443"/>
      <c r="AC234" s="1443"/>
      <c r="AD234" s="3366"/>
      <c r="AE234" s="1804"/>
      <c r="AF234" s="2292"/>
      <c r="AG234" s="1443"/>
      <c r="AH234" s="1443"/>
      <c r="AI234" s="1443"/>
      <c r="AJ234" s="1964"/>
      <c r="AK234" s="1958"/>
      <c r="AL234" s="1443"/>
      <c r="AM234" s="1443"/>
      <c r="AN234" s="1443"/>
      <c r="AO234" s="1443"/>
      <c r="AP234" s="3350"/>
      <c r="AQ234" s="3350"/>
      <c r="AR234" s="3350"/>
      <c r="AS234" s="3350"/>
      <c r="AT234" s="3350"/>
      <c r="AU234" s="3350"/>
      <c r="AV234" s="1443"/>
      <c r="AW234" s="1443"/>
      <c r="AX234" s="3742"/>
      <c r="AY234" s="5016"/>
      <c r="AZ234" s="5016"/>
      <c r="BA234" s="5016"/>
      <c r="BB234" s="5016"/>
      <c r="BC234" s="5016"/>
      <c r="BD234" s="5016"/>
      <c r="BE234" s="5016"/>
      <c r="BF234" s="5016"/>
      <c r="BG234" s="5016"/>
      <c r="BH234" s="5016"/>
    </row>
    <row r="235" spans="1:60" ht="12.75" customHeight="1">
      <c r="A235" s="5088"/>
      <c r="B235" s="1443"/>
      <c r="C235" s="1450"/>
      <c r="D235" s="1608" t="s">
        <v>565</v>
      </c>
      <c r="E235" s="1443"/>
      <c r="F235" s="1443"/>
      <c r="G235" s="1443"/>
      <c r="H235" s="1443"/>
      <c r="I235" s="1443"/>
      <c r="J235" s="1443"/>
      <c r="K235" s="1443"/>
      <c r="L235" s="1443"/>
      <c r="M235" s="1443"/>
      <c r="N235" s="1443"/>
      <c r="O235" s="1443"/>
      <c r="P235" s="1443"/>
      <c r="Q235" s="1443"/>
      <c r="R235" s="1443"/>
      <c r="S235" s="1443"/>
      <c r="T235" s="1617"/>
      <c r="U235" s="1443"/>
      <c r="V235" s="1443"/>
      <c r="W235" s="1443"/>
      <c r="X235" s="1443"/>
      <c r="Y235" s="1443"/>
      <c r="Z235" s="1443"/>
      <c r="AA235" s="1443"/>
      <c r="AB235" s="1443"/>
      <c r="AC235" s="1443"/>
      <c r="AD235" s="1443"/>
      <c r="AE235" s="1443"/>
      <c r="AF235" s="1443"/>
      <c r="AG235" s="1443"/>
      <c r="AH235" s="1443"/>
      <c r="AI235" s="1443"/>
      <c r="AJ235" s="1965"/>
      <c r="AK235" s="1966"/>
      <c r="AL235" s="1443"/>
      <c r="AM235" s="1443"/>
      <c r="AN235" s="1443"/>
      <c r="AO235" s="1443"/>
      <c r="AP235" s="3350"/>
      <c r="AQ235" s="3350"/>
      <c r="AR235" s="3350"/>
      <c r="AS235" s="3350"/>
      <c r="AT235" s="3350"/>
      <c r="AU235" s="3350"/>
      <c r="AV235" s="1443"/>
      <c r="AW235" s="1443"/>
      <c r="AX235" s="3742"/>
      <c r="AY235" s="5016"/>
      <c r="AZ235" s="5016"/>
      <c r="BA235" s="5016"/>
      <c r="BB235" s="5016"/>
      <c r="BC235" s="5016"/>
      <c r="BD235" s="5016"/>
      <c r="BE235" s="5016"/>
      <c r="BF235" s="5016"/>
      <c r="BG235" s="5016"/>
      <c r="BH235" s="5016"/>
    </row>
    <row r="236" spans="1:60" ht="16.5" customHeight="1">
      <c r="A236" s="5088"/>
      <c r="B236" s="6690">
        <v>19</v>
      </c>
      <c r="C236" s="6690"/>
      <c r="D236" s="1607" t="s">
        <v>2811</v>
      </c>
      <c r="E236" s="1443"/>
      <c r="F236" s="3269"/>
      <c r="G236" s="1443"/>
      <c r="H236" s="1443"/>
      <c r="I236" s="1443"/>
      <c r="J236" s="1443"/>
      <c r="K236" s="1443"/>
      <c r="L236" s="1443"/>
      <c r="M236" s="1443"/>
      <c r="N236" s="1443"/>
      <c r="O236" s="1443"/>
      <c r="P236" s="1443"/>
      <c r="Q236" s="1443"/>
      <c r="R236" s="1443"/>
      <c r="S236" s="1443"/>
      <c r="T236" s="1443"/>
      <c r="U236" s="1443"/>
      <c r="V236" s="1443"/>
      <c r="W236" s="1443"/>
      <c r="X236" s="1443"/>
      <c r="Y236" s="1443"/>
      <c r="Z236" s="1443"/>
      <c r="AA236" s="1443"/>
      <c r="AB236" s="1443"/>
      <c r="AC236" s="1443"/>
      <c r="AD236" s="1443"/>
      <c r="AE236" s="1443"/>
      <c r="AF236" s="1443"/>
      <c r="AG236" s="1443"/>
      <c r="AH236" s="1443"/>
      <c r="AI236" s="1943" t="s">
        <v>1312</v>
      </c>
      <c r="AJ236" s="6691">
        <v>19</v>
      </c>
      <c r="AK236" s="6692"/>
      <c r="AL236" s="6740" t="str">
        <f>IF(AQ236&lt;&gt;"",ROUND(AQ236,4),IF(AB231,"",IF(OR(AB233="",AB233=0),"                    ---",IF(AB230&gt;AB233,1,ROUND(AB230/AB233,4)))))</f>
        <v/>
      </c>
      <c r="AM236" s="6741"/>
      <c r="AN236" s="6741"/>
      <c r="AO236" s="6741"/>
      <c r="AP236" s="3350"/>
      <c r="AQ236" s="6713"/>
      <c r="AR236" s="6714"/>
      <c r="AS236" s="6714"/>
      <c r="AT236" s="6714"/>
      <c r="AU236" s="3350"/>
      <c r="AV236" s="1443"/>
      <c r="AW236" s="1443"/>
      <c r="AX236" s="3742"/>
      <c r="AY236" s="5016"/>
      <c r="AZ236" s="5016"/>
      <c r="BA236" s="5016"/>
      <c r="BB236" s="5016"/>
      <c r="BC236" s="5016"/>
      <c r="BD236" s="5016"/>
      <c r="BE236" s="5016"/>
      <c r="BF236" s="5016"/>
      <c r="BG236" s="5016"/>
      <c r="BH236" s="5016"/>
    </row>
    <row r="237" spans="1:60" ht="18" customHeight="1">
      <c r="A237" s="5088"/>
      <c r="B237" s="6690">
        <v>20</v>
      </c>
      <c r="C237" s="6690"/>
      <c r="D237" s="1607" t="s">
        <v>3517</v>
      </c>
      <c r="E237" s="1443"/>
      <c r="F237" s="3269"/>
      <c r="G237" s="1443"/>
      <c r="H237" s="1443"/>
      <c r="I237" s="1443"/>
      <c r="J237" s="1443"/>
      <c r="K237" s="1443"/>
      <c r="L237" s="1443"/>
      <c r="M237" s="1443"/>
      <c r="N237" s="1443"/>
      <c r="O237" s="1443"/>
      <c r="P237" s="1443"/>
      <c r="Q237" s="1443"/>
      <c r="R237" s="1443"/>
      <c r="S237" s="1443"/>
      <c r="T237" s="1443"/>
      <c r="U237" s="1443"/>
      <c r="V237" s="1443"/>
      <c r="W237" s="1443"/>
      <c r="X237" s="1443"/>
      <c r="Y237" s="1443"/>
      <c r="Z237" s="1443"/>
      <c r="AA237" s="1443"/>
      <c r="AB237" s="1443"/>
      <c r="AC237" s="1443"/>
      <c r="AD237" s="1443"/>
      <c r="AE237" s="1443"/>
      <c r="AF237" s="1443"/>
      <c r="AG237" s="1443"/>
      <c r="AH237" s="1443"/>
      <c r="AI237" s="1443"/>
      <c r="AJ237" s="6742"/>
      <c r="AK237" s="6743"/>
      <c r="AL237" s="1965"/>
      <c r="AM237" s="1443"/>
      <c r="AN237" s="1443"/>
      <c r="AO237" s="1443"/>
      <c r="AP237" s="3350"/>
      <c r="AQ237" s="3350"/>
      <c r="AR237" s="3350"/>
      <c r="AS237" s="3350"/>
      <c r="AT237" s="3350"/>
      <c r="AU237" s="3350"/>
      <c r="AV237" s="1443"/>
      <c r="AW237" s="1443"/>
      <c r="AX237" s="3742"/>
      <c r="AY237" s="5016"/>
      <c r="AZ237" s="5016"/>
      <c r="BA237" s="5016"/>
      <c r="BB237" s="5016"/>
      <c r="BC237" s="5016"/>
      <c r="BD237" s="5016"/>
      <c r="BE237" s="5016"/>
      <c r="BF237" s="5016"/>
      <c r="BG237" s="5016"/>
      <c r="BH237" s="5016"/>
    </row>
    <row r="238" spans="1:60" ht="13.5" customHeight="1">
      <c r="A238" s="5088"/>
      <c r="B238" s="6690"/>
      <c r="C238" s="6690"/>
      <c r="D238" s="1607" t="s">
        <v>3518</v>
      </c>
      <c r="E238" s="1443"/>
      <c r="F238" s="3269"/>
      <c r="G238" s="1443"/>
      <c r="H238" s="1443"/>
      <c r="I238" s="1443"/>
      <c r="J238" s="1443"/>
      <c r="K238" s="1443"/>
      <c r="L238" s="1443"/>
      <c r="M238" s="1443"/>
      <c r="N238" s="1443"/>
      <c r="O238" s="1443"/>
      <c r="P238" s="1443"/>
      <c r="Q238" s="1443"/>
      <c r="R238" s="1443"/>
      <c r="S238" s="1443"/>
      <c r="T238" s="1443"/>
      <c r="U238" s="1443"/>
      <c r="V238" s="1443"/>
      <c r="W238" s="1443"/>
      <c r="X238" s="1443"/>
      <c r="Y238" s="1443"/>
      <c r="Z238" s="1443"/>
      <c r="AA238" s="1443"/>
      <c r="AB238" s="1443"/>
      <c r="AC238" s="1443"/>
      <c r="AD238" s="1443"/>
      <c r="AE238" s="1443"/>
      <c r="AF238" s="1443"/>
      <c r="AG238" s="1443"/>
      <c r="AH238" s="1443"/>
      <c r="AI238" s="1443"/>
      <c r="AJ238" s="6742"/>
      <c r="AK238" s="6743"/>
      <c r="AL238" s="1965"/>
      <c r="AM238" s="1443"/>
      <c r="AN238" s="1443"/>
      <c r="AO238" s="1443"/>
      <c r="AP238" s="3350"/>
      <c r="AQ238" s="1443"/>
      <c r="AR238" s="1443"/>
      <c r="AS238" s="1443"/>
      <c r="AT238" s="1443"/>
      <c r="AU238" s="1443"/>
      <c r="AV238" s="1443"/>
      <c r="AW238" s="1443"/>
      <c r="AX238" s="3742"/>
      <c r="AY238" s="5016"/>
      <c r="AZ238" s="5016"/>
      <c r="BA238" s="5016"/>
      <c r="BB238" s="5016"/>
      <c r="BC238" s="5016"/>
      <c r="BD238" s="5016"/>
      <c r="BE238" s="5016"/>
      <c r="BF238" s="5016"/>
      <c r="BG238" s="5016"/>
      <c r="BH238" s="5016"/>
    </row>
    <row r="239" spans="1:60" ht="13.5" customHeight="1">
      <c r="A239" s="5088"/>
      <c r="B239" s="6690"/>
      <c r="C239" s="6690"/>
      <c r="D239" s="1443" t="s">
        <v>3519</v>
      </c>
      <c r="E239" s="1443"/>
      <c r="F239" s="3269"/>
      <c r="G239" s="1443"/>
      <c r="H239" s="1443"/>
      <c r="I239" s="1443"/>
      <c r="J239" s="1443"/>
      <c r="K239" s="1443"/>
      <c r="L239" s="1443"/>
      <c r="M239" s="1443"/>
      <c r="N239" s="1443"/>
      <c r="O239" s="1443"/>
      <c r="P239" s="1443"/>
      <c r="Q239" s="1443"/>
      <c r="R239" s="1443"/>
      <c r="S239" s="1443"/>
      <c r="T239" s="1443"/>
      <c r="U239" s="1443"/>
      <c r="V239" s="1443"/>
      <c r="W239" s="1443"/>
      <c r="X239" s="1443"/>
      <c r="Y239" s="1443"/>
      <c r="Z239" s="1443"/>
      <c r="AA239" s="1443"/>
      <c r="AB239" s="1443"/>
      <c r="AC239" s="1443"/>
      <c r="AD239" s="1443"/>
      <c r="AE239" s="1443"/>
      <c r="AF239" s="1443"/>
      <c r="AG239" s="1443"/>
      <c r="AH239" s="1443"/>
      <c r="AI239" s="1443"/>
      <c r="AJ239" s="6742"/>
      <c r="AK239" s="6743"/>
      <c r="AL239" s="1965"/>
      <c r="AM239" s="1443"/>
      <c r="AN239" s="1443"/>
      <c r="AO239" s="1443"/>
      <c r="AP239" s="3350"/>
      <c r="AQ239" s="3350"/>
      <c r="AR239" s="3350"/>
      <c r="AS239" s="3350"/>
      <c r="AT239" s="3350"/>
      <c r="AU239" s="3350"/>
      <c r="AV239" s="1443"/>
      <c r="AW239" s="1443"/>
      <c r="AX239" s="3742"/>
      <c r="AY239" s="5016"/>
      <c r="AZ239" s="5016"/>
      <c r="BA239" s="5016"/>
      <c r="BB239" s="5016"/>
      <c r="BC239" s="5016"/>
      <c r="BD239" s="5016"/>
      <c r="BE239" s="5016"/>
      <c r="BF239" s="5016"/>
      <c r="BG239" s="5016"/>
      <c r="BH239" s="5016"/>
    </row>
    <row r="240" spans="1:60" ht="13.5" customHeight="1">
      <c r="A240" s="5088"/>
      <c r="B240" s="3392"/>
      <c r="C240" s="3392"/>
      <c r="D240" s="1608" t="s">
        <v>3520</v>
      </c>
      <c r="E240" s="1443"/>
      <c r="F240" s="1443"/>
      <c r="G240" s="1443"/>
      <c r="H240" s="1443"/>
      <c r="I240" s="1443"/>
      <c r="J240" s="1443"/>
      <c r="K240" s="1443"/>
      <c r="L240" s="1443"/>
      <c r="M240" s="1443"/>
      <c r="N240" s="1443"/>
      <c r="O240" s="1443"/>
      <c r="P240" s="1443"/>
      <c r="Q240" s="1443"/>
      <c r="R240" s="1443"/>
      <c r="S240" s="1443"/>
      <c r="T240" s="1443"/>
      <c r="U240" s="1443"/>
      <c r="V240" s="1443"/>
      <c r="W240" s="1443"/>
      <c r="X240" s="1443"/>
      <c r="Y240" s="1443"/>
      <c r="Z240" s="1443"/>
      <c r="AA240" s="1443"/>
      <c r="AB240" s="1443"/>
      <c r="AC240" s="1443"/>
      <c r="AD240" s="1443"/>
      <c r="AE240" s="1443"/>
      <c r="AF240" s="1443"/>
      <c r="AG240" s="1443"/>
      <c r="AH240" s="1443"/>
      <c r="AI240" s="1943" t="s">
        <v>3530</v>
      </c>
      <c r="AJ240" s="6691">
        <v>20</v>
      </c>
      <c r="AK240" s="6692"/>
      <c r="AL240" s="6739" t="str">
        <f>IF(AQ240&lt;&gt;"",ROUND(AQ240,0),IF(AB231,"",IF(AO146&lt;&gt;1,"",SUM(Tax1040_Line11a,PTC_ExcessAdv))))</f>
        <v/>
      </c>
      <c r="AM240" s="5861"/>
      <c r="AN240" s="5861"/>
      <c r="AO240" s="5861"/>
      <c r="AP240" s="3350"/>
      <c r="AQ240" s="6715"/>
      <c r="AR240" s="6716"/>
      <c r="AS240" s="6716"/>
      <c r="AT240" s="6716"/>
      <c r="AU240" s="3350"/>
      <c r="AV240" s="1443"/>
      <c r="AW240" s="1443"/>
      <c r="AX240" s="3742"/>
      <c r="AY240" s="5016"/>
      <c r="AZ240" s="5016"/>
      <c r="BA240" s="5016"/>
      <c r="BB240" s="5016"/>
      <c r="BC240" s="5016"/>
      <c r="BD240" s="5016"/>
      <c r="BE240" s="5016"/>
      <c r="BF240" s="5016"/>
      <c r="BG240" s="5016"/>
      <c r="BH240" s="5016"/>
    </row>
    <row r="241" spans="1:60" ht="13.5" customHeight="1">
      <c r="A241" s="5088"/>
      <c r="B241" s="6690"/>
      <c r="C241" s="6690"/>
      <c r="D241" s="1607" t="s">
        <v>3521</v>
      </c>
      <c r="E241" s="1443"/>
      <c r="F241" s="3269"/>
      <c r="G241" s="1443"/>
      <c r="H241" s="1443"/>
      <c r="I241" s="1443"/>
      <c r="J241" s="1443"/>
      <c r="K241" s="1443"/>
      <c r="L241" s="1443"/>
      <c r="M241" s="1443"/>
      <c r="N241" s="1443"/>
      <c r="O241" s="1443"/>
      <c r="P241" s="1443"/>
      <c r="Q241" s="1443"/>
      <c r="R241" s="1443"/>
      <c r="S241" s="1443"/>
      <c r="T241" s="1443"/>
      <c r="U241" s="1443"/>
      <c r="V241" s="1443"/>
      <c r="W241" s="1443"/>
      <c r="X241" s="1443"/>
      <c r="Y241" s="1443"/>
      <c r="Z241" s="1443"/>
      <c r="AA241" s="1443"/>
      <c r="AB241" s="1443"/>
      <c r="AC241" s="1443"/>
      <c r="AD241" s="1443"/>
      <c r="AE241" s="1443"/>
      <c r="AF241" s="1443"/>
      <c r="AG241" s="1443"/>
      <c r="AH241" s="1443"/>
      <c r="AI241" s="1443"/>
      <c r="AJ241" s="1965"/>
      <c r="AK241" s="1966"/>
      <c r="AL241" s="1443"/>
      <c r="AM241" s="1443"/>
      <c r="AN241" s="1443"/>
      <c r="AO241" s="1443"/>
      <c r="AP241" s="3350"/>
      <c r="AQ241" s="3350"/>
      <c r="AR241" s="3350"/>
      <c r="AS241" s="3350"/>
      <c r="AT241" s="3350"/>
      <c r="AU241" s="3350"/>
      <c r="AV241" s="1443"/>
      <c r="AW241" s="1443"/>
      <c r="AX241" s="3742"/>
      <c r="AY241" s="5016"/>
      <c r="AZ241" s="5016"/>
      <c r="BA241" s="5016"/>
      <c r="BB241" s="5016"/>
      <c r="BC241" s="5016"/>
      <c r="BD241" s="5016"/>
      <c r="BE241" s="5016"/>
      <c r="BF241" s="5016"/>
      <c r="BG241" s="5016"/>
      <c r="BH241" s="5016"/>
    </row>
    <row r="242" spans="1:60" ht="13.5" customHeight="1">
      <c r="A242" s="5088"/>
      <c r="B242" s="1443"/>
      <c r="C242" s="1450"/>
      <c r="D242" s="1608" t="s">
        <v>565</v>
      </c>
      <c r="E242" s="1443"/>
      <c r="F242" s="1443"/>
      <c r="G242" s="1443"/>
      <c r="H242" s="1443"/>
      <c r="I242" s="1443"/>
      <c r="J242" s="1443"/>
      <c r="K242" s="1443"/>
      <c r="L242" s="1443"/>
      <c r="M242" s="1443"/>
      <c r="N242" s="1443"/>
      <c r="O242" s="1443"/>
      <c r="P242" s="1443"/>
      <c r="Q242" s="1443"/>
      <c r="R242" s="1443"/>
      <c r="S242" s="1443"/>
      <c r="T242" s="1617"/>
      <c r="U242" s="1443"/>
      <c r="V242" s="1443"/>
      <c r="W242" s="1443"/>
      <c r="X242" s="1443"/>
      <c r="Y242" s="1443"/>
      <c r="Z242" s="1443"/>
      <c r="AA242" s="1443"/>
      <c r="AB242" s="1443"/>
      <c r="AC242" s="1443"/>
      <c r="AD242" s="1443"/>
      <c r="AE242" s="1443"/>
      <c r="AF242" s="1443"/>
      <c r="AG242" s="1443"/>
      <c r="AH242" s="1443"/>
      <c r="AI242" s="1443"/>
      <c r="AJ242" s="1965"/>
      <c r="AK242" s="1966"/>
      <c r="AL242" s="1443"/>
      <c r="AM242" s="1443"/>
      <c r="AN242" s="1443"/>
      <c r="AO242" s="1443"/>
      <c r="AP242" s="3350"/>
      <c r="AQ242" s="1443"/>
      <c r="AR242" s="1443"/>
      <c r="AS242" s="1443"/>
      <c r="AT242" s="1443"/>
      <c r="AU242" s="1443"/>
      <c r="AV242" s="1443"/>
      <c r="AW242" s="1443"/>
      <c r="AX242" s="3742"/>
      <c r="AY242" s="5016"/>
      <c r="AZ242" s="5016"/>
      <c r="BA242" s="5016"/>
      <c r="BB242" s="5016"/>
      <c r="BC242" s="5016"/>
      <c r="BD242" s="5016"/>
      <c r="BE242" s="5016"/>
      <c r="BF242" s="5016"/>
      <c r="BG242" s="5016"/>
      <c r="BH242" s="5016"/>
    </row>
    <row r="243" spans="1:60" ht="13.5" customHeight="1">
      <c r="A243" s="5088"/>
      <c r="B243" s="6690">
        <v>21</v>
      </c>
      <c r="C243" s="6690"/>
      <c r="D243" s="1443" t="s">
        <v>2812</v>
      </c>
      <c r="E243" s="1443"/>
      <c r="F243" s="1443"/>
      <c r="G243" s="1443"/>
      <c r="H243" s="1443"/>
      <c r="I243" s="1443"/>
      <c r="J243" s="1443"/>
      <c r="K243" s="1443"/>
      <c r="L243" s="1443"/>
      <c r="M243" s="1443"/>
      <c r="N243" s="1443"/>
      <c r="O243" s="1443"/>
      <c r="P243" s="1443"/>
      <c r="Q243" s="1443"/>
      <c r="R243" s="1443"/>
      <c r="S243" s="1443"/>
      <c r="T243" s="1617"/>
      <c r="U243" s="1443"/>
      <c r="V243" s="1443"/>
      <c r="W243" s="1443"/>
      <c r="X243" s="1443"/>
      <c r="Y243" s="1443"/>
      <c r="Z243" s="1443"/>
      <c r="AA243" s="1443"/>
      <c r="AB243" s="1443"/>
      <c r="AC243" s="1443"/>
      <c r="AD243" s="1443"/>
      <c r="AE243" s="1443"/>
      <c r="AF243" s="1443"/>
      <c r="AG243" s="1443"/>
      <c r="AH243" s="1443"/>
      <c r="AI243" s="1443"/>
      <c r="AJ243" s="6691">
        <v>21</v>
      </c>
      <c r="AK243" s="6692"/>
      <c r="AL243" s="6739" t="str">
        <f>IF(AB231,"",IF(ISERROR(AL236*AL240),"                    ---",ROUND(AL236*AL240,0)))</f>
        <v/>
      </c>
      <c r="AM243" s="5861"/>
      <c r="AN243" s="5861"/>
      <c r="AO243" s="5861"/>
      <c r="AP243" s="3350"/>
      <c r="AQ243" s="1443"/>
      <c r="AR243" s="1443"/>
      <c r="AS243" s="1443"/>
      <c r="AT243" s="1443"/>
      <c r="AU243" s="1443"/>
      <c r="AV243" s="1443"/>
      <c r="AW243" s="1443"/>
      <c r="AX243" s="3742"/>
      <c r="AY243" s="5016"/>
      <c r="AZ243" s="5016"/>
      <c r="BA243" s="5016"/>
      <c r="BB243" s="5016"/>
      <c r="BC243" s="5016"/>
      <c r="BD243" s="5016"/>
      <c r="BE243" s="5016"/>
      <c r="BF243" s="5016"/>
      <c r="BG243" s="5016"/>
      <c r="BH243" s="5016"/>
    </row>
    <row r="244" spans="1:60" ht="13.5" customHeight="1">
      <c r="A244" s="5088"/>
      <c r="B244" s="6690">
        <v>22</v>
      </c>
      <c r="C244" s="6690"/>
      <c r="D244" s="1607" t="s">
        <v>2824</v>
      </c>
      <c r="E244" s="1443"/>
      <c r="F244" s="3269"/>
      <c r="G244" s="1443"/>
      <c r="H244" s="1443"/>
      <c r="I244" s="1443"/>
      <c r="J244" s="1443"/>
      <c r="K244" s="1443"/>
      <c r="L244" s="1443"/>
      <c r="M244" s="1443"/>
      <c r="N244" s="1443"/>
      <c r="O244" s="1443"/>
      <c r="P244" s="1443"/>
      <c r="Q244" s="1443"/>
      <c r="R244" s="1443"/>
      <c r="S244" s="1443"/>
      <c r="T244" s="1443"/>
      <c r="U244" s="1443"/>
      <c r="V244" s="1443"/>
      <c r="W244" s="1443"/>
      <c r="X244" s="1443"/>
      <c r="Y244" s="1443"/>
      <c r="Z244" s="1443"/>
      <c r="AA244" s="1443"/>
      <c r="AB244" s="1443"/>
      <c r="AC244" s="1443"/>
      <c r="AD244" s="1443"/>
      <c r="AE244" s="1443"/>
      <c r="AF244" s="1443"/>
      <c r="AG244" s="1443"/>
      <c r="AH244" s="1443"/>
      <c r="AI244" s="1443"/>
      <c r="AJ244" s="1965"/>
      <c r="AK244" s="1966"/>
      <c r="AL244" s="1443"/>
      <c r="AM244" s="1443"/>
      <c r="AN244" s="1443"/>
      <c r="AO244" s="1443"/>
      <c r="AP244" s="3350"/>
      <c r="AQ244" s="1443"/>
      <c r="AR244" s="1443"/>
      <c r="AS244" s="1443"/>
      <c r="AT244" s="1443"/>
      <c r="AU244" s="1443"/>
      <c r="AV244" s="1443"/>
      <c r="AW244" s="1443"/>
      <c r="AX244" s="3742"/>
      <c r="AY244" s="5016"/>
      <c r="AZ244" s="5016"/>
      <c r="BA244" s="5016"/>
      <c r="BB244" s="5016"/>
      <c r="BC244" s="5016"/>
      <c r="BD244" s="5016"/>
      <c r="BE244" s="5016"/>
      <c r="BF244" s="5016"/>
      <c r="BG244" s="5016"/>
      <c r="BH244" s="5016"/>
    </row>
    <row r="245" spans="1:60" ht="13.5" customHeight="1">
      <c r="A245" s="5088"/>
      <c r="B245" s="1443"/>
      <c r="C245" s="1450"/>
      <c r="D245" s="2378" t="s">
        <v>3534</v>
      </c>
      <c r="E245" s="1443"/>
      <c r="F245" s="1443"/>
      <c r="G245" s="1443"/>
      <c r="H245" s="1443"/>
      <c r="I245" s="1443"/>
      <c r="J245" s="1443"/>
      <c r="K245" s="1443"/>
      <c r="L245" s="1443"/>
      <c r="M245" s="1443"/>
      <c r="N245" s="1443"/>
      <c r="O245" s="1443"/>
      <c r="P245" s="1443"/>
      <c r="Q245" s="1443"/>
      <c r="R245" s="1443"/>
      <c r="S245" s="1443"/>
      <c r="T245" s="1617"/>
      <c r="U245" s="1443"/>
      <c r="V245" s="1443"/>
      <c r="W245" s="1443"/>
      <c r="X245" s="1443"/>
      <c r="Y245" s="1443"/>
      <c r="Z245" s="1443"/>
      <c r="AA245" s="1443"/>
      <c r="AB245" s="1443"/>
      <c r="AC245" s="1443"/>
      <c r="AD245" s="1443"/>
      <c r="AE245" s="1443"/>
      <c r="AF245" s="1443"/>
      <c r="AG245" s="1443"/>
      <c r="AH245" s="1443"/>
      <c r="AI245" s="1443"/>
      <c r="AJ245" s="1965"/>
      <c r="AK245" s="1966"/>
      <c r="AL245" s="6776">
        <f>SUM($AO$20,$AO$146,$AO$272)</f>
        <v>0</v>
      </c>
      <c r="AM245" s="6777"/>
      <c r="AN245" s="6777"/>
      <c r="AO245" s="6777"/>
      <c r="AP245" s="3350"/>
      <c r="AQ245" s="3350"/>
      <c r="AR245" s="3350"/>
      <c r="AS245" s="3350"/>
      <c r="AT245" s="3350"/>
      <c r="AU245" s="3350"/>
      <c r="AV245" s="1443"/>
      <c r="AW245" s="1443"/>
      <c r="AX245" s="3742"/>
      <c r="AY245" s="5016"/>
      <c r="AZ245" s="5016"/>
      <c r="BA245" s="5016"/>
      <c r="BB245" s="5016"/>
      <c r="BC245" s="5016"/>
      <c r="BD245" s="5016"/>
      <c r="BE245" s="5016"/>
      <c r="BF245" s="5016"/>
      <c r="BG245" s="5016"/>
      <c r="BH245" s="5016"/>
    </row>
    <row r="246" spans="1:60" ht="13.5" customHeight="1" thickBot="1">
      <c r="A246" s="5088"/>
      <c r="B246" s="6690"/>
      <c r="C246" s="6690"/>
      <c r="D246" s="1443" t="s">
        <v>1121</v>
      </c>
      <c r="E246" s="1443"/>
      <c r="F246" s="1443"/>
      <c r="G246" s="1443"/>
      <c r="H246" s="1443"/>
      <c r="I246" s="1443"/>
      <c r="J246" s="1443"/>
      <c r="K246" s="1443"/>
      <c r="L246" s="1443"/>
      <c r="M246" s="1443"/>
      <c r="N246" s="1443"/>
      <c r="O246" s="1443"/>
      <c r="P246" s="1443"/>
      <c r="Q246" s="1443"/>
      <c r="R246" s="1443"/>
      <c r="S246" s="1443"/>
      <c r="T246" s="1617"/>
      <c r="U246" s="1443"/>
      <c r="V246" s="1443"/>
      <c r="W246" s="1443"/>
      <c r="X246" s="1443"/>
      <c r="Y246" s="1443"/>
      <c r="Z246" s="1443"/>
      <c r="AA246" s="1443"/>
      <c r="AB246" s="1443"/>
      <c r="AC246" s="1443"/>
      <c r="AD246" s="1443"/>
      <c r="AE246" s="1443"/>
      <c r="AF246" s="1443"/>
      <c r="AG246" s="1443"/>
      <c r="AH246" s="1443"/>
      <c r="AI246" s="1943" t="s">
        <v>670</v>
      </c>
      <c r="AJ246" s="6691">
        <v>22</v>
      </c>
      <c r="AK246" s="6692"/>
      <c r="AL246" s="6739" t="str">
        <f>IF(AQ246&lt;&gt;"",ROUND(AQ246,0),IF(AB231,"",IF(ISERROR(AL221*AL243),"                    ---",MIN(AL221,AL243))))</f>
        <v/>
      </c>
      <c r="AM246" s="5861"/>
      <c r="AN246" s="5861"/>
      <c r="AO246" s="5861"/>
      <c r="AP246" s="3350"/>
      <c r="AQ246" s="6715"/>
      <c r="AR246" s="6716"/>
      <c r="AS246" s="6716"/>
      <c r="AT246" s="6716"/>
      <c r="AU246" s="3350"/>
      <c r="AV246" s="1443"/>
      <c r="AW246" s="1443"/>
      <c r="AX246" s="3742"/>
      <c r="AY246" s="5016"/>
      <c r="AZ246" s="5016"/>
      <c r="BA246" s="5016"/>
      <c r="BB246" s="5016"/>
      <c r="BC246" s="5016"/>
      <c r="BD246" s="5016"/>
      <c r="BE246" s="5016"/>
      <c r="BF246" s="5016"/>
      <c r="BG246" s="5016"/>
      <c r="BH246" s="5016"/>
    </row>
    <row r="247" spans="1:60" s="3272" customFormat="1" ht="16.5" customHeight="1">
      <c r="A247" s="5090"/>
      <c r="B247" s="6737" t="s">
        <v>546</v>
      </c>
      <c r="C247" s="6737"/>
      <c r="D247" s="6738"/>
      <c r="E247" s="3273"/>
      <c r="F247" s="3411" t="s">
        <v>2831</v>
      </c>
      <c r="G247" s="3273"/>
      <c r="H247" s="3273"/>
      <c r="I247" s="3273"/>
      <c r="J247" s="3273"/>
      <c r="K247" s="3273"/>
      <c r="L247" s="3273"/>
      <c r="M247" s="3273"/>
      <c r="N247" s="3273"/>
      <c r="O247" s="3273"/>
      <c r="P247" s="3273"/>
      <c r="Q247" s="3273"/>
      <c r="R247" s="3273"/>
      <c r="S247" s="3273"/>
      <c r="T247" s="3273"/>
      <c r="U247" s="3273"/>
      <c r="V247" s="3273"/>
      <c r="W247" s="3273"/>
      <c r="X247" s="3273"/>
      <c r="Y247" s="3273"/>
      <c r="Z247" s="3273"/>
      <c r="AA247" s="3273"/>
      <c r="AB247" s="3273"/>
      <c r="AC247" s="3273"/>
      <c r="AD247" s="3273"/>
      <c r="AE247" s="3273"/>
      <c r="AF247" s="3273"/>
      <c r="AG247" s="3273"/>
      <c r="AH247" s="3273"/>
      <c r="AI247" s="3273"/>
      <c r="AJ247" s="3273"/>
      <c r="AK247" s="3273"/>
      <c r="AL247" s="6778" t="b">
        <f>IF(AND(AL245&gt;1,AL246=MAX($AL$120,$AL$246,$AL$372)),TRUE,FALSE)</f>
        <v>0</v>
      </c>
      <c r="AM247" s="6779"/>
      <c r="AN247" s="6779"/>
      <c r="AO247" s="6779"/>
      <c r="AP247" s="3350"/>
      <c r="AQ247" s="3350"/>
      <c r="AR247" s="3350"/>
      <c r="AS247" s="3350"/>
      <c r="AT247" s="3350"/>
      <c r="AU247" s="3350"/>
      <c r="AV247" s="1922"/>
      <c r="AW247" s="1922"/>
      <c r="AX247" s="3742"/>
      <c r="AY247" s="5016"/>
      <c r="AZ247" s="5016"/>
      <c r="BA247" s="5016"/>
      <c r="BB247" s="5016"/>
      <c r="BC247" s="5016"/>
      <c r="BD247" s="5016"/>
      <c r="BE247" s="5016"/>
      <c r="BF247" s="5016"/>
      <c r="BG247" s="5016"/>
      <c r="BH247" s="5016"/>
    </row>
    <row r="248" spans="1:60" ht="14.25" customHeight="1">
      <c r="A248" s="5088"/>
      <c r="B248" s="6690">
        <v>23</v>
      </c>
      <c r="C248" s="6690"/>
      <c r="D248" s="1607" t="s">
        <v>3522</v>
      </c>
      <c r="E248" s="1443"/>
      <c r="F248" s="3269"/>
      <c r="G248" s="1443"/>
      <c r="H248" s="1443"/>
      <c r="I248" s="1443"/>
      <c r="J248" s="1443"/>
      <c r="K248" s="1443"/>
      <c r="L248" s="1443"/>
      <c r="M248" s="1443"/>
      <c r="N248" s="1443"/>
      <c r="O248" s="1443"/>
      <c r="P248" s="1443"/>
      <c r="Q248" s="1443"/>
      <c r="R248" s="1443"/>
      <c r="S248" s="1443"/>
      <c r="T248" s="1443"/>
      <c r="U248" s="1443"/>
      <c r="V248" s="1443"/>
      <c r="W248" s="1443"/>
      <c r="X248" s="3756"/>
      <c r="Y248" s="1943" t="s">
        <v>3529</v>
      </c>
      <c r="Z248" s="6691">
        <v>23</v>
      </c>
      <c r="AA248" s="6692"/>
      <c r="AB248" s="6693" t="str">
        <f>IF(AL247,$AR$19,"")</f>
        <v/>
      </c>
      <c r="AC248" s="6694"/>
      <c r="AD248" s="6694"/>
      <c r="AE248" s="6694"/>
      <c r="AF248" s="6694"/>
      <c r="AG248" s="6694"/>
      <c r="AH248" s="6694"/>
      <c r="AI248" s="6695"/>
      <c r="AJ248" s="6696"/>
      <c r="AK248" s="6697"/>
      <c r="AL248" s="1965"/>
      <c r="AM248" s="1443"/>
      <c r="AN248" s="1443"/>
      <c r="AO248" s="1443"/>
      <c r="AP248" s="3350"/>
      <c r="AQ248" s="1616" t="s">
        <v>38</v>
      </c>
      <c r="AR248" s="6686">
        <f>IF(C147&lt;&gt;"",AL246,0)</f>
        <v>0</v>
      </c>
      <c r="AS248" s="6686"/>
      <c r="AT248" s="6686"/>
      <c r="AU248" s="6686"/>
      <c r="AV248" s="1443"/>
      <c r="AW248" s="1443"/>
      <c r="AX248" s="3742"/>
      <c r="AY248" s="5016"/>
      <c r="AZ248" s="5016"/>
      <c r="BA248" s="5016"/>
      <c r="BB248" s="5016"/>
      <c r="BC248" s="5016"/>
      <c r="BD248" s="5016"/>
      <c r="BE248" s="5016"/>
      <c r="BF248" s="5016"/>
      <c r="BG248" s="5016"/>
      <c r="BH248" s="5016"/>
    </row>
    <row r="249" spans="1:60" ht="14.25" customHeight="1">
      <c r="A249" s="5088"/>
      <c r="B249" s="6690">
        <v>24</v>
      </c>
      <c r="C249" s="6690"/>
      <c r="D249" s="1607" t="s">
        <v>3523</v>
      </c>
      <c r="E249" s="1443"/>
      <c r="F249" s="3269"/>
      <c r="G249" s="1443"/>
      <c r="H249" s="1443"/>
      <c r="I249" s="1443"/>
      <c r="J249" s="1443"/>
      <c r="K249" s="1443"/>
      <c r="L249" s="1443"/>
      <c r="M249" s="1443"/>
      <c r="N249" s="1443"/>
      <c r="O249" s="1443"/>
      <c r="P249" s="1443"/>
      <c r="Q249" s="1443"/>
      <c r="R249" s="1443"/>
      <c r="S249" s="1443"/>
      <c r="T249" s="1443"/>
      <c r="U249" s="1443"/>
      <c r="V249" s="1443"/>
      <c r="W249" s="1443"/>
      <c r="X249" s="3756"/>
      <c r="Y249" s="1943" t="s">
        <v>3200</v>
      </c>
      <c r="Z249" s="6691">
        <v>24</v>
      </c>
      <c r="AA249" s="6692"/>
      <c r="AB249" s="6693" t="str">
        <f>IF(AL247,$AR$22,"")</f>
        <v/>
      </c>
      <c r="AC249" s="6694"/>
      <c r="AD249" s="6694"/>
      <c r="AE249" s="6694"/>
      <c r="AF249" s="6694"/>
      <c r="AG249" s="6694"/>
      <c r="AH249" s="6694"/>
      <c r="AI249" s="6695"/>
      <c r="AJ249" s="6696"/>
      <c r="AK249" s="6697"/>
      <c r="AL249" s="1965"/>
      <c r="AM249" s="1443"/>
      <c r="AN249" s="1443"/>
      <c r="AO249" s="1443"/>
      <c r="AP249" s="3350"/>
      <c r="AQ249" s="1616" t="s">
        <v>54</v>
      </c>
      <c r="AR249" s="6686">
        <f>IF(C149&lt;&gt;"",AL246,0)</f>
        <v>0</v>
      </c>
      <c r="AS249" s="6686"/>
      <c r="AT249" s="6686"/>
      <c r="AU249" s="6686"/>
      <c r="AV249" s="1443"/>
      <c r="AW249" s="1443"/>
      <c r="AX249" s="3742"/>
      <c r="AY249" s="5016"/>
      <c r="AZ249" s="5016"/>
      <c r="BA249" s="5016"/>
      <c r="BB249" s="5016"/>
      <c r="BC249" s="5016"/>
      <c r="BD249" s="5016"/>
      <c r="BE249" s="5016"/>
      <c r="BF249" s="5016"/>
      <c r="BG249" s="5016"/>
      <c r="BH249" s="5016"/>
    </row>
    <row r="250" spans="1:60" ht="14.25" customHeight="1">
      <c r="A250" s="5088"/>
      <c r="B250" s="6690">
        <v>25</v>
      </c>
      <c r="C250" s="6690"/>
      <c r="D250" s="1607" t="s">
        <v>2813</v>
      </c>
      <c r="E250" s="1443"/>
      <c r="F250" s="3269"/>
      <c r="G250" s="1443"/>
      <c r="H250" s="1443"/>
      <c r="I250" s="1443"/>
      <c r="J250" s="1443"/>
      <c r="K250" s="1443"/>
      <c r="L250" s="1443"/>
      <c r="M250" s="1443"/>
      <c r="N250" s="1443"/>
      <c r="O250" s="1443"/>
      <c r="P250" s="1443"/>
      <c r="Q250" s="1443"/>
      <c r="R250" s="1443"/>
      <c r="S250" s="1443"/>
      <c r="T250" s="1443"/>
      <c r="U250" s="1443"/>
      <c r="V250" s="1443"/>
      <c r="W250" s="1443"/>
      <c r="X250" s="3756"/>
      <c r="Y250" s="1943" t="s">
        <v>2426</v>
      </c>
      <c r="Z250" s="6691">
        <v>25</v>
      </c>
      <c r="AA250" s="6692"/>
      <c r="AB250" s="6693" t="str">
        <f>IF(AL247,$AR$24,"")</f>
        <v/>
      </c>
      <c r="AC250" s="6694"/>
      <c r="AD250" s="6694"/>
      <c r="AE250" s="6694"/>
      <c r="AF250" s="6694"/>
      <c r="AG250" s="6694"/>
      <c r="AH250" s="6694"/>
      <c r="AI250" s="6695"/>
      <c r="AJ250" s="6696"/>
      <c r="AK250" s="6697"/>
      <c r="AL250" s="1965"/>
      <c r="AM250" s="1443"/>
      <c r="AN250" s="1443"/>
      <c r="AO250" s="1443"/>
      <c r="AP250" s="3350"/>
      <c r="AQ250" s="1616" t="s">
        <v>55</v>
      </c>
      <c r="AR250" s="6686">
        <f>IF(K147&lt;&gt;"",AL246,0)</f>
        <v>0</v>
      </c>
      <c r="AS250" s="6686"/>
      <c r="AT250" s="6686"/>
      <c r="AU250" s="6686"/>
      <c r="AV250" s="1443"/>
      <c r="AW250" s="1443"/>
      <c r="AX250" s="3742"/>
      <c r="AY250" s="5016"/>
      <c r="AZ250" s="5016"/>
      <c r="BA250" s="5016"/>
      <c r="BB250" s="5016"/>
      <c r="BC250" s="5016"/>
      <c r="BD250" s="5016"/>
      <c r="BE250" s="5016"/>
      <c r="BF250" s="5016"/>
      <c r="BG250" s="5016"/>
      <c r="BH250" s="5016"/>
    </row>
    <row r="251" spans="1:60" ht="14.25" customHeight="1">
      <c r="A251" s="5088"/>
      <c r="B251" s="6690">
        <v>26</v>
      </c>
      <c r="C251" s="6690"/>
      <c r="D251" s="1607" t="s">
        <v>2814</v>
      </c>
      <c r="E251" s="1443"/>
      <c r="F251" s="3269"/>
      <c r="G251" s="1443"/>
      <c r="H251" s="1443"/>
      <c r="I251" s="1443"/>
      <c r="J251" s="1443"/>
      <c r="K251" s="1443"/>
      <c r="L251" s="1443"/>
      <c r="M251" s="1443"/>
      <c r="N251" s="1443"/>
      <c r="O251" s="1443"/>
      <c r="P251" s="1443"/>
      <c r="Q251" s="1443"/>
      <c r="R251" s="1443"/>
      <c r="S251" s="1443"/>
      <c r="T251" s="1443"/>
      <c r="U251" s="1443"/>
      <c r="V251" s="1443"/>
      <c r="W251" s="1443"/>
      <c r="X251" s="3756"/>
      <c r="Y251" s="1943" t="s">
        <v>2426</v>
      </c>
      <c r="Z251" s="6691">
        <v>26</v>
      </c>
      <c r="AA251" s="6692"/>
      <c r="AB251" s="6693" t="str">
        <f>IF(AL247,$AR$26,"")</f>
        <v/>
      </c>
      <c r="AC251" s="6694"/>
      <c r="AD251" s="6694"/>
      <c r="AE251" s="6694"/>
      <c r="AF251" s="6694"/>
      <c r="AG251" s="6694"/>
      <c r="AH251" s="6694"/>
      <c r="AI251" s="6695"/>
      <c r="AJ251" s="6696"/>
      <c r="AK251" s="6697"/>
      <c r="AL251" s="1965"/>
      <c r="AM251" s="1443"/>
      <c r="AN251" s="1443"/>
      <c r="AO251" s="1443"/>
      <c r="AP251" s="3350"/>
      <c r="AQ251" s="1616" t="s">
        <v>102</v>
      </c>
      <c r="AR251" s="6686">
        <f>IF(K149&lt;&gt;"",AL246,0)</f>
        <v>0</v>
      </c>
      <c r="AS251" s="6686"/>
      <c r="AT251" s="6686"/>
      <c r="AU251" s="6686"/>
      <c r="AV251" s="1443"/>
      <c r="AW251" s="1443"/>
      <c r="AX251" s="3742"/>
      <c r="AY251" s="5016"/>
      <c r="AZ251" s="5016"/>
      <c r="BA251" s="5016"/>
      <c r="BB251" s="5016"/>
      <c r="BC251" s="5016"/>
      <c r="BD251" s="5016"/>
      <c r="BE251" s="5016"/>
      <c r="BF251" s="5016"/>
      <c r="BG251" s="5016"/>
      <c r="BH251" s="5016"/>
    </row>
    <row r="252" spans="1:60" ht="14.25" customHeight="1">
      <c r="A252" s="5088"/>
      <c r="B252" s="6690">
        <v>27</v>
      </c>
      <c r="C252" s="6690"/>
      <c r="D252" s="1607" t="s">
        <v>3524</v>
      </c>
      <c r="E252" s="1443"/>
      <c r="F252" s="3269"/>
      <c r="G252" s="1443"/>
      <c r="H252" s="1443"/>
      <c r="I252" s="1443"/>
      <c r="J252" s="1443"/>
      <c r="K252" s="1443"/>
      <c r="L252" s="1443"/>
      <c r="M252" s="1443"/>
      <c r="N252" s="1443"/>
      <c r="O252" s="1443"/>
      <c r="P252" s="1443"/>
      <c r="Q252" s="1443"/>
      <c r="R252" s="1443"/>
      <c r="S252" s="1443"/>
      <c r="T252" s="1443"/>
      <c r="U252" s="1443"/>
      <c r="V252" s="1443"/>
      <c r="W252" s="1443"/>
      <c r="X252" s="3756"/>
      <c r="Y252" s="1943" t="s">
        <v>3529</v>
      </c>
      <c r="Z252" s="6691">
        <v>27</v>
      </c>
      <c r="AA252" s="6692"/>
      <c r="AB252" s="6693" t="str">
        <f>IF(AL247,$AR$28,"")</f>
        <v/>
      </c>
      <c r="AC252" s="6694"/>
      <c r="AD252" s="6694"/>
      <c r="AE252" s="6694"/>
      <c r="AF252" s="6694"/>
      <c r="AG252" s="6694"/>
      <c r="AH252" s="6694"/>
      <c r="AI252" s="6695"/>
      <c r="AJ252" s="6696"/>
      <c r="AK252" s="6697"/>
      <c r="AL252" s="1965"/>
      <c r="AM252" s="1443"/>
      <c r="AN252" s="1443"/>
      <c r="AO252" s="1443"/>
      <c r="AP252" s="3350"/>
      <c r="AQ252" s="1616" t="s">
        <v>1201</v>
      </c>
      <c r="AR252" s="6686">
        <f>IF(W147&lt;&gt;"",AL246,0)</f>
        <v>0</v>
      </c>
      <c r="AS252" s="6686"/>
      <c r="AT252" s="6686"/>
      <c r="AU252" s="6686"/>
      <c r="AV252" s="1443"/>
      <c r="AW252" s="1443"/>
      <c r="AX252" s="3742"/>
      <c r="AY252" s="5016"/>
      <c r="AZ252" s="5016"/>
      <c r="BA252" s="5016"/>
      <c r="BB252" s="5016"/>
      <c r="BC252" s="5016"/>
      <c r="BD252" s="5016"/>
      <c r="BE252" s="5016"/>
      <c r="BF252" s="5016"/>
      <c r="BG252" s="5016"/>
      <c r="BH252" s="5016"/>
    </row>
    <row r="253" spans="1:60" ht="14.25" customHeight="1">
      <c r="A253" s="5088"/>
      <c r="B253" s="6690">
        <v>28</v>
      </c>
      <c r="C253" s="6690"/>
      <c r="D253" s="1607" t="s">
        <v>2815</v>
      </c>
      <c r="E253" s="1443"/>
      <c r="F253" s="3269"/>
      <c r="G253" s="1443"/>
      <c r="H253" s="1443"/>
      <c r="I253" s="1443"/>
      <c r="J253" s="1443"/>
      <c r="K253" s="1443"/>
      <c r="L253" s="1443"/>
      <c r="M253" s="1443"/>
      <c r="N253" s="1443"/>
      <c r="O253" s="1443"/>
      <c r="P253" s="1443"/>
      <c r="Q253" s="1443"/>
      <c r="R253" s="1443"/>
      <c r="S253" s="1443"/>
      <c r="T253" s="1443"/>
      <c r="U253" s="1443"/>
      <c r="V253" s="1443"/>
      <c r="W253" s="1443"/>
      <c r="X253" s="3756"/>
      <c r="Y253" s="1943" t="s">
        <v>2482</v>
      </c>
      <c r="Z253" s="6691">
        <v>28</v>
      </c>
      <c r="AA253" s="6692"/>
      <c r="AB253" s="6693" t="str">
        <f>IF(AL247,$AR$29,"")</f>
        <v/>
      </c>
      <c r="AC253" s="6694"/>
      <c r="AD253" s="6694"/>
      <c r="AE253" s="6694"/>
      <c r="AF253" s="6694"/>
      <c r="AG253" s="6694"/>
      <c r="AH253" s="6694"/>
      <c r="AI253" s="6695"/>
      <c r="AJ253" s="6696"/>
      <c r="AK253" s="6697"/>
      <c r="AL253" s="1965"/>
      <c r="AM253" s="1443"/>
      <c r="AN253" s="1443"/>
      <c r="AO253" s="1443"/>
      <c r="AP253" s="3350"/>
      <c r="AQ253" s="1616" t="s">
        <v>1202</v>
      </c>
      <c r="AR253" s="6686">
        <f>IF(W149&lt;&gt;"",AL246,0)</f>
        <v>0</v>
      </c>
      <c r="AS253" s="6686"/>
      <c r="AT253" s="6686"/>
      <c r="AU253" s="6686"/>
      <c r="AV253" s="1443"/>
      <c r="AW253" s="1443"/>
      <c r="AX253" s="3742"/>
      <c r="AY253" s="5016"/>
      <c r="AZ253" s="5016"/>
      <c r="BA253" s="5016"/>
      <c r="BB253" s="5016"/>
      <c r="BC253" s="5016"/>
      <c r="BD253" s="5016"/>
      <c r="BE253" s="5016"/>
      <c r="BF253" s="5016"/>
      <c r="BG253" s="5016"/>
      <c r="BH253" s="5016"/>
    </row>
    <row r="254" spans="1:60" ht="14.25" customHeight="1" thickBot="1">
      <c r="A254" s="5088"/>
      <c r="B254" s="6690">
        <v>29</v>
      </c>
      <c r="C254" s="6690"/>
      <c r="D254" s="1607" t="s">
        <v>2816</v>
      </c>
      <c r="E254" s="1443"/>
      <c r="F254" s="3269"/>
      <c r="G254" s="1443"/>
      <c r="H254" s="1443"/>
      <c r="I254" s="1443"/>
      <c r="J254" s="1443"/>
      <c r="K254" s="1443"/>
      <c r="L254" s="1443"/>
      <c r="M254" s="1443"/>
      <c r="N254" s="1443"/>
      <c r="O254" s="1443"/>
      <c r="P254" s="1443"/>
      <c r="Q254" s="1443"/>
      <c r="R254" s="1443"/>
      <c r="S254" s="1443"/>
      <c r="T254" s="1443"/>
      <c r="U254" s="1443"/>
      <c r="V254" s="1443"/>
      <c r="W254" s="1443"/>
      <c r="X254" s="3756"/>
      <c r="Y254" s="1943" t="s">
        <v>3529</v>
      </c>
      <c r="Z254" s="6708">
        <v>29</v>
      </c>
      <c r="AA254" s="6709"/>
      <c r="AB254" s="6710" t="str">
        <f>IF(AL247,$AR$30,"")</f>
        <v/>
      </c>
      <c r="AC254" s="6711"/>
      <c r="AD254" s="6711"/>
      <c r="AE254" s="6711"/>
      <c r="AF254" s="6711"/>
      <c r="AG254" s="6711"/>
      <c r="AH254" s="6711"/>
      <c r="AI254" s="6712"/>
      <c r="AJ254" s="6696"/>
      <c r="AK254" s="6697"/>
      <c r="AL254" s="1965"/>
      <c r="AM254" s="1443"/>
      <c r="AN254" s="1443"/>
      <c r="AO254" s="1443"/>
      <c r="AP254" s="3350"/>
      <c r="AQ254" s="1616" t="s">
        <v>2693</v>
      </c>
      <c r="AR254" s="6686">
        <f>IF(AI147&lt;&gt;"",AL246,0)</f>
        <v>0</v>
      </c>
      <c r="AS254" s="6686"/>
      <c r="AT254" s="6686"/>
      <c r="AU254" s="6686"/>
      <c r="AV254" s="1443"/>
      <c r="AW254" s="1443"/>
      <c r="AX254" s="3742"/>
      <c r="AY254" s="5016"/>
      <c r="AZ254" s="5016"/>
      <c r="BA254" s="5016"/>
      <c r="BB254" s="5016"/>
      <c r="BC254" s="5016"/>
      <c r="BD254" s="5016"/>
      <c r="BE254" s="5016"/>
      <c r="BF254" s="5016"/>
      <c r="BG254" s="5016"/>
      <c r="BH254" s="5016"/>
    </row>
    <row r="255" spans="1:60" ht="14.25" customHeight="1">
      <c r="A255" s="5088"/>
      <c r="B255" s="6690">
        <v>30</v>
      </c>
      <c r="C255" s="6690"/>
      <c r="D255" s="1607" t="s">
        <v>2817</v>
      </c>
      <c r="E255" s="1443"/>
      <c r="F255" s="3269"/>
      <c r="G255" s="1443"/>
      <c r="H255" s="1443"/>
      <c r="I255" s="1443"/>
      <c r="J255" s="1443"/>
      <c r="K255" s="1443"/>
      <c r="L255" s="1443"/>
      <c r="M255" s="1443"/>
      <c r="N255" s="1443"/>
      <c r="O255" s="1443"/>
      <c r="P255" s="1443"/>
      <c r="Q255" s="1443"/>
      <c r="R255" s="1443"/>
      <c r="S255" s="1443"/>
      <c r="T255" s="1443"/>
      <c r="U255" s="1443"/>
      <c r="V255" s="1443"/>
      <c r="W255" s="1443"/>
      <c r="X255" s="1443"/>
      <c r="Y255" s="1443"/>
      <c r="Z255" s="3402"/>
      <c r="AA255" s="3402"/>
      <c r="AB255" s="1957"/>
      <c r="AC255" s="1957"/>
      <c r="AD255" s="1957"/>
      <c r="AE255" s="1957"/>
      <c r="AF255" s="1957"/>
      <c r="AG255" s="1957"/>
      <c r="AH255" s="1957"/>
      <c r="AI255" s="1943" t="s">
        <v>4315</v>
      </c>
      <c r="AJ255" s="6691">
        <v>30</v>
      </c>
      <c r="AK255" s="6692"/>
      <c r="AL255" s="6739" t="str">
        <f>IF(NOT(AL247),"",SUM(AB248:AI254))</f>
        <v/>
      </c>
      <c r="AM255" s="5861"/>
      <c r="AN255" s="5861"/>
      <c r="AO255" s="5861"/>
      <c r="AP255" s="3350"/>
      <c r="AQ255" s="3853"/>
      <c r="AR255" s="6766"/>
      <c r="AS255" s="6766"/>
      <c r="AT255" s="6766"/>
      <c r="AU255" s="6766"/>
      <c r="AV255" s="1443"/>
      <c r="AW255" s="1443"/>
      <c r="AX255" s="3742"/>
      <c r="AY255" s="5025" t="s">
        <v>4730</v>
      </c>
      <c r="AZ255" s="5016"/>
      <c r="BA255" s="5016"/>
      <c r="BB255" s="5027" t="str">
        <f>IF(ISERROR(SUM(AL243,-ForeignTaxCredit_2))," ---",MAX(SUM(AL243,-ForeignTaxCredit_2),0))</f>
        <v xml:space="preserve"> ---</v>
      </c>
      <c r="BC255" s="5029" t="s">
        <v>4731</v>
      </c>
      <c r="BD255" s="5016"/>
      <c r="BE255" s="5016"/>
      <c r="BF255" s="5016"/>
      <c r="BG255" s="5016"/>
      <c r="BH255" s="5016"/>
    </row>
    <row r="256" spans="1:60" ht="14.25" customHeight="1">
      <c r="A256" s="5088"/>
      <c r="B256" s="6690">
        <v>31</v>
      </c>
      <c r="C256" s="6690"/>
      <c r="D256" s="1607" t="s">
        <v>2830</v>
      </c>
      <c r="E256" s="1443"/>
      <c r="F256" s="3269"/>
      <c r="G256" s="1443"/>
      <c r="H256" s="1443"/>
      <c r="I256" s="1443"/>
      <c r="J256" s="1443"/>
      <c r="K256" s="1443"/>
      <c r="L256" s="1443"/>
      <c r="M256" s="1443"/>
      <c r="N256" s="1443"/>
      <c r="O256" s="1443"/>
      <c r="P256" s="1443"/>
      <c r="Q256" s="1443"/>
      <c r="R256" s="1443"/>
      <c r="S256" s="1443"/>
      <c r="T256" s="1443"/>
      <c r="U256" s="1443"/>
      <c r="V256" s="1443"/>
      <c r="W256" s="1443"/>
      <c r="X256" s="1443"/>
      <c r="Y256" s="1443"/>
      <c r="Z256" s="2254"/>
      <c r="AA256" s="2254"/>
      <c r="AB256" s="1443"/>
      <c r="AC256" s="1443"/>
      <c r="AD256" s="1443"/>
      <c r="AE256" s="1443"/>
      <c r="AF256" s="1443"/>
      <c r="AG256" s="1443"/>
      <c r="AH256" s="1443"/>
      <c r="AI256" s="1943" t="s">
        <v>3194</v>
      </c>
      <c r="AJ256" s="6691">
        <v>31</v>
      </c>
      <c r="AK256" s="6692"/>
      <c r="AL256" s="6739" t="str">
        <f>IF(NOT(AL247),"",IF(ISERROR(MIN(AL240,AL255)),"",MIN(AL240,AL255)))</f>
        <v/>
      </c>
      <c r="AM256" s="5861"/>
      <c r="AN256" s="5861"/>
      <c r="AO256" s="5861"/>
      <c r="AP256" s="3350"/>
      <c r="AQ256" s="1443"/>
      <c r="AR256" s="1443"/>
      <c r="AS256" s="1443"/>
      <c r="AT256" s="1443"/>
      <c r="AU256" s="1443"/>
      <c r="AV256" s="1443"/>
      <c r="AW256" s="1443"/>
      <c r="AX256" s="3742"/>
      <c r="AY256" s="5025" t="s">
        <v>4732</v>
      </c>
      <c r="AZ256" s="5016"/>
      <c r="BA256" s="5016"/>
      <c r="BB256" s="5028" t="str">
        <f>IF(ISERROR(SUM(AL221,-ForeignTaxCredit_2))," ---",MAX(SUM(AL221,-ForeignTaxCredit_2),0))</f>
        <v xml:space="preserve"> ---</v>
      </c>
      <c r="BC256" s="5029" t="s">
        <v>4733</v>
      </c>
      <c r="BD256" s="5016"/>
      <c r="BE256" s="5016"/>
      <c r="BF256" s="5016"/>
      <c r="BG256" s="5016"/>
      <c r="BH256" s="5016"/>
    </row>
    <row r="257" spans="1:60" ht="14.25" customHeight="1" thickBot="1">
      <c r="A257" s="5088"/>
      <c r="B257" s="6690">
        <v>32</v>
      </c>
      <c r="C257" s="6690"/>
      <c r="D257" s="1607" t="s">
        <v>2818</v>
      </c>
      <c r="E257" s="1443"/>
      <c r="F257" s="3269"/>
      <c r="G257" s="1443"/>
      <c r="H257" s="1443"/>
      <c r="I257" s="1443"/>
      <c r="J257" s="1443"/>
      <c r="K257" s="1443"/>
      <c r="L257" s="1443"/>
      <c r="M257" s="1443"/>
      <c r="N257" s="1443"/>
      <c r="O257" s="1443"/>
      <c r="P257" s="1443"/>
      <c r="Q257" s="1443"/>
      <c r="R257" s="1443"/>
      <c r="S257" s="1443"/>
      <c r="T257" s="1443"/>
      <c r="U257" s="1443"/>
      <c r="V257" s="1443"/>
      <c r="W257" s="1443"/>
      <c r="X257" s="1443"/>
      <c r="Y257" s="1443"/>
      <c r="Z257" s="2254"/>
      <c r="AA257" s="2254"/>
      <c r="AB257" s="1443"/>
      <c r="AC257" s="1443"/>
      <c r="AD257" s="1443"/>
      <c r="AE257" s="1443"/>
      <c r="AF257" s="1443"/>
      <c r="AG257" s="1443"/>
      <c r="AH257" s="1443"/>
      <c r="AI257" s="1943" t="s">
        <v>2482</v>
      </c>
      <c r="AJ257" s="6708">
        <v>32</v>
      </c>
      <c r="AK257" s="6709"/>
      <c r="AL257" s="6773"/>
      <c r="AM257" s="6774"/>
      <c r="AN257" s="6774"/>
      <c r="AO257" s="6774"/>
      <c r="AP257" s="3350"/>
      <c r="AQ257" s="1443"/>
      <c r="AR257" s="1443"/>
      <c r="AS257" s="1443"/>
      <c r="AT257" s="1443"/>
      <c r="AU257" s="1443"/>
      <c r="AV257" s="1443"/>
      <c r="AW257" s="1443"/>
      <c r="AX257" s="3742"/>
      <c r="AY257" s="5016"/>
      <c r="AZ257" s="5016"/>
      <c r="BA257" s="5016"/>
      <c r="BB257" s="5016"/>
      <c r="BC257" s="5016"/>
      <c r="BD257" s="5016"/>
      <c r="BE257" s="5016"/>
      <c r="BF257" s="5016"/>
      <c r="BG257" s="5016"/>
      <c r="BH257" s="5016"/>
    </row>
    <row r="258" spans="1:60" ht="14.25" customHeight="1">
      <c r="A258" s="5088"/>
      <c r="B258" s="6690">
        <v>33</v>
      </c>
      <c r="C258" s="6690"/>
      <c r="D258" s="1607" t="s">
        <v>3527</v>
      </c>
      <c r="E258" s="1443"/>
      <c r="F258" s="1443"/>
      <c r="G258" s="1443"/>
      <c r="H258" s="1443"/>
      <c r="I258" s="1443"/>
      <c r="J258" s="1443"/>
      <c r="K258" s="1443"/>
      <c r="L258" s="1443"/>
      <c r="M258" s="1443"/>
      <c r="N258" s="1443"/>
      <c r="O258" s="1443"/>
      <c r="P258" s="1443"/>
      <c r="Q258" s="1443"/>
      <c r="R258" s="1443"/>
      <c r="S258" s="1443"/>
      <c r="T258" s="1617"/>
      <c r="U258" s="1443"/>
      <c r="V258" s="1443"/>
      <c r="W258" s="1443"/>
      <c r="X258" s="1443"/>
      <c r="Y258" s="1443"/>
      <c r="Z258" s="1443"/>
      <c r="AA258" s="1443"/>
      <c r="AB258" s="1443"/>
      <c r="AC258" s="1443"/>
      <c r="AD258" s="1443"/>
      <c r="AE258" s="1443"/>
      <c r="AF258" s="1443"/>
      <c r="AG258" s="1443"/>
      <c r="AH258" s="1443"/>
      <c r="AI258" s="1443"/>
      <c r="AJ258" s="6742"/>
      <c r="AK258" s="6743"/>
      <c r="AL258" s="1965"/>
      <c r="AM258" s="1443"/>
      <c r="AN258" s="1443"/>
      <c r="AO258" s="1443"/>
      <c r="AP258" s="3350"/>
      <c r="AQ258" s="3350"/>
      <c r="AR258" s="3350"/>
      <c r="AS258" s="3350"/>
      <c r="AT258" s="3350"/>
      <c r="AU258" s="3350"/>
      <c r="AV258" s="1443"/>
      <c r="AW258" s="1443"/>
      <c r="AX258" s="3742"/>
      <c r="AY258" s="5025" t="s">
        <v>4734</v>
      </c>
      <c r="AZ258" s="5016"/>
      <c r="BA258" s="5016"/>
      <c r="BB258" s="5016"/>
      <c r="BC258" s="5016"/>
      <c r="BD258" s="5016"/>
      <c r="BE258" s="5016"/>
      <c r="BF258" s="5016"/>
      <c r="BG258" s="5016"/>
      <c r="BH258" s="5016"/>
    </row>
    <row r="259" spans="1:60" ht="14.25" customHeight="1" thickBot="1">
      <c r="A259" s="5088"/>
      <c r="B259" s="3409"/>
      <c r="C259" s="3409"/>
      <c r="D259" s="2123" t="s">
        <v>3528</v>
      </c>
      <c r="E259" s="1612"/>
      <c r="F259" s="1612"/>
      <c r="G259" s="1612"/>
      <c r="H259" s="1612"/>
      <c r="I259" s="1612"/>
      <c r="J259" s="1612"/>
      <c r="K259" s="1612"/>
      <c r="L259" s="1612"/>
      <c r="M259" s="1612"/>
      <c r="N259" s="1612"/>
      <c r="O259" s="1612"/>
      <c r="P259" s="1612"/>
      <c r="Q259" s="1612"/>
      <c r="R259" s="1612"/>
      <c r="S259" s="1612"/>
      <c r="T259" s="3410"/>
      <c r="U259" s="1612"/>
      <c r="V259" s="1612"/>
      <c r="W259" s="1612"/>
      <c r="X259" s="1612"/>
      <c r="Y259" s="1612"/>
      <c r="Z259" s="1612"/>
      <c r="AA259" s="1612"/>
      <c r="AB259" s="1612"/>
      <c r="AC259" s="1612"/>
      <c r="AD259" s="1612"/>
      <c r="AE259" s="1612"/>
      <c r="AF259" s="1612"/>
      <c r="AG259" s="1612"/>
      <c r="AH259" s="1612"/>
      <c r="AI259" s="4210" t="s">
        <v>3417</v>
      </c>
      <c r="AJ259" s="6757">
        <v>33</v>
      </c>
      <c r="AK259" s="6758"/>
      <c r="AL259" s="6759" t="str">
        <f>IF(AQ259&lt;&gt;"",ROUND(AQ259,0),IF(AND(AL245=1,AO146=1),AL246,IF(NOT(AL247),"",IF(ISERROR(SUM(AL256,-AL257)),"",SUM(AL256,-AL257)))))</f>
        <v/>
      </c>
      <c r="AM259" s="6760"/>
      <c r="AN259" s="6760"/>
      <c r="AO259" s="6760"/>
      <c r="AP259" s="3350"/>
      <c r="AQ259" s="6715"/>
      <c r="AR259" s="6716"/>
      <c r="AS259" s="6716"/>
      <c r="AT259" s="6716"/>
      <c r="AU259" s="3350"/>
      <c r="AV259" s="1443"/>
      <c r="AW259" s="1443"/>
      <c r="AX259" s="3742"/>
      <c r="AY259" s="5025" t="s">
        <v>4735</v>
      </c>
      <c r="AZ259" s="5016"/>
      <c r="BA259" s="5016"/>
      <c r="BB259" s="5016"/>
      <c r="BC259" s="5016"/>
      <c r="BD259" s="5016"/>
      <c r="BE259" s="5016"/>
      <c r="BF259" s="5016"/>
      <c r="BG259" s="5016"/>
      <c r="BH259" s="5016"/>
    </row>
    <row r="260" spans="1:60" ht="18" customHeight="1">
      <c r="A260" s="5088"/>
      <c r="B260" s="3287"/>
      <c r="C260" s="3285"/>
      <c r="D260" s="1443"/>
      <c r="E260" s="1443"/>
      <c r="F260" s="1443"/>
      <c r="G260" s="1443"/>
      <c r="H260" s="1443"/>
      <c r="I260" s="1443"/>
      <c r="J260" s="1443"/>
      <c r="K260" s="1443"/>
      <c r="L260" s="1443"/>
      <c r="M260" s="1443"/>
      <c r="N260" s="1443"/>
      <c r="O260" s="1443"/>
      <c r="P260" s="1443"/>
      <c r="Q260" s="1443"/>
      <c r="R260" s="1443"/>
      <c r="S260" s="1443"/>
      <c r="T260" s="1443"/>
      <c r="U260" s="1443"/>
      <c r="V260" s="1443"/>
      <c r="W260" s="1443"/>
      <c r="X260" s="1443"/>
      <c r="Y260" s="1443"/>
      <c r="Z260" s="1443"/>
      <c r="AA260" s="1443"/>
      <c r="AB260" s="1443"/>
      <c r="AC260" s="1443"/>
      <c r="AD260" s="1443"/>
      <c r="AE260" s="1443"/>
      <c r="AF260" s="1443"/>
      <c r="AG260" s="1443"/>
      <c r="AH260" s="1443"/>
      <c r="AI260" s="1443"/>
      <c r="AJ260" s="1443"/>
      <c r="AK260" s="2541"/>
      <c r="AL260" s="1443"/>
      <c r="AM260" s="1443"/>
      <c r="AN260" s="2541" t="s">
        <v>2819</v>
      </c>
      <c r="AO260" s="2379" t="str">
        <f>"("&amp;TaxYear&amp;")"</f>
        <v>(2018)</v>
      </c>
      <c r="AP260" s="3350"/>
      <c r="AQ260" s="3350"/>
      <c r="AR260" s="3350"/>
      <c r="AS260" s="3350"/>
      <c r="AT260" s="3350"/>
      <c r="AU260" s="3350"/>
      <c r="AV260" s="1443"/>
      <c r="AW260" s="1443"/>
      <c r="AX260" s="3742"/>
      <c r="AY260" s="5026" t="s">
        <v>4736</v>
      </c>
      <c r="AZ260" s="5016"/>
      <c r="BA260" s="5016"/>
      <c r="BB260" s="5016"/>
      <c r="BC260" s="5016"/>
      <c r="BD260" s="5016"/>
      <c r="BE260" s="5016"/>
      <c r="BF260" s="5016"/>
      <c r="BG260" s="5016"/>
      <c r="BH260" s="5016"/>
    </row>
    <row r="261" spans="1:60" ht="8.25" customHeight="1">
      <c r="A261" s="5088"/>
      <c r="B261" s="3350"/>
      <c r="C261" s="3350"/>
      <c r="D261" s="3350"/>
      <c r="E261" s="3350"/>
      <c r="F261" s="3350"/>
      <c r="G261" s="3350"/>
      <c r="H261" s="3350"/>
      <c r="I261" s="3350"/>
      <c r="J261" s="3350"/>
      <c r="K261" s="3350"/>
      <c r="L261" s="3350"/>
      <c r="M261" s="3350"/>
      <c r="N261" s="3350"/>
      <c r="O261" s="3350"/>
      <c r="P261" s="3350"/>
      <c r="Q261" s="3350"/>
      <c r="R261" s="3350"/>
      <c r="S261" s="3350"/>
      <c r="T261" s="3350"/>
      <c r="U261" s="3350"/>
      <c r="V261" s="3350"/>
      <c r="W261" s="3350"/>
      <c r="X261" s="3350"/>
      <c r="Y261" s="3350"/>
      <c r="Z261" s="3350"/>
      <c r="AA261" s="3350"/>
      <c r="AB261" s="3350"/>
      <c r="AC261" s="3350"/>
      <c r="AD261" s="3350"/>
      <c r="AE261" s="3350"/>
      <c r="AF261" s="3350"/>
      <c r="AG261" s="3350"/>
      <c r="AH261" s="3350"/>
      <c r="AI261" s="3350"/>
      <c r="AJ261" s="3350"/>
      <c r="AK261" s="3350"/>
      <c r="AL261" s="3350"/>
      <c r="AM261" s="3350"/>
      <c r="AN261" s="3350"/>
      <c r="AO261" s="3350"/>
      <c r="AP261" s="3350"/>
      <c r="AQ261" s="1443"/>
      <c r="AR261" s="1443"/>
      <c r="AS261" s="1443"/>
      <c r="AT261" s="1443"/>
      <c r="AU261" s="1443"/>
      <c r="AV261" s="1443"/>
      <c r="AW261" s="1443"/>
      <c r="AX261" s="3741"/>
      <c r="AY261" s="5016"/>
      <c r="AZ261" s="5016"/>
      <c r="BA261" s="5016"/>
      <c r="BB261" s="5016"/>
      <c r="BC261" s="5016"/>
      <c r="BD261" s="5016"/>
      <c r="BE261" s="5016"/>
      <c r="BF261" s="5016"/>
      <c r="BG261" s="5016"/>
      <c r="BH261" s="5016"/>
    </row>
    <row r="262" spans="1:60" ht="12.75" customHeight="1">
      <c r="A262" s="5088"/>
      <c r="B262" s="5679" t="s">
        <v>2741</v>
      </c>
      <c r="C262" s="5680"/>
      <c r="D262" s="5680"/>
      <c r="E262" s="5680"/>
      <c r="F262" s="5680"/>
      <c r="G262" s="5680"/>
      <c r="H262" s="4205"/>
      <c r="I262" s="4078"/>
      <c r="J262" s="4078"/>
      <c r="K262" s="4078"/>
      <c r="L262" s="4078"/>
      <c r="M262" s="4078"/>
      <c r="N262" s="4078"/>
      <c r="O262" s="4078"/>
      <c r="P262" s="4078"/>
      <c r="Q262" s="4078"/>
      <c r="R262" s="4078"/>
      <c r="S262" s="4078"/>
      <c r="T262" s="4078"/>
      <c r="U262" s="4078"/>
      <c r="V262" s="4078"/>
      <c r="W262" s="4078"/>
      <c r="X262" s="4078"/>
      <c r="Y262" s="4078"/>
      <c r="Z262" s="4078"/>
      <c r="AA262" s="4078"/>
      <c r="AB262" s="4078"/>
      <c r="AC262" s="4078"/>
      <c r="AD262" s="4078"/>
      <c r="AE262" s="4078"/>
      <c r="AF262" s="4078"/>
      <c r="AG262" s="4078"/>
      <c r="AH262" s="4093"/>
      <c r="AI262" s="6397" t="s">
        <v>2787</v>
      </c>
      <c r="AJ262" s="6251"/>
      <c r="AK262" s="6251"/>
      <c r="AL262" s="6251"/>
      <c r="AM262" s="6251"/>
      <c r="AN262" s="6251"/>
      <c r="AO262" s="6251"/>
      <c r="AP262" s="3350"/>
      <c r="AQ262" s="1443"/>
      <c r="AR262" s="1443"/>
      <c r="AS262" s="1443"/>
      <c r="AT262" s="1443"/>
      <c r="AU262" s="1443"/>
      <c r="AV262" s="1443"/>
      <c r="AW262" s="1443"/>
      <c r="AX262" s="3741" t="s">
        <v>2552</v>
      </c>
      <c r="AY262" s="5016"/>
      <c r="AZ262" s="5016"/>
      <c r="BA262" s="5016"/>
      <c r="BB262" s="5016"/>
      <c r="BC262" s="5016"/>
      <c r="BD262" s="5016"/>
      <c r="BE262" s="5016"/>
      <c r="BF262" s="5016"/>
      <c r="BG262" s="5016"/>
      <c r="BH262" s="5016"/>
    </row>
    <row r="263" spans="1:60" ht="22.5" customHeight="1">
      <c r="A263" s="5087"/>
      <c r="B263" s="5680"/>
      <c r="C263" s="5680"/>
      <c r="D263" s="5680"/>
      <c r="E263" s="5680"/>
      <c r="F263" s="5680"/>
      <c r="G263" s="5680"/>
      <c r="H263" s="4208"/>
      <c r="I263" s="4078"/>
      <c r="J263" s="4078"/>
      <c r="K263" s="4078"/>
      <c r="L263" s="4078"/>
      <c r="M263" s="4078"/>
      <c r="N263" s="4078"/>
      <c r="O263" s="4078"/>
      <c r="P263" s="4078"/>
      <c r="Q263" s="4078"/>
      <c r="R263" s="4078"/>
      <c r="S263" s="4078"/>
      <c r="T263" s="4206" t="s">
        <v>2742</v>
      </c>
      <c r="U263" s="4078"/>
      <c r="V263" s="4078"/>
      <c r="W263" s="4078"/>
      <c r="X263" s="4078"/>
      <c r="Y263" s="4078"/>
      <c r="Z263" s="4078"/>
      <c r="AA263" s="4078"/>
      <c r="AB263" s="4078"/>
      <c r="AC263" s="4078"/>
      <c r="AD263" s="4078"/>
      <c r="AE263" s="4078"/>
      <c r="AF263" s="4078"/>
      <c r="AG263" s="4078"/>
      <c r="AH263" s="4207"/>
      <c r="AI263" s="6717">
        <f>TaxYear</f>
        <v>2018</v>
      </c>
      <c r="AJ263" s="6718"/>
      <c r="AK263" s="6718"/>
      <c r="AL263" s="6718"/>
      <c r="AM263" s="6718"/>
      <c r="AN263" s="6718"/>
      <c r="AO263" s="6718"/>
      <c r="AP263" s="3350"/>
      <c r="AQ263" s="1443"/>
      <c r="AR263" s="1443"/>
      <c r="AS263" s="1443"/>
      <c r="AT263" s="1443"/>
      <c r="AU263" s="1443"/>
      <c r="AV263" s="1443"/>
      <c r="AW263" s="1443"/>
      <c r="AX263" s="3742"/>
      <c r="AY263" s="5016"/>
      <c r="AZ263" s="5016"/>
      <c r="BA263" s="5016"/>
      <c r="BB263" s="5016"/>
      <c r="BC263" s="5016"/>
      <c r="BD263" s="5016"/>
      <c r="BE263" s="5016"/>
      <c r="BF263" s="5016"/>
      <c r="BG263" s="5016"/>
      <c r="BH263" s="5016"/>
    </row>
    <row r="264" spans="1:60">
      <c r="A264" s="5088"/>
      <c r="B264" s="2606"/>
      <c r="C264" s="1443"/>
      <c r="D264" s="1443"/>
      <c r="E264" s="1443"/>
      <c r="F264" s="1443"/>
      <c r="G264" s="1443"/>
      <c r="H264" s="6761" t="s">
        <v>2743</v>
      </c>
      <c r="I264" s="6762"/>
      <c r="J264" s="6762"/>
      <c r="K264" s="6762"/>
      <c r="L264" s="6762"/>
      <c r="M264" s="6762"/>
      <c r="N264" s="6762"/>
      <c r="O264" s="6762"/>
      <c r="P264" s="6762"/>
      <c r="Q264" s="6762"/>
      <c r="R264" s="6762"/>
      <c r="S264" s="6762"/>
      <c r="T264" s="6762"/>
      <c r="U264" s="6762"/>
      <c r="V264" s="6762"/>
      <c r="W264" s="6762"/>
      <c r="X264" s="6762"/>
      <c r="Y264" s="6762"/>
      <c r="Z264" s="6762"/>
      <c r="AA264" s="6762"/>
      <c r="AB264" s="6762"/>
      <c r="AC264" s="6762"/>
      <c r="AD264" s="6762"/>
      <c r="AE264" s="6762"/>
      <c r="AF264" s="6762"/>
      <c r="AG264" s="6762"/>
      <c r="AH264" s="6763"/>
      <c r="AI264" s="6719"/>
      <c r="AJ264" s="6720"/>
      <c r="AK264" s="6720"/>
      <c r="AL264" s="6720"/>
      <c r="AM264" s="6720"/>
      <c r="AN264" s="6720"/>
      <c r="AO264" s="6720"/>
      <c r="AP264" s="3350"/>
      <c r="AQ264" s="1443"/>
      <c r="AR264" s="1443"/>
      <c r="AS264" s="1443"/>
      <c r="AT264" s="1443"/>
      <c r="AU264" s="1443"/>
      <c r="AV264" s="1443"/>
      <c r="AW264" s="1443"/>
      <c r="AX264" s="5020" t="s">
        <v>123</v>
      </c>
      <c r="AY264" s="5016"/>
      <c r="AZ264" s="5016"/>
      <c r="BA264" s="5016"/>
      <c r="BB264" s="5016"/>
      <c r="BC264" s="5016"/>
      <c r="BD264" s="5016"/>
      <c r="BE264" s="5016"/>
      <c r="BF264" s="5016"/>
      <c r="BG264" s="5016"/>
      <c r="BH264" s="5016"/>
    </row>
    <row r="265" spans="1:60" ht="11.25" customHeight="1">
      <c r="A265" s="5088"/>
      <c r="B265" s="6405" t="s">
        <v>2674</v>
      </c>
      <c r="C265" s="5628"/>
      <c r="D265" s="5628"/>
      <c r="E265" s="5628"/>
      <c r="F265" s="5628"/>
      <c r="G265" s="6406"/>
      <c r="H265" s="6721" t="s">
        <v>2744</v>
      </c>
      <c r="I265" s="6722"/>
      <c r="J265" s="6722"/>
      <c r="K265" s="6722"/>
      <c r="L265" s="6722"/>
      <c r="M265" s="6722"/>
      <c r="N265" s="6722"/>
      <c r="O265" s="6722"/>
      <c r="P265" s="6722"/>
      <c r="Q265" s="6722"/>
      <c r="R265" s="6722"/>
      <c r="S265" s="6722"/>
      <c r="T265" s="6722"/>
      <c r="U265" s="6722"/>
      <c r="V265" s="6722"/>
      <c r="W265" s="6722"/>
      <c r="X265" s="6722"/>
      <c r="Y265" s="6722"/>
      <c r="Z265" s="6722"/>
      <c r="AA265" s="6722"/>
      <c r="AB265" s="6722"/>
      <c r="AC265" s="6722"/>
      <c r="AD265" s="6722"/>
      <c r="AE265" s="6722"/>
      <c r="AF265" s="6722"/>
      <c r="AG265" s="6722"/>
      <c r="AH265" s="6723"/>
      <c r="AI265" s="6724" t="s">
        <v>2597</v>
      </c>
      <c r="AJ265" s="6725"/>
      <c r="AK265" s="6725"/>
      <c r="AL265" s="6725"/>
      <c r="AM265" s="6725"/>
      <c r="AN265" s="6781">
        <v>19</v>
      </c>
      <c r="AO265" s="6782"/>
      <c r="AP265" s="3350"/>
      <c r="AQ265" s="1443"/>
      <c r="AR265" s="1443"/>
      <c r="AS265" s="1443"/>
      <c r="AT265" s="1443"/>
      <c r="AU265" s="1443"/>
      <c r="AV265" s="1443"/>
      <c r="AW265" s="1443"/>
      <c r="AX265" s="3742"/>
      <c r="AY265" s="5016"/>
      <c r="AZ265" s="5016"/>
      <c r="BA265" s="5016"/>
      <c r="BB265" s="5016"/>
      <c r="BC265" s="5016"/>
      <c r="BD265" s="5016"/>
      <c r="BE265" s="5016"/>
      <c r="BF265" s="5016"/>
      <c r="BG265" s="5016"/>
      <c r="BH265" s="5016"/>
    </row>
    <row r="266" spans="1:60" ht="11.25" customHeight="1" thickBot="1">
      <c r="A266" s="5088"/>
      <c r="B266" s="5629"/>
      <c r="C266" s="5629"/>
      <c r="D266" s="5629"/>
      <c r="E266" s="5629"/>
      <c r="F266" s="5629"/>
      <c r="G266" s="6407"/>
      <c r="H266" s="6769" t="s">
        <v>4548</v>
      </c>
      <c r="I266" s="6770"/>
      <c r="J266" s="6770"/>
      <c r="K266" s="6770"/>
      <c r="L266" s="6770"/>
      <c r="M266" s="6770"/>
      <c r="N266" s="6770"/>
      <c r="O266" s="6770"/>
      <c r="P266" s="6770"/>
      <c r="Q266" s="6770"/>
      <c r="R266" s="6770"/>
      <c r="S266" s="6770"/>
      <c r="T266" s="6770"/>
      <c r="U266" s="6770"/>
      <c r="V266" s="6770"/>
      <c r="W266" s="6770"/>
      <c r="X266" s="6770"/>
      <c r="Y266" s="6770"/>
      <c r="Z266" s="6770"/>
      <c r="AA266" s="6770"/>
      <c r="AB266" s="6770"/>
      <c r="AC266" s="6770"/>
      <c r="AD266" s="6770"/>
      <c r="AE266" s="6770"/>
      <c r="AF266" s="6770"/>
      <c r="AG266" s="6770"/>
      <c r="AH266" s="6771"/>
      <c r="AI266" s="6726"/>
      <c r="AJ266" s="6727"/>
      <c r="AK266" s="6727"/>
      <c r="AL266" s="6727"/>
      <c r="AM266" s="6727"/>
      <c r="AN266" s="6783"/>
      <c r="AO266" s="6783"/>
      <c r="AP266" s="3350"/>
      <c r="AQ266" s="1443"/>
      <c r="AR266" s="1443"/>
      <c r="AS266" s="1443"/>
      <c r="AT266" s="1443"/>
      <c r="AU266" s="1443"/>
      <c r="AV266" s="1443"/>
      <c r="AW266" s="1443"/>
      <c r="AX266" s="3742"/>
      <c r="AY266" s="5016"/>
      <c r="AZ266" s="5016"/>
      <c r="BA266" s="5016"/>
      <c r="BB266" s="5016"/>
      <c r="BC266" s="5016"/>
      <c r="BD266" s="5016"/>
      <c r="BE266" s="5016"/>
      <c r="BF266" s="5016"/>
      <c r="BG266" s="5016"/>
      <c r="BH266" s="5016"/>
    </row>
    <row r="267" spans="1:60">
      <c r="A267" s="5088"/>
      <c r="B267" s="1934" t="s">
        <v>2745</v>
      </c>
      <c r="C267" s="1605"/>
      <c r="D267" s="1605"/>
      <c r="E267" s="1605"/>
      <c r="F267" s="1605"/>
      <c r="G267" s="1605"/>
      <c r="H267" s="1605"/>
      <c r="I267" s="1605"/>
      <c r="J267" s="1605"/>
      <c r="K267" s="1605"/>
      <c r="L267" s="1605"/>
      <c r="M267" s="1605"/>
      <c r="N267" s="1605"/>
      <c r="O267" s="1605"/>
      <c r="P267" s="1605"/>
      <c r="Q267" s="1605"/>
      <c r="R267" s="1605"/>
      <c r="S267" s="1605"/>
      <c r="T267" s="1605"/>
      <c r="U267" s="1605"/>
      <c r="V267" s="1605"/>
      <c r="W267" s="1605"/>
      <c r="X267" s="1605"/>
      <c r="Y267" s="1605"/>
      <c r="Z267" s="1605"/>
      <c r="AA267" s="6755" t="s">
        <v>2791</v>
      </c>
      <c r="AB267" s="6756"/>
      <c r="AC267" s="6756"/>
      <c r="AD267" s="6756"/>
      <c r="AE267" s="6756"/>
      <c r="AF267" s="6756"/>
      <c r="AG267" s="6756"/>
      <c r="AH267" s="6756"/>
      <c r="AI267" s="6756"/>
      <c r="AJ267" s="6756"/>
      <c r="AK267" s="6756"/>
      <c r="AL267" s="6756"/>
      <c r="AM267" s="6756"/>
      <c r="AN267" s="6756"/>
      <c r="AO267" s="6756"/>
      <c r="AP267" s="3350"/>
      <c r="AQ267" s="1443"/>
      <c r="AR267" s="1443"/>
      <c r="AS267" s="1443"/>
      <c r="AT267" s="1443"/>
      <c r="AU267" s="1443"/>
      <c r="AV267" s="1443"/>
      <c r="AW267" s="1443"/>
      <c r="AX267" s="3742"/>
      <c r="AY267" s="5016"/>
      <c r="AZ267" s="5016"/>
      <c r="BA267" s="5016"/>
      <c r="BB267" s="5016"/>
      <c r="BC267" s="5016"/>
      <c r="BD267" s="5016"/>
      <c r="BE267" s="5016"/>
      <c r="BF267" s="5016"/>
      <c r="BG267" s="5016"/>
      <c r="BH267" s="5016"/>
    </row>
    <row r="268" spans="1:60" ht="9" customHeight="1">
      <c r="A268" s="5088"/>
      <c r="B268" s="6854" t="str">
        <f>Names</f>
        <v/>
      </c>
      <c r="C268" s="5680"/>
      <c r="D268" s="5680"/>
      <c r="E268" s="5680"/>
      <c r="F268" s="5680"/>
      <c r="G268" s="5680"/>
      <c r="H268" s="5680"/>
      <c r="I268" s="5680"/>
      <c r="J268" s="5680"/>
      <c r="K268" s="5680"/>
      <c r="L268" s="5680"/>
      <c r="M268" s="5680"/>
      <c r="N268" s="5680"/>
      <c r="O268" s="5680"/>
      <c r="P268" s="5680"/>
      <c r="Q268" s="5680"/>
      <c r="R268" s="5680"/>
      <c r="S268" s="5680"/>
      <c r="T268" s="5680"/>
      <c r="U268" s="5680"/>
      <c r="V268" s="5680"/>
      <c r="W268" s="5680"/>
      <c r="X268" s="5680"/>
      <c r="Y268" s="5680"/>
      <c r="Z268" s="5680"/>
      <c r="AA268" s="6855">
        <f>IF(NoSSN,"",SS_Yours)</f>
        <v>0</v>
      </c>
      <c r="AB268" s="6856"/>
      <c r="AC268" s="6856"/>
      <c r="AD268" s="6856"/>
      <c r="AE268" s="6856"/>
      <c r="AF268" s="6856"/>
      <c r="AG268" s="6856"/>
      <c r="AH268" s="6856"/>
      <c r="AI268" s="6856"/>
      <c r="AJ268" s="6856"/>
      <c r="AK268" s="6856"/>
      <c r="AL268" s="6856"/>
      <c r="AM268" s="6856"/>
      <c r="AN268" s="6856"/>
      <c r="AO268" s="6856"/>
      <c r="AP268" s="3350"/>
      <c r="AQ268" s="1443"/>
      <c r="AR268" s="1443"/>
      <c r="AS268" s="1443"/>
      <c r="AT268" s="1443"/>
      <c r="AU268" s="1443"/>
      <c r="AV268" s="1443"/>
      <c r="AW268" s="1443"/>
      <c r="AX268" s="3742"/>
      <c r="AY268" s="5016"/>
      <c r="AZ268" s="5016"/>
      <c r="BA268" s="5016"/>
      <c r="BB268" s="5016"/>
      <c r="BC268" s="5016"/>
      <c r="BD268" s="5016"/>
      <c r="BE268" s="5016"/>
      <c r="BF268" s="5016"/>
      <c r="BG268" s="5016"/>
      <c r="BH268" s="5016"/>
    </row>
    <row r="269" spans="1:60" ht="9" customHeight="1">
      <c r="A269" s="5088"/>
      <c r="B269" s="5681"/>
      <c r="C269" s="5681"/>
      <c r="D269" s="5681"/>
      <c r="E269" s="5681"/>
      <c r="F269" s="5681"/>
      <c r="G269" s="5681"/>
      <c r="H269" s="5681"/>
      <c r="I269" s="5681"/>
      <c r="J269" s="5681"/>
      <c r="K269" s="5681"/>
      <c r="L269" s="5681"/>
      <c r="M269" s="5681"/>
      <c r="N269" s="5681"/>
      <c r="O269" s="5681"/>
      <c r="P269" s="5681"/>
      <c r="Q269" s="5681"/>
      <c r="R269" s="5681"/>
      <c r="S269" s="5681"/>
      <c r="T269" s="5681"/>
      <c r="U269" s="5681"/>
      <c r="V269" s="5681"/>
      <c r="W269" s="5681"/>
      <c r="X269" s="5681"/>
      <c r="Y269" s="5681"/>
      <c r="Z269" s="5681"/>
      <c r="AA269" s="6857"/>
      <c r="AB269" s="6858"/>
      <c r="AC269" s="6858"/>
      <c r="AD269" s="6858"/>
      <c r="AE269" s="6858"/>
      <c r="AF269" s="6858"/>
      <c r="AG269" s="6858"/>
      <c r="AH269" s="6858"/>
      <c r="AI269" s="6858"/>
      <c r="AJ269" s="6858"/>
      <c r="AK269" s="6858"/>
      <c r="AL269" s="6858"/>
      <c r="AM269" s="6858"/>
      <c r="AN269" s="6858"/>
      <c r="AO269" s="6858"/>
      <c r="AP269" s="3350"/>
      <c r="AQ269" s="1443"/>
      <c r="AR269" s="1443"/>
      <c r="AS269" s="1443"/>
      <c r="AT269" s="1443"/>
      <c r="AU269" s="1443"/>
      <c r="AV269" s="1443"/>
      <c r="AW269" s="1443"/>
      <c r="AX269" s="3742"/>
      <c r="AY269" s="5016"/>
      <c r="AZ269" s="5016"/>
      <c r="BA269" s="5016"/>
      <c r="BB269" s="5016"/>
      <c r="BC269" s="5016"/>
      <c r="BD269" s="5016"/>
      <c r="BE269" s="5016"/>
      <c r="BF269" s="5016"/>
      <c r="BG269" s="5016"/>
      <c r="BH269" s="5016"/>
    </row>
    <row r="270" spans="1:60" ht="12.75" customHeight="1">
      <c r="A270" s="5088"/>
      <c r="B270" s="3315" t="s">
        <v>3495</v>
      </c>
      <c r="C270" s="1957"/>
      <c r="D270" s="1957"/>
      <c r="E270" s="1957"/>
      <c r="F270" s="1957"/>
      <c r="G270" s="1957"/>
      <c r="H270" s="1957"/>
      <c r="I270" s="1957"/>
      <c r="J270" s="1957"/>
      <c r="K270" s="1957"/>
      <c r="L270" s="1957"/>
      <c r="M270" s="1957"/>
      <c r="N270" s="1957"/>
      <c r="O270" s="1957"/>
      <c r="P270" s="1957"/>
      <c r="Q270" s="1957"/>
      <c r="R270" s="1957"/>
      <c r="S270" s="1957"/>
      <c r="T270" s="1957"/>
      <c r="U270" s="1957"/>
      <c r="V270" s="1957"/>
      <c r="W270" s="1957"/>
      <c r="X270" s="1957"/>
      <c r="Y270" s="1957"/>
      <c r="Z270" s="1957"/>
      <c r="AA270" s="1957"/>
      <c r="AB270" s="1957"/>
      <c r="AC270" s="1957"/>
      <c r="AD270" s="1957"/>
      <c r="AE270" s="1957"/>
      <c r="AF270" s="1957"/>
      <c r="AG270" s="1957"/>
      <c r="AH270" s="1957"/>
      <c r="AI270" s="4706" t="s">
        <v>3496</v>
      </c>
      <c r="AJ270" s="1957"/>
      <c r="AK270" s="1957"/>
      <c r="AL270" s="1957"/>
      <c r="AM270" s="1957"/>
      <c r="AN270" s="1957"/>
      <c r="AO270" s="1957"/>
      <c r="AP270" s="3350"/>
      <c r="AQ270" s="1443"/>
      <c r="AR270" s="1443"/>
      <c r="AS270" s="1443"/>
      <c r="AT270" s="1443"/>
      <c r="AU270" s="1443"/>
      <c r="AV270" s="1443"/>
      <c r="AW270" s="1443"/>
      <c r="AX270" s="3742"/>
      <c r="AY270" s="5016"/>
      <c r="AZ270" s="5016"/>
      <c r="BA270" s="5016"/>
      <c r="BB270" s="5016"/>
      <c r="BC270" s="5016"/>
      <c r="BD270" s="5016"/>
      <c r="BE270" s="5016"/>
      <c r="BF270" s="5016"/>
      <c r="BG270" s="5016"/>
      <c r="BH270" s="5016"/>
    </row>
    <row r="271" spans="1:60" ht="12.75" customHeight="1">
      <c r="A271" s="5087" t="b">
        <f>AO272=0</f>
        <v>1</v>
      </c>
      <c r="B271" s="1592" t="s">
        <v>3497</v>
      </c>
      <c r="C271" s="1443"/>
      <c r="D271" s="1443"/>
      <c r="E271" s="1443" t="s">
        <v>3498</v>
      </c>
      <c r="F271" s="1922"/>
      <c r="G271" s="1443"/>
      <c r="H271" s="1443"/>
      <c r="I271" s="1443"/>
      <c r="J271" s="1443"/>
      <c r="K271" s="1443"/>
      <c r="L271" s="1443"/>
      <c r="M271" s="1443"/>
      <c r="N271" s="1443"/>
      <c r="O271" s="1443"/>
      <c r="P271" s="1443"/>
      <c r="Q271" s="1443"/>
      <c r="R271" s="1443"/>
      <c r="S271" s="1443"/>
      <c r="T271" s="1443"/>
      <c r="U271" s="1443"/>
      <c r="V271" s="1443"/>
      <c r="W271" s="1443"/>
      <c r="X271" s="1443"/>
      <c r="Y271" s="1443"/>
      <c r="Z271" s="1443"/>
      <c r="AA271" s="1443"/>
      <c r="AB271" s="1443"/>
      <c r="AC271" s="1443"/>
      <c r="AD271" s="1443"/>
      <c r="AE271" s="1443"/>
      <c r="AF271" s="1443"/>
      <c r="AG271" s="1443"/>
      <c r="AH271" s="1443"/>
      <c r="AI271" s="1443"/>
      <c r="AJ271" s="1443"/>
      <c r="AK271" s="1443"/>
      <c r="AL271" s="1443"/>
      <c r="AM271" s="1443"/>
      <c r="AN271" s="1443"/>
      <c r="AO271" s="1443"/>
      <c r="AP271" s="3350"/>
      <c r="AQ271" s="1616"/>
      <c r="AR271" s="6686"/>
      <c r="AS271" s="6687"/>
      <c r="AT271" s="6687"/>
      <c r="AU271" s="6687"/>
      <c r="AV271" s="1443"/>
      <c r="AW271" s="1443"/>
      <c r="AX271" s="3742"/>
      <c r="AY271" s="5016"/>
      <c r="AZ271" s="5016"/>
      <c r="BA271" s="5016"/>
      <c r="BB271" s="5016"/>
      <c r="BC271" s="5016"/>
      <c r="BD271" s="5016"/>
      <c r="BE271" s="5016"/>
      <c r="BF271" s="5016"/>
      <c r="BG271" s="5016"/>
      <c r="BH271" s="5016"/>
    </row>
    <row r="272" spans="1:60" ht="8.25" customHeight="1">
      <c r="A272" s="5088"/>
      <c r="B272" s="1443"/>
      <c r="C272" s="2772">
        <f>IF(C273&lt;&gt;"",1,0)</f>
        <v>0</v>
      </c>
      <c r="D272" s="1616"/>
      <c r="E272" s="1616"/>
      <c r="F272" s="3412"/>
      <c r="G272" s="1616"/>
      <c r="H272" s="1616"/>
      <c r="I272" s="1616"/>
      <c r="J272" s="1616"/>
      <c r="K272" s="2772">
        <f>IF(K273&lt;&gt;"",1,0)</f>
        <v>0</v>
      </c>
      <c r="L272" s="1616"/>
      <c r="M272" s="1616"/>
      <c r="N272" s="2772"/>
      <c r="O272" s="1616"/>
      <c r="P272" s="1616"/>
      <c r="Q272" s="1616"/>
      <c r="R272" s="1616"/>
      <c r="S272" s="1616"/>
      <c r="T272" s="1616"/>
      <c r="U272" s="1616"/>
      <c r="V272" s="1616"/>
      <c r="W272" s="2772">
        <f>IF(W273&lt;&gt;"",1,0)</f>
        <v>0</v>
      </c>
      <c r="X272" s="1616"/>
      <c r="Y272" s="1616"/>
      <c r="Z272" s="1616"/>
      <c r="AA272" s="1616"/>
      <c r="AB272" s="2772"/>
      <c r="AC272" s="1443"/>
      <c r="AD272" s="1443"/>
      <c r="AE272" s="1443"/>
      <c r="AF272" s="1443"/>
      <c r="AG272" s="1443"/>
      <c r="AH272" s="1443"/>
      <c r="AI272" s="2772">
        <f>IF(AI273&lt;&gt;"",1,0)</f>
        <v>0</v>
      </c>
      <c r="AJ272" s="1443"/>
      <c r="AK272" s="1443"/>
      <c r="AL272" s="1443"/>
      <c r="AM272" s="1443"/>
      <c r="AN272" s="1443"/>
      <c r="AO272" s="3074">
        <f>SUM(C272,K272,W272,AI272,C274,K274,W274)</f>
        <v>0</v>
      </c>
      <c r="AP272" s="3350"/>
      <c r="AQ272" s="1616"/>
      <c r="AR272" s="1616"/>
      <c r="AS272" s="1616"/>
      <c r="AT272" s="1616"/>
      <c r="AU272" s="1616"/>
      <c r="AV272" s="1443"/>
      <c r="AW272" s="1443"/>
      <c r="AX272" s="3742"/>
      <c r="AY272" s="5016"/>
      <c r="AZ272" s="5016"/>
      <c r="BA272" s="5016"/>
      <c r="BB272" s="5016"/>
      <c r="BC272" s="5016"/>
      <c r="BD272" s="5016"/>
      <c r="BE272" s="5016"/>
      <c r="BF272" s="5016"/>
      <c r="BG272" s="5016"/>
      <c r="BH272" s="5016"/>
    </row>
    <row r="273" spans="1:60" ht="13.5" customHeight="1">
      <c r="A273" s="5087" t="b">
        <f>AND(K273&lt;&gt;"",AO272=1,A330)</f>
        <v>0</v>
      </c>
      <c r="B273" s="3366" t="s">
        <v>38</v>
      </c>
      <c r="C273" s="1669"/>
      <c r="D273" s="3384" t="s">
        <v>3493</v>
      </c>
      <c r="E273" s="1443"/>
      <c r="F273" s="1443"/>
      <c r="G273" s="1443"/>
      <c r="H273" s="1443"/>
      <c r="I273" s="1443"/>
      <c r="J273" s="3366" t="s">
        <v>55</v>
      </c>
      <c r="K273" s="1669"/>
      <c r="L273" s="3384" t="s">
        <v>2746</v>
      </c>
      <c r="M273" s="3384"/>
      <c r="N273" s="1607"/>
      <c r="O273" s="3384"/>
      <c r="P273" s="1607"/>
      <c r="Q273" s="1443"/>
      <c r="R273" s="1443"/>
      <c r="S273" s="1443"/>
      <c r="T273" s="1443"/>
      <c r="U273" s="1443"/>
      <c r="V273" s="3366" t="s">
        <v>1201</v>
      </c>
      <c r="W273" s="1669"/>
      <c r="X273" s="3384" t="s">
        <v>2747</v>
      </c>
      <c r="Y273" s="1443"/>
      <c r="Z273" s="1443"/>
      <c r="AA273" s="3366"/>
      <c r="AB273" s="1443"/>
      <c r="AC273" s="3384"/>
      <c r="AD273" s="3366"/>
      <c r="AE273" s="1443"/>
      <c r="AF273" s="3366"/>
      <c r="AG273" s="1443"/>
      <c r="AH273" s="3366" t="s">
        <v>2693</v>
      </c>
      <c r="AI273" s="1669"/>
      <c r="AJ273" s="3384" t="s">
        <v>2748</v>
      </c>
      <c r="AK273" s="1443"/>
      <c r="AL273" s="1443"/>
      <c r="AM273" s="1443"/>
      <c r="AN273" s="1443"/>
      <c r="AO273" s="1588"/>
      <c r="AP273" s="3350"/>
      <c r="AQ273" s="1616"/>
      <c r="AR273" s="6686"/>
      <c r="AS273" s="6687"/>
      <c r="AT273" s="6687"/>
      <c r="AU273" s="6687"/>
      <c r="AV273" s="1443"/>
      <c r="AW273" s="1443"/>
      <c r="AX273" s="3742"/>
      <c r="AY273" s="5016"/>
      <c r="AZ273" s="5016"/>
      <c r="BA273" s="5016"/>
      <c r="BB273" s="5016"/>
      <c r="BC273" s="5016"/>
      <c r="BD273" s="5016"/>
      <c r="BE273" s="5016"/>
      <c r="BF273" s="5016"/>
      <c r="BG273" s="5016"/>
      <c r="BH273" s="5016"/>
    </row>
    <row r="274" spans="1:60" ht="6" customHeight="1">
      <c r="A274" s="5088"/>
      <c r="B274" s="3286"/>
      <c r="C274" s="2772">
        <f>IF(C275&lt;&gt;"",1,0)</f>
        <v>0</v>
      </c>
      <c r="D274" s="3413"/>
      <c r="E274" s="1616"/>
      <c r="F274" s="1616"/>
      <c r="G274" s="1616"/>
      <c r="H274" s="1616"/>
      <c r="I274" s="1616"/>
      <c r="J274" s="1616"/>
      <c r="K274" s="2772">
        <f>IF(K275&lt;&gt;"",1,0)</f>
        <v>0</v>
      </c>
      <c r="L274" s="1616"/>
      <c r="M274" s="1616"/>
      <c r="N274" s="2772"/>
      <c r="O274" s="1443"/>
      <c r="P274" s="1443"/>
      <c r="Q274" s="1443"/>
      <c r="R274" s="1443"/>
      <c r="S274" s="1443"/>
      <c r="T274" s="1443"/>
      <c r="U274" s="1443"/>
      <c r="V274" s="1443"/>
      <c r="W274" s="2772">
        <f>IF(W275&lt;&gt;"",1,0)</f>
        <v>0</v>
      </c>
      <c r="X274" s="1443"/>
      <c r="Y274" s="1443"/>
      <c r="Z274" s="1443"/>
      <c r="AA274" s="1443"/>
      <c r="AB274" s="1443"/>
      <c r="AC274" s="1443"/>
      <c r="AD274" s="1443"/>
      <c r="AE274" s="1443"/>
      <c r="AF274" s="1443"/>
      <c r="AG274" s="1443"/>
      <c r="AH274" s="1443"/>
      <c r="AI274" s="1443"/>
      <c r="AJ274" s="1443"/>
      <c r="AK274" s="1443"/>
      <c r="AL274" s="1443"/>
      <c r="AM274" s="1443"/>
      <c r="AN274" s="1443"/>
      <c r="AO274" s="1443"/>
      <c r="AP274" s="3350"/>
      <c r="AQ274" s="1616"/>
      <c r="AR274" s="1616"/>
      <c r="AS274" s="1616"/>
      <c r="AT274" s="1616"/>
      <c r="AU274" s="1616"/>
      <c r="AV274" s="1443"/>
      <c r="AW274" s="1443"/>
      <c r="AX274" s="3742"/>
      <c r="AY274" s="5016"/>
      <c r="AZ274" s="5016"/>
      <c r="BA274" s="5016"/>
      <c r="BB274" s="5016"/>
      <c r="BC274" s="5016"/>
      <c r="BD274" s="5016"/>
      <c r="BE274" s="5016"/>
      <c r="BF274" s="5016"/>
      <c r="BG274" s="5016"/>
      <c r="BH274" s="5016"/>
    </row>
    <row r="275" spans="1:60" ht="13.5" customHeight="1">
      <c r="A275" s="5088"/>
      <c r="B275" s="3366" t="s">
        <v>54</v>
      </c>
      <c r="C275" s="1669"/>
      <c r="D275" s="3384" t="s">
        <v>3494</v>
      </c>
      <c r="E275" s="1443"/>
      <c r="F275" s="1443"/>
      <c r="G275" s="1443"/>
      <c r="H275" s="1443"/>
      <c r="I275" s="1443"/>
      <c r="J275" s="3366" t="s">
        <v>102</v>
      </c>
      <c r="K275" s="1669"/>
      <c r="L275" s="3384" t="s">
        <v>2749</v>
      </c>
      <c r="M275" s="3384"/>
      <c r="N275" s="1607"/>
      <c r="O275" s="3384"/>
      <c r="P275" s="1607"/>
      <c r="Q275" s="1443"/>
      <c r="R275" s="1443"/>
      <c r="S275" s="1443"/>
      <c r="T275" s="1443"/>
      <c r="U275" s="1443"/>
      <c r="V275" s="3366" t="s">
        <v>1202</v>
      </c>
      <c r="W275" s="1669"/>
      <c r="X275" s="3384" t="s">
        <v>2750</v>
      </c>
      <c r="Y275" s="1443"/>
      <c r="Z275" s="1443"/>
      <c r="AA275" s="1443"/>
      <c r="AB275" s="1443"/>
      <c r="AC275" s="1443"/>
      <c r="AD275" s="1443"/>
      <c r="AE275" s="1443"/>
      <c r="AF275" s="1443"/>
      <c r="AG275" s="1443"/>
      <c r="AH275" s="1443"/>
      <c r="AI275" s="1443"/>
      <c r="AJ275" s="1443"/>
      <c r="AK275" s="1443"/>
      <c r="AL275" s="1443"/>
      <c r="AM275" s="1443"/>
      <c r="AN275" s="1443"/>
      <c r="AO275" s="1616" t="b">
        <f>IF(AO272&lt;&gt;1,TRUE,FALSE)</f>
        <v>1</v>
      </c>
      <c r="AP275" s="3350"/>
      <c r="AQ275" s="1616"/>
      <c r="AR275" s="6686"/>
      <c r="AS275" s="6687"/>
      <c r="AT275" s="6687"/>
      <c r="AU275" s="6687"/>
      <c r="AV275" s="1443"/>
      <c r="AW275" s="1443"/>
      <c r="AX275" s="3742"/>
      <c r="AY275" s="5016"/>
      <c r="AZ275" s="5016"/>
      <c r="BA275" s="5016"/>
      <c r="BB275" s="5016"/>
      <c r="BC275" s="5016"/>
      <c r="BD275" s="5016"/>
      <c r="BE275" s="5016"/>
      <c r="BF275" s="5016"/>
      <c r="BG275" s="5016"/>
      <c r="BH275" s="5016"/>
    </row>
    <row r="276" spans="1:60" ht="8.25" customHeight="1">
      <c r="A276" s="5088"/>
      <c r="B276" s="3286"/>
      <c r="C276" s="3367"/>
      <c r="D276" s="3269"/>
      <c r="E276" s="1443"/>
      <c r="F276" s="1443"/>
      <c r="G276" s="1443"/>
      <c r="H276" s="1443"/>
      <c r="I276" s="1443"/>
      <c r="J276" s="1443"/>
      <c r="K276" s="1443"/>
      <c r="L276" s="1443"/>
      <c r="M276" s="1443"/>
      <c r="N276" s="1443"/>
      <c r="O276" s="1443"/>
      <c r="P276" s="1443"/>
      <c r="Q276" s="1443"/>
      <c r="R276" s="1443"/>
      <c r="S276" s="1443"/>
      <c r="T276" s="1443"/>
      <c r="U276" s="1443"/>
      <c r="V276" s="1443"/>
      <c r="W276" s="1443"/>
      <c r="X276" s="1443"/>
      <c r="Y276" s="1443"/>
      <c r="Z276" s="1443"/>
      <c r="AA276" s="1443"/>
      <c r="AB276" s="1443"/>
      <c r="AC276" s="1443"/>
      <c r="AD276" s="1443"/>
      <c r="AE276" s="1443"/>
      <c r="AF276" s="1443"/>
      <c r="AG276" s="1443"/>
      <c r="AH276" s="1443"/>
      <c r="AI276" s="1443"/>
      <c r="AJ276" s="1443"/>
      <c r="AK276" s="1443"/>
      <c r="AL276" s="1443"/>
      <c r="AM276" s="1443"/>
      <c r="AN276" s="1443"/>
      <c r="AO276" s="1443"/>
      <c r="AP276" s="3350"/>
      <c r="AQ276" s="1616"/>
      <c r="AR276" s="1616"/>
      <c r="AS276" s="1616"/>
      <c r="AT276" s="1616"/>
      <c r="AU276" s="1616"/>
      <c r="AV276" s="1443"/>
      <c r="AW276" s="1443"/>
      <c r="AX276" s="3742"/>
      <c r="AY276" s="5016"/>
      <c r="AZ276" s="5016"/>
      <c r="BA276" s="5016"/>
      <c r="BB276" s="5016"/>
      <c r="BC276" s="5016"/>
      <c r="BD276" s="5016"/>
      <c r="BE276" s="5016"/>
      <c r="BF276" s="5016"/>
      <c r="BG276" s="5016"/>
      <c r="BH276" s="5016"/>
    </row>
    <row r="277" spans="1:60" ht="16.5" customHeight="1">
      <c r="A277" s="5088"/>
      <c r="B277" s="3385" t="s">
        <v>132</v>
      </c>
      <c r="C277" s="3386" t="s">
        <v>2751</v>
      </c>
      <c r="D277" s="1937"/>
      <c r="E277" s="1937"/>
      <c r="F277" s="1937"/>
      <c r="G277" s="1937"/>
      <c r="H277" s="1937"/>
      <c r="I277" s="1937"/>
      <c r="J277" s="1937"/>
      <c r="K277" s="1937"/>
      <c r="L277" s="6775"/>
      <c r="M277" s="6775"/>
      <c r="N277" s="6775"/>
      <c r="O277" s="6775"/>
      <c r="P277" s="6775"/>
      <c r="Q277" s="6775"/>
      <c r="R277" s="6775"/>
      <c r="S277" s="6775"/>
      <c r="T277" s="6775"/>
      <c r="U277" s="6775"/>
      <c r="V277" s="6775"/>
      <c r="W277" s="6775"/>
      <c r="X277" s="6775"/>
      <c r="Y277" s="6775"/>
      <c r="Z277" s="6775"/>
      <c r="AA277" s="6775"/>
      <c r="AB277" s="6775"/>
      <c r="AC277" s="6775"/>
      <c r="AD277" s="6775"/>
      <c r="AE277" s="6775"/>
      <c r="AF277" s="6775"/>
      <c r="AG277" s="6775"/>
      <c r="AH277" s="6775"/>
      <c r="AI277" s="6775"/>
      <c r="AJ277" s="6775"/>
      <c r="AK277" s="6775"/>
      <c r="AL277" s="6775"/>
      <c r="AM277" s="6775"/>
      <c r="AN277" s="6775"/>
      <c r="AO277" s="6775"/>
      <c r="AP277" s="3350"/>
      <c r="AQ277" s="1443"/>
      <c r="AR277" s="1443"/>
      <c r="AS277" s="1443"/>
      <c r="AT277" s="1443"/>
      <c r="AU277" s="1443"/>
      <c r="AV277" s="1443"/>
      <c r="AW277" s="1443"/>
      <c r="AX277" s="3742"/>
      <c r="AY277" s="5016"/>
      <c r="AZ277" s="5016"/>
      <c r="BA277" s="5016"/>
      <c r="BB277" s="5016"/>
      <c r="BC277" s="5016"/>
      <c r="BD277" s="5016"/>
      <c r="BE277" s="5016"/>
      <c r="BF277" s="5016"/>
      <c r="BG277" s="5016"/>
      <c r="BH277" s="5016"/>
    </row>
    <row r="278" spans="1:60" ht="12.75" customHeight="1">
      <c r="A278" s="5088"/>
      <c r="B278" s="6859" t="s">
        <v>30</v>
      </c>
      <c r="C278" s="6860"/>
      <c r="D278" s="1607" t="s">
        <v>2752</v>
      </c>
      <c r="E278" s="1443"/>
      <c r="F278" s="1443"/>
      <c r="G278" s="1443"/>
      <c r="H278" s="1443"/>
      <c r="I278" s="1443"/>
      <c r="J278" s="1443"/>
      <c r="K278" s="1443"/>
      <c r="L278" s="1443"/>
      <c r="M278" s="1443"/>
      <c r="N278" s="1443"/>
      <c r="O278" s="1443"/>
      <c r="P278" s="1443"/>
      <c r="Q278" s="1443"/>
      <c r="R278" s="1443"/>
      <c r="S278" s="1443"/>
      <c r="T278" s="1443"/>
      <c r="U278" s="1443"/>
      <c r="V278" s="1443"/>
      <c r="W278" s="1443"/>
      <c r="X278" s="1443"/>
      <c r="Y278" s="1443"/>
      <c r="Z278" s="1443"/>
      <c r="AA278" s="1443"/>
      <c r="AB278" s="1443"/>
      <c r="AC278" s="1443"/>
      <c r="AD278" s="1443"/>
      <c r="AE278" s="1443"/>
      <c r="AF278" s="1443"/>
      <c r="AG278" s="1443"/>
      <c r="AH278" s="1443"/>
      <c r="AI278" s="1443"/>
      <c r="AJ278" s="1443"/>
      <c r="AK278" s="1443"/>
      <c r="AL278" s="1443"/>
      <c r="AM278" s="1443"/>
      <c r="AN278" s="1443"/>
      <c r="AO278" s="1443"/>
      <c r="AP278" s="3350"/>
      <c r="AQ278" s="1443"/>
      <c r="AR278" s="1443"/>
      <c r="AS278" s="1443"/>
      <c r="AT278" s="1443"/>
      <c r="AU278" s="1443"/>
      <c r="AV278" s="1443"/>
      <c r="AW278" s="1443"/>
      <c r="AX278" s="3742"/>
      <c r="AY278" s="5016"/>
      <c r="AZ278" s="5016"/>
      <c r="BA278" s="5016"/>
      <c r="BB278" s="5016"/>
      <c r="BC278" s="5016"/>
      <c r="BD278" s="5016"/>
      <c r="BE278" s="5016"/>
      <c r="BF278" s="5016"/>
      <c r="BG278" s="5016"/>
      <c r="BH278" s="5016"/>
    </row>
    <row r="279" spans="1:60" ht="12.75" customHeight="1">
      <c r="A279" s="5088"/>
      <c r="B279" s="3400" t="s">
        <v>2790</v>
      </c>
      <c r="C279" s="3387"/>
      <c r="D279" s="3388"/>
      <c r="E279" s="1936"/>
      <c r="F279" s="1936"/>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6"/>
      <c r="AJ279" s="1936"/>
      <c r="AK279" s="1936"/>
      <c r="AL279" s="1936"/>
      <c r="AM279" s="1936"/>
      <c r="AN279" s="1936"/>
      <c r="AO279" s="1936"/>
      <c r="AP279" s="3350"/>
      <c r="AQ279" s="1443"/>
      <c r="AR279" s="1443"/>
      <c r="AS279" s="1443"/>
      <c r="AT279" s="1443"/>
      <c r="AU279" s="1443"/>
      <c r="AV279" s="1443"/>
      <c r="AW279" s="1443"/>
      <c r="AX279" s="3742"/>
      <c r="AY279" s="5016"/>
      <c r="AZ279" s="5016"/>
      <c r="BA279" s="5016"/>
      <c r="BB279" s="5016"/>
      <c r="BC279" s="5016"/>
      <c r="BD279" s="5016"/>
      <c r="BE279" s="5016"/>
      <c r="BF279" s="5016"/>
      <c r="BG279" s="5016"/>
      <c r="BH279" s="5016"/>
    </row>
    <row r="280" spans="1:60" s="3272" customFormat="1" ht="17.25" customHeight="1">
      <c r="A280" s="5090"/>
      <c r="B280" s="6207" t="s">
        <v>58</v>
      </c>
      <c r="C280" s="6207"/>
      <c r="D280" s="6208"/>
      <c r="E280" s="6861" t="s">
        <v>3536</v>
      </c>
      <c r="F280" s="6862"/>
      <c r="G280" s="6862"/>
      <c r="H280" s="6862"/>
      <c r="I280" s="6862"/>
      <c r="J280" s="6862"/>
      <c r="K280" s="6862"/>
      <c r="L280" s="6862"/>
      <c r="M280" s="6862"/>
      <c r="N280" s="6862"/>
      <c r="O280" s="6862"/>
      <c r="P280" s="6862"/>
      <c r="Q280" s="6862"/>
      <c r="R280" s="6862"/>
      <c r="S280" s="6862"/>
      <c r="T280" s="6862"/>
      <c r="U280" s="6862"/>
      <c r="V280" s="6862"/>
      <c r="W280" s="6862"/>
      <c r="X280" s="6862"/>
      <c r="Y280" s="6862"/>
      <c r="Z280" s="6862"/>
      <c r="AA280" s="6862"/>
      <c r="AB280" s="6862"/>
      <c r="AC280" s="6862"/>
      <c r="AD280" s="6862"/>
      <c r="AE280" s="6862"/>
      <c r="AF280" s="6862"/>
      <c r="AG280" s="6862"/>
      <c r="AH280" s="6862"/>
      <c r="AI280" s="6862"/>
      <c r="AJ280" s="6862"/>
      <c r="AK280" s="6862"/>
      <c r="AL280" s="6862"/>
      <c r="AM280" s="6862"/>
      <c r="AN280" s="6862"/>
      <c r="AO280" s="6862"/>
      <c r="AP280" s="3350"/>
      <c r="AQ280" s="1922"/>
      <c r="AR280" s="1922"/>
      <c r="AS280" s="1922"/>
      <c r="AT280" s="1922"/>
      <c r="AU280" s="1922"/>
      <c r="AV280" s="1922"/>
      <c r="AW280" s="1922"/>
      <c r="AX280" s="3742"/>
      <c r="AY280" s="5016"/>
      <c r="AZ280" s="5016"/>
      <c r="BA280" s="5016"/>
      <c r="BB280" s="5016"/>
      <c r="BC280" s="5016"/>
      <c r="BD280" s="5016"/>
      <c r="BE280" s="5016"/>
      <c r="BF280" s="5016"/>
      <c r="BG280" s="5016"/>
      <c r="BH280" s="5016"/>
    </row>
    <row r="281" spans="1:60" ht="14.25">
      <c r="A281" s="5088"/>
      <c r="B281" s="6863"/>
      <c r="C281" s="6863"/>
      <c r="D281" s="3269"/>
      <c r="E281" s="1443"/>
      <c r="F281" s="1443"/>
      <c r="G281" s="1443"/>
      <c r="H281" s="1443"/>
      <c r="I281" s="1443"/>
      <c r="J281" s="1443"/>
      <c r="K281" s="1443"/>
      <c r="L281" s="1443"/>
      <c r="M281" s="1443"/>
      <c r="N281" s="1443"/>
      <c r="O281" s="1443"/>
      <c r="P281" s="6864" t="s">
        <v>2759</v>
      </c>
      <c r="Q281" s="6865"/>
      <c r="R281" s="6865"/>
      <c r="S281" s="6865"/>
      <c r="T281" s="6865"/>
      <c r="U281" s="6865"/>
      <c r="V281" s="6865"/>
      <c r="W281" s="6865"/>
      <c r="X281" s="6865"/>
      <c r="Y281" s="6865"/>
      <c r="Z281" s="6865"/>
      <c r="AA281" s="6865"/>
      <c r="AB281" s="6865"/>
      <c r="AC281" s="6865"/>
      <c r="AD281" s="6865"/>
      <c r="AE281" s="6865"/>
      <c r="AF281" s="6865"/>
      <c r="AG281" s="6865"/>
      <c r="AH281" s="6865"/>
      <c r="AI281" s="6866"/>
      <c r="AJ281" s="6247" t="s">
        <v>2753</v>
      </c>
      <c r="AK281" s="5872"/>
      <c r="AL281" s="5872"/>
      <c r="AM281" s="5872"/>
      <c r="AN281" s="5872"/>
      <c r="AO281" s="5872"/>
      <c r="AP281" s="3350"/>
      <c r="AQ281" s="1443"/>
      <c r="AR281" s="1443"/>
      <c r="AS281" s="1443"/>
      <c r="AT281" s="1443"/>
      <c r="AU281" s="1443"/>
      <c r="AV281" s="1443"/>
      <c r="AW281" s="1443"/>
      <c r="AX281" s="3742"/>
      <c r="AY281" s="5016"/>
      <c r="AZ281" s="5016"/>
      <c r="BA281" s="5016"/>
      <c r="BB281" s="5016"/>
      <c r="BC281" s="5016"/>
      <c r="BD281" s="5016"/>
      <c r="BE281" s="5016"/>
      <c r="BF281" s="5016"/>
      <c r="BG281" s="5016"/>
      <c r="BH281" s="5016"/>
    </row>
    <row r="282" spans="1:60">
      <c r="A282" s="5088"/>
      <c r="B282" s="6833" t="str">
        <f>B30</f>
        <v>i</v>
      </c>
      <c r="C282" s="6833"/>
      <c r="D282" s="3405" t="s">
        <v>2754</v>
      </c>
      <c r="E282" s="1443"/>
      <c r="F282" s="1443"/>
      <c r="G282" s="1443"/>
      <c r="H282" s="1443"/>
      <c r="I282" s="1443"/>
      <c r="J282" s="1443"/>
      <c r="K282" s="1443"/>
      <c r="L282" s="1443"/>
      <c r="M282" s="1443"/>
      <c r="N282" s="1443"/>
      <c r="O282" s="1443"/>
      <c r="P282" s="6795" t="s">
        <v>159</v>
      </c>
      <c r="Q282" s="6867"/>
      <c r="R282" s="6867"/>
      <c r="S282" s="6867"/>
      <c r="T282" s="6867"/>
      <c r="U282" s="6867"/>
      <c r="V282" s="6868"/>
      <c r="W282" s="6795" t="s">
        <v>327</v>
      </c>
      <c r="X282" s="6867"/>
      <c r="Y282" s="6867"/>
      <c r="Z282" s="6867"/>
      <c r="AA282" s="6867"/>
      <c r="AB282" s="6867"/>
      <c r="AC282" s="6868"/>
      <c r="AD282" s="6795" t="s">
        <v>160</v>
      </c>
      <c r="AE282" s="6867"/>
      <c r="AF282" s="6867"/>
      <c r="AG282" s="6867"/>
      <c r="AH282" s="6867"/>
      <c r="AI282" s="6868"/>
      <c r="AJ282" s="6250"/>
      <c r="AK282" s="6251"/>
      <c r="AL282" s="6251"/>
      <c r="AM282" s="6251"/>
      <c r="AN282" s="6251"/>
      <c r="AO282" s="6251"/>
      <c r="AP282" s="3350"/>
      <c r="AQ282" s="1443"/>
      <c r="AR282" s="1443"/>
      <c r="AS282" s="1443"/>
      <c r="AT282" s="1443"/>
      <c r="AU282" s="1443"/>
      <c r="AV282" s="1443"/>
      <c r="AW282" s="1443"/>
      <c r="AX282" s="3742"/>
      <c r="AY282" s="5016"/>
      <c r="AZ282" s="5016"/>
      <c r="BA282" s="5016"/>
      <c r="BB282" s="5016"/>
      <c r="BC282" s="5016"/>
      <c r="BD282" s="5016"/>
      <c r="BE282" s="5016"/>
      <c r="BF282" s="5016"/>
      <c r="BG282" s="5016"/>
      <c r="BH282" s="5016"/>
    </row>
    <row r="283" spans="1:60" s="1029" customFormat="1" ht="13.5" customHeight="1">
      <c r="A283" s="5091"/>
      <c r="B283" s="6846"/>
      <c r="C283" s="6846"/>
      <c r="D283" s="3406" t="s">
        <v>2755</v>
      </c>
      <c r="E283" s="1608"/>
      <c r="F283" s="1608"/>
      <c r="G283" s="1608"/>
      <c r="H283" s="1608"/>
      <c r="I283" s="1608"/>
      <c r="J283" s="1608"/>
      <c r="K283" s="1608"/>
      <c r="L283" s="1608"/>
      <c r="M283" s="1608"/>
      <c r="N283" s="1608"/>
      <c r="O283" s="4843" t="s">
        <v>1312</v>
      </c>
      <c r="P283" s="6847"/>
      <c r="Q283" s="6848"/>
      <c r="R283" s="6848"/>
      <c r="S283" s="6848"/>
      <c r="T283" s="6848"/>
      <c r="U283" s="6848"/>
      <c r="V283" s="6849"/>
      <c r="W283" s="6847"/>
      <c r="X283" s="6848"/>
      <c r="Y283" s="6848"/>
      <c r="Z283" s="6848"/>
      <c r="AA283" s="6848"/>
      <c r="AB283" s="6848"/>
      <c r="AC283" s="6849"/>
      <c r="AD283" s="6847"/>
      <c r="AE283" s="6848"/>
      <c r="AF283" s="6848"/>
      <c r="AG283" s="6848"/>
      <c r="AH283" s="6848"/>
      <c r="AI283" s="6849"/>
      <c r="AJ283" s="6850"/>
      <c r="AK283" s="6851"/>
      <c r="AL283" s="3415"/>
      <c r="AM283" s="1608"/>
      <c r="AN283" s="1608"/>
      <c r="AO283" s="1608"/>
      <c r="AP283" s="3389"/>
      <c r="AQ283" s="1608"/>
      <c r="AR283" s="1608"/>
      <c r="AS283" s="1608"/>
      <c r="AT283" s="1608"/>
      <c r="AU283" s="1608"/>
      <c r="AV283" s="1608"/>
      <c r="AW283" s="1608"/>
      <c r="AX283" s="5019"/>
      <c r="AY283" s="5017"/>
      <c r="AZ283" s="5017"/>
      <c r="BA283" s="5017"/>
      <c r="BB283" s="5017"/>
      <c r="BC283" s="5017"/>
      <c r="BD283" s="5017"/>
      <c r="BE283" s="5017"/>
      <c r="BF283" s="5017"/>
      <c r="BG283" s="5017"/>
      <c r="BH283" s="5017"/>
    </row>
    <row r="284" spans="1:60" ht="12" customHeight="1">
      <c r="A284" s="5088"/>
      <c r="B284" s="6698" t="s">
        <v>14</v>
      </c>
      <c r="C284" s="6698"/>
      <c r="D284" s="1592" t="s">
        <v>2756</v>
      </c>
      <c r="E284" s="1443"/>
      <c r="F284" s="1443"/>
      <c r="G284" s="1443"/>
      <c r="H284" s="1443"/>
      <c r="I284" s="1443"/>
      <c r="J284" s="1443"/>
      <c r="K284" s="1443"/>
      <c r="L284" s="1443"/>
      <c r="M284" s="1443"/>
      <c r="N284" s="1443"/>
      <c r="O284" s="1443"/>
      <c r="P284" s="2255"/>
      <c r="Q284" s="1945"/>
      <c r="R284" s="1945"/>
      <c r="S284" s="1945"/>
      <c r="T284" s="1945"/>
      <c r="U284" s="1945"/>
      <c r="V284" s="2256"/>
      <c r="W284" s="2255"/>
      <c r="X284" s="1945"/>
      <c r="Y284" s="1945"/>
      <c r="Z284" s="1945"/>
      <c r="AA284" s="1945"/>
      <c r="AB284" s="1945"/>
      <c r="AC284" s="2256"/>
      <c r="AD284" s="2255"/>
      <c r="AE284" s="1945"/>
      <c r="AF284" s="1945"/>
      <c r="AG284" s="1945"/>
      <c r="AH284" s="1945"/>
      <c r="AI284" s="2256"/>
      <c r="AJ284" s="6696"/>
      <c r="AK284" s="5680"/>
      <c r="AL284" s="1965"/>
      <c r="AM284" s="1443"/>
      <c r="AN284" s="1443"/>
      <c r="AO284" s="1443"/>
      <c r="AP284" s="3350"/>
      <c r="AQ284" s="1443"/>
      <c r="AR284" s="1443"/>
      <c r="AS284" s="1443"/>
      <c r="AT284" s="1443"/>
      <c r="AU284" s="1443"/>
      <c r="AV284" s="1443"/>
      <c r="AW284" s="1443"/>
      <c r="AX284" s="3742"/>
      <c r="AY284" s="5016"/>
      <c r="AZ284" s="5016"/>
      <c r="BA284" s="5016"/>
      <c r="BB284" s="5016"/>
      <c r="BC284" s="5016"/>
      <c r="BD284" s="5016"/>
      <c r="BE284" s="5016"/>
      <c r="BF284" s="5016"/>
      <c r="BG284" s="5016"/>
      <c r="BH284" s="5016"/>
    </row>
    <row r="285" spans="1:60" ht="12" customHeight="1">
      <c r="A285" s="5088"/>
      <c r="B285" s="4846"/>
      <c r="C285" s="4846"/>
      <c r="D285" s="1607" t="s">
        <v>2757</v>
      </c>
      <c r="E285" s="1443"/>
      <c r="F285" s="1443"/>
      <c r="G285" s="1443"/>
      <c r="H285" s="1443"/>
      <c r="I285" s="1443"/>
      <c r="J285" s="1443"/>
      <c r="K285" s="1443"/>
      <c r="L285" s="1443"/>
      <c r="M285" s="1443"/>
      <c r="N285" s="1443"/>
      <c r="O285" s="1443"/>
      <c r="P285" s="2257"/>
      <c r="Q285" s="1945"/>
      <c r="R285" s="1945"/>
      <c r="S285" s="1945"/>
      <c r="T285" s="1945"/>
      <c r="U285" s="1945"/>
      <c r="V285" s="2258"/>
      <c r="W285" s="2257"/>
      <c r="X285" s="1945"/>
      <c r="Y285" s="1945"/>
      <c r="Z285" s="1945"/>
      <c r="AA285" s="1945"/>
      <c r="AB285" s="1945"/>
      <c r="AC285" s="2258"/>
      <c r="AD285" s="2257"/>
      <c r="AE285" s="1945"/>
      <c r="AF285" s="1945"/>
      <c r="AG285" s="1945"/>
      <c r="AH285" s="1945"/>
      <c r="AI285" s="2258"/>
      <c r="AJ285" s="6696"/>
      <c r="AK285" s="5680"/>
      <c r="AL285" s="1965"/>
      <c r="AM285" s="1443"/>
      <c r="AN285" s="1443"/>
      <c r="AO285" s="1443"/>
      <c r="AP285" s="3350"/>
      <c r="AQ285" s="1443"/>
      <c r="AR285" s="1443"/>
      <c r="AS285" s="1443"/>
      <c r="AT285" s="1443"/>
      <c r="AU285" s="1443"/>
      <c r="AV285" s="1443"/>
      <c r="AW285" s="1443"/>
      <c r="AX285" s="3742"/>
      <c r="AY285" s="5016"/>
      <c r="AZ285" s="5016"/>
      <c r="BA285" s="5016"/>
      <c r="BB285" s="5016"/>
      <c r="BC285" s="5016"/>
      <c r="BD285" s="5016"/>
      <c r="BE285" s="5016"/>
      <c r="BF285" s="5016"/>
      <c r="BG285" s="5016"/>
      <c r="BH285" s="5016"/>
    </row>
    <row r="286" spans="1:60" ht="12" customHeight="1">
      <c r="A286" s="5088"/>
      <c r="B286" s="4846"/>
      <c r="C286" s="4846"/>
      <c r="D286" s="2378" t="s">
        <v>2758</v>
      </c>
      <c r="E286" s="1443"/>
      <c r="F286" s="1443"/>
      <c r="G286" s="1443"/>
      <c r="H286" s="6852"/>
      <c r="I286" s="6853"/>
      <c r="J286" s="6853"/>
      <c r="K286" s="6853"/>
      <c r="L286" s="6853"/>
      <c r="M286" s="6853"/>
      <c r="N286" s="6853"/>
      <c r="O286" s="1443"/>
      <c r="P286" s="2257"/>
      <c r="Q286" s="1945"/>
      <c r="R286" s="1945"/>
      <c r="S286" s="1945"/>
      <c r="T286" s="1945"/>
      <c r="U286" s="1945"/>
      <c r="V286" s="2258"/>
      <c r="W286" s="2257"/>
      <c r="X286" s="1945"/>
      <c r="Y286" s="1945"/>
      <c r="Z286" s="1945"/>
      <c r="AA286" s="1945"/>
      <c r="AB286" s="1945"/>
      <c r="AC286" s="2258"/>
      <c r="AD286" s="2257"/>
      <c r="AE286" s="1945"/>
      <c r="AF286" s="1945"/>
      <c r="AG286" s="1945"/>
      <c r="AH286" s="1945"/>
      <c r="AI286" s="2258"/>
      <c r="AJ286" s="6696"/>
      <c r="AK286" s="5680"/>
      <c r="AL286" s="1965"/>
      <c r="AM286" s="1443"/>
      <c r="AN286" s="1443"/>
      <c r="AO286" s="1443"/>
      <c r="AP286" s="3350"/>
      <c r="AQ286" s="1443"/>
      <c r="AR286" s="1443"/>
      <c r="AS286" s="1443"/>
      <c r="AT286" s="1443"/>
      <c r="AU286" s="1443"/>
      <c r="AV286" s="1443"/>
      <c r="AW286" s="1443"/>
      <c r="AX286" s="3742"/>
      <c r="AY286" s="5016"/>
      <c r="AZ286" s="5016"/>
      <c r="BA286" s="5016"/>
      <c r="BB286" s="5016"/>
      <c r="BC286" s="5016"/>
      <c r="BD286" s="5016"/>
      <c r="BE286" s="5016"/>
      <c r="BF286" s="5016"/>
      <c r="BG286" s="5016"/>
      <c r="BH286" s="5016"/>
    </row>
    <row r="287" spans="1:60" ht="12" customHeight="1">
      <c r="A287" s="5088"/>
      <c r="B287" s="4846"/>
      <c r="C287" s="4846"/>
      <c r="D287" s="6702"/>
      <c r="E287" s="6703"/>
      <c r="F287" s="6703"/>
      <c r="G287" s="6703"/>
      <c r="H287" s="6703"/>
      <c r="I287" s="6703"/>
      <c r="J287" s="6703"/>
      <c r="K287" s="6703"/>
      <c r="L287" s="6703"/>
      <c r="M287" s="6703"/>
      <c r="N287" s="6703"/>
      <c r="O287" s="1443"/>
      <c r="P287" s="2257"/>
      <c r="Q287" s="1945"/>
      <c r="R287" s="1945"/>
      <c r="S287" s="1945"/>
      <c r="T287" s="1945"/>
      <c r="U287" s="1945"/>
      <c r="V287" s="2258"/>
      <c r="W287" s="2257"/>
      <c r="X287" s="1945"/>
      <c r="Y287" s="1945"/>
      <c r="Z287" s="1945"/>
      <c r="AA287" s="1945"/>
      <c r="AB287" s="1945"/>
      <c r="AC287" s="2258"/>
      <c r="AD287" s="2257"/>
      <c r="AE287" s="1945"/>
      <c r="AF287" s="1945"/>
      <c r="AG287" s="1945"/>
      <c r="AH287" s="1945"/>
      <c r="AI287" s="2258"/>
      <c r="AJ287" s="6696"/>
      <c r="AK287" s="5680"/>
      <c r="AL287" s="1965"/>
      <c r="AM287" s="1443"/>
      <c r="AN287" s="1443"/>
      <c r="AO287" s="1443"/>
      <c r="AP287" s="3350"/>
      <c r="AQ287" s="1443"/>
      <c r="AR287" s="1443"/>
      <c r="AS287" s="1443"/>
      <c r="AT287" s="1443"/>
      <c r="AU287" s="1443"/>
      <c r="AV287" s="1443"/>
      <c r="AW287" s="1443"/>
      <c r="AX287" s="3742"/>
      <c r="AY287" s="5016"/>
      <c r="AZ287" s="5016"/>
      <c r="BA287" s="5016"/>
      <c r="BB287" s="5016"/>
      <c r="BC287" s="5016"/>
      <c r="BD287" s="5016"/>
      <c r="BE287" s="5016"/>
      <c r="BF287" s="5016"/>
      <c r="BG287" s="5016"/>
      <c r="BH287" s="5016"/>
    </row>
    <row r="288" spans="1:60" ht="12" customHeight="1">
      <c r="A288" s="5088"/>
      <c r="B288" s="4846"/>
      <c r="C288" s="4846"/>
      <c r="D288" s="6704"/>
      <c r="E288" s="6705"/>
      <c r="F288" s="6705"/>
      <c r="G288" s="6705"/>
      <c r="H288" s="6705"/>
      <c r="I288" s="6705"/>
      <c r="J288" s="6705"/>
      <c r="K288" s="6705"/>
      <c r="L288" s="6705"/>
      <c r="M288" s="6705"/>
      <c r="N288" s="6705"/>
      <c r="O288" s="1443"/>
      <c r="P288" s="6699"/>
      <c r="Q288" s="6700"/>
      <c r="R288" s="6700"/>
      <c r="S288" s="6700"/>
      <c r="T288" s="6700"/>
      <c r="U288" s="6700"/>
      <c r="V288" s="6701"/>
      <c r="W288" s="6699"/>
      <c r="X288" s="6700"/>
      <c r="Y288" s="6700"/>
      <c r="Z288" s="6700"/>
      <c r="AA288" s="6700"/>
      <c r="AB288" s="6700"/>
      <c r="AC288" s="6701"/>
      <c r="AD288" s="6699"/>
      <c r="AE288" s="6700"/>
      <c r="AF288" s="6700"/>
      <c r="AG288" s="6700"/>
      <c r="AH288" s="6700"/>
      <c r="AI288" s="6701"/>
      <c r="AJ288" s="6706" t="s">
        <v>14</v>
      </c>
      <c r="AK288" s="6080"/>
      <c r="AL288" s="6707">
        <f>IF(AND(SUM(P288,W288,AD288)&gt;0,AO272=0),"Check one box.",ROUND(SUM(P288,W288,AD288),0))</f>
        <v>0</v>
      </c>
      <c r="AM288" s="5809"/>
      <c r="AN288" s="5809"/>
      <c r="AO288" s="5809"/>
      <c r="AP288" s="3350"/>
      <c r="AQ288" s="1443"/>
      <c r="AR288" s="1443"/>
      <c r="AS288" s="1443"/>
      <c r="AT288" s="1443"/>
      <c r="AU288" s="1443"/>
      <c r="AV288" s="1443"/>
      <c r="AW288" s="1443"/>
      <c r="AX288" s="3742"/>
      <c r="AY288" s="5016"/>
      <c r="AZ288" s="5016"/>
      <c r="BA288" s="5016"/>
      <c r="BB288" s="5016"/>
      <c r="BC288" s="5016"/>
      <c r="BD288" s="5016"/>
      <c r="BE288" s="5016"/>
      <c r="BF288" s="5016"/>
      <c r="BG288" s="5016"/>
      <c r="BH288" s="5016"/>
    </row>
    <row r="289" spans="1:60" ht="12" customHeight="1">
      <c r="A289" s="5088"/>
      <c r="B289" s="6698" t="s">
        <v>54</v>
      </c>
      <c r="C289" s="6698"/>
      <c r="D289" s="2378" t="s">
        <v>2760</v>
      </c>
      <c r="E289" s="1443"/>
      <c r="F289" s="1443"/>
      <c r="G289" s="1443"/>
      <c r="H289" s="1443"/>
      <c r="I289" s="1443"/>
      <c r="J289" s="1443"/>
      <c r="K289" s="1443"/>
      <c r="L289" s="1443"/>
      <c r="M289" s="1443"/>
      <c r="N289" s="1443"/>
      <c r="O289" s="1443"/>
      <c r="P289" s="3416"/>
      <c r="Q289" s="3417"/>
      <c r="R289" s="3417"/>
      <c r="S289" s="3417"/>
      <c r="T289" s="3417"/>
      <c r="U289" s="3417"/>
      <c r="V289" s="3418"/>
      <c r="W289" s="3416"/>
      <c r="X289" s="3417"/>
      <c r="Y289" s="3417"/>
      <c r="Z289" s="3417"/>
      <c r="AA289" s="3417"/>
      <c r="AB289" s="3417"/>
      <c r="AC289" s="3418"/>
      <c r="AD289" s="3416"/>
      <c r="AE289" s="3417"/>
      <c r="AF289" s="3417"/>
      <c r="AG289" s="3417"/>
      <c r="AH289" s="3417"/>
      <c r="AI289" s="3418"/>
      <c r="AJ289" s="6780"/>
      <c r="AK289" s="6078"/>
      <c r="AL289" s="1964"/>
      <c r="AM289" s="1443"/>
      <c r="AN289" s="1443"/>
      <c r="AO289" s="1443"/>
      <c r="AP289" s="3350"/>
      <c r="AQ289" s="1443"/>
      <c r="AR289" s="1443"/>
      <c r="AS289" s="1443"/>
      <c r="AT289" s="1443"/>
      <c r="AU289" s="1443"/>
      <c r="AV289" s="1443"/>
      <c r="AW289" s="1443"/>
      <c r="AX289" s="3742"/>
      <c r="AY289" s="5016"/>
      <c r="AZ289" s="5016"/>
      <c r="BA289" s="5016"/>
      <c r="BB289" s="5016"/>
      <c r="BC289" s="5016"/>
      <c r="BD289" s="5016"/>
      <c r="BE289" s="5016"/>
      <c r="BF289" s="5016"/>
      <c r="BG289" s="5016"/>
      <c r="BH289" s="5016"/>
    </row>
    <row r="290" spans="1:60" ht="12" customHeight="1">
      <c r="A290" s="5088"/>
      <c r="B290" s="4846"/>
      <c r="C290" s="4846"/>
      <c r="D290" s="2378" t="s">
        <v>2761</v>
      </c>
      <c r="E290" s="1443"/>
      <c r="F290" s="1443"/>
      <c r="G290" s="1443"/>
      <c r="H290" s="1443"/>
      <c r="I290" s="1443"/>
      <c r="J290" s="1443"/>
      <c r="K290" s="1443"/>
      <c r="L290" s="1443"/>
      <c r="M290" s="1443"/>
      <c r="N290" s="1443"/>
      <c r="O290" s="1443"/>
      <c r="P290" s="3416"/>
      <c r="Q290" s="3417"/>
      <c r="R290" s="3417"/>
      <c r="S290" s="3417"/>
      <c r="T290" s="3417"/>
      <c r="U290" s="3417"/>
      <c r="V290" s="3418"/>
      <c r="W290" s="3416"/>
      <c r="X290" s="3417"/>
      <c r="Y290" s="3417"/>
      <c r="Z290" s="3417"/>
      <c r="AA290" s="3417"/>
      <c r="AB290" s="3417"/>
      <c r="AC290" s="3418"/>
      <c r="AD290" s="3416"/>
      <c r="AE290" s="3417"/>
      <c r="AF290" s="3417"/>
      <c r="AG290" s="3417"/>
      <c r="AH290" s="3417"/>
      <c r="AI290" s="3418"/>
      <c r="AJ290" s="6696"/>
      <c r="AK290" s="5680"/>
      <c r="AL290" s="1965"/>
      <c r="AM290" s="1443"/>
      <c r="AN290" s="1443"/>
      <c r="AO290" s="1443"/>
      <c r="AP290" s="3350"/>
      <c r="AQ290" s="1443"/>
      <c r="AR290" s="1443"/>
      <c r="AS290" s="1443"/>
      <c r="AT290" s="1443"/>
      <c r="AU290" s="1443"/>
      <c r="AV290" s="1443"/>
      <c r="AW290" s="1443"/>
      <c r="AX290" s="3742"/>
      <c r="AY290" s="5016"/>
      <c r="AZ290" s="5016"/>
      <c r="BA290" s="5016"/>
      <c r="BB290" s="5016"/>
      <c r="BC290" s="5016"/>
      <c r="BD290" s="5016"/>
      <c r="BE290" s="5016"/>
      <c r="BF290" s="5016"/>
      <c r="BG290" s="5016"/>
      <c r="BH290" s="5016"/>
    </row>
    <row r="291" spans="1:60" ht="12" customHeight="1">
      <c r="A291" s="5088"/>
      <c r="B291" s="4846"/>
      <c r="C291" s="4846"/>
      <c r="D291" s="2378" t="s">
        <v>2762</v>
      </c>
      <c r="E291" s="1443"/>
      <c r="F291" s="1443"/>
      <c r="G291" s="1443"/>
      <c r="H291" s="1443"/>
      <c r="I291" s="1443"/>
      <c r="J291" s="1443"/>
      <c r="K291" s="1443"/>
      <c r="L291" s="1443"/>
      <c r="M291" s="1443"/>
      <c r="N291" s="1443"/>
      <c r="O291" s="1443"/>
      <c r="P291" s="3416"/>
      <c r="Q291" s="3417"/>
      <c r="R291" s="3417"/>
      <c r="S291" s="3417"/>
      <c r="T291" s="3417"/>
      <c r="U291" s="3417"/>
      <c r="V291" s="3418"/>
      <c r="W291" s="3416"/>
      <c r="X291" s="3417"/>
      <c r="Y291" s="3417"/>
      <c r="Z291" s="3417"/>
      <c r="AA291" s="3417"/>
      <c r="AB291" s="3417"/>
      <c r="AC291" s="3418"/>
      <c r="AD291" s="3416"/>
      <c r="AE291" s="3417"/>
      <c r="AF291" s="3417"/>
      <c r="AG291" s="3417"/>
      <c r="AH291" s="3417"/>
      <c r="AI291" s="3418"/>
      <c r="AJ291" s="6696"/>
      <c r="AK291" s="5680"/>
      <c r="AL291" s="1965"/>
      <c r="AM291" s="1443"/>
      <c r="AN291" s="1443"/>
      <c r="AO291" s="1443"/>
      <c r="AP291" s="3350"/>
      <c r="AQ291" s="1443"/>
      <c r="AR291" s="1443"/>
      <c r="AS291" s="1443"/>
      <c r="AT291" s="1443"/>
      <c r="AU291" s="1443"/>
      <c r="AV291" s="1443"/>
      <c r="AW291" s="1443"/>
      <c r="AX291" s="3742"/>
      <c r="AY291" s="5016"/>
      <c r="AZ291" s="5016"/>
      <c r="BA291" s="5016"/>
      <c r="BB291" s="5016"/>
      <c r="BC291" s="5016"/>
      <c r="BD291" s="5016"/>
      <c r="BE291" s="5016"/>
      <c r="BF291" s="5016"/>
      <c r="BG291" s="5016"/>
      <c r="BH291" s="5016"/>
    </row>
    <row r="292" spans="1:60" ht="12" customHeight="1">
      <c r="A292" s="5088"/>
      <c r="B292" s="4846"/>
      <c r="C292" s="4846"/>
      <c r="D292" s="2378" t="s">
        <v>2763</v>
      </c>
      <c r="E292" s="1443"/>
      <c r="F292" s="1443"/>
      <c r="G292" s="1443"/>
      <c r="H292" s="1443"/>
      <c r="I292" s="1443"/>
      <c r="J292" s="1443"/>
      <c r="K292" s="1443"/>
      <c r="L292" s="1443"/>
      <c r="M292" s="1443"/>
      <c r="N292" s="1443"/>
      <c r="O292" s="1443"/>
      <c r="P292" s="3416"/>
      <c r="Q292" s="3417"/>
      <c r="R292" s="3417"/>
      <c r="S292" s="3417"/>
      <c r="T292" s="3417"/>
      <c r="U292" s="3417"/>
      <c r="V292" s="3418"/>
      <c r="W292" s="3416"/>
      <c r="X292" s="3417"/>
      <c r="Y292" s="3417"/>
      <c r="Z292" s="3417"/>
      <c r="AA292" s="3417"/>
      <c r="AB292" s="3417"/>
      <c r="AC292" s="3418"/>
      <c r="AD292" s="3416"/>
      <c r="AE292" s="3417"/>
      <c r="AF292" s="3417"/>
      <c r="AG292" s="3417"/>
      <c r="AH292" s="3417"/>
      <c r="AI292" s="3418"/>
      <c r="AJ292" s="6696"/>
      <c r="AK292" s="5680"/>
      <c r="AL292" s="1965"/>
      <c r="AM292" s="1443"/>
      <c r="AN292" s="1443"/>
      <c r="AO292" s="1443"/>
      <c r="AP292" s="3350"/>
      <c r="AQ292" s="1443"/>
      <c r="AR292" s="1443"/>
      <c r="AS292" s="1443"/>
      <c r="AT292" s="1443"/>
      <c r="AU292" s="1443"/>
      <c r="AV292" s="1443"/>
      <c r="AW292" s="1443"/>
      <c r="AX292" s="3742"/>
      <c r="AY292" s="5016"/>
      <c r="AZ292" s="5016"/>
      <c r="BA292" s="5016"/>
      <c r="BB292" s="5016"/>
      <c r="BC292" s="5016"/>
      <c r="BD292" s="5016"/>
      <c r="BE292" s="5016"/>
      <c r="BF292" s="5016"/>
      <c r="BG292" s="5016"/>
      <c r="BH292" s="5016"/>
    </row>
    <row r="293" spans="1:60" ht="12" customHeight="1">
      <c r="A293" s="5088"/>
      <c r="B293" s="4846"/>
      <c r="C293" s="4846"/>
      <c r="D293" s="2378" t="s">
        <v>2764</v>
      </c>
      <c r="E293" s="1443"/>
      <c r="F293" s="1443"/>
      <c r="G293" s="1443"/>
      <c r="H293" s="1443"/>
      <c r="I293" s="1443"/>
      <c r="J293" s="1443"/>
      <c r="K293" s="1443"/>
      <c r="L293" s="1443"/>
      <c r="M293" s="1943" t="s">
        <v>1280</v>
      </c>
      <c r="N293" s="1444"/>
      <c r="O293" s="1443"/>
      <c r="P293" s="3416"/>
      <c r="Q293" s="3417"/>
      <c r="R293" s="3417"/>
      <c r="S293" s="3417"/>
      <c r="T293" s="3417"/>
      <c r="U293" s="3417"/>
      <c r="V293" s="3418"/>
      <c r="W293" s="3416"/>
      <c r="X293" s="3417"/>
      <c r="Y293" s="3417"/>
      <c r="Z293" s="3417"/>
      <c r="AA293" s="3417"/>
      <c r="AB293" s="3417"/>
      <c r="AC293" s="3418"/>
      <c r="AD293" s="3416"/>
      <c r="AE293" s="3417"/>
      <c r="AF293" s="3417"/>
      <c r="AG293" s="3417"/>
      <c r="AH293" s="3417"/>
      <c r="AI293" s="3418"/>
      <c r="AJ293" s="6696"/>
      <c r="AK293" s="5680"/>
      <c r="AL293" s="1965"/>
      <c r="AM293" s="1443"/>
      <c r="AN293" s="1443"/>
      <c r="AO293" s="1443"/>
      <c r="AP293" s="3350"/>
      <c r="AQ293" s="1443"/>
      <c r="AR293" s="1443"/>
      <c r="AS293" s="1443"/>
      <c r="AT293" s="1443"/>
      <c r="AU293" s="1443"/>
      <c r="AV293" s="1443"/>
      <c r="AW293" s="1443"/>
      <c r="AX293" s="3742"/>
      <c r="AY293" s="5016"/>
      <c r="AZ293" s="5016"/>
      <c r="BA293" s="5016"/>
      <c r="BB293" s="5016"/>
      <c r="BC293" s="5016"/>
      <c r="BD293" s="5016"/>
      <c r="BE293" s="5016"/>
      <c r="BF293" s="5016"/>
      <c r="BG293" s="5016"/>
      <c r="BH293" s="5016"/>
    </row>
    <row r="294" spans="1:60" ht="6" customHeight="1">
      <c r="A294" s="5088"/>
      <c r="B294" s="3387"/>
      <c r="C294" s="3387"/>
      <c r="D294" s="3390"/>
      <c r="E294" s="1936"/>
      <c r="F294" s="1936"/>
      <c r="G294" s="1936"/>
      <c r="H294" s="1936"/>
      <c r="I294" s="1936"/>
      <c r="J294" s="1936"/>
      <c r="K294" s="1936"/>
      <c r="L294" s="1936"/>
      <c r="M294" s="1936"/>
      <c r="N294" s="1936"/>
      <c r="O294" s="1936"/>
      <c r="P294" s="3421"/>
      <c r="Q294" s="3422"/>
      <c r="R294" s="3422"/>
      <c r="S294" s="3422"/>
      <c r="T294" s="3422"/>
      <c r="U294" s="3422"/>
      <c r="V294" s="3423"/>
      <c r="W294" s="3421"/>
      <c r="X294" s="3422"/>
      <c r="Y294" s="3422"/>
      <c r="Z294" s="3422"/>
      <c r="AA294" s="3422"/>
      <c r="AB294" s="3422"/>
      <c r="AC294" s="3423"/>
      <c r="AD294" s="3421"/>
      <c r="AE294" s="3422"/>
      <c r="AF294" s="3422"/>
      <c r="AG294" s="3422"/>
      <c r="AH294" s="3422"/>
      <c r="AI294" s="3423"/>
      <c r="AJ294" s="6696"/>
      <c r="AK294" s="5680"/>
      <c r="AL294" s="1965"/>
      <c r="AM294" s="1443"/>
      <c r="AN294" s="1443"/>
      <c r="AO294" s="1443"/>
      <c r="AP294" s="3350"/>
      <c r="AQ294" s="1443"/>
      <c r="AR294" s="1443"/>
      <c r="AS294" s="1443"/>
      <c r="AT294" s="1443"/>
      <c r="AU294" s="1443"/>
      <c r="AV294" s="1443"/>
      <c r="AW294" s="1443"/>
      <c r="AX294" s="3742"/>
      <c r="AY294" s="5016"/>
      <c r="AZ294" s="5016"/>
      <c r="BA294" s="5016"/>
      <c r="BB294" s="5016"/>
      <c r="BC294" s="5016"/>
      <c r="BD294" s="5016"/>
      <c r="BE294" s="5016"/>
      <c r="BF294" s="5016"/>
      <c r="BG294" s="5016"/>
      <c r="BH294" s="5016"/>
    </row>
    <row r="295" spans="1:60" ht="13.5" customHeight="1">
      <c r="A295" s="5088"/>
      <c r="B295" s="1592" t="s">
        <v>4549</v>
      </c>
      <c r="C295" s="3285"/>
      <c r="D295" s="3269"/>
      <c r="E295" s="1443"/>
      <c r="F295" s="1443"/>
      <c r="G295" s="1443"/>
      <c r="H295" s="1443"/>
      <c r="I295" s="1443"/>
      <c r="J295" s="1443"/>
      <c r="K295" s="1443"/>
      <c r="L295" s="1443"/>
      <c r="M295" s="1443"/>
      <c r="N295" s="1443"/>
      <c r="O295" s="1443"/>
      <c r="P295" s="3416"/>
      <c r="Q295" s="3417"/>
      <c r="R295" s="3417"/>
      <c r="S295" s="3417"/>
      <c r="T295" s="3417"/>
      <c r="U295" s="3417"/>
      <c r="V295" s="3418"/>
      <c r="W295" s="3416"/>
      <c r="X295" s="3417"/>
      <c r="Y295" s="3417"/>
      <c r="Z295" s="3417"/>
      <c r="AA295" s="3417"/>
      <c r="AB295" s="3417"/>
      <c r="AC295" s="3418"/>
      <c r="AD295" s="3416"/>
      <c r="AE295" s="3417"/>
      <c r="AF295" s="3417"/>
      <c r="AG295" s="3417"/>
      <c r="AH295" s="3417"/>
      <c r="AI295" s="3418"/>
      <c r="AJ295" s="6696"/>
      <c r="AK295" s="5680"/>
      <c r="AL295" s="1965"/>
      <c r="AM295" s="1443"/>
      <c r="AN295" s="1443"/>
      <c r="AO295" s="1443"/>
      <c r="AP295" s="3350"/>
      <c r="AQ295" s="1443"/>
      <c r="AR295" s="1443"/>
      <c r="AS295" s="1443"/>
      <c r="AT295" s="1443"/>
      <c r="AU295" s="1443"/>
      <c r="AV295" s="1443"/>
      <c r="AW295" s="1443"/>
      <c r="AX295" s="3742"/>
      <c r="AY295" s="5016"/>
      <c r="AZ295" s="5016"/>
      <c r="BA295" s="5016"/>
      <c r="BB295" s="5016"/>
      <c r="BC295" s="5016"/>
      <c r="BD295" s="5016"/>
      <c r="BE295" s="5016"/>
      <c r="BF295" s="5016"/>
      <c r="BG295" s="5016"/>
      <c r="BH295" s="5016"/>
    </row>
    <row r="296" spans="1:60" ht="13.5" customHeight="1">
      <c r="A296" s="5088"/>
      <c r="B296" s="6698">
        <v>2</v>
      </c>
      <c r="C296" s="6698"/>
      <c r="D296" s="1592" t="s">
        <v>2766</v>
      </c>
      <c r="E296" s="1443"/>
      <c r="F296" s="1443"/>
      <c r="G296" s="1443"/>
      <c r="H296" s="1443"/>
      <c r="I296" s="1443"/>
      <c r="J296" s="1443"/>
      <c r="K296" s="1443"/>
      <c r="L296" s="1443"/>
      <c r="M296" s="1443"/>
      <c r="N296" s="1443"/>
      <c r="O296" s="1443"/>
      <c r="P296" s="3419"/>
      <c r="Q296" s="1607"/>
      <c r="R296" s="1607"/>
      <c r="S296" s="1607"/>
      <c r="T296" s="1607"/>
      <c r="U296" s="1607"/>
      <c r="V296" s="3420"/>
      <c r="W296" s="1607"/>
      <c r="X296" s="1607"/>
      <c r="Y296" s="1607"/>
      <c r="Z296" s="1607"/>
      <c r="AA296" s="1607"/>
      <c r="AB296" s="1607"/>
      <c r="AC296" s="3420"/>
      <c r="AD296" s="1607"/>
      <c r="AE296" s="1607"/>
      <c r="AF296" s="1607"/>
      <c r="AG296" s="1607"/>
      <c r="AH296" s="1607"/>
      <c r="AI296" s="3420"/>
      <c r="AJ296" s="6696"/>
      <c r="AK296" s="5680"/>
      <c r="AL296" s="1965"/>
      <c r="AM296" s="1443"/>
      <c r="AN296" s="1443"/>
      <c r="AO296" s="1443"/>
      <c r="AP296" s="3350"/>
      <c r="AQ296" s="1443"/>
      <c r="AR296" s="1443"/>
      <c r="AS296" s="1443"/>
      <c r="AT296" s="1443"/>
      <c r="AU296" s="1443"/>
      <c r="AV296" s="1443"/>
      <c r="AW296" s="1443"/>
      <c r="AX296" s="3742"/>
      <c r="AY296" s="5016"/>
      <c r="AZ296" s="5016"/>
      <c r="BA296" s="5016"/>
      <c r="BB296" s="5016"/>
      <c r="BC296" s="5016"/>
      <c r="BD296" s="5016"/>
      <c r="BE296" s="5016"/>
      <c r="BF296" s="5016"/>
      <c r="BG296" s="5016"/>
      <c r="BH296" s="5016"/>
    </row>
    <row r="297" spans="1:60" ht="13.5" customHeight="1">
      <c r="A297" s="5088"/>
      <c r="B297" s="6698"/>
      <c r="C297" s="6698"/>
      <c r="D297" s="1607" t="s">
        <v>2767</v>
      </c>
      <c r="E297" s="1443"/>
      <c r="F297" s="1443"/>
      <c r="G297" s="1443"/>
      <c r="H297" s="1443"/>
      <c r="I297" s="1443"/>
      <c r="J297" s="1443"/>
      <c r="K297" s="1443"/>
      <c r="L297" s="1443"/>
      <c r="M297" s="1443"/>
      <c r="N297" s="1443"/>
      <c r="O297" s="1943" t="s">
        <v>3533</v>
      </c>
      <c r="P297" s="6699"/>
      <c r="Q297" s="6700"/>
      <c r="R297" s="6700"/>
      <c r="S297" s="6700"/>
      <c r="T297" s="6700"/>
      <c r="U297" s="6700"/>
      <c r="V297" s="6701"/>
      <c r="W297" s="6699"/>
      <c r="X297" s="6700"/>
      <c r="Y297" s="6700"/>
      <c r="Z297" s="6700"/>
      <c r="AA297" s="6700"/>
      <c r="AB297" s="6700"/>
      <c r="AC297" s="6701"/>
      <c r="AD297" s="6699"/>
      <c r="AE297" s="6700"/>
      <c r="AF297" s="6700"/>
      <c r="AG297" s="6700"/>
      <c r="AH297" s="6700"/>
      <c r="AI297" s="6701"/>
      <c r="AJ297" s="6696"/>
      <c r="AK297" s="5680"/>
      <c r="AL297" s="1965"/>
      <c r="AM297" s="1443"/>
      <c r="AN297" s="1443"/>
      <c r="AO297" s="1443"/>
      <c r="AP297" s="3350"/>
      <c r="AQ297" s="1443"/>
      <c r="AR297" s="1443"/>
      <c r="AS297" s="1443"/>
      <c r="AT297" s="1443"/>
      <c r="AU297" s="1443"/>
      <c r="AV297" s="1443"/>
      <c r="AW297" s="1443"/>
      <c r="AX297" s="3742"/>
      <c r="AY297" s="5016"/>
      <c r="AZ297" s="5016"/>
      <c r="BA297" s="5016"/>
      <c r="BB297" s="5016"/>
      <c r="BC297" s="5016"/>
      <c r="BD297" s="5016"/>
      <c r="BE297" s="5016"/>
      <c r="BF297" s="5016"/>
      <c r="BG297" s="5016"/>
      <c r="BH297" s="5016"/>
    </row>
    <row r="298" spans="1:60" ht="13.5" customHeight="1">
      <c r="A298" s="5088"/>
      <c r="B298" s="6698">
        <v>3</v>
      </c>
      <c r="C298" s="6698"/>
      <c r="D298" s="1592" t="s">
        <v>2828</v>
      </c>
      <c r="E298" s="1443"/>
      <c r="F298" s="1443"/>
      <c r="G298" s="1443"/>
      <c r="H298" s="1443"/>
      <c r="I298" s="1443"/>
      <c r="J298" s="1443"/>
      <c r="K298" s="1443"/>
      <c r="L298" s="1443"/>
      <c r="M298" s="1443"/>
      <c r="N298" s="1443"/>
      <c r="O298" s="1443"/>
      <c r="P298" s="3416"/>
      <c r="Q298" s="3417"/>
      <c r="R298" s="3417"/>
      <c r="S298" s="3417"/>
      <c r="T298" s="3417"/>
      <c r="U298" s="3417"/>
      <c r="V298" s="3418"/>
      <c r="W298" s="3416"/>
      <c r="X298" s="3417"/>
      <c r="Y298" s="3417"/>
      <c r="Z298" s="3417"/>
      <c r="AA298" s="3417"/>
      <c r="AB298" s="3417"/>
      <c r="AC298" s="3418"/>
      <c r="AD298" s="3416"/>
      <c r="AE298" s="3417"/>
      <c r="AF298" s="3417"/>
      <c r="AG298" s="3417"/>
      <c r="AH298" s="3417"/>
      <c r="AI298" s="3418"/>
      <c r="AJ298" s="6696"/>
      <c r="AK298" s="5680"/>
      <c r="AL298" s="1965"/>
      <c r="AM298" s="1443"/>
      <c r="AN298" s="1443"/>
      <c r="AO298" s="1443"/>
      <c r="AP298" s="3350"/>
      <c r="AQ298" s="1443"/>
      <c r="AR298" s="1443"/>
      <c r="AS298" s="1443"/>
      <c r="AT298" s="1443"/>
      <c r="AU298" s="1443"/>
      <c r="AV298" s="1443"/>
      <c r="AW298" s="1443"/>
      <c r="AX298" s="3742"/>
      <c r="AY298" s="5016"/>
      <c r="AZ298" s="5016"/>
      <c r="BA298" s="5016"/>
      <c r="BB298" s="5016"/>
      <c r="BC298" s="5016"/>
      <c r="BD298" s="5016"/>
      <c r="BE298" s="5016"/>
      <c r="BF298" s="5016"/>
      <c r="BG298" s="5016"/>
      <c r="BH298" s="5016"/>
    </row>
    <row r="299" spans="1:60" ht="13.5" customHeight="1">
      <c r="A299" s="5088"/>
      <c r="B299" s="6698"/>
      <c r="C299" s="6698"/>
      <c r="D299" s="3405" t="s">
        <v>2829</v>
      </c>
      <c r="E299" s="1443"/>
      <c r="F299" s="1443"/>
      <c r="G299" s="1443"/>
      <c r="H299" s="1443"/>
      <c r="I299" s="1443"/>
      <c r="J299" s="1443"/>
      <c r="K299" s="1443"/>
      <c r="L299" s="1443"/>
      <c r="M299" s="1443"/>
      <c r="N299" s="1443"/>
      <c r="O299" s="1443"/>
      <c r="P299" s="3416"/>
      <c r="Q299" s="3417"/>
      <c r="R299" s="3417"/>
      <c r="S299" s="3417"/>
      <c r="T299" s="3417"/>
      <c r="U299" s="3417"/>
      <c r="V299" s="3418"/>
      <c r="W299" s="3416"/>
      <c r="X299" s="3417"/>
      <c r="Y299" s="3417"/>
      <c r="Z299" s="3417"/>
      <c r="AA299" s="3417"/>
      <c r="AB299" s="3417"/>
      <c r="AC299" s="3418"/>
      <c r="AD299" s="3416"/>
      <c r="AE299" s="3417"/>
      <c r="AF299" s="3417"/>
      <c r="AG299" s="3417"/>
      <c r="AH299" s="3417"/>
      <c r="AI299" s="3418"/>
      <c r="AJ299" s="6696"/>
      <c r="AK299" s="5680"/>
      <c r="AL299" s="1965"/>
      <c r="AM299" s="1443"/>
      <c r="AN299" s="1443"/>
      <c r="AO299" s="1443"/>
      <c r="AP299" s="3350"/>
      <c r="AQ299" s="1443"/>
      <c r="AR299" s="1443"/>
      <c r="AS299" s="1443"/>
      <c r="AT299" s="1443"/>
      <c r="AU299" s="1443"/>
      <c r="AV299" s="1443"/>
      <c r="AW299" s="1443"/>
      <c r="AX299" s="3742"/>
      <c r="AY299" s="5016"/>
      <c r="AZ299" s="5016"/>
      <c r="BA299" s="5016"/>
      <c r="BB299" s="5016"/>
      <c r="BC299" s="5016"/>
      <c r="BD299" s="5016"/>
      <c r="BE299" s="5016"/>
      <c r="BF299" s="5016"/>
      <c r="BG299" s="5016"/>
      <c r="BH299" s="5016"/>
    </row>
    <row r="300" spans="1:60" ht="13.5" customHeight="1">
      <c r="A300" s="5088"/>
      <c r="B300" s="6698" t="s">
        <v>38</v>
      </c>
      <c r="C300" s="6698"/>
      <c r="D300" s="1592" t="s">
        <v>3499</v>
      </c>
      <c r="E300" s="1443"/>
      <c r="F300" s="1443"/>
      <c r="G300" s="1443"/>
      <c r="H300" s="1443"/>
      <c r="I300" s="1443"/>
      <c r="J300" s="1443"/>
      <c r="K300" s="1443"/>
      <c r="L300" s="1443"/>
      <c r="M300" s="1443"/>
      <c r="N300" s="1443"/>
      <c r="O300" s="1443"/>
      <c r="P300" s="3419"/>
      <c r="Q300" s="1607"/>
      <c r="R300" s="1607"/>
      <c r="S300" s="1607"/>
      <c r="T300" s="1607"/>
      <c r="U300" s="1607"/>
      <c r="V300" s="3420"/>
      <c r="W300" s="1607"/>
      <c r="X300" s="1607"/>
      <c r="Y300" s="1607"/>
      <c r="Z300" s="1607"/>
      <c r="AA300" s="1607"/>
      <c r="AB300" s="1607"/>
      <c r="AC300" s="3420"/>
      <c r="AD300" s="1607"/>
      <c r="AE300" s="1607"/>
      <c r="AF300" s="1607"/>
      <c r="AG300" s="1607"/>
      <c r="AH300" s="1607"/>
      <c r="AI300" s="3420"/>
      <c r="AJ300" s="6696"/>
      <c r="AK300" s="5680"/>
      <c r="AL300" s="1965"/>
      <c r="AM300" s="1443"/>
      <c r="AN300" s="1443"/>
      <c r="AO300" s="1443"/>
      <c r="AP300" s="3350"/>
      <c r="AQ300" s="1443"/>
      <c r="AR300" s="1443"/>
      <c r="AS300" s="1443"/>
      <c r="AT300" s="1443"/>
      <c r="AU300" s="1443"/>
      <c r="AV300" s="1443"/>
      <c r="AW300" s="1443"/>
      <c r="AX300" s="3742"/>
      <c r="AY300" s="5016"/>
      <c r="AZ300" s="5016"/>
      <c r="BA300" s="5016"/>
      <c r="BB300" s="5016"/>
      <c r="BC300" s="5016"/>
      <c r="BD300" s="5016"/>
      <c r="BE300" s="5016"/>
      <c r="BF300" s="5016"/>
      <c r="BG300" s="5016"/>
      <c r="BH300" s="5016"/>
    </row>
    <row r="301" spans="1:60" ht="13.5" customHeight="1">
      <c r="A301" s="5088"/>
      <c r="B301" s="4844"/>
      <c r="C301" s="4844"/>
      <c r="D301" s="1592" t="s">
        <v>2271</v>
      </c>
      <c r="E301" s="1443"/>
      <c r="F301" s="1443"/>
      <c r="G301" s="1443"/>
      <c r="H301" s="1443"/>
      <c r="I301" s="1443"/>
      <c r="J301" s="1443"/>
      <c r="K301" s="1443"/>
      <c r="L301" s="1443"/>
      <c r="M301" s="1443"/>
      <c r="N301" s="1443"/>
      <c r="O301" s="1943" t="s">
        <v>2426</v>
      </c>
      <c r="P301" s="6699"/>
      <c r="Q301" s="6700"/>
      <c r="R301" s="6700"/>
      <c r="S301" s="6700"/>
      <c r="T301" s="6700"/>
      <c r="U301" s="6700"/>
      <c r="V301" s="6701"/>
      <c r="W301" s="6699"/>
      <c r="X301" s="6700"/>
      <c r="Y301" s="6700"/>
      <c r="Z301" s="6700"/>
      <c r="AA301" s="6700"/>
      <c r="AB301" s="6700"/>
      <c r="AC301" s="6701"/>
      <c r="AD301" s="6699"/>
      <c r="AE301" s="6700"/>
      <c r="AF301" s="6700"/>
      <c r="AG301" s="6700"/>
      <c r="AH301" s="6700"/>
      <c r="AI301" s="6701"/>
      <c r="AJ301" s="6696"/>
      <c r="AK301" s="5680"/>
      <c r="AL301" s="1965"/>
      <c r="AM301" s="1443"/>
      <c r="AN301" s="1443"/>
      <c r="AO301" s="1443"/>
      <c r="AP301" s="3350"/>
      <c r="AQ301" s="1443"/>
      <c r="AR301" s="1443"/>
      <c r="AS301" s="1443"/>
      <c r="AT301" s="1443"/>
      <c r="AU301" s="1443"/>
      <c r="AV301" s="1443"/>
      <c r="AW301" s="1443"/>
      <c r="AX301" s="3742"/>
      <c r="AY301" s="5016"/>
      <c r="AZ301" s="5016"/>
      <c r="BA301" s="5016"/>
      <c r="BB301" s="5016"/>
      <c r="BC301" s="5016"/>
      <c r="BD301" s="5016"/>
      <c r="BE301" s="5016"/>
      <c r="BF301" s="5016"/>
      <c r="BG301" s="5016"/>
      <c r="BH301" s="5016"/>
    </row>
    <row r="302" spans="1:60" ht="13.5" customHeight="1">
      <c r="A302" s="5088"/>
      <c r="B302" s="6698" t="s">
        <v>54</v>
      </c>
      <c r="C302" s="6698"/>
      <c r="D302" s="1592" t="s">
        <v>2768</v>
      </c>
      <c r="E302" s="1443"/>
      <c r="F302" s="1443"/>
      <c r="G302" s="1443"/>
      <c r="H302" s="1443"/>
      <c r="I302" s="1443"/>
      <c r="J302" s="1443"/>
      <c r="K302" s="1443"/>
      <c r="L302" s="1443"/>
      <c r="M302" s="1443"/>
      <c r="N302" s="1443"/>
      <c r="O302" s="1943" t="s">
        <v>605</v>
      </c>
      <c r="P302" s="6699"/>
      <c r="Q302" s="6700"/>
      <c r="R302" s="6700"/>
      <c r="S302" s="6700"/>
      <c r="T302" s="6700"/>
      <c r="U302" s="6700"/>
      <c r="V302" s="6701"/>
      <c r="W302" s="6699"/>
      <c r="X302" s="6700"/>
      <c r="Y302" s="6700"/>
      <c r="Z302" s="6700"/>
      <c r="AA302" s="6700"/>
      <c r="AB302" s="6700"/>
      <c r="AC302" s="6701"/>
      <c r="AD302" s="6699"/>
      <c r="AE302" s="6700"/>
      <c r="AF302" s="6700"/>
      <c r="AG302" s="6700"/>
      <c r="AH302" s="6700"/>
      <c r="AI302" s="6701"/>
      <c r="AJ302" s="6696"/>
      <c r="AK302" s="5680"/>
      <c r="AL302" s="1965"/>
      <c r="AM302" s="1443"/>
      <c r="AN302" s="1443"/>
      <c r="AO302" s="1443"/>
      <c r="AP302" s="3350"/>
      <c r="AQ302" s="1443"/>
      <c r="AR302" s="1443"/>
      <c r="AS302" s="1443"/>
      <c r="AT302" s="1443"/>
      <c r="AU302" s="1443"/>
      <c r="AV302" s="1443"/>
      <c r="AW302" s="1443"/>
      <c r="AX302" s="3742"/>
      <c r="AY302" s="5016"/>
      <c r="AZ302" s="5016"/>
      <c r="BA302" s="5016"/>
      <c r="BB302" s="5016"/>
      <c r="BC302" s="5016"/>
      <c r="BD302" s="5016"/>
      <c r="BE302" s="5016"/>
      <c r="BF302" s="5016"/>
      <c r="BG302" s="5016"/>
      <c r="BH302" s="5016"/>
    </row>
    <row r="303" spans="1:60" ht="13.5" customHeight="1">
      <c r="A303" s="5088"/>
      <c r="B303" s="6698" t="s">
        <v>55</v>
      </c>
      <c r="C303" s="6698"/>
      <c r="D303" s="1592" t="s">
        <v>2769</v>
      </c>
      <c r="E303" s="1443"/>
      <c r="F303" s="1443"/>
      <c r="G303" s="1443"/>
      <c r="H303" s="1443"/>
      <c r="I303" s="1443"/>
      <c r="J303" s="1443"/>
      <c r="K303" s="1443"/>
      <c r="L303" s="1443"/>
      <c r="M303" s="1443"/>
      <c r="N303" s="1443"/>
      <c r="O303" s="1943" t="s">
        <v>3239</v>
      </c>
      <c r="P303" s="6843">
        <f>SUM(P301:P302)</f>
        <v>0</v>
      </c>
      <c r="Q303" s="6844"/>
      <c r="R303" s="6844"/>
      <c r="S303" s="6844"/>
      <c r="T303" s="6844"/>
      <c r="U303" s="6844"/>
      <c r="V303" s="6845"/>
      <c r="W303" s="6843">
        <f>SUM(W301:W302)</f>
        <v>0</v>
      </c>
      <c r="X303" s="6844"/>
      <c r="Y303" s="6844"/>
      <c r="Z303" s="6844"/>
      <c r="AA303" s="6844"/>
      <c r="AB303" s="6844"/>
      <c r="AC303" s="6845"/>
      <c r="AD303" s="6843">
        <f>SUM(AD301:AD302)</f>
        <v>0</v>
      </c>
      <c r="AE303" s="6844"/>
      <c r="AF303" s="6844"/>
      <c r="AG303" s="6844"/>
      <c r="AH303" s="6844"/>
      <c r="AI303" s="6845"/>
      <c r="AJ303" s="6696"/>
      <c r="AK303" s="5680"/>
      <c r="AL303" s="1965"/>
      <c r="AM303" s="1443"/>
      <c r="AN303" s="1443"/>
      <c r="AO303" s="1443"/>
      <c r="AP303" s="3350"/>
      <c r="AQ303" s="1443"/>
      <c r="AR303" s="1443"/>
      <c r="AS303" s="1443"/>
      <c r="AT303" s="1443"/>
      <c r="AU303" s="1443"/>
      <c r="AV303" s="1443"/>
      <c r="AW303" s="1443"/>
      <c r="AX303" s="3742"/>
      <c r="AY303" s="5016"/>
      <c r="AZ303" s="5016"/>
      <c r="BA303" s="5016"/>
      <c r="BB303" s="5016"/>
      <c r="BC303" s="5016"/>
      <c r="BD303" s="5016"/>
      <c r="BE303" s="5016"/>
      <c r="BF303" s="5016"/>
      <c r="BG303" s="5016"/>
      <c r="BH303" s="5016"/>
    </row>
    <row r="304" spans="1:60" ht="13.5" customHeight="1">
      <c r="A304" s="5088"/>
      <c r="B304" s="6698" t="s">
        <v>102</v>
      </c>
      <c r="C304" s="6698"/>
      <c r="D304" s="1592" t="s">
        <v>2770</v>
      </c>
      <c r="E304" s="1443"/>
      <c r="F304" s="1443"/>
      <c r="G304" s="1443"/>
      <c r="H304" s="1443"/>
      <c r="I304" s="1443"/>
      <c r="J304" s="1443"/>
      <c r="K304" s="1443"/>
      <c r="L304" s="1443"/>
      <c r="M304" s="1443"/>
      <c r="N304" s="1443"/>
      <c r="O304" s="1943" t="s">
        <v>3539</v>
      </c>
      <c r="P304" s="6699"/>
      <c r="Q304" s="6700"/>
      <c r="R304" s="6700"/>
      <c r="S304" s="6700"/>
      <c r="T304" s="6700"/>
      <c r="U304" s="6700"/>
      <c r="V304" s="6701"/>
      <c r="W304" s="6699"/>
      <c r="X304" s="6700"/>
      <c r="Y304" s="6700"/>
      <c r="Z304" s="6700"/>
      <c r="AA304" s="6700"/>
      <c r="AB304" s="6700"/>
      <c r="AC304" s="6701"/>
      <c r="AD304" s="6699"/>
      <c r="AE304" s="6700"/>
      <c r="AF304" s="6700"/>
      <c r="AG304" s="6700"/>
      <c r="AH304" s="6700"/>
      <c r="AI304" s="6701"/>
      <c r="AJ304" s="6696"/>
      <c r="AK304" s="5680"/>
      <c r="AL304" s="1965"/>
      <c r="AM304" s="1443"/>
      <c r="AN304" s="1443"/>
      <c r="AO304" s="1443"/>
      <c r="AP304" s="3350"/>
      <c r="AQ304" s="1443"/>
      <c r="AR304" s="1443"/>
      <c r="AS304" s="1443"/>
      <c r="AT304" s="1443"/>
      <c r="AU304" s="1443"/>
      <c r="AV304" s="1443"/>
      <c r="AW304" s="1443"/>
      <c r="AX304" s="3742"/>
      <c r="AY304" s="5016"/>
      <c r="AZ304" s="5016"/>
      <c r="BA304" s="5016"/>
      <c r="BB304" s="5016"/>
      <c r="BC304" s="5016"/>
      <c r="BD304" s="5016"/>
      <c r="BE304" s="5016"/>
      <c r="BF304" s="5016"/>
      <c r="BG304" s="5016"/>
      <c r="BH304" s="5016"/>
    </row>
    <row r="305" spans="1:60" ht="13.5" customHeight="1">
      <c r="A305" s="5088"/>
      <c r="B305" s="6698" t="s">
        <v>1201</v>
      </c>
      <c r="C305" s="6698"/>
      <c r="D305" s="1592" t="s">
        <v>2771</v>
      </c>
      <c r="E305" s="1443"/>
      <c r="F305" s="1443"/>
      <c r="G305" s="1443"/>
      <c r="H305" s="1443"/>
      <c r="I305" s="1443"/>
      <c r="J305" s="1443"/>
      <c r="K305" s="1443"/>
      <c r="L305" s="1443"/>
      <c r="M305" s="1443"/>
      <c r="N305" s="1443"/>
      <c r="O305" s="1943" t="s">
        <v>3539</v>
      </c>
      <c r="P305" s="6699"/>
      <c r="Q305" s="6700"/>
      <c r="R305" s="6700"/>
      <c r="S305" s="6700"/>
      <c r="T305" s="6700"/>
      <c r="U305" s="6700"/>
      <c r="V305" s="6701"/>
      <c r="W305" s="6699"/>
      <c r="X305" s="6700"/>
      <c r="Y305" s="6700"/>
      <c r="Z305" s="6700"/>
      <c r="AA305" s="6700"/>
      <c r="AB305" s="6700"/>
      <c r="AC305" s="6701"/>
      <c r="AD305" s="6699"/>
      <c r="AE305" s="6700"/>
      <c r="AF305" s="6700"/>
      <c r="AG305" s="6700"/>
      <c r="AH305" s="6700"/>
      <c r="AI305" s="6701"/>
      <c r="AJ305" s="6696"/>
      <c r="AK305" s="5680"/>
      <c r="AL305" s="1965"/>
      <c r="AM305" s="1443"/>
      <c r="AN305" s="1443"/>
      <c r="AO305" s="1443"/>
      <c r="AP305" s="3350"/>
      <c r="AQ305" s="1443"/>
      <c r="AR305" s="1443"/>
      <c r="AS305" s="1443"/>
      <c r="AT305" s="1443"/>
      <c r="AU305" s="1443"/>
      <c r="AV305" s="1443"/>
      <c r="AW305" s="1443"/>
      <c r="AX305" s="3742"/>
      <c r="AY305" s="5016"/>
      <c r="AZ305" s="5016"/>
      <c r="BA305" s="5016"/>
      <c r="BB305" s="5016"/>
      <c r="BC305" s="5016"/>
      <c r="BD305" s="5016"/>
      <c r="BE305" s="5016"/>
      <c r="BF305" s="5016"/>
      <c r="BG305" s="5016"/>
      <c r="BH305" s="5016"/>
    </row>
    <row r="306" spans="1:60" ht="13.5" customHeight="1">
      <c r="A306" s="5088"/>
      <c r="B306" s="6698" t="s">
        <v>1202</v>
      </c>
      <c r="C306" s="6698"/>
      <c r="D306" s="1592" t="s">
        <v>2772</v>
      </c>
      <c r="E306" s="1443"/>
      <c r="F306" s="1443"/>
      <c r="G306" s="1443"/>
      <c r="H306" s="1443"/>
      <c r="I306" s="1443"/>
      <c r="J306" s="1443"/>
      <c r="K306" s="1443"/>
      <c r="L306" s="1443"/>
      <c r="M306" s="1443"/>
      <c r="N306" s="1443"/>
      <c r="O306" s="1943" t="s">
        <v>3417</v>
      </c>
      <c r="P306" s="6837" t="str">
        <f>IF(P305=0,"",ROUND(P304/P305,4))</f>
        <v/>
      </c>
      <c r="Q306" s="6838"/>
      <c r="R306" s="6838"/>
      <c r="S306" s="6838"/>
      <c r="T306" s="6838"/>
      <c r="U306" s="6838"/>
      <c r="V306" s="6839"/>
      <c r="W306" s="6837" t="str">
        <f>IF(W305=0,"",ROUND(W304/W305,4))</f>
        <v/>
      </c>
      <c r="X306" s="6838"/>
      <c r="Y306" s="6838"/>
      <c r="Z306" s="6838"/>
      <c r="AA306" s="6838"/>
      <c r="AB306" s="6838"/>
      <c r="AC306" s="6839"/>
      <c r="AD306" s="6840" t="str">
        <f>IF(AD305=0,"",ROUND(AD304/AD305,4))</f>
        <v/>
      </c>
      <c r="AE306" s="6841"/>
      <c r="AF306" s="6841"/>
      <c r="AG306" s="6841"/>
      <c r="AH306" s="6841"/>
      <c r="AI306" s="6842"/>
      <c r="AJ306" s="6696"/>
      <c r="AK306" s="5680"/>
      <c r="AL306" s="1965"/>
      <c r="AM306" s="1443"/>
      <c r="AN306" s="1443"/>
      <c r="AO306" s="1443"/>
      <c r="AP306" s="3350"/>
      <c r="AQ306" s="1443"/>
      <c r="AR306" s="1443"/>
      <c r="AS306" s="1443"/>
      <c r="AT306" s="1443"/>
      <c r="AU306" s="1443"/>
      <c r="AV306" s="1443"/>
      <c r="AW306" s="1443"/>
      <c r="AX306" s="3742"/>
      <c r="AY306" s="5016"/>
      <c r="AZ306" s="5016"/>
      <c r="BA306" s="5016"/>
      <c r="BB306" s="5016"/>
      <c r="BC306" s="5016"/>
      <c r="BD306" s="5016"/>
      <c r="BE306" s="5016"/>
      <c r="BF306" s="5016"/>
      <c r="BG306" s="5016"/>
      <c r="BH306" s="5016"/>
    </row>
    <row r="307" spans="1:60" ht="13.5" customHeight="1">
      <c r="A307" s="5088"/>
      <c r="B307" s="6698" t="s">
        <v>2693</v>
      </c>
      <c r="C307" s="6698"/>
      <c r="D307" s="1592" t="s">
        <v>2773</v>
      </c>
      <c r="E307" s="1443"/>
      <c r="F307" s="1443"/>
      <c r="G307" s="1443"/>
      <c r="H307" s="1443"/>
      <c r="I307" s="1443"/>
      <c r="J307" s="1443"/>
      <c r="K307" s="1443"/>
      <c r="L307" s="1443"/>
      <c r="M307" s="1443"/>
      <c r="N307" s="1443"/>
      <c r="O307" s="1943" t="s">
        <v>3530</v>
      </c>
      <c r="P307" s="6834" t="str">
        <f>IF(OR(P303="",P306=""),"",P303*P306)</f>
        <v/>
      </c>
      <c r="Q307" s="6835"/>
      <c r="R307" s="6835"/>
      <c r="S307" s="6835"/>
      <c r="T307" s="6835"/>
      <c r="U307" s="6835"/>
      <c r="V307" s="6836"/>
      <c r="W307" s="6834" t="str">
        <f>IF(OR(W303="",W306=""),"",W303*W306)</f>
        <v/>
      </c>
      <c r="X307" s="6835"/>
      <c r="Y307" s="6835"/>
      <c r="Z307" s="6835"/>
      <c r="AA307" s="6835"/>
      <c r="AB307" s="6835"/>
      <c r="AC307" s="6836"/>
      <c r="AD307" s="6834" t="str">
        <f>IF(OR(AD303="",AD306=""),"",AD303*AD306)</f>
        <v/>
      </c>
      <c r="AE307" s="6835"/>
      <c r="AF307" s="6835"/>
      <c r="AG307" s="6835"/>
      <c r="AH307" s="6835"/>
      <c r="AI307" s="6836"/>
      <c r="AJ307" s="6696"/>
      <c r="AK307" s="5680"/>
      <c r="AL307" s="1965"/>
      <c r="AM307" s="1443"/>
      <c r="AN307" s="1443"/>
      <c r="AO307" s="1443"/>
      <c r="AP307" s="3350"/>
      <c r="AQ307" s="1443"/>
      <c r="AR307" s="1443"/>
      <c r="AS307" s="1443"/>
      <c r="AT307" s="1443"/>
      <c r="AU307" s="1443"/>
      <c r="AV307" s="1443"/>
      <c r="AW307" s="1443"/>
      <c r="AX307" s="3742"/>
      <c r="AY307" s="5016"/>
      <c r="AZ307" s="5016"/>
      <c r="BA307" s="5016"/>
      <c r="BB307" s="5016"/>
      <c r="BC307" s="5016"/>
      <c r="BD307" s="5016"/>
      <c r="BE307" s="5016"/>
      <c r="BF307" s="5016"/>
      <c r="BG307" s="5016"/>
      <c r="BH307" s="5016"/>
    </row>
    <row r="308" spans="1:60" ht="13.5" customHeight="1">
      <c r="A308" s="5088"/>
      <c r="B308" s="6833">
        <v>4</v>
      </c>
      <c r="C308" s="6833"/>
      <c r="D308" s="1592" t="s">
        <v>3500</v>
      </c>
      <c r="E308" s="1443"/>
      <c r="F308" s="1443"/>
      <c r="G308" s="1443"/>
      <c r="H308" s="1443"/>
      <c r="I308" s="1443"/>
      <c r="J308" s="1443"/>
      <c r="K308" s="1443"/>
      <c r="L308" s="1443"/>
      <c r="M308" s="1443"/>
      <c r="N308" s="1443"/>
      <c r="O308" s="1443"/>
      <c r="P308" s="3416"/>
      <c r="Q308" s="3417"/>
      <c r="R308" s="3417"/>
      <c r="S308" s="3417"/>
      <c r="T308" s="3417"/>
      <c r="U308" s="3417"/>
      <c r="V308" s="3418"/>
      <c r="W308" s="3416"/>
      <c r="X308" s="3417"/>
      <c r="Y308" s="3417"/>
      <c r="Z308" s="3417"/>
      <c r="AA308" s="3417"/>
      <c r="AB308" s="3417"/>
      <c r="AC308" s="3418"/>
      <c r="AD308" s="3416"/>
      <c r="AE308" s="3417"/>
      <c r="AF308" s="3417"/>
      <c r="AG308" s="3417"/>
      <c r="AH308" s="3417"/>
      <c r="AI308" s="3418"/>
      <c r="AJ308" s="6696"/>
      <c r="AK308" s="5680"/>
      <c r="AL308" s="1965"/>
      <c r="AM308" s="1443"/>
      <c r="AN308" s="1443"/>
      <c r="AO308" s="1443"/>
      <c r="AP308" s="3350"/>
      <c r="AQ308" s="1443"/>
      <c r="AR308" s="1443"/>
      <c r="AS308" s="1443"/>
      <c r="AT308" s="1443"/>
      <c r="AU308" s="1443"/>
      <c r="AV308" s="1443"/>
      <c r="AW308" s="1443"/>
      <c r="AX308" s="3742"/>
      <c r="AY308" s="5016"/>
      <c r="AZ308" s="5016"/>
      <c r="BA308" s="5016"/>
      <c r="BB308" s="5016"/>
      <c r="BC308" s="5016"/>
      <c r="BD308" s="5016"/>
      <c r="BE308" s="5016"/>
      <c r="BF308" s="5016"/>
      <c r="BG308" s="5016"/>
      <c r="BH308" s="5016"/>
    </row>
    <row r="309" spans="1:60" ht="13.5" customHeight="1">
      <c r="A309" s="5088"/>
      <c r="B309" s="6698" t="s">
        <v>38</v>
      </c>
      <c r="C309" s="6698"/>
      <c r="D309" s="1592" t="s">
        <v>2775</v>
      </c>
      <c r="E309" s="1443"/>
      <c r="F309" s="1443"/>
      <c r="G309" s="1443"/>
      <c r="H309" s="1443"/>
      <c r="I309" s="1443"/>
      <c r="J309" s="1443"/>
      <c r="K309" s="1443"/>
      <c r="L309" s="1443"/>
      <c r="M309" s="1443"/>
      <c r="N309" s="1443"/>
      <c r="O309" s="1443"/>
      <c r="P309" s="3419"/>
      <c r="Q309" s="1607"/>
      <c r="R309" s="1607"/>
      <c r="S309" s="1607"/>
      <c r="T309" s="1607"/>
      <c r="U309" s="1607"/>
      <c r="V309" s="3420"/>
      <c r="W309" s="1607"/>
      <c r="X309" s="1607"/>
      <c r="Y309" s="1607"/>
      <c r="Z309" s="1607"/>
      <c r="AA309" s="1607"/>
      <c r="AB309" s="1607"/>
      <c r="AC309" s="3420"/>
      <c r="AD309" s="1607"/>
      <c r="AE309" s="1607"/>
      <c r="AF309" s="1607"/>
      <c r="AG309" s="1607"/>
      <c r="AH309" s="1607"/>
      <c r="AI309" s="3420"/>
      <c r="AJ309" s="6696"/>
      <c r="AK309" s="5680"/>
      <c r="AL309" s="1965"/>
      <c r="AM309" s="1443"/>
      <c r="AN309" s="1443"/>
      <c r="AO309" s="1443"/>
      <c r="AP309" s="3350"/>
      <c r="AQ309" s="1443"/>
      <c r="AR309" s="1443"/>
      <c r="AS309" s="1443"/>
      <c r="AT309" s="1443"/>
      <c r="AU309" s="1443"/>
      <c r="AV309" s="1443"/>
      <c r="AW309" s="1443"/>
      <c r="AX309" s="3742"/>
      <c r="AY309" s="5016"/>
      <c r="AZ309" s="5016"/>
      <c r="BA309" s="5016"/>
      <c r="BB309" s="5016"/>
      <c r="BC309" s="5016"/>
      <c r="BD309" s="5016"/>
      <c r="BE309" s="5016"/>
      <c r="BF309" s="5016"/>
      <c r="BG309" s="5016"/>
      <c r="BH309" s="5016"/>
    </row>
    <row r="310" spans="1:60" ht="13.5" customHeight="1">
      <c r="A310" s="5088"/>
      <c r="B310" s="4844"/>
      <c r="C310" s="4844"/>
      <c r="D310" s="1607" t="s">
        <v>2776</v>
      </c>
      <c r="E310" s="1443"/>
      <c r="F310" s="1443"/>
      <c r="G310" s="1443"/>
      <c r="H310" s="1443"/>
      <c r="I310" s="1443"/>
      <c r="J310" s="1443"/>
      <c r="K310" s="1443"/>
      <c r="L310" s="1443"/>
      <c r="M310" s="1443"/>
      <c r="N310" s="1443"/>
      <c r="O310" s="1943" t="s">
        <v>3540</v>
      </c>
      <c r="P310" s="6699"/>
      <c r="Q310" s="6700"/>
      <c r="R310" s="6700"/>
      <c r="S310" s="6700"/>
      <c r="T310" s="6700"/>
      <c r="U310" s="6700"/>
      <c r="V310" s="6701"/>
      <c r="W310" s="6699"/>
      <c r="X310" s="6700"/>
      <c r="Y310" s="6700"/>
      <c r="Z310" s="6700"/>
      <c r="AA310" s="6700"/>
      <c r="AB310" s="6700"/>
      <c r="AC310" s="6701"/>
      <c r="AD310" s="6699"/>
      <c r="AE310" s="6700"/>
      <c r="AF310" s="6700"/>
      <c r="AG310" s="6700"/>
      <c r="AH310" s="6700"/>
      <c r="AI310" s="6701"/>
      <c r="AJ310" s="6696"/>
      <c r="AK310" s="5680"/>
      <c r="AL310" s="1965"/>
      <c r="AM310" s="1443"/>
      <c r="AN310" s="1443"/>
      <c r="AO310" s="1443"/>
      <c r="AP310" s="3350"/>
      <c r="AQ310" s="1443"/>
      <c r="AR310" s="1443"/>
      <c r="AS310" s="1443"/>
      <c r="AT310" s="1443"/>
      <c r="AU310" s="1443"/>
      <c r="AV310" s="1443"/>
      <c r="AW310" s="1443"/>
      <c r="AX310" s="3742"/>
      <c r="AY310" s="5016"/>
      <c r="AZ310" s="5016"/>
      <c r="BA310" s="5016"/>
      <c r="BB310" s="5016"/>
      <c r="BC310" s="5016"/>
      <c r="BD310" s="5016"/>
      <c r="BE310" s="5016"/>
      <c r="BF310" s="5016"/>
      <c r="BG310" s="5016"/>
      <c r="BH310" s="5016"/>
    </row>
    <row r="311" spans="1:60" ht="13.5" customHeight="1">
      <c r="A311" s="5088"/>
      <c r="B311" s="6698" t="s">
        <v>54</v>
      </c>
      <c r="C311" s="6698"/>
      <c r="D311" s="1607" t="s">
        <v>2774</v>
      </c>
      <c r="E311" s="1443"/>
      <c r="F311" s="1443"/>
      <c r="G311" s="1443"/>
      <c r="H311" s="1443"/>
      <c r="I311" s="1443"/>
      <c r="J311" s="1443"/>
      <c r="K311" s="1443"/>
      <c r="L311" s="1443"/>
      <c r="M311" s="1443"/>
      <c r="N311" s="1443"/>
      <c r="O311" s="1943" t="s">
        <v>3530</v>
      </c>
      <c r="P311" s="6699"/>
      <c r="Q311" s="6700"/>
      <c r="R311" s="6700"/>
      <c r="S311" s="6700"/>
      <c r="T311" s="6700"/>
      <c r="U311" s="6700"/>
      <c r="V311" s="6701"/>
      <c r="W311" s="6699"/>
      <c r="X311" s="6700"/>
      <c r="Y311" s="6700"/>
      <c r="Z311" s="6700"/>
      <c r="AA311" s="6700"/>
      <c r="AB311" s="6700"/>
      <c r="AC311" s="6701"/>
      <c r="AD311" s="6699"/>
      <c r="AE311" s="6700"/>
      <c r="AF311" s="6700"/>
      <c r="AG311" s="6700"/>
      <c r="AH311" s="6700"/>
      <c r="AI311" s="6701"/>
      <c r="AJ311" s="6696"/>
      <c r="AK311" s="5680"/>
      <c r="AL311" s="1965"/>
      <c r="AM311" s="1443"/>
      <c r="AN311" s="1443"/>
      <c r="AO311" s="1443"/>
      <c r="AP311" s="3350"/>
      <c r="AQ311" s="1443"/>
      <c r="AR311" s="1443"/>
      <c r="AS311" s="1443"/>
      <c r="AT311" s="1443"/>
      <c r="AU311" s="1443"/>
      <c r="AV311" s="1443"/>
      <c r="AW311" s="1443"/>
      <c r="AX311" s="3742"/>
      <c r="AY311" s="5016"/>
      <c r="AZ311" s="5016"/>
      <c r="BA311" s="5016"/>
      <c r="BB311" s="5016"/>
      <c r="BC311" s="5016"/>
      <c r="BD311" s="5016"/>
      <c r="BE311" s="5016"/>
      <c r="BF311" s="5016"/>
      <c r="BG311" s="5016"/>
      <c r="BH311" s="5016"/>
    </row>
    <row r="312" spans="1:60" ht="13.5" customHeight="1">
      <c r="A312" s="5088"/>
      <c r="B312" s="6833">
        <v>5</v>
      </c>
      <c r="C312" s="6833"/>
      <c r="D312" s="1607" t="s">
        <v>2777</v>
      </c>
      <c r="E312" s="1443"/>
      <c r="F312" s="1443"/>
      <c r="G312" s="1443"/>
      <c r="H312" s="1443"/>
      <c r="I312" s="1443"/>
      <c r="J312" s="1443"/>
      <c r="K312" s="1443"/>
      <c r="L312" s="1443"/>
      <c r="M312" s="1443"/>
      <c r="N312" s="1443"/>
      <c r="O312" s="1943" t="s">
        <v>2482</v>
      </c>
      <c r="P312" s="6699"/>
      <c r="Q312" s="6700"/>
      <c r="R312" s="6700"/>
      <c r="S312" s="6700"/>
      <c r="T312" s="6700"/>
      <c r="U312" s="6700"/>
      <c r="V312" s="6701"/>
      <c r="W312" s="6699"/>
      <c r="X312" s="6700"/>
      <c r="Y312" s="6700"/>
      <c r="Z312" s="6700"/>
      <c r="AA312" s="6700"/>
      <c r="AB312" s="6700"/>
      <c r="AC312" s="6701"/>
      <c r="AD312" s="6699"/>
      <c r="AE312" s="6700"/>
      <c r="AF312" s="6700"/>
      <c r="AG312" s="6700"/>
      <c r="AH312" s="6700"/>
      <c r="AI312" s="6701"/>
      <c r="AJ312" s="6696"/>
      <c r="AK312" s="5680"/>
      <c r="AL312" s="1965"/>
      <c r="AM312" s="1443"/>
      <c r="AN312" s="1443"/>
      <c r="AO312" s="1443"/>
      <c r="AP312" s="3350"/>
      <c r="AQ312" s="3350"/>
      <c r="AR312" s="3350"/>
      <c r="AS312" s="3350"/>
      <c r="AT312" s="3350"/>
      <c r="AU312" s="3350"/>
      <c r="AV312" s="1443"/>
      <c r="AW312" s="1443"/>
      <c r="AX312" s="3742"/>
      <c r="AY312" s="5016"/>
      <c r="AZ312" s="5016"/>
      <c r="BA312" s="5016"/>
      <c r="BB312" s="5016"/>
      <c r="BC312" s="5016"/>
      <c r="BD312" s="5016"/>
      <c r="BE312" s="5016"/>
      <c r="BF312" s="5016"/>
      <c r="BG312" s="5016"/>
      <c r="BH312" s="5016"/>
    </row>
    <row r="313" spans="1:60" ht="13.5" customHeight="1">
      <c r="A313" s="5088"/>
      <c r="B313" s="6833">
        <v>6</v>
      </c>
      <c r="C313" s="6833"/>
      <c r="D313" s="1607" t="s">
        <v>2778</v>
      </c>
      <c r="E313" s="1443"/>
      <c r="F313" s="1443"/>
      <c r="G313" s="1443"/>
      <c r="H313" s="1443"/>
      <c r="I313" s="1443"/>
      <c r="J313" s="1443"/>
      <c r="K313" s="1443"/>
      <c r="L313" s="1443"/>
      <c r="M313" s="1443"/>
      <c r="N313" s="1443"/>
      <c r="O313" s="1943" t="s">
        <v>2482</v>
      </c>
      <c r="P313" s="6834">
        <f>SUM(P297,P307,P310,P311,P312)</f>
        <v>0</v>
      </c>
      <c r="Q313" s="6835"/>
      <c r="R313" s="6835"/>
      <c r="S313" s="6835"/>
      <c r="T313" s="6835"/>
      <c r="U313" s="6835"/>
      <c r="V313" s="6836"/>
      <c r="W313" s="6834">
        <f>SUM(W297,W307,W310,W311,W312)</f>
        <v>0</v>
      </c>
      <c r="X313" s="6835"/>
      <c r="Y313" s="6835"/>
      <c r="Z313" s="6835"/>
      <c r="AA313" s="6835"/>
      <c r="AB313" s="6835"/>
      <c r="AC313" s="6836"/>
      <c r="AD313" s="6834">
        <f>SUM(AD297,AD307,AD310,AD311,AD312)</f>
        <v>0</v>
      </c>
      <c r="AE313" s="6835"/>
      <c r="AF313" s="6835"/>
      <c r="AG313" s="6835"/>
      <c r="AH313" s="6835"/>
      <c r="AI313" s="6836"/>
      <c r="AJ313" s="6706">
        <v>6</v>
      </c>
      <c r="AK313" s="6080"/>
      <c r="AL313" s="6707" t="str">
        <f>IF(AQ313&lt;&gt;"",ROUND(AQ313,0),IF(AO272=0,"",ROUND(SUM(P313,W313,AD313),0)))</f>
        <v/>
      </c>
      <c r="AM313" s="5809"/>
      <c r="AN313" s="5809"/>
      <c r="AO313" s="5809"/>
      <c r="AP313" s="3350"/>
      <c r="AQ313" s="6715"/>
      <c r="AR313" s="6716"/>
      <c r="AS313" s="6716"/>
      <c r="AT313" s="6716"/>
      <c r="AU313" s="3350"/>
      <c r="AV313" s="1443"/>
      <c r="AW313" s="1443"/>
      <c r="AX313" s="3742"/>
      <c r="AY313" s="5016"/>
      <c r="AZ313" s="5016"/>
      <c r="BA313" s="5016"/>
      <c r="BB313" s="5016"/>
      <c r="BC313" s="5016"/>
      <c r="BD313" s="5016"/>
      <c r="BE313" s="5016"/>
      <c r="BF313" s="5016"/>
      <c r="BG313" s="5016"/>
      <c r="BH313" s="5016"/>
    </row>
    <row r="314" spans="1:60" ht="16.5" customHeight="1">
      <c r="A314" s="5088"/>
      <c r="B314" s="6805">
        <v>7</v>
      </c>
      <c r="C314" s="6805"/>
      <c r="D314" s="3414" t="s">
        <v>2779</v>
      </c>
      <c r="E314" s="1937"/>
      <c r="F314" s="1937"/>
      <c r="G314" s="1937"/>
      <c r="H314" s="1937"/>
      <c r="I314" s="1937"/>
      <c r="J314" s="1937"/>
      <c r="K314" s="1937"/>
      <c r="L314" s="1937"/>
      <c r="M314" s="1937"/>
      <c r="N314" s="1937"/>
      <c r="O314" s="1937"/>
      <c r="P314" s="1937"/>
      <c r="Q314" s="1937"/>
      <c r="R314" s="1937"/>
      <c r="S314" s="1937"/>
      <c r="T314" s="1937"/>
      <c r="U314" s="1937"/>
      <c r="V314" s="1937"/>
      <c r="W314" s="1937"/>
      <c r="X314" s="1937"/>
      <c r="Y314" s="1937"/>
      <c r="Z314" s="1937"/>
      <c r="AA314" s="1937"/>
      <c r="AB314" s="1937"/>
      <c r="AC314" s="1937"/>
      <c r="AD314" s="1937"/>
      <c r="AE314" s="1937"/>
      <c r="AF314" s="1937"/>
      <c r="AG314" s="1937"/>
      <c r="AH314" s="1937"/>
      <c r="AI314" s="1943" t="s">
        <v>1993</v>
      </c>
      <c r="AJ314" s="6795">
        <v>7</v>
      </c>
      <c r="AK314" s="6796"/>
      <c r="AL314" s="6707" t="str">
        <f>IF(AQ314&lt;&gt;"",ROUND(AQ314,0),IF(AO272=0,"",ROUND(SUM(AL288,-AL313),0)))</f>
        <v/>
      </c>
      <c r="AM314" s="5809"/>
      <c r="AN314" s="5809"/>
      <c r="AO314" s="5809"/>
      <c r="AP314" s="3350"/>
      <c r="AQ314" s="6715"/>
      <c r="AR314" s="6716"/>
      <c r="AS314" s="6716"/>
      <c r="AT314" s="6716"/>
      <c r="AU314" s="3350"/>
      <c r="AV314" s="1443"/>
      <c r="AW314" s="1443"/>
      <c r="AX314" s="3742"/>
      <c r="AY314" s="5016"/>
      <c r="AZ314" s="5016"/>
      <c r="BA314" s="5016"/>
      <c r="BB314" s="5016"/>
      <c r="BC314" s="5016"/>
      <c r="BD314" s="5016"/>
      <c r="BE314" s="5016"/>
      <c r="BF314" s="5016"/>
      <c r="BG314" s="5016"/>
      <c r="BH314" s="5016"/>
    </row>
    <row r="315" spans="1:60" s="3272" customFormat="1" ht="17.25" customHeight="1">
      <c r="A315" s="5090"/>
      <c r="B315" s="6207" t="s">
        <v>130</v>
      </c>
      <c r="C315" s="6207"/>
      <c r="D315" s="6208"/>
      <c r="E315" s="6806" t="s">
        <v>3537</v>
      </c>
      <c r="F315" s="6807"/>
      <c r="G315" s="6807"/>
      <c r="H315" s="6807"/>
      <c r="I315" s="6807"/>
      <c r="J315" s="6807"/>
      <c r="K315" s="6807"/>
      <c r="L315" s="6807"/>
      <c r="M315" s="6807"/>
      <c r="N315" s="6807"/>
      <c r="O315" s="6807"/>
      <c r="P315" s="6807"/>
      <c r="Q315" s="6807"/>
      <c r="R315" s="6807"/>
      <c r="S315" s="6807"/>
      <c r="T315" s="6807"/>
      <c r="U315" s="6807"/>
      <c r="V315" s="6807"/>
      <c r="W315" s="6807"/>
      <c r="X315" s="6807"/>
      <c r="Y315" s="6807"/>
      <c r="Z315" s="6807"/>
      <c r="AA315" s="6807"/>
      <c r="AB315" s="6807"/>
      <c r="AC315" s="6807"/>
      <c r="AD315" s="6807"/>
      <c r="AE315" s="6807"/>
      <c r="AF315" s="6807"/>
      <c r="AG315" s="6807"/>
      <c r="AH315" s="6807"/>
      <c r="AI315" s="6807"/>
      <c r="AJ315" s="6807"/>
      <c r="AK315" s="6807"/>
      <c r="AL315" s="6807"/>
      <c r="AM315" s="6807"/>
      <c r="AN315" s="6807"/>
      <c r="AO315" s="6807"/>
      <c r="AP315" s="3350"/>
      <c r="AQ315" s="3350"/>
      <c r="AR315" s="3350"/>
      <c r="AS315" s="3350"/>
      <c r="AT315" s="3350"/>
      <c r="AU315" s="3350"/>
      <c r="AV315" s="1922"/>
      <c r="AW315" s="1922"/>
      <c r="AX315" s="3742"/>
      <c r="AY315" s="5016"/>
      <c r="AZ315" s="5016"/>
      <c r="BA315" s="5016"/>
      <c r="BB315" s="5016"/>
      <c r="BC315" s="5016"/>
      <c r="BD315" s="5016"/>
      <c r="BE315" s="5016"/>
      <c r="BF315" s="5016"/>
      <c r="BG315" s="5016"/>
      <c r="BH315" s="5016"/>
    </row>
    <row r="316" spans="1:60" s="3272" customFormat="1" ht="12" customHeight="1">
      <c r="A316" s="5090"/>
      <c r="B316" s="6808" t="s">
        <v>2788</v>
      </c>
      <c r="C316" s="6811" t="s">
        <v>3538</v>
      </c>
      <c r="D316" s="6311"/>
      <c r="E316" s="6311"/>
      <c r="F316" s="6311"/>
      <c r="G316" s="6312"/>
      <c r="H316" s="6812" t="s">
        <v>2827</v>
      </c>
      <c r="I316" s="6813"/>
      <c r="J316" s="6813"/>
      <c r="K316" s="6813"/>
      <c r="L316" s="6813"/>
      <c r="M316" s="6813"/>
      <c r="N316" s="6813"/>
      <c r="O316" s="6813"/>
      <c r="P316" s="6813"/>
      <c r="Q316" s="6813"/>
      <c r="R316" s="6813"/>
      <c r="S316" s="6813"/>
      <c r="T316" s="6813"/>
      <c r="U316" s="6813"/>
      <c r="V316" s="6813"/>
      <c r="W316" s="6813"/>
      <c r="X316" s="6813"/>
      <c r="Y316" s="6813"/>
      <c r="Z316" s="6813"/>
      <c r="AA316" s="6813"/>
      <c r="AB316" s="6813"/>
      <c r="AC316" s="6813"/>
      <c r="AD316" s="6813"/>
      <c r="AE316" s="6813"/>
      <c r="AF316" s="6813"/>
      <c r="AG316" s="6813"/>
      <c r="AH316" s="6813"/>
      <c r="AI316" s="6813"/>
      <c r="AJ316" s="6813"/>
      <c r="AK316" s="6813"/>
      <c r="AL316" s="6813"/>
      <c r="AM316" s="6813"/>
      <c r="AN316" s="6813"/>
      <c r="AO316" s="6813"/>
      <c r="AP316" s="3350"/>
      <c r="AQ316" s="1922"/>
      <c r="AR316" s="1922"/>
      <c r="AS316" s="1922"/>
      <c r="AT316" s="1922"/>
      <c r="AU316" s="1922"/>
      <c r="AV316" s="1922"/>
      <c r="AW316" s="1922"/>
      <c r="AX316" s="3742"/>
      <c r="AY316" s="5016"/>
      <c r="AZ316" s="5016"/>
      <c r="BA316" s="5016"/>
      <c r="BB316" s="5016"/>
      <c r="BC316" s="5016"/>
      <c r="BD316" s="5016"/>
      <c r="BE316" s="5016"/>
      <c r="BF316" s="5016"/>
      <c r="BG316" s="5016"/>
      <c r="BH316" s="5016"/>
    </row>
    <row r="317" spans="1:60" s="3272" customFormat="1" ht="12" customHeight="1">
      <c r="A317" s="5090"/>
      <c r="B317" s="6809"/>
      <c r="C317" s="6248"/>
      <c r="D317" s="6249"/>
      <c r="E317" s="6249"/>
      <c r="F317" s="6249"/>
      <c r="G317" s="6117"/>
      <c r="H317" s="6814"/>
      <c r="I317" s="6815"/>
      <c r="J317" s="6815"/>
      <c r="K317" s="6815"/>
      <c r="L317" s="6815"/>
      <c r="M317" s="6815"/>
      <c r="N317" s="6815"/>
      <c r="O317" s="6815"/>
      <c r="P317" s="6815"/>
      <c r="Q317" s="6815"/>
      <c r="R317" s="6815"/>
      <c r="S317" s="6815"/>
      <c r="T317" s="6815"/>
      <c r="U317" s="6815"/>
      <c r="V317" s="6815"/>
      <c r="W317" s="6815"/>
      <c r="X317" s="6815"/>
      <c r="Y317" s="6815"/>
      <c r="Z317" s="6815"/>
      <c r="AA317" s="6815"/>
      <c r="AB317" s="6815"/>
      <c r="AC317" s="6815"/>
      <c r="AD317" s="6815"/>
      <c r="AE317" s="6815"/>
      <c r="AF317" s="6815"/>
      <c r="AG317" s="6815"/>
      <c r="AH317" s="6815"/>
      <c r="AI317" s="6815"/>
      <c r="AJ317" s="6815"/>
      <c r="AK317" s="6815"/>
      <c r="AL317" s="6815"/>
      <c r="AM317" s="6815"/>
      <c r="AN317" s="6815"/>
      <c r="AO317" s="6815"/>
      <c r="AP317" s="3350"/>
      <c r="AQ317" s="1922"/>
      <c r="AR317" s="1922"/>
      <c r="AS317" s="1922"/>
      <c r="AT317" s="1922"/>
      <c r="AU317" s="1922"/>
      <c r="AV317" s="1922"/>
      <c r="AW317" s="1922"/>
      <c r="AX317" s="3742"/>
      <c r="AY317" s="5016"/>
      <c r="AZ317" s="5016"/>
      <c r="BA317" s="5016"/>
      <c r="BB317" s="5016"/>
      <c r="BC317" s="5016"/>
      <c r="BD317" s="5016"/>
      <c r="BE317" s="5016"/>
      <c r="BF317" s="5016"/>
      <c r="BG317" s="5016"/>
      <c r="BH317" s="5016"/>
    </row>
    <row r="318" spans="1:60" s="3272" customFormat="1" ht="12" customHeight="1">
      <c r="A318" s="5090"/>
      <c r="B318" s="6809"/>
      <c r="C318" s="6248"/>
      <c r="D318" s="6249"/>
      <c r="E318" s="6249"/>
      <c r="F318" s="6249"/>
      <c r="G318" s="6117"/>
      <c r="H318" s="6816"/>
      <c r="I318" s="6817"/>
      <c r="J318" s="6817"/>
      <c r="K318" s="6817"/>
      <c r="L318" s="6817"/>
      <c r="M318" s="6817"/>
      <c r="N318" s="6817"/>
      <c r="O318" s="6817"/>
      <c r="P318" s="6817"/>
      <c r="Q318" s="6817"/>
      <c r="R318" s="6817"/>
      <c r="S318" s="6817"/>
      <c r="T318" s="6817"/>
      <c r="U318" s="6817"/>
      <c r="V318" s="6817"/>
      <c r="W318" s="6817"/>
      <c r="X318" s="6817"/>
      <c r="Y318" s="6817"/>
      <c r="Z318" s="6817"/>
      <c r="AA318" s="6817"/>
      <c r="AB318" s="6817"/>
      <c r="AC318" s="6817"/>
      <c r="AD318" s="6817"/>
      <c r="AE318" s="6817"/>
      <c r="AF318" s="6817"/>
      <c r="AG318" s="6817"/>
      <c r="AH318" s="6817"/>
      <c r="AI318" s="6817"/>
      <c r="AJ318" s="6817"/>
      <c r="AK318" s="6817"/>
      <c r="AL318" s="6817"/>
      <c r="AM318" s="6817"/>
      <c r="AN318" s="6817"/>
      <c r="AO318" s="6817"/>
      <c r="AP318" s="3350"/>
      <c r="AQ318" s="1922"/>
      <c r="AR318" s="1922"/>
      <c r="AS318" s="1922"/>
      <c r="AT318" s="1922"/>
      <c r="AU318" s="1922"/>
      <c r="AV318" s="1922"/>
      <c r="AW318" s="1922"/>
      <c r="AX318" s="3742"/>
      <c r="AY318" s="5016"/>
      <c r="AZ318" s="5016"/>
      <c r="BA318" s="5016"/>
      <c r="BB318" s="5016"/>
      <c r="BC318" s="5016"/>
      <c r="BD318" s="5016"/>
      <c r="BE318" s="5016"/>
      <c r="BF318" s="5016"/>
      <c r="BG318" s="5016"/>
      <c r="BH318" s="5016"/>
    </row>
    <row r="319" spans="1:60" s="3272" customFormat="1" ht="10.5" customHeight="1">
      <c r="A319" s="5090"/>
      <c r="B319" s="6809"/>
      <c r="C319" s="3407">
        <f>IF(E319&lt;&gt;"",1,0)</f>
        <v>0</v>
      </c>
      <c r="D319" s="2254" t="s">
        <v>3501</v>
      </c>
      <c r="E319" s="1446"/>
      <c r="F319" s="2292" t="s">
        <v>2786</v>
      </c>
      <c r="G319" s="3393"/>
      <c r="H319" s="6227" t="s">
        <v>2825</v>
      </c>
      <c r="I319" s="6228"/>
      <c r="J319" s="6228"/>
      <c r="K319" s="6228"/>
      <c r="L319" s="6228"/>
      <c r="M319" s="6228"/>
      <c r="N319" s="6228"/>
      <c r="O319" s="6228"/>
      <c r="P319" s="6228"/>
      <c r="Q319" s="6228"/>
      <c r="R319" s="6228"/>
      <c r="S319" s="6228"/>
      <c r="T319" s="6228"/>
      <c r="U319" s="6228"/>
      <c r="V319" s="6228"/>
      <c r="W319" s="6229"/>
      <c r="X319" s="6227" t="s">
        <v>2826</v>
      </c>
      <c r="Y319" s="6212"/>
      <c r="Z319" s="6212"/>
      <c r="AA319" s="6212"/>
      <c r="AB319" s="6212"/>
      <c r="AC319" s="6212"/>
      <c r="AD319" s="6212"/>
      <c r="AE319" s="6212"/>
      <c r="AF319" s="6212"/>
      <c r="AG319" s="6212"/>
      <c r="AH319" s="6212"/>
      <c r="AI319" s="6212"/>
      <c r="AJ319" s="6212"/>
      <c r="AK319" s="6212"/>
      <c r="AL319" s="6212"/>
      <c r="AM319" s="6212"/>
      <c r="AN319" s="6212"/>
      <c r="AO319" s="6212"/>
      <c r="AP319" s="3350"/>
      <c r="AQ319" s="1922"/>
      <c r="AR319" s="1922"/>
      <c r="AS319" s="1922"/>
      <c r="AT319" s="1922"/>
      <c r="AU319" s="1922"/>
      <c r="AV319" s="1922"/>
      <c r="AW319" s="1922"/>
      <c r="AX319" s="3742"/>
      <c r="AY319" s="5016"/>
      <c r="AZ319" s="5016"/>
      <c r="BA319" s="5016"/>
      <c r="BB319" s="5016"/>
      <c r="BC319" s="5016"/>
      <c r="BD319" s="5016"/>
      <c r="BE319" s="5016"/>
      <c r="BF319" s="5016"/>
      <c r="BG319" s="5016"/>
      <c r="BH319" s="5016"/>
    </row>
    <row r="320" spans="1:60" ht="6.75" customHeight="1">
      <c r="A320" s="5088"/>
      <c r="B320" s="6809"/>
      <c r="C320" s="3408"/>
      <c r="D320" s="1607"/>
      <c r="E320" s="1443"/>
      <c r="F320" s="1443"/>
      <c r="G320" s="1966"/>
      <c r="H320" s="6233"/>
      <c r="I320" s="6234"/>
      <c r="J320" s="6234"/>
      <c r="K320" s="6234"/>
      <c r="L320" s="6234"/>
      <c r="M320" s="6234"/>
      <c r="N320" s="6234"/>
      <c r="O320" s="6234"/>
      <c r="P320" s="6234"/>
      <c r="Q320" s="6234"/>
      <c r="R320" s="6234"/>
      <c r="S320" s="6234"/>
      <c r="T320" s="6234"/>
      <c r="U320" s="6234"/>
      <c r="V320" s="6234"/>
      <c r="W320" s="6235"/>
      <c r="X320" s="6818"/>
      <c r="Y320" s="6819"/>
      <c r="Z320" s="6819"/>
      <c r="AA320" s="6819"/>
      <c r="AB320" s="6819"/>
      <c r="AC320" s="6819"/>
      <c r="AD320" s="6819"/>
      <c r="AE320" s="6819"/>
      <c r="AF320" s="6819"/>
      <c r="AG320" s="6819"/>
      <c r="AH320" s="6819"/>
      <c r="AI320" s="6819"/>
      <c r="AJ320" s="6819"/>
      <c r="AK320" s="6819"/>
      <c r="AL320" s="6819"/>
      <c r="AM320" s="6819"/>
      <c r="AN320" s="6819"/>
      <c r="AO320" s="6819"/>
      <c r="AP320" s="3350"/>
      <c r="AQ320" s="1443"/>
      <c r="AR320" s="1443"/>
      <c r="AS320" s="1443"/>
      <c r="AT320" s="1443"/>
      <c r="AU320" s="1443"/>
      <c r="AV320" s="1443"/>
      <c r="AW320" s="1443"/>
      <c r="AX320" s="3742"/>
      <c r="AY320" s="5016"/>
      <c r="AZ320" s="5016"/>
      <c r="BA320" s="5016"/>
      <c r="BB320" s="5016"/>
      <c r="BC320" s="5016"/>
      <c r="BD320" s="5016"/>
      <c r="BE320" s="5016"/>
      <c r="BF320" s="5016"/>
      <c r="BG320" s="5016"/>
      <c r="BH320" s="5016"/>
    </row>
    <row r="321" spans="1:60" ht="13.5" customHeight="1">
      <c r="A321" s="5088"/>
      <c r="B321" s="6809"/>
      <c r="C321" s="3407">
        <f>IF(E321&lt;&gt;"",1,0)</f>
        <v>0</v>
      </c>
      <c r="D321" s="1804" t="s">
        <v>3502</v>
      </c>
      <c r="E321" s="1446"/>
      <c r="F321" s="2292" t="s">
        <v>2780</v>
      </c>
      <c r="G321" s="3395"/>
      <c r="H321" s="6310" t="s">
        <v>2782</v>
      </c>
      <c r="I321" s="6311"/>
      <c r="J321" s="6311"/>
      <c r="K321" s="6311"/>
      <c r="L321" s="6311"/>
      <c r="M321" s="6311"/>
      <c r="N321" s="6311"/>
      <c r="O321" s="6311"/>
      <c r="P321" s="6311"/>
      <c r="Q321" s="6311"/>
      <c r="R321" s="6311"/>
      <c r="S321" s="6312"/>
      <c r="T321" s="6310" t="s">
        <v>3507</v>
      </c>
      <c r="U321" s="6311"/>
      <c r="V321" s="6311"/>
      <c r="W321" s="6312"/>
      <c r="X321" s="6310" t="s">
        <v>2782</v>
      </c>
      <c r="Y321" s="6311"/>
      <c r="Z321" s="6311"/>
      <c r="AA321" s="6311"/>
      <c r="AB321" s="6311"/>
      <c r="AC321" s="6311"/>
      <c r="AD321" s="6311"/>
      <c r="AE321" s="6311"/>
      <c r="AF321" s="6311"/>
      <c r="AG321" s="6311"/>
      <c r="AH321" s="6312"/>
      <c r="AI321" s="6310" t="s">
        <v>3511</v>
      </c>
      <c r="AJ321" s="6311"/>
      <c r="AK321" s="6311"/>
      <c r="AL321" s="6312"/>
      <c r="AM321" s="6310" t="s">
        <v>3535</v>
      </c>
      <c r="AN321" s="6820"/>
      <c r="AO321" s="6820"/>
      <c r="AP321" s="3350"/>
      <c r="AQ321" s="1443"/>
      <c r="AR321" s="1443"/>
      <c r="AS321" s="1443"/>
      <c r="AT321" s="1443"/>
      <c r="AU321" s="1443"/>
      <c r="AV321" s="1443"/>
      <c r="AW321" s="1443"/>
      <c r="AX321" s="3742"/>
      <c r="AY321" s="5016"/>
      <c r="AZ321" s="5016"/>
      <c r="BA321" s="5016"/>
      <c r="BB321" s="5016"/>
      <c r="BC321" s="5016"/>
      <c r="BD321" s="5016"/>
      <c r="BE321" s="5016"/>
      <c r="BF321" s="5016"/>
      <c r="BG321" s="5016"/>
      <c r="BH321" s="5016"/>
    </row>
    <row r="322" spans="1:60" ht="7.5" customHeight="1">
      <c r="A322" s="5088"/>
      <c r="B322" s="6810"/>
      <c r="C322" s="3396"/>
      <c r="D322" s="1953"/>
      <c r="E322" s="1953"/>
      <c r="F322" s="1953"/>
      <c r="G322" s="3397"/>
      <c r="H322" s="6316"/>
      <c r="I322" s="6317"/>
      <c r="J322" s="6317"/>
      <c r="K322" s="6317"/>
      <c r="L322" s="6317"/>
      <c r="M322" s="6317"/>
      <c r="N322" s="6317"/>
      <c r="O322" s="6317"/>
      <c r="P322" s="6317"/>
      <c r="Q322" s="6317"/>
      <c r="R322" s="6317"/>
      <c r="S322" s="6318"/>
      <c r="T322" s="6313"/>
      <c r="U322" s="6314"/>
      <c r="V322" s="6314"/>
      <c r="W322" s="6315"/>
      <c r="X322" s="6316"/>
      <c r="Y322" s="6317"/>
      <c r="Z322" s="6317"/>
      <c r="AA322" s="6317"/>
      <c r="AB322" s="6317"/>
      <c r="AC322" s="6317"/>
      <c r="AD322" s="6317"/>
      <c r="AE322" s="6317"/>
      <c r="AF322" s="6317"/>
      <c r="AG322" s="6317"/>
      <c r="AH322" s="6318"/>
      <c r="AI322" s="6313"/>
      <c r="AJ322" s="6314"/>
      <c r="AK322" s="6314"/>
      <c r="AL322" s="6315"/>
      <c r="AM322" s="6821"/>
      <c r="AN322" s="6822"/>
      <c r="AO322" s="6822"/>
      <c r="AP322" s="3350"/>
      <c r="AQ322" s="1443"/>
      <c r="AR322" s="1443"/>
      <c r="AS322" s="1443"/>
      <c r="AT322" s="1443"/>
      <c r="AU322" s="1443"/>
      <c r="AV322" s="1443"/>
      <c r="AW322" s="1443"/>
      <c r="AX322" s="3742"/>
      <c r="AY322" s="5016"/>
      <c r="AZ322" s="5016"/>
      <c r="BA322" s="5016"/>
      <c r="BB322" s="5016"/>
      <c r="BC322" s="5016"/>
      <c r="BD322" s="5016"/>
      <c r="BE322" s="5016"/>
      <c r="BF322" s="5016"/>
      <c r="BG322" s="5016"/>
      <c r="BH322" s="5016"/>
    </row>
    <row r="323" spans="1:60" ht="7.5" customHeight="1">
      <c r="A323" s="5088"/>
      <c r="B323" s="3392"/>
      <c r="C323" s="6825" t="str">
        <f>C197</f>
        <v>(l) Date paid</v>
      </c>
      <c r="D323" s="6826"/>
      <c r="E323" s="6826"/>
      <c r="F323" s="6826"/>
      <c r="G323" s="6827"/>
      <c r="H323" s="6310" t="s">
        <v>3504</v>
      </c>
      <c r="I323" s="6311"/>
      <c r="J323" s="6311"/>
      <c r="K323" s="6310" t="s">
        <v>3505</v>
      </c>
      <c r="L323" s="6311"/>
      <c r="M323" s="6311"/>
      <c r="N323" s="6311"/>
      <c r="O323" s="6310" t="s">
        <v>3506</v>
      </c>
      <c r="P323" s="6311"/>
      <c r="Q323" s="6311"/>
      <c r="R323" s="6311"/>
      <c r="S323" s="6749"/>
      <c r="T323" s="6313"/>
      <c r="U323" s="6314"/>
      <c r="V323" s="6314"/>
      <c r="W323" s="6315"/>
      <c r="X323" s="6310" t="s">
        <v>3508</v>
      </c>
      <c r="Y323" s="6311"/>
      <c r="Z323" s="6311"/>
      <c r="AA323" s="6310" t="s">
        <v>3509</v>
      </c>
      <c r="AB323" s="6311"/>
      <c r="AC323" s="6311"/>
      <c r="AD323" s="6311"/>
      <c r="AE323" s="6310" t="s">
        <v>3510</v>
      </c>
      <c r="AF323" s="6748"/>
      <c r="AG323" s="6748"/>
      <c r="AH323" s="6749"/>
      <c r="AI323" s="6313"/>
      <c r="AJ323" s="6314"/>
      <c r="AK323" s="6314"/>
      <c r="AL323" s="6315"/>
      <c r="AM323" s="6821"/>
      <c r="AN323" s="6822"/>
      <c r="AO323" s="6822"/>
      <c r="AP323" s="3350"/>
      <c r="AQ323" s="1443"/>
      <c r="AR323" s="1443"/>
      <c r="AS323" s="1443"/>
      <c r="AT323" s="1443"/>
      <c r="AU323" s="1443"/>
      <c r="AV323" s="1443"/>
      <c r="AW323" s="1443"/>
      <c r="AX323" s="3742"/>
      <c r="AY323" s="5016"/>
      <c r="AZ323" s="5016"/>
      <c r="BA323" s="5016"/>
      <c r="BB323" s="5016"/>
      <c r="BC323" s="5016"/>
      <c r="BD323" s="5016"/>
      <c r="BE323" s="5016"/>
      <c r="BF323" s="5016"/>
      <c r="BG323" s="5016"/>
      <c r="BH323" s="5016"/>
    </row>
    <row r="324" spans="1:60" ht="13.5" customHeight="1">
      <c r="A324" s="5088"/>
      <c r="B324" s="3392"/>
      <c r="C324" s="6828"/>
      <c r="D324" s="6829"/>
      <c r="E324" s="6829"/>
      <c r="F324" s="6829"/>
      <c r="G324" s="6830"/>
      <c r="H324" s="6313"/>
      <c r="I324" s="6314"/>
      <c r="J324" s="6314"/>
      <c r="K324" s="6313"/>
      <c r="L324" s="6314"/>
      <c r="M324" s="6314"/>
      <c r="N324" s="6314"/>
      <c r="O324" s="6313"/>
      <c r="P324" s="6314"/>
      <c r="Q324" s="6314"/>
      <c r="R324" s="6314"/>
      <c r="S324" s="6751"/>
      <c r="T324" s="6313"/>
      <c r="U324" s="6314"/>
      <c r="V324" s="6314"/>
      <c r="W324" s="6315"/>
      <c r="X324" s="6313"/>
      <c r="Y324" s="6314"/>
      <c r="Z324" s="6314"/>
      <c r="AA324" s="6313"/>
      <c r="AB324" s="6314"/>
      <c r="AC324" s="6314"/>
      <c r="AD324" s="6314"/>
      <c r="AE324" s="6750"/>
      <c r="AF324" s="5659"/>
      <c r="AG324" s="5659"/>
      <c r="AH324" s="6751"/>
      <c r="AI324" s="6313"/>
      <c r="AJ324" s="6314"/>
      <c r="AK324" s="6314"/>
      <c r="AL324" s="6315"/>
      <c r="AM324" s="6821"/>
      <c r="AN324" s="6822"/>
      <c r="AO324" s="6822"/>
      <c r="AP324" s="3350"/>
      <c r="AQ324" s="1443"/>
      <c r="AR324" s="1443"/>
      <c r="AS324" s="1443"/>
      <c r="AT324" s="1443"/>
      <c r="AU324" s="1443"/>
      <c r="AV324" s="1443"/>
      <c r="AW324" s="1443"/>
      <c r="AX324" s="3742"/>
      <c r="AY324" s="5016"/>
      <c r="AZ324" s="5016"/>
      <c r="BA324" s="5016"/>
      <c r="BB324" s="5016"/>
      <c r="BC324" s="5016"/>
      <c r="BD324" s="5016"/>
      <c r="BE324" s="5016"/>
      <c r="BF324" s="5016"/>
      <c r="BG324" s="5016"/>
      <c r="BH324" s="5016"/>
    </row>
    <row r="325" spans="1:60" ht="13.5" customHeight="1">
      <c r="A325" s="5088"/>
      <c r="B325" s="3392"/>
      <c r="C325" s="6831" t="s">
        <v>2781</v>
      </c>
      <c r="D325" s="6574"/>
      <c r="E325" s="6574"/>
      <c r="F325" s="6574"/>
      <c r="G325" s="6575"/>
      <c r="H325" s="6313"/>
      <c r="I325" s="6314"/>
      <c r="J325" s="6314"/>
      <c r="K325" s="6313"/>
      <c r="L325" s="6314"/>
      <c r="M325" s="6314"/>
      <c r="N325" s="6314"/>
      <c r="O325" s="6313"/>
      <c r="P325" s="6314"/>
      <c r="Q325" s="6314"/>
      <c r="R325" s="6314"/>
      <c r="S325" s="6751"/>
      <c r="T325" s="6313"/>
      <c r="U325" s="6314"/>
      <c r="V325" s="6314"/>
      <c r="W325" s="6315"/>
      <c r="X325" s="6313"/>
      <c r="Y325" s="6314"/>
      <c r="Z325" s="6314"/>
      <c r="AA325" s="6313"/>
      <c r="AB325" s="6314"/>
      <c r="AC325" s="6314"/>
      <c r="AD325" s="6314"/>
      <c r="AE325" s="6750"/>
      <c r="AF325" s="5659"/>
      <c r="AG325" s="5659"/>
      <c r="AH325" s="6751"/>
      <c r="AI325" s="6313"/>
      <c r="AJ325" s="6314"/>
      <c r="AK325" s="6314"/>
      <c r="AL325" s="6315"/>
      <c r="AM325" s="6821"/>
      <c r="AN325" s="6822"/>
      <c r="AO325" s="6822"/>
      <c r="AP325" s="3350"/>
      <c r="AQ325" s="1443"/>
      <c r="AR325" s="1443"/>
      <c r="AS325" s="1443"/>
      <c r="AT325" s="1443"/>
      <c r="AU325" s="1443"/>
      <c r="AV325" s="1443"/>
      <c r="AW325" s="1443"/>
      <c r="AX325" s="3742"/>
      <c r="AY325" s="5016"/>
      <c r="AZ325" s="5016"/>
      <c r="BA325" s="5016"/>
      <c r="BB325" s="5016"/>
      <c r="BC325" s="5016"/>
      <c r="BD325" s="5016"/>
      <c r="BE325" s="5016"/>
      <c r="BF325" s="5016"/>
      <c r="BG325" s="5016"/>
      <c r="BH325" s="5016"/>
    </row>
    <row r="326" spans="1:60" ht="6.75" customHeight="1">
      <c r="A326" s="5088"/>
      <c r="B326" s="3394"/>
      <c r="C326" s="3398"/>
      <c r="D326" s="3376"/>
      <c r="E326" s="3376"/>
      <c r="F326" s="3376"/>
      <c r="G326" s="3399"/>
      <c r="H326" s="6316"/>
      <c r="I326" s="6317"/>
      <c r="J326" s="6317"/>
      <c r="K326" s="6316"/>
      <c r="L326" s="6317"/>
      <c r="M326" s="6317"/>
      <c r="N326" s="6317"/>
      <c r="O326" s="6832"/>
      <c r="P326" s="6753"/>
      <c r="Q326" s="6753"/>
      <c r="R326" s="6753"/>
      <c r="S326" s="6754"/>
      <c r="T326" s="6316"/>
      <c r="U326" s="6317"/>
      <c r="V326" s="6317"/>
      <c r="W326" s="6318"/>
      <c r="X326" s="6316"/>
      <c r="Y326" s="6317"/>
      <c r="Z326" s="6317"/>
      <c r="AA326" s="6316"/>
      <c r="AB326" s="6317"/>
      <c r="AC326" s="6317"/>
      <c r="AD326" s="6317"/>
      <c r="AE326" s="6752"/>
      <c r="AF326" s="6753"/>
      <c r="AG326" s="6753"/>
      <c r="AH326" s="6754"/>
      <c r="AI326" s="6316"/>
      <c r="AJ326" s="6317"/>
      <c r="AK326" s="6317"/>
      <c r="AL326" s="6318"/>
      <c r="AM326" s="6823"/>
      <c r="AN326" s="6824"/>
      <c r="AO326" s="6824"/>
      <c r="AP326" s="3350"/>
      <c r="AQ326" s="1443"/>
      <c r="AR326" s="1443"/>
      <c r="AS326" s="1443"/>
      <c r="AT326" s="1443"/>
      <c r="AU326" s="1443"/>
      <c r="AV326" s="1443"/>
      <c r="AW326" s="1443"/>
      <c r="AX326" s="3742"/>
      <c r="AY326" s="5016"/>
      <c r="AZ326" s="5016"/>
      <c r="BA326" s="5016"/>
      <c r="BB326" s="5016"/>
      <c r="BC326" s="5016"/>
      <c r="BD326" s="5016"/>
      <c r="BE326" s="5016"/>
      <c r="BF326" s="5016"/>
      <c r="BG326" s="5016"/>
      <c r="BH326" s="5016"/>
    </row>
    <row r="327" spans="1:60" ht="15" customHeight="1">
      <c r="A327" s="5174">
        <f>SUM(X327:AL327)</f>
        <v>0</v>
      </c>
      <c r="B327" s="3333" t="s">
        <v>159</v>
      </c>
      <c r="C327" s="6800"/>
      <c r="D327" s="6801"/>
      <c r="E327" s="6801"/>
      <c r="F327" s="6801"/>
      <c r="G327" s="6802"/>
      <c r="H327" s="6745"/>
      <c r="I327" s="6746"/>
      <c r="J327" s="6747"/>
      <c r="K327" s="6746"/>
      <c r="L327" s="6803"/>
      <c r="M327" s="6803"/>
      <c r="N327" s="6803"/>
      <c r="O327" s="6745"/>
      <c r="P327" s="6746"/>
      <c r="Q327" s="6746"/>
      <c r="R327" s="6746"/>
      <c r="S327" s="6747"/>
      <c r="T327" s="6745"/>
      <c r="U327" s="6746"/>
      <c r="V327" s="6746"/>
      <c r="W327" s="6747"/>
      <c r="X327" s="6745"/>
      <c r="Y327" s="6803"/>
      <c r="Z327" s="6804"/>
      <c r="AA327" s="6746"/>
      <c r="AB327" s="6746"/>
      <c r="AC327" s="6746"/>
      <c r="AD327" s="6747"/>
      <c r="AE327" s="6745"/>
      <c r="AF327" s="6746"/>
      <c r="AG327" s="6746"/>
      <c r="AH327" s="6747"/>
      <c r="AI327" s="6745"/>
      <c r="AJ327" s="6746"/>
      <c r="AK327" s="6746"/>
      <c r="AL327" s="6747"/>
      <c r="AM327" s="6744">
        <f>ROUND(SUM(X327:AL327),0)</f>
        <v>0</v>
      </c>
      <c r="AN327" s="6744"/>
      <c r="AO327" s="6744"/>
      <c r="AP327" s="3350"/>
      <c r="AQ327" s="1443"/>
      <c r="AR327" s="1443"/>
      <c r="AS327" s="1443"/>
      <c r="AT327" s="1443"/>
      <c r="AU327" s="1443"/>
      <c r="AV327" s="1443"/>
      <c r="AW327" s="1443"/>
      <c r="AX327" s="3742"/>
      <c r="AY327" s="5016"/>
      <c r="AZ327" s="5016"/>
      <c r="BA327" s="5016"/>
      <c r="BB327" s="5016"/>
      <c r="BC327" s="5016"/>
      <c r="BD327" s="5016"/>
      <c r="BE327" s="5016"/>
      <c r="BF327" s="5016"/>
      <c r="BG327" s="5016"/>
      <c r="BH327" s="5016"/>
    </row>
    <row r="328" spans="1:60" ht="15" customHeight="1">
      <c r="A328" s="5174">
        <f>SUM(X328:AL328)</f>
        <v>0</v>
      </c>
      <c r="B328" s="3333" t="s">
        <v>327</v>
      </c>
      <c r="C328" s="6800"/>
      <c r="D328" s="6801"/>
      <c r="E328" s="6801"/>
      <c r="F328" s="6801"/>
      <c r="G328" s="6802"/>
      <c r="H328" s="6745"/>
      <c r="I328" s="6746"/>
      <c r="J328" s="6747"/>
      <c r="K328" s="6746"/>
      <c r="L328" s="6803"/>
      <c r="M328" s="6803"/>
      <c r="N328" s="6803"/>
      <c r="O328" s="6745"/>
      <c r="P328" s="6746"/>
      <c r="Q328" s="6746"/>
      <c r="R328" s="6746"/>
      <c r="S328" s="6747"/>
      <c r="T328" s="6745"/>
      <c r="U328" s="6746"/>
      <c r="V328" s="6746"/>
      <c r="W328" s="6747"/>
      <c r="X328" s="6745"/>
      <c r="Y328" s="6803"/>
      <c r="Z328" s="6804"/>
      <c r="AA328" s="6746"/>
      <c r="AB328" s="6746"/>
      <c r="AC328" s="6746"/>
      <c r="AD328" s="6747"/>
      <c r="AE328" s="6745"/>
      <c r="AF328" s="6746"/>
      <c r="AG328" s="6746"/>
      <c r="AH328" s="6747"/>
      <c r="AI328" s="6745"/>
      <c r="AJ328" s="6746"/>
      <c r="AK328" s="6746"/>
      <c r="AL328" s="6747"/>
      <c r="AM328" s="6744">
        <f>ROUND(SUM(X328:AL328),0)</f>
        <v>0</v>
      </c>
      <c r="AN328" s="6744"/>
      <c r="AO328" s="6744"/>
      <c r="AP328" s="3350"/>
      <c r="AQ328" s="1443"/>
      <c r="AR328" s="1443"/>
      <c r="AS328" s="1443"/>
      <c r="AT328" s="1443"/>
      <c r="AU328" s="1443"/>
      <c r="AV328" s="1443"/>
      <c r="AW328" s="1443"/>
      <c r="AX328" s="3742"/>
      <c r="AY328" s="5016"/>
      <c r="AZ328" s="5016"/>
      <c r="BA328" s="5016"/>
      <c r="BB328" s="5016"/>
      <c r="BC328" s="5016"/>
      <c r="BD328" s="5016"/>
      <c r="BE328" s="5016"/>
      <c r="BF328" s="5016"/>
      <c r="BG328" s="5016"/>
      <c r="BH328" s="5016"/>
    </row>
    <row r="329" spans="1:60" ht="15" customHeight="1">
      <c r="A329" s="5174">
        <f>SUM(X329:AL329)</f>
        <v>0</v>
      </c>
      <c r="B329" s="3333" t="s">
        <v>160</v>
      </c>
      <c r="C329" s="6800"/>
      <c r="D329" s="6801"/>
      <c r="E329" s="6801"/>
      <c r="F329" s="6801"/>
      <c r="G329" s="6802"/>
      <c r="H329" s="6745"/>
      <c r="I329" s="6746"/>
      <c r="J329" s="6747"/>
      <c r="K329" s="6746"/>
      <c r="L329" s="6803"/>
      <c r="M329" s="6803"/>
      <c r="N329" s="6803"/>
      <c r="O329" s="6745"/>
      <c r="P329" s="6746"/>
      <c r="Q329" s="6746"/>
      <c r="R329" s="6746"/>
      <c r="S329" s="6747"/>
      <c r="T329" s="6745"/>
      <c r="U329" s="6746"/>
      <c r="V329" s="6746"/>
      <c r="W329" s="6747"/>
      <c r="X329" s="6745"/>
      <c r="Y329" s="6803"/>
      <c r="Z329" s="6804"/>
      <c r="AA329" s="6746"/>
      <c r="AB329" s="6746"/>
      <c r="AC329" s="6746"/>
      <c r="AD329" s="6747"/>
      <c r="AE329" s="6745"/>
      <c r="AF329" s="6746"/>
      <c r="AG329" s="6746"/>
      <c r="AH329" s="6747"/>
      <c r="AI329" s="6745"/>
      <c r="AJ329" s="6746"/>
      <c r="AK329" s="6746"/>
      <c r="AL329" s="6747"/>
      <c r="AM329" s="6744">
        <f>ROUND(SUM(X329:AL329),0)</f>
        <v>0</v>
      </c>
      <c r="AN329" s="6744"/>
      <c r="AO329" s="6744"/>
      <c r="AP329" s="3350"/>
      <c r="AQ329" s="3350"/>
      <c r="AR329" s="3350"/>
      <c r="AS329" s="3350"/>
      <c r="AT329" s="3350"/>
      <c r="AU329" s="3350"/>
      <c r="AV329" s="1443"/>
      <c r="AW329" s="1443"/>
      <c r="AX329" s="3742"/>
      <c r="AY329" s="5016"/>
      <c r="AZ329" s="5016"/>
      <c r="BA329" s="5016"/>
      <c r="BB329" s="5016"/>
      <c r="BC329" s="5016"/>
      <c r="BD329" s="5016"/>
      <c r="BE329" s="5016"/>
      <c r="BF329" s="5016"/>
      <c r="BG329" s="5016"/>
      <c r="BH329" s="5016"/>
    </row>
    <row r="330" spans="1:60" ht="16.5" customHeight="1">
      <c r="A330" s="5094" t="b">
        <f>SUM(A327:A329)&gt;0</f>
        <v>0</v>
      </c>
      <c r="B330" s="6794">
        <v>8</v>
      </c>
      <c r="C330" s="6794"/>
      <c r="D330" s="3404" t="s">
        <v>3512</v>
      </c>
      <c r="E330" s="1937"/>
      <c r="F330" s="1937"/>
      <c r="G330" s="1937"/>
      <c r="H330" s="1937"/>
      <c r="I330" s="1937"/>
      <c r="J330" s="1937"/>
      <c r="K330" s="1937"/>
      <c r="L330" s="1937"/>
      <c r="M330" s="1937"/>
      <c r="N330" s="1937"/>
      <c r="O330" s="1937"/>
      <c r="P330" s="1937"/>
      <c r="Q330" s="1937"/>
      <c r="R330" s="1937"/>
      <c r="S330" s="1937"/>
      <c r="T330" s="1937"/>
      <c r="U330" s="1937"/>
      <c r="V330" s="1937"/>
      <c r="W330" s="1937"/>
      <c r="X330" s="1937"/>
      <c r="Y330" s="1937"/>
      <c r="Z330" s="1937"/>
      <c r="AA330" s="1937"/>
      <c r="AB330" s="1937"/>
      <c r="AC330" s="1937"/>
      <c r="AD330" s="1937"/>
      <c r="AE330" s="1937"/>
      <c r="AF330" s="1937"/>
      <c r="AG330" s="1937"/>
      <c r="AH330" s="1937"/>
      <c r="AI330" s="1937"/>
      <c r="AJ330" s="4850" t="s">
        <v>3239</v>
      </c>
      <c r="AK330" s="6795">
        <v>8</v>
      </c>
      <c r="AL330" s="6796"/>
      <c r="AM330" s="6797">
        <f>IF(AQ330&lt;&gt;"",ROUND(AQ330,0),ROUND(SUM(AM327:AO329),0))</f>
        <v>0</v>
      </c>
      <c r="AN330" s="6798"/>
      <c r="AO330" s="6798"/>
      <c r="AP330" s="3350"/>
      <c r="AQ330" s="6767"/>
      <c r="AR330" s="6768"/>
      <c r="AS330" s="6768"/>
      <c r="AT330" s="6768"/>
      <c r="AU330" s="3350"/>
      <c r="AV330" s="1443"/>
      <c r="AW330" s="1443"/>
      <c r="AX330" s="3742"/>
      <c r="AY330" s="5016"/>
      <c r="AZ330" s="5016"/>
      <c r="BA330" s="5016"/>
      <c r="BB330" s="5016"/>
      <c r="BC330" s="5016"/>
      <c r="BD330" s="5016"/>
      <c r="BE330" s="5016"/>
      <c r="BF330" s="5016"/>
      <c r="BG330" s="5016"/>
      <c r="BH330" s="5016"/>
    </row>
    <row r="331" spans="1:60" ht="18">
      <c r="A331" s="5088"/>
      <c r="B331" s="3287" t="s">
        <v>2785</v>
      </c>
      <c r="C331" s="3285"/>
      <c r="D331" s="1443"/>
      <c r="E331" s="1443"/>
      <c r="F331" s="1443"/>
      <c r="G331" s="1443"/>
      <c r="H331" s="1443"/>
      <c r="I331" s="1443"/>
      <c r="J331" s="1443"/>
      <c r="K331" s="1443"/>
      <c r="L331" s="1443"/>
      <c r="M331" s="1443"/>
      <c r="N331" s="1443"/>
      <c r="O331" s="1443"/>
      <c r="P331" s="1443"/>
      <c r="Q331" s="1443"/>
      <c r="R331" s="1443"/>
      <c r="S331" s="1443"/>
      <c r="T331" s="1443"/>
      <c r="U331" s="1443"/>
      <c r="V331" s="1443"/>
      <c r="W331" s="1443"/>
      <c r="X331" s="1607" t="s">
        <v>2784</v>
      </c>
      <c r="Y331" s="1443"/>
      <c r="Z331" s="1443"/>
      <c r="AA331" s="1443"/>
      <c r="AB331" s="1443"/>
      <c r="AC331" s="1443"/>
      <c r="AD331" s="1443"/>
      <c r="AE331" s="1443"/>
      <c r="AF331" s="1443"/>
      <c r="AG331" s="1443"/>
      <c r="AH331" s="1443"/>
      <c r="AI331" s="1443"/>
      <c r="AJ331" s="1443"/>
      <c r="AK331" s="2541"/>
      <c r="AL331" s="1443"/>
      <c r="AM331" s="2541"/>
      <c r="AN331" s="2541" t="s">
        <v>2783</v>
      </c>
      <c r="AO331" s="2379" t="str">
        <f>"("&amp;TaxYear&amp;")"</f>
        <v>(2018)</v>
      </c>
      <c r="AP331" s="3350"/>
      <c r="AQ331" s="3350"/>
      <c r="AR331" s="3350"/>
      <c r="AS331" s="3350"/>
      <c r="AT331" s="3350"/>
      <c r="AU331" s="3350"/>
      <c r="AV331" s="1443"/>
      <c r="AW331" s="1443"/>
      <c r="AX331" s="3742"/>
      <c r="AY331" s="5016"/>
      <c r="AZ331" s="5016"/>
      <c r="BA331" s="5016"/>
      <c r="BB331" s="5016"/>
      <c r="BC331" s="5016"/>
      <c r="BD331" s="5016"/>
      <c r="BE331" s="5016"/>
      <c r="BF331" s="5016"/>
      <c r="BG331" s="5016"/>
      <c r="BH331" s="5016"/>
    </row>
    <row r="332" spans="1:60" ht="6" customHeight="1">
      <c r="A332" s="5088"/>
      <c r="B332" s="1443"/>
      <c r="C332" s="1443"/>
      <c r="D332" s="1443"/>
      <c r="E332" s="1443"/>
      <c r="F332" s="1443"/>
      <c r="G332" s="1443"/>
      <c r="H332" s="1443"/>
      <c r="I332" s="1443"/>
      <c r="J332" s="1443"/>
      <c r="K332" s="1443"/>
      <c r="L332" s="1443"/>
      <c r="M332" s="1443"/>
      <c r="N332" s="1443"/>
      <c r="O332" s="1443"/>
      <c r="P332" s="1443"/>
      <c r="Q332" s="1443"/>
      <c r="R332" s="1443"/>
      <c r="S332" s="1443"/>
      <c r="T332" s="1617"/>
      <c r="U332" s="1443"/>
      <c r="V332" s="1443"/>
      <c r="W332" s="1443"/>
      <c r="X332" s="1443"/>
      <c r="Y332" s="1443"/>
      <c r="Z332" s="1443"/>
      <c r="AA332" s="1443"/>
      <c r="AB332" s="1443"/>
      <c r="AC332" s="1443"/>
      <c r="AD332" s="1443"/>
      <c r="AE332" s="1443"/>
      <c r="AF332" s="1443"/>
      <c r="AG332" s="1443"/>
      <c r="AH332" s="1443"/>
      <c r="AI332" s="1443"/>
      <c r="AJ332" s="1443"/>
      <c r="AK332" s="1443"/>
      <c r="AL332" s="1443"/>
      <c r="AM332" s="1443"/>
      <c r="AN332" s="1443"/>
      <c r="AO332" s="1443"/>
      <c r="AP332" s="3350"/>
      <c r="AQ332" s="1443"/>
      <c r="AR332" s="1443"/>
      <c r="AS332" s="1443"/>
      <c r="AT332" s="1443"/>
      <c r="AU332" s="1443"/>
      <c r="AV332" s="1443"/>
      <c r="AW332" s="1443"/>
      <c r="AX332" s="3742"/>
      <c r="AY332" s="5016"/>
      <c r="AZ332" s="5016"/>
      <c r="BA332" s="5016"/>
      <c r="BB332" s="5016"/>
      <c r="BC332" s="5016"/>
      <c r="BD332" s="5016"/>
      <c r="BE332" s="5016"/>
      <c r="BF332" s="5016"/>
      <c r="BG332" s="5016"/>
      <c r="BH332" s="5016"/>
    </row>
    <row r="333" spans="1:60" ht="18" customHeight="1" thickBot="1">
      <c r="A333" s="5088"/>
      <c r="B333" s="2123" t="str">
        <f>"Form 1116 ("&amp;TaxYear&amp;")"</f>
        <v>Form 1116 (2018)</v>
      </c>
      <c r="C333" s="1612"/>
      <c r="D333" s="1612"/>
      <c r="E333" s="1612"/>
      <c r="F333" s="1612"/>
      <c r="G333" s="1612"/>
      <c r="H333" s="1612"/>
      <c r="I333" s="1612"/>
      <c r="J333" s="1612"/>
      <c r="K333" s="1612"/>
      <c r="L333" s="1612"/>
      <c r="M333" s="1612"/>
      <c r="N333" s="1612"/>
      <c r="O333" s="1612"/>
      <c r="P333" s="1612"/>
      <c r="Q333" s="1612"/>
      <c r="R333" s="1612"/>
      <c r="S333" s="1612"/>
      <c r="T333" s="1612"/>
      <c r="U333" s="1612"/>
      <c r="V333" s="1612"/>
      <c r="W333" s="1612"/>
      <c r="X333" s="1612"/>
      <c r="Y333" s="1612"/>
      <c r="Z333" s="1612"/>
      <c r="AA333" s="1612"/>
      <c r="AB333" s="1612"/>
      <c r="AC333" s="1612"/>
      <c r="AD333" s="1612"/>
      <c r="AE333" s="1612"/>
      <c r="AF333" s="1612"/>
      <c r="AG333" s="1612"/>
      <c r="AH333" s="1612"/>
      <c r="AI333" s="1612"/>
      <c r="AJ333" s="1612"/>
      <c r="AK333" s="1612"/>
      <c r="AL333" s="1612"/>
      <c r="AM333" s="1612"/>
      <c r="AN333" s="1612"/>
      <c r="AO333" s="3332" t="s">
        <v>182</v>
      </c>
      <c r="AP333" s="3350"/>
      <c r="AQ333" s="1443"/>
      <c r="AR333" s="1443"/>
      <c r="AS333" s="1443"/>
      <c r="AT333" s="1443"/>
      <c r="AU333" s="1443"/>
      <c r="AV333" s="1443"/>
      <c r="AW333" s="1443"/>
      <c r="AX333" s="3742"/>
      <c r="AY333" s="5016"/>
      <c r="AZ333" s="5016"/>
      <c r="BA333" s="5016"/>
      <c r="BB333" s="5016"/>
      <c r="BC333" s="5016"/>
      <c r="BD333" s="5016"/>
      <c r="BE333" s="5016"/>
      <c r="BF333" s="5016"/>
      <c r="BG333" s="5016"/>
      <c r="BH333" s="5016"/>
    </row>
    <row r="334" spans="1:60" s="3272" customFormat="1" ht="16.5" customHeight="1">
      <c r="A334" s="5090"/>
      <c r="B334" s="6737" t="s">
        <v>363</v>
      </c>
      <c r="C334" s="6737"/>
      <c r="D334" s="6738"/>
      <c r="E334" s="3273"/>
      <c r="F334" s="3372" t="s">
        <v>2795</v>
      </c>
      <c r="G334" s="3273"/>
      <c r="H334" s="3273"/>
      <c r="I334" s="3273"/>
      <c r="J334" s="3273"/>
      <c r="K334" s="3273"/>
      <c r="L334" s="3273"/>
      <c r="M334" s="3273"/>
      <c r="N334" s="3273"/>
      <c r="O334" s="3273"/>
      <c r="P334" s="3273"/>
      <c r="Q334" s="3273"/>
      <c r="R334" s="3273"/>
      <c r="S334" s="3273"/>
      <c r="T334" s="3273"/>
      <c r="U334" s="3273"/>
      <c r="V334" s="3273"/>
      <c r="W334" s="3273"/>
      <c r="X334" s="3273"/>
      <c r="Y334" s="3273"/>
      <c r="Z334" s="3273"/>
      <c r="AA334" s="3273"/>
      <c r="AB334" s="3273"/>
      <c r="AC334" s="3273"/>
      <c r="AD334" s="3273"/>
      <c r="AE334" s="3273"/>
      <c r="AF334" s="3273"/>
      <c r="AG334" s="3273"/>
      <c r="AH334" s="3273"/>
      <c r="AI334" s="3273"/>
      <c r="AJ334" s="3273"/>
      <c r="AK334" s="3273"/>
      <c r="AL334" s="3273"/>
      <c r="AM334" s="3273"/>
      <c r="AN334" s="3273"/>
      <c r="AO334" s="3273"/>
      <c r="AP334" s="3350"/>
      <c r="AQ334" s="1922"/>
      <c r="AR334" s="1922"/>
      <c r="AS334" s="1922"/>
      <c r="AT334" s="1922"/>
      <c r="AU334" s="1922"/>
      <c r="AV334" s="1922"/>
      <c r="AW334" s="1922"/>
      <c r="AX334" s="3742"/>
      <c r="AY334" s="5016"/>
      <c r="AZ334" s="5016"/>
      <c r="BA334" s="5016"/>
      <c r="BB334" s="5016"/>
      <c r="BC334" s="5016"/>
      <c r="BD334" s="5016"/>
      <c r="BE334" s="5016"/>
      <c r="BF334" s="5016"/>
      <c r="BG334" s="5016"/>
      <c r="BH334" s="5016"/>
    </row>
    <row r="335" spans="1:60" ht="15.75" customHeight="1">
      <c r="A335" s="5088"/>
      <c r="B335" s="6799">
        <v>9</v>
      </c>
      <c r="C335" s="6799"/>
      <c r="D335" s="1443" t="s">
        <v>2796</v>
      </c>
      <c r="E335" s="1443"/>
      <c r="F335" s="3269"/>
      <c r="G335" s="1443"/>
      <c r="H335" s="1443"/>
      <c r="I335" s="1443"/>
      <c r="J335" s="1443"/>
      <c r="K335" s="1443"/>
      <c r="L335" s="1443"/>
      <c r="M335" s="1443"/>
      <c r="N335" s="1443"/>
      <c r="O335" s="1443"/>
      <c r="P335" s="1443"/>
      <c r="Q335" s="1443"/>
      <c r="R335" s="1443"/>
      <c r="S335" s="1443"/>
      <c r="T335" s="1443"/>
      <c r="U335" s="1443"/>
      <c r="V335" s="1443"/>
      <c r="W335" s="1443"/>
      <c r="X335" s="1443"/>
      <c r="Y335" s="1443"/>
      <c r="Z335" s="6789"/>
      <c r="AA335" s="6790"/>
      <c r="AB335" s="1964"/>
      <c r="AC335" s="1957"/>
      <c r="AD335" s="1957"/>
      <c r="AE335" s="1957"/>
      <c r="AF335" s="1957"/>
      <c r="AG335" s="1957"/>
      <c r="AH335" s="1957"/>
      <c r="AI335" s="1958"/>
      <c r="AJ335" s="6696"/>
      <c r="AK335" s="6697"/>
      <c r="AL335" s="1964"/>
      <c r="AM335" s="1957"/>
      <c r="AN335" s="1957"/>
      <c r="AO335" s="1957"/>
      <c r="AP335" s="3350"/>
      <c r="AQ335" s="1443"/>
      <c r="AR335" s="1443"/>
      <c r="AS335" s="1443"/>
      <c r="AT335" s="1443"/>
      <c r="AU335" s="1443"/>
      <c r="AV335" s="1443"/>
      <c r="AW335" s="1443"/>
      <c r="AX335" s="3742"/>
      <c r="AY335" s="5016"/>
      <c r="AZ335" s="5016"/>
      <c r="BA335" s="5016"/>
      <c r="BB335" s="5016"/>
      <c r="BC335" s="5016"/>
      <c r="BD335" s="5016"/>
      <c r="BE335" s="5016"/>
      <c r="BF335" s="5016"/>
      <c r="BG335" s="5016"/>
      <c r="BH335" s="5016"/>
    </row>
    <row r="336" spans="1:60" ht="14.25" customHeight="1">
      <c r="A336" s="5088"/>
      <c r="B336" s="1443"/>
      <c r="C336" s="1443"/>
      <c r="D336" s="1443" t="s">
        <v>2797</v>
      </c>
      <c r="E336" s="1443"/>
      <c r="F336" s="3269"/>
      <c r="G336" s="1443"/>
      <c r="H336" s="1443"/>
      <c r="I336" s="1443"/>
      <c r="J336" s="1443"/>
      <c r="K336" s="1443"/>
      <c r="L336" s="1443"/>
      <c r="M336" s="1443"/>
      <c r="N336" s="1443"/>
      <c r="O336" s="1443"/>
      <c r="P336" s="1443"/>
      <c r="Q336" s="1443"/>
      <c r="R336" s="1443"/>
      <c r="S336" s="1443"/>
      <c r="T336" s="1443"/>
      <c r="U336" s="1443"/>
      <c r="V336" s="1443"/>
      <c r="W336" s="1443"/>
      <c r="X336" s="1443"/>
      <c r="Y336" s="1943" t="s">
        <v>3235</v>
      </c>
      <c r="Z336" s="6691">
        <v>9</v>
      </c>
      <c r="AA336" s="6692"/>
      <c r="AB336" s="6785">
        <f>AM330</f>
        <v>0</v>
      </c>
      <c r="AC336" s="6786"/>
      <c r="AD336" s="6786"/>
      <c r="AE336" s="6786"/>
      <c r="AF336" s="6786"/>
      <c r="AG336" s="6786"/>
      <c r="AH336" s="6786"/>
      <c r="AI336" s="6787"/>
      <c r="AJ336" s="6696"/>
      <c r="AK336" s="6697"/>
      <c r="AL336" s="1965"/>
      <c r="AM336" s="1443"/>
      <c r="AN336" s="1443"/>
      <c r="AO336" s="1443"/>
      <c r="AP336" s="3350"/>
      <c r="AQ336" s="1443"/>
      <c r="AR336" s="1443"/>
      <c r="AS336" s="1443"/>
      <c r="AT336" s="1443"/>
      <c r="AU336" s="1443"/>
      <c r="AV336" s="1443"/>
      <c r="AW336" s="1443"/>
      <c r="AX336" s="3742"/>
      <c r="AY336" s="5016"/>
      <c r="AZ336" s="5016"/>
      <c r="BA336" s="5016"/>
      <c r="BB336" s="5016"/>
      <c r="BC336" s="5016"/>
      <c r="BD336" s="5016"/>
      <c r="BE336" s="5016"/>
      <c r="BF336" s="5016"/>
      <c r="BG336" s="5016"/>
      <c r="BH336" s="5016"/>
    </row>
    <row r="337" spans="1:60" ht="9" customHeight="1">
      <c r="A337" s="5088"/>
      <c r="B337" s="6690"/>
      <c r="C337" s="6690"/>
      <c r="D337" s="1443"/>
      <c r="E337" s="1443"/>
      <c r="F337" s="3269"/>
      <c r="G337" s="1443"/>
      <c r="H337" s="1443"/>
      <c r="I337" s="1443"/>
      <c r="J337" s="1443"/>
      <c r="K337" s="1443"/>
      <c r="L337" s="1443"/>
      <c r="M337" s="1443"/>
      <c r="N337" s="1443"/>
      <c r="O337" s="1443"/>
      <c r="P337" s="1443"/>
      <c r="Q337" s="1443"/>
      <c r="R337" s="1443"/>
      <c r="S337" s="1443"/>
      <c r="T337" s="1443"/>
      <c r="U337" s="1443"/>
      <c r="V337" s="1443"/>
      <c r="W337" s="1443"/>
      <c r="X337" s="1443"/>
      <c r="Y337" s="1443"/>
      <c r="Z337" s="6789"/>
      <c r="AA337" s="6790"/>
      <c r="AB337" s="1964"/>
      <c r="AC337" s="1957"/>
      <c r="AD337" s="1957"/>
      <c r="AE337" s="1957"/>
      <c r="AF337" s="1957"/>
      <c r="AG337" s="1957"/>
      <c r="AH337" s="1957"/>
      <c r="AI337" s="1958"/>
      <c r="AJ337" s="6696"/>
      <c r="AK337" s="6697"/>
      <c r="AL337" s="1965"/>
      <c r="AM337" s="1443"/>
      <c r="AN337" s="1443"/>
      <c r="AO337" s="1443"/>
      <c r="AP337" s="3350"/>
      <c r="AQ337" s="1443"/>
      <c r="AR337" s="1443"/>
      <c r="AS337" s="1443"/>
      <c r="AT337" s="1443"/>
      <c r="AU337" s="1443"/>
      <c r="AV337" s="1443"/>
      <c r="AW337" s="1443"/>
      <c r="AX337" s="3742"/>
      <c r="AY337" s="5016"/>
      <c r="AZ337" s="5016"/>
      <c r="BA337" s="5016"/>
      <c r="BB337" s="5016"/>
      <c r="BC337" s="5016"/>
      <c r="BD337" s="5016"/>
      <c r="BE337" s="5016"/>
      <c r="BF337" s="5016"/>
      <c r="BG337" s="5016"/>
      <c r="BH337" s="5016"/>
    </row>
    <row r="338" spans="1:60" ht="13.5" customHeight="1" thickBot="1">
      <c r="A338" s="5088"/>
      <c r="B338" s="6690">
        <v>10</v>
      </c>
      <c r="C338" s="6690"/>
      <c r="D338" s="1607" t="s">
        <v>2820</v>
      </c>
      <c r="E338" s="1443"/>
      <c r="F338" s="3269"/>
      <c r="G338" s="1443"/>
      <c r="H338" s="1443"/>
      <c r="I338" s="1443"/>
      <c r="J338" s="1443"/>
      <c r="K338" s="1443"/>
      <c r="L338" s="1443"/>
      <c r="M338" s="1443"/>
      <c r="N338" s="1443"/>
      <c r="O338" s="1443"/>
      <c r="P338" s="1443"/>
      <c r="Q338" s="1443"/>
      <c r="R338" s="1443"/>
      <c r="S338" s="1443"/>
      <c r="T338" s="1443"/>
      <c r="U338" s="1443"/>
      <c r="V338" s="1443"/>
      <c r="W338" s="1443"/>
      <c r="X338" s="1443"/>
      <c r="Y338" s="1943" t="s">
        <v>3530</v>
      </c>
      <c r="Z338" s="6757">
        <v>10</v>
      </c>
      <c r="AA338" s="6758"/>
      <c r="AB338" s="6791"/>
      <c r="AC338" s="6792"/>
      <c r="AD338" s="6792"/>
      <c r="AE338" s="6792"/>
      <c r="AF338" s="6792"/>
      <c r="AG338" s="6792"/>
      <c r="AH338" s="6792"/>
      <c r="AI338" s="6793"/>
      <c r="AJ338" s="6696"/>
      <c r="AK338" s="6697"/>
      <c r="AL338" s="1965"/>
      <c r="AM338" s="1443"/>
      <c r="AN338" s="1443"/>
      <c r="AO338" s="1443"/>
      <c r="AP338" s="3350"/>
      <c r="AQ338" s="1443"/>
      <c r="AR338" s="1443"/>
      <c r="AS338" s="1443"/>
      <c r="AT338" s="1443"/>
      <c r="AU338" s="1443"/>
      <c r="AV338" s="1443"/>
      <c r="AW338" s="1443"/>
      <c r="AX338" s="3742"/>
      <c r="AY338" s="5016"/>
      <c r="AZ338" s="5016"/>
      <c r="BA338" s="5016"/>
      <c r="BB338" s="5016"/>
      <c r="BC338" s="5016"/>
      <c r="BD338" s="5016"/>
      <c r="BE338" s="5016"/>
      <c r="BF338" s="5016"/>
      <c r="BG338" s="5016"/>
      <c r="BH338" s="5016"/>
    </row>
    <row r="339" spans="1:60" ht="13.5" customHeight="1">
      <c r="A339" s="5088"/>
      <c r="B339" s="4840"/>
      <c r="C339" s="4840"/>
      <c r="D339" s="1607" t="s">
        <v>3513</v>
      </c>
      <c r="E339" s="1443"/>
      <c r="F339" s="3269"/>
      <c r="G339" s="1443"/>
      <c r="H339" s="1443"/>
      <c r="I339" s="1443"/>
      <c r="J339" s="1443"/>
      <c r="K339" s="1443"/>
      <c r="L339" s="1443"/>
      <c r="M339" s="1443"/>
      <c r="N339" s="1443"/>
      <c r="O339" s="1443"/>
      <c r="P339" s="1443"/>
      <c r="Q339" s="1443"/>
      <c r="R339" s="1443"/>
      <c r="S339" s="1443"/>
      <c r="T339" s="1443"/>
      <c r="U339" s="1443"/>
      <c r="V339" s="1443"/>
      <c r="W339" s="1443"/>
      <c r="X339" s="1443"/>
      <c r="Y339" s="1443"/>
      <c r="Z339" s="6764"/>
      <c r="AA339" s="6765"/>
      <c r="AB339" s="1965"/>
      <c r="AC339" s="1443"/>
      <c r="AD339" s="1443"/>
      <c r="AE339" s="1443"/>
      <c r="AF339" s="1443"/>
      <c r="AG339" s="1443"/>
      <c r="AH339" s="1443"/>
      <c r="AI339" s="1966"/>
      <c r="AJ339" s="6696"/>
      <c r="AK339" s="6697"/>
      <c r="AL339" s="1965"/>
      <c r="AM339" s="1443"/>
      <c r="AN339" s="1443"/>
      <c r="AO339" s="1443"/>
      <c r="AP339" s="3350"/>
      <c r="AQ339" s="1443"/>
      <c r="AR339" s="1443"/>
      <c r="AS339" s="1443"/>
      <c r="AT339" s="1443"/>
      <c r="AU339" s="1443"/>
      <c r="AV339" s="1443"/>
      <c r="AW339" s="1443"/>
      <c r="AX339" s="3742"/>
      <c r="AY339" s="5016"/>
      <c r="AZ339" s="5016"/>
      <c r="BA339" s="5016"/>
      <c r="BB339" s="5016"/>
      <c r="BC339" s="5016"/>
      <c r="BD339" s="5016"/>
      <c r="BE339" s="5016"/>
      <c r="BF339" s="5016"/>
      <c r="BG339" s="5016"/>
      <c r="BH339" s="5016"/>
    </row>
    <row r="340" spans="1:60" ht="13.5" customHeight="1">
      <c r="A340" s="5088"/>
      <c r="B340" s="6690"/>
      <c r="C340" s="6690"/>
      <c r="D340" s="1607" t="s">
        <v>3514</v>
      </c>
      <c r="E340" s="1443"/>
      <c r="F340" s="3269"/>
      <c r="G340" s="1443"/>
      <c r="H340" s="1443"/>
      <c r="I340" s="1443"/>
      <c r="J340" s="1443"/>
      <c r="K340" s="1443"/>
      <c r="L340" s="1443"/>
      <c r="M340" s="1443"/>
      <c r="N340" s="1443"/>
      <c r="O340" s="1443"/>
      <c r="P340" s="1443"/>
      <c r="Q340" s="1443"/>
      <c r="R340" s="1443"/>
      <c r="S340" s="1443"/>
      <c r="T340" s="1443"/>
      <c r="U340" s="1443"/>
      <c r="V340" s="1443"/>
      <c r="W340" s="1443"/>
      <c r="X340" s="1443"/>
      <c r="Y340" s="1443"/>
      <c r="Z340" s="6764"/>
      <c r="AA340" s="6765"/>
      <c r="AB340" s="1965"/>
      <c r="AC340" s="1443"/>
      <c r="AD340" s="1443"/>
      <c r="AE340" s="1443"/>
      <c r="AF340" s="1443"/>
      <c r="AG340" s="1443"/>
      <c r="AH340" s="1443"/>
      <c r="AI340" s="1966"/>
      <c r="AJ340" s="6696"/>
      <c r="AK340" s="6697"/>
      <c r="AL340" s="1965"/>
      <c r="AM340" s="1443"/>
      <c r="AN340" s="1443"/>
      <c r="AO340" s="1443"/>
      <c r="AP340" s="3350"/>
      <c r="AQ340" s="1443"/>
      <c r="AR340" s="1443"/>
      <c r="AS340" s="1443"/>
      <c r="AT340" s="1443"/>
      <c r="AU340" s="1443"/>
      <c r="AV340" s="1443"/>
      <c r="AW340" s="1443"/>
      <c r="AX340" s="3742"/>
      <c r="AY340" s="5016"/>
      <c r="AZ340" s="5016"/>
      <c r="BA340" s="5016"/>
      <c r="BB340" s="5016"/>
      <c r="BC340" s="5016"/>
      <c r="BD340" s="5016"/>
      <c r="BE340" s="5016"/>
      <c r="BF340" s="5016"/>
      <c r="BG340" s="5016"/>
      <c r="BH340" s="5016"/>
    </row>
    <row r="341" spans="1:60" ht="13.5" customHeight="1">
      <c r="A341" s="5088"/>
      <c r="B341" s="6690">
        <v>11</v>
      </c>
      <c r="C341" s="6690"/>
      <c r="D341" s="1443" t="s">
        <v>2394</v>
      </c>
      <c r="E341" s="1443"/>
      <c r="F341" s="3269"/>
      <c r="G341" s="1443"/>
      <c r="H341" s="1443"/>
      <c r="I341" s="1443"/>
      <c r="J341" s="1443"/>
      <c r="K341" s="1443"/>
      <c r="L341" s="1443"/>
      <c r="M341" s="1443"/>
      <c r="N341" s="1443"/>
      <c r="O341" s="1443"/>
      <c r="P341" s="1443"/>
      <c r="Q341" s="1443"/>
      <c r="R341" s="1443"/>
      <c r="S341" s="1443"/>
      <c r="T341" s="1443"/>
      <c r="U341" s="1443"/>
      <c r="V341" s="1443"/>
      <c r="W341" s="1443"/>
      <c r="X341" s="1443"/>
      <c r="Y341" s="1943" t="s">
        <v>4281</v>
      </c>
      <c r="Z341" s="6691">
        <v>11</v>
      </c>
      <c r="AA341" s="6692"/>
      <c r="AB341" s="6785">
        <f>ROUND(SUM(AB336,AB338),0)</f>
        <v>0</v>
      </c>
      <c r="AC341" s="6786"/>
      <c r="AD341" s="6786"/>
      <c r="AE341" s="6786"/>
      <c r="AF341" s="6786"/>
      <c r="AG341" s="6786"/>
      <c r="AH341" s="6786"/>
      <c r="AI341" s="6787"/>
      <c r="AJ341" s="6696"/>
      <c r="AK341" s="6697"/>
      <c r="AL341" s="1965"/>
      <c r="AM341" s="1443"/>
      <c r="AN341" s="1443"/>
      <c r="AO341" s="1443"/>
      <c r="AP341" s="3350"/>
      <c r="AQ341" s="1443"/>
      <c r="AR341" s="1443"/>
      <c r="AS341" s="1443"/>
      <c r="AT341" s="1443"/>
      <c r="AU341" s="1443"/>
      <c r="AV341" s="1443"/>
      <c r="AW341" s="1443"/>
      <c r="AX341" s="3742"/>
      <c r="AY341" s="5016"/>
      <c r="AZ341" s="5016"/>
      <c r="BA341" s="5016"/>
      <c r="BB341" s="5016"/>
      <c r="BC341" s="5016"/>
      <c r="BD341" s="5016"/>
      <c r="BE341" s="5016"/>
      <c r="BF341" s="5016"/>
      <c r="BG341" s="5016"/>
      <c r="BH341" s="5016"/>
    </row>
    <row r="342" spans="1:60" ht="13.5" customHeight="1">
      <c r="A342" s="5088"/>
      <c r="B342" s="6690"/>
      <c r="C342" s="6690"/>
      <c r="D342" s="1443"/>
      <c r="E342" s="1443"/>
      <c r="F342" s="3269"/>
      <c r="G342" s="1443"/>
      <c r="H342" s="1443"/>
      <c r="I342" s="1443"/>
      <c r="J342" s="1443"/>
      <c r="K342" s="1443"/>
      <c r="L342" s="1443"/>
      <c r="M342" s="1443"/>
      <c r="N342" s="1443"/>
      <c r="O342" s="1443"/>
      <c r="P342" s="1443"/>
      <c r="Q342" s="1443"/>
      <c r="R342" s="1443"/>
      <c r="S342" s="1443"/>
      <c r="T342" s="1443"/>
      <c r="U342" s="1443"/>
      <c r="V342" s="1443"/>
      <c r="W342" s="1443"/>
      <c r="X342" s="1443"/>
      <c r="Y342" s="1443"/>
      <c r="Z342" s="6789"/>
      <c r="AA342" s="6790"/>
      <c r="AB342" s="1964"/>
      <c r="AC342" s="1957"/>
      <c r="AD342" s="1957"/>
      <c r="AE342" s="1957"/>
      <c r="AF342" s="1957"/>
      <c r="AG342" s="1957"/>
      <c r="AH342" s="1957"/>
      <c r="AI342" s="1958"/>
      <c r="AJ342" s="6696"/>
      <c r="AK342" s="6697"/>
      <c r="AL342" s="6688" t="str">
        <f>IF(AB343&gt;0,"Line 12 cannot be","")</f>
        <v/>
      </c>
      <c r="AM342" s="6689"/>
      <c r="AN342" s="6689"/>
      <c r="AO342" s="6689"/>
      <c r="AP342" s="3350"/>
      <c r="AQ342" s="1443"/>
      <c r="AR342" s="1443"/>
      <c r="AS342" s="1443"/>
      <c r="AT342" s="1443"/>
      <c r="AU342" s="1443"/>
      <c r="AV342" s="1443"/>
      <c r="AW342" s="1443"/>
      <c r="AX342" s="3742"/>
      <c r="AY342" s="5016"/>
      <c r="AZ342" s="5016"/>
      <c r="BA342" s="5016"/>
      <c r="BB342" s="5016"/>
      <c r="BC342" s="5016"/>
      <c r="BD342" s="5016"/>
      <c r="BE342" s="5016"/>
      <c r="BF342" s="5016"/>
      <c r="BG342" s="5016"/>
      <c r="BH342" s="5016"/>
    </row>
    <row r="343" spans="1:60" ht="13.5" customHeight="1">
      <c r="A343" s="5088"/>
      <c r="B343" s="6690">
        <v>12</v>
      </c>
      <c r="C343" s="6690"/>
      <c r="D343" s="1607" t="s">
        <v>2798</v>
      </c>
      <c r="E343" s="1443"/>
      <c r="F343" s="3269"/>
      <c r="G343" s="1443"/>
      <c r="H343" s="1443"/>
      <c r="I343" s="1443"/>
      <c r="J343" s="1443"/>
      <c r="K343" s="1443"/>
      <c r="L343" s="1443"/>
      <c r="M343" s="1443"/>
      <c r="N343" s="1443"/>
      <c r="O343" s="1443"/>
      <c r="P343" s="1443"/>
      <c r="Q343" s="1443"/>
      <c r="R343" s="1443"/>
      <c r="S343" s="1443"/>
      <c r="T343" s="1443"/>
      <c r="U343" s="1443"/>
      <c r="V343" s="1443"/>
      <c r="W343" s="1443"/>
      <c r="X343" s="1443"/>
      <c r="Y343" s="1943" t="s">
        <v>3200</v>
      </c>
      <c r="Z343" s="6691">
        <v>12</v>
      </c>
      <c r="AA343" s="6692"/>
      <c r="AB343" s="6693"/>
      <c r="AC343" s="6694"/>
      <c r="AD343" s="6694"/>
      <c r="AE343" s="6694"/>
      <c r="AF343" s="6694"/>
      <c r="AG343" s="6694"/>
      <c r="AH343" s="6694"/>
      <c r="AI343" s="6695"/>
      <c r="AJ343" s="6696"/>
      <c r="AK343" s="6697"/>
      <c r="AL343" s="6688" t="str">
        <f>IF(AB343&gt;0,"a positive number.","")</f>
        <v/>
      </c>
      <c r="AM343" s="6689"/>
      <c r="AN343" s="6689"/>
      <c r="AO343" s="6689"/>
      <c r="AP343" s="3350"/>
      <c r="AQ343" s="1443"/>
      <c r="AR343" s="1443"/>
      <c r="AS343" s="1443"/>
      <c r="AT343" s="1443"/>
      <c r="AU343" s="1443"/>
      <c r="AV343" s="1443"/>
      <c r="AW343" s="1443"/>
      <c r="AX343" s="3742"/>
      <c r="AY343" s="5016"/>
      <c r="AZ343" s="5016"/>
      <c r="BA343" s="5016"/>
      <c r="BB343" s="5016"/>
      <c r="BC343" s="5016"/>
      <c r="BD343" s="5016"/>
      <c r="BE343" s="5016"/>
      <c r="BF343" s="5016"/>
      <c r="BG343" s="5016"/>
      <c r="BH343" s="5016"/>
    </row>
    <row r="344" spans="1:60" ht="13.5" customHeight="1">
      <c r="A344" s="5088"/>
      <c r="B344" s="6690"/>
      <c r="C344" s="6690"/>
      <c r="D344" s="1443"/>
      <c r="E344" s="1443"/>
      <c r="F344" s="3269"/>
      <c r="G344" s="1443"/>
      <c r="H344" s="1443"/>
      <c r="I344" s="1443"/>
      <c r="J344" s="1443"/>
      <c r="K344" s="1443"/>
      <c r="L344" s="1443"/>
      <c r="M344" s="1443"/>
      <c r="N344" s="1443"/>
      <c r="O344" s="1443"/>
      <c r="P344" s="1443"/>
      <c r="Q344" s="1443"/>
      <c r="R344" s="1443"/>
      <c r="S344" s="1443"/>
      <c r="T344" s="1443"/>
      <c r="U344" s="1443"/>
      <c r="V344" s="1443"/>
      <c r="W344" s="1443"/>
      <c r="X344" s="1443"/>
      <c r="Y344" s="1443"/>
      <c r="Z344" s="6789"/>
      <c r="AA344" s="6790"/>
      <c r="AB344" s="1964"/>
      <c r="AC344" s="1957"/>
      <c r="AD344" s="1957"/>
      <c r="AE344" s="1957"/>
      <c r="AF344" s="1957"/>
      <c r="AG344" s="1957"/>
      <c r="AH344" s="1957"/>
      <c r="AI344" s="1958"/>
      <c r="AJ344" s="6696"/>
      <c r="AK344" s="6697"/>
      <c r="AL344" s="1965"/>
      <c r="AM344" s="1443"/>
      <c r="AN344" s="1443"/>
      <c r="AO344" s="1443"/>
      <c r="AP344" s="3350"/>
      <c r="AQ344" s="1443"/>
      <c r="AR344" s="1443"/>
      <c r="AS344" s="1443"/>
      <c r="AT344" s="1443"/>
      <c r="AU344" s="1443"/>
      <c r="AV344" s="1443"/>
      <c r="AW344" s="1443"/>
      <c r="AX344" s="3742"/>
      <c r="AY344" s="5016"/>
      <c r="AZ344" s="5016"/>
      <c r="BA344" s="5016"/>
      <c r="BB344" s="5016"/>
      <c r="BC344" s="5016"/>
      <c r="BD344" s="5016"/>
      <c r="BE344" s="5016"/>
      <c r="BF344" s="5016"/>
      <c r="BG344" s="5016"/>
      <c r="BH344" s="5016"/>
    </row>
    <row r="345" spans="1:60" ht="13.5" customHeight="1">
      <c r="A345" s="5088"/>
      <c r="B345" s="6690">
        <v>13</v>
      </c>
      <c r="C345" s="6690"/>
      <c r="D345" s="1607" t="s">
        <v>2799</v>
      </c>
      <c r="E345" s="1443"/>
      <c r="F345" s="3269"/>
      <c r="G345" s="1443"/>
      <c r="H345" s="1443"/>
      <c r="I345" s="1443"/>
      <c r="J345" s="1443"/>
      <c r="K345" s="1443"/>
      <c r="L345" s="1443"/>
      <c r="M345" s="1443"/>
      <c r="N345" s="1443"/>
      <c r="O345" s="1443"/>
      <c r="P345" s="1443"/>
      <c r="Q345" s="1443"/>
      <c r="R345" s="1443"/>
      <c r="S345" s="1443"/>
      <c r="T345" s="1443"/>
      <c r="U345" s="1443"/>
      <c r="V345" s="1443"/>
      <c r="W345" s="1443"/>
      <c r="X345" s="1443"/>
      <c r="Y345" s="1943" t="s">
        <v>3235</v>
      </c>
      <c r="Z345" s="6691">
        <v>13</v>
      </c>
      <c r="AA345" s="6692"/>
      <c r="AB345" s="6693"/>
      <c r="AC345" s="6694"/>
      <c r="AD345" s="6694"/>
      <c r="AE345" s="6694"/>
      <c r="AF345" s="6694"/>
      <c r="AG345" s="6694"/>
      <c r="AH345" s="6694"/>
      <c r="AI345" s="6695"/>
      <c r="AJ345" s="6696"/>
      <c r="AK345" s="6697"/>
      <c r="AL345" s="1965"/>
      <c r="AM345" s="1443"/>
      <c r="AN345" s="1443"/>
      <c r="AO345" s="1443"/>
      <c r="AP345" s="3350"/>
      <c r="AQ345" s="1443"/>
      <c r="AR345" s="1443"/>
      <c r="AS345" s="1443"/>
      <c r="AT345" s="1443"/>
      <c r="AU345" s="1443"/>
      <c r="AV345" s="1443"/>
      <c r="AW345" s="1443"/>
      <c r="AX345" s="3742"/>
      <c r="AY345" s="5016"/>
      <c r="AZ345" s="5016"/>
      <c r="BA345" s="5016"/>
      <c r="BB345" s="5016"/>
      <c r="BC345" s="5016"/>
      <c r="BD345" s="5016"/>
      <c r="BE345" s="5016"/>
      <c r="BF345" s="5016"/>
      <c r="BG345" s="5016"/>
      <c r="BH345" s="5016"/>
    </row>
    <row r="346" spans="1:60" ht="13.5" customHeight="1">
      <c r="A346" s="5088"/>
      <c r="B346" s="6690"/>
      <c r="C346" s="6690"/>
      <c r="D346" s="1443"/>
      <c r="E346" s="1443"/>
      <c r="F346" s="3269"/>
      <c r="G346" s="1443"/>
      <c r="H346" s="1443"/>
      <c r="I346" s="1443"/>
      <c r="J346" s="1443"/>
      <c r="K346" s="1443"/>
      <c r="L346" s="1443"/>
      <c r="M346" s="1443"/>
      <c r="N346" s="1443"/>
      <c r="O346" s="1443"/>
      <c r="P346" s="1443"/>
      <c r="Q346" s="1443"/>
      <c r="R346" s="1443"/>
      <c r="S346" s="1443"/>
      <c r="T346" s="1443"/>
      <c r="U346" s="1443"/>
      <c r="V346" s="1443"/>
      <c r="W346" s="1443"/>
      <c r="X346" s="1443"/>
      <c r="Y346" s="1443"/>
      <c r="Z346" s="1443"/>
      <c r="AA346" s="1443"/>
      <c r="AB346" s="1443"/>
      <c r="AC346" s="1443"/>
      <c r="AD346" s="1443"/>
      <c r="AE346" s="1443"/>
      <c r="AF346" s="1443"/>
      <c r="AG346" s="1443"/>
      <c r="AH346" s="1443"/>
      <c r="AI346" s="1443"/>
      <c r="AJ346" s="1964"/>
      <c r="AK346" s="1958"/>
      <c r="AL346" s="1964"/>
      <c r="AM346" s="1957"/>
      <c r="AN346" s="1957"/>
      <c r="AO346" s="1957"/>
      <c r="AP346" s="3350"/>
      <c r="AQ346" s="1443"/>
      <c r="AR346" s="1443"/>
      <c r="AS346" s="1443"/>
      <c r="AT346" s="1443"/>
      <c r="AU346" s="1443"/>
      <c r="AV346" s="1443"/>
      <c r="AW346" s="1443"/>
      <c r="AX346" s="3742"/>
      <c r="AY346" s="5016"/>
      <c r="AZ346" s="5016"/>
      <c r="BA346" s="5016"/>
      <c r="BB346" s="5016"/>
      <c r="BC346" s="5016"/>
      <c r="BD346" s="5016"/>
      <c r="BE346" s="5016"/>
      <c r="BF346" s="5016"/>
      <c r="BG346" s="5016"/>
      <c r="BH346" s="5016"/>
    </row>
    <row r="347" spans="1:60" ht="13.5" customHeight="1">
      <c r="A347" s="5088"/>
      <c r="B347" s="6690">
        <v>14</v>
      </c>
      <c r="C347" s="6690"/>
      <c r="D347" s="1607" t="s">
        <v>2800</v>
      </c>
      <c r="E347" s="1443"/>
      <c r="F347" s="3269"/>
      <c r="G347" s="1443"/>
      <c r="H347" s="1443"/>
      <c r="I347" s="1443"/>
      <c r="J347" s="1443"/>
      <c r="K347" s="1443"/>
      <c r="L347" s="1443"/>
      <c r="M347" s="1443"/>
      <c r="N347" s="1443"/>
      <c r="O347" s="1443"/>
      <c r="P347" s="1443"/>
      <c r="Q347" s="1443"/>
      <c r="R347" s="1443"/>
      <c r="S347" s="1443"/>
      <c r="T347" s="1443"/>
      <c r="U347" s="1443"/>
      <c r="V347" s="1443"/>
      <c r="W347" s="1443"/>
      <c r="X347" s="1443"/>
      <c r="Y347" s="1443"/>
      <c r="Z347" s="1443"/>
      <c r="AA347" s="1443"/>
      <c r="AB347" s="1443"/>
      <c r="AC347" s="1443"/>
      <c r="AD347" s="1443"/>
      <c r="AE347" s="1443"/>
      <c r="AF347" s="1443"/>
      <c r="AG347" s="1443"/>
      <c r="AH347" s="1443"/>
      <c r="AI347" s="1966"/>
      <c r="AJ347" s="6691">
        <v>14</v>
      </c>
      <c r="AK347" s="6692"/>
      <c r="AL347" s="6739">
        <f>SUM(AB341,AB343,AB345)</f>
        <v>0</v>
      </c>
      <c r="AM347" s="5861"/>
      <c r="AN347" s="5861"/>
      <c r="AO347" s="5861"/>
      <c r="AP347" s="3350"/>
      <c r="AQ347" s="1443"/>
      <c r="AR347" s="1443"/>
      <c r="AS347" s="1443"/>
      <c r="AT347" s="1443"/>
      <c r="AU347" s="1443"/>
      <c r="AV347" s="1443"/>
      <c r="AW347" s="1443"/>
      <c r="AX347" s="3742"/>
      <c r="AY347" s="5016"/>
      <c r="AZ347" s="5016"/>
      <c r="BA347" s="5016"/>
      <c r="BB347" s="5016"/>
      <c r="BC347" s="5016"/>
      <c r="BD347" s="5016"/>
      <c r="BE347" s="5016"/>
      <c r="BF347" s="5016"/>
      <c r="BG347" s="5016"/>
      <c r="BH347" s="5016"/>
    </row>
    <row r="348" spans="1:60" ht="18" customHeight="1">
      <c r="A348" s="5088"/>
      <c r="B348" s="6690">
        <v>15</v>
      </c>
      <c r="C348" s="6690"/>
      <c r="D348" s="1443" t="s">
        <v>2801</v>
      </c>
      <c r="E348" s="1443"/>
      <c r="F348" s="3269"/>
      <c r="G348" s="1443"/>
      <c r="H348" s="1443"/>
      <c r="I348" s="1443"/>
      <c r="J348" s="1443"/>
      <c r="K348" s="1443"/>
      <c r="L348" s="1443"/>
      <c r="M348" s="1443"/>
      <c r="N348" s="1443"/>
      <c r="O348" s="1443"/>
      <c r="P348" s="1443"/>
      <c r="Q348" s="1443"/>
      <c r="R348" s="1443"/>
      <c r="S348" s="1443"/>
      <c r="T348" s="1443"/>
      <c r="U348" s="1443"/>
      <c r="V348" s="1443"/>
      <c r="W348" s="1443"/>
      <c r="X348" s="1443"/>
      <c r="Y348" s="1443"/>
      <c r="Z348" s="6764"/>
      <c r="AA348" s="6772"/>
      <c r="AB348" s="1965"/>
      <c r="AC348" s="1443"/>
      <c r="AD348" s="1443"/>
      <c r="AE348" s="1443"/>
      <c r="AF348" s="1443"/>
      <c r="AG348" s="1443"/>
      <c r="AH348" s="1443"/>
      <c r="AI348" s="1966"/>
      <c r="AJ348" s="6696"/>
      <c r="AK348" s="6697"/>
      <c r="AL348" s="1965"/>
      <c r="AM348" s="1443"/>
      <c r="AN348" s="1443"/>
      <c r="AO348" s="1443"/>
      <c r="AP348" s="3350"/>
      <c r="AQ348" s="1443"/>
      <c r="AR348" s="1443"/>
      <c r="AS348" s="1443"/>
      <c r="AT348" s="1443"/>
      <c r="AU348" s="1443"/>
      <c r="AV348" s="1443"/>
      <c r="AW348" s="1443"/>
      <c r="AX348" s="3742"/>
      <c r="AY348" s="5016"/>
      <c r="AZ348" s="5016"/>
      <c r="BA348" s="5016"/>
      <c r="BB348" s="5016"/>
      <c r="BC348" s="5016"/>
      <c r="BD348" s="5016"/>
      <c r="BE348" s="5016"/>
      <c r="BF348" s="5016"/>
      <c r="BG348" s="5016"/>
      <c r="BH348" s="5016"/>
    </row>
    <row r="349" spans="1:60" ht="13.5" customHeight="1">
      <c r="A349" s="5088"/>
      <c r="B349" s="6690"/>
      <c r="C349" s="6690"/>
      <c r="D349" s="1443" t="s">
        <v>2802</v>
      </c>
      <c r="E349" s="1443"/>
      <c r="F349" s="3269"/>
      <c r="G349" s="1443"/>
      <c r="H349" s="1443"/>
      <c r="I349" s="1443"/>
      <c r="J349" s="1443"/>
      <c r="K349" s="1443"/>
      <c r="L349" s="1443"/>
      <c r="M349" s="1443"/>
      <c r="N349" s="1443"/>
      <c r="O349" s="1443"/>
      <c r="P349" s="1443"/>
      <c r="Q349" s="1443"/>
      <c r="R349" s="1443"/>
      <c r="S349" s="1443"/>
      <c r="T349" s="1443"/>
      <c r="U349" s="1443"/>
      <c r="V349" s="1443"/>
      <c r="W349" s="1443"/>
      <c r="X349" s="1443"/>
      <c r="Y349" s="1443"/>
      <c r="Z349" s="6764"/>
      <c r="AA349" s="6772"/>
      <c r="AB349" s="1965"/>
      <c r="AC349" s="1443"/>
      <c r="AD349" s="1443"/>
      <c r="AE349" s="1443"/>
      <c r="AF349" s="1443"/>
      <c r="AG349" s="1443"/>
      <c r="AH349" s="1443"/>
      <c r="AI349" s="1966"/>
      <c r="AJ349" s="6696"/>
      <c r="AK349" s="6697"/>
      <c r="AL349" s="1965"/>
      <c r="AM349" s="1443"/>
      <c r="AN349" s="1443"/>
      <c r="AO349" s="1443"/>
      <c r="AP349" s="3350"/>
      <c r="AQ349" s="1443"/>
      <c r="AR349" s="1443"/>
      <c r="AS349" s="1443"/>
      <c r="AT349" s="1443"/>
      <c r="AU349" s="1443"/>
      <c r="AV349" s="1443"/>
      <c r="AW349" s="1443"/>
      <c r="AX349" s="3742"/>
      <c r="AY349" s="5016"/>
      <c r="AZ349" s="5016"/>
      <c r="BA349" s="5016"/>
      <c r="BB349" s="5016"/>
      <c r="BC349" s="5016"/>
      <c r="BD349" s="5016"/>
      <c r="BE349" s="5016"/>
      <c r="BF349" s="5016"/>
      <c r="BG349" s="5016"/>
      <c r="BH349" s="5016"/>
    </row>
    <row r="350" spans="1:60" ht="13.5" customHeight="1">
      <c r="A350" s="5088"/>
      <c r="B350" s="3392"/>
      <c r="C350" s="3392"/>
      <c r="D350" s="1608" t="s">
        <v>2803</v>
      </c>
      <c r="E350" s="1443"/>
      <c r="F350" s="1443"/>
      <c r="G350" s="1443"/>
      <c r="H350" s="1443"/>
      <c r="I350" s="1443"/>
      <c r="J350" s="1443"/>
      <c r="K350" s="1443"/>
      <c r="L350" s="1443"/>
      <c r="M350" s="1443"/>
      <c r="N350" s="1443"/>
      <c r="O350" s="1443"/>
      <c r="P350" s="1443"/>
      <c r="Q350" s="1443"/>
      <c r="R350" s="1443"/>
      <c r="S350" s="1443"/>
      <c r="T350" s="1443"/>
      <c r="U350" s="1443"/>
      <c r="V350" s="1443"/>
      <c r="W350" s="1443"/>
      <c r="X350" s="1443"/>
      <c r="Y350" s="1943" t="s">
        <v>3239</v>
      </c>
      <c r="Z350" s="6691">
        <v>15</v>
      </c>
      <c r="AA350" s="6784"/>
      <c r="AB350" s="6785" t="str">
        <f>AL314</f>
        <v/>
      </c>
      <c r="AC350" s="6786"/>
      <c r="AD350" s="6786"/>
      <c r="AE350" s="6786"/>
      <c r="AF350" s="6786"/>
      <c r="AG350" s="6786"/>
      <c r="AH350" s="6786"/>
      <c r="AI350" s="6787"/>
      <c r="AJ350" s="6696"/>
      <c r="AK350" s="6697"/>
      <c r="AL350" s="1965"/>
      <c r="AM350" s="1443"/>
      <c r="AN350" s="1443"/>
      <c r="AO350" s="1443"/>
      <c r="AP350" s="3350"/>
      <c r="AQ350" s="1443"/>
      <c r="AR350" s="1443"/>
      <c r="AS350" s="1443"/>
      <c r="AT350" s="1443"/>
      <c r="AU350" s="1443"/>
      <c r="AV350" s="1443"/>
      <c r="AW350" s="1443"/>
      <c r="AX350" s="3742"/>
      <c r="AY350" s="5016"/>
      <c r="AZ350" s="5016"/>
      <c r="BA350" s="5016"/>
      <c r="BB350" s="5016"/>
      <c r="BC350" s="5016"/>
      <c r="BD350" s="5016"/>
      <c r="BE350" s="5016"/>
      <c r="BF350" s="5016"/>
      <c r="BG350" s="5016"/>
      <c r="BH350" s="5016"/>
    </row>
    <row r="351" spans="1:60" ht="13.5" customHeight="1">
      <c r="A351" s="5088"/>
      <c r="B351" s="6690">
        <v>16</v>
      </c>
      <c r="C351" s="6690"/>
      <c r="D351" s="2753" t="s">
        <v>2804</v>
      </c>
      <c r="E351" s="1804"/>
      <c r="F351" s="2292"/>
      <c r="G351" s="1443"/>
      <c r="H351" s="1443"/>
      <c r="I351" s="1443"/>
      <c r="J351" s="1443"/>
      <c r="K351" s="1443"/>
      <c r="L351" s="1443"/>
      <c r="M351" s="1443"/>
      <c r="N351" s="1443"/>
      <c r="O351" s="1443"/>
      <c r="P351" s="3366"/>
      <c r="Q351" s="1804"/>
      <c r="R351" s="2292"/>
      <c r="S351" s="1607"/>
      <c r="T351" s="1443"/>
      <c r="U351" s="1443"/>
      <c r="V351" s="1443"/>
      <c r="W351" s="1443"/>
      <c r="X351" s="1443"/>
      <c r="Y351" s="1943" t="s">
        <v>1993</v>
      </c>
      <c r="Z351" s="6788">
        <v>16</v>
      </c>
      <c r="AA351" s="6209"/>
      <c r="AB351" s="6693"/>
      <c r="AC351" s="6694"/>
      <c r="AD351" s="6694"/>
      <c r="AE351" s="6694"/>
      <c r="AF351" s="6694"/>
      <c r="AG351" s="6694"/>
      <c r="AH351" s="6694"/>
      <c r="AI351" s="6695"/>
      <c r="AJ351" s="6696"/>
      <c r="AK351" s="6697"/>
      <c r="AL351" s="1965"/>
      <c r="AM351" s="1443"/>
      <c r="AN351" s="1443"/>
      <c r="AO351" s="1443"/>
      <c r="AP351" s="3350"/>
      <c r="AQ351" s="1443"/>
      <c r="AR351" s="1443"/>
      <c r="AS351" s="1443"/>
      <c r="AT351" s="1443"/>
      <c r="AU351" s="1443"/>
      <c r="AV351" s="1443"/>
      <c r="AW351" s="1443"/>
      <c r="AX351" s="3742"/>
      <c r="AY351" s="5016"/>
      <c r="AZ351" s="5016"/>
      <c r="BA351" s="5016"/>
      <c r="BB351" s="5016"/>
      <c r="BC351" s="5016"/>
      <c r="BD351" s="5016"/>
      <c r="BE351" s="5016"/>
      <c r="BF351" s="5016"/>
      <c r="BG351" s="5016"/>
      <c r="BH351" s="5016"/>
    </row>
    <row r="352" spans="1:60" ht="18" customHeight="1">
      <c r="A352" s="5088"/>
      <c r="B352" s="6690">
        <v>17</v>
      </c>
      <c r="C352" s="6690"/>
      <c r="D352" s="1607" t="s">
        <v>2805</v>
      </c>
      <c r="E352" s="1443"/>
      <c r="F352" s="3269"/>
      <c r="G352" s="1443"/>
      <c r="H352" s="1443"/>
      <c r="I352" s="1443"/>
      <c r="J352" s="1443"/>
      <c r="K352" s="1443"/>
      <c r="L352" s="1443"/>
      <c r="M352" s="1443"/>
      <c r="N352" s="1443"/>
      <c r="O352" s="1443"/>
      <c r="P352" s="1443"/>
      <c r="Q352" s="1443"/>
      <c r="R352" s="1443"/>
      <c r="S352" s="1443"/>
      <c r="T352" s="1443"/>
      <c r="U352" s="1443"/>
      <c r="V352" s="1443"/>
      <c r="W352" s="1443"/>
      <c r="X352" s="1443"/>
      <c r="Y352" s="1443"/>
      <c r="Z352" s="6764"/>
      <c r="AA352" s="6772"/>
      <c r="AB352" s="1965"/>
      <c r="AC352" s="1443"/>
      <c r="AD352" s="1443"/>
      <c r="AE352" s="1443"/>
      <c r="AF352" s="1443"/>
      <c r="AG352" s="1443"/>
      <c r="AH352" s="1443"/>
      <c r="AI352" s="1966"/>
      <c r="AJ352" s="6696"/>
      <c r="AK352" s="6697"/>
      <c r="AL352" s="1965"/>
      <c r="AM352" s="1443"/>
      <c r="AN352" s="1443"/>
      <c r="AO352" s="1443"/>
      <c r="AP352" s="3350"/>
      <c r="AQ352" s="1443"/>
      <c r="AR352" s="1443"/>
      <c r="AS352" s="1443"/>
      <c r="AT352" s="1443"/>
      <c r="AU352" s="1443"/>
      <c r="AV352" s="1443"/>
      <c r="AW352" s="1443"/>
      <c r="AX352" s="3742"/>
      <c r="AY352" s="5016"/>
      <c r="AZ352" s="5016"/>
      <c r="BA352" s="5016"/>
      <c r="BB352" s="5016"/>
      <c r="BC352" s="5016"/>
      <c r="BD352" s="5016"/>
      <c r="BE352" s="5016"/>
      <c r="BF352" s="5016"/>
      <c r="BG352" s="5016"/>
      <c r="BH352" s="5016"/>
    </row>
    <row r="353" spans="1:60" ht="13.5" customHeight="1">
      <c r="A353" s="5088"/>
      <c r="B353" s="6690"/>
      <c r="C353" s="6690"/>
      <c r="D353" s="1443" t="s">
        <v>2806</v>
      </c>
      <c r="E353" s="1443"/>
      <c r="F353" s="3269"/>
      <c r="G353" s="1443"/>
      <c r="H353" s="1443"/>
      <c r="I353" s="1443"/>
      <c r="J353" s="1443"/>
      <c r="K353" s="1443"/>
      <c r="L353" s="1443"/>
      <c r="M353" s="1443"/>
      <c r="N353" s="1443"/>
      <c r="O353" s="1443"/>
      <c r="P353" s="1443"/>
      <c r="Q353" s="1443"/>
      <c r="R353" s="1443"/>
      <c r="S353" s="1443"/>
      <c r="T353" s="1443"/>
      <c r="U353" s="1443"/>
      <c r="V353" s="1443"/>
      <c r="W353" s="1443"/>
      <c r="X353" s="1443"/>
      <c r="Y353" s="1443"/>
      <c r="Z353" s="6764"/>
      <c r="AA353" s="6772"/>
      <c r="AB353" s="1965"/>
      <c r="AC353" s="1443"/>
      <c r="AD353" s="1443"/>
      <c r="AE353" s="1443"/>
      <c r="AF353" s="1443"/>
      <c r="AG353" s="1443"/>
      <c r="AH353" s="1443"/>
      <c r="AI353" s="1966"/>
      <c r="AJ353" s="6696"/>
      <c r="AK353" s="6697"/>
      <c r="AL353" s="1965"/>
      <c r="AM353" s="1443"/>
      <c r="AN353" s="1443"/>
      <c r="AO353" s="1443"/>
      <c r="AP353" s="3350"/>
      <c r="AQ353" s="1443"/>
      <c r="AR353" s="1443"/>
      <c r="AS353" s="1443"/>
      <c r="AT353" s="1443"/>
      <c r="AU353" s="1443"/>
      <c r="AV353" s="1443"/>
      <c r="AW353" s="1443"/>
      <c r="AX353" s="3742"/>
      <c r="AY353" s="5016"/>
      <c r="AZ353" s="5016"/>
      <c r="BA353" s="5016"/>
      <c r="BB353" s="5016"/>
      <c r="BC353" s="5016"/>
      <c r="BD353" s="5016"/>
      <c r="BE353" s="5016"/>
      <c r="BF353" s="5016"/>
      <c r="BG353" s="5016"/>
      <c r="BH353" s="5016"/>
    </row>
    <row r="354" spans="1:60" ht="13.5" customHeight="1">
      <c r="A354" s="5088"/>
      <c r="B354" s="6690"/>
      <c r="C354" s="6690"/>
      <c r="D354" s="1443" t="s">
        <v>2807</v>
      </c>
      <c r="E354" s="1443"/>
      <c r="F354" s="3269"/>
      <c r="G354" s="1443"/>
      <c r="H354" s="1443"/>
      <c r="I354" s="1443"/>
      <c r="J354" s="1443"/>
      <c r="K354" s="1443"/>
      <c r="L354" s="1443"/>
      <c r="M354" s="1443"/>
      <c r="N354" s="1443"/>
      <c r="O354" s="1443"/>
      <c r="P354" s="1443"/>
      <c r="Q354" s="1443"/>
      <c r="R354" s="1443"/>
      <c r="S354" s="1443"/>
      <c r="T354" s="1443"/>
      <c r="U354" s="1443"/>
      <c r="V354" s="1443"/>
      <c r="W354" s="1443"/>
      <c r="X354" s="1443"/>
      <c r="Y354" s="1443"/>
      <c r="Z354" s="6764"/>
      <c r="AA354" s="6772"/>
      <c r="AB354" s="1965"/>
      <c r="AC354" s="1443"/>
      <c r="AD354" s="1443"/>
      <c r="AE354" s="1443"/>
      <c r="AF354" s="1443"/>
      <c r="AG354" s="1443"/>
      <c r="AH354" s="1443"/>
      <c r="AI354" s="1966"/>
      <c r="AJ354" s="6696"/>
      <c r="AK354" s="6697"/>
      <c r="AL354" s="1965"/>
      <c r="AM354" s="1443"/>
      <c r="AN354" s="1443"/>
      <c r="AO354" s="1443"/>
      <c r="AP354" s="3350"/>
      <c r="AQ354" s="1443"/>
      <c r="AR354" s="1443"/>
      <c r="AS354" s="1443"/>
      <c r="AT354" s="1443"/>
      <c r="AU354" s="1443"/>
      <c r="AV354" s="1443"/>
      <c r="AW354" s="1443"/>
      <c r="AX354" s="3742"/>
      <c r="AY354" s="5016"/>
      <c r="AZ354" s="5016"/>
      <c r="BA354" s="5016"/>
      <c r="BB354" s="5016"/>
      <c r="BC354" s="5016"/>
      <c r="BD354" s="5016"/>
      <c r="BE354" s="5016"/>
      <c r="BF354" s="5016"/>
      <c r="BG354" s="5016"/>
      <c r="BH354" s="5016"/>
    </row>
    <row r="355" spans="1:60" ht="13.5" customHeight="1">
      <c r="A355" s="5088"/>
      <c r="B355" s="6690"/>
      <c r="C355" s="6690"/>
      <c r="D355" s="1443" t="s">
        <v>2808</v>
      </c>
      <c r="E355" s="1443"/>
      <c r="F355" s="3269"/>
      <c r="G355" s="1443"/>
      <c r="H355" s="1443"/>
      <c r="I355" s="1443"/>
      <c r="J355" s="1443"/>
      <c r="K355" s="1443"/>
      <c r="L355" s="1443"/>
      <c r="M355" s="1443"/>
      <c r="N355" s="1443"/>
      <c r="O355" s="1443"/>
      <c r="P355" s="1443"/>
      <c r="Q355" s="1443"/>
      <c r="R355" s="1443"/>
      <c r="S355" s="1443"/>
      <c r="T355" s="1443"/>
      <c r="U355" s="1443"/>
      <c r="V355" s="1443"/>
      <c r="W355" s="1443"/>
      <c r="X355" s="1443"/>
      <c r="Y355" s="1443"/>
      <c r="Z355" s="6764"/>
      <c r="AA355" s="6772"/>
      <c r="AB355" s="1965"/>
      <c r="AC355" s="1443"/>
      <c r="AD355" s="1443"/>
      <c r="AE355" s="1443"/>
      <c r="AF355" s="1443"/>
      <c r="AG355" s="1443"/>
      <c r="AH355" s="1443"/>
      <c r="AI355" s="1966"/>
      <c r="AJ355" s="6696"/>
      <c r="AK355" s="6697"/>
      <c r="AL355" s="1965"/>
      <c r="AM355" s="1443"/>
      <c r="AN355" s="1443"/>
      <c r="AO355" s="1443"/>
      <c r="AP355" s="3350"/>
      <c r="AQ355" s="1443"/>
      <c r="AR355" s="1443"/>
      <c r="AS355" s="1443"/>
      <c r="AT355" s="1443"/>
      <c r="AU355" s="1443"/>
      <c r="AV355" s="1443"/>
      <c r="AW355" s="1443"/>
      <c r="AX355" s="3742"/>
      <c r="AY355" s="5016"/>
      <c r="AZ355" s="5016"/>
      <c r="BA355" s="5016"/>
      <c r="BB355" s="5016"/>
      <c r="BC355" s="5016"/>
      <c r="BD355" s="5016"/>
      <c r="BE355" s="5016"/>
      <c r="BF355" s="5016"/>
      <c r="BG355" s="5016"/>
      <c r="BH355" s="5016"/>
    </row>
    <row r="356" spans="1:60" ht="13.5" customHeight="1">
      <c r="A356" s="5088"/>
      <c r="B356" s="3392"/>
      <c r="C356" s="3392"/>
      <c r="D356" s="1608" t="s">
        <v>2809</v>
      </c>
      <c r="E356" s="1443"/>
      <c r="F356" s="1443"/>
      <c r="G356" s="1443"/>
      <c r="H356" s="1443"/>
      <c r="I356" s="1443"/>
      <c r="J356" s="1443"/>
      <c r="K356" s="1443"/>
      <c r="L356" s="1443"/>
      <c r="M356" s="1443"/>
      <c r="N356" s="1443"/>
      <c r="O356" s="1443"/>
      <c r="P356" s="1443"/>
      <c r="Q356" s="1443"/>
      <c r="R356" s="1443"/>
      <c r="S356" s="1443"/>
      <c r="T356" s="1443"/>
      <c r="U356" s="1443"/>
      <c r="V356" s="1443"/>
      <c r="W356" s="1443"/>
      <c r="X356" s="1443"/>
      <c r="Y356" s="1943" t="s">
        <v>3200</v>
      </c>
      <c r="Z356" s="6691">
        <v>17</v>
      </c>
      <c r="AA356" s="6784"/>
      <c r="AB356" s="6785">
        <f>SUM(AB350,AB351)</f>
        <v>0</v>
      </c>
      <c r="AC356" s="6786"/>
      <c r="AD356" s="6786"/>
      <c r="AE356" s="6786"/>
      <c r="AF356" s="6786"/>
      <c r="AG356" s="6786"/>
      <c r="AH356" s="6786"/>
      <c r="AI356" s="6787"/>
      <c r="AJ356" s="6696"/>
      <c r="AK356" s="6697"/>
      <c r="AL356" s="6728"/>
      <c r="AM356" s="6729"/>
      <c r="AN356" s="6729"/>
      <c r="AO356" s="6729"/>
      <c r="AP356" s="3350"/>
      <c r="AQ356" s="6730" t="str">
        <f>IF(AND(AL347&gt;0,AB357),"Skip lines 18 through 22.","")</f>
        <v/>
      </c>
      <c r="AR356" s="6731"/>
      <c r="AS356" s="6731"/>
      <c r="AT356" s="6731"/>
      <c r="AU356" s="5768"/>
      <c r="AV356" s="5768"/>
      <c r="AW356" s="5768"/>
      <c r="AX356" s="3742"/>
      <c r="AY356" s="5016"/>
      <c r="AZ356" s="5016"/>
      <c r="BA356" s="5016"/>
      <c r="BB356" s="5016"/>
      <c r="BC356" s="5016"/>
      <c r="BD356" s="5016"/>
      <c r="BE356" s="5016"/>
      <c r="BF356" s="5016"/>
      <c r="BG356" s="5016"/>
      <c r="BH356" s="5016"/>
    </row>
    <row r="357" spans="1:60" ht="18.75" customHeight="1">
      <c r="A357" s="5088"/>
      <c r="B357" s="6690">
        <v>18</v>
      </c>
      <c r="C357" s="6690"/>
      <c r="D357" s="1607" t="s">
        <v>3515</v>
      </c>
      <c r="E357" s="1443"/>
      <c r="F357" s="3269"/>
      <c r="G357" s="1443"/>
      <c r="H357" s="1443"/>
      <c r="I357" s="1443"/>
      <c r="J357" s="1443"/>
      <c r="K357" s="1443"/>
      <c r="L357" s="1443"/>
      <c r="M357" s="1443"/>
      <c r="N357" s="1443"/>
      <c r="O357" s="1443"/>
      <c r="P357" s="1443"/>
      <c r="Q357" s="1443"/>
      <c r="R357" s="1443"/>
      <c r="S357" s="1443"/>
      <c r="T357" s="1443"/>
      <c r="U357" s="1443"/>
      <c r="V357" s="1443"/>
      <c r="W357" s="1443"/>
      <c r="X357" s="1443"/>
      <c r="Y357" s="1443"/>
      <c r="Z357" s="6764"/>
      <c r="AA357" s="6772"/>
      <c r="AB357" s="6732" t="b">
        <f>AB356&lt;=0</f>
        <v>1</v>
      </c>
      <c r="AC357" s="6425"/>
      <c r="AD357" s="6425"/>
      <c r="AE357" s="6425"/>
      <c r="AF357" s="6425"/>
      <c r="AG357" s="6425"/>
      <c r="AH357" s="6425"/>
      <c r="AI357" s="6733"/>
      <c r="AJ357" s="6696"/>
      <c r="AK357" s="6697"/>
      <c r="AL357" s="6734"/>
      <c r="AM357" s="6735"/>
      <c r="AN357" s="6735"/>
      <c r="AO357" s="6735"/>
      <c r="AP357" s="3350"/>
      <c r="AQ357" s="6736"/>
      <c r="AR357" s="6735"/>
      <c r="AS357" s="6735"/>
      <c r="AT357" s="6735"/>
      <c r="AU357" s="5601"/>
      <c r="AV357" s="5601"/>
      <c r="AW357" s="5601"/>
      <c r="AX357" s="3742"/>
      <c r="AY357" s="5016"/>
      <c r="AZ357" s="5016"/>
      <c r="BA357" s="5016"/>
      <c r="BB357" s="5016"/>
      <c r="BC357" s="5016"/>
      <c r="BD357" s="5016"/>
      <c r="BE357" s="5016"/>
      <c r="BF357" s="5016"/>
      <c r="BG357" s="5016"/>
      <c r="BH357" s="5016"/>
    </row>
    <row r="358" spans="1:60" ht="12.75" customHeight="1">
      <c r="A358" s="5088"/>
      <c r="B358" s="6690"/>
      <c r="C358" s="6690"/>
      <c r="D358" s="1607" t="s">
        <v>3516</v>
      </c>
      <c r="E358" s="1443"/>
      <c r="F358" s="3269"/>
      <c r="G358" s="1443"/>
      <c r="H358" s="1443"/>
      <c r="I358" s="1443"/>
      <c r="J358" s="1443"/>
      <c r="K358" s="1443"/>
      <c r="L358" s="1443"/>
      <c r="M358" s="1443"/>
      <c r="N358" s="1443"/>
      <c r="O358" s="1443"/>
      <c r="P358" s="1443"/>
      <c r="Q358" s="1443"/>
      <c r="R358" s="1443"/>
      <c r="S358" s="1443"/>
      <c r="T358" s="1443"/>
      <c r="U358" s="1443"/>
      <c r="V358" s="1443"/>
      <c r="W358" s="1443"/>
      <c r="X358" s="1443"/>
      <c r="Y358" s="1443"/>
      <c r="Z358" s="6764"/>
      <c r="AA358" s="6772"/>
      <c r="AB358" s="1965"/>
      <c r="AC358" s="1443"/>
      <c r="AD358" s="1443"/>
      <c r="AE358" s="1443"/>
      <c r="AF358" s="1443"/>
      <c r="AG358" s="1443"/>
      <c r="AH358" s="1443"/>
      <c r="AI358" s="1966"/>
      <c r="AJ358" s="6696"/>
      <c r="AK358" s="6697"/>
      <c r="AL358" s="1965"/>
      <c r="AM358" s="1443"/>
      <c r="AN358" s="1443"/>
      <c r="AO358" s="1443"/>
      <c r="AP358" s="3350"/>
      <c r="AQ358" s="3350"/>
      <c r="AR358" s="3350"/>
      <c r="AS358" s="3350"/>
      <c r="AT358" s="3350"/>
      <c r="AU358" s="3350"/>
      <c r="AV358" s="1443"/>
      <c r="AW358" s="1443"/>
      <c r="AX358" s="3742"/>
      <c r="AY358" s="5016"/>
      <c r="AZ358" s="5016"/>
      <c r="BA358" s="5016"/>
      <c r="BB358" s="5016"/>
      <c r="BC358" s="5016"/>
      <c r="BD358" s="5016"/>
      <c r="BE358" s="5016"/>
      <c r="BF358" s="5016"/>
      <c r="BG358" s="5016"/>
      <c r="BH358" s="5016"/>
    </row>
    <row r="359" spans="1:60" ht="12.75" customHeight="1">
      <c r="A359" s="5088"/>
      <c r="B359" s="3392"/>
      <c r="C359" s="3392"/>
      <c r="D359" s="1608" t="s">
        <v>2810</v>
      </c>
      <c r="E359" s="1443"/>
      <c r="F359" s="1443"/>
      <c r="G359" s="1443"/>
      <c r="H359" s="1443"/>
      <c r="I359" s="1443"/>
      <c r="J359" s="1443"/>
      <c r="K359" s="1443"/>
      <c r="L359" s="1443"/>
      <c r="M359" s="1443"/>
      <c r="N359" s="1443"/>
      <c r="O359" s="1443"/>
      <c r="P359" s="1443"/>
      <c r="Q359" s="1443"/>
      <c r="R359" s="1443"/>
      <c r="S359" s="1443"/>
      <c r="T359" s="1443"/>
      <c r="U359" s="1443"/>
      <c r="V359" s="1443"/>
      <c r="W359" s="1443"/>
      <c r="X359" s="1443"/>
      <c r="Y359" s="1943" t="s">
        <v>3529</v>
      </c>
      <c r="Z359" s="6691">
        <v>18</v>
      </c>
      <c r="AA359" s="6784"/>
      <c r="AB359" s="6785" t="str">
        <f>IF(AQ359&lt;&gt;"",ROUND(AQ359,0),IF(AB357,"",Taxable_Inc))</f>
        <v/>
      </c>
      <c r="AC359" s="6786"/>
      <c r="AD359" s="6786"/>
      <c r="AE359" s="6786"/>
      <c r="AF359" s="6786"/>
      <c r="AG359" s="6786"/>
      <c r="AH359" s="6786"/>
      <c r="AI359" s="6787"/>
      <c r="AJ359" s="6696"/>
      <c r="AK359" s="6697"/>
      <c r="AL359" s="1965"/>
      <c r="AM359" s="1443"/>
      <c r="AN359" s="1443"/>
      <c r="AO359" s="1443"/>
      <c r="AP359" s="3350"/>
      <c r="AQ359" s="6715"/>
      <c r="AR359" s="6716"/>
      <c r="AS359" s="6716"/>
      <c r="AT359" s="6716"/>
      <c r="AU359" s="3350"/>
      <c r="AV359" s="1443"/>
      <c r="AW359" s="1443"/>
      <c r="AX359" s="3742"/>
      <c r="AY359" s="5016"/>
      <c r="AZ359" s="5016"/>
      <c r="BA359" s="5016"/>
      <c r="BB359" s="5016"/>
      <c r="BC359" s="5016"/>
      <c r="BD359" s="5016"/>
      <c r="BE359" s="5016"/>
      <c r="BF359" s="5016"/>
      <c r="BG359" s="5016"/>
      <c r="BH359" s="5016"/>
    </row>
    <row r="360" spans="1:60" ht="12.75" customHeight="1">
      <c r="A360" s="5088"/>
      <c r="B360" s="3392"/>
      <c r="C360" s="3392"/>
      <c r="D360" s="2378" t="s">
        <v>2823</v>
      </c>
      <c r="E360" s="1804"/>
      <c r="F360" s="2292"/>
      <c r="G360" s="1443"/>
      <c r="H360" s="1443"/>
      <c r="I360" s="1443"/>
      <c r="J360" s="1443"/>
      <c r="K360" s="1443"/>
      <c r="L360" s="1443"/>
      <c r="M360" s="1443"/>
      <c r="N360" s="1443"/>
      <c r="O360" s="1443"/>
      <c r="P360" s="3366"/>
      <c r="Q360" s="1804"/>
      <c r="R360" s="2292"/>
      <c r="S360" s="1607"/>
      <c r="T360" s="1443"/>
      <c r="U360" s="1443"/>
      <c r="V360" s="1443"/>
      <c r="W360" s="1443"/>
      <c r="X360" s="1443"/>
      <c r="Y360" s="1443"/>
      <c r="Z360" s="1443"/>
      <c r="AA360" s="1443"/>
      <c r="AB360" s="1443"/>
      <c r="AC360" s="1443"/>
      <c r="AD360" s="3366"/>
      <c r="AE360" s="1804"/>
      <c r="AF360" s="2292"/>
      <c r="AG360" s="1443"/>
      <c r="AH360" s="1443"/>
      <c r="AI360" s="1443"/>
      <c r="AJ360" s="1964"/>
      <c r="AK360" s="1958"/>
      <c r="AL360" s="1443"/>
      <c r="AM360" s="1443"/>
      <c r="AN360" s="1443"/>
      <c r="AO360" s="1443"/>
      <c r="AP360" s="3350"/>
      <c r="AQ360" s="3350"/>
      <c r="AR360" s="3350"/>
      <c r="AS360" s="3350"/>
      <c r="AT360" s="3350"/>
      <c r="AU360" s="3350"/>
      <c r="AV360" s="1443"/>
      <c r="AW360" s="1443"/>
      <c r="AX360" s="3742"/>
      <c r="AY360" s="5016"/>
      <c r="AZ360" s="5016"/>
      <c r="BA360" s="5016"/>
      <c r="BB360" s="5016"/>
      <c r="BC360" s="5016"/>
      <c r="BD360" s="5016"/>
      <c r="BE360" s="5016"/>
      <c r="BF360" s="5016"/>
      <c r="BG360" s="5016"/>
      <c r="BH360" s="5016"/>
    </row>
    <row r="361" spans="1:60" ht="12.75" customHeight="1">
      <c r="A361" s="5088"/>
      <c r="B361" s="1443"/>
      <c r="C361" s="1450"/>
      <c r="D361" s="1608" t="s">
        <v>565</v>
      </c>
      <c r="E361" s="1443"/>
      <c r="F361" s="1443"/>
      <c r="G361" s="1443"/>
      <c r="H361" s="1443"/>
      <c r="I361" s="1443"/>
      <c r="J361" s="1443"/>
      <c r="K361" s="1443"/>
      <c r="L361" s="1443"/>
      <c r="M361" s="1443"/>
      <c r="N361" s="1443"/>
      <c r="O361" s="1443"/>
      <c r="P361" s="1443"/>
      <c r="Q361" s="1443"/>
      <c r="R361" s="1443"/>
      <c r="S361" s="1443"/>
      <c r="T361" s="1617"/>
      <c r="U361" s="1443"/>
      <c r="V361" s="1443"/>
      <c r="W361" s="1443"/>
      <c r="X361" s="1443"/>
      <c r="Y361" s="1443"/>
      <c r="Z361" s="1443"/>
      <c r="AA361" s="1443"/>
      <c r="AB361" s="1443"/>
      <c r="AC361" s="1443"/>
      <c r="AD361" s="1443"/>
      <c r="AE361" s="1443"/>
      <c r="AF361" s="1443"/>
      <c r="AG361" s="1443"/>
      <c r="AH361" s="1443"/>
      <c r="AI361" s="1443"/>
      <c r="AJ361" s="1965"/>
      <c r="AK361" s="1966"/>
      <c r="AL361" s="1443"/>
      <c r="AM361" s="1443"/>
      <c r="AN361" s="1443"/>
      <c r="AO361" s="1443"/>
      <c r="AP361" s="3350"/>
      <c r="AQ361" s="3350"/>
      <c r="AR361" s="3350"/>
      <c r="AS361" s="3350"/>
      <c r="AT361" s="3350"/>
      <c r="AU361" s="3350"/>
      <c r="AV361" s="1443"/>
      <c r="AW361" s="1443"/>
      <c r="AX361" s="3742"/>
      <c r="AY361" s="5016"/>
      <c r="AZ361" s="5016"/>
      <c r="BA361" s="5016"/>
      <c r="BB361" s="5016"/>
      <c r="BC361" s="5016"/>
      <c r="BD361" s="5016"/>
      <c r="BE361" s="5016"/>
      <c r="BF361" s="5016"/>
      <c r="BG361" s="5016"/>
      <c r="BH361" s="5016"/>
    </row>
    <row r="362" spans="1:60" ht="16.5" customHeight="1">
      <c r="A362" s="5088"/>
      <c r="B362" s="6690">
        <v>19</v>
      </c>
      <c r="C362" s="6690"/>
      <c r="D362" s="1607" t="s">
        <v>2811</v>
      </c>
      <c r="E362" s="1443"/>
      <c r="F362" s="3269"/>
      <c r="G362" s="1443"/>
      <c r="H362" s="1443"/>
      <c r="I362" s="1443"/>
      <c r="J362" s="1443"/>
      <c r="K362" s="1443"/>
      <c r="L362" s="1443"/>
      <c r="M362" s="1443"/>
      <c r="N362" s="1443"/>
      <c r="O362" s="1443"/>
      <c r="P362" s="1443"/>
      <c r="Q362" s="1443"/>
      <c r="R362" s="1443"/>
      <c r="S362" s="1443"/>
      <c r="T362" s="1443"/>
      <c r="U362" s="1443"/>
      <c r="V362" s="1443"/>
      <c r="W362" s="1443"/>
      <c r="X362" s="1443"/>
      <c r="Y362" s="1443"/>
      <c r="Z362" s="1443"/>
      <c r="AA362" s="1443"/>
      <c r="AB362" s="1443"/>
      <c r="AC362" s="1443"/>
      <c r="AD362" s="1443"/>
      <c r="AE362" s="1443"/>
      <c r="AF362" s="1443"/>
      <c r="AG362" s="1443"/>
      <c r="AH362" s="1443"/>
      <c r="AI362" s="1943" t="s">
        <v>1312</v>
      </c>
      <c r="AJ362" s="6691">
        <v>19</v>
      </c>
      <c r="AK362" s="6692"/>
      <c r="AL362" s="6740" t="str">
        <f>IF(AQ362&lt;&gt;"",ROUND(AQ362,4),IF(AB357,"",IF(OR(AB359="",AB359=0),"                    ---",IF(AB356&gt;AB359,1,ROUND(AB356/AB359,4)))))</f>
        <v/>
      </c>
      <c r="AM362" s="6741"/>
      <c r="AN362" s="6741"/>
      <c r="AO362" s="6741"/>
      <c r="AP362" s="3350"/>
      <c r="AQ362" s="6713"/>
      <c r="AR362" s="6714"/>
      <c r="AS362" s="6714"/>
      <c r="AT362" s="6714"/>
      <c r="AU362" s="3350"/>
      <c r="AV362" s="1443"/>
      <c r="AW362" s="1443"/>
      <c r="AX362" s="3742"/>
      <c r="AY362" s="5016"/>
      <c r="AZ362" s="5016"/>
      <c r="BA362" s="5016"/>
      <c r="BB362" s="5016"/>
      <c r="BC362" s="5016"/>
      <c r="BD362" s="5016"/>
      <c r="BE362" s="5016"/>
      <c r="BF362" s="5016"/>
      <c r="BG362" s="5016"/>
      <c r="BH362" s="5016"/>
    </row>
    <row r="363" spans="1:60" ht="18" customHeight="1">
      <c r="A363" s="5088"/>
      <c r="B363" s="6690">
        <v>20</v>
      </c>
      <c r="C363" s="6690"/>
      <c r="D363" s="1607" t="s">
        <v>3517</v>
      </c>
      <c r="E363" s="1443"/>
      <c r="F363" s="3269"/>
      <c r="G363" s="1443"/>
      <c r="H363" s="1443"/>
      <c r="I363" s="1443"/>
      <c r="J363" s="1443"/>
      <c r="K363" s="1443"/>
      <c r="L363" s="1443"/>
      <c r="M363" s="1443"/>
      <c r="N363" s="1443"/>
      <c r="O363" s="1443"/>
      <c r="P363" s="1443"/>
      <c r="Q363" s="1443"/>
      <c r="R363" s="1443"/>
      <c r="S363" s="1443"/>
      <c r="T363" s="1443"/>
      <c r="U363" s="1443"/>
      <c r="V363" s="1443"/>
      <c r="W363" s="1443"/>
      <c r="X363" s="1443"/>
      <c r="Y363" s="1443"/>
      <c r="Z363" s="1443"/>
      <c r="AA363" s="1443"/>
      <c r="AB363" s="1443"/>
      <c r="AC363" s="1443"/>
      <c r="AD363" s="1443"/>
      <c r="AE363" s="1443"/>
      <c r="AF363" s="1443"/>
      <c r="AG363" s="1443"/>
      <c r="AH363" s="1443"/>
      <c r="AI363" s="1443"/>
      <c r="AJ363" s="6742"/>
      <c r="AK363" s="6743"/>
      <c r="AL363" s="1965"/>
      <c r="AM363" s="1443"/>
      <c r="AN363" s="1443"/>
      <c r="AO363" s="1443"/>
      <c r="AP363" s="3350"/>
      <c r="AQ363" s="3350"/>
      <c r="AR363" s="3350"/>
      <c r="AS363" s="3350"/>
      <c r="AT363" s="3350"/>
      <c r="AU363" s="3350"/>
      <c r="AV363" s="1443"/>
      <c r="AW363" s="1443"/>
      <c r="AX363" s="3742"/>
      <c r="AY363" s="5016"/>
      <c r="AZ363" s="5016"/>
      <c r="BA363" s="5016"/>
      <c r="BB363" s="5016"/>
      <c r="BC363" s="5016"/>
      <c r="BD363" s="5016"/>
      <c r="BE363" s="5016"/>
      <c r="BF363" s="5016"/>
      <c r="BG363" s="5016"/>
      <c r="BH363" s="5016"/>
    </row>
    <row r="364" spans="1:60" ht="13.5" customHeight="1">
      <c r="A364" s="5088"/>
      <c r="B364" s="6690"/>
      <c r="C364" s="6690"/>
      <c r="D364" s="1607" t="s">
        <v>3518</v>
      </c>
      <c r="E364" s="1443"/>
      <c r="F364" s="3269"/>
      <c r="G364" s="1443"/>
      <c r="H364" s="1443"/>
      <c r="I364" s="1443"/>
      <c r="J364" s="1443"/>
      <c r="K364" s="1443"/>
      <c r="L364" s="1443"/>
      <c r="M364" s="1443"/>
      <c r="N364" s="1443"/>
      <c r="O364" s="1443"/>
      <c r="P364" s="1443"/>
      <c r="Q364" s="1443"/>
      <c r="R364" s="1443"/>
      <c r="S364" s="1443"/>
      <c r="T364" s="1443"/>
      <c r="U364" s="1443"/>
      <c r="V364" s="1443"/>
      <c r="W364" s="1443"/>
      <c r="X364" s="1443"/>
      <c r="Y364" s="1443"/>
      <c r="Z364" s="1443"/>
      <c r="AA364" s="1443"/>
      <c r="AB364" s="1443"/>
      <c r="AC364" s="1443"/>
      <c r="AD364" s="1443"/>
      <c r="AE364" s="1443"/>
      <c r="AF364" s="1443"/>
      <c r="AG364" s="1443"/>
      <c r="AH364" s="1443"/>
      <c r="AI364" s="1443"/>
      <c r="AJ364" s="6742"/>
      <c r="AK364" s="6743"/>
      <c r="AL364" s="1965"/>
      <c r="AM364" s="1443"/>
      <c r="AN364" s="1443"/>
      <c r="AO364" s="1443"/>
      <c r="AP364" s="3350"/>
      <c r="AQ364" s="1443"/>
      <c r="AR364" s="1443"/>
      <c r="AS364" s="1443"/>
      <c r="AT364" s="1443"/>
      <c r="AU364" s="1443"/>
      <c r="AV364" s="1443"/>
      <c r="AW364" s="1443"/>
      <c r="AX364" s="3742"/>
      <c r="AY364" s="5016"/>
      <c r="AZ364" s="5016"/>
      <c r="BA364" s="5016"/>
      <c r="BB364" s="5016"/>
      <c r="BC364" s="5016"/>
      <c r="BD364" s="5016"/>
      <c r="BE364" s="5016"/>
      <c r="BF364" s="5016"/>
      <c r="BG364" s="5016"/>
      <c r="BH364" s="5016"/>
    </row>
    <row r="365" spans="1:60" ht="13.5" customHeight="1">
      <c r="A365" s="5088"/>
      <c r="B365" s="6690"/>
      <c r="C365" s="6690"/>
      <c r="D365" s="1443" t="s">
        <v>3519</v>
      </c>
      <c r="E365" s="1443"/>
      <c r="F365" s="3269"/>
      <c r="G365" s="1443"/>
      <c r="H365" s="1443"/>
      <c r="I365" s="1443"/>
      <c r="J365" s="1443"/>
      <c r="K365" s="1443"/>
      <c r="L365" s="1443"/>
      <c r="M365" s="1443"/>
      <c r="N365" s="1443"/>
      <c r="O365" s="1443"/>
      <c r="P365" s="1443"/>
      <c r="Q365" s="1443"/>
      <c r="R365" s="1443"/>
      <c r="S365" s="1443"/>
      <c r="T365" s="1443"/>
      <c r="U365" s="1443"/>
      <c r="V365" s="1443"/>
      <c r="W365" s="1443"/>
      <c r="X365" s="1443"/>
      <c r="Y365" s="1443"/>
      <c r="Z365" s="1443"/>
      <c r="AA365" s="1443"/>
      <c r="AB365" s="1443"/>
      <c r="AC365" s="1443"/>
      <c r="AD365" s="1443"/>
      <c r="AE365" s="1443"/>
      <c r="AF365" s="1443"/>
      <c r="AG365" s="1443"/>
      <c r="AH365" s="1443"/>
      <c r="AI365" s="1443"/>
      <c r="AJ365" s="6742"/>
      <c r="AK365" s="6743"/>
      <c r="AL365" s="1965"/>
      <c r="AM365" s="1443"/>
      <c r="AN365" s="1443"/>
      <c r="AO365" s="1443"/>
      <c r="AP365" s="3350"/>
      <c r="AQ365" s="3350"/>
      <c r="AR365" s="3350"/>
      <c r="AS365" s="3350"/>
      <c r="AT365" s="3350"/>
      <c r="AU365" s="3350"/>
      <c r="AV365" s="1443"/>
      <c r="AW365" s="1443"/>
      <c r="AX365" s="3742"/>
      <c r="AY365" s="5016"/>
      <c r="AZ365" s="5016"/>
      <c r="BA365" s="5016"/>
      <c r="BB365" s="5016"/>
      <c r="BC365" s="5016"/>
      <c r="BD365" s="5016"/>
      <c r="BE365" s="5016"/>
      <c r="BF365" s="5016"/>
      <c r="BG365" s="5016"/>
      <c r="BH365" s="5016"/>
    </row>
    <row r="366" spans="1:60" ht="13.5" customHeight="1">
      <c r="A366" s="5088"/>
      <c r="B366" s="3392"/>
      <c r="C366" s="3392"/>
      <c r="D366" s="1608" t="s">
        <v>3520</v>
      </c>
      <c r="E366" s="1443"/>
      <c r="F366" s="1443"/>
      <c r="G366" s="1443"/>
      <c r="H366" s="1443"/>
      <c r="I366" s="1443"/>
      <c r="J366" s="1443"/>
      <c r="K366" s="1443"/>
      <c r="L366" s="1443"/>
      <c r="M366" s="1443"/>
      <c r="N366" s="1443"/>
      <c r="O366" s="1443"/>
      <c r="P366" s="1443"/>
      <c r="Q366" s="1443"/>
      <c r="R366" s="1443"/>
      <c r="S366" s="1443"/>
      <c r="T366" s="1443"/>
      <c r="U366" s="1443"/>
      <c r="V366" s="1443"/>
      <c r="W366" s="1443"/>
      <c r="X366" s="1443"/>
      <c r="Y366" s="1443"/>
      <c r="Z366" s="1443"/>
      <c r="AA366" s="1443"/>
      <c r="AB366" s="1443"/>
      <c r="AC366" s="1443"/>
      <c r="AD366" s="1443"/>
      <c r="AE366" s="1443"/>
      <c r="AF366" s="1443"/>
      <c r="AG366" s="1443"/>
      <c r="AH366" s="1443"/>
      <c r="AI366" s="1943" t="s">
        <v>3530</v>
      </c>
      <c r="AJ366" s="6691">
        <v>20</v>
      </c>
      <c r="AK366" s="6692"/>
      <c r="AL366" s="6739" t="str">
        <f>IF(AQ366&lt;&gt;"",ROUND(AQ366,0),IF(AB357,"",IF(AO272&lt;&gt;1,"",SUM(Tax1040_Line11a,PTC_ExcessAdv))))</f>
        <v/>
      </c>
      <c r="AM366" s="5861"/>
      <c r="AN366" s="5861"/>
      <c r="AO366" s="5861"/>
      <c r="AP366" s="3350"/>
      <c r="AQ366" s="6715"/>
      <c r="AR366" s="6716"/>
      <c r="AS366" s="6716"/>
      <c r="AT366" s="6716"/>
      <c r="AU366" s="3350"/>
      <c r="AV366" s="1443"/>
      <c r="AW366" s="1443"/>
      <c r="AX366" s="3742"/>
      <c r="AY366" s="5016"/>
      <c r="AZ366" s="5016"/>
      <c r="BA366" s="5016"/>
      <c r="BB366" s="5016"/>
      <c r="BC366" s="5016"/>
      <c r="BD366" s="5016"/>
      <c r="BE366" s="5016"/>
      <c r="BF366" s="5016"/>
      <c r="BG366" s="5016"/>
      <c r="BH366" s="5016"/>
    </row>
    <row r="367" spans="1:60" ht="13.5" customHeight="1">
      <c r="A367" s="5088"/>
      <c r="B367" s="6690"/>
      <c r="C367" s="6690"/>
      <c r="D367" s="1607" t="s">
        <v>3521</v>
      </c>
      <c r="E367" s="1443"/>
      <c r="F367" s="3269"/>
      <c r="G367" s="1443"/>
      <c r="H367" s="1443"/>
      <c r="I367" s="1443"/>
      <c r="J367" s="1443"/>
      <c r="K367" s="1443"/>
      <c r="L367" s="1443"/>
      <c r="M367" s="1443"/>
      <c r="N367" s="1443"/>
      <c r="O367" s="1443"/>
      <c r="P367" s="1443"/>
      <c r="Q367" s="1443"/>
      <c r="R367" s="1443"/>
      <c r="S367" s="1443"/>
      <c r="T367" s="1443"/>
      <c r="U367" s="1443"/>
      <c r="V367" s="1443"/>
      <c r="W367" s="1443"/>
      <c r="X367" s="1443"/>
      <c r="Y367" s="1443"/>
      <c r="Z367" s="1443"/>
      <c r="AA367" s="1443"/>
      <c r="AB367" s="1443"/>
      <c r="AC367" s="1443"/>
      <c r="AD367" s="1443"/>
      <c r="AE367" s="1443"/>
      <c r="AF367" s="1443"/>
      <c r="AG367" s="1443"/>
      <c r="AH367" s="1443"/>
      <c r="AI367" s="1443"/>
      <c r="AJ367" s="1965"/>
      <c r="AK367" s="1966"/>
      <c r="AL367" s="1443"/>
      <c r="AM367" s="1443"/>
      <c r="AN367" s="1443"/>
      <c r="AO367" s="1443"/>
      <c r="AP367" s="3350"/>
      <c r="AQ367" s="3350"/>
      <c r="AR367" s="3350"/>
      <c r="AS367" s="3350"/>
      <c r="AT367" s="3350"/>
      <c r="AU367" s="3350"/>
      <c r="AV367" s="1443"/>
      <c r="AW367" s="1443"/>
      <c r="AX367" s="3742"/>
      <c r="AY367" s="5016"/>
      <c r="AZ367" s="5016"/>
      <c r="BA367" s="5016"/>
      <c r="BB367" s="5016"/>
      <c r="BC367" s="5016"/>
      <c r="BD367" s="5016"/>
      <c r="BE367" s="5016"/>
      <c r="BF367" s="5016"/>
      <c r="BG367" s="5016"/>
      <c r="BH367" s="5016"/>
    </row>
    <row r="368" spans="1:60" ht="13.5" customHeight="1">
      <c r="A368" s="5088"/>
      <c r="B368" s="1443"/>
      <c r="C368" s="1450"/>
      <c r="D368" s="1608" t="s">
        <v>565</v>
      </c>
      <c r="E368" s="1443"/>
      <c r="F368" s="1443"/>
      <c r="G368" s="1443"/>
      <c r="H368" s="1443"/>
      <c r="I368" s="1443"/>
      <c r="J368" s="1443"/>
      <c r="K368" s="1443"/>
      <c r="L368" s="1443"/>
      <c r="M368" s="1443"/>
      <c r="N368" s="1443"/>
      <c r="O368" s="1443"/>
      <c r="P368" s="1443"/>
      <c r="Q368" s="1443"/>
      <c r="R368" s="1443"/>
      <c r="S368" s="1443"/>
      <c r="T368" s="1617"/>
      <c r="U368" s="1443"/>
      <c r="V368" s="1443"/>
      <c r="W368" s="1443"/>
      <c r="X368" s="1443"/>
      <c r="Y368" s="1443"/>
      <c r="Z368" s="1443"/>
      <c r="AA368" s="1443"/>
      <c r="AB368" s="1443"/>
      <c r="AC368" s="1443"/>
      <c r="AD368" s="1443"/>
      <c r="AE368" s="1443"/>
      <c r="AF368" s="1443"/>
      <c r="AG368" s="1443"/>
      <c r="AH368" s="1443"/>
      <c r="AI368" s="1443"/>
      <c r="AJ368" s="1965"/>
      <c r="AK368" s="1966"/>
      <c r="AL368" s="1443"/>
      <c r="AM368" s="1443"/>
      <c r="AN368" s="1443"/>
      <c r="AO368" s="1443"/>
      <c r="AP368" s="3350"/>
      <c r="AQ368" s="1443"/>
      <c r="AR368" s="1443"/>
      <c r="AS368" s="1443"/>
      <c r="AT368" s="1443"/>
      <c r="AU368" s="1443"/>
      <c r="AV368" s="1443"/>
      <c r="AW368" s="1443"/>
      <c r="AX368" s="3742"/>
      <c r="AY368" s="5016"/>
      <c r="AZ368" s="5016"/>
      <c r="BA368" s="5016"/>
      <c r="BB368" s="5016"/>
      <c r="BC368" s="5016"/>
      <c r="BD368" s="5016"/>
      <c r="BE368" s="5016"/>
      <c r="BF368" s="5016"/>
      <c r="BG368" s="5016"/>
      <c r="BH368" s="5016"/>
    </row>
    <row r="369" spans="1:60" ht="13.5" customHeight="1">
      <c r="A369" s="5088"/>
      <c r="B369" s="6690">
        <v>21</v>
      </c>
      <c r="C369" s="6690"/>
      <c r="D369" s="1443" t="s">
        <v>2812</v>
      </c>
      <c r="E369" s="1443"/>
      <c r="F369" s="1443"/>
      <c r="G369" s="1443"/>
      <c r="H369" s="1443"/>
      <c r="I369" s="1443"/>
      <c r="J369" s="1443"/>
      <c r="K369" s="1443"/>
      <c r="L369" s="1443"/>
      <c r="M369" s="1443"/>
      <c r="N369" s="1443"/>
      <c r="O369" s="1443"/>
      <c r="P369" s="1443"/>
      <c r="Q369" s="1443"/>
      <c r="R369" s="1443"/>
      <c r="S369" s="1443"/>
      <c r="T369" s="1617"/>
      <c r="U369" s="1443"/>
      <c r="V369" s="1443"/>
      <c r="W369" s="1443"/>
      <c r="X369" s="1443"/>
      <c r="Y369" s="1443"/>
      <c r="Z369" s="1443"/>
      <c r="AA369" s="1443"/>
      <c r="AB369" s="1443"/>
      <c r="AC369" s="1443"/>
      <c r="AD369" s="1443"/>
      <c r="AE369" s="1443"/>
      <c r="AF369" s="1443"/>
      <c r="AG369" s="1443"/>
      <c r="AH369" s="1443"/>
      <c r="AI369" s="1943" t="s">
        <v>3531</v>
      </c>
      <c r="AJ369" s="6691">
        <v>21</v>
      </c>
      <c r="AK369" s="6692"/>
      <c r="AL369" s="6739" t="str">
        <f>IF(AB357,"",IF(ISERROR(AL362*AL366),"                    ---",ROUND(AL362*AL366,0)))</f>
        <v/>
      </c>
      <c r="AM369" s="5861"/>
      <c r="AN369" s="5861"/>
      <c r="AO369" s="5861"/>
      <c r="AP369" s="3350"/>
      <c r="AQ369" s="1443"/>
      <c r="AR369" s="1443"/>
      <c r="AS369" s="1443"/>
      <c r="AT369" s="1443"/>
      <c r="AU369" s="1443"/>
      <c r="AV369" s="1443"/>
      <c r="AW369" s="1443"/>
      <c r="AX369" s="3742"/>
      <c r="AY369" s="5016"/>
      <c r="AZ369" s="5016"/>
      <c r="BA369" s="5016"/>
      <c r="BB369" s="5016"/>
      <c r="BC369" s="5016"/>
      <c r="BD369" s="5016"/>
      <c r="BE369" s="5016"/>
      <c r="BF369" s="5016"/>
      <c r="BG369" s="5016"/>
      <c r="BH369" s="5016"/>
    </row>
    <row r="370" spans="1:60" ht="13.5" customHeight="1">
      <c r="A370" s="5088"/>
      <c r="B370" s="6690">
        <v>22</v>
      </c>
      <c r="C370" s="6690"/>
      <c r="D370" s="1607" t="s">
        <v>2824</v>
      </c>
      <c r="E370" s="1443"/>
      <c r="F370" s="3269"/>
      <c r="G370" s="1443"/>
      <c r="H370" s="1443"/>
      <c r="I370" s="1443"/>
      <c r="J370" s="1443"/>
      <c r="K370" s="1443"/>
      <c r="L370" s="1443"/>
      <c r="M370" s="1443"/>
      <c r="N370" s="1443"/>
      <c r="O370" s="1443"/>
      <c r="P370" s="1443"/>
      <c r="Q370" s="1443"/>
      <c r="R370" s="1443"/>
      <c r="S370" s="1443"/>
      <c r="T370" s="1443"/>
      <c r="U370" s="1443"/>
      <c r="V370" s="1443"/>
      <c r="W370" s="1443"/>
      <c r="X370" s="1443"/>
      <c r="Y370" s="1443"/>
      <c r="Z370" s="1443"/>
      <c r="AA370" s="1443"/>
      <c r="AB370" s="1443"/>
      <c r="AC370" s="1443"/>
      <c r="AD370" s="1443"/>
      <c r="AE370" s="1443"/>
      <c r="AF370" s="1443"/>
      <c r="AG370" s="1443"/>
      <c r="AH370" s="1443"/>
      <c r="AI370" s="1443"/>
      <c r="AJ370" s="1965"/>
      <c r="AK370" s="1966"/>
      <c r="AL370" s="1443"/>
      <c r="AM370" s="1443"/>
      <c r="AN370" s="1443"/>
      <c r="AO370" s="1443"/>
      <c r="AP370" s="3350"/>
      <c r="AQ370" s="1443"/>
      <c r="AR370" s="1443"/>
      <c r="AS370" s="1443"/>
      <c r="AT370" s="1443"/>
      <c r="AU370" s="1443"/>
      <c r="AV370" s="1443"/>
      <c r="AW370" s="1443"/>
      <c r="AX370" s="3742"/>
      <c r="AY370" s="5016"/>
      <c r="AZ370" s="5016"/>
      <c r="BA370" s="5016"/>
      <c r="BB370" s="5016"/>
      <c r="BC370" s="5016"/>
      <c r="BD370" s="5016"/>
      <c r="BE370" s="5016"/>
      <c r="BF370" s="5016"/>
      <c r="BG370" s="5016"/>
      <c r="BH370" s="5016"/>
    </row>
    <row r="371" spans="1:60" ht="13.5" customHeight="1">
      <c r="A371" s="5088"/>
      <c r="B371" s="1443"/>
      <c r="C371" s="1450"/>
      <c r="D371" s="2378" t="s">
        <v>3534</v>
      </c>
      <c r="E371" s="1443"/>
      <c r="F371" s="1443"/>
      <c r="G371" s="1443"/>
      <c r="H371" s="1443"/>
      <c r="I371" s="1443"/>
      <c r="J371" s="1443"/>
      <c r="K371" s="1443"/>
      <c r="L371" s="1443"/>
      <c r="M371" s="1443"/>
      <c r="N371" s="1443"/>
      <c r="O371" s="1443"/>
      <c r="P371" s="1443"/>
      <c r="Q371" s="1443"/>
      <c r="R371" s="1443"/>
      <c r="S371" s="1443"/>
      <c r="T371" s="1617"/>
      <c r="U371" s="1443"/>
      <c r="V371" s="1443"/>
      <c r="W371" s="1443"/>
      <c r="X371" s="1443"/>
      <c r="Y371" s="1443"/>
      <c r="Z371" s="1443"/>
      <c r="AA371" s="1443"/>
      <c r="AB371" s="1443"/>
      <c r="AC371" s="1443"/>
      <c r="AD371" s="1443"/>
      <c r="AE371" s="1443"/>
      <c r="AF371" s="1443"/>
      <c r="AG371" s="1443"/>
      <c r="AH371" s="1443"/>
      <c r="AI371" s="1443"/>
      <c r="AJ371" s="1965"/>
      <c r="AK371" s="1966"/>
      <c r="AL371" s="6776">
        <f>SUM($AO$20,$AO$146,$AO$272)</f>
        <v>0</v>
      </c>
      <c r="AM371" s="6777"/>
      <c r="AN371" s="6777"/>
      <c r="AO371" s="6777"/>
      <c r="AP371" s="3350"/>
      <c r="AQ371" s="3350"/>
      <c r="AR371" s="3350"/>
      <c r="AS371" s="3350"/>
      <c r="AT371" s="3350"/>
      <c r="AU371" s="3350"/>
      <c r="AV371" s="1443"/>
      <c r="AW371" s="1443"/>
      <c r="AX371" s="3742"/>
      <c r="AY371" s="5016"/>
      <c r="AZ371" s="5016"/>
      <c r="BA371" s="5016"/>
      <c r="BB371" s="5016"/>
      <c r="BC371" s="5016"/>
      <c r="BD371" s="5016"/>
      <c r="BE371" s="5016"/>
      <c r="BF371" s="5016"/>
      <c r="BG371" s="5016"/>
      <c r="BH371" s="5016"/>
    </row>
    <row r="372" spans="1:60" ht="13.5" customHeight="1" thickBot="1">
      <c r="A372" s="5088"/>
      <c r="B372" s="6690"/>
      <c r="C372" s="6690"/>
      <c r="D372" s="1443" t="s">
        <v>1121</v>
      </c>
      <c r="E372" s="1443"/>
      <c r="F372" s="1443"/>
      <c r="G372" s="1443"/>
      <c r="H372" s="1443"/>
      <c r="I372" s="1443"/>
      <c r="J372" s="1443"/>
      <c r="K372" s="1443"/>
      <c r="L372" s="1443"/>
      <c r="M372" s="1443"/>
      <c r="N372" s="1443"/>
      <c r="O372" s="1443"/>
      <c r="P372" s="1443"/>
      <c r="Q372" s="1443"/>
      <c r="R372" s="1443"/>
      <c r="S372" s="1443"/>
      <c r="T372" s="1617"/>
      <c r="U372" s="1443"/>
      <c r="V372" s="1443"/>
      <c r="W372" s="1443"/>
      <c r="X372" s="1443"/>
      <c r="Y372" s="1443"/>
      <c r="Z372" s="1443"/>
      <c r="AA372" s="1443"/>
      <c r="AB372" s="1443"/>
      <c r="AC372" s="1443"/>
      <c r="AD372" s="1443"/>
      <c r="AE372" s="1443"/>
      <c r="AF372" s="1443"/>
      <c r="AG372" s="1443"/>
      <c r="AH372" s="1443"/>
      <c r="AI372" s="1943" t="s">
        <v>3238</v>
      </c>
      <c r="AJ372" s="6691">
        <v>22</v>
      </c>
      <c r="AK372" s="6692"/>
      <c r="AL372" s="6739" t="str">
        <f>IF(AQ372&lt;&gt;"",ROUND(AQ372,0),IF(AB357,"",IF(ISERROR(AL347*AL369),"                    ---",MIN(AL347,AL369))))</f>
        <v/>
      </c>
      <c r="AM372" s="5861"/>
      <c r="AN372" s="5861"/>
      <c r="AO372" s="5861"/>
      <c r="AP372" s="3350"/>
      <c r="AQ372" s="6715"/>
      <c r="AR372" s="6716"/>
      <c r="AS372" s="6716"/>
      <c r="AT372" s="6716"/>
      <c r="AU372" s="3350"/>
      <c r="AV372" s="1443"/>
      <c r="AW372" s="1443"/>
      <c r="AX372" s="3742"/>
      <c r="AY372" s="5016"/>
      <c r="AZ372" s="5016"/>
      <c r="BA372" s="5016"/>
      <c r="BB372" s="5016"/>
      <c r="BC372" s="5016"/>
      <c r="BD372" s="5016"/>
      <c r="BE372" s="5016"/>
      <c r="BF372" s="5016"/>
      <c r="BG372" s="5016"/>
      <c r="BH372" s="5016"/>
    </row>
    <row r="373" spans="1:60" s="3272" customFormat="1" ht="16.5" customHeight="1">
      <c r="A373" s="5090"/>
      <c r="B373" s="6737" t="s">
        <v>546</v>
      </c>
      <c r="C373" s="6737"/>
      <c r="D373" s="6738"/>
      <c r="E373" s="3273"/>
      <c r="F373" s="3411" t="s">
        <v>2831</v>
      </c>
      <c r="G373" s="3273"/>
      <c r="H373" s="3273"/>
      <c r="I373" s="3273"/>
      <c r="J373" s="3273"/>
      <c r="K373" s="3273"/>
      <c r="L373" s="3273"/>
      <c r="M373" s="3273"/>
      <c r="N373" s="3273"/>
      <c r="O373" s="3273"/>
      <c r="P373" s="3273"/>
      <c r="Q373" s="3273"/>
      <c r="R373" s="3273"/>
      <c r="S373" s="3273"/>
      <c r="T373" s="3273"/>
      <c r="U373" s="3273"/>
      <c r="V373" s="3273"/>
      <c r="W373" s="3273"/>
      <c r="X373" s="3273"/>
      <c r="Y373" s="3273"/>
      <c r="Z373" s="3273"/>
      <c r="AA373" s="3273"/>
      <c r="AB373" s="3273"/>
      <c r="AC373" s="3273"/>
      <c r="AD373" s="3273"/>
      <c r="AE373" s="3273"/>
      <c r="AF373" s="3273"/>
      <c r="AG373" s="3273"/>
      <c r="AH373" s="3273"/>
      <c r="AI373" s="3273"/>
      <c r="AJ373" s="3273"/>
      <c r="AK373" s="3273"/>
      <c r="AL373" s="6778" t="b">
        <f>IF(AND(AL371&gt;1,AL372=MAX($AL$120,$AL$246,$AL$372)),TRUE,FALSE)</f>
        <v>0</v>
      </c>
      <c r="AM373" s="6779"/>
      <c r="AN373" s="6779"/>
      <c r="AO373" s="6779"/>
      <c r="AP373" s="3350"/>
      <c r="AQ373" s="3350"/>
      <c r="AR373" s="3350"/>
      <c r="AS373" s="3350"/>
      <c r="AT373" s="3350"/>
      <c r="AU373" s="3350"/>
      <c r="AV373" s="1922"/>
      <c r="AW373" s="1922"/>
      <c r="AX373" s="3742"/>
      <c r="AY373" s="5016"/>
      <c r="AZ373" s="5016"/>
      <c r="BA373" s="5016"/>
      <c r="BB373" s="5016"/>
      <c r="BC373" s="5016"/>
      <c r="BD373" s="5016"/>
      <c r="BE373" s="5016"/>
      <c r="BF373" s="5016"/>
      <c r="BG373" s="5016"/>
      <c r="BH373" s="5016"/>
    </row>
    <row r="374" spans="1:60" ht="14.25" customHeight="1">
      <c r="A374" s="5088"/>
      <c r="B374" s="6690">
        <v>23</v>
      </c>
      <c r="C374" s="6690"/>
      <c r="D374" s="1607" t="s">
        <v>3522</v>
      </c>
      <c r="E374" s="1443"/>
      <c r="F374" s="3269"/>
      <c r="G374" s="1443"/>
      <c r="H374" s="1443"/>
      <c r="I374" s="1443"/>
      <c r="J374" s="1443"/>
      <c r="K374" s="1443"/>
      <c r="L374" s="1443"/>
      <c r="M374" s="1443"/>
      <c r="N374" s="1443"/>
      <c r="O374" s="1443"/>
      <c r="P374" s="1443"/>
      <c r="Q374" s="1443"/>
      <c r="R374" s="1443"/>
      <c r="S374" s="1443"/>
      <c r="T374" s="1443"/>
      <c r="U374" s="1443"/>
      <c r="V374" s="1443"/>
      <c r="W374" s="1443"/>
      <c r="X374" s="3756"/>
      <c r="Y374" s="1943" t="s">
        <v>3529</v>
      </c>
      <c r="Z374" s="6691">
        <v>23</v>
      </c>
      <c r="AA374" s="6692"/>
      <c r="AB374" s="6693" t="str">
        <f>IF(AL373,$AR$19,"")</f>
        <v/>
      </c>
      <c r="AC374" s="6694"/>
      <c r="AD374" s="6694"/>
      <c r="AE374" s="6694"/>
      <c r="AF374" s="6694"/>
      <c r="AG374" s="6694"/>
      <c r="AH374" s="6694"/>
      <c r="AI374" s="6695"/>
      <c r="AJ374" s="6696"/>
      <c r="AK374" s="6697"/>
      <c r="AL374" s="1965"/>
      <c r="AM374" s="1443"/>
      <c r="AN374" s="1443"/>
      <c r="AO374" s="1443"/>
      <c r="AP374" s="3350"/>
      <c r="AQ374" s="1616" t="s">
        <v>38</v>
      </c>
      <c r="AR374" s="6686">
        <f>IF(C273&lt;&gt;"",AL372,0)</f>
        <v>0</v>
      </c>
      <c r="AS374" s="6686"/>
      <c r="AT374" s="6686"/>
      <c r="AU374" s="6686"/>
      <c r="AV374" s="1443"/>
      <c r="AW374" s="1443"/>
      <c r="AX374" s="3742"/>
      <c r="AY374" s="5016"/>
      <c r="AZ374" s="5016"/>
      <c r="BA374" s="5016"/>
      <c r="BB374" s="5016"/>
      <c r="BC374" s="5016"/>
      <c r="BD374" s="5016"/>
      <c r="BE374" s="5016"/>
      <c r="BF374" s="5016"/>
      <c r="BG374" s="5016"/>
      <c r="BH374" s="5016"/>
    </row>
    <row r="375" spans="1:60" ht="14.25" customHeight="1">
      <c r="A375" s="5088"/>
      <c r="B375" s="6690">
        <v>24</v>
      </c>
      <c r="C375" s="6690"/>
      <c r="D375" s="1607" t="s">
        <v>3523</v>
      </c>
      <c r="E375" s="1443"/>
      <c r="F375" s="3269"/>
      <c r="G375" s="1443"/>
      <c r="H375" s="1443"/>
      <c r="I375" s="1443"/>
      <c r="J375" s="1443"/>
      <c r="K375" s="1443"/>
      <c r="L375" s="1443"/>
      <c r="M375" s="1443"/>
      <c r="N375" s="1443"/>
      <c r="O375" s="1443"/>
      <c r="P375" s="1443"/>
      <c r="Q375" s="1443"/>
      <c r="R375" s="1443"/>
      <c r="S375" s="1443"/>
      <c r="T375" s="1443"/>
      <c r="U375" s="1443"/>
      <c r="V375" s="1443"/>
      <c r="W375" s="1443"/>
      <c r="X375" s="3756"/>
      <c r="Y375" s="1943" t="s">
        <v>3200</v>
      </c>
      <c r="Z375" s="6691">
        <v>24</v>
      </c>
      <c r="AA375" s="6692"/>
      <c r="AB375" s="6693" t="str">
        <f>IF(AL373,$AR$22,"")</f>
        <v/>
      </c>
      <c r="AC375" s="6694"/>
      <c r="AD375" s="6694"/>
      <c r="AE375" s="6694"/>
      <c r="AF375" s="6694"/>
      <c r="AG375" s="6694"/>
      <c r="AH375" s="6694"/>
      <c r="AI375" s="6695"/>
      <c r="AJ375" s="6696"/>
      <c r="AK375" s="6697"/>
      <c r="AL375" s="1965"/>
      <c r="AM375" s="1443"/>
      <c r="AN375" s="1443"/>
      <c r="AO375" s="1443"/>
      <c r="AP375" s="3350"/>
      <c r="AQ375" s="1616" t="s">
        <v>54</v>
      </c>
      <c r="AR375" s="6686">
        <f>IF(C275&lt;&gt;"",AL372,0)</f>
        <v>0</v>
      </c>
      <c r="AS375" s="6686"/>
      <c r="AT375" s="6686"/>
      <c r="AU375" s="6686"/>
      <c r="AV375" s="1443"/>
      <c r="AW375" s="1443"/>
      <c r="AX375" s="3742"/>
      <c r="AY375" s="5016"/>
      <c r="AZ375" s="5016"/>
      <c r="BA375" s="5016"/>
      <c r="BB375" s="5016"/>
      <c r="BC375" s="5016"/>
      <c r="BD375" s="5016"/>
      <c r="BE375" s="5016"/>
      <c r="BF375" s="5016"/>
      <c r="BG375" s="5016"/>
      <c r="BH375" s="5016"/>
    </row>
    <row r="376" spans="1:60" ht="14.25" customHeight="1">
      <c r="A376" s="5088"/>
      <c r="B376" s="6690">
        <v>25</v>
      </c>
      <c r="C376" s="6690"/>
      <c r="D376" s="1607" t="s">
        <v>2813</v>
      </c>
      <c r="E376" s="1443"/>
      <c r="F376" s="3269"/>
      <c r="G376" s="1443"/>
      <c r="H376" s="1443"/>
      <c r="I376" s="1443"/>
      <c r="J376" s="1443"/>
      <c r="K376" s="1443"/>
      <c r="L376" s="1443"/>
      <c r="M376" s="1443"/>
      <c r="N376" s="1443"/>
      <c r="O376" s="1443"/>
      <c r="P376" s="1443"/>
      <c r="Q376" s="1443"/>
      <c r="R376" s="1443"/>
      <c r="S376" s="1443"/>
      <c r="T376" s="1443"/>
      <c r="U376" s="1443"/>
      <c r="V376" s="1443"/>
      <c r="W376" s="1443"/>
      <c r="X376" s="3756"/>
      <c r="Y376" s="1943" t="s">
        <v>2426</v>
      </c>
      <c r="Z376" s="6691">
        <v>25</v>
      </c>
      <c r="AA376" s="6692"/>
      <c r="AB376" s="6693" t="str">
        <f>IF(AL373,$AR$24,"")</f>
        <v/>
      </c>
      <c r="AC376" s="6694"/>
      <c r="AD376" s="6694"/>
      <c r="AE376" s="6694"/>
      <c r="AF376" s="6694"/>
      <c r="AG376" s="6694"/>
      <c r="AH376" s="6694"/>
      <c r="AI376" s="6695"/>
      <c r="AJ376" s="6696"/>
      <c r="AK376" s="6697"/>
      <c r="AL376" s="1965"/>
      <c r="AM376" s="1443"/>
      <c r="AN376" s="1443"/>
      <c r="AO376" s="1443"/>
      <c r="AP376" s="3350"/>
      <c r="AQ376" s="1616" t="s">
        <v>55</v>
      </c>
      <c r="AR376" s="6686">
        <f>IF(K273&lt;&gt;"",AL372,0)</f>
        <v>0</v>
      </c>
      <c r="AS376" s="6686"/>
      <c r="AT376" s="6686"/>
      <c r="AU376" s="6686"/>
      <c r="AV376" s="1443"/>
      <c r="AW376" s="1443"/>
      <c r="AX376" s="3742"/>
      <c r="AY376" s="5016"/>
      <c r="AZ376" s="5016"/>
      <c r="BA376" s="5016"/>
      <c r="BB376" s="5016"/>
      <c r="BC376" s="5016"/>
      <c r="BD376" s="5016"/>
      <c r="BE376" s="5016"/>
      <c r="BF376" s="5016"/>
      <c r="BG376" s="5016"/>
      <c r="BH376" s="5016"/>
    </row>
    <row r="377" spans="1:60" ht="14.25" customHeight="1">
      <c r="A377" s="5088"/>
      <c r="B377" s="6690">
        <v>26</v>
      </c>
      <c r="C377" s="6690"/>
      <c r="D377" s="1607" t="s">
        <v>2814</v>
      </c>
      <c r="E377" s="1443"/>
      <c r="F377" s="3269"/>
      <c r="G377" s="1443"/>
      <c r="H377" s="1443"/>
      <c r="I377" s="1443"/>
      <c r="J377" s="1443"/>
      <c r="K377" s="1443"/>
      <c r="L377" s="1443"/>
      <c r="M377" s="1443"/>
      <c r="N377" s="1443"/>
      <c r="O377" s="1443"/>
      <c r="P377" s="1443"/>
      <c r="Q377" s="1443"/>
      <c r="R377" s="1443"/>
      <c r="S377" s="1443"/>
      <c r="T377" s="1443"/>
      <c r="U377" s="1443"/>
      <c r="V377" s="1443"/>
      <c r="W377" s="1443"/>
      <c r="X377" s="3756"/>
      <c r="Y377" s="1943" t="s">
        <v>2426</v>
      </c>
      <c r="Z377" s="6691">
        <v>26</v>
      </c>
      <c r="AA377" s="6692"/>
      <c r="AB377" s="6693" t="str">
        <f>IF(AL373,$AR$26,"")</f>
        <v/>
      </c>
      <c r="AC377" s="6694"/>
      <c r="AD377" s="6694"/>
      <c r="AE377" s="6694"/>
      <c r="AF377" s="6694"/>
      <c r="AG377" s="6694"/>
      <c r="AH377" s="6694"/>
      <c r="AI377" s="6695"/>
      <c r="AJ377" s="6696"/>
      <c r="AK377" s="6697"/>
      <c r="AL377" s="1965"/>
      <c r="AM377" s="1443"/>
      <c r="AN377" s="1443"/>
      <c r="AO377" s="1443"/>
      <c r="AP377" s="3350"/>
      <c r="AQ377" s="1616" t="s">
        <v>102</v>
      </c>
      <c r="AR377" s="6686">
        <f>IF(K275&lt;&gt;"",AL372,0)</f>
        <v>0</v>
      </c>
      <c r="AS377" s="6686"/>
      <c r="AT377" s="6686"/>
      <c r="AU377" s="6686"/>
      <c r="AV377" s="1443"/>
      <c r="AW377" s="1443"/>
      <c r="AX377" s="3742"/>
      <c r="AY377" s="5016"/>
      <c r="AZ377" s="5016"/>
      <c r="BA377" s="5016"/>
      <c r="BB377" s="5016"/>
      <c r="BC377" s="5016"/>
      <c r="BD377" s="5016"/>
      <c r="BE377" s="5016"/>
      <c r="BF377" s="5016"/>
      <c r="BG377" s="5016"/>
      <c r="BH377" s="5016"/>
    </row>
    <row r="378" spans="1:60" ht="14.25" customHeight="1">
      <c r="A378" s="5088"/>
      <c r="B378" s="6690">
        <v>27</v>
      </c>
      <c r="C378" s="6690"/>
      <c r="D378" s="1607" t="s">
        <v>3524</v>
      </c>
      <c r="E378" s="1443"/>
      <c r="F378" s="3269"/>
      <c r="G378" s="1443"/>
      <c r="H378" s="1443"/>
      <c r="I378" s="1443"/>
      <c r="J378" s="1443"/>
      <c r="K378" s="1443"/>
      <c r="L378" s="1443"/>
      <c r="M378" s="1443"/>
      <c r="N378" s="1443"/>
      <c r="O378" s="1443"/>
      <c r="P378" s="1443"/>
      <c r="Q378" s="1443"/>
      <c r="R378" s="1443"/>
      <c r="S378" s="1443"/>
      <c r="T378" s="1443"/>
      <c r="U378" s="1443"/>
      <c r="V378" s="1443"/>
      <c r="W378" s="1443"/>
      <c r="X378" s="3756"/>
      <c r="Y378" s="1943" t="s">
        <v>3529</v>
      </c>
      <c r="Z378" s="6691">
        <v>27</v>
      </c>
      <c r="AA378" s="6692"/>
      <c r="AB378" s="6693" t="str">
        <f>IF(AL373,$AR$28,"")</f>
        <v/>
      </c>
      <c r="AC378" s="6694"/>
      <c r="AD378" s="6694"/>
      <c r="AE378" s="6694"/>
      <c r="AF378" s="6694"/>
      <c r="AG378" s="6694"/>
      <c r="AH378" s="6694"/>
      <c r="AI378" s="6695"/>
      <c r="AJ378" s="6696"/>
      <c r="AK378" s="6697"/>
      <c r="AL378" s="1965"/>
      <c r="AM378" s="1443"/>
      <c r="AN378" s="1443"/>
      <c r="AO378" s="1443"/>
      <c r="AP378" s="3350"/>
      <c r="AQ378" s="1616" t="s">
        <v>1201</v>
      </c>
      <c r="AR378" s="6686">
        <f>IF(W273&lt;&gt;"",AL372,0)</f>
        <v>0</v>
      </c>
      <c r="AS378" s="6686"/>
      <c r="AT378" s="6686"/>
      <c r="AU378" s="6686"/>
      <c r="AV378" s="1443"/>
      <c r="AW378" s="1443"/>
      <c r="AX378" s="3742"/>
      <c r="AY378" s="5016"/>
      <c r="AZ378" s="5016"/>
      <c r="BA378" s="5016"/>
      <c r="BB378" s="5016"/>
      <c r="BC378" s="5016"/>
      <c r="BD378" s="5016"/>
      <c r="BE378" s="5016"/>
      <c r="BF378" s="5016"/>
      <c r="BG378" s="5016"/>
      <c r="BH378" s="5016"/>
    </row>
    <row r="379" spans="1:60" ht="14.25" customHeight="1">
      <c r="A379" s="5088"/>
      <c r="B379" s="6690">
        <v>28</v>
      </c>
      <c r="C379" s="6690"/>
      <c r="D379" s="1607" t="s">
        <v>2815</v>
      </c>
      <c r="E379" s="1443"/>
      <c r="F379" s="3269"/>
      <c r="G379" s="1443"/>
      <c r="H379" s="1443"/>
      <c r="I379" s="1443"/>
      <c r="J379" s="1443"/>
      <c r="K379" s="1443"/>
      <c r="L379" s="1443"/>
      <c r="M379" s="1443"/>
      <c r="N379" s="1443"/>
      <c r="O379" s="1443"/>
      <c r="P379" s="1443"/>
      <c r="Q379" s="1443"/>
      <c r="R379" s="1443"/>
      <c r="S379" s="1443"/>
      <c r="T379" s="1443"/>
      <c r="U379" s="1443"/>
      <c r="V379" s="1443"/>
      <c r="W379" s="1443"/>
      <c r="X379" s="3756"/>
      <c r="Y379" s="1943" t="s">
        <v>2482</v>
      </c>
      <c r="Z379" s="6691">
        <v>28</v>
      </c>
      <c r="AA379" s="6692"/>
      <c r="AB379" s="6693" t="str">
        <f>IF(AL373,$AR$29,"")</f>
        <v/>
      </c>
      <c r="AC379" s="6694"/>
      <c r="AD379" s="6694"/>
      <c r="AE379" s="6694"/>
      <c r="AF379" s="6694"/>
      <c r="AG379" s="6694"/>
      <c r="AH379" s="6694"/>
      <c r="AI379" s="6695"/>
      <c r="AJ379" s="6696"/>
      <c r="AK379" s="6697"/>
      <c r="AL379" s="1965"/>
      <c r="AM379" s="1443"/>
      <c r="AN379" s="1443"/>
      <c r="AO379" s="1443"/>
      <c r="AP379" s="3350"/>
      <c r="AQ379" s="1616" t="s">
        <v>1202</v>
      </c>
      <c r="AR379" s="6686">
        <f>IF(W275&lt;&gt;"",AL372,0)</f>
        <v>0</v>
      </c>
      <c r="AS379" s="6686"/>
      <c r="AT379" s="6686"/>
      <c r="AU379" s="6686"/>
      <c r="AV379" s="1443"/>
      <c r="AW379" s="1443"/>
      <c r="AX379" s="3742"/>
      <c r="AY379" s="5016"/>
      <c r="AZ379" s="5016"/>
      <c r="BA379" s="5016"/>
      <c r="BB379" s="5016"/>
      <c r="BC379" s="5016"/>
      <c r="BD379" s="5016"/>
      <c r="BE379" s="5016"/>
      <c r="BF379" s="5016"/>
      <c r="BG379" s="5016"/>
      <c r="BH379" s="5016"/>
    </row>
    <row r="380" spans="1:60" ht="14.25" customHeight="1" thickBot="1">
      <c r="A380" s="5088"/>
      <c r="B380" s="6690">
        <v>29</v>
      </c>
      <c r="C380" s="6690"/>
      <c r="D380" s="1607" t="s">
        <v>2816</v>
      </c>
      <c r="E380" s="1443"/>
      <c r="F380" s="3269"/>
      <c r="G380" s="1443"/>
      <c r="H380" s="1443"/>
      <c r="I380" s="1443"/>
      <c r="J380" s="1443"/>
      <c r="K380" s="1443"/>
      <c r="L380" s="1443"/>
      <c r="M380" s="1443"/>
      <c r="N380" s="1443"/>
      <c r="O380" s="1443"/>
      <c r="P380" s="1443"/>
      <c r="Q380" s="1443"/>
      <c r="R380" s="1443"/>
      <c r="S380" s="1443"/>
      <c r="T380" s="1443"/>
      <c r="U380" s="1443"/>
      <c r="V380" s="1443"/>
      <c r="W380" s="1443"/>
      <c r="X380" s="3756"/>
      <c r="Y380" s="1943" t="s">
        <v>3200</v>
      </c>
      <c r="Z380" s="6708">
        <v>29</v>
      </c>
      <c r="AA380" s="6709"/>
      <c r="AB380" s="6710" t="str">
        <f>IF(AL373,$AR$30,"")</f>
        <v/>
      </c>
      <c r="AC380" s="6711"/>
      <c r="AD380" s="6711"/>
      <c r="AE380" s="6711"/>
      <c r="AF380" s="6711"/>
      <c r="AG380" s="6711"/>
      <c r="AH380" s="6711"/>
      <c r="AI380" s="6712"/>
      <c r="AJ380" s="6696"/>
      <c r="AK380" s="6697"/>
      <c r="AL380" s="1965"/>
      <c r="AM380" s="1443"/>
      <c r="AN380" s="1443"/>
      <c r="AO380" s="1443"/>
      <c r="AP380" s="3350"/>
      <c r="AQ380" s="1616" t="s">
        <v>2693</v>
      </c>
      <c r="AR380" s="6686">
        <f>IF(AI273&lt;&gt;"",AL372,0)</f>
        <v>0</v>
      </c>
      <c r="AS380" s="6686"/>
      <c r="AT380" s="6686"/>
      <c r="AU380" s="6686"/>
      <c r="AV380" s="1443"/>
      <c r="AW380" s="1443"/>
      <c r="AX380" s="3742"/>
      <c r="AY380" s="5016"/>
      <c r="AZ380" s="5016"/>
      <c r="BA380" s="5016"/>
      <c r="BB380" s="5016"/>
      <c r="BC380" s="5016"/>
      <c r="BD380" s="5016"/>
      <c r="BE380" s="5016"/>
      <c r="BF380" s="5016"/>
      <c r="BG380" s="5016"/>
      <c r="BH380" s="5016"/>
    </row>
    <row r="381" spans="1:60" ht="14.25" customHeight="1">
      <c r="A381" s="5088"/>
      <c r="B381" s="6690">
        <v>30</v>
      </c>
      <c r="C381" s="6690"/>
      <c r="D381" s="1607" t="s">
        <v>3525</v>
      </c>
      <c r="E381" s="1443"/>
      <c r="F381" s="3269"/>
      <c r="G381" s="1443"/>
      <c r="H381" s="1443"/>
      <c r="I381" s="1443"/>
      <c r="J381" s="1443"/>
      <c r="K381" s="1443"/>
      <c r="L381" s="1443"/>
      <c r="M381" s="1443"/>
      <c r="N381" s="1443"/>
      <c r="O381" s="1443"/>
      <c r="P381" s="1443"/>
      <c r="Q381" s="1443"/>
      <c r="R381" s="1443"/>
      <c r="S381" s="1443"/>
      <c r="T381" s="1443"/>
      <c r="U381" s="1443"/>
      <c r="V381" s="1443"/>
      <c r="W381" s="1443"/>
      <c r="X381" s="1443"/>
      <c r="Y381" s="1443"/>
      <c r="Z381" s="3402"/>
      <c r="AA381" s="3402"/>
      <c r="AB381" s="1957"/>
      <c r="AC381" s="1957"/>
      <c r="AD381" s="1957"/>
      <c r="AE381" s="1957"/>
      <c r="AF381" s="1957"/>
      <c r="AG381" s="1957"/>
      <c r="AH381" s="1957"/>
      <c r="AI381" s="1943" t="s">
        <v>4315</v>
      </c>
      <c r="AJ381" s="6691">
        <v>30</v>
      </c>
      <c r="AK381" s="6692"/>
      <c r="AL381" s="6739" t="str">
        <f>IF(NOT(AL373),"",SUM(AB374:AI380))</f>
        <v/>
      </c>
      <c r="AM381" s="5861"/>
      <c r="AN381" s="5861"/>
      <c r="AO381" s="5861"/>
      <c r="AP381" s="3350"/>
      <c r="AQ381" s="3853"/>
      <c r="AR381" s="6766"/>
      <c r="AS381" s="6766"/>
      <c r="AT381" s="6766"/>
      <c r="AU381" s="6766"/>
      <c r="AV381" s="1443"/>
      <c r="AW381" s="1443"/>
      <c r="AX381" s="3742"/>
      <c r="AY381" s="5025" t="s">
        <v>4730</v>
      </c>
      <c r="AZ381" s="5016"/>
      <c r="BA381" s="5016"/>
      <c r="BB381" s="5027" t="str">
        <f>IF(ISERROR(SUM(AL369,-ForeignTaxCredit_3))," ---",MAX(SUM(AL369,-ForeignTaxCredit_3),0))</f>
        <v xml:space="preserve"> ---</v>
      </c>
      <c r="BC381" s="5029" t="s">
        <v>4731</v>
      </c>
      <c r="BD381" s="5016"/>
      <c r="BE381" s="5016"/>
      <c r="BF381" s="5016"/>
      <c r="BG381" s="5016"/>
      <c r="BH381" s="5016"/>
    </row>
    <row r="382" spans="1:60" ht="14.25" customHeight="1">
      <c r="A382" s="5088"/>
      <c r="B382" s="6690">
        <v>31</v>
      </c>
      <c r="C382" s="6690"/>
      <c r="D382" s="1607" t="s">
        <v>3526</v>
      </c>
      <c r="E382" s="1443"/>
      <c r="F382" s="3269"/>
      <c r="G382" s="1443"/>
      <c r="H382" s="1443"/>
      <c r="I382" s="1443"/>
      <c r="J382" s="1443"/>
      <c r="K382" s="1443"/>
      <c r="L382" s="1443"/>
      <c r="M382" s="1443"/>
      <c r="N382" s="1443"/>
      <c r="O382" s="1443"/>
      <c r="P382" s="1443"/>
      <c r="Q382" s="1443"/>
      <c r="R382" s="1443"/>
      <c r="S382" s="1443"/>
      <c r="T382" s="1443"/>
      <c r="U382" s="1443"/>
      <c r="V382" s="1443"/>
      <c r="W382" s="1443"/>
      <c r="X382" s="1443"/>
      <c r="Y382" s="1443"/>
      <c r="Z382" s="2254"/>
      <c r="AA382" s="2254"/>
      <c r="AB382" s="1443"/>
      <c r="AC382" s="1443"/>
      <c r="AD382" s="1443"/>
      <c r="AE382" s="1443"/>
      <c r="AF382" s="1443"/>
      <c r="AG382" s="1443"/>
      <c r="AH382" s="1443"/>
      <c r="AI382" s="1943" t="s">
        <v>3194</v>
      </c>
      <c r="AJ382" s="6691">
        <v>31</v>
      </c>
      <c r="AK382" s="6692"/>
      <c r="AL382" s="6739" t="str">
        <f>IF(NOT(AL373),"",IF(ISERROR(MIN(AL366,AL381)),"",MIN(AL366,AL381)))</f>
        <v/>
      </c>
      <c r="AM382" s="5861"/>
      <c r="AN382" s="5861"/>
      <c r="AO382" s="5861"/>
      <c r="AP382" s="3350"/>
      <c r="AQ382" s="1616"/>
      <c r="AR382" s="1616"/>
      <c r="AS382" s="1616"/>
      <c r="AT382" s="1616"/>
      <c r="AU382" s="1616"/>
      <c r="AV382" s="1443"/>
      <c r="AW382" s="1443"/>
      <c r="AX382" s="3742"/>
      <c r="AY382" s="5025" t="s">
        <v>4732</v>
      </c>
      <c r="AZ382" s="5016"/>
      <c r="BA382" s="5016"/>
      <c r="BB382" s="5028" t="str">
        <f>IF(ISERROR(SUM(AL347,-ForeignTaxCredit_3))," ---",MAX(SUM(AL347,-ForeignTaxCredit_3),0))</f>
        <v xml:space="preserve"> ---</v>
      </c>
      <c r="BC382" s="5029" t="s">
        <v>4733</v>
      </c>
      <c r="BD382" s="5016"/>
      <c r="BE382" s="5016"/>
      <c r="BF382" s="5016"/>
      <c r="BG382" s="5016"/>
      <c r="BH382" s="5016"/>
    </row>
    <row r="383" spans="1:60" ht="14.25" customHeight="1" thickBot="1">
      <c r="A383" s="5088"/>
      <c r="B383" s="6690">
        <v>32</v>
      </c>
      <c r="C383" s="6690"/>
      <c r="D383" s="1607" t="s">
        <v>2818</v>
      </c>
      <c r="E383" s="1443"/>
      <c r="F383" s="3269"/>
      <c r="G383" s="1443"/>
      <c r="H383" s="1443"/>
      <c r="I383" s="1443"/>
      <c r="J383" s="1443"/>
      <c r="K383" s="1443"/>
      <c r="L383" s="1443"/>
      <c r="M383" s="1443"/>
      <c r="N383" s="1443"/>
      <c r="O383" s="1443"/>
      <c r="P383" s="1443"/>
      <c r="Q383" s="1443"/>
      <c r="R383" s="1443"/>
      <c r="S383" s="1443"/>
      <c r="T383" s="1443"/>
      <c r="U383" s="1443"/>
      <c r="V383" s="1443"/>
      <c r="W383" s="1443"/>
      <c r="X383" s="1443"/>
      <c r="Y383" s="1443"/>
      <c r="Z383" s="2254"/>
      <c r="AA383" s="2254"/>
      <c r="AB383" s="1443"/>
      <c r="AC383" s="1443"/>
      <c r="AD383" s="1443"/>
      <c r="AE383" s="1443"/>
      <c r="AF383" s="1443"/>
      <c r="AG383" s="1443"/>
      <c r="AH383" s="1443"/>
      <c r="AI383" s="1943" t="s">
        <v>2482</v>
      </c>
      <c r="AJ383" s="6708">
        <v>32</v>
      </c>
      <c r="AK383" s="6709"/>
      <c r="AL383" s="6773"/>
      <c r="AM383" s="6774"/>
      <c r="AN383" s="6774"/>
      <c r="AO383" s="6774"/>
      <c r="AP383" s="3350"/>
      <c r="AQ383" s="1443"/>
      <c r="AR383" s="1443"/>
      <c r="AS383" s="1443"/>
      <c r="AT383" s="1443"/>
      <c r="AU383" s="1443"/>
      <c r="AV383" s="1443"/>
      <c r="AW383" s="1443"/>
      <c r="AX383" s="3742"/>
      <c r="AY383" s="5025"/>
      <c r="AZ383" s="5016"/>
      <c r="BA383" s="5016"/>
      <c r="BB383" s="5016"/>
      <c r="BC383" s="5016"/>
      <c r="BD383" s="5016"/>
      <c r="BE383" s="5016"/>
      <c r="BF383" s="5016"/>
      <c r="BG383" s="5016"/>
      <c r="BH383" s="5016"/>
    </row>
    <row r="384" spans="1:60" ht="14.25" customHeight="1">
      <c r="A384" s="5088"/>
      <c r="B384" s="6690">
        <v>33</v>
      </c>
      <c r="C384" s="6690"/>
      <c r="D384" s="1607" t="s">
        <v>3527</v>
      </c>
      <c r="E384" s="1443"/>
      <c r="F384" s="1443"/>
      <c r="G384" s="1443"/>
      <c r="H384" s="1443"/>
      <c r="I384" s="1443"/>
      <c r="J384" s="1443"/>
      <c r="K384" s="1443"/>
      <c r="L384" s="1443"/>
      <c r="M384" s="1443"/>
      <c r="N384" s="1443"/>
      <c r="O384" s="1443"/>
      <c r="P384" s="1443"/>
      <c r="Q384" s="1443"/>
      <c r="R384" s="1443"/>
      <c r="S384" s="1443"/>
      <c r="T384" s="1617"/>
      <c r="U384" s="1443"/>
      <c r="V384" s="1443"/>
      <c r="W384" s="1443"/>
      <c r="X384" s="1443"/>
      <c r="Y384" s="1443"/>
      <c r="Z384" s="1443"/>
      <c r="AA384" s="1443"/>
      <c r="AB384" s="1443"/>
      <c r="AC384" s="1443"/>
      <c r="AD384" s="1443"/>
      <c r="AE384" s="1443"/>
      <c r="AF384" s="1443"/>
      <c r="AG384" s="1443"/>
      <c r="AH384" s="1443"/>
      <c r="AI384" s="1443"/>
      <c r="AJ384" s="6742"/>
      <c r="AK384" s="6743"/>
      <c r="AL384" s="1965"/>
      <c r="AM384" s="1443"/>
      <c r="AN384" s="1443"/>
      <c r="AO384" s="1443"/>
      <c r="AP384" s="3350"/>
      <c r="AQ384" s="3350"/>
      <c r="AR384" s="3350"/>
      <c r="AS384" s="3350"/>
      <c r="AT384" s="3350"/>
      <c r="AU384" s="3350"/>
      <c r="AV384" s="1443"/>
      <c r="AW384" s="1443"/>
      <c r="AX384" s="3742"/>
      <c r="AY384" s="5025" t="s">
        <v>4734</v>
      </c>
      <c r="AZ384" s="5016"/>
      <c r="BA384" s="5016"/>
      <c r="BB384" s="5016"/>
      <c r="BC384" s="5016"/>
      <c r="BD384" s="5016"/>
      <c r="BE384" s="5016"/>
      <c r="BF384" s="5016"/>
      <c r="BG384" s="5016"/>
      <c r="BH384" s="5016"/>
    </row>
    <row r="385" spans="1:60" ht="14.25" customHeight="1" thickBot="1">
      <c r="A385" s="5088"/>
      <c r="B385" s="3409"/>
      <c r="C385" s="3409"/>
      <c r="D385" s="2123" t="s">
        <v>3528</v>
      </c>
      <c r="E385" s="1612"/>
      <c r="F385" s="1612"/>
      <c r="G385" s="1612"/>
      <c r="H385" s="1612"/>
      <c r="I385" s="1612"/>
      <c r="J385" s="1612"/>
      <c r="K385" s="1612"/>
      <c r="L385" s="1612"/>
      <c r="M385" s="1612"/>
      <c r="N385" s="1612"/>
      <c r="O385" s="1612"/>
      <c r="P385" s="1612"/>
      <c r="Q385" s="1612"/>
      <c r="R385" s="1612"/>
      <c r="S385" s="1612"/>
      <c r="T385" s="3410"/>
      <c r="U385" s="1612"/>
      <c r="V385" s="1612"/>
      <c r="W385" s="1612"/>
      <c r="X385" s="1612"/>
      <c r="Y385" s="1612"/>
      <c r="Z385" s="1612"/>
      <c r="AA385" s="1612"/>
      <c r="AB385" s="1612"/>
      <c r="AC385" s="1612"/>
      <c r="AD385" s="1612"/>
      <c r="AE385" s="1612"/>
      <c r="AF385" s="1612"/>
      <c r="AG385" s="1612"/>
      <c r="AH385" s="1612"/>
      <c r="AI385" s="4210" t="s">
        <v>3417</v>
      </c>
      <c r="AJ385" s="6757">
        <v>33</v>
      </c>
      <c r="AK385" s="6758"/>
      <c r="AL385" s="6759" t="str">
        <f>IF(AQ385&lt;&gt;"",ROUND(AQ385,0),IF(AND(AL371=1,AO273=1),AL372,IF(NOT(AL373),"",IF(ISERROR(SUM(AL382,-AL383)),"",SUM(AL382,-AL383)))))</f>
        <v/>
      </c>
      <c r="AM385" s="6760"/>
      <c r="AN385" s="6760"/>
      <c r="AO385" s="6760"/>
      <c r="AP385" s="3350"/>
      <c r="AQ385" s="6715"/>
      <c r="AR385" s="6716"/>
      <c r="AS385" s="6716"/>
      <c r="AT385" s="6716"/>
      <c r="AU385" s="3350"/>
      <c r="AV385" s="1443"/>
      <c r="AW385" s="1443"/>
      <c r="AX385" s="3742"/>
      <c r="AY385" s="5025" t="s">
        <v>4735</v>
      </c>
      <c r="AZ385" s="5016"/>
      <c r="BA385" s="5016"/>
      <c r="BB385" s="5016"/>
      <c r="BC385" s="5016"/>
      <c r="BD385" s="5016"/>
      <c r="BE385" s="5016"/>
      <c r="BF385" s="5016"/>
      <c r="BG385" s="5016"/>
      <c r="BH385" s="5016"/>
    </row>
    <row r="386" spans="1:60" ht="18" customHeight="1">
      <c r="A386" s="5088"/>
      <c r="B386" s="3287"/>
      <c r="C386" s="3285"/>
      <c r="D386" s="1443"/>
      <c r="E386" s="1443"/>
      <c r="F386" s="1443"/>
      <c r="G386" s="1443"/>
      <c r="H386" s="1443"/>
      <c r="I386" s="1443"/>
      <c r="J386" s="1443"/>
      <c r="K386" s="1443"/>
      <c r="L386" s="1443"/>
      <c r="M386" s="1443"/>
      <c r="N386" s="1443"/>
      <c r="O386" s="1443"/>
      <c r="P386" s="1443"/>
      <c r="Q386" s="1443"/>
      <c r="R386" s="1443"/>
      <c r="S386" s="1443"/>
      <c r="T386" s="1443"/>
      <c r="U386" s="1443"/>
      <c r="V386" s="1443"/>
      <c r="W386" s="1443"/>
      <c r="X386" s="1443"/>
      <c r="Y386" s="1443"/>
      <c r="Z386" s="1443"/>
      <c r="AA386" s="1443"/>
      <c r="AB386" s="1443"/>
      <c r="AC386" s="1443"/>
      <c r="AD386" s="1443"/>
      <c r="AE386" s="1443"/>
      <c r="AF386" s="1443"/>
      <c r="AG386" s="1443"/>
      <c r="AH386" s="1443"/>
      <c r="AI386" s="1443"/>
      <c r="AJ386" s="1443"/>
      <c r="AK386" s="2541"/>
      <c r="AL386" s="1443"/>
      <c r="AM386" s="1443"/>
      <c r="AN386" s="2541" t="s">
        <v>2819</v>
      </c>
      <c r="AO386" s="2379" t="str">
        <f>"("&amp;TaxYear&amp;")"</f>
        <v>(2018)</v>
      </c>
      <c r="AP386" s="3350"/>
      <c r="AQ386" s="3350"/>
      <c r="AR386" s="3350"/>
      <c r="AS386" s="3350"/>
      <c r="AT386" s="3350"/>
      <c r="AU386" s="3350"/>
      <c r="AV386" s="1443"/>
      <c r="AW386" s="1443"/>
      <c r="AX386" s="3742"/>
      <c r="AY386" s="5026" t="s">
        <v>4736</v>
      </c>
      <c r="AZ386" s="5016"/>
      <c r="BA386" s="5016"/>
      <c r="BB386" s="5016"/>
      <c r="BC386" s="5016"/>
      <c r="BD386" s="5016"/>
      <c r="BE386" s="5016"/>
      <c r="BF386" s="5016"/>
      <c r="BG386" s="5016"/>
      <c r="BH386" s="5016"/>
    </row>
    <row r="387" spans="1:60">
      <c r="A387" s="5088"/>
      <c r="B387" s="3350"/>
      <c r="C387" s="3350"/>
      <c r="D387" s="3350"/>
      <c r="E387" s="3350"/>
      <c r="F387" s="3350"/>
      <c r="G387" s="3350"/>
      <c r="H387" s="3350"/>
      <c r="I387" s="3350"/>
      <c r="J387" s="3350"/>
      <c r="K387" s="3350"/>
      <c r="L387" s="3350"/>
      <c r="M387" s="3350"/>
      <c r="N387" s="3350"/>
      <c r="O387" s="3350"/>
      <c r="P387" s="3350"/>
      <c r="Q387" s="3350"/>
      <c r="R387" s="3350"/>
      <c r="S387" s="3350"/>
      <c r="T387" s="3350"/>
      <c r="U387" s="3350"/>
      <c r="V387" s="3350"/>
      <c r="W387" s="3350"/>
      <c r="X387" s="3350"/>
      <c r="Y387" s="3350"/>
      <c r="Z387" s="3350"/>
      <c r="AA387" s="3350"/>
      <c r="AB387" s="3350"/>
      <c r="AC387" s="3350"/>
      <c r="AD387" s="3350"/>
      <c r="AE387" s="3350"/>
      <c r="AF387" s="3350"/>
      <c r="AG387" s="3350"/>
      <c r="AH387" s="3350"/>
      <c r="AI387" s="3350"/>
      <c r="AJ387" s="3350"/>
      <c r="AK387" s="3350"/>
      <c r="AL387" s="3350"/>
      <c r="AM387" s="3350"/>
      <c r="AN387" s="3350"/>
      <c r="AO387" s="3350"/>
      <c r="AP387" s="3350"/>
      <c r="AQ387" s="1443"/>
      <c r="AR387" s="1443"/>
      <c r="AS387" s="1443"/>
      <c r="AT387" s="1443"/>
      <c r="AU387" s="1443"/>
      <c r="AV387" s="1443"/>
      <c r="AW387" s="1443"/>
      <c r="AX387" s="3742"/>
      <c r="AY387" s="5025"/>
      <c r="AZ387" s="5016"/>
      <c r="BA387" s="5016"/>
      <c r="BB387" s="5016"/>
      <c r="BC387" s="5016"/>
      <c r="BD387" s="5016"/>
      <c r="BE387" s="5016"/>
      <c r="BF387" s="5016"/>
      <c r="BG387" s="5016"/>
      <c r="BH387" s="5016"/>
    </row>
  </sheetData>
  <sheetProtection password="F07E" sheet="1" objects="1" scenarios="1"/>
  <mergeCells count="1045">
    <mergeCell ref="AQ69:AW69"/>
    <mergeCell ref="AQ67:AQ68"/>
    <mergeCell ref="AQ13:AW13"/>
    <mergeCell ref="AQ11:AW12"/>
    <mergeCell ref="AQ14:AW14"/>
    <mergeCell ref="AQ15:AW15"/>
    <mergeCell ref="AL133:AO133"/>
    <mergeCell ref="AQ133:AT133"/>
    <mergeCell ref="AQ61:AT61"/>
    <mergeCell ref="AQ62:AT62"/>
    <mergeCell ref="AL95:AO95"/>
    <mergeCell ref="AQ107:AT107"/>
    <mergeCell ref="AL110:AO110"/>
    <mergeCell ref="AL114:AO114"/>
    <mergeCell ref="AL117:AO117"/>
    <mergeCell ref="AL120:AO120"/>
    <mergeCell ref="AQ114:AT114"/>
    <mergeCell ref="AK78:AL78"/>
    <mergeCell ref="AI69:AL74"/>
    <mergeCell ref="AI77:AL77"/>
    <mergeCell ref="AM77:AO77"/>
    <mergeCell ref="AM69:AO74"/>
    <mergeCell ref="AM76:AO76"/>
    <mergeCell ref="AJ95:AK95"/>
    <mergeCell ref="AJ133:AK133"/>
    <mergeCell ref="AL104:AO104"/>
    <mergeCell ref="AL105:AO105"/>
    <mergeCell ref="X67:AO68"/>
    <mergeCell ref="AI76:AL76"/>
    <mergeCell ref="AA71:AD74"/>
    <mergeCell ref="AE71:AH74"/>
    <mergeCell ref="X69:AH70"/>
    <mergeCell ref="AR126:AU126"/>
    <mergeCell ref="AR127:AU127"/>
    <mergeCell ref="AR128:AU128"/>
    <mergeCell ref="AB124:AI124"/>
    <mergeCell ref="AB125:AI125"/>
    <mergeCell ref="AL129:AO129"/>
    <mergeCell ref="AD31:AI31"/>
    <mergeCell ref="B46:C46"/>
    <mergeCell ref="AJ48:AK48"/>
    <mergeCell ref="AJ49:AK49"/>
    <mergeCell ref="AJ50:AK50"/>
    <mergeCell ref="AJ38:AK38"/>
    <mergeCell ref="AJ39:AK39"/>
    <mergeCell ref="AJ40:AK40"/>
    <mergeCell ref="AJ41:AK41"/>
    <mergeCell ref="AJ42:AK42"/>
    <mergeCell ref="AJ43:AK43"/>
    <mergeCell ref="AJ58:AK58"/>
    <mergeCell ref="AJ59:AK59"/>
    <mergeCell ref="AJ60:AK60"/>
    <mergeCell ref="AL61:AO61"/>
    <mergeCell ref="AL62:AO62"/>
    <mergeCell ref="AJ62:AK62"/>
    <mergeCell ref="AJ61:AK61"/>
    <mergeCell ref="AJ51:AK51"/>
    <mergeCell ref="AJ52:AK52"/>
    <mergeCell ref="AJ53:AK53"/>
    <mergeCell ref="AJ54:AK54"/>
    <mergeCell ref="B48:C48"/>
    <mergeCell ref="B54:C54"/>
    <mergeCell ref="P50:V50"/>
    <mergeCell ref="W50:AC50"/>
    <mergeCell ref="AL130:AO130"/>
    <mergeCell ref="AL131:AO131"/>
    <mergeCell ref="AB84:AI84"/>
    <mergeCell ref="AB86:AI86"/>
    <mergeCell ref="AB89:AI89"/>
    <mergeCell ref="AB98:AI98"/>
    <mergeCell ref="AB99:AI99"/>
    <mergeCell ref="AB104:AI104"/>
    <mergeCell ref="AB107:AI107"/>
    <mergeCell ref="AB93:AI93"/>
    <mergeCell ref="AE77:AH77"/>
    <mergeCell ref="Z100:AA100"/>
    <mergeCell ref="AJ93:AK93"/>
    <mergeCell ref="AJ83:AK83"/>
    <mergeCell ref="AJ84:AK84"/>
    <mergeCell ref="AI75:AL75"/>
    <mergeCell ref="AM75:AO75"/>
    <mergeCell ref="AJ110:AK110"/>
    <mergeCell ref="AD58:AI58"/>
    <mergeCell ref="AD55:AI55"/>
    <mergeCell ref="AD59:AI59"/>
    <mergeCell ref="P61:V61"/>
    <mergeCell ref="W61:AC61"/>
    <mergeCell ref="AD61:AI61"/>
    <mergeCell ref="H64:AO66"/>
    <mergeCell ref="AB123:AI123"/>
    <mergeCell ref="AA75:AD75"/>
    <mergeCell ref="AE75:AH75"/>
    <mergeCell ref="X71:Z74"/>
    <mergeCell ref="K71:N74"/>
    <mergeCell ref="T69:W74"/>
    <mergeCell ref="AJ56:AK56"/>
    <mergeCell ref="AJ57:AK57"/>
    <mergeCell ref="AJ55:AK55"/>
    <mergeCell ref="AM78:AO78"/>
    <mergeCell ref="H77:J77"/>
    <mergeCell ref="K77:N77"/>
    <mergeCell ref="O77:S77"/>
    <mergeCell ref="T77:W77"/>
    <mergeCell ref="X77:Z77"/>
    <mergeCell ref="AA77:AD77"/>
    <mergeCell ref="P55:V55"/>
    <mergeCell ref="W55:AC55"/>
    <mergeCell ref="P58:V58"/>
    <mergeCell ref="W58:AC58"/>
    <mergeCell ref="H69:S70"/>
    <mergeCell ref="AB91:AI91"/>
    <mergeCell ref="AD50:AI50"/>
    <mergeCell ref="B56:C56"/>
    <mergeCell ref="B57:C57"/>
    <mergeCell ref="AI11:AO12"/>
    <mergeCell ref="P54:V54"/>
    <mergeCell ref="W54:AC54"/>
    <mergeCell ref="AD54:AI54"/>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B55:C55"/>
    <mergeCell ref="P51:V51"/>
    <mergeCell ref="W51:AC51"/>
    <mergeCell ref="P52:V52"/>
    <mergeCell ref="W52:AC52"/>
    <mergeCell ref="AD53:AI53"/>
    <mergeCell ref="AD51:AI51"/>
    <mergeCell ref="B26:C26"/>
    <mergeCell ref="B28:D28"/>
    <mergeCell ref="E28:AO28"/>
    <mergeCell ref="AJ45:AK45"/>
    <mergeCell ref="AJ46:AK46"/>
    <mergeCell ref="AJ47:AK47"/>
    <mergeCell ref="AD45:AI45"/>
    <mergeCell ref="AJ44:AK44"/>
    <mergeCell ref="D36:N36"/>
    <mergeCell ref="AJ37:AK37"/>
    <mergeCell ref="B100:C100"/>
    <mergeCell ref="B47:C47"/>
    <mergeCell ref="P49:V49"/>
    <mergeCell ref="W49:AC49"/>
    <mergeCell ref="B53:C53"/>
    <mergeCell ref="P53:V53"/>
    <mergeCell ref="W53:AC53"/>
    <mergeCell ref="B52:C52"/>
    <mergeCell ref="B51:C51"/>
    <mergeCell ref="B50:C50"/>
    <mergeCell ref="Z86:AA86"/>
    <mergeCell ref="B87:C87"/>
    <mergeCell ref="B93:C93"/>
    <mergeCell ref="Z93:AA93"/>
    <mergeCell ref="B94:C94"/>
    <mergeCell ref="B95:C95"/>
    <mergeCell ref="B96:C96"/>
    <mergeCell ref="Z96:AA96"/>
    <mergeCell ref="B86:C86"/>
    <mergeCell ref="B89:C89"/>
    <mergeCell ref="AD52:AI52"/>
    <mergeCell ref="AD49:AI49"/>
    <mergeCell ref="B62:C62"/>
    <mergeCell ref="B61:C61"/>
    <mergeCell ref="B60:C60"/>
    <mergeCell ref="P60:V60"/>
    <mergeCell ref="W60:AC60"/>
    <mergeCell ref="B63:D63"/>
    <mergeCell ref="E63:AO63"/>
    <mergeCell ref="AD60:AI60"/>
    <mergeCell ref="C75:G75"/>
    <mergeCell ref="T75:W75"/>
    <mergeCell ref="X75:Z75"/>
    <mergeCell ref="H76:J76"/>
    <mergeCell ref="K76:N76"/>
    <mergeCell ref="O76:S76"/>
    <mergeCell ref="T76:W76"/>
    <mergeCell ref="X76:Z76"/>
    <mergeCell ref="AA76:AD76"/>
    <mergeCell ref="AE76:AH76"/>
    <mergeCell ref="B64:B70"/>
    <mergeCell ref="B78:C78"/>
    <mergeCell ref="C77:G77"/>
    <mergeCell ref="C76:G76"/>
    <mergeCell ref="H67:W68"/>
    <mergeCell ref="H75:J75"/>
    <mergeCell ref="K75:N75"/>
    <mergeCell ref="O75:S75"/>
    <mergeCell ref="B88:C88"/>
    <mergeCell ref="Z88:AA88"/>
    <mergeCell ref="AJ86:AK86"/>
    <mergeCell ref="AJ87:AK87"/>
    <mergeCell ref="AJ89:AK89"/>
    <mergeCell ref="AJ90:AK90"/>
    <mergeCell ref="AJ91:AK91"/>
    <mergeCell ref="AJ92:AK92"/>
    <mergeCell ref="B91:C91"/>
    <mergeCell ref="Z91:AA91"/>
    <mergeCell ref="B92:C92"/>
    <mergeCell ref="Z92:AA92"/>
    <mergeCell ref="Z87:AA87"/>
    <mergeCell ref="Z89:AA89"/>
    <mergeCell ref="C71:G72"/>
    <mergeCell ref="C73:G73"/>
    <mergeCell ref="O71:S73"/>
    <mergeCell ref="O74:S74"/>
    <mergeCell ref="H71:J74"/>
    <mergeCell ref="B90:C90"/>
    <mergeCell ref="Z90:AA90"/>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B29:C29"/>
    <mergeCell ref="P31:V31"/>
    <mergeCell ref="W31:AC31"/>
    <mergeCell ref="P45:V45"/>
    <mergeCell ref="W45:AC45"/>
    <mergeCell ref="H12:AH12"/>
    <mergeCell ref="H13:AH13"/>
    <mergeCell ref="H14:AH14"/>
    <mergeCell ref="AI13:AM14"/>
    <mergeCell ref="AN13:AO14"/>
    <mergeCell ref="AJ85:AK85"/>
    <mergeCell ref="B59:C59"/>
    <mergeCell ref="P59:V59"/>
    <mergeCell ref="W59:AC59"/>
    <mergeCell ref="B105:C105"/>
    <mergeCell ref="Z105:AA105"/>
    <mergeCell ref="B106:C106"/>
    <mergeCell ref="Z106:AA106"/>
    <mergeCell ref="Z107:AA107"/>
    <mergeCell ref="AJ96:AK96"/>
    <mergeCell ref="AJ97:AK97"/>
    <mergeCell ref="AJ98:AK98"/>
    <mergeCell ref="AJ99:AK99"/>
    <mergeCell ref="AJ100:AK100"/>
    <mergeCell ref="AJ101:AK101"/>
    <mergeCell ref="AJ102:AK102"/>
    <mergeCell ref="AJ103:AK103"/>
    <mergeCell ref="Z97:AA97"/>
    <mergeCell ref="B103:C103"/>
    <mergeCell ref="Z98:AA98"/>
    <mergeCell ref="Z99:AA99"/>
    <mergeCell ref="AB105:AI105"/>
    <mergeCell ref="Z103:AA103"/>
    <mergeCell ref="Z104:AA104"/>
    <mergeCell ref="B102:C102"/>
    <mergeCell ref="Z102:AA102"/>
    <mergeCell ref="B101:C101"/>
    <mergeCell ref="Z101:AA101"/>
    <mergeCell ref="AJ104:AK104"/>
    <mergeCell ref="B97:C97"/>
    <mergeCell ref="B99:C99"/>
    <mergeCell ref="B121:D121"/>
    <mergeCell ref="B122:C122"/>
    <mergeCell ref="Z122:AA122"/>
    <mergeCell ref="AJ122:AK122"/>
    <mergeCell ref="B115:C115"/>
    <mergeCell ref="B111:C111"/>
    <mergeCell ref="AJ111:AK111"/>
    <mergeCell ref="B112:C112"/>
    <mergeCell ref="AJ112:AK112"/>
    <mergeCell ref="B113:C113"/>
    <mergeCell ref="AJ113:AK113"/>
    <mergeCell ref="AJ114:AK114"/>
    <mergeCell ref="AB122:AI122"/>
    <mergeCell ref="AJ105:AK105"/>
    <mergeCell ref="AJ106:AK106"/>
    <mergeCell ref="AJ107:AK107"/>
    <mergeCell ref="B136:G137"/>
    <mergeCell ref="AI136:AO136"/>
    <mergeCell ref="AI137:AO138"/>
    <mergeCell ref="H138:AH138"/>
    <mergeCell ref="Z126:AA126"/>
    <mergeCell ref="AB126:AI126"/>
    <mergeCell ref="AJ126:AK126"/>
    <mergeCell ref="B127:C127"/>
    <mergeCell ref="Z127:AA127"/>
    <mergeCell ref="AB127:AI127"/>
    <mergeCell ref="AJ127:AK127"/>
    <mergeCell ref="B128:C128"/>
    <mergeCell ref="Z128:AA128"/>
    <mergeCell ref="AB128:AI128"/>
    <mergeCell ref="AJ128:AK128"/>
    <mergeCell ref="B110:C110"/>
    <mergeCell ref="B139:G140"/>
    <mergeCell ref="H139:AH139"/>
    <mergeCell ref="AI139:AM140"/>
    <mergeCell ref="AN139:AO140"/>
    <mergeCell ref="H140:AH140"/>
    <mergeCell ref="C64:G66"/>
    <mergeCell ref="B129:C129"/>
    <mergeCell ref="AJ129:AK129"/>
    <mergeCell ref="B130:C130"/>
    <mergeCell ref="AJ130:AK130"/>
    <mergeCell ref="B131:C131"/>
    <mergeCell ref="AJ131:AK131"/>
    <mergeCell ref="B132:C132"/>
    <mergeCell ref="AJ132:AK132"/>
    <mergeCell ref="B123:C123"/>
    <mergeCell ref="Z123:AA123"/>
    <mergeCell ref="AJ123:AK123"/>
    <mergeCell ref="B124:C124"/>
    <mergeCell ref="Z124:AA124"/>
    <mergeCell ref="AJ124:AK124"/>
    <mergeCell ref="B125:C125"/>
    <mergeCell ref="Z125:AA125"/>
    <mergeCell ref="AJ125:AK125"/>
    <mergeCell ref="B117:C117"/>
    <mergeCell ref="AJ117:AK117"/>
    <mergeCell ref="B118:C118"/>
    <mergeCell ref="B120:C120"/>
    <mergeCell ref="AJ120:AK120"/>
    <mergeCell ref="AJ88:AK88"/>
    <mergeCell ref="AL90:AO90"/>
    <mergeCell ref="AL91:AO91"/>
    <mergeCell ref="B126:C126"/>
    <mergeCell ref="B157:C157"/>
    <mergeCell ref="P157:V157"/>
    <mergeCell ref="W157:AC157"/>
    <mergeCell ref="AD157:AI157"/>
    <mergeCell ref="AJ157:AK157"/>
    <mergeCell ref="B158:C158"/>
    <mergeCell ref="AJ158:AK158"/>
    <mergeCell ref="AJ159:AK159"/>
    <mergeCell ref="H160:N160"/>
    <mergeCell ref="AJ160:AK160"/>
    <mergeCell ref="AA141:AO141"/>
    <mergeCell ref="B142:Z143"/>
    <mergeCell ref="AA142:AO143"/>
    <mergeCell ref="L151:AO151"/>
    <mergeCell ref="B152:C152"/>
    <mergeCell ref="B154:D154"/>
    <mergeCell ref="E154:AO154"/>
    <mergeCell ref="B155:C155"/>
    <mergeCell ref="P155:AI155"/>
    <mergeCell ref="AJ155:AO156"/>
    <mergeCell ref="B156:C156"/>
    <mergeCell ref="P156:V156"/>
    <mergeCell ref="W156:AC156"/>
    <mergeCell ref="AD156:AI156"/>
    <mergeCell ref="B170:C170"/>
    <mergeCell ref="AJ170:AK170"/>
    <mergeCell ref="B171:C171"/>
    <mergeCell ref="P171:V171"/>
    <mergeCell ref="W171:AC171"/>
    <mergeCell ref="AD171:AI171"/>
    <mergeCell ref="AJ171:AK171"/>
    <mergeCell ref="D161:N161"/>
    <mergeCell ref="AJ161:AK161"/>
    <mergeCell ref="D162:N162"/>
    <mergeCell ref="P162:V162"/>
    <mergeCell ref="W162:AC162"/>
    <mergeCell ref="AD162:AI162"/>
    <mergeCell ref="AJ162:AK162"/>
    <mergeCell ref="AL162:AO162"/>
    <mergeCell ref="B163:C163"/>
    <mergeCell ref="AJ163:AK163"/>
    <mergeCell ref="B176:C176"/>
    <mergeCell ref="P176:V176"/>
    <mergeCell ref="W176:AC176"/>
    <mergeCell ref="AD176:AI176"/>
    <mergeCell ref="AJ176:AK176"/>
    <mergeCell ref="B177:C177"/>
    <mergeCell ref="P177:V177"/>
    <mergeCell ref="W177:AC177"/>
    <mergeCell ref="AD177:AI177"/>
    <mergeCell ref="AJ177:AK177"/>
    <mergeCell ref="AJ172:AK172"/>
    <mergeCell ref="B173:C173"/>
    <mergeCell ref="AJ173:AK173"/>
    <mergeCell ref="B174:C174"/>
    <mergeCell ref="AJ174:AK174"/>
    <mergeCell ref="P175:V175"/>
    <mergeCell ref="W175:AC175"/>
    <mergeCell ref="AD175:AI175"/>
    <mergeCell ref="AJ175:AK175"/>
    <mergeCell ref="B180:C180"/>
    <mergeCell ref="P180:V180"/>
    <mergeCell ref="W180:AC180"/>
    <mergeCell ref="AD180:AI180"/>
    <mergeCell ref="AJ180:AK180"/>
    <mergeCell ref="B181:C181"/>
    <mergeCell ref="P181:V181"/>
    <mergeCell ref="W181:AC181"/>
    <mergeCell ref="AD181:AI181"/>
    <mergeCell ref="AJ181:AK181"/>
    <mergeCell ref="B178:C178"/>
    <mergeCell ref="P178:V178"/>
    <mergeCell ref="W178:AC178"/>
    <mergeCell ref="AD178:AI178"/>
    <mergeCell ref="AJ178:AK178"/>
    <mergeCell ref="B179:C179"/>
    <mergeCell ref="P179:V179"/>
    <mergeCell ref="W179:AC179"/>
    <mergeCell ref="AD179:AI179"/>
    <mergeCell ref="AJ179:AK179"/>
    <mergeCell ref="X197:Z200"/>
    <mergeCell ref="AA197:AD200"/>
    <mergeCell ref="B186:C186"/>
    <mergeCell ref="P186:V186"/>
    <mergeCell ref="W186:AC186"/>
    <mergeCell ref="AD186:AI186"/>
    <mergeCell ref="AJ186:AK186"/>
    <mergeCell ref="B187:C187"/>
    <mergeCell ref="P187:V187"/>
    <mergeCell ref="W187:AC187"/>
    <mergeCell ref="AD187:AI187"/>
    <mergeCell ref="AJ187:AK187"/>
    <mergeCell ref="B182:C182"/>
    <mergeCell ref="AJ182:AK182"/>
    <mergeCell ref="B183:C183"/>
    <mergeCell ref="AJ183:AK183"/>
    <mergeCell ref="P184:V184"/>
    <mergeCell ref="W184:AC184"/>
    <mergeCell ref="AD184:AI184"/>
    <mergeCell ref="AJ184:AK184"/>
    <mergeCell ref="B185:C185"/>
    <mergeCell ref="P185:V185"/>
    <mergeCell ref="W185:AC185"/>
    <mergeCell ref="AD185:AI185"/>
    <mergeCell ref="AJ185:AK185"/>
    <mergeCell ref="AM202:AO202"/>
    <mergeCell ref="AE197:AH200"/>
    <mergeCell ref="C199:G199"/>
    <mergeCell ref="O200:S200"/>
    <mergeCell ref="C201:G201"/>
    <mergeCell ref="H201:J201"/>
    <mergeCell ref="K201:N201"/>
    <mergeCell ref="O201:S201"/>
    <mergeCell ref="T201:W201"/>
    <mergeCell ref="X201:Z201"/>
    <mergeCell ref="AA201:AD201"/>
    <mergeCell ref="AE201:AH201"/>
    <mergeCell ref="B188:C188"/>
    <mergeCell ref="AJ188:AK188"/>
    <mergeCell ref="AL188:AO188"/>
    <mergeCell ref="AQ188:AT188"/>
    <mergeCell ref="B189:D189"/>
    <mergeCell ref="E189:AO189"/>
    <mergeCell ref="B190:B196"/>
    <mergeCell ref="C190:G192"/>
    <mergeCell ref="H190:AO192"/>
    <mergeCell ref="H193:W194"/>
    <mergeCell ref="X193:AO194"/>
    <mergeCell ref="H195:S196"/>
    <mergeCell ref="T195:W200"/>
    <mergeCell ref="X195:AH196"/>
    <mergeCell ref="AI195:AL200"/>
    <mergeCell ref="AM195:AO200"/>
    <mergeCell ref="C197:G198"/>
    <mergeCell ref="H197:J200"/>
    <mergeCell ref="K197:N200"/>
    <mergeCell ref="O197:S199"/>
    <mergeCell ref="C203:G203"/>
    <mergeCell ref="H203:J203"/>
    <mergeCell ref="K203:N203"/>
    <mergeCell ref="O203:S203"/>
    <mergeCell ref="T203:W203"/>
    <mergeCell ref="X203:Z203"/>
    <mergeCell ref="AA203:AD203"/>
    <mergeCell ref="AE203:AH203"/>
    <mergeCell ref="AI203:AL203"/>
    <mergeCell ref="C202:G202"/>
    <mergeCell ref="H202:J202"/>
    <mergeCell ref="K202:N202"/>
    <mergeCell ref="O202:S202"/>
    <mergeCell ref="T202:W202"/>
    <mergeCell ref="X202:Z202"/>
    <mergeCell ref="AA202:AD202"/>
    <mergeCell ref="AE202:AH202"/>
    <mergeCell ref="AI202:AL202"/>
    <mergeCell ref="B211:C211"/>
    <mergeCell ref="Z211:AA211"/>
    <mergeCell ref="AJ211:AK211"/>
    <mergeCell ref="B212:C212"/>
    <mergeCell ref="Z212:AA212"/>
    <mergeCell ref="AB212:AI212"/>
    <mergeCell ref="AJ212:AK212"/>
    <mergeCell ref="B214:C214"/>
    <mergeCell ref="Z214:AA214"/>
    <mergeCell ref="AJ214:AK214"/>
    <mergeCell ref="AJ213:AK213"/>
    <mergeCell ref="B204:C204"/>
    <mergeCell ref="AK204:AL204"/>
    <mergeCell ref="AM204:AO204"/>
    <mergeCell ref="B208:D208"/>
    <mergeCell ref="B209:C209"/>
    <mergeCell ref="Z209:AA209"/>
    <mergeCell ref="AJ209:AK209"/>
    <mergeCell ref="Z210:AA210"/>
    <mergeCell ref="AB210:AI210"/>
    <mergeCell ref="AJ210:AK210"/>
    <mergeCell ref="B218:C218"/>
    <mergeCell ref="Z218:AA218"/>
    <mergeCell ref="AJ218:AK218"/>
    <mergeCell ref="B219:C219"/>
    <mergeCell ref="Z219:AA219"/>
    <mergeCell ref="AB219:AI219"/>
    <mergeCell ref="AJ219:AK219"/>
    <mergeCell ref="B220:C220"/>
    <mergeCell ref="B221:C221"/>
    <mergeCell ref="AJ221:AK221"/>
    <mergeCell ref="B225:C225"/>
    <mergeCell ref="Z225:AA225"/>
    <mergeCell ref="AB225:AI225"/>
    <mergeCell ref="AJ225:AK225"/>
    <mergeCell ref="B226:C226"/>
    <mergeCell ref="B215:C215"/>
    <mergeCell ref="Z215:AA215"/>
    <mergeCell ref="AB215:AI215"/>
    <mergeCell ref="AJ215:AK215"/>
    <mergeCell ref="B216:C216"/>
    <mergeCell ref="Z216:AA216"/>
    <mergeCell ref="AJ216:AK216"/>
    <mergeCell ref="B217:C217"/>
    <mergeCell ref="Z217:AA217"/>
    <mergeCell ref="AB217:AI217"/>
    <mergeCell ref="AJ217:AK217"/>
    <mergeCell ref="AJ233:AK233"/>
    <mergeCell ref="B227:C227"/>
    <mergeCell ref="Z227:AA227"/>
    <mergeCell ref="AJ227:AK227"/>
    <mergeCell ref="AL221:AO221"/>
    <mergeCell ref="B222:C222"/>
    <mergeCell ref="Z222:AA222"/>
    <mergeCell ref="AJ222:AK222"/>
    <mergeCell ref="B223:C223"/>
    <mergeCell ref="Z223:AA223"/>
    <mergeCell ref="AJ223:AK223"/>
    <mergeCell ref="Z224:AA224"/>
    <mergeCell ref="AB224:AI224"/>
    <mergeCell ref="AJ224:AK224"/>
    <mergeCell ref="AJ228:AK228"/>
    <mergeCell ref="B229:C229"/>
    <mergeCell ref="Z229:AA229"/>
    <mergeCell ref="AJ229:AK229"/>
    <mergeCell ref="Z230:AA230"/>
    <mergeCell ref="AB230:AI230"/>
    <mergeCell ref="AJ230:AK230"/>
    <mergeCell ref="B231:C231"/>
    <mergeCell ref="Z228:AA228"/>
    <mergeCell ref="Z231:AA231"/>
    <mergeCell ref="AJ231:AK231"/>
    <mergeCell ref="B232:C232"/>
    <mergeCell ref="Z232:AA232"/>
    <mergeCell ref="AJ232:AK232"/>
    <mergeCell ref="Z233:AA233"/>
    <mergeCell ref="AB233:AI233"/>
    <mergeCell ref="B283:C283"/>
    <mergeCell ref="P283:V283"/>
    <mergeCell ref="W283:AC283"/>
    <mergeCell ref="AD283:AI283"/>
    <mergeCell ref="AJ283:AK283"/>
    <mergeCell ref="B284:C284"/>
    <mergeCell ref="AJ284:AK284"/>
    <mergeCell ref="AJ285:AK285"/>
    <mergeCell ref="H286:N286"/>
    <mergeCell ref="AJ286:AK286"/>
    <mergeCell ref="B268:Z269"/>
    <mergeCell ref="AA268:AO269"/>
    <mergeCell ref="L277:AO277"/>
    <mergeCell ref="B278:C278"/>
    <mergeCell ref="B280:D280"/>
    <mergeCell ref="E280:AO280"/>
    <mergeCell ref="B281:C281"/>
    <mergeCell ref="P281:AI281"/>
    <mergeCell ref="AJ281:AO282"/>
    <mergeCell ref="B282:C282"/>
    <mergeCell ref="P282:V282"/>
    <mergeCell ref="W282:AC282"/>
    <mergeCell ref="AD282:AI282"/>
    <mergeCell ref="B302:C302"/>
    <mergeCell ref="P302:V302"/>
    <mergeCell ref="W302:AC302"/>
    <mergeCell ref="AD302:AI302"/>
    <mergeCell ref="AJ302:AK302"/>
    <mergeCell ref="B303:C303"/>
    <mergeCell ref="P303:V303"/>
    <mergeCell ref="W303:AC303"/>
    <mergeCell ref="AD303:AI303"/>
    <mergeCell ref="AJ303:AK303"/>
    <mergeCell ref="B299:C299"/>
    <mergeCell ref="AJ299:AK299"/>
    <mergeCell ref="B300:C300"/>
    <mergeCell ref="AJ300:AK300"/>
    <mergeCell ref="P301:V301"/>
    <mergeCell ref="W301:AC301"/>
    <mergeCell ref="AD301:AI301"/>
    <mergeCell ref="AJ301:AK301"/>
    <mergeCell ref="B306:C306"/>
    <mergeCell ref="P306:V306"/>
    <mergeCell ref="W306:AC306"/>
    <mergeCell ref="AD306:AI306"/>
    <mergeCell ref="AJ306:AK306"/>
    <mergeCell ref="B307:C307"/>
    <mergeCell ref="P307:V307"/>
    <mergeCell ref="W307:AC307"/>
    <mergeCell ref="AD307:AI307"/>
    <mergeCell ref="AJ307:AK307"/>
    <mergeCell ref="B304:C304"/>
    <mergeCell ref="P304:V304"/>
    <mergeCell ref="W304:AC304"/>
    <mergeCell ref="AD304:AI304"/>
    <mergeCell ref="AJ304:AK304"/>
    <mergeCell ref="B305:C305"/>
    <mergeCell ref="P305:V305"/>
    <mergeCell ref="W305:AC305"/>
    <mergeCell ref="AD305:AI305"/>
    <mergeCell ref="AJ305:AK305"/>
    <mergeCell ref="B312:C312"/>
    <mergeCell ref="P312:V312"/>
    <mergeCell ref="W312:AC312"/>
    <mergeCell ref="AD312:AI312"/>
    <mergeCell ref="AJ312:AK312"/>
    <mergeCell ref="B313:C313"/>
    <mergeCell ref="P313:V313"/>
    <mergeCell ref="W313:AC313"/>
    <mergeCell ref="AD313:AI313"/>
    <mergeCell ref="AJ313:AK313"/>
    <mergeCell ref="B308:C308"/>
    <mergeCell ref="AJ308:AK308"/>
    <mergeCell ref="B309:C309"/>
    <mergeCell ref="AJ309:AK309"/>
    <mergeCell ref="P310:V310"/>
    <mergeCell ref="W310:AC310"/>
    <mergeCell ref="AD310:AI310"/>
    <mergeCell ref="AJ310:AK310"/>
    <mergeCell ref="B311:C311"/>
    <mergeCell ref="P311:V311"/>
    <mergeCell ref="W311:AC311"/>
    <mergeCell ref="AD311:AI311"/>
    <mergeCell ref="AJ311:AK311"/>
    <mergeCell ref="B314:C314"/>
    <mergeCell ref="AJ314:AK314"/>
    <mergeCell ref="AL314:AO314"/>
    <mergeCell ref="AQ314:AT314"/>
    <mergeCell ref="B315:D315"/>
    <mergeCell ref="E315:AO315"/>
    <mergeCell ref="B316:B322"/>
    <mergeCell ref="C316:G318"/>
    <mergeCell ref="H316:AO318"/>
    <mergeCell ref="H319:W320"/>
    <mergeCell ref="X319:AO320"/>
    <mergeCell ref="H321:S322"/>
    <mergeCell ref="T321:W326"/>
    <mergeCell ref="X321:AH322"/>
    <mergeCell ref="AI321:AL326"/>
    <mergeCell ref="AM321:AO326"/>
    <mergeCell ref="C323:G324"/>
    <mergeCell ref="H323:J326"/>
    <mergeCell ref="K323:N326"/>
    <mergeCell ref="O323:S325"/>
    <mergeCell ref="X323:Z326"/>
    <mergeCell ref="AA323:AD326"/>
    <mergeCell ref="C325:G325"/>
    <mergeCell ref="O326:S326"/>
    <mergeCell ref="C329:G329"/>
    <mergeCell ref="H329:J329"/>
    <mergeCell ref="K329:N329"/>
    <mergeCell ref="O329:S329"/>
    <mergeCell ref="T329:W329"/>
    <mergeCell ref="X329:Z329"/>
    <mergeCell ref="AA329:AD329"/>
    <mergeCell ref="AE329:AH329"/>
    <mergeCell ref="AI329:AL329"/>
    <mergeCell ref="C327:G327"/>
    <mergeCell ref="H327:J327"/>
    <mergeCell ref="K327:N327"/>
    <mergeCell ref="O327:S327"/>
    <mergeCell ref="T327:W327"/>
    <mergeCell ref="X327:Z327"/>
    <mergeCell ref="AA327:AD327"/>
    <mergeCell ref="C328:G328"/>
    <mergeCell ref="H328:J328"/>
    <mergeCell ref="K328:N328"/>
    <mergeCell ref="O328:S328"/>
    <mergeCell ref="T328:W328"/>
    <mergeCell ref="X328:Z328"/>
    <mergeCell ref="AA328:AD328"/>
    <mergeCell ref="AE328:AH328"/>
    <mergeCell ref="AI328:AL328"/>
    <mergeCell ref="B337:C337"/>
    <mergeCell ref="Z337:AA337"/>
    <mergeCell ref="AJ337:AK337"/>
    <mergeCell ref="B338:C338"/>
    <mergeCell ref="Z338:AA338"/>
    <mergeCell ref="AB338:AI338"/>
    <mergeCell ref="AJ338:AK338"/>
    <mergeCell ref="B340:C340"/>
    <mergeCell ref="Z340:AA340"/>
    <mergeCell ref="AJ340:AK340"/>
    <mergeCell ref="B330:C330"/>
    <mergeCell ref="AK330:AL330"/>
    <mergeCell ref="AM330:AO330"/>
    <mergeCell ref="B334:D334"/>
    <mergeCell ref="B335:C335"/>
    <mergeCell ref="Z335:AA335"/>
    <mergeCell ref="AJ335:AK335"/>
    <mergeCell ref="Z336:AA336"/>
    <mergeCell ref="AB336:AI336"/>
    <mergeCell ref="AJ336:AK336"/>
    <mergeCell ref="AJ339:AK339"/>
    <mergeCell ref="B344:C344"/>
    <mergeCell ref="Z344:AA344"/>
    <mergeCell ref="AJ344:AK344"/>
    <mergeCell ref="B345:C345"/>
    <mergeCell ref="Z345:AA345"/>
    <mergeCell ref="AB345:AI345"/>
    <mergeCell ref="AJ345:AK345"/>
    <mergeCell ref="B346:C346"/>
    <mergeCell ref="B347:C347"/>
    <mergeCell ref="AJ347:AK347"/>
    <mergeCell ref="B341:C341"/>
    <mergeCell ref="Z341:AA341"/>
    <mergeCell ref="AB341:AI341"/>
    <mergeCell ref="AJ341:AK341"/>
    <mergeCell ref="B342:C342"/>
    <mergeCell ref="Z342:AA342"/>
    <mergeCell ref="AJ342:AK342"/>
    <mergeCell ref="B343:C343"/>
    <mergeCell ref="Z343:AA343"/>
    <mergeCell ref="AB343:AI343"/>
    <mergeCell ref="AJ343:AK343"/>
    <mergeCell ref="B351:C351"/>
    <mergeCell ref="Z351:AA351"/>
    <mergeCell ref="AB351:AI351"/>
    <mergeCell ref="AJ351:AK351"/>
    <mergeCell ref="B352:C352"/>
    <mergeCell ref="Z352:AA352"/>
    <mergeCell ref="AJ352:AK352"/>
    <mergeCell ref="B353:C353"/>
    <mergeCell ref="Z353:AA353"/>
    <mergeCell ref="AJ353:AK353"/>
    <mergeCell ref="B348:C348"/>
    <mergeCell ref="Z348:AA348"/>
    <mergeCell ref="AJ348:AK348"/>
    <mergeCell ref="B349:C349"/>
    <mergeCell ref="Z349:AA349"/>
    <mergeCell ref="AJ349:AK349"/>
    <mergeCell ref="Z350:AA350"/>
    <mergeCell ref="AB350:AI350"/>
    <mergeCell ref="AJ350:AK350"/>
    <mergeCell ref="B357:C357"/>
    <mergeCell ref="Z357:AA357"/>
    <mergeCell ref="AJ357:AK357"/>
    <mergeCell ref="B358:C358"/>
    <mergeCell ref="Z358:AA358"/>
    <mergeCell ref="AJ358:AK358"/>
    <mergeCell ref="Z359:AA359"/>
    <mergeCell ref="AB359:AI359"/>
    <mergeCell ref="AJ359:AK359"/>
    <mergeCell ref="B354:C354"/>
    <mergeCell ref="Z354:AA354"/>
    <mergeCell ref="AJ354:AK354"/>
    <mergeCell ref="B355:C355"/>
    <mergeCell ref="Z355:AA355"/>
    <mergeCell ref="AJ355:AK355"/>
    <mergeCell ref="Z356:AA356"/>
    <mergeCell ref="AB356:AI356"/>
    <mergeCell ref="AJ356:AK356"/>
    <mergeCell ref="B367:C367"/>
    <mergeCell ref="B369:C369"/>
    <mergeCell ref="AJ369:AK369"/>
    <mergeCell ref="AL369:AO369"/>
    <mergeCell ref="B370:C370"/>
    <mergeCell ref="B372:C372"/>
    <mergeCell ref="AJ372:AK372"/>
    <mergeCell ref="AL372:AO372"/>
    <mergeCell ref="AQ359:AT359"/>
    <mergeCell ref="B362:C362"/>
    <mergeCell ref="AJ362:AK362"/>
    <mergeCell ref="AL362:AO362"/>
    <mergeCell ref="B363:C363"/>
    <mergeCell ref="AJ363:AK363"/>
    <mergeCell ref="B364:C364"/>
    <mergeCell ref="AJ364:AK364"/>
    <mergeCell ref="B365:C365"/>
    <mergeCell ref="AJ365:AK365"/>
    <mergeCell ref="AQ362:AT362"/>
    <mergeCell ref="B382:C382"/>
    <mergeCell ref="AJ382:AK382"/>
    <mergeCell ref="AL382:AO382"/>
    <mergeCell ref="B383:C383"/>
    <mergeCell ref="AJ383:AK383"/>
    <mergeCell ref="AL383:AO383"/>
    <mergeCell ref="B384:C384"/>
    <mergeCell ref="AJ384:AK384"/>
    <mergeCell ref="B381:C381"/>
    <mergeCell ref="AJ381:AK381"/>
    <mergeCell ref="B373:D373"/>
    <mergeCell ref="B374:C374"/>
    <mergeCell ref="Z374:AA374"/>
    <mergeCell ref="AB374:AI374"/>
    <mergeCell ref="AJ374:AK374"/>
    <mergeCell ref="B377:C377"/>
    <mergeCell ref="Z377:AA377"/>
    <mergeCell ref="AB377:AI377"/>
    <mergeCell ref="AJ377:AK377"/>
    <mergeCell ref="B380:C380"/>
    <mergeCell ref="Z380:AA380"/>
    <mergeCell ref="AB380:AI380"/>
    <mergeCell ref="AJ380:AK380"/>
    <mergeCell ref="AJ385:AK385"/>
    <mergeCell ref="AL385:AO385"/>
    <mergeCell ref="AQ385:AT385"/>
    <mergeCell ref="AL119:AO119"/>
    <mergeCell ref="AL245:AO245"/>
    <mergeCell ref="AL371:AO371"/>
    <mergeCell ref="AL121:AO121"/>
    <mergeCell ref="AL247:AO247"/>
    <mergeCell ref="AL373:AO373"/>
    <mergeCell ref="AR125:AU125"/>
    <mergeCell ref="AR255:AU255"/>
    <mergeCell ref="AR381:AU381"/>
    <mergeCell ref="AQ372:AT372"/>
    <mergeCell ref="AQ246:AT246"/>
    <mergeCell ref="AQ204:AT204"/>
    <mergeCell ref="AQ330:AT330"/>
    <mergeCell ref="AL381:AO381"/>
    <mergeCell ref="AJ366:AK366"/>
    <mergeCell ref="AL366:AO366"/>
    <mergeCell ref="AQ366:AT366"/>
    <mergeCell ref="AJ289:AK289"/>
    <mergeCell ref="AN265:AO266"/>
    <mergeCell ref="AL255:AO255"/>
    <mergeCell ref="AQ233:AT233"/>
    <mergeCell ref="AJ226:AK226"/>
    <mergeCell ref="AM203:AO203"/>
    <mergeCell ref="AI201:AL201"/>
    <mergeCell ref="AM201:AO201"/>
    <mergeCell ref="AL187:AO187"/>
    <mergeCell ref="AQ187:AT187"/>
    <mergeCell ref="AJ164:AK164"/>
    <mergeCell ref="AJ165:AK165"/>
    <mergeCell ref="AR19:AU19"/>
    <mergeCell ref="AR22:AU22"/>
    <mergeCell ref="AR24:AU24"/>
    <mergeCell ref="AR26:AU26"/>
    <mergeCell ref="AR28:AU28"/>
    <mergeCell ref="AR129:AU129"/>
    <mergeCell ref="AR124:AU124"/>
    <mergeCell ref="AR122:AU122"/>
    <mergeCell ref="AR123:AU123"/>
    <mergeCell ref="AQ120:AT120"/>
    <mergeCell ref="AQ78:AT78"/>
    <mergeCell ref="AQ105:AW105"/>
    <mergeCell ref="AQ104:AW104"/>
    <mergeCell ref="AQ110:AT110"/>
    <mergeCell ref="H266:AH266"/>
    <mergeCell ref="Z226:AA226"/>
    <mergeCell ref="AJ166:AK166"/>
    <mergeCell ref="AJ167:AK167"/>
    <mergeCell ref="AR145:AU145"/>
    <mergeCell ref="AR147:AU147"/>
    <mergeCell ref="AJ168:AK168"/>
    <mergeCell ref="AJ169:AK169"/>
    <mergeCell ref="AJ256:AK256"/>
    <mergeCell ref="AL256:AO256"/>
    <mergeCell ref="AJ257:AK257"/>
    <mergeCell ref="AL257:AO257"/>
    <mergeCell ref="AJ258:AK258"/>
    <mergeCell ref="AJ255:AK255"/>
    <mergeCell ref="AJ240:AK240"/>
    <mergeCell ref="AL246:AO246"/>
    <mergeCell ref="D35:N35"/>
    <mergeCell ref="L25:AO25"/>
    <mergeCell ref="AL356:AO356"/>
    <mergeCell ref="AQ356:AW356"/>
    <mergeCell ref="AB357:AI357"/>
    <mergeCell ref="AL357:AO357"/>
    <mergeCell ref="AQ357:AW357"/>
    <mergeCell ref="AL347:AO347"/>
    <mergeCell ref="AM329:AO329"/>
    <mergeCell ref="AI327:AL327"/>
    <mergeCell ref="AM327:AO327"/>
    <mergeCell ref="AM328:AO328"/>
    <mergeCell ref="AE323:AH326"/>
    <mergeCell ref="AE327:AH327"/>
    <mergeCell ref="AL313:AO313"/>
    <mergeCell ref="AQ313:AT313"/>
    <mergeCell ref="AJ298:AK298"/>
    <mergeCell ref="AA267:AO267"/>
    <mergeCell ref="AJ259:AK259"/>
    <mergeCell ref="AL259:AO259"/>
    <mergeCell ref="AJ290:AK290"/>
    <mergeCell ref="AJ291:AK291"/>
    <mergeCell ref="AJ292:AK292"/>
    <mergeCell ref="AJ293:AK293"/>
    <mergeCell ref="AJ294:AK294"/>
    <mergeCell ref="AJ295:AK295"/>
    <mergeCell ref="AJ296:AK296"/>
    <mergeCell ref="W297:AC297"/>
    <mergeCell ref="AD297:AI297"/>
    <mergeCell ref="H264:AH264"/>
    <mergeCell ref="AJ297:AK297"/>
    <mergeCell ref="AJ287:AK287"/>
    <mergeCell ref="W288:AC288"/>
    <mergeCell ref="Z339:AA339"/>
    <mergeCell ref="B256:C256"/>
    <mergeCell ref="B257:C257"/>
    <mergeCell ref="B258:C258"/>
    <mergeCell ref="B255:C255"/>
    <mergeCell ref="B247:D247"/>
    <mergeCell ref="AL240:AO240"/>
    <mergeCell ref="AQ240:AT240"/>
    <mergeCell ref="B241:C241"/>
    <mergeCell ref="B243:C243"/>
    <mergeCell ref="AJ243:AK243"/>
    <mergeCell ref="AL243:AO243"/>
    <mergeCell ref="B244:C244"/>
    <mergeCell ref="B246:C246"/>
    <mergeCell ref="AJ246:AK246"/>
    <mergeCell ref="B252:C252"/>
    <mergeCell ref="B236:C236"/>
    <mergeCell ref="AJ236:AK236"/>
    <mergeCell ref="AL236:AO236"/>
    <mergeCell ref="B237:C237"/>
    <mergeCell ref="AJ237:AK237"/>
    <mergeCell ref="B238:C238"/>
    <mergeCell ref="AJ238:AK238"/>
    <mergeCell ref="B239:C239"/>
    <mergeCell ref="AJ239:AK239"/>
    <mergeCell ref="B289:C289"/>
    <mergeCell ref="AR149:AU149"/>
    <mergeCell ref="AR271:AU271"/>
    <mergeCell ref="Z252:AA252"/>
    <mergeCell ref="AB252:AI252"/>
    <mergeCell ref="AJ252:AK252"/>
    <mergeCell ref="AR252:AU252"/>
    <mergeCell ref="B253:C253"/>
    <mergeCell ref="Z253:AA253"/>
    <mergeCell ref="AB253:AI253"/>
    <mergeCell ref="AJ253:AK253"/>
    <mergeCell ref="AR253:AU253"/>
    <mergeCell ref="B254:C254"/>
    <mergeCell ref="Z254:AA254"/>
    <mergeCell ref="AB254:AI254"/>
    <mergeCell ref="AJ254:AK254"/>
    <mergeCell ref="AR254:AU254"/>
    <mergeCell ref="AQ236:AT236"/>
    <mergeCell ref="AQ259:AT259"/>
    <mergeCell ref="B262:G263"/>
    <mergeCell ref="AI262:AO262"/>
    <mergeCell ref="AI263:AO264"/>
    <mergeCell ref="B248:C248"/>
    <mergeCell ref="B265:G266"/>
    <mergeCell ref="H265:AH265"/>
    <mergeCell ref="AI265:AM266"/>
    <mergeCell ref="AL230:AO230"/>
    <mergeCell ref="AQ230:AW230"/>
    <mergeCell ref="AB231:AI231"/>
    <mergeCell ref="AL231:AO231"/>
    <mergeCell ref="AQ231:AW231"/>
    <mergeCell ref="B228:C228"/>
    <mergeCell ref="AR376:AU376"/>
    <mergeCell ref="AR273:AU273"/>
    <mergeCell ref="AR275:AU275"/>
    <mergeCell ref="B298:C298"/>
    <mergeCell ref="Z248:AA248"/>
    <mergeCell ref="AB248:AI248"/>
    <mergeCell ref="AJ248:AK248"/>
    <mergeCell ref="AR248:AU248"/>
    <mergeCell ref="B249:C249"/>
    <mergeCell ref="Z249:AA249"/>
    <mergeCell ref="AB249:AI249"/>
    <mergeCell ref="AJ249:AK249"/>
    <mergeCell ref="AR249:AU249"/>
    <mergeCell ref="B250:C250"/>
    <mergeCell ref="Z250:AA250"/>
    <mergeCell ref="AB250:AI250"/>
    <mergeCell ref="AJ250:AK250"/>
    <mergeCell ref="AR250:AU250"/>
    <mergeCell ref="B251:C251"/>
    <mergeCell ref="Z251:AA251"/>
    <mergeCell ref="AB251:AI251"/>
    <mergeCell ref="AJ251:AK251"/>
    <mergeCell ref="AR251:AU251"/>
    <mergeCell ref="B296:C296"/>
    <mergeCell ref="B297:C297"/>
    <mergeCell ref="P297:V297"/>
    <mergeCell ref="D287:N287"/>
    <mergeCell ref="D288:N288"/>
    <mergeCell ref="P288:V288"/>
    <mergeCell ref="AD288:AI288"/>
    <mergeCell ref="AJ288:AK288"/>
    <mergeCell ref="AL288:AO288"/>
    <mergeCell ref="AG8:AN8"/>
    <mergeCell ref="B4:C4"/>
    <mergeCell ref="B6:C6"/>
    <mergeCell ref="B8:C8"/>
    <mergeCell ref="AR380:AU380"/>
    <mergeCell ref="AR29:AU29"/>
    <mergeCell ref="AR30:AU30"/>
    <mergeCell ref="AL216:AO216"/>
    <mergeCell ref="AL217:AO217"/>
    <mergeCell ref="AL342:AO342"/>
    <mergeCell ref="AL343:AO343"/>
    <mergeCell ref="AR377:AU377"/>
    <mergeCell ref="B378:C378"/>
    <mergeCell ref="Z378:AA378"/>
    <mergeCell ref="AB378:AI378"/>
    <mergeCell ref="AJ378:AK378"/>
    <mergeCell ref="AR378:AU378"/>
    <mergeCell ref="B379:C379"/>
    <mergeCell ref="Z379:AA379"/>
    <mergeCell ref="AB379:AI379"/>
    <mergeCell ref="AJ379:AK379"/>
    <mergeCell ref="AR379:AU379"/>
    <mergeCell ref="AR374:AU374"/>
    <mergeCell ref="B375:C375"/>
    <mergeCell ref="Z375:AA375"/>
    <mergeCell ref="AB375:AI375"/>
    <mergeCell ref="AJ375:AK375"/>
    <mergeCell ref="AR375:AU375"/>
    <mergeCell ref="B376:C376"/>
    <mergeCell ref="Z376:AA376"/>
    <mergeCell ref="AB376:AI376"/>
    <mergeCell ref="AJ376:AK376"/>
  </mergeCells>
  <conditionalFormatting sqref="B16 AA16">
    <cfRule type="expression" dxfId="1285" priority="558">
      <formula>NoColor</formula>
    </cfRule>
  </conditionalFormatting>
  <conditionalFormatting sqref="E99">
    <cfRule type="expression" dxfId="1284" priority="529">
      <formula>NoColor</formula>
    </cfRule>
  </conditionalFormatting>
  <conditionalFormatting sqref="E108">
    <cfRule type="expression" dxfId="1283" priority="527">
      <formula>NoColor</formula>
    </cfRule>
  </conditionalFormatting>
  <conditionalFormatting sqref="Q99">
    <cfRule type="expression" dxfId="1282" priority="526">
      <formula>NoColor</formula>
    </cfRule>
  </conditionalFormatting>
  <conditionalFormatting sqref="Q108">
    <cfRule type="expression" dxfId="1281" priority="524">
      <formula>NoColor</formula>
    </cfRule>
  </conditionalFormatting>
  <conditionalFormatting sqref="AE108">
    <cfRule type="expression" dxfId="1280" priority="521">
      <formula>NoColor</formula>
    </cfRule>
  </conditionalFormatting>
  <conditionalFormatting sqref="X75 AA75 AE75 AI75 AM75">
    <cfRule type="expression" dxfId="1279" priority="477">
      <formula>NoColor</formula>
    </cfRule>
  </conditionalFormatting>
  <conditionalFormatting sqref="C75:H75 K75 O75">
    <cfRule type="expression" dxfId="1278" priority="476">
      <formula>NoColor</formula>
    </cfRule>
  </conditionalFormatting>
  <conditionalFormatting sqref="X76 AA76 AE76 AI76">
    <cfRule type="expression" dxfId="1277" priority="471">
      <formula>NoColor</formula>
    </cfRule>
  </conditionalFormatting>
  <conditionalFormatting sqref="C76:H76 K76 O76">
    <cfRule type="expression" dxfId="1276" priority="470">
      <formula>NoColor</formula>
    </cfRule>
  </conditionalFormatting>
  <conditionalFormatting sqref="X77 AA77 AE77 AI77">
    <cfRule type="expression" dxfId="1275" priority="469">
      <formula>NoColor</formula>
    </cfRule>
  </conditionalFormatting>
  <conditionalFormatting sqref="C77:H77 K77 O77">
    <cfRule type="expression" dxfId="1274" priority="468">
      <formula>NoColor</formula>
    </cfRule>
  </conditionalFormatting>
  <conditionalFormatting sqref="C64:G66">
    <cfRule type="expression" dxfId="1273" priority="467">
      <formula>NOT($B$72)</formula>
    </cfRule>
  </conditionalFormatting>
  <conditionalFormatting sqref="L25:AO25">
    <cfRule type="expression" dxfId="1272" priority="466">
      <formula>NoColor</formula>
    </cfRule>
  </conditionalFormatting>
  <conditionalFormatting sqref="P31:AI31">
    <cfRule type="expression" dxfId="1271" priority="465">
      <formula>NoColor</formula>
    </cfRule>
  </conditionalFormatting>
  <conditionalFormatting sqref="P36:AI36">
    <cfRule type="expression" dxfId="1270" priority="462">
      <formula>NoColor</formula>
    </cfRule>
  </conditionalFormatting>
  <conditionalFormatting sqref="P45:AI45">
    <cfRule type="expression" dxfId="1269" priority="461">
      <formula>NoColor</formula>
    </cfRule>
  </conditionalFormatting>
  <conditionalFormatting sqref="P49:AI50">
    <cfRule type="expression" dxfId="1268" priority="460">
      <formula>NoColor</formula>
    </cfRule>
  </conditionalFormatting>
  <conditionalFormatting sqref="P52:AI53">
    <cfRule type="expression" dxfId="1267" priority="459">
      <formula>NoColor</formula>
    </cfRule>
  </conditionalFormatting>
  <conditionalFormatting sqref="P58:AI58">
    <cfRule type="expression" dxfId="1266" priority="458">
      <formula>NoColor</formula>
    </cfRule>
  </conditionalFormatting>
  <conditionalFormatting sqref="P59:AI60">
    <cfRule type="expression" dxfId="1265" priority="457">
      <formula>NoColor</formula>
    </cfRule>
  </conditionalFormatting>
  <conditionalFormatting sqref="P51:AI51">
    <cfRule type="expression" dxfId="1264" priority="456">
      <formula>NoColor</formula>
    </cfRule>
  </conditionalFormatting>
  <conditionalFormatting sqref="P55:AI55">
    <cfRule type="expression" dxfId="1263" priority="455">
      <formula>NoColor</formula>
    </cfRule>
  </conditionalFormatting>
  <conditionalFormatting sqref="P54:AI54">
    <cfRule type="expression" dxfId="1262" priority="454">
      <formula>NoColor</formula>
    </cfRule>
  </conditionalFormatting>
  <conditionalFormatting sqref="P61:AI61">
    <cfRule type="expression" dxfId="1261" priority="453">
      <formula>NoColor</formula>
    </cfRule>
  </conditionalFormatting>
  <conditionalFormatting sqref="AL61:AO61">
    <cfRule type="expression" dxfId="1260" priority="451">
      <formula>NoColor</formula>
    </cfRule>
  </conditionalFormatting>
  <conditionalFormatting sqref="AL62:AO62">
    <cfRule type="expression" dxfId="1259" priority="450">
      <formula>NoColor</formula>
    </cfRule>
  </conditionalFormatting>
  <conditionalFormatting sqref="N41">
    <cfRule type="expression" dxfId="1258" priority="449">
      <formula>NoColor</formula>
    </cfRule>
  </conditionalFormatting>
  <conditionalFormatting sqref="AQ61:AT62">
    <cfRule type="expression" dxfId="1257" priority="448">
      <formula>NoColor</formula>
    </cfRule>
  </conditionalFormatting>
  <conditionalFormatting sqref="E67">
    <cfRule type="expression" dxfId="1256" priority="447">
      <formula>NoColor</formula>
    </cfRule>
  </conditionalFormatting>
  <conditionalFormatting sqref="E69">
    <cfRule type="expression" dxfId="1255" priority="446">
      <formula>NoColor</formula>
    </cfRule>
  </conditionalFormatting>
  <conditionalFormatting sqref="T75:W75">
    <cfRule type="expression" dxfId="1254" priority="445">
      <formula>NoColor</formula>
    </cfRule>
  </conditionalFormatting>
  <conditionalFormatting sqref="T76:W76">
    <cfRule type="expression" dxfId="1253" priority="444">
      <formula>NoColor</formula>
    </cfRule>
  </conditionalFormatting>
  <conditionalFormatting sqref="T77:W77">
    <cfRule type="expression" dxfId="1252" priority="443">
      <formula>NoColor</formula>
    </cfRule>
  </conditionalFormatting>
  <conditionalFormatting sqref="AB84:AI84">
    <cfRule type="expression" dxfId="1251" priority="441">
      <formula>NoColor</formula>
    </cfRule>
  </conditionalFormatting>
  <conditionalFormatting sqref="AB91:AI91">
    <cfRule type="expression" dxfId="1250" priority="439">
      <formula>NoColor</formula>
    </cfRule>
  </conditionalFormatting>
  <conditionalFormatting sqref="AB93:AI93">
    <cfRule type="expression" dxfId="1249" priority="438">
      <formula>NoColor</formula>
    </cfRule>
  </conditionalFormatting>
  <conditionalFormatting sqref="AB99:AI99">
    <cfRule type="expression" dxfId="1248" priority="437">
      <formula>NoColor</formula>
    </cfRule>
  </conditionalFormatting>
  <conditionalFormatting sqref="AB89:AI89">
    <cfRule type="expression" dxfId="1247" priority="436">
      <formula>NoColor</formula>
    </cfRule>
  </conditionalFormatting>
  <conditionalFormatting sqref="AB98:AI98">
    <cfRule type="expression" dxfId="1246" priority="435">
      <formula>NoColor</formula>
    </cfRule>
  </conditionalFormatting>
  <conditionalFormatting sqref="AB104:AI104">
    <cfRule type="expression" dxfId="1245" priority="434">
      <formula>NoColor</formula>
    </cfRule>
  </conditionalFormatting>
  <conditionalFormatting sqref="AB107:AI107">
    <cfRule type="expression" dxfId="1244" priority="433">
      <formula>NoColor</formula>
    </cfRule>
  </conditionalFormatting>
  <conditionalFormatting sqref="AL95:AO95">
    <cfRule type="expression" dxfId="1243" priority="432">
      <formula>NoColor</formula>
    </cfRule>
  </conditionalFormatting>
  <conditionalFormatting sqref="AL110:AO110">
    <cfRule type="expression" dxfId="1242" priority="431">
      <formula>NoColor</formula>
    </cfRule>
  </conditionalFormatting>
  <conditionalFormatting sqref="AL117:AO117">
    <cfRule type="expression" dxfId="1241" priority="429">
      <formula>NoColor</formula>
    </cfRule>
  </conditionalFormatting>
  <conditionalFormatting sqref="AL120:AO120">
    <cfRule type="expression" dxfId="1240" priority="428">
      <formula>NoColor</formula>
    </cfRule>
  </conditionalFormatting>
  <conditionalFormatting sqref="AL129:AO129">
    <cfRule type="expression" dxfId="1239" priority="427">
      <formula>NoColor</formula>
    </cfRule>
  </conditionalFormatting>
  <conditionalFormatting sqref="AL130:AO130">
    <cfRule type="expression" dxfId="1238" priority="426">
      <formula>NoColor</formula>
    </cfRule>
  </conditionalFormatting>
  <conditionalFormatting sqref="AL133:AO133">
    <cfRule type="expression" dxfId="1237" priority="425">
      <formula>NoColor</formula>
    </cfRule>
  </conditionalFormatting>
  <conditionalFormatting sqref="AB122:AI128">
    <cfRule type="expression" dxfId="1236" priority="424">
      <formula>NoColor</formula>
    </cfRule>
  </conditionalFormatting>
  <conditionalFormatting sqref="AL131:AO131">
    <cfRule type="expression" dxfId="1235" priority="420">
      <formula>NoColor</formula>
    </cfRule>
  </conditionalFormatting>
  <conditionalFormatting sqref="AQ107:AT107">
    <cfRule type="expression" dxfId="1234" priority="419">
      <formula>NoColor</formula>
    </cfRule>
  </conditionalFormatting>
  <conditionalFormatting sqref="AQ114:AT114">
    <cfRule type="expression" dxfId="1233" priority="418">
      <formula>NoColor</formula>
    </cfRule>
  </conditionalFormatting>
  <conditionalFormatting sqref="AQ133:AT133">
    <cfRule type="expression" dxfId="1232" priority="417">
      <formula>NoColor</formula>
    </cfRule>
  </conditionalFormatting>
  <conditionalFormatting sqref="B142 AA142">
    <cfRule type="expression" dxfId="1231" priority="416">
      <formula>NoColor</formula>
    </cfRule>
  </conditionalFormatting>
  <conditionalFormatting sqref="E225">
    <cfRule type="expression" dxfId="1230" priority="415">
      <formula>NoColor</formula>
    </cfRule>
  </conditionalFormatting>
  <conditionalFormatting sqref="Q225">
    <cfRule type="expression" dxfId="1229" priority="413">
      <formula>NoColor</formula>
    </cfRule>
  </conditionalFormatting>
  <conditionalFormatting sqref="L151:AO151">
    <cfRule type="expression" dxfId="1228" priority="398">
      <formula>NoColor</formula>
    </cfRule>
  </conditionalFormatting>
  <conditionalFormatting sqref="P171:AI171">
    <cfRule type="expression" dxfId="1227" priority="393">
      <formula>NoColor</formula>
    </cfRule>
  </conditionalFormatting>
  <conditionalFormatting sqref="P175:AI176">
    <cfRule type="expression" dxfId="1226" priority="392">
      <formula>NoColor</formula>
    </cfRule>
  </conditionalFormatting>
  <conditionalFormatting sqref="P184:AI184">
    <cfRule type="expression" dxfId="1225" priority="390">
      <formula>NoColor</formula>
    </cfRule>
  </conditionalFormatting>
  <conditionalFormatting sqref="P185:AI186">
    <cfRule type="expression" dxfId="1224" priority="389">
      <formula>NoColor</formula>
    </cfRule>
  </conditionalFormatting>
  <conditionalFormatting sqref="P181:AI181">
    <cfRule type="expression" dxfId="1223" priority="387">
      <formula>NoColor</formula>
    </cfRule>
  </conditionalFormatting>
  <conditionalFormatting sqref="P187:AI187">
    <cfRule type="expression" dxfId="1222" priority="385">
      <formula>NoColor</formula>
    </cfRule>
  </conditionalFormatting>
  <conditionalFormatting sqref="AQ187:AT188">
    <cfRule type="expression" dxfId="1221" priority="380">
      <formula>NoColor</formula>
    </cfRule>
  </conditionalFormatting>
  <conditionalFormatting sqref="AB217:AI217">
    <cfRule type="expression" dxfId="1220" priority="371">
      <formula>NoColor</formula>
    </cfRule>
  </conditionalFormatting>
  <conditionalFormatting sqref="AB219:AI219">
    <cfRule type="expression" dxfId="1219" priority="370">
      <formula>NoColor</formula>
    </cfRule>
  </conditionalFormatting>
  <conditionalFormatting sqref="AB225:AI225">
    <cfRule type="expression" dxfId="1218" priority="369">
      <formula>NoColor</formula>
    </cfRule>
  </conditionalFormatting>
  <conditionalFormatting sqref="AB215:AI215">
    <cfRule type="expression" dxfId="1217" priority="368">
      <formula>NoColor</formula>
    </cfRule>
  </conditionalFormatting>
  <conditionalFormatting sqref="AB224:AI224">
    <cfRule type="expression" dxfId="1216" priority="367">
      <formula>NoColor</formula>
    </cfRule>
  </conditionalFormatting>
  <conditionalFormatting sqref="AL221:AO221">
    <cfRule type="expression" dxfId="1215" priority="364">
      <formula>NoColor</formula>
    </cfRule>
  </conditionalFormatting>
  <conditionalFormatting sqref="AQ259:AT259">
    <cfRule type="expression" dxfId="1214" priority="349">
      <formula>NoColor</formula>
    </cfRule>
  </conditionalFormatting>
  <conditionalFormatting sqref="AL255:AO255">
    <cfRule type="expression" dxfId="1213" priority="359">
      <formula>NoColor</formula>
    </cfRule>
  </conditionalFormatting>
  <conditionalFormatting sqref="AL256:AO256">
    <cfRule type="expression" dxfId="1212" priority="358">
      <formula>NoColor</formula>
    </cfRule>
  </conditionalFormatting>
  <conditionalFormatting sqref="AL257:AO257">
    <cfRule type="expression" dxfId="1211" priority="352">
      <formula>NoColor</formula>
    </cfRule>
  </conditionalFormatting>
  <conditionalFormatting sqref="B18">
    <cfRule type="expression" dxfId="1210" priority="348">
      <formula>$AO$23</formula>
    </cfRule>
  </conditionalFormatting>
  <conditionalFormatting sqref="P307:AI307">
    <cfRule type="expression" dxfId="1209" priority="315">
      <formula>NoColor</formula>
    </cfRule>
  </conditionalFormatting>
  <conditionalFormatting sqref="B268 AA268">
    <cfRule type="expression" dxfId="1208" priority="339">
      <formula>NoColor</formula>
    </cfRule>
  </conditionalFormatting>
  <conditionalFormatting sqref="E351">
    <cfRule type="expression" dxfId="1207" priority="338">
      <formula>NoColor</formula>
    </cfRule>
  </conditionalFormatting>
  <conditionalFormatting sqref="Q351">
    <cfRule type="expression" dxfId="1206" priority="336">
      <formula>NoColor</formula>
    </cfRule>
  </conditionalFormatting>
  <conditionalFormatting sqref="L277:AO277">
    <cfRule type="expression" dxfId="1205" priority="326">
      <formula>NoColor</formula>
    </cfRule>
  </conditionalFormatting>
  <conditionalFormatting sqref="P297:AI297">
    <cfRule type="expression" dxfId="1204" priority="321">
      <formula>NoColor</formula>
    </cfRule>
  </conditionalFormatting>
  <conditionalFormatting sqref="P301:AI302">
    <cfRule type="expression" dxfId="1203" priority="320">
      <formula>NoColor</formula>
    </cfRule>
  </conditionalFormatting>
  <conditionalFormatting sqref="P310:AI310">
    <cfRule type="expression" dxfId="1202" priority="318">
      <formula>NoColor</formula>
    </cfRule>
  </conditionalFormatting>
  <conditionalFormatting sqref="P311:AI312">
    <cfRule type="expression" dxfId="1201" priority="317">
      <formula>NoColor</formula>
    </cfRule>
  </conditionalFormatting>
  <conditionalFormatting sqref="AQ313:AT314">
    <cfRule type="expression" dxfId="1200" priority="308">
      <formula>NoColor</formula>
    </cfRule>
  </conditionalFormatting>
  <conditionalFormatting sqref="P313:AI313">
    <cfRule type="expression" dxfId="1199" priority="313">
      <formula>NoColor</formula>
    </cfRule>
  </conditionalFormatting>
  <conditionalFormatting sqref="AB338:AI338">
    <cfRule type="expression" dxfId="1198" priority="300">
      <formula>NoColor</formula>
    </cfRule>
  </conditionalFormatting>
  <conditionalFormatting sqref="AB343:AI343">
    <cfRule type="expression" dxfId="1197" priority="299">
      <formula>NoColor</formula>
    </cfRule>
  </conditionalFormatting>
  <conditionalFormatting sqref="AB345:AI345">
    <cfRule type="expression" dxfId="1196" priority="298">
      <formula>NoColor</formula>
    </cfRule>
  </conditionalFormatting>
  <conditionalFormatting sqref="AB351:AI351">
    <cfRule type="expression" dxfId="1195" priority="297">
      <formula>NoColor</formula>
    </cfRule>
  </conditionalFormatting>
  <conditionalFormatting sqref="AB341:AI341">
    <cfRule type="expression" dxfId="1194" priority="296">
      <formula>NoColor</formula>
    </cfRule>
  </conditionalFormatting>
  <conditionalFormatting sqref="AB350:AI350">
    <cfRule type="expression" dxfId="1193" priority="295">
      <formula>NoColor</formula>
    </cfRule>
  </conditionalFormatting>
  <conditionalFormatting sqref="AL347:AO347">
    <cfRule type="expression" dxfId="1192" priority="292">
      <formula>NoColor</formula>
    </cfRule>
  </conditionalFormatting>
  <conditionalFormatting sqref="AQ385:AT385">
    <cfRule type="expression" dxfId="1191" priority="277">
      <formula>NoColor</formula>
    </cfRule>
  </conditionalFormatting>
  <conditionalFormatting sqref="AL381:AO381">
    <cfRule type="expression" dxfId="1190" priority="287">
      <formula>NoColor</formula>
    </cfRule>
  </conditionalFormatting>
  <conditionalFormatting sqref="AL382:AO382">
    <cfRule type="expression" dxfId="1189" priority="286">
      <formula>NoColor</formula>
    </cfRule>
  </conditionalFormatting>
  <conditionalFormatting sqref="AL383:AO383">
    <cfRule type="expression" dxfId="1188" priority="280">
      <formula>NoColor</formula>
    </cfRule>
  </conditionalFormatting>
  <conditionalFormatting sqref="AQ120:AT120">
    <cfRule type="expression" dxfId="1187" priority="243">
      <formula>NoColor</formula>
    </cfRule>
  </conditionalFormatting>
  <conditionalFormatting sqref="AL246:AO246">
    <cfRule type="expression" dxfId="1186" priority="242">
      <formula>NoColor</formula>
    </cfRule>
  </conditionalFormatting>
  <conditionalFormatting sqref="AQ372:AT372">
    <cfRule type="expression" dxfId="1185" priority="240">
      <formula>NoColor</formula>
    </cfRule>
  </conditionalFormatting>
  <conditionalFormatting sqref="AQ246:AT246">
    <cfRule type="expression" dxfId="1184" priority="239">
      <formula>NoColor</formula>
    </cfRule>
  </conditionalFormatting>
  <conditionalFormatting sqref="AL114:AO114">
    <cfRule type="expression" dxfId="1183" priority="235">
      <formula>NoColor</formula>
    </cfRule>
  </conditionalFormatting>
  <conditionalFormatting sqref="P157:AI157">
    <cfRule type="expression" dxfId="1182" priority="234">
      <formula>NoColor</formula>
    </cfRule>
  </conditionalFormatting>
  <conditionalFormatting sqref="P283:AI283">
    <cfRule type="expression" dxfId="1181" priority="233">
      <formula>NoColor</formula>
    </cfRule>
  </conditionalFormatting>
  <conditionalFormatting sqref="AL259:AO259">
    <cfRule type="expression" dxfId="1180" priority="221">
      <formula>NoColor</formula>
    </cfRule>
  </conditionalFormatting>
  <conditionalFormatting sqref="AL385:AO385">
    <cfRule type="expression" dxfId="1179" priority="220">
      <formula>NoColor</formula>
    </cfRule>
  </conditionalFormatting>
  <conditionalFormatting sqref="AB212:AI213">
    <cfRule type="expression" dxfId="1178" priority="217">
      <formula>NoColor</formula>
    </cfRule>
  </conditionalFormatting>
  <conditionalFormatting sqref="AB86:AI86">
    <cfRule type="expression" dxfId="1177" priority="216">
      <formula>NoColor</formula>
    </cfRule>
  </conditionalFormatting>
  <conditionalFormatting sqref="H286:N286">
    <cfRule type="expression" dxfId="1176" priority="213">
      <formula>NoColor</formula>
    </cfRule>
  </conditionalFormatting>
  <conditionalFormatting sqref="D287:N288">
    <cfRule type="expression" dxfId="1175" priority="212">
      <formula>NoColor</formula>
    </cfRule>
  </conditionalFormatting>
  <conditionalFormatting sqref="H160:N160">
    <cfRule type="expression" dxfId="1174" priority="211">
      <formula>NoColor</formula>
    </cfRule>
  </conditionalFormatting>
  <conditionalFormatting sqref="D161:N162">
    <cfRule type="expression" dxfId="1173" priority="210">
      <formula>NoColor</formula>
    </cfRule>
  </conditionalFormatting>
  <conditionalFormatting sqref="H34:N34">
    <cfRule type="expression" dxfId="1172" priority="209">
      <formula>NoColor</formula>
    </cfRule>
  </conditionalFormatting>
  <conditionalFormatting sqref="D35:N36">
    <cfRule type="expression" dxfId="1171" priority="208">
      <formula>NoColor</formula>
    </cfRule>
  </conditionalFormatting>
  <conditionalFormatting sqref="N167">
    <cfRule type="expression" dxfId="1170" priority="207">
      <formula>NoColor</formula>
    </cfRule>
  </conditionalFormatting>
  <conditionalFormatting sqref="N293">
    <cfRule type="expression" dxfId="1169" priority="206">
      <formula>NoColor</formula>
    </cfRule>
  </conditionalFormatting>
  <conditionalFormatting sqref="C202:G202">
    <cfRule type="expression" dxfId="1168" priority="185">
      <formula>NoColor</formula>
    </cfRule>
  </conditionalFormatting>
  <conditionalFormatting sqref="C203:G203">
    <cfRule type="expression" dxfId="1167" priority="183">
      <formula>NoColor</formula>
    </cfRule>
  </conditionalFormatting>
  <conditionalFormatting sqref="AQ204:AT204">
    <cfRule type="expression" dxfId="1166" priority="175">
      <formula>NoColor</formula>
    </cfRule>
  </conditionalFormatting>
  <conditionalFormatting sqref="AQ78:AT78">
    <cfRule type="expression" dxfId="1165" priority="191">
      <formula>NoColor</formula>
    </cfRule>
  </conditionalFormatting>
  <conditionalFormatting sqref="AM76">
    <cfRule type="expression" dxfId="1164" priority="190">
      <formula>NoColor</formula>
    </cfRule>
  </conditionalFormatting>
  <conditionalFormatting sqref="AM77">
    <cfRule type="expression" dxfId="1163" priority="189">
      <formula>NoColor</formula>
    </cfRule>
  </conditionalFormatting>
  <conditionalFormatting sqref="C201:G201">
    <cfRule type="expression" dxfId="1162" priority="187">
      <formula>NoColor</formula>
    </cfRule>
  </conditionalFormatting>
  <conditionalFormatting sqref="C21">
    <cfRule type="expression" dxfId="1161" priority="196">
      <formula>NoColor</formula>
    </cfRule>
  </conditionalFormatting>
  <conditionalFormatting sqref="C328:G328">
    <cfRule type="expression" dxfId="1160" priority="169">
      <formula>NoColor</formula>
    </cfRule>
  </conditionalFormatting>
  <conditionalFormatting sqref="C23">
    <cfRule type="expression" dxfId="1159" priority="193">
      <formula>NoColor</formula>
    </cfRule>
  </conditionalFormatting>
  <conditionalFormatting sqref="AM204:AO204">
    <cfRule type="expression" dxfId="1158" priority="176">
      <formula>NoColor</formula>
    </cfRule>
  </conditionalFormatting>
  <conditionalFormatting sqref="E193">
    <cfRule type="expression" dxfId="1157" priority="181">
      <formula>NoColor</formula>
    </cfRule>
  </conditionalFormatting>
  <conditionalFormatting sqref="E195">
    <cfRule type="expression" dxfId="1156" priority="180">
      <formula>NoColor</formula>
    </cfRule>
  </conditionalFormatting>
  <conditionalFormatting sqref="P306:AI306">
    <cfRule type="expression" dxfId="1155" priority="153">
      <formula>NoColor</formula>
    </cfRule>
  </conditionalFormatting>
  <conditionalFormatting sqref="C190:G192">
    <cfRule type="expression" dxfId="1154" priority="182">
      <formula>IF(SUM(C193,C195)&lt;&gt;1,1,0)</formula>
    </cfRule>
  </conditionalFormatting>
  <conditionalFormatting sqref="C327:G327">
    <cfRule type="expression" dxfId="1153" priority="171">
      <formula>NoColor</formula>
    </cfRule>
  </conditionalFormatting>
  <conditionalFormatting sqref="C329:G329">
    <cfRule type="expression" dxfId="1152" priority="167">
      <formula>NoColor</formula>
    </cfRule>
  </conditionalFormatting>
  <conditionalFormatting sqref="C316:G318">
    <cfRule type="expression" dxfId="1151" priority="166">
      <formula>IF(SUM(C319,C321)&lt;&gt;1,1,0)</formula>
    </cfRule>
  </conditionalFormatting>
  <conditionalFormatting sqref="E319">
    <cfRule type="expression" dxfId="1150" priority="165">
      <formula>NoColor</formula>
    </cfRule>
  </conditionalFormatting>
  <conditionalFormatting sqref="E321">
    <cfRule type="expression" dxfId="1149" priority="164">
      <formula>NoColor</formula>
    </cfRule>
  </conditionalFormatting>
  <conditionalFormatting sqref="P178:AI179">
    <cfRule type="expression" dxfId="1148" priority="156">
      <formula>NoColor</formula>
    </cfRule>
  </conditionalFormatting>
  <conditionalFormatting sqref="P180:AI180">
    <cfRule type="expression" dxfId="1147" priority="155">
      <formula>NoColor</formula>
    </cfRule>
  </conditionalFormatting>
  <conditionalFormatting sqref="AQ330:AT330">
    <cfRule type="expression" dxfId="1146" priority="159">
      <formula>NoColor</formula>
    </cfRule>
  </conditionalFormatting>
  <conditionalFormatting sqref="E234">
    <cfRule type="expression" dxfId="1145" priority="149">
      <formula>NoColor</formula>
    </cfRule>
  </conditionalFormatting>
  <conditionalFormatting sqref="P304:AI305">
    <cfRule type="expression" dxfId="1144" priority="154">
      <formula>NoColor</formula>
    </cfRule>
  </conditionalFormatting>
  <conditionalFormatting sqref="AB230:AI230">
    <cfRule type="expression" dxfId="1143" priority="146">
      <formula>NoColor</formula>
    </cfRule>
  </conditionalFormatting>
  <conditionalFormatting sqref="AB210:AI210">
    <cfRule type="expression" dxfId="1142" priority="152">
      <formula>NoColor</formula>
    </cfRule>
  </conditionalFormatting>
  <conditionalFormatting sqref="AB336:AI336">
    <cfRule type="expression" dxfId="1141" priority="151">
      <formula>NoColor</formula>
    </cfRule>
  </conditionalFormatting>
  <conditionalFormatting sqref="AQ110:AT110">
    <cfRule type="expression" dxfId="1140" priority="150">
      <formula>NoColor</formula>
    </cfRule>
  </conditionalFormatting>
  <conditionalFormatting sqref="Q234">
    <cfRule type="expression" dxfId="1139" priority="148">
      <formula>NoColor</formula>
    </cfRule>
  </conditionalFormatting>
  <conditionalFormatting sqref="AE234">
    <cfRule type="expression" dxfId="1138" priority="147">
      <formula>NoColor</formula>
    </cfRule>
  </conditionalFormatting>
  <conditionalFormatting sqref="AB233:AI233">
    <cfRule type="expression" dxfId="1137" priority="145">
      <formula>NoColor</formula>
    </cfRule>
  </conditionalFormatting>
  <conditionalFormatting sqref="AL236:AO236">
    <cfRule type="expression" dxfId="1136" priority="144">
      <formula>NoColor</formula>
    </cfRule>
  </conditionalFormatting>
  <conditionalFormatting sqref="AL243:AO243">
    <cfRule type="expression" dxfId="1135" priority="143">
      <formula>NoColor</formula>
    </cfRule>
  </conditionalFormatting>
  <conditionalFormatting sqref="AQ233:AT233">
    <cfRule type="expression" dxfId="1134" priority="142">
      <formula>NoColor</formula>
    </cfRule>
  </conditionalFormatting>
  <conditionalFormatting sqref="AQ240:AT240">
    <cfRule type="expression" dxfId="1133" priority="141">
      <formula>NoColor</formula>
    </cfRule>
  </conditionalFormatting>
  <conditionalFormatting sqref="AL240:AO240">
    <cfRule type="expression" dxfId="1132" priority="140">
      <formula>NoColor</formula>
    </cfRule>
  </conditionalFormatting>
  <conditionalFormatting sqref="AQ236:AT236">
    <cfRule type="expression" dxfId="1131" priority="139">
      <formula>NoColor</formula>
    </cfRule>
  </conditionalFormatting>
  <conditionalFormatting sqref="E360">
    <cfRule type="expression" dxfId="1130" priority="138">
      <formula>NoColor</formula>
    </cfRule>
  </conditionalFormatting>
  <conditionalFormatting sqref="Q360">
    <cfRule type="expression" dxfId="1129" priority="137">
      <formula>NoColor</formula>
    </cfRule>
  </conditionalFormatting>
  <conditionalFormatting sqref="AE360">
    <cfRule type="expression" dxfId="1128" priority="136">
      <formula>NoColor</formula>
    </cfRule>
  </conditionalFormatting>
  <conditionalFormatting sqref="AB356:AI356">
    <cfRule type="expression" dxfId="1127" priority="135">
      <formula>NoColor</formula>
    </cfRule>
  </conditionalFormatting>
  <conditionalFormatting sqref="AB359:AI359">
    <cfRule type="expression" dxfId="1126" priority="134">
      <formula>NoColor</formula>
    </cfRule>
  </conditionalFormatting>
  <conditionalFormatting sqref="AL362:AO362">
    <cfRule type="expression" dxfId="1125" priority="133">
      <formula>NoColor</formula>
    </cfRule>
  </conditionalFormatting>
  <conditionalFormatting sqref="AL369:AO369">
    <cfRule type="expression" dxfId="1124" priority="132">
      <formula>NoColor</formula>
    </cfRule>
  </conditionalFormatting>
  <conditionalFormatting sqref="AQ359:AT359">
    <cfRule type="expression" dxfId="1123" priority="131">
      <formula>NoColor</formula>
    </cfRule>
  </conditionalFormatting>
  <conditionalFormatting sqref="AQ366:AT366">
    <cfRule type="expression" dxfId="1122" priority="130">
      <formula>NoColor</formula>
    </cfRule>
  </conditionalFormatting>
  <conditionalFormatting sqref="AL366:AO366">
    <cfRule type="expression" dxfId="1121" priority="129">
      <formula>NoColor</formula>
    </cfRule>
  </conditionalFormatting>
  <conditionalFormatting sqref="AQ362:AT362">
    <cfRule type="expression" dxfId="1120" priority="128">
      <formula>NoColor</formula>
    </cfRule>
  </conditionalFormatting>
  <conditionalFormatting sqref="AL372:AO372">
    <cfRule type="expression" dxfId="1119" priority="127">
      <formula>NoColor</formula>
    </cfRule>
  </conditionalFormatting>
  <conditionalFormatting sqref="P162:AI162">
    <cfRule type="expression" dxfId="1118" priority="126">
      <formula>NoColor</formula>
    </cfRule>
  </conditionalFormatting>
  <conditionalFormatting sqref="P288:AI288">
    <cfRule type="expression" dxfId="1117" priority="124">
      <formula>NoColor</formula>
    </cfRule>
  </conditionalFormatting>
  <conditionalFormatting sqref="AL36:AO36 AL162:AO162 AL288:AO288">
    <cfRule type="expression" dxfId="1116" priority="118">
      <formula>IF(AND(SUM(P36,W36,AD36)&gt;0,AO20=0),1,0)</formula>
    </cfRule>
    <cfRule type="expression" dxfId="1115" priority="119">
      <formula>NoColor</formula>
    </cfRule>
  </conditionalFormatting>
  <conditionalFormatting sqref="AM78:AO78">
    <cfRule type="expression" dxfId="1114" priority="113">
      <formula>NoColor</formula>
    </cfRule>
  </conditionalFormatting>
  <conditionalFormatting sqref="AM330:AO330">
    <cfRule type="expression" dxfId="1113" priority="112">
      <formula>NoColor</formula>
    </cfRule>
  </conditionalFormatting>
  <conditionalFormatting sqref="AL187:AO187">
    <cfRule type="expression" dxfId="1112" priority="111">
      <formula>NoColor</formula>
    </cfRule>
  </conditionalFormatting>
  <conditionalFormatting sqref="AL188:AO188">
    <cfRule type="expression" dxfId="1111" priority="110">
      <formula>NoColor</formula>
    </cfRule>
  </conditionalFormatting>
  <conditionalFormatting sqref="AL313:AO313">
    <cfRule type="expression" dxfId="1110" priority="109">
      <formula>NoColor</formula>
    </cfRule>
  </conditionalFormatting>
  <conditionalFormatting sqref="AL314:AO314">
    <cfRule type="expression" dxfId="1109" priority="108">
      <formula>NoColor</formula>
    </cfRule>
  </conditionalFormatting>
  <conditionalFormatting sqref="W23">
    <cfRule type="expression" dxfId="1108" priority="105">
      <formula>NoColor</formula>
    </cfRule>
  </conditionalFormatting>
  <conditionalFormatting sqref="W275">
    <cfRule type="expression" dxfId="1107" priority="80">
      <formula>NoColor</formula>
    </cfRule>
  </conditionalFormatting>
  <conditionalFormatting sqref="C273">
    <cfRule type="expression" dxfId="1106" priority="82">
      <formula>NoColor</formula>
    </cfRule>
  </conditionalFormatting>
  <conditionalFormatting sqref="W21">
    <cfRule type="expression" dxfId="1105" priority="104">
      <formula>NoColor</formula>
    </cfRule>
  </conditionalFormatting>
  <conditionalFormatting sqref="AI21">
    <cfRule type="expression" dxfId="1104" priority="101">
      <formula>NoColor</formula>
    </cfRule>
  </conditionalFormatting>
  <conditionalFormatting sqref="K23">
    <cfRule type="expression" dxfId="1103" priority="100">
      <formula>NoColor</formula>
    </cfRule>
  </conditionalFormatting>
  <conditionalFormatting sqref="AI273">
    <cfRule type="expression" dxfId="1102" priority="78">
      <formula>NoColor</formula>
    </cfRule>
  </conditionalFormatting>
  <conditionalFormatting sqref="K275">
    <cfRule type="expression" dxfId="1101" priority="77">
      <formula>NoColor</formula>
    </cfRule>
  </conditionalFormatting>
  <conditionalFormatting sqref="K21">
    <cfRule type="expression" dxfId="1100" priority="99">
      <formula>NoColor</formula>
    </cfRule>
  </conditionalFormatting>
  <conditionalFormatting sqref="AH18">
    <cfRule type="expression" dxfId="1099" priority="98">
      <formula>$AO$20&gt;1</formula>
    </cfRule>
  </conditionalFormatting>
  <conditionalFormatting sqref="B19">
    <cfRule type="expression" dxfId="1098" priority="97">
      <formula>$AO$20&gt;1</formula>
    </cfRule>
  </conditionalFormatting>
  <conditionalFormatting sqref="B144">
    <cfRule type="expression" dxfId="1097" priority="93">
      <formula>$AO$149</formula>
    </cfRule>
  </conditionalFormatting>
  <conditionalFormatting sqref="C147">
    <cfRule type="expression" dxfId="1096" priority="92">
      <formula>NoColor</formula>
    </cfRule>
  </conditionalFormatting>
  <conditionalFormatting sqref="C149">
    <cfRule type="expression" dxfId="1095" priority="91">
      <formula>NoColor</formula>
    </cfRule>
  </conditionalFormatting>
  <conditionalFormatting sqref="W149">
    <cfRule type="expression" dxfId="1094" priority="90">
      <formula>NoColor</formula>
    </cfRule>
  </conditionalFormatting>
  <conditionalFormatting sqref="W147">
    <cfRule type="expression" dxfId="1093" priority="89">
      <formula>NoColor</formula>
    </cfRule>
  </conditionalFormatting>
  <conditionalFormatting sqref="AI147">
    <cfRule type="expression" dxfId="1092" priority="88">
      <formula>NoColor</formula>
    </cfRule>
  </conditionalFormatting>
  <conditionalFormatting sqref="K149">
    <cfRule type="expression" dxfId="1091" priority="87">
      <formula>NoColor</formula>
    </cfRule>
  </conditionalFormatting>
  <conditionalFormatting sqref="K147">
    <cfRule type="expression" dxfId="1090" priority="86">
      <formula>NoColor</formula>
    </cfRule>
  </conditionalFormatting>
  <conditionalFormatting sqref="AH144">
    <cfRule type="expression" dxfId="1089" priority="85">
      <formula>$AO$20&gt;1</formula>
    </cfRule>
  </conditionalFormatting>
  <conditionalFormatting sqref="B145">
    <cfRule type="expression" dxfId="1088" priority="84">
      <formula>$AO$20&gt;1</formula>
    </cfRule>
  </conditionalFormatting>
  <conditionalFormatting sqref="B270">
    <cfRule type="expression" dxfId="1087" priority="83">
      <formula>$AO$275</formula>
    </cfRule>
  </conditionalFormatting>
  <conditionalFormatting sqref="C275">
    <cfRule type="expression" dxfId="1086" priority="81">
      <formula>NoColor</formula>
    </cfRule>
  </conditionalFormatting>
  <conditionalFormatting sqref="W273">
    <cfRule type="expression" dxfId="1085" priority="79">
      <formula>NoColor</formula>
    </cfRule>
  </conditionalFormatting>
  <conditionalFormatting sqref="K273">
    <cfRule type="expression" dxfId="1084" priority="76">
      <formula>NoColor</formula>
    </cfRule>
  </conditionalFormatting>
  <conditionalFormatting sqref="AH270">
    <cfRule type="expression" dxfId="1083" priority="75">
      <formula>$AO$20&gt;1</formula>
    </cfRule>
  </conditionalFormatting>
  <conditionalFormatting sqref="B271">
    <cfRule type="expression" dxfId="1082" priority="74">
      <formula>$AO$20&gt;1</formula>
    </cfRule>
  </conditionalFormatting>
  <conditionalFormatting sqref="AO18">
    <cfRule type="expression" dxfId="1081" priority="57">
      <formula>$AO$20&gt;1</formula>
    </cfRule>
  </conditionalFormatting>
  <conditionalFormatting sqref="AI18">
    <cfRule type="expression" dxfId="1080" priority="56">
      <formula>AO20&gt;1</formula>
    </cfRule>
  </conditionalFormatting>
  <conditionalFormatting sqref="AB248:AI254">
    <cfRule type="expression" dxfId="1079" priority="55">
      <formula>NoColor</formula>
    </cfRule>
  </conditionalFormatting>
  <conditionalFormatting sqref="AB374:AI380">
    <cfRule type="expression" dxfId="1078" priority="54">
      <formula>NoColor</formula>
    </cfRule>
  </conditionalFormatting>
  <conditionalFormatting sqref="AI144">
    <cfRule type="expression" dxfId="1077" priority="53">
      <formula>AO146&gt;1</formula>
    </cfRule>
  </conditionalFormatting>
  <conditionalFormatting sqref="AI270">
    <cfRule type="expression" dxfId="1076" priority="52">
      <formula>AO272&gt;1</formula>
    </cfRule>
  </conditionalFormatting>
  <conditionalFormatting sqref="P177:AI177">
    <cfRule type="expression" dxfId="1075" priority="51">
      <formula>NoColor</formula>
    </cfRule>
  </conditionalFormatting>
  <conditionalFormatting sqref="P303:AI303">
    <cfRule type="expression" dxfId="1074" priority="50">
      <formula>NoColor</formula>
    </cfRule>
  </conditionalFormatting>
  <conditionalFormatting sqref="B2">
    <cfRule type="expression" dxfId="1073" priority="49">
      <formula>$A$2</formula>
    </cfRule>
  </conditionalFormatting>
  <conditionalFormatting sqref="AO8">
    <cfRule type="expression" dxfId="1072" priority="47">
      <formula>AND(AO8&lt;&gt;0,AO8&lt;&gt;"",NoColor)</formula>
    </cfRule>
    <cfRule type="expression" dxfId="1071" priority="48">
      <formula>AND(AO8&lt;&gt;0,AO8&lt;&gt;"")</formula>
    </cfRule>
  </conditionalFormatting>
  <conditionalFormatting sqref="B4:C4">
    <cfRule type="expression" dxfId="1070" priority="46">
      <formula>NoColor</formula>
    </cfRule>
  </conditionalFormatting>
  <conditionalFormatting sqref="B6:C6">
    <cfRule type="expression" dxfId="1069" priority="45">
      <formula>NoColor</formula>
    </cfRule>
  </conditionalFormatting>
  <conditionalFormatting sqref="B8:C8">
    <cfRule type="expression" dxfId="1068" priority="44">
      <formula>NoColor</formula>
    </cfRule>
  </conditionalFormatting>
  <conditionalFormatting sqref="X201 AA201 AE201 AI201">
    <cfRule type="expression" dxfId="1067" priority="25">
      <formula>NoColor</formula>
    </cfRule>
  </conditionalFormatting>
  <conditionalFormatting sqref="H201 K201 O201">
    <cfRule type="expression" dxfId="1066" priority="24">
      <formula>NoColor</formula>
    </cfRule>
  </conditionalFormatting>
  <conditionalFormatting sqref="X202 AA202 AE202 AI202">
    <cfRule type="expression" dxfId="1065" priority="23">
      <formula>NoColor</formula>
    </cfRule>
  </conditionalFormatting>
  <conditionalFormatting sqref="H202 K202 O202">
    <cfRule type="expression" dxfId="1064" priority="22">
      <formula>NoColor</formula>
    </cfRule>
  </conditionalFormatting>
  <conditionalFormatting sqref="X203 AA203 AE203 AI203">
    <cfRule type="expression" dxfId="1063" priority="21">
      <formula>NoColor</formula>
    </cfRule>
  </conditionalFormatting>
  <conditionalFormatting sqref="H203 K203 O203">
    <cfRule type="expression" dxfId="1062" priority="20">
      <formula>NoColor</formula>
    </cfRule>
  </conditionalFormatting>
  <conditionalFormatting sqref="T201:W201">
    <cfRule type="expression" dxfId="1061" priority="19">
      <formula>NoColor</formula>
    </cfRule>
  </conditionalFormatting>
  <conditionalFormatting sqref="T202:W202">
    <cfRule type="expression" dxfId="1060" priority="18">
      <formula>NoColor</formula>
    </cfRule>
  </conditionalFormatting>
  <conditionalFormatting sqref="T203:W203">
    <cfRule type="expression" dxfId="1059" priority="17">
      <formula>NoColor</formula>
    </cfRule>
  </conditionalFormatting>
  <conditionalFormatting sqref="X327 AA327 AE327 AI327">
    <cfRule type="expression" dxfId="1058" priority="16">
      <formula>NoColor</formula>
    </cfRule>
  </conditionalFormatting>
  <conditionalFormatting sqref="H327 K327 O327">
    <cfRule type="expression" dxfId="1057" priority="15">
      <formula>NoColor</formula>
    </cfRule>
  </conditionalFormatting>
  <conditionalFormatting sqref="X328 AA328 AE328 AI328">
    <cfRule type="expression" dxfId="1056" priority="14">
      <formula>NoColor</formula>
    </cfRule>
  </conditionalFormatting>
  <conditionalFormatting sqref="H328 K328 O328">
    <cfRule type="expression" dxfId="1055" priority="13">
      <formula>NoColor</formula>
    </cfRule>
  </conditionalFormatting>
  <conditionalFormatting sqref="X329 AA329 AE329 AI329">
    <cfRule type="expression" dxfId="1054" priority="12">
      <formula>NoColor</formula>
    </cfRule>
  </conditionalFormatting>
  <conditionalFormatting sqref="H329 K329 O329">
    <cfRule type="expression" dxfId="1053" priority="11">
      <formula>NoColor</formula>
    </cfRule>
  </conditionalFormatting>
  <conditionalFormatting sqref="T327:W327">
    <cfRule type="expression" dxfId="1052" priority="10">
      <formula>NoColor</formula>
    </cfRule>
  </conditionalFormatting>
  <conditionalFormatting sqref="T328:W328">
    <cfRule type="expression" dxfId="1051" priority="9">
      <formula>NoColor</formula>
    </cfRule>
  </conditionalFormatting>
  <conditionalFormatting sqref="T329:W329">
    <cfRule type="expression" dxfId="1050" priority="8">
      <formula>NoColor</formula>
    </cfRule>
  </conditionalFormatting>
  <conditionalFormatting sqref="AQ11:AW15">
    <cfRule type="expression" dxfId="1049" priority="7">
      <formula>$AQ$10</formula>
    </cfRule>
  </conditionalFormatting>
  <conditionalFormatting sqref="AM201">
    <cfRule type="expression" dxfId="1048" priority="6">
      <formula>NoColor</formula>
    </cfRule>
  </conditionalFormatting>
  <conditionalFormatting sqref="AM202">
    <cfRule type="expression" dxfId="1047" priority="5">
      <formula>NoColor</formula>
    </cfRule>
  </conditionalFormatting>
  <conditionalFormatting sqref="AM203">
    <cfRule type="expression" dxfId="1046" priority="4">
      <formula>NoColor</formula>
    </cfRule>
  </conditionalFormatting>
  <conditionalFormatting sqref="AM327">
    <cfRule type="expression" dxfId="1045" priority="3">
      <formula>NoColor</formula>
    </cfRule>
  </conditionalFormatting>
  <conditionalFormatting sqref="AM328">
    <cfRule type="expression" dxfId="1044" priority="2">
      <formula>NoColor</formula>
    </cfRule>
  </conditionalFormatting>
  <conditionalFormatting sqref="AM329">
    <cfRule type="expression" dxfId="1043" priority="1">
      <formula>NoColor</formula>
    </cfRule>
  </conditionalFormatting>
  <pageMargins left="0.45" right="0.45" top="0.4" bottom="0.25" header="0" footer="0"/>
  <pageSetup scale="84" fitToHeight="0" orientation="portrait" r:id="rId1"/>
  <rowBreaks count="5" manualBreakCount="5">
    <brk id="79" max="16383" man="1"/>
    <brk id="135" min="1" max="40" man="1"/>
    <brk id="206" max="16383" man="1"/>
    <brk id="261" min="1" max="40" man="1"/>
    <brk id="332" max="16383" man="1"/>
  </rowBreaks>
  <colBreaks count="2" manualBreakCount="2">
    <brk id="2" min="9" max="373" man="1"/>
    <brk id="7" min="9" max="373" man="1"/>
  </col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67"/>
  <sheetViews>
    <sheetView zoomScaleNormal="100" zoomScaleSheetLayoutView="100" workbookViewId="0">
      <pane ySplit="3" topLeftCell="A4" activePane="bottomLeft" state="frozen"/>
      <selection activeCell="O28" sqref="O28"/>
      <selection pane="bottomLeft" activeCell="AC8" sqref="AC8:AE9"/>
    </sheetView>
  </sheetViews>
  <sheetFormatPr defaultRowHeight="12.75"/>
  <cols>
    <col min="1" max="2" width="2.140625" customWidth="1"/>
    <col min="3" max="3" width="4.140625" customWidth="1"/>
    <col min="4" max="4" width="3.140625" customWidth="1"/>
    <col min="5" max="5" width="10.5703125" customWidth="1"/>
    <col min="6" max="6" width="5.28515625" customWidth="1"/>
    <col min="7" max="7" width="8" customWidth="1"/>
    <col min="8" max="8" width="3" customWidth="1"/>
    <col min="9" max="9" width="7.5703125" customWidth="1"/>
    <col min="10" max="10" width="4.140625" customWidth="1"/>
    <col min="11" max="11" width="5.42578125" customWidth="1"/>
    <col min="12" max="12" width="1.28515625" customWidth="1"/>
    <col min="13" max="13" width="3.5703125" customWidth="1"/>
    <col min="14" max="14" width="5.28515625" customWidth="1"/>
    <col min="15" max="15" width="3.85546875" customWidth="1"/>
    <col min="16" max="16" width="4" customWidth="1"/>
    <col min="17" max="17" width="10.7109375" customWidth="1"/>
    <col min="18" max="18" width="3.28515625" customWidth="1"/>
    <col min="19" max="19" width="10.7109375" customWidth="1"/>
    <col min="20" max="20" width="3.28515625" customWidth="1"/>
    <col min="21" max="21" width="10.7109375" customWidth="1"/>
    <col min="22" max="22" width="3.28515625" customWidth="1"/>
    <col min="23" max="23" width="10.7109375" customWidth="1"/>
    <col min="24" max="24" width="5" customWidth="1"/>
    <col min="25" max="25" width="2.85546875" style="3" customWidth="1"/>
    <col min="26" max="26" width="13.85546875" customWidth="1"/>
    <col min="27" max="27" width="4.7109375" customWidth="1"/>
    <col min="28" max="28" width="3.5703125" customWidth="1"/>
    <col min="29" max="29" width="4.7109375" customWidth="1"/>
    <col min="30" max="30" width="2" customWidth="1"/>
    <col min="31" max="31" width="11.85546875" customWidth="1"/>
    <col min="32" max="32" width="5.5703125" customWidth="1"/>
    <col min="33" max="33" width="4.140625" customWidth="1"/>
    <col min="34" max="34" width="4.7109375" customWidth="1"/>
    <col min="35" max="35" width="21" customWidth="1"/>
    <col min="36" max="36" width="2.7109375" customWidth="1"/>
    <col min="37" max="37" width="10.7109375" customWidth="1"/>
    <col min="38" max="38" width="1.7109375" customWidth="1"/>
    <col min="39" max="39" width="10.7109375" customWidth="1"/>
    <col min="40" max="40" width="1.7109375" customWidth="1"/>
    <col min="41" max="41" width="10.7109375" customWidth="1"/>
    <col min="42" max="42" width="1.7109375" customWidth="1"/>
    <col min="43" max="43" width="10.7109375" customWidth="1"/>
    <col min="44" max="44" width="1.7109375" customWidth="1"/>
    <col min="45" max="45" width="3.42578125" customWidth="1"/>
    <col min="46" max="46" width="2.7109375" customWidth="1"/>
    <col min="47" max="47" width="5.85546875" customWidth="1"/>
    <col min="48" max="48" width="5.85546875" style="931" hidden="1" customWidth="1"/>
    <col min="49" max="53" width="13.5703125" hidden="1" customWidth="1"/>
    <col min="54" max="54" width="5.85546875" customWidth="1"/>
    <col min="55" max="65" width="10.7109375" style="3169" customWidth="1"/>
    <col min="66" max="78" width="9" hidden="1" customWidth="1"/>
  </cols>
  <sheetData>
    <row r="1" spans="1:65" ht="15">
      <c r="A1" s="1443"/>
      <c r="B1" s="1443"/>
      <c r="C1" s="1443"/>
      <c r="D1" s="1443"/>
      <c r="E1" s="1443"/>
      <c r="F1" s="1443"/>
      <c r="G1" s="1443"/>
      <c r="H1" s="1443"/>
      <c r="I1" s="1443"/>
      <c r="J1" s="1443"/>
      <c r="K1" s="1443"/>
      <c r="L1" s="1443"/>
      <c r="M1" s="1443"/>
      <c r="N1" s="1443"/>
      <c r="O1" s="1443"/>
      <c r="P1" s="1443"/>
      <c r="Q1" s="1443"/>
      <c r="R1" s="1443"/>
      <c r="S1" s="1443"/>
      <c r="T1" s="1443"/>
      <c r="U1" s="1443"/>
      <c r="V1" s="1443"/>
      <c r="W1" s="1443"/>
      <c r="X1" s="1443"/>
      <c r="Y1" s="1450"/>
      <c r="Z1" s="1443"/>
      <c r="AA1" s="1408"/>
      <c r="AB1" s="1408"/>
      <c r="AC1" s="1408"/>
      <c r="AD1" s="1408"/>
      <c r="AE1" s="1408"/>
      <c r="AF1" s="1408"/>
      <c r="AG1" s="1408"/>
      <c r="AH1" s="1408"/>
      <c r="AI1" s="1408"/>
      <c r="AJ1" s="1408"/>
      <c r="AK1" s="1408"/>
      <c r="AL1" s="1408"/>
      <c r="AM1" s="1408"/>
      <c r="AN1" s="1408"/>
      <c r="AO1" s="1408"/>
      <c r="AP1" s="1408"/>
      <c r="AQ1" s="1408"/>
      <c r="AR1" s="1408"/>
      <c r="AS1" s="1408"/>
      <c r="AT1" s="1408"/>
      <c r="AU1" s="1408"/>
      <c r="BC1" s="3168" t="s">
        <v>2552</v>
      </c>
    </row>
    <row r="2" spans="1:65" ht="16.5" customHeight="1">
      <c r="A2" s="1443"/>
      <c r="B2" s="1443"/>
      <c r="C2" s="2948" t="str">
        <f>IF(AND(U38="",U39=""),"Please complete Lines 2 and 3.",IF($V$42,"Line 4 is less than "&amp;TEXT(W42,"$0,000")&amp;", don't file Form 2210.",IF($U$47,"Line 7 is less than "&amp;TEXT(W42,"$0,000")&amp;", don't file Form 2210.",IF(NOT(AC37),"Complete information in Columns AB &amp; AC for "&amp;TaxYear-1&amp;".",IF(AND(NOT($W$47),NOT($B$65)),"Line 9 is not more than Line 6 and Box E does not apply. You don't owe a penalty. Don't file Form 2210.",IF(AND(NOT($W$47),$B$65,NOT(B59),NOT(B61),NOT(B63)),"Box E applies. You must file page 1 of Form 2210, but you aren't required to figure your penalty.",IF(B59,"Box B applies.  You must figure your penalty and waiver amount and file Form 2210.",IF(B57,"Box A applies.  File only page 1 of Form 2210, but you aren't required to figure your penalty.",IF(B61,"Box C applies.  You must figure the penalty using Schedule AI and file Form 2210.",IF(B65,"Box E applies. You must file page 1 of Form 2210, but you aren't required to figure your penalty.",IF(NOT(B66),"You may owe a penalty but don't file Form 2210 unless one or more boxes in Part II apply.",IF($W$73,"You can use Part III, Short Method, to figure the penality.",IF(W80,"You must use Part IV, Regular Method, to figure the penalty.",":")))))))))))))</f>
        <v>Line 4 is less than $1,000, don't file Form 2210.</v>
      </c>
      <c r="D2" s="1443"/>
      <c r="E2" s="1443"/>
      <c r="F2" s="1443"/>
      <c r="G2" s="1443"/>
      <c r="H2" s="1443"/>
      <c r="I2" s="1443"/>
      <c r="J2" s="1443"/>
      <c r="K2" s="1443"/>
      <c r="L2" s="1443"/>
      <c r="M2" s="1443"/>
      <c r="N2" s="1443"/>
      <c r="O2" s="1443"/>
      <c r="P2" s="1443"/>
      <c r="Q2" s="1443"/>
      <c r="R2" s="1443"/>
      <c r="S2" s="1443"/>
      <c r="T2" s="1443"/>
      <c r="U2" s="1443"/>
      <c r="V2" s="1443"/>
      <c r="W2" s="1443"/>
      <c r="X2" s="1443"/>
      <c r="Y2" s="1450"/>
      <c r="Z2" s="1443"/>
      <c r="AA2" s="1408"/>
      <c r="AB2" s="1408"/>
      <c r="AC2" s="1408"/>
      <c r="AD2" s="1408"/>
      <c r="AE2" s="1408"/>
      <c r="AF2" s="1408"/>
      <c r="AG2" s="1408"/>
      <c r="AH2" s="1408"/>
      <c r="AI2" s="1408"/>
      <c r="AJ2" s="1408"/>
      <c r="AK2" s="1408"/>
      <c r="AL2" s="1408"/>
      <c r="AM2" s="1408"/>
      <c r="AN2" s="1408"/>
      <c r="AO2" s="1408"/>
      <c r="AP2" s="1408"/>
      <c r="AQ2" s="1408"/>
      <c r="AR2" s="1408"/>
      <c r="AS2" s="1408"/>
      <c r="AT2" s="1408"/>
      <c r="AU2" s="1408"/>
    </row>
    <row r="3" spans="1:65" ht="16.5" customHeight="1">
      <c r="A3" s="1443"/>
      <c r="B3" s="1443"/>
      <c r="C3" s="1443"/>
      <c r="D3" s="1443"/>
      <c r="E3" s="1443"/>
      <c r="F3" s="1443"/>
      <c r="G3" s="1443"/>
      <c r="H3" s="1443"/>
      <c r="I3" s="1443"/>
      <c r="J3" s="1443"/>
      <c r="K3" s="1443"/>
      <c r="L3" s="1443"/>
      <c r="M3" s="1443"/>
      <c r="N3" s="1443"/>
      <c r="O3" s="1443"/>
      <c r="P3" s="1443"/>
      <c r="Q3" s="1443"/>
      <c r="R3" s="1443"/>
      <c r="S3" s="1443"/>
      <c r="T3" s="1443"/>
      <c r="U3" s="1443"/>
      <c r="V3" s="1443"/>
      <c r="W3" s="1443"/>
      <c r="X3" s="1443"/>
      <c r="Y3" s="1450"/>
      <c r="Z3" s="1443"/>
      <c r="AA3" s="1408"/>
      <c r="AB3" s="1408"/>
      <c r="AC3" s="1408"/>
      <c r="AD3" s="1408"/>
      <c r="AE3" s="1408"/>
      <c r="AF3" s="1408"/>
      <c r="AG3" s="1408"/>
      <c r="AH3" s="1408"/>
      <c r="AI3" s="1408"/>
      <c r="AJ3" s="1408"/>
      <c r="AK3" s="1408"/>
      <c r="AL3" s="1408"/>
      <c r="AM3" s="1408"/>
      <c r="AN3" s="1408"/>
      <c r="AO3" s="1408"/>
      <c r="AP3" s="1408"/>
      <c r="AQ3" s="1408"/>
      <c r="AR3" s="1408"/>
      <c r="AS3" s="1408"/>
      <c r="AT3" s="1408"/>
      <c r="AU3" s="1408"/>
    </row>
    <row r="4" spans="1:65" ht="9.75" customHeight="1">
      <c r="A4" s="1443"/>
      <c r="B4" s="1443"/>
      <c r="C4" s="1443"/>
      <c r="D4" s="1443"/>
      <c r="E4" s="1443"/>
      <c r="F4" s="1443"/>
      <c r="G4" s="1443"/>
      <c r="H4" s="1443"/>
      <c r="I4" s="1443"/>
      <c r="J4" s="1443"/>
      <c r="K4" s="1443"/>
      <c r="L4" s="1443"/>
      <c r="M4" s="1443"/>
      <c r="N4" s="1443"/>
      <c r="O4" s="1443"/>
      <c r="P4" s="1443"/>
      <c r="Q4" s="1443"/>
      <c r="R4" s="1443"/>
      <c r="S4" s="1443"/>
      <c r="T4" s="1443"/>
      <c r="U4" s="1443"/>
      <c r="V4" s="1443"/>
      <c r="W4" s="1443"/>
      <c r="X4" s="1443"/>
      <c r="Y4" s="1450"/>
      <c r="Z4" s="1443"/>
      <c r="AA4" s="1408"/>
      <c r="AB4" s="1408"/>
      <c r="AC4" s="1408"/>
      <c r="AD4" s="1408"/>
      <c r="AE4" s="1408"/>
      <c r="AF4" s="1408"/>
      <c r="AG4" s="1408"/>
      <c r="AH4" s="1408"/>
      <c r="AI4" s="1408"/>
      <c r="AJ4" s="1408"/>
      <c r="AK4" s="1408"/>
      <c r="AL4" s="1408"/>
      <c r="AM4" s="1408"/>
      <c r="AN4" s="1408"/>
      <c r="AO4" s="1408"/>
      <c r="AP4" s="1408"/>
      <c r="AQ4" s="1408"/>
      <c r="AR4" s="1408"/>
      <c r="AS4" s="1408"/>
      <c r="AT4" s="1408"/>
      <c r="AU4" s="1408"/>
    </row>
    <row r="5" spans="1:65" ht="9" customHeight="1" thickBot="1">
      <c r="A5" s="635"/>
      <c r="B5" s="635"/>
      <c r="C5" s="635"/>
      <c r="D5" s="635"/>
      <c r="E5" s="635"/>
      <c r="F5" s="635"/>
      <c r="G5" s="635"/>
      <c r="H5" s="635"/>
      <c r="I5" s="635"/>
      <c r="J5" s="635"/>
      <c r="K5" s="635"/>
      <c r="L5" s="635"/>
      <c r="M5" s="635"/>
      <c r="N5" s="635"/>
      <c r="O5" s="635"/>
      <c r="P5" s="635"/>
      <c r="Q5" s="635"/>
      <c r="R5" s="635"/>
      <c r="S5" s="635"/>
      <c r="T5" s="635"/>
      <c r="U5" s="635"/>
      <c r="V5" s="635"/>
      <c r="W5" s="635"/>
      <c r="X5" s="635"/>
      <c r="Y5" s="1450"/>
      <c r="Z5" s="452"/>
      <c r="AA5" s="452"/>
      <c r="AB5" s="452"/>
      <c r="AC5" s="452"/>
      <c r="AD5" s="452"/>
      <c r="AE5" s="452"/>
      <c r="AF5" s="452"/>
      <c r="AG5" s="452"/>
      <c r="AH5" s="452"/>
      <c r="AI5" s="452"/>
      <c r="AJ5" s="452"/>
      <c r="AK5" s="452"/>
      <c r="AL5" s="452"/>
      <c r="AM5" s="452"/>
      <c r="AN5" s="452"/>
      <c r="AO5" s="452"/>
      <c r="AP5" s="452"/>
      <c r="AQ5" s="452"/>
      <c r="AR5" s="1408"/>
      <c r="AS5" s="1408"/>
      <c r="AT5" s="1408"/>
      <c r="AU5" s="1408"/>
    </row>
    <row r="6" spans="1:65" ht="21.75" customHeight="1" thickBot="1">
      <c r="A6" s="635"/>
      <c r="B6" s="6993"/>
      <c r="C6" s="6993"/>
      <c r="D6" s="6993"/>
      <c r="E6" s="6994">
        <v>2210</v>
      </c>
      <c r="F6" s="6995"/>
      <c r="G6" s="7073" t="s">
        <v>2169</v>
      </c>
      <c r="H6" s="7074"/>
      <c r="I6" s="7074"/>
      <c r="J6" s="7074"/>
      <c r="K6" s="7074"/>
      <c r="L6" s="7074"/>
      <c r="M6" s="7074"/>
      <c r="N6" s="7074"/>
      <c r="O6" s="7074"/>
      <c r="P6" s="7074"/>
      <c r="Q6" s="7074"/>
      <c r="R6" s="7074"/>
      <c r="S6" s="7075"/>
      <c r="T6" s="6677" t="s">
        <v>169</v>
      </c>
      <c r="U6" s="6678"/>
      <c r="V6" s="6678"/>
      <c r="W6" s="6678"/>
      <c r="X6" s="82"/>
      <c r="Y6" s="1450"/>
      <c r="Z6" s="452"/>
      <c r="AA6" s="1758"/>
      <c r="AB6" s="7046">
        <f>TaxYear-1</f>
        <v>2017</v>
      </c>
      <c r="AC6" s="7046"/>
      <c r="AD6" s="7046"/>
      <c r="AE6" s="7046"/>
      <c r="AF6" s="1874"/>
      <c r="AG6" s="452"/>
      <c r="AH6" s="452"/>
      <c r="AI6" s="452"/>
      <c r="AJ6" s="452"/>
      <c r="AK6" s="452"/>
      <c r="AL6" s="452"/>
      <c r="AM6" s="452"/>
      <c r="AN6" s="452"/>
      <c r="AO6" s="452"/>
      <c r="AP6" s="452"/>
      <c r="AQ6" s="452"/>
      <c r="AR6" s="1408"/>
      <c r="AS6" s="1408"/>
      <c r="AT6" s="1408"/>
      <c r="AU6" s="1408"/>
    </row>
    <row r="7" spans="1:65" ht="27.75" customHeight="1" thickBot="1">
      <c r="A7" s="635"/>
      <c r="B7" s="354"/>
      <c r="C7" s="6997" t="s">
        <v>331</v>
      </c>
      <c r="D7" s="6998"/>
      <c r="E7" s="6996"/>
      <c r="F7" s="6995"/>
      <c r="G7" s="7073"/>
      <c r="H7" s="7074"/>
      <c r="I7" s="7074"/>
      <c r="J7" s="7074"/>
      <c r="K7" s="7074"/>
      <c r="L7" s="7074"/>
      <c r="M7" s="7074"/>
      <c r="N7" s="7074"/>
      <c r="O7" s="7074"/>
      <c r="P7" s="7074"/>
      <c r="Q7" s="7074"/>
      <c r="R7" s="7074"/>
      <c r="S7" s="7075"/>
      <c r="T7" s="6679">
        <f>TaxYear</f>
        <v>2018</v>
      </c>
      <c r="U7" s="5582"/>
      <c r="V7" s="5582"/>
      <c r="W7" s="5582"/>
      <c r="X7" s="82"/>
      <c r="Y7" s="1450"/>
      <c r="Z7" s="2949" t="str">
        <f>IF($AC$8="","Enter taxes","")</f>
        <v>Enter taxes</v>
      </c>
      <c r="AA7" s="1761"/>
      <c r="AB7" s="1408"/>
      <c r="AC7" s="7081" t="str">
        <f>" Taxes Paid"</f>
        <v xml:space="preserve"> Taxes Paid</v>
      </c>
      <c r="AD7" s="6088"/>
      <c r="AE7" s="6088"/>
      <c r="AF7" s="1877"/>
      <c r="AG7" s="452"/>
      <c r="AH7" s="6951" t="s">
        <v>4947</v>
      </c>
      <c r="AI7" s="6952"/>
      <c r="AJ7" s="6952"/>
      <c r="AK7" s="6952"/>
      <c r="AL7" s="6952"/>
      <c r="AM7" s="6952"/>
      <c r="AN7" s="6952"/>
      <c r="AO7" s="6952"/>
      <c r="AP7" s="6953"/>
      <c r="AQ7" s="452"/>
      <c r="AR7" s="1408"/>
      <c r="AS7" s="1408"/>
      <c r="AT7" s="1408"/>
      <c r="AU7" s="1408"/>
    </row>
    <row r="8" spans="1:65" ht="13.5" customHeight="1">
      <c r="A8" s="635"/>
      <c r="B8" s="36"/>
      <c r="C8" s="36" t="s">
        <v>202</v>
      </c>
      <c r="D8" s="36"/>
      <c r="E8" s="36"/>
      <c r="F8" s="101"/>
      <c r="G8" s="6656" t="s">
        <v>2539</v>
      </c>
      <c r="H8" s="7076"/>
      <c r="I8" s="7076"/>
      <c r="J8" s="7076"/>
      <c r="K8" s="7076"/>
      <c r="L8" s="7076"/>
      <c r="M8" s="7076"/>
      <c r="N8" s="7076"/>
      <c r="O8" s="7076"/>
      <c r="P8" s="7076"/>
      <c r="Q8" s="7076"/>
      <c r="R8" s="7076"/>
      <c r="S8" s="7076"/>
      <c r="T8" s="6986" t="s">
        <v>203</v>
      </c>
      <c r="U8" s="5680"/>
      <c r="V8" s="5680"/>
      <c r="W8" s="5680"/>
      <c r="X8" s="82"/>
      <c r="Y8" s="1450"/>
      <c r="Z8" s="2950" t="str">
        <f>IF($AC$8="","paid for Tax","")</f>
        <v>paid for Tax</v>
      </c>
      <c r="AA8" s="1761"/>
      <c r="AB8" s="3481" t="s">
        <v>2544</v>
      </c>
      <c r="AC8" s="7053"/>
      <c r="AD8" s="7054"/>
      <c r="AE8" s="7055"/>
      <c r="AF8" s="1877"/>
      <c r="AG8" s="452"/>
      <c r="AH8" s="6945" t="s">
        <v>4946</v>
      </c>
      <c r="AI8" s="6946"/>
      <c r="AJ8" s="6946"/>
      <c r="AK8" s="6946"/>
      <c r="AL8" s="6946"/>
      <c r="AM8" s="6946"/>
      <c r="AN8" s="6946"/>
      <c r="AO8" s="6946"/>
      <c r="AP8" s="6947"/>
      <c r="AQ8" s="452"/>
      <c r="AR8" s="1408"/>
      <c r="AS8" s="1408"/>
      <c r="AT8" s="1408"/>
      <c r="AU8" s="1408"/>
    </row>
    <row r="9" spans="1:65" ht="12.75" customHeight="1" thickBot="1">
      <c r="A9" s="635"/>
      <c r="B9" s="433"/>
      <c r="C9" s="6989" t="str">
        <f>"Internal Revenue Service"</f>
        <v>Internal Revenue Service</v>
      </c>
      <c r="D9" s="6990"/>
      <c r="E9" s="6990"/>
      <c r="F9" s="6991"/>
      <c r="G9" s="6651" t="s">
        <v>2170</v>
      </c>
      <c r="H9" s="7077"/>
      <c r="I9" s="7077"/>
      <c r="J9" s="7077"/>
      <c r="K9" s="7077"/>
      <c r="L9" s="7077"/>
      <c r="M9" s="7077"/>
      <c r="N9" s="7077"/>
      <c r="O9" s="7077"/>
      <c r="P9" s="7077"/>
      <c r="Q9" s="7077"/>
      <c r="R9" s="7077"/>
      <c r="S9" s="7077"/>
      <c r="T9" s="6987" t="s">
        <v>4739</v>
      </c>
      <c r="U9" s="6988"/>
      <c r="V9" s="6988"/>
      <c r="W9" s="6988"/>
      <c r="X9" s="82"/>
      <c r="Y9" s="1450"/>
      <c r="Z9" s="2951" t="str">
        <f>IF($AC$8="","Year "&amp;TaxYear-1&amp;" &gt;&gt;&gt;","")</f>
        <v>Year 2017 &gt;&gt;&gt;</v>
      </c>
      <c r="AA9" s="1761"/>
      <c r="AB9" s="1408"/>
      <c r="AC9" s="7056"/>
      <c r="AD9" s="7057"/>
      <c r="AE9" s="7058"/>
      <c r="AF9" s="1877"/>
      <c r="AG9" s="452"/>
      <c r="AH9" s="6945"/>
      <c r="AI9" s="6946"/>
      <c r="AJ9" s="6946"/>
      <c r="AK9" s="6946"/>
      <c r="AL9" s="6946"/>
      <c r="AM9" s="6946"/>
      <c r="AN9" s="6946"/>
      <c r="AO9" s="6946"/>
      <c r="AP9" s="6947"/>
      <c r="AQ9" s="452"/>
      <c r="AR9" s="1408"/>
      <c r="AS9" s="1408"/>
      <c r="AT9" s="1408"/>
      <c r="AU9" s="1408"/>
    </row>
    <row r="10" spans="1:65" ht="12" customHeight="1">
      <c r="A10" s="635"/>
      <c r="B10" s="60" t="s">
        <v>2171</v>
      </c>
      <c r="C10" s="60"/>
      <c r="D10" s="60"/>
      <c r="E10" s="60"/>
      <c r="F10" s="24"/>
      <c r="G10" s="24"/>
      <c r="H10" s="24"/>
      <c r="I10" s="24"/>
      <c r="J10" s="24"/>
      <c r="K10" s="24"/>
      <c r="L10" s="321"/>
      <c r="M10" s="321"/>
      <c r="N10" s="321"/>
      <c r="O10" s="321"/>
      <c r="P10" s="321"/>
      <c r="Q10" s="321"/>
      <c r="R10" s="321"/>
      <c r="S10" s="7069" t="s">
        <v>2172</v>
      </c>
      <c r="T10" s="7070"/>
      <c r="U10" s="7070"/>
      <c r="V10" s="7070"/>
      <c r="W10" s="7070"/>
      <c r="X10" s="82"/>
      <c r="Y10" s="1450"/>
      <c r="Z10" s="452"/>
      <c r="AA10" s="1761"/>
      <c r="AB10" s="7079"/>
      <c r="AC10" s="7080"/>
      <c r="AD10" s="7080"/>
      <c r="AE10" s="7080"/>
      <c r="AF10" s="1877"/>
      <c r="AG10" s="452"/>
      <c r="AH10" s="6945"/>
      <c r="AI10" s="6946"/>
      <c r="AJ10" s="6946"/>
      <c r="AK10" s="6946"/>
      <c r="AL10" s="6946"/>
      <c r="AM10" s="6946"/>
      <c r="AN10" s="6946"/>
      <c r="AO10" s="6946"/>
      <c r="AP10" s="6947"/>
      <c r="AQ10" s="452"/>
      <c r="AR10" s="1408"/>
      <c r="AS10" s="1408"/>
      <c r="AT10" s="1408"/>
      <c r="AU10" s="1408"/>
    </row>
    <row r="11" spans="1:65" ht="18" customHeight="1">
      <c r="A11" s="635"/>
      <c r="B11" s="7008" t="str">
        <f>Names</f>
        <v/>
      </c>
      <c r="C11" s="7009"/>
      <c r="D11" s="7009"/>
      <c r="E11" s="7009"/>
      <c r="F11" s="7009"/>
      <c r="G11" s="7009"/>
      <c r="H11" s="7009"/>
      <c r="I11" s="7009"/>
      <c r="J11" s="7009"/>
      <c r="K11" s="7009"/>
      <c r="L11" s="7009"/>
      <c r="M11" s="7009"/>
      <c r="N11" s="7009"/>
      <c r="O11" s="7009"/>
      <c r="P11" s="7009"/>
      <c r="Q11" s="7009"/>
      <c r="R11" s="7010"/>
      <c r="S11" s="6627">
        <f>IF(NoSSN,"",SS_Yours)</f>
        <v>0</v>
      </c>
      <c r="T11" s="6628"/>
      <c r="U11" s="6628"/>
      <c r="V11" s="6628"/>
      <c r="W11" s="6628"/>
      <c r="X11" s="82"/>
      <c r="Y11" s="1450"/>
      <c r="Z11" s="452"/>
      <c r="AA11" s="1761"/>
      <c r="AB11" s="7079">
        <f>TaxYear-1</f>
        <v>2017</v>
      </c>
      <c r="AC11" s="7080"/>
      <c r="AD11" s="7080"/>
      <c r="AE11" s="7080"/>
      <c r="AF11" s="1877"/>
      <c r="AG11" s="452"/>
      <c r="AH11" s="6945"/>
      <c r="AI11" s="6946"/>
      <c r="AJ11" s="6946"/>
      <c r="AK11" s="6946"/>
      <c r="AL11" s="6946"/>
      <c r="AM11" s="6946"/>
      <c r="AN11" s="6946"/>
      <c r="AO11" s="6946"/>
      <c r="AP11" s="6947"/>
      <c r="AQ11" s="452"/>
      <c r="AR11" s="1408"/>
      <c r="AS11" s="1408"/>
      <c r="AT11" s="1408"/>
      <c r="AU11" s="1408"/>
    </row>
    <row r="12" spans="1:65" ht="19.5" customHeight="1">
      <c r="A12" s="635"/>
      <c r="B12" s="7083" t="s">
        <v>2173</v>
      </c>
      <c r="C12" s="7083"/>
      <c r="D12" s="7083"/>
      <c r="E12" s="7083"/>
      <c r="F12" s="7083"/>
      <c r="G12" s="7083"/>
      <c r="H12" s="7083"/>
      <c r="I12" s="7083"/>
      <c r="J12" s="7083"/>
      <c r="K12" s="7083"/>
      <c r="L12" s="7083"/>
      <c r="M12" s="7083"/>
      <c r="N12" s="7083"/>
      <c r="O12" s="7083"/>
      <c r="P12" s="7083"/>
      <c r="Q12" s="7083"/>
      <c r="R12" s="7083"/>
      <c r="S12" s="7083"/>
      <c r="T12" s="7083"/>
      <c r="U12" s="7083"/>
      <c r="V12" s="7083"/>
      <c r="W12" s="7083"/>
      <c r="X12" s="82"/>
      <c r="Y12" s="1450"/>
      <c r="Z12" s="6974" t="str">
        <f>IF($AC$14="","Enter "&amp;TaxYear-1&amp;" Refundable Tax Credits &gt;&gt;&gt;","")</f>
        <v>Enter 2017 Refundable Tax Credits &gt;&gt;&gt;</v>
      </c>
      <c r="AA12" s="1761"/>
      <c r="AB12" s="7096" t="s">
        <v>4782</v>
      </c>
      <c r="AC12" s="6357"/>
      <c r="AD12" s="6357"/>
      <c r="AE12" s="6357"/>
      <c r="AF12" s="1877"/>
      <c r="AG12" s="452"/>
      <c r="AH12" s="6945"/>
      <c r="AI12" s="6946"/>
      <c r="AJ12" s="6946"/>
      <c r="AK12" s="6946"/>
      <c r="AL12" s="6946"/>
      <c r="AM12" s="6946"/>
      <c r="AN12" s="6946"/>
      <c r="AO12" s="6946"/>
      <c r="AP12" s="6947"/>
      <c r="AQ12" s="452"/>
      <c r="AR12" s="1408"/>
      <c r="AS12" s="1408"/>
      <c r="AT12" s="1408"/>
      <c r="AU12" s="1408"/>
    </row>
    <row r="13" spans="1:65" s="633" customFormat="1" ht="10.5" customHeight="1" thickBot="1">
      <c r="A13" s="694"/>
      <c r="B13" s="1586"/>
      <c r="C13" s="898"/>
      <c r="D13" s="898"/>
      <c r="E13" s="898"/>
      <c r="F13" s="104"/>
      <c r="G13" s="104"/>
      <c r="H13" s="104"/>
      <c r="I13" s="104"/>
      <c r="J13" s="104"/>
      <c r="K13" s="104"/>
      <c r="L13" s="104"/>
      <c r="M13" s="104"/>
      <c r="N13" s="104"/>
      <c r="O13" s="104"/>
      <c r="P13" s="104"/>
      <c r="Q13" s="104"/>
      <c r="R13" s="104"/>
      <c r="S13" s="104"/>
      <c r="T13" s="104"/>
      <c r="U13" s="104"/>
      <c r="V13" s="104"/>
      <c r="W13" s="104"/>
      <c r="X13" s="707"/>
      <c r="Y13" s="2764"/>
      <c r="Z13" s="6974"/>
      <c r="AA13" s="3482"/>
      <c r="AB13" s="6357"/>
      <c r="AC13" s="6357"/>
      <c r="AD13" s="6357"/>
      <c r="AE13" s="6357"/>
      <c r="AF13" s="5110"/>
      <c r="AG13" s="452"/>
      <c r="AH13" s="6945"/>
      <c r="AI13" s="6946"/>
      <c r="AJ13" s="6946"/>
      <c r="AK13" s="6946"/>
      <c r="AL13" s="6946"/>
      <c r="AM13" s="6946"/>
      <c r="AN13" s="6946"/>
      <c r="AO13" s="6946"/>
      <c r="AP13" s="6947"/>
      <c r="AQ13" s="452"/>
      <c r="AR13" s="2882"/>
      <c r="AS13" s="2882"/>
      <c r="AT13" s="2882"/>
      <c r="AU13" s="2882"/>
      <c r="AV13" s="4252"/>
      <c r="BC13" s="3169"/>
      <c r="BD13" s="3169"/>
      <c r="BE13" s="3169"/>
      <c r="BF13" s="3169"/>
      <c r="BG13" s="3169"/>
      <c r="BH13" s="3169"/>
      <c r="BI13" s="3169"/>
      <c r="BJ13" s="3169"/>
      <c r="BK13" s="3169"/>
      <c r="BL13" s="3169"/>
      <c r="BM13" s="3169"/>
    </row>
    <row r="14" spans="1:65" ht="12" customHeight="1">
      <c r="A14" s="635"/>
      <c r="B14" s="2621"/>
      <c r="C14" s="7066" t="str">
        <f>"Complete lines 1 through 7 below. Is line 7 less than "&amp;TEXT($W$42,"$0,000")&amp;"?"</f>
        <v>Complete lines 1 through 7 below. Is line 7 less than $1,000?</v>
      </c>
      <c r="D14" s="6262"/>
      <c r="E14" s="6262"/>
      <c r="F14" s="6262"/>
      <c r="G14" s="6262"/>
      <c r="H14" s="6262"/>
      <c r="I14" s="6262"/>
      <c r="J14" s="6262"/>
      <c r="K14" s="7067"/>
      <c r="L14" s="6992" t="s">
        <v>307</v>
      </c>
      <c r="M14" s="5579"/>
      <c r="N14" s="6245"/>
      <c r="O14" s="7084" t="s">
        <v>2202</v>
      </c>
      <c r="P14" s="7085"/>
      <c r="Q14" s="7085"/>
      <c r="R14" s="7085"/>
      <c r="S14" s="7085"/>
      <c r="T14" s="7085"/>
      <c r="U14" s="7085"/>
      <c r="V14" s="7086"/>
      <c r="W14" s="441"/>
      <c r="X14" s="704"/>
      <c r="Y14" s="2693"/>
      <c r="Z14" s="6974"/>
      <c r="AA14" s="7082" t="s">
        <v>2543</v>
      </c>
      <c r="AB14" s="5601"/>
      <c r="AC14" s="7090"/>
      <c r="AD14" s="7091"/>
      <c r="AE14" s="7092"/>
      <c r="AF14" s="1877"/>
      <c r="AG14" s="452"/>
      <c r="AH14" s="6945"/>
      <c r="AI14" s="6946"/>
      <c r="AJ14" s="6946"/>
      <c r="AK14" s="6946"/>
      <c r="AL14" s="6946"/>
      <c r="AM14" s="6946"/>
      <c r="AN14" s="6946"/>
      <c r="AO14" s="6946"/>
      <c r="AP14" s="6947"/>
      <c r="AQ14" s="452"/>
      <c r="AR14" s="1408"/>
      <c r="AS14" s="1408"/>
      <c r="AT14" s="1408"/>
      <c r="AU14" s="1408"/>
    </row>
    <row r="15" spans="1:65" ht="12" customHeight="1" thickBot="1">
      <c r="A15" s="635"/>
      <c r="B15" s="2620"/>
      <c r="C15" s="6265"/>
      <c r="D15" s="5640"/>
      <c r="E15" s="5640"/>
      <c r="F15" s="5640"/>
      <c r="G15" s="5640"/>
      <c r="H15" s="5640"/>
      <c r="I15" s="5640"/>
      <c r="J15" s="5640"/>
      <c r="K15" s="7068"/>
      <c r="L15" s="127"/>
      <c r="M15" s="127"/>
      <c r="N15" s="127"/>
      <c r="O15" s="7087"/>
      <c r="P15" s="7088"/>
      <c r="Q15" s="7088"/>
      <c r="R15" s="7088"/>
      <c r="S15" s="7088"/>
      <c r="T15" s="7088"/>
      <c r="U15" s="7088"/>
      <c r="V15" s="7089"/>
      <c r="W15" s="127"/>
      <c r="X15" s="704"/>
      <c r="Y15" s="2693"/>
      <c r="Z15" s="6974"/>
      <c r="AA15" s="1761"/>
      <c r="AB15" s="1408"/>
      <c r="AC15" s="7093"/>
      <c r="AD15" s="7094"/>
      <c r="AE15" s="7095"/>
      <c r="AF15" s="1877"/>
      <c r="AG15" s="452"/>
      <c r="AH15" s="6945"/>
      <c r="AI15" s="6946"/>
      <c r="AJ15" s="6946"/>
      <c r="AK15" s="6946"/>
      <c r="AL15" s="6946"/>
      <c r="AM15" s="6946"/>
      <c r="AN15" s="6946"/>
      <c r="AO15" s="6946"/>
      <c r="AP15" s="6947"/>
      <c r="AQ15" s="452"/>
      <c r="AR15" s="1408"/>
      <c r="AS15" s="1408"/>
      <c r="AT15" s="1408"/>
      <c r="AU15" s="1408"/>
    </row>
    <row r="16" spans="1:65" ht="6.75" customHeight="1">
      <c r="A16" s="635"/>
      <c r="B16" s="24"/>
      <c r="C16" s="24"/>
      <c r="D16" s="24"/>
      <c r="E16" s="24"/>
      <c r="F16" s="7071" t="s">
        <v>308</v>
      </c>
      <c r="G16" s="24"/>
      <c r="H16" s="24"/>
      <c r="I16" s="24"/>
      <c r="J16" s="24"/>
      <c r="K16" s="24"/>
      <c r="L16" s="24"/>
      <c r="M16" s="24"/>
      <c r="N16" s="24"/>
      <c r="O16" s="24"/>
      <c r="P16" s="24"/>
      <c r="Q16" s="24"/>
      <c r="R16" s="24"/>
      <c r="S16" s="24"/>
      <c r="T16" s="24"/>
      <c r="U16" s="24"/>
      <c r="V16" s="24"/>
      <c r="W16" s="24"/>
      <c r="X16" s="82"/>
      <c r="Y16" s="1450"/>
      <c r="Z16" s="452"/>
      <c r="AA16" s="1761"/>
      <c r="AB16" s="1408"/>
      <c r="AC16" s="1408"/>
      <c r="AD16" s="1408"/>
      <c r="AE16" s="1408"/>
      <c r="AF16" s="1877"/>
      <c r="AG16" s="452"/>
      <c r="AH16" s="6945"/>
      <c r="AI16" s="6946"/>
      <c r="AJ16" s="6946"/>
      <c r="AK16" s="6946"/>
      <c r="AL16" s="6946"/>
      <c r="AM16" s="6946"/>
      <c r="AN16" s="6946"/>
      <c r="AO16" s="6946"/>
      <c r="AP16" s="6947"/>
      <c r="AQ16" s="452"/>
      <c r="AR16" s="1408"/>
      <c r="AS16" s="1408"/>
      <c r="AT16" s="1408"/>
      <c r="AU16" s="1408"/>
    </row>
    <row r="17" spans="1:47">
      <c r="A17" s="635"/>
      <c r="B17" s="24"/>
      <c r="C17" s="24"/>
      <c r="D17" s="24"/>
      <c r="E17" s="24"/>
      <c r="F17" s="7072"/>
      <c r="G17" s="24"/>
      <c r="H17" s="24"/>
      <c r="I17" s="24"/>
      <c r="J17" s="24"/>
      <c r="K17" s="24"/>
      <c r="L17" s="24"/>
      <c r="M17" s="24"/>
      <c r="N17" s="24"/>
      <c r="O17" s="24"/>
      <c r="P17" s="24"/>
      <c r="Q17" s="24"/>
      <c r="R17" s="24"/>
      <c r="S17" s="24"/>
      <c r="T17" s="24"/>
      <c r="U17" s="24"/>
      <c r="V17" s="24"/>
      <c r="W17" s="24"/>
      <c r="X17" s="82"/>
      <c r="Y17" s="1450"/>
      <c r="Z17" s="452"/>
      <c r="AA17" s="7097">
        <v>150000</v>
      </c>
      <c r="AB17" s="7098"/>
      <c r="AC17" s="3483"/>
      <c r="AD17" s="3483"/>
      <c r="AE17" s="5063">
        <v>75000</v>
      </c>
      <c r="AF17" s="1877"/>
      <c r="AG17" s="452"/>
      <c r="AH17" s="6945"/>
      <c r="AI17" s="6946"/>
      <c r="AJ17" s="6946"/>
      <c r="AK17" s="6946"/>
      <c r="AL17" s="6946"/>
      <c r="AM17" s="6946"/>
      <c r="AN17" s="6946"/>
      <c r="AO17" s="6946"/>
      <c r="AP17" s="6947"/>
      <c r="AQ17" s="452"/>
      <c r="AR17" s="1408"/>
      <c r="AS17" s="1408"/>
      <c r="AT17" s="1408"/>
      <c r="AU17" s="1408"/>
    </row>
    <row r="18" spans="1:47" ht="6" customHeight="1">
      <c r="A18" s="635"/>
      <c r="B18" s="446"/>
      <c r="C18" s="7020" t="s">
        <v>2174</v>
      </c>
      <c r="D18" s="7021"/>
      <c r="E18" s="7021"/>
      <c r="F18" s="7021"/>
      <c r="G18" s="7021"/>
      <c r="H18" s="7021"/>
      <c r="I18" s="7021"/>
      <c r="J18" s="7021"/>
      <c r="K18" s="7022"/>
      <c r="L18" s="24"/>
      <c r="M18" s="24"/>
      <c r="N18" s="24"/>
      <c r="O18" s="7011" t="s">
        <v>2201</v>
      </c>
      <c r="P18" s="7012"/>
      <c r="Q18" s="7012"/>
      <c r="R18" s="7012"/>
      <c r="S18" s="7012"/>
      <c r="T18" s="7012"/>
      <c r="U18" s="7012"/>
      <c r="V18" s="7013"/>
      <c r="W18" s="24"/>
      <c r="X18" s="82"/>
      <c r="Y18" s="1450"/>
      <c r="Z18" s="452"/>
      <c r="AA18" s="5047"/>
      <c r="AB18" s="2749"/>
      <c r="AC18" s="3483"/>
      <c r="AD18" s="3483"/>
      <c r="AE18" s="1408"/>
      <c r="AF18" s="1877"/>
      <c r="AG18" s="452"/>
      <c r="AH18" s="6945"/>
      <c r="AI18" s="6946"/>
      <c r="AJ18" s="6946"/>
      <c r="AK18" s="6946"/>
      <c r="AL18" s="6946"/>
      <c r="AM18" s="6946"/>
      <c r="AN18" s="6946"/>
      <c r="AO18" s="6946"/>
      <c r="AP18" s="6947"/>
      <c r="AQ18" s="452"/>
      <c r="AR18" s="1408"/>
      <c r="AS18" s="1408"/>
      <c r="AT18" s="1408"/>
      <c r="AU18" s="1408"/>
    </row>
    <row r="19" spans="1:47" ht="15.75" customHeight="1">
      <c r="A19" s="635"/>
      <c r="B19" s="425"/>
      <c r="C19" s="7023"/>
      <c r="D19" s="7024"/>
      <c r="E19" s="7024"/>
      <c r="F19" s="7024"/>
      <c r="G19" s="7024"/>
      <c r="H19" s="7024"/>
      <c r="I19" s="7024"/>
      <c r="J19" s="7024"/>
      <c r="K19" s="7025"/>
      <c r="L19" s="6992" t="s">
        <v>307</v>
      </c>
      <c r="M19" s="5579"/>
      <c r="N19" s="6245"/>
      <c r="O19" s="7014"/>
      <c r="P19" s="7015"/>
      <c r="Q19" s="7015"/>
      <c r="R19" s="7015"/>
      <c r="S19" s="7015"/>
      <c r="T19" s="7015"/>
      <c r="U19" s="7015"/>
      <c r="V19" s="7016"/>
      <c r="W19" s="24"/>
      <c r="X19" s="82"/>
      <c r="Y19" s="1450"/>
      <c r="Z19" s="452"/>
      <c r="AA19" s="7099">
        <f>IF(File_Marr_Sep&lt;&gt;"",AE17,AA17)</f>
        <v>150000</v>
      </c>
      <c r="AB19" s="7100"/>
      <c r="AC19" s="7047">
        <f>TaxYear-1</f>
        <v>2017</v>
      </c>
      <c r="AD19" s="7048"/>
      <c r="AE19" s="7048"/>
      <c r="AF19" s="1877"/>
      <c r="AG19" s="452"/>
      <c r="AH19" s="6945"/>
      <c r="AI19" s="6946"/>
      <c r="AJ19" s="6946"/>
      <c r="AK19" s="6946"/>
      <c r="AL19" s="6946"/>
      <c r="AM19" s="6946"/>
      <c r="AN19" s="6946"/>
      <c r="AO19" s="6946"/>
      <c r="AP19" s="6947"/>
      <c r="AQ19" s="452"/>
      <c r="AR19" s="1408"/>
      <c r="AS19" s="1408"/>
      <c r="AT19" s="1408"/>
      <c r="AU19" s="1408"/>
    </row>
    <row r="20" spans="1:47" ht="12" customHeight="1">
      <c r="A20" s="635"/>
      <c r="B20" s="425"/>
      <c r="C20" s="7023"/>
      <c r="D20" s="7024"/>
      <c r="E20" s="7024"/>
      <c r="F20" s="7024"/>
      <c r="G20" s="7024"/>
      <c r="H20" s="7024"/>
      <c r="I20" s="7024"/>
      <c r="J20" s="7024"/>
      <c r="K20" s="7025"/>
      <c r="L20" s="24"/>
      <c r="M20" s="24"/>
      <c r="N20" s="24"/>
      <c r="O20" s="7014"/>
      <c r="P20" s="7015"/>
      <c r="Q20" s="7015"/>
      <c r="R20" s="7015"/>
      <c r="S20" s="7015"/>
      <c r="T20" s="7015"/>
      <c r="U20" s="7015"/>
      <c r="V20" s="7016"/>
      <c r="W20" s="24"/>
      <c r="X20" s="82"/>
      <c r="Y20" s="1450"/>
      <c r="Z20" s="6974" t="str">
        <f>IF($AC$23="","Enter Adjusted Gross Income for "&amp;TaxYear-1&amp;" &gt;&gt;&gt;","")</f>
        <v>Enter Adjusted Gross Income for 2017 &gt;&gt;&gt;</v>
      </c>
      <c r="AA20" s="1761"/>
      <c r="AB20" s="3478"/>
      <c r="AC20" s="7049" t="s">
        <v>1348</v>
      </c>
      <c r="AD20" s="7049"/>
      <c r="AE20" s="7049"/>
      <c r="AF20" s="1877"/>
      <c r="AG20" s="452"/>
      <c r="AH20" s="6945"/>
      <c r="AI20" s="6946"/>
      <c r="AJ20" s="6946"/>
      <c r="AK20" s="6946"/>
      <c r="AL20" s="6946"/>
      <c r="AM20" s="6946"/>
      <c r="AN20" s="6946"/>
      <c r="AO20" s="6946"/>
      <c r="AP20" s="6947"/>
      <c r="AQ20" s="452"/>
      <c r="AR20" s="1408"/>
      <c r="AS20" s="1408"/>
      <c r="AT20" s="1408"/>
      <c r="AU20" s="1408"/>
    </row>
    <row r="21" spans="1:47" ht="7.5" customHeight="1">
      <c r="A21" s="635"/>
      <c r="B21" s="425"/>
      <c r="C21" s="7026"/>
      <c r="D21" s="7027"/>
      <c r="E21" s="7027"/>
      <c r="F21" s="7027"/>
      <c r="G21" s="7027"/>
      <c r="H21" s="7027"/>
      <c r="I21" s="7027"/>
      <c r="J21" s="7027"/>
      <c r="K21" s="7028"/>
      <c r="L21" s="24"/>
      <c r="M21" s="24"/>
      <c r="N21" s="24"/>
      <c r="O21" s="7017"/>
      <c r="P21" s="7018"/>
      <c r="Q21" s="7018"/>
      <c r="R21" s="7018"/>
      <c r="S21" s="7018"/>
      <c r="T21" s="7018"/>
      <c r="U21" s="7018"/>
      <c r="V21" s="7019"/>
      <c r="W21" s="24"/>
      <c r="X21" s="82"/>
      <c r="Y21" s="1450"/>
      <c r="Z21" s="6974"/>
      <c r="AA21" s="1761"/>
      <c r="AB21" s="3478"/>
      <c r="AC21" s="7049"/>
      <c r="AD21" s="7049"/>
      <c r="AE21" s="7049"/>
      <c r="AF21" s="1877"/>
      <c r="AG21" s="452"/>
      <c r="AH21" s="6945"/>
      <c r="AI21" s="6946"/>
      <c r="AJ21" s="6946"/>
      <c r="AK21" s="6946"/>
      <c r="AL21" s="6946"/>
      <c r="AM21" s="6946"/>
      <c r="AN21" s="6946"/>
      <c r="AO21" s="6946"/>
      <c r="AP21" s="6947"/>
      <c r="AQ21" s="452"/>
      <c r="AR21" s="1408"/>
      <c r="AS21" s="1408"/>
      <c r="AT21" s="1408"/>
      <c r="AU21" s="1408"/>
    </row>
    <row r="22" spans="1:47" ht="6.75" customHeight="1" thickBot="1">
      <c r="A22" s="635"/>
      <c r="B22" s="24"/>
      <c r="C22" s="24"/>
      <c r="D22" s="24"/>
      <c r="E22" s="24"/>
      <c r="F22" s="7071" t="s">
        <v>308</v>
      </c>
      <c r="G22" s="24"/>
      <c r="H22" s="24"/>
      <c r="I22" s="24"/>
      <c r="J22" s="24"/>
      <c r="K22" s="24"/>
      <c r="L22" s="24"/>
      <c r="M22" s="24"/>
      <c r="N22" s="24"/>
      <c r="O22" s="24"/>
      <c r="P22" s="24"/>
      <c r="Q22" s="24"/>
      <c r="R22" s="24"/>
      <c r="S22" s="24"/>
      <c r="T22" s="24"/>
      <c r="U22" s="24"/>
      <c r="V22" s="24"/>
      <c r="W22" s="24"/>
      <c r="X22" s="82"/>
      <c r="Y22" s="1450"/>
      <c r="Z22" s="6974"/>
      <c r="AA22" s="5044"/>
      <c r="AB22" s="1926"/>
      <c r="AC22" s="7050"/>
      <c r="AD22" s="7050"/>
      <c r="AE22" s="7050"/>
      <c r="AF22" s="4610"/>
      <c r="AG22" s="452"/>
      <c r="AH22" s="6945"/>
      <c r="AI22" s="6946"/>
      <c r="AJ22" s="6946"/>
      <c r="AK22" s="6946"/>
      <c r="AL22" s="6946"/>
      <c r="AM22" s="6946"/>
      <c r="AN22" s="6946"/>
      <c r="AO22" s="6946"/>
      <c r="AP22" s="6947"/>
      <c r="AQ22" s="452"/>
      <c r="AR22" s="1408"/>
      <c r="AS22" s="1408"/>
      <c r="AT22" s="1408"/>
      <c r="AU22" s="1408"/>
    </row>
    <row r="23" spans="1:47" ht="16.5" thickBot="1">
      <c r="A23" s="635"/>
      <c r="B23" s="24"/>
      <c r="C23" s="24"/>
      <c r="D23" s="24"/>
      <c r="E23" s="1084">
        <v>108.28</v>
      </c>
      <c r="F23" s="7072"/>
      <c r="G23" s="24"/>
      <c r="H23" s="24"/>
      <c r="I23" s="24"/>
      <c r="J23" s="24"/>
      <c r="K23" s="24"/>
      <c r="L23" s="24"/>
      <c r="M23" s="24"/>
      <c r="N23" s="24"/>
      <c r="O23" s="24"/>
      <c r="P23" s="24"/>
      <c r="Q23" s="24"/>
      <c r="R23" s="24"/>
      <c r="S23" s="24"/>
      <c r="T23" s="439"/>
      <c r="U23" s="24"/>
      <c r="V23" s="24"/>
      <c r="W23" s="24"/>
      <c r="X23" s="82"/>
      <c r="Y23" s="1450"/>
      <c r="Z23" s="6974"/>
      <c r="AA23" s="5046" t="b">
        <f>IF(Y78&lt;&gt;1,FALSE,IF(AC23&gt;AA19,TRUE,FALSE))</f>
        <v>0</v>
      </c>
      <c r="AB23" s="1616" t="b">
        <f>IF($Y$78&lt;&gt;1,FALSE,AND((OR(AND(AB31&lt;&gt;"",File_Marr_Joint=""),AND(AB31="",File_Marr_Joint&lt;&gt;""))),NOT(AND(AB31&lt;&gt;"",File_Marr_Joint&lt;&gt;""))))</f>
        <v>0</v>
      </c>
      <c r="AC23" s="7109"/>
      <c r="AD23" s="7110"/>
      <c r="AE23" s="7111"/>
      <c r="AF23" s="1877"/>
      <c r="AG23" s="452"/>
      <c r="AH23" s="6945"/>
      <c r="AI23" s="6946"/>
      <c r="AJ23" s="6946"/>
      <c r="AK23" s="6946"/>
      <c r="AL23" s="6946"/>
      <c r="AM23" s="6946"/>
      <c r="AN23" s="6946"/>
      <c r="AO23" s="6946"/>
      <c r="AP23" s="6947"/>
      <c r="AQ23" s="452"/>
      <c r="AR23" s="1408"/>
      <c r="AS23" s="1408"/>
      <c r="AT23" s="1408"/>
      <c r="AU23" s="1408"/>
    </row>
    <row r="24" spans="1:47" ht="6" customHeight="1">
      <c r="A24" s="635"/>
      <c r="B24" s="446"/>
      <c r="C24" s="7029" t="s">
        <v>2175</v>
      </c>
      <c r="D24" s="5434"/>
      <c r="E24" s="5434"/>
      <c r="F24" s="5434"/>
      <c r="G24" s="5434"/>
      <c r="H24" s="5434"/>
      <c r="I24" s="5434"/>
      <c r="J24" s="5434"/>
      <c r="K24" s="7030"/>
      <c r="L24" s="7036" t="s">
        <v>307</v>
      </c>
      <c r="M24" s="6969"/>
      <c r="N24" s="7037"/>
      <c r="O24" s="7011" t="s">
        <v>2200</v>
      </c>
      <c r="P24" s="7012"/>
      <c r="Q24" s="7012"/>
      <c r="R24" s="7012"/>
      <c r="S24" s="7012"/>
      <c r="T24" s="7012"/>
      <c r="U24" s="7012"/>
      <c r="V24" s="7013"/>
      <c r="W24" s="24"/>
      <c r="X24" s="82"/>
      <c r="Y24" s="1450"/>
      <c r="Z24" s="452"/>
      <c r="AA24" s="5047"/>
      <c r="AB24" s="1408"/>
      <c r="AC24" s="2773"/>
      <c r="AD24" s="2773"/>
      <c r="AE24" s="1408"/>
      <c r="AF24" s="1877"/>
      <c r="AG24" s="452"/>
      <c r="AH24" s="6945"/>
      <c r="AI24" s="6946"/>
      <c r="AJ24" s="6946"/>
      <c r="AK24" s="6946"/>
      <c r="AL24" s="6946"/>
      <c r="AM24" s="6946"/>
      <c r="AN24" s="6946"/>
      <c r="AO24" s="6946"/>
      <c r="AP24" s="6947"/>
      <c r="AQ24" s="452"/>
      <c r="AR24" s="1408"/>
      <c r="AS24" s="1408"/>
      <c r="AT24" s="1408"/>
      <c r="AU24" s="1408"/>
    </row>
    <row r="25" spans="1:47" ht="14.25" customHeight="1">
      <c r="A25" s="635"/>
      <c r="B25" s="425"/>
      <c r="C25" s="7031"/>
      <c r="D25" s="7032"/>
      <c r="E25" s="7032"/>
      <c r="F25" s="7032"/>
      <c r="G25" s="7032"/>
      <c r="H25" s="7032"/>
      <c r="I25" s="7032"/>
      <c r="J25" s="7032"/>
      <c r="K25" s="7033"/>
      <c r="L25" s="7038"/>
      <c r="M25" s="6969"/>
      <c r="N25" s="7037"/>
      <c r="O25" s="7014"/>
      <c r="P25" s="7015"/>
      <c r="Q25" s="7015"/>
      <c r="R25" s="7015"/>
      <c r="S25" s="7015"/>
      <c r="T25" s="7015"/>
      <c r="U25" s="7015"/>
      <c r="V25" s="7016"/>
      <c r="W25" s="441"/>
      <c r="X25" s="82"/>
      <c r="Y25" s="1450"/>
      <c r="Z25" s="452"/>
      <c r="AA25" s="5047">
        <v>1.1000000000000001</v>
      </c>
      <c r="AB25" s="7052">
        <f>TaxYear-1</f>
        <v>2017</v>
      </c>
      <c r="AC25" s="7052"/>
      <c r="AD25" s="7052"/>
      <c r="AE25" s="7052"/>
      <c r="AF25" s="1877"/>
      <c r="AG25" s="452"/>
      <c r="AH25" s="6945"/>
      <c r="AI25" s="6946"/>
      <c r="AJ25" s="6946"/>
      <c r="AK25" s="6946"/>
      <c r="AL25" s="6946"/>
      <c r="AM25" s="6946"/>
      <c r="AN25" s="6946"/>
      <c r="AO25" s="6946"/>
      <c r="AP25" s="6947"/>
      <c r="AQ25" s="452"/>
      <c r="AR25" s="1408"/>
      <c r="AS25" s="1408"/>
      <c r="AT25" s="1408"/>
      <c r="AU25" s="1408"/>
    </row>
    <row r="26" spans="1:47" ht="6.75" customHeight="1">
      <c r="A26" s="635"/>
      <c r="B26" s="425"/>
      <c r="C26" s="7034"/>
      <c r="D26" s="5435"/>
      <c r="E26" s="5435"/>
      <c r="F26" s="5435"/>
      <c r="G26" s="5435"/>
      <c r="H26" s="5435"/>
      <c r="I26" s="5435"/>
      <c r="J26" s="5435"/>
      <c r="K26" s="7035"/>
      <c r="L26" s="24"/>
      <c r="M26" s="24"/>
      <c r="N26" s="24"/>
      <c r="O26" s="7017"/>
      <c r="P26" s="7018"/>
      <c r="Q26" s="7018"/>
      <c r="R26" s="7018"/>
      <c r="S26" s="7018"/>
      <c r="T26" s="7018"/>
      <c r="U26" s="7018"/>
      <c r="V26" s="7019"/>
      <c r="W26" s="24"/>
      <c r="X26" s="82"/>
      <c r="Y26" s="1450"/>
      <c r="Z26" s="452"/>
      <c r="AA26" s="1761"/>
      <c r="AB26" s="7052"/>
      <c r="AC26" s="7052"/>
      <c r="AD26" s="7052"/>
      <c r="AE26" s="7052"/>
      <c r="AF26" s="1877"/>
      <c r="AG26" s="452"/>
      <c r="AH26" s="6945"/>
      <c r="AI26" s="6946"/>
      <c r="AJ26" s="6946"/>
      <c r="AK26" s="6946"/>
      <c r="AL26" s="6946"/>
      <c r="AM26" s="6946"/>
      <c r="AN26" s="6946"/>
      <c r="AO26" s="6946"/>
      <c r="AP26" s="6947"/>
      <c r="AQ26" s="452"/>
      <c r="AR26" s="1408"/>
      <c r="AS26" s="1408"/>
      <c r="AT26" s="1408"/>
      <c r="AU26" s="1408"/>
    </row>
    <row r="27" spans="1:47" ht="6.75" customHeight="1">
      <c r="A27" s="635"/>
      <c r="B27" s="24"/>
      <c r="C27" s="24"/>
      <c r="D27" s="24"/>
      <c r="E27" s="24"/>
      <c r="F27" s="7071" t="s">
        <v>308</v>
      </c>
      <c r="G27" s="24"/>
      <c r="H27" s="24"/>
      <c r="I27" s="24"/>
      <c r="J27" s="24"/>
      <c r="K27" s="24"/>
      <c r="L27" s="24"/>
      <c r="M27" s="24"/>
      <c r="N27" s="24"/>
      <c r="O27" s="24"/>
      <c r="P27" s="7042" t="s">
        <v>308</v>
      </c>
      <c r="Q27" s="7043" t="s">
        <v>307</v>
      </c>
      <c r="R27" s="7044"/>
      <c r="S27" s="24"/>
      <c r="T27" s="24"/>
      <c r="U27" s="24"/>
      <c r="V27" s="24"/>
      <c r="W27" s="24"/>
      <c r="X27" s="82"/>
      <c r="Y27" s="1450"/>
      <c r="Z27" s="452"/>
      <c r="AA27" s="5045"/>
      <c r="AB27" s="7052"/>
      <c r="AC27" s="7052"/>
      <c r="AD27" s="7052"/>
      <c r="AE27" s="7052"/>
      <c r="AF27" s="1877"/>
      <c r="AG27" s="452"/>
      <c r="AH27" s="6945"/>
      <c r="AI27" s="6946"/>
      <c r="AJ27" s="6946"/>
      <c r="AK27" s="6946"/>
      <c r="AL27" s="6946"/>
      <c r="AM27" s="6946"/>
      <c r="AN27" s="6946"/>
      <c r="AO27" s="6946"/>
      <c r="AP27" s="6947"/>
      <c r="AQ27" s="452"/>
      <c r="AR27" s="1408"/>
      <c r="AS27" s="1408"/>
      <c r="AT27" s="1408"/>
      <c r="AU27" s="1408"/>
    </row>
    <row r="28" spans="1:47" ht="16.5" customHeight="1">
      <c r="A28" s="635"/>
      <c r="B28" s="24"/>
      <c r="C28" s="24"/>
      <c r="D28" s="24"/>
      <c r="E28" s="24"/>
      <c r="F28" s="7208"/>
      <c r="G28" s="24"/>
      <c r="H28" s="24"/>
      <c r="I28" s="24"/>
      <c r="J28" s="24"/>
      <c r="K28" s="24"/>
      <c r="L28" s="24"/>
      <c r="M28" s="24"/>
      <c r="N28" s="24"/>
      <c r="O28" s="24"/>
      <c r="P28" s="5863"/>
      <c r="Q28" s="7045"/>
      <c r="R28" s="7045"/>
      <c r="S28" s="7039" t="s">
        <v>2176</v>
      </c>
      <c r="T28" s="7040"/>
      <c r="U28" s="7040"/>
      <c r="V28" s="7041"/>
      <c r="W28" s="24"/>
      <c r="X28" s="82"/>
      <c r="Y28" s="1450"/>
      <c r="Z28" s="452"/>
      <c r="AA28" s="1761"/>
      <c r="AB28" s="7051" t="s">
        <v>78</v>
      </c>
      <c r="AC28" s="7051"/>
      <c r="AD28" s="7051"/>
      <c r="AE28" s="7051"/>
      <c r="AF28" s="1877"/>
      <c r="AG28" s="452"/>
      <c r="AH28" s="6945"/>
      <c r="AI28" s="6946"/>
      <c r="AJ28" s="6946"/>
      <c r="AK28" s="6946"/>
      <c r="AL28" s="6946"/>
      <c r="AM28" s="6946"/>
      <c r="AN28" s="6946"/>
      <c r="AO28" s="6946"/>
      <c r="AP28" s="6947"/>
      <c r="AQ28" s="452"/>
      <c r="AR28" s="1408"/>
      <c r="AS28" s="1408"/>
      <c r="AT28" s="1408"/>
      <c r="AU28" s="1408"/>
    </row>
    <row r="29" spans="1:47" ht="6.75" customHeight="1" thickBot="1">
      <c r="A29" s="635"/>
      <c r="B29" s="24"/>
      <c r="C29" s="24"/>
      <c r="D29" s="24"/>
      <c r="E29" s="24"/>
      <c r="F29" s="7072"/>
      <c r="G29" s="24"/>
      <c r="H29" s="24"/>
      <c r="I29" s="24"/>
      <c r="J29" s="24"/>
      <c r="K29" s="24"/>
      <c r="L29" s="24"/>
      <c r="M29" s="24"/>
      <c r="N29" s="24"/>
      <c r="O29" s="519"/>
      <c r="P29" s="24"/>
      <c r="Q29" s="24"/>
      <c r="R29" s="24"/>
      <c r="S29" s="24"/>
      <c r="T29" s="24"/>
      <c r="U29" s="24"/>
      <c r="V29" s="24"/>
      <c r="W29" s="24"/>
      <c r="X29" s="82"/>
      <c r="Y29" s="1450"/>
      <c r="Z29" s="452"/>
      <c r="AA29" s="1761"/>
      <c r="AB29" s="4394"/>
      <c r="AC29" s="4394"/>
      <c r="AD29" s="4394"/>
      <c r="AE29" s="4394"/>
      <c r="AF29" s="1877"/>
      <c r="AG29" s="452"/>
      <c r="AH29" s="6948"/>
      <c r="AI29" s="6949"/>
      <c r="AJ29" s="6949"/>
      <c r="AK29" s="6949"/>
      <c r="AL29" s="6949"/>
      <c r="AM29" s="6949"/>
      <c r="AN29" s="6949"/>
      <c r="AO29" s="6949"/>
      <c r="AP29" s="6950"/>
      <c r="AQ29" s="452"/>
      <c r="AR29" s="1408"/>
      <c r="AS29" s="1408"/>
      <c r="AT29" s="1408"/>
      <c r="AU29" s="1408"/>
    </row>
    <row r="30" spans="1:47" ht="21.75" customHeight="1" thickBot="1">
      <c r="A30" s="635"/>
      <c r="B30" s="446"/>
      <c r="C30" s="6999" t="s">
        <v>4740</v>
      </c>
      <c r="D30" s="7000"/>
      <c r="E30" s="7000"/>
      <c r="F30" s="7000"/>
      <c r="G30" s="7000"/>
      <c r="H30" s="7000"/>
      <c r="I30" s="7000"/>
      <c r="J30" s="7000"/>
      <c r="K30" s="7001"/>
      <c r="L30" s="24"/>
      <c r="M30" s="24"/>
      <c r="N30" s="7011" t="s">
        <v>4741</v>
      </c>
      <c r="O30" s="7012"/>
      <c r="P30" s="7012"/>
      <c r="Q30" s="7012"/>
      <c r="R30" s="7012"/>
      <c r="S30" s="7012"/>
      <c r="T30" s="7012"/>
      <c r="U30" s="7012"/>
      <c r="V30" s="7013"/>
      <c r="W30" s="24"/>
      <c r="X30" s="82"/>
      <c r="Y30" s="1450"/>
      <c r="Z30" s="7078" t="str">
        <f>IF($Y$78=0,"Indicate filing status for tax year "&amp;TaxYear-1&amp;" &gt;&gt;&gt;","")</f>
        <v>Indicate filing status for tax year 2017 &gt;&gt;&gt;</v>
      </c>
      <c r="AA30" s="1761"/>
      <c r="AB30" s="1445"/>
      <c r="AC30" s="1766" t="s">
        <v>77</v>
      </c>
      <c r="AD30" s="1766"/>
      <c r="AE30" s="1408"/>
      <c r="AF30" s="1877"/>
      <c r="AG30" s="452"/>
      <c r="AH30" s="452"/>
      <c r="AI30" s="452"/>
      <c r="AJ30" s="452"/>
      <c r="AK30" s="452"/>
      <c r="AL30" s="452"/>
      <c r="AM30" s="452"/>
      <c r="AN30" s="452"/>
      <c r="AO30" s="452"/>
      <c r="AP30" s="452"/>
      <c r="AQ30" s="452"/>
      <c r="AR30" s="1408"/>
      <c r="AS30" s="1408"/>
      <c r="AT30" s="1408"/>
      <c r="AU30" s="1408"/>
    </row>
    <row r="31" spans="1:47" ht="21.75" customHeight="1" thickBot="1">
      <c r="A31" s="635"/>
      <c r="B31" s="425"/>
      <c r="C31" s="7002"/>
      <c r="D31" s="7003"/>
      <c r="E31" s="7003"/>
      <c r="F31" s="7003"/>
      <c r="G31" s="7003"/>
      <c r="H31" s="7003"/>
      <c r="I31" s="7003"/>
      <c r="J31" s="7003"/>
      <c r="K31" s="7004"/>
      <c r="L31" s="24"/>
      <c r="M31" s="24"/>
      <c r="N31" s="7014"/>
      <c r="O31" s="7015"/>
      <c r="P31" s="7015"/>
      <c r="Q31" s="7015"/>
      <c r="R31" s="7015"/>
      <c r="S31" s="7015"/>
      <c r="T31" s="7015"/>
      <c r="U31" s="7015"/>
      <c r="V31" s="7016"/>
      <c r="W31" s="24"/>
      <c r="X31" s="82"/>
      <c r="Y31" s="1450"/>
      <c r="Z31" s="7078"/>
      <c r="AA31" s="1761"/>
      <c r="AB31" s="1445"/>
      <c r="AC31" s="1766" t="s">
        <v>1666</v>
      </c>
      <c r="AD31" s="1766"/>
      <c r="AE31" s="1408"/>
      <c r="AF31" s="1877"/>
      <c r="AG31" s="452"/>
      <c r="AH31" s="7133" t="s">
        <v>3180</v>
      </c>
      <c r="AI31" s="7134"/>
      <c r="AJ31" s="7134"/>
      <c r="AK31" s="7134"/>
      <c r="AL31" s="7134"/>
      <c r="AM31" s="7134"/>
      <c r="AN31" s="7134"/>
      <c r="AO31" s="7135"/>
      <c r="AP31" s="7136"/>
      <c r="AQ31" s="452"/>
      <c r="AR31" s="1408"/>
      <c r="AS31" s="1408"/>
      <c r="AT31" s="1408"/>
      <c r="AU31" s="1408"/>
    </row>
    <row r="32" spans="1:47" ht="24" customHeight="1" thickBot="1">
      <c r="A32" s="635"/>
      <c r="B32" s="425"/>
      <c r="C32" s="7002"/>
      <c r="D32" s="7003"/>
      <c r="E32" s="7003"/>
      <c r="F32" s="7003"/>
      <c r="G32" s="7003"/>
      <c r="H32" s="7003"/>
      <c r="I32" s="7003"/>
      <c r="J32" s="7003"/>
      <c r="K32" s="7004"/>
      <c r="L32" s="24"/>
      <c r="M32" s="24"/>
      <c r="N32" s="7014"/>
      <c r="O32" s="7015"/>
      <c r="P32" s="7015"/>
      <c r="Q32" s="7015"/>
      <c r="R32" s="7015"/>
      <c r="S32" s="7015"/>
      <c r="T32" s="7015"/>
      <c r="U32" s="7015"/>
      <c r="V32" s="7016"/>
      <c r="W32" s="24"/>
      <c r="X32" s="82"/>
      <c r="Y32" s="1450"/>
      <c r="Z32" s="5050"/>
      <c r="AA32" s="1761"/>
      <c r="AB32" s="1445"/>
      <c r="AC32" s="1766" t="s">
        <v>2332</v>
      </c>
      <c r="AD32" s="1766"/>
      <c r="AE32" s="1408"/>
      <c r="AF32" s="1877"/>
      <c r="AG32" s="452"/>
      <c r="AH32" s="7137" t="str">
        <f>"Subtract the total of the following refundable credits, if any, that you claimed on your "&amp;TaxYear-1&amp;" tax return:"</f>
        <v>Subtract the total of the following refundable credits, if any, that you claimed on your 2017 tax return:</v>
      </c>
      <c r="AI32" s="7138"/>
      <c r="AJ32" s="7138"/>
      <c r="AK32" s="7138"/>
      <c r="AL32" s="7138"/>
      <c r="AM32" s="7138"/>
      <c r="AN32" s="7138"/>
      <c r="AO32" s="7139"/>
      <c r="AP32" s="7140"/>
      <c r="AQ32" s="452"/>
      <c r="AR32" s="1408"/>
      <c r="AS32" s="1408"/>
      <c r="AT32" s="1408"/>
      <c r="AU32" s="1408"/>
    </row>
    <row r="33" spans="1:47" ht="16.5" customHeight="1" thickBot="1">
      <c r="A33" s="635"/>
      <c r="B33" s="425"/>
      <c r="C33" s="7005"/>
      <c r="D33" s="7006"/>
      <c r="E33" s="7006"/>
      <c r="F33" s="7006"/>
      <c r="G33" s="7006"/>
      <c r="H33" s="7006"/>
      <c r="I33" s="7006"/>
      <c r="J33" s="7006"/>
      <c r="K33" s="7007"/>
      <c r="L33" s="24"/>
      <c r="M33" s="24"/>
      <c r="N33" s="7017"/>
      <c r="O33" s="7018"/>
      <c r="P33" s="7018"/>
      <c r="Q33" s="7018"/>
      <c r="R33" s="7018"/>
      <c r="S33" s="7018"/>
      <c r="T33" s="7018"/>
      <c r="U33" s="7018"/>
      <c r="V33" s="7019"/>
      <c r="W33" s="24"/>
      <c r="X33" s="82"/>
      <c r="Y33" s="1450"/>
      <c r="Z33" s="5050"/>
      <c r="AA33" s="1761"/>
      <c r="AB33" s="1445"/>
      <c r="AC33" s="1766" t="s">
        <v>2334</v>
      </c>
      <c r="AD33" s="1766"/>
      <c r="AE33" s="1408"/>
      <c r="AF33" s="1877"/>
      <c r="AG33" s="452"/>
      <c r="AH33" s="7141"/>
      <c r="AI33" s="6176"/>
      <c r="AJ33" s="6176"/>
      <c r="AK33" s="6176"/>
      <c r="AL33" s="6176"/>
      <c r="AM33" s="6176"/>
      <c r="AN33" s="6176"/>
      <c r="AO33" s="5680"/>
      <c r="AP33" s="6400"/>
      <c r="AQ33" s="452"/>
      <c r="AR33" s="1408"/>
      <c r="AS33" s="1408"/>
      <c r="AT33" s="1408"/>
      <c r="AU33" s="1408"/>
    </row>
    <row r="34" spans="1:47" ht="13.5" customHeight="1" thickBot="1">
      <c r="A34" s="635"/>
      <c r="B34" s="24"/>
      <c r="C34" s="24"/>
      <c r="D34" s="24"/>
      <c r="E34" s="24"/>
      <c r="F34" s="24"/>
      <c r="G34" s="24"/>
      <c r="H34" s="24"/>
      <c r="I34" s="2612"/>
      <c r="J34" s="2612"/>
      <c r="K34" s="2612"/>
      <c r="L34" s="323"/>
      <c r="M34" s="532"/>
      <c r="N34" s="323"/>
      <c r="O34" s="24"/>
      <c r="P34" s="24"/>
      <c r="Q34" s="24"/>
      <c r="R34" s="24"/>
      <c r="S34" s="24"/>
      <c r="T34" s="24"/>
      <c r="U34" s="24"/>
      <c r="V34" s="24"/>
      <c r="W34" s="24"/>
      <c r="X34" s="82"/>
      <c r="Y34" s="1450"/>
      <c r="Z34" s="5049" t="s">
        <v>442</v>
      </c>
      <c r="AA34" s="1761"/>
      <c r="AB34" s="1445"/>
      <c r="AC34" s="1766" t="s">
        <v>2333</v>
      </c>
      <c r="AD34" s="1766"/>
      <c r="AE34" s="1408"/>
      <c r="AF34" s="1877"/>
      <c r="AG34" s="452"/>
      <c r="AH34" s="5177" t="s">
        <v>132</v>
      </c>
      <c r="AI34" s="1408" t="s">
        <v>2285</v>
      </c>
      <c r="AJ34" s="1408"/>
      <c r="AK34" s="1408"/>
      <c r="AL34" s="1408"/>
      <c r="AM34" s="1408"/>
      <c r="AN34" s="1408"/>
      <c r="AO34" s="1408"/>
      <c r="AP34" s="1877"/>
      <c r="AQ34" s="452"/>
      <c r="AR34" s="1408"/>
      <c r="AS34" s="1408"/>
      <c r="AT34" s="1408"/>
      <c r="AU34" s="1408"/>
    </row>
    <row r="35" spans="1:47" ht="16.5" customHeight="1" thickBot="1">
      <c r="A35" s="635"/>
      <c r="B35" s="2628" t="s">
        <v>2191</v>
      </c>
      <c r="C35" s="2622"/>
      <c r="D35" s="2622"/>
      <c r="E35" s="2647" t="s">
        <v>2177</v>
      </c>
      <c r="F35" s="2623"/>
      <c r="G35" s="2623"/>
      <c r="H35" s="2623"/>
      <c r="I35" s="2623"/>
      <c r="J35" s="2623"/>
      <c r="K35" s="2623"/>
      <c r="L35" s="2623"/>
      <c r="M35" s="2623"/>
      <c r="N35" s="2623"/>
      <c r="O35" s="2623"/>
      <c r="P35" s="2623"/>
      <c r="Q35" s="2623"/>
      <c r="R35" s="2623"/>
      <c r="S35" s="2623"/>
      <c r="T35" s="2623"/>
      <c r="U35" s="2623"/>
      <c r="V35" s="2623"/>
      <c r="W35" s="2623"/>
      <c r="X35" s="704"/>
      <c r="Y35" s="2693"/>
      <c r="Z35" s="452"/>
      <c r="AA35" s="1761"/>
      <c r="AB35" s="1408"/>
      <c r="AC35" s="1408"/>
      <c r="AD35" s="1408"/>
      <c r="AE35" s="1408"/>
      <c r="AF35" s="1877"/>
      <c r="AG35" s="452"/>
      <c r="AH35" s="5177" t="s">
        <v>132</v>
      </c>
      <c r="AI35" s="1408" t="s">
        <v>2286</v>
      </c>
      <c r="AJ35" s="1408"/>
      <c r="AK35" s="1408"/>
      <c r="AL35" s="1408"/>
      <c r="AM35" s="1408"/>
      <c r="AN35" s="1408"/>
      <c r="AO35" s="1408"/>
      <c r="AP35" s="1877"/>
      <c r="AQ35" s="452"/>
      <c r="AR35" s="1408"/>
      <c r="AS35" s="1408"/>
      <c r="AT35" s="1408"/>
      <c r="AU35" s="1408"/>
    </row>
    <row r="36" spans="1:47" ht="13.5" customHeight="1" thickBot="1">
      <c r="A36" s="635"/>
      <c r="B36" s="127"/>
      <c r="C36" s="52">
        <v>1</v>
      </c>
      <c r="D36" s="127" t="str">
        <f>"Enter your "&amp;TaxYear&amp;" tax after credits from Form 1040, line 13 (see instructions if not filing Form 1040)"</f>
        <v>Enter your 2018 tax after credits from Form 1040, line 13 (see instructions if not filing Form 1040)</v>
      </c>
      <c r="E36" s="127"/>
      <c r="F36" s="127"/>
      <c r="G36" s="127"/>
      <c r="H36" s="127"/>
      <c r="I36" s="127"/>
      <c r="J36" s="127"/>
      <c r="K36" s="127"/>
      <c r="L36" s="127"/>
      <c r="M36" s="127"/>
      <c r="N36" s="127"/>
      <c r="O36" s="127"/>
      <c r="P36" s="127"/>
      <c r="Q36" s="127"/>
      <c r="R36" s="127"/>
      <c r="S36" s="127"/>
      <c r="T36" s="2624" t="s">
        <v>165</v>
      </c>
      <c r="U36" s="6557">
        <f>IF(Z36&lt;&gt;"",ROUND(Z36,0),'1040'!AB49)</f>
        <v>0</v>
      </c>
      <c r="V36" s="6558"/>
      <c r="W36" s="6558"/>
      <c r="X36" s="704"/>
      <c r="Y36" s="2693"/>
      <c r="Z36" s="5184"/>
      <c r="AA36" s="1761"/>
      <c r="AB36" s="1408"/>
      <c r="AC36" s="1408"/>
      <c r="AD36" s="1408"/>
      <c r="AE36" s="1408"/>
      <c r="AF36" s="1877"/>
      <c r="AG36" s="452"/>
      <c r="AH36" s="5177" t="s">
        <v>132</v>
      </c>
      <c r="AI36" s="2684" t="s">
        <v>2287</v>
      </c>
      <c r="AJ36" s="1408"/>
      <c r="AK36" s="1408"/>
      <c r="AL36" s="1408"/>
      <c r="AM36" s="1408"/>
      <c r="AN36" s="1408"/>
      <c r="AO36" s="1408"/>
      <c r="AP36" s="1877"/>
      <c r="AQ36" s="452"/>
      <c r="AR36" s="1408"/>
      <c r="AS36" s="1408"/>
      <c r="AT36" s="1408"/>
      <c r="AU36" s="1408"/>
    </row>
    <row r="37" spans="1:47" ht="13.5" customHeight="1" thickBot="1">
      <c r="A37" s="635"/>
      <c r="B37" s="24"/>
      <c r="C37" s="52">
        <v>2</v>
      </c>
      <c r="D37" s="74" t="s">
        <v>2178</v>
      </c>
      <c r="E37" s="24"/>
      <c r="F37" s="24"/>
      <c r="G37" s="24"/>
      <c r="H37" s="24"/>
      <c r="I37" s="24"/>
      <c r="J37" s="24"/>
      <c r="K37" s="24"/>
      <c r="L37" s="24"/>
      <c r="M37" s="24"/>
      <c r="N37" s="24"/>
      <c r="O37" s="24"/>
      <c r="P37" s="24"/>
      <c r="Q37" s="24"/>
      <c r="R37" s="24"/>
      <c r="S37" s="24"/>
      <c r="T37" s="440"/>
      <c r="U37" s="6601"/>
      <c r="V37" s="5849"/>
      <c r="W37" s="5849"/>
      <c r="X37" s="82"/>
      <c r="Y37" s="1450"/>
      <c r="Z37" s="452"/>
      <c r="AA37" s="1769"/>
      <c r="AB37" s="1882"/>
      <c r="AC37" s="7064" t="b">
        <f>IF(AND(AC8&lt;&gt;"",AC14&lt;&gt;"",AC23&lt;&gt;"",Y78=1),TRUE,FALSE)</f>
        <v>0</v>
      </c>
      <c r="AD37" s="7065"/>
      <c r="AE37" s="7065"/>
      <c r="AF37" s="1883"/>
      <c r="AG37" s="452"/>
      <c r="AH37" s="5177" t="s">
        <v>132</v>
      </c>
      <c r="AI37" s="1766" t="s">
        <v>2288</v>
      </c>
      <c r="AJ37" s="1408"/>
      <c r="AK37" s="1408"/>
      <c r="AL37" s="1408"/>
      <c r="AM37" s="1408"/>
      <c r="AN37" s="1408"/>
      <c r="AO37" s="1408"/>
      <c r="AP37" s="1877"/>
      <c r="AQ37" s="452"/>
      <c r="AR37" s="1408"/>
      <c r="AS37" s="1408"/>
      <c r="AT37" s="1408"/>
      <c r="AU37" s="1408"/>
    </row>
    <row r="38" spans="1:47" ht="13.5" customHeight="1" thickBot="1">
      <c r="A38" s="635"/>
      <c r="B38" s="127"/>
      <c r="C38" s="422"/>
      <c r="D38" s="74" t="s">
        <v>2179</v>
      </c>
      <c r="E38" s="127"/>
      <c r="F38" s="127"/>
      <c r="G38" s="127"/>
      <c r="H38" s="127"/>
      <c r="I38" s="127"/>
      <c r="J38" s="127"/>
      <c r="K38" s="127"/>
      <c r="L38" s="127"/>
      <c r="M38" s="127"/>
      <c r="N38" s="127"/>
      <c r="O38" s="127"/>
      <c r="P38" s="127"/>
      <c r="Q38" s="127"/>
      <c r="R38" s="127"/>
      <c r="S38" s="1699" t="s">
        <v>1150</v>
      </c>
      <c r="T38" s="451">
        <v>2</v>
      </c>
      <c r="U38" s="6557">
        <f>IF(Z38&lt;&gt;"",ROUND(Z38,0),Schedule4)</f>
        <v>0</v>
      </c>
      <c r="V38" s="6558"/>
      <c r="W38" s="6558"/>
      <c r="X38" s="704"/>
      <c r="Y38" s="2693"/>
      <c r="Z38" s="4256"/>
      <c r="AA38" s="7059" t="str">
        <f>IF(OR($B$66,NOT($W$82)),"","Note:   If you wish to use the 'Regular Method', check either the top or bottom box at the left.")</f>
        <v>Note:   If you wish to use the 'Regular Method', check either the top or bottom box at the left.</v>
      </c>
      <c r="AB38" s="7059"/>
      <c r="AC38" s="7059"/>
      <c r="AD38" s="7059"/>
      <c r="AE38" s="7059"/>
      <c r="AF38" s="7060"/>
      <c r="AG38" s="452"/>
      <c r="AH38" s="5177" t="s">
        <v>132</v>
      </c>
      <c r="AI38" s="1408" t="s">
        <v>2289</v>
      </c>
      <c r="AJ38" s="1408"/>
      <c r="AK38" s="1408"/>
      <c r="AL38" s="1408"/>
      <c r="AM38" s="1408"/>
      <c r="AN38" s="1408"/>
      <c r="AO38" s="1408"/>
      <c r="AP38" s="1877"/>
      <c r="AQ38" s="452"/>
      <c r="AR38" s="1408"/>
      <c r="AS38" s="1408"/>
      <c r="AT38" s="1408"/>
      <c r="AU38" s="1408"/>
    </row>
    <row r="39" spans="1:47" ht="13.5" customHeight="1" thickBot="1">
      <c r="A39" s="635"/>
      <c r="B39" s="24"/>
      <c r="C39" s="422">
        <v>3</v>
      </c>
      <c r="D39" s="24" t="s">
        <v>2180</v>
      </c>
      <c r="E39" s="24"/>
      <c r="F39" s="24"/>
      <c r="G39" s="24"/>
      <c r="H39" s="24"/>
      <c r="I39" s="24"/>
      <c r="J39" s="24"/>
      <c r="K39" s="24"/>
      <c r="L39" s="24"/>
      <c r="M39" s="24"/>
      <c r="N39" s="24"/>
      <c r="O39" s="24"/>
      <c r="P39" s="24"/>
      <c r="Q39" s="24"/>
      <c r="R39" s="24"/>
      <c r="S39" s="1699" t="str">
        <f>IF(U39&gt;0,"Line 3 should be negative.",".   .   .   .   .   .   .   .   .   .   . ")</f>
        <v xml:space="preserve">.   .   .   .   .   .   .   .   .   .   . </v>
      </c>
      <c r="T39" s="451">
        <v>3</v>
      </c>
      <c r="U39" s="6557">
        <f>IF(Z39&lt;&gt;"",ROUND(Z39,0),-SUM(EarnedIncomeCredit,AdditionalCTC,Form8863,FedFuelTaxCredit,PTCNet))</f>
        <v>0</v>
      </c>
      <c r="V39" s="6558"/>
      <c r="W39" s="6558"/>
      <c r="X39" s="82"/>
      <c r="Y39" s="1450"/>
      <c r="Z39" s="4256"/>
      <c r="AA39" s="7061"/>
      <c r="AB39" s="7061"/>
      <c r="AC39" s="7061"/>
      <c r="AD39" s="7061"/>
      <c r="AE39" s="7061"/>
      <c r="AF39" s="7062"/>
      <c r="AG39" s="452"/>
      <c r="AH39" s="5177" t="s">
        <v>132</v>
      </c>
      <c r="AI39" s="1766" t="s">
        <v>2290</v>
      </c>
      <c r="AJ39" s="1408"/>
      <c r="AK39" s="1408"/>
      <c r="AL39" s="1408"/>
      <c r="AM39" s="1408"/>
      <c r="AN39" s="1408"/>
      <c r="AO39" s="1408"/>
      <c r="AP39" s="1877"/>
      <c r="AQ39" s="452"/>
      <c r="AR39" s="1408"/>
      <c r="AS39" s="1408"/>
      <c r="AT39" s="1408"/>
      <c r="AU39" s="1408"/>
    </row>
    <row r="40" spans="1:47" ht="13.5" customHeight="1">
      <c r="A40" s="635"/>
      <c r="B40" s="24"/>
      <c r="C40" s="52">
        <v>4</v>
      </c>
      <c r="D40" s="74" t="s">
        <v>2279</v>
      </c>
      <c r="E40" s="24"/>
      <c r="F40" s="24"/>
      <c r="G40" s="24"/>
      <c r="H40" s="24"/>
      <c r="I40" s="24"/>
      <c r="J40" s="24"/>
      <c r="K40" s="24"/>
      <c r="L40" s="24"/>
      <c r="M40" s="24"/>
      <c r="N40" s="140" t="str">
        <f>"If less than "&amp;TEXT($W$42,"$0,000")&amp;","</f>
        <v>If less than $1,000,</v>
      </c>
      <c r="O40" s="74" t="s">
        <v>2540</v>
      </c>
      <c r="P40" s="24"/>
      <c r="Q40" s="24"/>
      <c r="R40" s="24"/>
      <c r="S40" s="24"/>
      <c r="T40" s="450"/>
      <c r="U40" s="6619"/>
      <c r="V40" s="6620"/>
      <c r="W40" s="6620"/>
      <c r="X40" s="82"/>
      <c r="Y40" s="1450"/>
      <c r="Z40" s="452"/>
      <c r="AA40" s="7063"/>
      <c r="AB40" s="7061"/>
      <c r="AC40" s="7061"/>
      <c r="AD40" s="7061"/>
      <c r="AE40" s="7061"/>
      <c r="AF40" s="7062"/>
      <c r="AG40" s="452"/>
      <c r="AH40" s="5177" t="s">
        <v>132</v>
      </c>
      <c r="AI40" s="1408" t="s">
        <v>2291</v>
      </c>
      <c r="AJ40" s="1408"/>
      <c r="AK40" s="1408"/>
      <c r="AL40" s="1408"/>
      <c r="AM40" s="1408"/>
      <c r="AN40" s="1408"/>
      <c r="AO40" s="1408"/>
      <c r="AP40" s="1877"/>
      <c r="AQ40" s="452"/>
      <c r="AR40" s="1408"/>
      <c r="AS40" s="1408"/>
      <c r="AT40" s="1408"/>
      <c r="AU40" s="1408"/>
    </row>
    <row r="41" spans="1:47" ht="13.5" customHeight="1" thickBot="1">
      <c r="A41" s="635"/>
      <c r="B41" s="24"/>
      <c r="C41" s="52"/>
      <c r="D41" s="74" t="s">
        <v>2181</v>
      </c>
      <c r="E41" s="24"/>
      <c r="F41" s="24"/>
      <c r="G41" s="24"/>
      <c r="H41" s="24"/>
      <c r="I41" s="24"/>
      <c r="J41" s="24"/>
      <c r="K41" s="24"/>
      <c r="L41" s="24"/>
      <c r="M41" s="24"/>
      <c r="N41" s="24"/>
      <c r="O41" s="24"/>
      <c r="P41" s="24"/>
      <c r="Q41" s="24"/>
      <c r="R41" s="24"/>
      <c r="S41" s="1699" t="s">
        <v>764</v>
      </c>
      <c r="T41" s="447">
        <v>4</v>
      </c>
      <c r="U41" s="7180">
        <f>SUM(U36,U38,U39)</f>
        <v>0</v>
      </c>
      <c r="V41" s="7181"/>
      <c r="W41" s="7181"/>
      <c r="X41" s="82"/>
      <c r="Y41" s="1450"/>
      <c r="Z41" s="452"/>
      <c r="AA41" s="7063"/>
      <c r="AB41" s="7061"/>
      <c r="AC41" s="7061"/>
      <c r="AD41" s="7061"/>
      <c r="AE41" s="7061"/>
      <c r="AF41" s="7062"/>
      <c r="AG41" s="452"/>
      <c r="AH41" s="5179"/>
      <c r="AI41" s="1882"/>
      <c r="AJ41" s="1882"/>
      <c r="AK41" s="1882"/>
      <c r="AL41" s="1882"/>
      <c r="AM41" s="1882"/>
      <c r="AN41" s="1882"/>
      <c r="AO41" s="1882"/>
      <c r="AP41" s="1883"/>
      <c r="AQ41" s="452"/>
      <c r="AR41" s="1408"/>
      <c r="AS41" s="1408"/>
      <c r="AT41" s="1408"/>
      <c r="AU41" s="1408"/>
    </row>
    <row r="42" spans="1:47" ht="13.5" customHeight="1" thickBot="1">
      <c r="A42" s="635"/>
      <c r="B42" s="24"/>
      <c r="C42" s="52">
        <v>5</v>
      </c>
      <c r="D42" s="24" t="str">
        <f>"Multiply line 4 by "&amp;TEXT(U42,"0%")&amp;" ("&amp;TEXT(U42,"0.00")&amp;")"</f>
        <v>Multiply line 4 by 90% (0.90)</v>
      </c>
      <c r="E42" s="24"/>
      <c r="F42" s="24"/>
      <c r="G42" s="24"/>
      <c r="H42" s="24"/>
      <c r="I42" s="24"/>
      <c r="J42" s="24"/>
      <c r="K42" s="24"/>
      <c r="L42" s="24"/>
      <c r="M42" s="24"/>
      <c r="N42" s="24"/>
      <c r="O42" s="1699"/>
      <c r="P42" s="43"/>
      <c r="Q42" s="1699" t="s">
        <v>2541</v>
      </c>
      <c r="R42" s="2699">
        <v>5</v>
      </c>
      <c r="S42" s="2518" t="str">
        <f>IF($V$42,"",ROUND(U41*U42,0))</f>
        <v/>
      </c>
      <c r="T42" s="453"/>
      <c r="U42" s="2683">
        <v>0.9</v>
      </c>
      <c r="V42" s="2774" t="b">
        <f>IF($U$41&lt;$W$42,TRUE,FALSE)</f>
        <v>1</v>
      </c>
      <c r="W42" s="1440">
        <v>1000</v>
      </c>
      <c r="X42" s="82"/>
      <c r="Y42" s="1450"/>
      <c r="Z42" s="452"/>
      <c r="AA42" s="1758"/>
      <c r="AB42" s="1873"/>
      <c r="AC42" s="1873"/>
      <c r="AD42" s="1873"/>
      <c r="AE42" s="1873"/>
      <c r="AF42" s="1874"/>
      <c r="AG42" s="452"/>
      <c r="AH42" s="452"/>
      <c r="AI42" s="452"/>
      <c r="AJ42" s="452"/>
      <c r="AK42" s="452"/>
      <c r="AL42" s="452"/>
      <c r="AM42" s="452"/>
      <c r="AN42" s="452"/>
      <c r="AO42" s="452"/>
      <c r="AP42" s="452"/>
      <c r="AQ42" s="452"/>
      <c r="AR42" s="1408"/>
      <c r="AS42" s="1408"/>
      <c r="AT42" s="1408"/>
      <c r="AU42" s="1408"/>
    </row>
    <row r="43" spans="1:47" ht="15" customHeight="1" thickBot="1">
      <c r="A43" s="635"/>
      <c r="B43" s="127"/>
      <c r="C43" s="52">
        <v>6</v>
      </c>
      <c r="D43" s="74" t="s">
        <v>2182</v>
      </c>
      <c r="E43" s="127"/>
      <c r="F43" s="127"/>
      <c r="G43" s="127"/>
      <c r="H43" s="127"/>
      <c r="I43" s="127"/>
      <c r="J43" s="127"/>
      <c r="K43" s="127"/>
      <c r="L43" s="127"/>
      <c r="M43" s="127"/>
      <c r="N43" s="127"/>
      <c r="O43" s="127"/>
      <c r="P43" s="127"/>
      <c r="Q43" s="127"/>
      <c r="R43" s="127"/>
      <c r="S43" s="1699" t="s">
        <v>879</v>
      </c>
      <c r="T43" s="447">
        <v>6</v>
      </c>
      <c r="U43" s="6557" t="str">
        <f>IF(Z43&lt;&gt;"",ROUND(Z43,0),IF($V$42,"",SUM(FedTaxWithheld,ExcessSSTax)))</f>
        <v/>
      </c>
      <c r="V43" s="6558"/>
      <c r="W43" s="6558"/>
      <c r="X43" s="704"/>
      <c r="Y43" s="2693"/>
      <c r="Z43" s="5184"/>
      <c r="AA43" s="7123" t="s">
        <v>5078</v>
      </c>
      <c r="AB43" s="7124"/>
      <c r="AC43" s="7124"/>
      <c r="AD43" s="7124"/>
      <c r="AE43" s="7124"/>
      <c r="AF43" s="7125"/>
      <c r="AG43" s="452"/>
      <c r="AH43" s="6933" t="s">
        <v>4945</v>
      </c>
      <c r="AI43" s="6934"/>
      <c r="AJ43" s="6934"/>
      <c r="AK43" s="6934"/>
      <c r="AL43" s="6934"/>
      <c r="AM43" s="6934"/>
      <c r="AN43" s="6934"/>
      <c r="AO43" s="6934"/>
      <c r="AP43" s="6935"/>
      <c r="AQ43" s="452"/>
      <c r="AR43" s="1408"/>
      <c r="AS43" s="1408"/>
      <c r="AT43" s="1408"/>
      <c r="AU43" s="1408"/>
    </row>
    <row r="44" spans="1:47" ht="13.5" customHeight="1" thickBot="1">
      <c r="A44" s="635"/>
      <c r="B44" s="24"/>
      <c r="C44" s="52">
        <v>7</v>
      </c>
      <c r="D44" s="74" t="s">
        <v>2278</v>
      </c>
      <c r="E44" s="41"/>
      <c r="F44" s="24"/>
      <c r="G44" s="24"/>
      <c r="H44" s="74"/>
      <c r="I44" s="74"/>
      <c r="J44" s="1127" t="str">
        <f>"If less than "&amp;TEXT($W$42,"$0,000")&amp;","</f>
        <v>If less than $1,000,</v>
      </c>
      <c r="K44" s="53" t="s">
        <v>2542</v>
      </c>
      <c r="L44" s="24"/>
      <c r="M44" s="24"/>
      <c r="N44" s="24"/>
      <c r="O44" s="24"/>
      <c r="P44" s="74"/>
      <c r="Q44" s="24"/>
      <c r="R44" s="24"/>
      <c r="S44" s="1127"/>
      <c r="T44" s="447">
        <v>7</v>
      </c>
      <c r="U44" s="6647" t="str">
        <f>IF(Z44&lt;&gt;"",ROUND(Z44,0),IF($V$42,"",SUM(U41,-U43)))</f>
        <v/>
      </c>
      <c r="V44" s="6648"/>
      <c r="W44" s="6648"/>
      <c r="X44" s="82"/>
      <c r="Y44" s="1450"/>
      <c r="Z44" s="5184"/>
      <c r="AA44" s="7123" t="s">
        <v>242</v>
      </c>
      <c r="AB44" s="7124"/>
      <c r="AC44" s="7124"/>
      <c r="AD44" s="7124"/>
      <c r="AE44" s="7124"/>
      <c r="AF44" s="7125"/>
      <c r="AG44" s="452"/>
      <c r="AH44" s="7161" t="str">
        <f>"To figure your "&amp;TaxYear-1&amp;" tax, first add the amounts listed in (1) (see below),
then subtract from that total amount the refundable credits listed
in (2) (see below) that are shown on your "&amp;TaxYear-1&amp;" tax return."</f>
        <v>To figure your 2017 tax, first add the amounts listed in (1) (see below),
then subtract from that total amount the refundable credits listed
in (2) (see below) that are shown on your 2017 tax return.</v>
      </c>
      <c r="AI44" s="6176"/>
      <c r="AJ44" s="6176"/>
      <c r="AK44" s="6176"/>
      <c r="AL44" s="6176"/>
      <c r="AM44" s="6176"/>
      <c r="AN44" s="6176"/>
      <c r="AO44" s="5680"/>
      <c r="AP44" s="6400"/>
      <c r="AQ44" s="452"/>
      <c r="AR44" s="1408"/>
      <c r="AS44" s="1408"/>
      <c r="AT44" s="1408"/>
      <c r="AU44" s="1408"/>
    </row>
    <row r="45" spans="1:47" ht="13.5" customHeight="1" thickBot="1">
      <c r="A45" s="635"/>
      <c r="B45" s="24"/>
      <c r="C45" s="52">
        <v>8</v>
      </c>
      <c r="D45" s="24" t="s">
        <v>2183</v>
      </c>
      <c r="E45" s="41"/>
      <c r="F45" s="24"/>
      <c r="G45" s="24"/>
      <c r="H45" s="24"/>
      <c r="I45" s="24"/>
      <c r="J45" s="24"/>
      <c r="K45" s="24"/>
      <c r="L45" s="24"/>
      <c r="M45" s="24"/>
      <c r="N45" s="24"/>
      <c r="O45" s="24"/>
      <c r="P45" s="24"/>
      <c r="Q45" s="24"/>
      <c r="R45" s="24"/>
      <c r="S45" s="1699" t="s">
        <v>2322</v>
      </c>
      <c r="T45" s="447">
        <v>8</v>
      </c>
      <c r="U45" s="6557" t="str">
        <f>IF(Z45&lt;&gt;"",ROUND(Z45,0),IF(OR($V$42,$U$47),"",IF(AA23,AA25*SUM(AC8,-AC14),SUM(AC8,-AC14))))</f>
        <v/>
      </c>
      <c r="V45" s="6558"/>
      <c r="W45" s="6558"/>
      <c r="X45" s="82"/>
      <c r="Y45" s="1450"/>
      <c r="Z45" s="5184"/>
      <c r="AA45" s="6975" t="s">
        <v>4783</v>
      </c>
      <c r="AB45" s="6976"/>
      <c r="AC45" s="6976"/>
      <c r="AD45" s="6976"/>
      <c r="AE45" s="6976"/>
      <c r="AF45" s="6977"/>
      <c r="AG45" s="452"/>
      <c r="AH45" s="7162"/>
      <c r="AI45" s="7163"/>
      <c r="AJ45" s="7163"/>
      <c r="AK45" s="7163"/>
      <c r="AL45" s="7163"/>
      <c r="AM45" s="7163"/>
      <c r="AN45" s="7163"/>
      <c r="AO45" s="5681"/>
      <c r="AP45" s="6547"/>
      <c r="AQ45" s="452"/>
      <c r="AR45" s="1408"/>
      <c r="AS45" s="1408"/>
      <c r="AT45" s="1408"/>
      <c r="AU45" s="1408"/>
    </row>
    <row r="46" spans="1:47" ht="13.5" customHeight="1" thickBot="1">
      <c r="A46" s="635"/>
      <c r="B46" s="24"/>
      <c r="C46" s="52">
        <v>9</v>
      </c>
      <c r="D46" s="74" t="s">
        <v>4742</v>
      </c>
      <c r="E46" s="41"/>
      <c r="F46" s="24"/>
      <c r="G46" s="24"/>
      <c r="H46" s="24"/>
      <c r="I46" s="24"/>
      <c r="J46" s="24"/>
      <c r="K46" s="24"/>
      <c r="L46" s="24"/>
      <c r="M46" s="24"/>
      <c r="N46" s="24"/>
      <c r="O46" s="24"/>
      <c r="P46" s="24"/>
      <c r="Q46" s="24"/>
      <c r="R46" s="24"/>
      <c r="S46" s="1699" t="s">
        <v>765</v>
      </c>
      <c r="T46" s="447">
        <v>9</v>
      </c>
      <c r="U46" s="6590" t="str">
        <f>IF(Z46&lt;&gt;"",ROUND(Z46,0),IF(OR($V$42,$U$47),"",MIN(S42,U45)))</f>
        <v/>
      </c>
      <c r="V46" s="6591"/>
      <c r="W46" s="6591"/>
      <c r="X46" s="82"/>
      <c r="Y46" s="1450"/>
      <c r="Z46" s="5184"/>
      <c r="AA46" s="6978" t="s">
        <v>4784</v>
      </c>
      <c r="AB46" s="6979"/>
      <c r="AC46" s="6979"/>
      <c r="AD46" s="6979"/>
      <c r="AE46" s="6979"/>
      <c r="AF46" s="6980"/>
      <c r="AG46" s="452"/>
      <c r="AH46" s="7153" t="str">
        <f>"(1) Add the amounts listed in the chart below based on which tax return you filed for "&amp;TaxYear-1&amp;"."</f>
        <v>(1) Add the amounts listed in the chart below based on which tax return you filed for 2017.</v>
      </c>
      <c r="AI46" s="7154"/>
      <c r="AJ46" s="7154"/>
      <c r="AK46" s="7154"/>
      <c r="AL46" s="7154"/>
      <c r="AM46" s="7154"/>
      <c r="AN46" s="7154"/>
      <c r="AO46" s="7155"/>
      <c r="AP46" s="7156"/>
      <c r="AQ46" s="452"/>
      <c r="AR46" s="1408"/>
      <c r="AS46" s="1408"/>
      <c r="AT46" s="1408"/>
      <c r="AU46" s="1408"/>
    </row>
    <row r="47" spans="1:47" ht="15" customHeight="1">
      <c r="A47" s="635"/>
      <c r="B47" s="24"/>
      <c r="C47" s="52"/>
      <c r="D47" s="1093" t="s">
        <v>2184</v>
      </c>
      <c r="E47" s="41"/>
      <c r="F47" s="24"/>
      <c r="G47" s="24"/>
      <c r="H47" s="24"/>
      <c r="I47" s="24"/>
      <c r="J47" s="24"/>
      <c r="K47" s="24"/>
      <c r="L47" s="24"/>
      <c r="M47" s="24"/>
      <c r="N47" s="24"/>
      <c r="O47" s="24"/>
      <c r="P47" s="24"/>
      <c r="Q47" s="24"/>
      <c r="R47" s="24"/>
      <c r="S47" s="566"/>
      <c r="T47" s="566"/>
      <c r="U47" s="2774" t="b">
        <f>IF($U$44&lt;$W$42,TRUE,FALSE)</f>
        <v>0</v>
      </c>
      <c r="V47" s="2775"/>
      <c r="W47" s="2774" t="b">
        <f>IF(U46&gt;U43,TRUE,FALSE)</f>
        <v>0</v>
      </c>
      <c r="X47" s="82"/>
      <c r="Y47" s="1450"/>
      <c r="Z47" s="452"/>
      <c r="AA47" s="6981" t="s">
        <v>5086</v>
      </c>
      <c r="AB47" s="6982"/>
      <c r="AC47" s="6982"/>
      <c r="AD47" s="6982"/>
      <c r="AE47" s="6982"/>
      <c r="AF47" s="6983"/>
      <c r="AG47" s="452"/>
      <c r="AH47" s="7157"/>
      <c r="AI47" s="7158"/>
      <c r="AJ47" s="7158"/>
      <c r="AK47" s="7158"/>
      <c r="AL47" s="7158"/>
      <c r="AM47" s="7158"/>
      <c r="AN47" s="7158"/>
      <c r="AO47" s="7159"/>
      <c r="AP47" s="7160"/>
      <c r="AQ47" s="452"/>
      <c r="AR47" s="1408"/>
      <c r="AS47" s="1408"/>
      <c r="AT47" s="1408"/>
      <c r="AU47" s="1408"/>
    </row>
    <row r="48" spans="1:47" ht="13.5" customHeight="1">
      <c r="A48" s="635"/>
      <c r="B48" s="24"/>
      <c r="C48" s="52"/>
      <c r="D48" s="2636" t="str">
        <f>IF(NOT(AC37),"",IF(OR($V$42,$U$47),"",IF($W$47,"","X")))</f>
        <v/>
      </c>
      <c r="E48" s="74" t="s">
        <v>2292</v>
      </c>
      <c r="F48" s="24"/>
      <c r="G48" s="24"/>
      <c r="H48" s="24"/>
      <c r="I48" s="74" t="s">
        <v>4743</v>
      </c>
      <c r="J48" s="24"/>
      <c r="K48" s="24"/>
      <c r="L48" s="24"/>
      <c r="M48" s="24"/>
      <c r="N48" s="24"/>
      <c r="O48" s="74" t="s">
        <v>2545</v>
      </c>
      <c r="P48" s="24"/>
      <c r="Q48" s="24"/>
      <c r="R48" s="24"/>
      <c r="S48" s="14"/>
      <c r="T48" s="14"/>
      <c r="U48" s="14"/>
      <c r="V48" s="1094"/>
      <c r="W48" s="32"/>
      <c r="X48" s="82"/>
      <c r="Y48" s="1450"/>
      <c r="Z48" s="2949"/>
      <c r="AA48" s="1761"/>
      <c r="AB48" s="1408"/>
      <c r="AC48" s="1408"/>
      <c r="AD48" s="1408"/>
      <c r="AE48" s="2749" t="b">
        <f>D50="X"</f>
        <v>0</v>
      </c>
      <c r="AF48" s="1877"/>
      <c r="AG48" s="452"/>
      <c r="AH48" s="6927" t="s">
        <v>2329</v>
      </c>
      <c r="AI48" s="6928"/>
      <c r="AJ48" s="6928"/>
      <c r="AK48" s="6928"/>
      <c r="AL48" s="6928"/>
      <c r="AM48" s="6928"/>
      <c r="AN48" s="6928"/>
      <c r="AO48" s="6928"/>
      <c r="AP48" s="6929"/>
      <c r="AQ48" s="452"/>
      <c r="AR48" s="1408"/>
      <c r="AS48" s="1408"/>
      <c r="AT48" s="1408"/>
      <c r="AU48" s="1408"/>
    </row>
    <row r="49" spans="1:47" ht="4.5" customHeight="1">
      <c r="A49" s="635"/>
      <c r="B49" s="24"/>
      <c r="C49" s="74"/>
      <c r="D49" s="74"/>
      <c r="E49" s="74"/>
      <c r="F49" s="24"/>
      <c r="G49" s="24"/>
      <c r="H49" s="24"/>
      <c r="I49" s="24"/>
      <c r="J49" s="24"/>
      <c r="K49" s="24"/>
      <c r="L49" s="24"/>
      <c r="M49" s="24"/>
      <c r="N49" s="24"/>
      <c r="O49" s="24"/>
      <c r="P49" s="24"/>
      <c r="Q49" s="24"/>
      <c r="R49" s="24"/>
      <c r="S49" s="14"/>
      <c r="T49" s="14"/>
      <c r="U49" s="14"/>
      <c r="V49" s="1094"/>
      <c r="W49" s="1094"/>
      <c r="X49" s="82"/>
      <c r="Y49" s="1450"/>
      <c r="Z49" s="2949"/>
      <c r="AA49" s="6984" t="s">
        <v>4785</v>
      </c>
      <c r="AB49" s="6985"/>
      <c r="AC49" s="6985"/>
      <c r="AD49" s="6985"/>
      <c r="AE49" s="1408"/>
      <c r="AF49" s="1877"/>
      <c r="AG49" s="452"/>
      <c r="AH49" s="6930"/>
      <c r="AI49" s="6931"/>
      <c r="AJ49" s="6931"/>
      <c r="AK49" s="6931"/>
      <c r="AL49" s="6931"/>
      <c r="AM49" s="6931"/>
      <c r="AN49" s="6931"/>
      <c r="AO49" s="6931"/>
      <c r="AP49" s="6932"/>
      <c r="AQ49" s="452"/>
      <c r="AR49" s="1408"/>
      <c r="AS49" s="1408"/>
      <c r="AT49" s="1408"/>
      <c r="AU49" s="1408"/>
    </row>
    <row r="50" spans="1:47" ht="13.5" customHeight="1">
      <c r="A50" s="635"/>
      <c r="B50" s="32"/>
      <c r="C50" s="2686"/>
      <c r="D50" s="2636" t="str">
        <f>IF(NOT(AC37),"",IF(OR($V$42,$U$47),"",IF($W$47,"X","")))</f>
        <v/>
      </c>
      <c r="E50" s="74" t="s">
        <v>2185</v>
      </c>
      <c r="F50" s="24"/>
      <c r="G50" s="24"/>
      <c r="H50" s="24"/>
      <c r="I50" s="24"/>
      <c r="J50" s="24"/>
      <c r="K50" s="24"/>
      <c r="L50" s="24"/>
      <c r="M50" s="60"/>
      <c r="N50" s="24"/>
      <c r="O50" s="24"/>
      <c r="P50" s="24"/>
      <c r="Q50" s="24"/>
      <c r="R50" s="41"/>
      <c r="S50" s="14"/>
      <c r="T50" s="460"/>
      <c r="U50" s="2626"/>
      <c r="V50" s="32"/>
      <c r="W50" s="2774" t="b">
        <f>IF($D$50&lt;&gt;"",TRUE,FALSE)</f>
        <v>0</v>
      </c>
      <c r="X50" s="82"/>
      <c r="Y50" s="1450"/>
      <c r="Z50" s="2949"/>
      <c r="AA50" s="6984"/>
      <c r="AB50" s="6985"/>
      <c r="AC50" s="6985"/>
      <c r="AD50" s="6985"/>
      <c r="AE50" s="1408"/>
      <c r="AF50" s="1877"/>
      <c r="AG50" s="452"/>
      <c r="AH50" s="6930"/>
      <c r="AI50" s="6931"/>
      <c r="AJ50" s="6931"/>
      <c r="AK50" s="6931"/>
      <c r="AL50" s="6931"/>
      <c r="AM50" s="6931"/>
      <c r="AN50" s="6931"/>
      <c r="AO50" s="6931"/>
      <c r="AP50" s="6932"/>
      <c r="AQ50" s="452"/>
      <c r="AR50" s="1408"/>
      <c r="AS50" s="1408"/>
      <c r="AT50" s="1408"/>
      <c r="AU50" s="1408"/>
    </row>
    <row r="51" spans="1:47" ht="13.5" customHeight="1" thickBot="1">
      <c r="A51" s="635"/>
      <c r="B51" s="6919" t="str">
        <f>IF(W51,"®","")</f>
        <v/>
      </c>
      <c r="C51" s="6920"/>
      <c r="D51" s="437" t="s">
        <v>132</v>
      </c>
      <c r="E51" s="74" t="s">
        <v>2186</v>
      </c>
      <c r="F51" s="24"/>
      <c r="G51" s="24"/>
      <c r="H51" s="24"/>
      <c r="I51" s="24"/>
      <c r="J51" s="24"/>
      <c r="K51" s="24"/>
      <c r="L51" s="24"/>
      <c r="M51" s="24"/>
      <c r="N51" s="24"/>
      <c r="O51" s="24"/>
      <c r="P51" s="24"/>
      <c r="Q51" s="24"/>
      <c r="R51" s="24"/>
      <c r="S51" s="24"/>
      <c r="T51" s="24"/>
      <c r="U51" s="32"/>
      <c r="V51" s="32"/>
      <c r="W51" s="2774" t="b">
        <f>IF(AND(W50,OR(D59&lt;&gt;"",D61&lt;&gt;"",D63&lt;&gt;"")),TRUE,FALSE)</f>
        <v>0</v>
      </c>
      <c r="X51" s="82"/>
      <c r="Y51" s="1450"/>
      <c r="Z51" s="2949"/>
      <c r="AA51" s="6984"/>
      <c r="AB51" s="6985"/>
      <c r="AC51" s="6985"/>
      <c r="AD51" s="6985"/>
      <c r="AE51" s="5048" t="str">
        <f>IF(AE48,U41,"")</f>
        <v/>
      </c>
      <c r="AF51" s="1877"/>
      <c r="AG51" s="452"/>
      <c r="AH51" s="6930"/>
      <c r="AI51" s="6931"/>
      <c r="AJ51" s="6931"/>
      <c r="AK51" s="6931"/>
      <c r="AL51" s="6931"/>
      <c r="AM51" s="6931"/>
      <c r="AN51" s="6931"/>
      <c r="AO51" s="6931"/>
      <c r="AP51" s="6932"/>
      <c r="AQ51" s="452"/>
      <c r="AR51" s="1408"/>
      <c r="AS51" s="1408"/>
      <c r="AT51" s="1408"/>
      <c r="AU51" s="1408"/>
    </row>
    <row r="52" spans="1:47" ht="13.5" customHeight="1">
      <c r="A52" s="635"/>
      <c r="B52" s="6919" t="str">
        <f>IF(W54,"®","")</f>
        <v/>
      </c>
      <c r="C52" s="6920"/>
      <c r="D52" s="437" t="s">
        <v>132</v>
      </c>
      <c r="E52" s="74" t="s">
        <v>2187</v>
      </c>
      <c r="F52" s="24"/>
      <c r="G52" s="24"/>
      <c r="H52" s="24"/>
      <c r="I52" s="24"/>
      <c r="J52" s="24"/>
      <c r="K52" s="24"/>
      <c r="L52" s="24"/>
      <c r="M52" s="24"/>
      <c r="N52" s="24"/>
      <c r="O52" s="24"/>
      <c r="P52" s="24"/>
      <c r="Q52" s="24"/>
      <c r="R52" s="2617"/>
      <c r="S52" s="2618"/>
      <c r="T52" s="450"/>
      <c r="U52" s="2619"/>
      <c r="V52" s="532"/>
      <c r="W52" s="43"/>
      <c r="X52" s="82"/>
      <c r="Y52" s="1450"/>
      <c r="Z52" s="2949"/>
      <c r="AA52" s="5054"/>
      <c r="AB52" s="4819"/>
      <c r="AC52" s="4819"/>
      <c r="AD52" s="4819"/>
      <c r="AE52" s="1408"/>
      <c r="AF52" s="1877"/>
      <c r="AG52" s="452"/>
      <c r="AH52" s="5177" t="s">
        <v>132</v>
      </c>
      <c r="AI52" s="7131" t="s">
        <v>2280</v>
      </c>
      <c r="AJ52" s="5680"/>
      <c r="AK52" s="5680"/>
      <c r="AL52" s="5680"/>
      <c r="AM52" s="5680"/>
      <c r="AN52" s="7132"/>
      <c r="AO52" s="5680"/>
      <c r="AP52" s="6400"/>
      <c r="AQ52" s="452"/>
      <c r="AR52" s="1408"/>
      <c r="AS52" s="1408"/>
      <c r="AT52" s="1408"/>
      <c r="AU52" s="1408"/>
    </row>
    <row r="53" spans="1:47" ht="13.5" customHeight="1">
      <c r="A53" s="635"/>
      <c r="B53" s="24"/>
      <c r="C53" s="52"/>
      <c r="D53" s="74"/>
      <c r="E53" s="74" t="s">
        <v>2188</v>
      </c>
      <c r="F53" s="24"/>
      <c r="G53" s="24"/>
      <c r="H53" s="24"/>
      <c r="I53" s="24"/>
      <c r="J53" s="24"/>
      <c r="K53" s="24"/>
      <c r="L53" s="24"/>
      <c r="M53" s="24"/>
      <c r="N53" s="24"/>
      <c r="O53" s="24"/>
      <c r="P53" s="24"/>
      <c r="Q53" s="24"/>
      <c r="R53" s="24"/>
      <c r="S53" s="24"/>
      <c r="T53" s="24"/>
      <c r="U53" s="24"/>
      <c r="V53" s="24"/>
      <c r="W53" s="43"/>
      <c r="X53" s="82"/>
      <c r="Y53" s="1450"/>
      <c r="Z53" s="2949"/>
      <c r="AA53" s="6984" t="s">
        <v>5079</v>
      </c>
      <c r="AB53" s="6985"/>
      <c r="AC53" s="6985"/>
      <c r="AD53" s="6985"/>
      <c r="AE53" s="1408"/>
      <c r="AF53" s="1877"/>
      <c r="AG53" s="452"/>
      <c r="AH53" s="5177"/>
      <c r="AI53" s="5680"/>
      <c r="AJ53" s="5680"/>
      <c r="AK53" s="5680"/>
      <c r="AL53" s="5680"/>
      <c r="AM53" s="5680"/>
      <c r="AN53" s="7132"/>
      <c r="AO53" s="5680"/>
      <c r="AP53" s="6400"/>
      <c r="AQ53" s="452"/>
      <c r="AR53" s="1408"/>
      <c r="AS53" s="1408"/>
      <c r="AT53" s="1408"/>
      <c r="AU53" s="1408"/>
    </row>
    <row r="54" spans="1:47" ht="13.5" customHeight="1" thickBot="1">
      <c r="A54" s="635"/>
      <c r="B54" s="24"/>
      <c r="C54" s="52"/>
      <c r="D54" s="52"/>
      <c r="E54" s="74" t="s">
        <v>2189</v>
      </c>
      <c r="F54" s="24"/>
      <c r="G54" s="24"/>
      <c r="H54" s="24"/>
      <c r="I54" s="24"/>
      <c r="J54" s="41"/>
      <c r="K54" s="24"/>
      <c r="L54" s="24"/>
      <c r="M54" s="24"/>
      <c r="N54" s="24"/>
      <c r="O54" s="24"/>
      <c r="P54" s="24"/>
      <c r="Q54" s="24"/>
      <c r="R54" s="24"/>
      <c r="S54" s="7"/>
      <c r="T54" s="24"/>
      <c r="U54" s="1094"/>
      <c r="V54" s="1094"/>
      <c r="W54" s="2774" t="b">
        <f>IF(AND(W50,OR(D57&lt;&gt;"",D65&lt;&gt;""),D59="",D61="",D63=""),TRUE,FALSE)</f>
        <v>0</v>
      </c>
      <c r="X54" s="82"/>
      <c r="Y54" s="1450"/>
      <c r="Z54" s="2949"/>
      <c r="AA54" s="6984"/>
      <c r="AB54" s="6985"/>
      <c r="AC54" s="6985"/>
      <c r="AD54" s="6985"/>
      <c r="AE54" s="5048" t="str">
        <f>IF(AE48,ROUND(AE51*0.8,0),"")</f>
        <v/>
      </c>
      <c r="AF54" s="1877"/>
      <c r="AG54" s="452"/>
      <c r="AH54" s="5177" t="s">
        <v>132</v>
      </c>
      <c r="AI54" s="7130" t="s">
        <v>2281</v>
      </c>
      <c r="AJ54" s="5680"/>
      <c r="AK54" s="5680"/>
      <c r="AL54" s="5680"/>
      <c r="AM54" s="5680"/>
      <c r="AN54" s="5680"/>
      <c r="AO54" s="5680"/>
      <c r="AP54" s="6400"/>
      <c r="AQ54" s="452"/>
      <c r="AR54" s="1408"/>
      <c r="AS54" s="1408"/>
      <c r="AT54" s="1408"/>
      <c r="AU54" s="1408"/>
    </row>
    <row r="55" spans="1:47" ht="16.5" customHeight="1">
      <c r="A55" s="635"/>
      <c r="B55" s="2628" t="s">
        <v>2190</v>
      </c>
      <c r="C55" s="2622"/>
      <c r="D55" s="2622"/>
      <c r="E55" s="2627" t="s">
        <v>2253</v>
      </c>
      <c r="F55" s="2623"/>
      <c r="G55" s="2623"/>
      <c r="H55" s="2623"/>
      <c r="I55" s="2623"/>
      <c r="J55" s="2623"/>
      <c r="K55" s="2623"/>
      <c r="L55" s="2678" t="s">
        <v>2252</v>
      </c>
      <c r="M55" s="2623"/>
      <c r="N55" s="2623"/>
      <c r="O55" s="2623"/>
      <c r="P55" s="2623"/>
      <c r="Q55" s="2623"/>
      <c r="R55" s="2623"/>
      <c r="S55" s="2623"/>
      <c r="T55" s="2623"/>
      <c r="U55" s="2623"/>
      <c r="V55" s="2623"/>
      <c r="W55" s="2623"/>
      <c r="X55" s="704"/>
      <c r="Y55" s="2693"/>
      <c r="Z55" s="2949"/>
      <c r="AA55" s="6984" t="s">
        <v>4786</v>
      </c>
      <c r="AB55" s="6985"/>
      <c r="AC55" s="6985"/>
      <c r="AD55" s="4819"/>
      <c r="AE55" s="1408"/>
      <c r="AF55" s="1877"/>
      <c r="AG55" s="452"/>
      <c r="AH55" s="5177" t="s">
        <v>132</v>
      </c>
      <c r="AI55" s="7131" t="s">
        <v>2282</v>
      </c>
      <c r="AJ55" s="5680"/>
      <c r="AK55" s="5680"/>
      <c r="AL55" s="5680"/>
      <c r="AM55" s="5680"/>
      <c r="AN55" s="7132"/>
      <c r="AO55" s="5680"/>
      <c r="AP55" s="6400"/>
      <c r="AQ55" s="452"/>
      <c r="AR55" s="1408"/>
      <c r="AS55" s="1408"/>
      <c r="AT55" s="1408"/>
      <c r="AU55" s="1408"/>
    </row>
    <row r="56" spans="1:47" ht="7.5" customHeight="1">
      <c r="A56" s="635"/>
      <c r="B56" s="24"/>
      <c r="C56" s="52"/>
      <c r="D56" s="74"/>
      <c r="E56" s="2629"/>
      <c r="F56" s="127"/>
      <c r="G56" s="127"/>
      <c r="H56" s="127"/>
      <c r="I56" s="127"/>
      <c r="J56" s="127"/>
      <c r="K56" s="127"/>
      <c r="L56" s="127"/>
      <c r="M56" s="127"/>
      <c r="N56" s="127"/>
      <c r="O56" s="127"/>
      <c r="P56" s="127"/>
      <c r="Q56" s="127"/>
      <c r="R56" s="127"/>
      <c r="S56" s="127"/>
      <c r="T56" s="127"/>
      <c r="U56" s="127"/>
      <c r="V56" s="127"/>
      <c r="W56" s="127"/>
      <c r="X56" s="704"/>
      <c r="Y56" s="2693"/>
      <c r="Z56" s="452"/>
      <c r="AA56" s="6984"/>
      <c r="AB56" s="6985"/>
      <c r="AC56" s="6985"/>
      <c r="AD56" s="4819"/>
      <c r="AE56" s="1408"/>
      <c r="AF56" s="1877"/>
      <c r="AG56" s="452"/>
      <c r="AH56" s="5177"/>
      <c r="AI56" s="5680"/>
      <c r="AJ56" s="5680"/>
      <c r="AK56" s="5680"/>
      <c r="AL56" s="5680"/>
      <c r="AM56" s="5680"/>
      <c r="AN56" s="7132"/>
      <c r="AO56" s="5680"/>
      <c r="AP56" s="6400"/>
      <c r="AQ56" s="452"/>
      <c r="AR56" s="1408"/>
      <c r="AS56" s="1408"/>
      <c r="AT56" s="1408"/>
      <c r="AU56" s="1408"/>
    </row>
    <row r="57" spans="1:47" ht="13.5" customHeight="1">
      <c r="A57" s="635"/>
      <c r="B57" s="1440" t="b">
        <f>(D57&lt;&gt;"")</f>
        <v>0</v>
      </c>
      <c r="C57" s="43" t="s">
        <v>159</v>
      </c>
      <c r="D57" s="1444" t="str">
        <f>IF(AB69,"X","")</f>
        <v/>
      </c>
      <c r="E57" s="2629" t="s">
        <v>4744</v>
      </c>
      <c r="F57" s="127"/>
      <c r="G57" s="127"/>
      <c r="H57" s="127"/>
      <c r="I57" s="127"/>
      <c r="J57" s="127"/>
      <c r="K57" s="127"/>
      <c r="L57" s="127"/>
      <c r="M57" s="127"/>
      <c r="N57" s="127"/>
      <c r="O57" s="127"/>
      <c r="P57" s="127"/>
      <c r="Q57" s="127"/>
      <c r="R57" s="127"/>
      <c r="S57" s="127"/>
      <c r="T57" s="127"/>
      <c r="U57" s="127"/>
      <c r="V57" s="127"/>
      <c r="W57" s="127"/>
      <c r="X57" s="704"/>
      <c r="Y57" s="2693"/>
      <c r="Z57" s="7188" t="str">
        <f>IF(NOT($B$66),"Note:   If you wish to use the 'Regular Method', check either the top or bottom box at the left.","")</f>
        <v>Note:   If you wish to use the 'Regular Method', check either the top or bottom box at the left.</v>
      </c>
      <c r="AA57" s="6984"/>
      <c r="AB57" s="6985"/>
      <c r="AC57" s="6985"/>
      <c r="AD57" s="4819"/>
      <c r="AE57" s="1408"/>
      <c r="AF57" s="1877"/>
      <c r="AG57" s="452"/>
      <c r="AH57" s="5177" t="s">
        <v>132</v>
      </c>
      <c r="AI57" s="7130" t="s">
        <v>2330</v>
      </c>
      <c r="AJ57" s="5680"/>
      <c r="AK57" s="5680"/>
      <c r="AL57" s="5680"/>
      <c r="AM57" s="5680"/>
      <c r="AN57" s="7132"/>
      <c r="AO57" s="5680"/>
      <c r="AP57" s="6400"/>
      <c r="AQ57" s="452"/>
      <c r="AR57" s="1408"/>
      <c r="AS57" s="1408"/>
      <c r="AT57" s="1408"/>
      <c r="AU57" s="1408"/>
    </row>
    <row r="58" spans="1:47" ht="13.5" customHeight="1" thickBot="1">
      <c r="A58" s="635"/>
      <c r="B58" s="7267" t="str">
        <f>IF(AB69,"80% Waiver","")</f>
        <v/>
      </c>
      <c r="C58" s="7268"/>
      <c r="D58" s="7268"/>
      <c r="E58" s="2629" t="s">
        <v>4745</v>
      </c>
      <c r="F58" s="127"/>
      <c r="G58" s="127"/>
      <c r="H58" s="127"/>
      <c r="I58" s="127"/>
      <c r="J58" s="127"/>
      <c r="K58" s="127"/>
      <c r="L58" s="127"/>
      <c r="M58" s="127"/>
      <c r="N58" s="127"/>
      <c r="O58" s="127"/>
      <c r="P58" s="127"/>
      <c r="Q58" s="127"/>
      <c r="R58" s="127"/>
      <c r="S58" s="127"/>
      <c r="T58" s="127"/>
      <c r="U58" s="127"/>
      <c r="V58" s="127"/>
      <c r="W58" s="127"/>
      <c r="X58" s="704"/>
      <c r="Y58" s="2693"/>
      <c r="Z58" s="7188"/>
      <c r="AA58" s="6984"/>
      <c r="AB58" s="6985"/>
      <c r="AC58" s="6985"/>
      <c r="AD58" s="4819"/>
      <c r="AE58" s="5048" t="str">
        <f>IF(AE48,U43,"")</f>
        <v/>
      </c>
      <c r="AF58" s="1877"/>
      <c r="AG58" s="452"/>
      <c r="AH58" s="5177"/>
      <c r="AI58" s="5680"/>
      <c r="AJ58" s="5680"/>
      <c r="AK58" s="5680"/>
      <c r="AL58" s="5680"/>
      <c r="AM58" s="5680"/>
      <c r="AN58" s="7132"/>
      <c r="AO58" s="5680"/>
      <c r="AP58" s="6400"/>
      <c r="AQ58" s="452"/>
      <c r="AR58" s="1408"/>
      <c r="AS58" s="1408"/>
      <c r="AT58" s="1408"/>
      <c r="AU58" s="1408"/>
    </row>
    <row r="59" spans="1:47" ht="13.5" customHeight="1">
      <c r="A59" s="635"/>
      <c r="B59" s="1440" t="b">
        <f>(D59&lt;&gt;"")</f>
        <v>0</v>
      </c>
      <c r="C59" s="43" t="s">
        <v>327</v>
      </c>
      <c r="D59" s="1444"/>
      <c r="E59" s="2629" t="s">
        <v>2294</v>
      </c>
      <c r="F59" s="127"/>
      <c r="G59" s="127"/>
      <c r="H59" s="127"/>
      <c r="I59" s="127"/>
      <c r="J59" s="127"/>
      <c r="K59" s="127"/>
      <c r="L59" s="127"/>
      <c r="M59" s="127"/>
      <c r="N59" s="127"/>
      <c r="O59" s="127"/>
      <c r="P59" s="127"/>
      <c r="Q59" s="127"/>
      <c r="R59" s="127"/>
      <c r="S59" s="127"/>
      <c r="T59" s="127"/>
      <c r="U59" s="127"/>
      <c r="V59" s="127"/>
      <c r="W59" s="127"/>
      <c r="X59" s="704"/>
      <c r="Y59" s="2693"/>
      <c r="Z59" s="7188"/>
      <c r="AA59" s="6972" t="str">
        <f>"4. Enter the amount of your 2018 estimated tax payments made on or before"&amp;CHAR(10)&amp;"January 15, 2019."</f>
        <v>4. Enter the amount of your 2018 estimated tax payments made on or before
January 15, 2019.</v>
      </c>
      <c r="AB59" s="6973"/>
      <c r="AC59" s="6973"/>
      <c r="AD59" s="6973"/>
      <c r="AE59" s="1408"/>
      <c r="AF59" s="1877"/>
      <c r="AG59" s="452"/>
      <c r="AH59" s="5177" t="s">
        <v>132</v>
      </c>
      <c r="AI59" s="7130" t="s">
        <v>2283</v>
      </c>
      <c r="AJ59" s="5680"/>
      <c r="AK59" s="5680"/>
      <c r="AL59" s="5680"/>
      <c r="AM59" s="5680"/>
      <c r="AN59" s="5680"/>
      <c r="AO59" s="5680"/>
      <c r="AP59" s="6400"/>
      <c r="AQ59" s="452"/>
      <c r="AR59" s="1408"/>
      <c r="AS59" s="1408"/>
      <c r="AT59" s="1408"/>
      <c r="AU59" s="1408"/>
    </row>
    <row r="60" spans="1:47" ht="13.5" customHeight="1">
      <c r="A60" s="635"/>
      <c r="B60" s="1440"/>
      <c r="C60" s="52"/>
      <c r="D60" s="74"/>
      <c r="E60" s="2630" t="s">
        <v>2293</v>
      </c>
      <c r="F60" s="127"/>
      <c r="G60" s="127"/>
      <c r="H60" s="127"/>
      <c r="I60" s="127"/>
      <c r="J60" s="127"/>
      <c r="K60" s="127"/>
      <c r="L60" s="127"/>
      <c r="M60" s="127"/>
      <c r="N60" s="127"/>
      <c r="O60" s="127"/>
      <c r="P60" s="127"/>
      <c r="Q60" s="127"/>
      <c r="R60" s="127"/>
      <c r="S60" s="127"/>
      <c r="T60" s="127"/>
      <c r="U60" s="127"/>
      <c r="V60" s="127"/>
      <c r="W60" s="127"/>
      <c r="X60" s="704"/>
      <c r="Y60" s="2693"/>
      <c r="Z60" s="7188"/>
      <c r="AA60" s="6972"/>
      <c r="AB60" s="6973"/>
      <c r="AC60" s="6973"/>
      <c r="AD60" s="6973"/>
      <c r="AE60" s="1408"/>
      <c r="AF60" s="1877"/>
      <c r="AG60" s="452"/>
      <c r="AH60" s="5177" t="s">
        <v>132</v>
      </c>
      <c r="AI60" s="7148" t="s">
        <v>2549</v>
      </c>
      <c r="AJ60" s="7149"/>
      <c r="AK60" s="7149"/>
      <c r="AL60" s="7149"/>
      <c r="AM60" s="7149"/>
      <c r="AN60" s="7149"/>
      <c r="AO60" s="7149"/>
      <c r="AP60" s="7150"/>
      <c r="AQ60" s="452"/>
      <c r="AR60" s="1408"/>
      <c r="AS60" s="1408"/>
      <c r="AT60" s="1408"/>
      <c r="AU60" s="1408"/>
    </row>
    <row r="61" spans="1:47" ht="13.5" customHeight="1">
      <c r="A61" s="635"/>
      <c r="B61" s="1440" t="b">
        <f>(D61&lt;&gt;"")</f>
        <v>0</v>
      </c>
      <c r="C61" s="43" t="s">
        <v>160</v>
      </c>
      <c r="D61" s="1444"/>
      <c r="E61" s="2629" t="s">
        <v>2192</v>
      </c>
      <c r="F61" s="127"/>
      <c r="G61" s="127"/>
      <c r="H61" s="127"/>
      <c r="I61" s="127"/>
      <c r="J61" s="127"/>
      <c r="K61" s="127"/>
      <c r="L61" s="127"/>
      <c r="M61" s="127"/>
      <c r="N61" s="127"/>
      <c r="O61" s="127"/>
      <c r="P61" s="127"/>
      <c r="Q61" s="127"/>
      <c r="R61" s="127"/>
      <c r="S61" s="127"/>
      <c r="T61" s="127"/>
      <c r="U61" s="127"/>
      <c r="V61" s="127"/>
      <c r="W61" s="127"/>
      <c r="X61" s="704"/>
      <c r="Y61" s="2693"/>
      <c r="Z61" s="7188"/>
      <c r="AA61" s="6972"/>
      <c r="AB61" s="6973"/>
      <c r="AC61" s="6973"/>
      <c r="AD61" s="6973"/>
      <c r="AE61" s="1408"/>
      <c r="AF61" s="1877"/>
      <c r="AG61" s="452"/>
      <c r="AH61" s="5177"/>
      <c r="AI61" s="7149"/>
      <c r="AJ61" s="7149"/>
      <c r="AK61" s="7149"/>
      <c r="AL61" s="7149"/>
      <c r="AM61" s="7149"/>
      <c r="AN61" s="7149"/>
      <c r="AO61" s="7149"/>
      <c r="AP61" s="7150"/>
      <c r="AQ61" s="452"/>
      <c r="AR61" s="1408"/>
      <c r="AS61" s="1408"/>
      <c r="AT61" s="1408"/>
      <c r="AU61" s="1408"/>
    </row>
    <row r="62" spans="1:47" ht="13.5" customHeight="1">
      <c r="A62" s="635"/>
      <c r="B62" s="1440"/>
      <c r="C62" s="52"/>
      <c r="D62" s="74"/>
      <c r="E62" s="2629" t="s">
        <v>2193</v>
      </c>
      <c r="F62" s="127"/>
      <c r="G62" s="127"/>
      <c r="H62" s="127"/>
      <c r="I62" s="127"/>
      <c r="J62" s="127"/>
      <c r="K62" s="127"/>
      <c r="L62" s="127"/>
      <c r="M62" s="127"/>
      <c r="N62" s="127"/>
      <c r="O62" s="127"/>
      <c r="P62" s="127"/>
      <c r="Q62" s="127"/>
      <c r="R62" s="127"/>
      <c r="S62" s="127"/>
      <c r="T62" s="127"/>
      <c r="U62" s="127"/>
      <c r="V62" s="127"/>
      <c r="W62" s="127"/>
      <c r="X62" s="704"/>
      <c r="Y62" s="2693"/>
      <c r="Z62" s="7188"/>
      <c r="AA62" s="6972"/>
      <c r="AB62" s="6973"/>
      <c r="AC62" s="6973"/>
      <c r="AD62" s="6973"/>
      <c r="AE62" s="1408"/>
      <c r="AF62" s="1877"/>
      <c r="AG62" s="452"/>
      <c r="AH62" s="5177"/>
      <c r="AI62" s="7149"/>
      <c r="AJ62" s="7149"/>
      <c r="AK62" s="7149"/>
      <c r="AL62" s="7149"/>
      <c r="AM62" s="7149"/>
      <c r="AN62" s="7149"/>
      <c r="AO62" s="7149"/>
      <c r="AP62" s="7150"/>
      <c r="AQ62" s="452"/>
      <c r="AR62" s="1408"/>
      <c r="AS62" s="1408"/>
      <c r="AT62" s="1408"/>
      <c r="AU62" s="1408"/>
    </row>
    <row r="63" spans="1:47" ht="13.5" customHeight="1" thickBot="1">
      <c r="A63" s="635"/>
      <c r="B63" s="1440" t="b">
        <f>(D63&lt;&gt;"")</f>
        <v>0</v>
      </c>
      <c r="C63" s="43" t="s">
        <v>329</v>
      </c>
      <c r="D63" s="1444"/>
      <c r="E63" s="2629" t="s">
        <v>2194</v>
      </c>
      <c r="F63" s="127"/>
      <c r="G63" s="127"/>
      <c r="H63" s="127"/>
      <c r="I63" s="127"/>
      <c r="J63" s="127"/>
      <c r="K63" s="127"/>
      <c r="L63" s="127"/>
      <c r="M63" s="127"/>
      <c r="N63" s="127"/>
      <c r="O63" s="127"/>
      <c r="P63" s="127"/>
      <c r="Q63" s="127"/>
      <c r="R63" s="127"/>
      <c r="S63" s="127"/>
      <c r="T63" s="127"/>
      <c r="U63" s="127"/>
      <c r="V63" s="127"/>
      <c r="W63" s="127"/>
      <c r="X63" s="704"/>
      <c r="Y63" s="2693"/>
      <c r="Z63" s="7188"/>
      <c r="AA63" s="6972"/>
      <c r="AB63" s="6973"/>
      <c r="AC63" s="6973"/>
      <c r="AD63" s="6973"/>
      <c r="AE63" s="5058"/>
      <c r="AF63" s="1877"/>
      <c r="AG63" s="452"/>
      <c r="AH63" s="5177"/>
      <c r="AI63" s="7149"/>
      <c r="AJ63" s="7149"/>
      <c r="AK63" s="7149"/>
      <c r="AL63" s="7149"/>
      <c r="AM63" s="7149"/>
      <c r="AN63" s="7149"/>
      <c r="AO63" s="7149"/>
      <c r="AP63" s="7150"/>
      <c r="AQ63" s="452"/>
      <c r="AR63" s="1408"/>
      <c r="AS63" s="1408"/>
      <c r="AT63" s="1408"/>
      <c r="AU63" s="1408"/>
    </row>
    <row r="64" spans="1:47" ht="13.5" customHeight="1">
      <c r="A64" s="635"/>
      <c r="B64" s="1440"/>
      <c r="C64" s="52"/>
      <c r="D64" s="74"/>
      <c r="E64" s="74" t="s">
        <v>2195</v>
      </c>
      <c r="F64" s="24"/>
      <c r="G64" s="24"/>
      <c r="H64" s="24"/>
      <c r="I64" s="24"/>
      <c r="J64" s="24"/>
      <c r="K64" s="24"/>
      <c r="L64" s="24"/>
      <c r="M64" s="24"/>
      <c r="N64" s="24"/>
      <c r="O64" s="24"/>
      <c r="P64" s="24"/>
      <c r="Q64" s="24"/>
      <c r="R64" s="24"/>
      <c r="S64" s="24"/>
      <c r="T64" s="24"/>
      <c r="U64" s="24"/>
      <c r="V64" s="24"/>
      <c r="W64" s="24"/>
      <c r="X64" s="82"/>
      <c r="Y64" s="1450"/>
      <c r="Z64" s="7188"/>
      <c r="AA64" s="6972" t="s">
        <v>4787</v>
      </c>
      <c r="AB64" s="6973"/>
      <c r="AC64" s="6973"/>
      <c r="AD64" s="6973"/>
      <c r="AE64" s="1408"/>
      <c r="AF64" s="1877"/>
      <c r="AG64" s="452"/>
      <c r="AH64" s="5178"/>
      <c r="AI64" s="7151"/>
      <c r="AJ64" s="7151"/>
      <c r="AK64" s="7151"/>
      <c r="AL64" s="7151"/>
      <c r="AM64" s="7151"/>
      <c r="AN64" s="7151"/>
      <c r="AO64" s="7151"/>
      <c r="AP64" s="7152"/>
      <c r="AQ64" s="452"/>
      <c r="AR64" s="1408"/>
      <c r="AS64" s="1408"/>
      <c r="AT64" s="1408"/>
      <c r="AU64" s="1408"/>
    </row>
    <row r="65" spans="1:65" ht="13.5" customHeight="1" thickBot="1">
      <c r="A65" s="635"/>
      <c r="B65" s="1440" t="b">
        <f>(D65&lt;&gt;"")</f>
        <v>0</v>
      </c>
      <c r="C65" s="43" t="s">
        <v>419</v>
      </c>
      <c r="D65" s="5059"/>
      <c r="E65" s="2629" t="str">
        <f>"You filed or are filing a joint return for either "&amp;TaxYear-1&amp;" or "&amp;TaxYear&amp;", but not for both years, and"</f>
        <v>You filed or are filing a joint return for either 2017 or 2018, but not for both years, and</v>
      </c>
      <c r="F65" s="127"/>
      <c r="G65" s="127"/>
      <c r="H65" s="127"/>
      <c r="I65" s="127"/>
      <c r="J65" s="127"/>
      <c r="K65" s="127"/>
      <c r="L65" s="127"/>
      <c r="M65" s="127"/>
      <c r="N65" s="127"/>
      <c r="O65" s="127"/>
      <c r="P65" s="127"/>
      <c r="Q65" s="127"/>
      <c r="R65" s="127"/>
      <c r="S65" s="1085"/>
      <c r="T65" s="127"/>
      <c r="U65" s="127"/>
      <c r="V65" s="127"/>
      <c r="W65" s="2762" t="s">
        <v>2323</v>
      </c>
      <c r="X65" s="704"/>
      <c r="Y65" s="2693"/>
      <c r="Z65" s="452"/>
      <c r="AA65" s="6972"/>
      <c r="AB65" s="6973"/>
      <c r="AC65" s="6973"/>
      <c r="AD65" s="6973"/>
      <c r="AE65" s="5048" t="str">
        <f>IF(OR(NOT(AE48),AND(AE58=0,OR(AE63=0,AE63=""))),"",SUM(AE58,AE63))</f>
        <v/>
      </c>
      <c r="AF65" s="1877"/>
      <c r="AG65" s="452"/>
      <c r="AH65" s="6936" t="s">
        <v>2284</v>
      </c>
      <c r="AI65" s="6937"/>
      <c r="AJ65" s="6937"/>
      <c r="AK65" s="6937"/>
      <c r="AL65" s="6937"/>
      <c r="AM65" s="6937"/>
      <c r="AN65" s="6937"/>
      <c r="AO65" s="6937"/>
      <c r="AP65" s="6938"/>
      <c r="AQ65" s="452"/>
      <c r="AR65" s="1408"/>
      <c r="AS65" s="1408"/>
      <c r="AT65" s="1408"/>
      <c r="AU65" s="1408"/>
    </row>
    <row r="66" spans="1:65" ht="13.5" customHeight="1" thickBot="1">
      <c r="A66" s="635"/>
      <c r="B66" s="7237" t="b">
        <f>OR(B57,B59,B61,B63,B65)</f>
        <v>0</v>
      </c>
      <c r="C66" s="7238"/>
      <c r="D66" s="7238"/>
      <c r="E66" s="2629" t="s">
        <v>2196</v>
      </c>
      <c r="F66" s="127"/>
      <c r="G66" s="127"/>
      <c r="H66" s="127"/>
      <c r="I66" s="127"/>
      <c r="J66" s="127"/>
      <c r="K66" s="127"/>
      <c r="L66" s="127"/>
      <c r="M66" s="127"/>
      <c r="N66" s="127"/>
      <c r="O66" s="127"/>
      <c r="P66" s="127"/>
      <c r="Q66" s="127"/>
      <c r="R66" s="127"/>
      <c r="S66" s="127"/>
      <c r="T66" s="127"/>
      <c r="U66" s="127"/>
      <c r="V66" s="127"/>
      <c r="W66" s="127"/>
      <c r="X66" s="704"/>
      <c r="Y66" s="2693"/>
      <c r="Z66" s="452"/>
      <c r="AA66" s="1761"/>
      <c r="AB66" s="1408"/>
      <c r="AC66" s="1408"/>
      <c r="AD66" s="1408"/>
      <c r="AE66" s="1408"/>
      <c r="AF66" s="1877"/>
      <c r="AG66" s="452"/>
      <c r="AH66" s="6939"/>
      <c r="AI66" s="6940"/>
      <c r="AJ66" s="6940"/>
      <c r="AK66" s="6940"/>
      <c r="AL66" s="6940"/>
      <c r="AM66" s="6940"/>
      <c r="AN66" s="6940"/>
      <c r="AO66" s="6940"/>
      <c r="AP66" s="6941"/>
      <c r="AQ66" s="452"/>
      <c r="AR66" s="1408"/>
      <c r="AS66" s="1408"/>
      <c r="AT66" s="1408"/>
      <c r="AU66" s="1408"/>
    </row>
    <row r="67" spans="1:65" s="1016" customFormat="1" ht="17.25" customHeight="1" thickBot="1">
      <c r="A67" s="1010"/>
      <c r="B67" s="2631"/>
      <c r="C67" s="2637" t="s">
        <v>2199</v>
      </c>
      <c r="D67" s="2632"/>
      <c r="E67" s="2631"/>
      <c r="F67" s="2631"/>
      <c r="G67" s="2631"/>
      <c r="H67" s="2631"/>
      <c r="I67" s="2631"/>
      <c r="J67" s="2631"/>
      <c r="K67" s="2631"/>
      <c r="L67" s="2631"/>
      <c r="M67" s="2631"/>
      <c r="N67" s="2631"/>
      <c r="O67" s="2631"/>
      <c r="P67" s="2631"/>
      <c r="Q67" s="2633" t="s">
        <v>2198</v>
      </c>
      <c r="R67" s="2634"/>
      <c r="S67" s="2864" t="b">
        <f>IF(AND(D65&lt;&gt;"",Q42&gt;=U45),TRUE,FALSE)</f>
        <v>0</v>
      </c>
      <c r="T67" s="2631"/>
      <c r="U67" s="2635"/>
      <c r="V67" s="2635" t="s">
        <v>2197</v>
      </c>
      <c r="W67" s="3076" t="str">
        <f>"("&amp;TaxYear&amp;")"</f>
        <v>(2018)</v>
      </c>
      <c r="X67" s="1014"/>
      <c r="Y67" s="1450"/>
      <c r="Z67" s="452"/>
      <c r="AA67" s="6963" t="s">
        <v>4788</v>
      </c>
      <c r="AB67" s="6820"/>
      <c r="AC67" s="6820"/>
      <c r="AD67" s="6820"/>
      <c r="AE67" s="6820"/>
      <c r="AF67" s="6964"/>
      <c r="AG67" s="452"/>
      <c r="AH67" s="6942"/>
      <c r="AI67" s="6943"/>
      <c r="AJ67" s="6943"/>
      <c r="AK67" s="6943"/>
      <c r="AL67" s="6943"/>
      <c r="AM67" s="6943"/>
      <c r="AN67" s="6943"/>
      <c r="AO67" s="6943"/>
      <c r="AP67" s="6944"/>
      <c r="AQ67" s="452"/>
      <c r="AR67" s="1408"/>
      <c r="AS67" s="1408"/>
      <c r="AT67" s="1408"/>
      <c r="AU67" s="1408"/>
      <c r="AV67" s="931"/>
      <c r="AW67"/>
      <c r="AX67"/>
      <c r="AY67"/>
      <c r="AZ67"/>
      <c r="BA67"/>
      <c r="BB67"/>
      <c r="BC67" s="3169"/>
      <c r="BD67" s="3169"/>
      <c r="BE67" s="3169"/>
      <c r="BF67" s="3169"/>
      <c r="BG67" s="3169"/>
      <c r="BH67" s="3169"/>
      <c r="BI67" s="3169"/>
      <c r="BJ67" s="3169"/>
      <c r="BK67" s="3169"/>
      <c r="BL67" s="3169"/>
      <c r="BM67" s="3169"/>
    </row>
    <row r="68" spans="1:65" ht="20.25" customHeight="1" thickBot="1">
      <c r="A68" s="635"/>
      <c r="B68" s="48"/>
      <c r="C68" s="1928" t="str">
        <f>"Form 2210 ("&amp;TaxYear&amp;")"</f>
        <v>Form 2210 (2018)</v>
      </c>
      <c r="D68" s="351"/>
      <c r="E68" s="39"/>
      <c r="F68" s="39"/>
      <c r="G68" s="39"/>
      <c r="H68" s="39"/>
      <c r="I68" s="39"/>
      <c r="J68" s="39"/>
      <c r="K68" s="39"/>
      <c r="L68" s="39"/>
      <c r="M68" s="39"/>
      <c r="N68" s="39"/>
      <c r="O68" s="39"/>
      <c r="P68" s="39"/>
      <c r="Q68" s="30"/>
      <c r="R68" s="456"/>
      <c r="S68" s="39"/>
      <c r="T68" s="39"/>
      <c r="U68" s="39"/>
      <c r="V68" s="2638"/>
      <c r="W68" s="2664" t="s">
        <v>2203</v>
      </c>
      <c r="X68" s="82"/>
      <c r="Y68" s="1450"/>
      <c r="Z68" s="452"/>
      <c r="AA68" s="6965"/>
      <c r="AB68" s="6966"/>
      <c r="AC68" s="6966"/>
      <c r="AD68" s="6966"/>
      <c r="AE68" s="6966"/>
      <c r="AF68" s="6967"/>
      <c r="AG68" s="452"/>
      <c r="AH68" s="6957" t="s">
        <v>4948</v>
      </c>
      <c r="AI68" s="6958"/>
      <c r="AJ68" s="6958"/>
      <c r="AK68" s="6958"/>
      <c r="AL68" s="6958"/>
      <c r="AM68" s="6958"/>
      <c r="AN68" s="6958"/>
      <c r="AO68" s="6958"/>
      <c r="AP68" s="6959"/>
      <c r="AQ68" s="452"/>
      <c r="AR68" s="1408"/>
      <c r="AS68" s="1408"/>
      <c r="AT68" s="1408"/>
      <c r="AU68" s="1408"/>
    </row>
    <row r="69" spans="1:65" ht="16.5" customHeight="1" thickBot="1">
      <c r="A69" s="635"/>
      <c r="B69" s="2639" t="s">
        <v>2204</v>
      </c>
      <c r="C69" s="2640"/>
      <c r="D69" s="2640"/>
      <c r="E69" s="2646" t="s">
        <v>2205</v>
      </c>
      <c r="F69" s="2641"/>
      <c r="G69" s="2641"/>
      <c r="H69" s="2641"/>
      <c r="I69" s="2641"/>
      <c r="J69" s="2641"/>
      <c r="K69" s="2641"/>
      <c r="L69" s="2641"/>
      <c r="M69" s="2641"/>
      <c r="N69" s="2641"/>
      <c r="O69" s="2641"/>
      <c r="P69" s="2641"/>
      <c r="Q69" s="2641"/>
      <c r="R69" s="2641"/>
      <c r="S69" s="2641"/>
      <c r="T69" s="2641"/>
      <c r="U69" s="2641"/>
      <c r="V69" s="2641"/>
      <c r="W69" s="2641"/>
      <c r="X69" s="704"/>
      <c r="Y69" s="2693"/>
      <c r="Z69" s="452"/>
      <c r="AA69" s="5055"/>
      <c r="AB69" s="6971" t="b">
        <f>AND(AE65&lt;&gt;"",(AE65&gt;=AE54))</f>
        <v>0</v>
      </c>
      <c r="AC69" s="6971"/>
      <c r="AD69" s="5052"/>
      <c r="AE69" s="7112" t="s">
        <v>5080</v>
      </c>
      <c r="AF69" s="7113"/>
      <c r="AG69" s="452"/>
      <c r="AH69" s="6960"/>
      <c r="AI69" s="6961"/>
      <c r="AJ69" s="6961"/>
      <c r="AK69" s="6961"/>
      <c r="AL69" s="6961"/>
      <c r="AM69" s="6961"/>
      <c r="AN69" s="6961"/>
      <c r="AO69" s="6961"/>
      <c r="AP69" s="6962"/>
      <c r="AQ69" s="452"/>
      <c r="AR69" s="1408"/>
      <c r="AS69" s="1408"/>
      <c r="AT69" s="1408"/>
      <c r="AU69" s="1408"/>
    </row>
    <row r="70" spans="1:65" ht="6" customHeight="1">
      <c r="A70" s="635"/>
      <c r="B70" s="2642"/>
      <c r="C70" s="2642"/>
      <c r="D70" s="2642"/>
      <c r="E70" s="2642"/>
      <c r="F70" s="2642"/>
      <c r="G70" s="2642"/>
      <c r="H70" s="2642"/>
      <c r="I70" s="2642"/>
      <c r="J70" s="2642"/>
      <c r="K70" s="2642"/>
      <c r="L70" s="2642"/>
      <c r="M70" s="2642"/>
      <c r="N70" s="2642"/>
      <c r="O70" s="2642"/>
      <c r="P70" s="2642"/>
      <c r="Q70" s="2642"/>
      <c r="R70" s="2642"/>
      <c r="S70" s="2642"/>
      <c r="T70" s="2642"/>
      <c r="U70" s="2642"/>
      <c r="V70" s="2642"/>
      <c r="W70" s="2642"/>
      <c r="X70" s="82"/>
      <c r="Y70" s="1450"/>
      <c r="Z70" s="452"/>
      <c r="AA70" s="1761"/>
      <c r="AB70" s="1408"/>
      <c r="AC70" s="1408"/>
      <c r="AD70" s="1408"/>
      <c r="AE70" s="6973"/>
      <c r="AF70" s="7114"/>
      <c r="AG70" s="452"/>
      <c r="AH70" s="6960"/>
      <c r="AI70" s="6961"/>
      <c r="AJ70" s="6961"/>
      <c r="AK70" s="6961"/>
      <c r="AL70" s="6961"/>
      <c r="AM70" s="6961"/>
      <c r="AN70" s="6961"/>
      <c r="AO70" s="6961"/>
      <c r="AP70" s="6962"/>
      <c r="AQ70" s="452"/>
      <c r="AR70" s="1408"/>
      <c r="AS70" s="1408"/>
      <c r="AT70" s="1408"/>
      <c r="AU70" s="1408"/>
    </row>
    <row r="71" spans="1:65" ht="17.100000000000001" customHeight="1" thickBot="1">
      <c r="A71" s="635"/>
      <c r="B71" s="2643"/>
      <c r="C71" s="2643"/>
      <c r="D71" s="582" t="s">
        <v>2206</v>
      </c>
      <c r="E71" s="2643"/>
      <c r="F71" s="2643"/>
      <c r="G71" s="2643"/>
      <c r="H71" s="2643"/>
      <c r="I71" s="423" t="s">
        <v>2208</v>
      </c>
      <c r="J71" s="2643"/>
      <c r="K71" s="2643"/>
      <c r="L71" s="2643"/>
      <c r="M71" s="2643"/>
      <c r="N71" s="2643"/>
      <c r="O71" s="2643"/>
      <c r="P71" s="2643"/>
      <c r="Q71" s="2643"/>
      <c r="R71" s="2643"/>
      <c r="S71" s="2643"/>
      <c r="T71" s="2643"/>
      <c r="U71" s="2643"/>
      <c r="V71" s="2643"/>
      <c r="W71" s="2643"/>
      <c r="X71" s="82"/>
      <c r="Y71" s="2772">
        <f>IF(AB30&lt;&gt;"",1,0)</f>
        <v>0</v>
      </c>
      <c r="Z71" s="452"/>
      <c r="AA71" s="1761"/>
      <c r="AB71" s="6968" t="s">
        <v>474</v>
      </c>
      <c r="AC71" s="6969"/>
      <c r="AD71" s="1408"/>
      <c r="AE71" s="6973"/>
      <c r="AF71" s="7114"/>
      <c r="AG71" s="452"/>
      <c r="AH71" s="5186" t="s">
        <v>4949</v>
      </c>
      <c r="AI71" s="1443"/>
      <c r="AJ71" s="1443"/>
      <c r="AK71" s="1443"/>
      <c r="AL71" s="1443"/>
      <c r="AM71" s="1443"/>
      <c r="AN71" s="1443"/>
      <c r="AO71" s="1443"/>
      <c r="AP71" s="1554"/>
      <c r="AQ71" s="452"/>
      <c r="AR71" s="1408"/>
      <c r="AS71" s="1408"/>
      <c r="AT71" s="1408"/>
      <c r="AU71" s="1408"/>
    </row>
    <row r="72" spans="1:65" ht="17.100000000000001" customHeight="1" thickBot="1">
      <c r="A72" s="635"/>
      <c r="B72" s="2643"/>
      <c r="C72" s="2643"/>
      <c r="D72" s="582" t="s">
        <v>2207</v>
      </c>
      <c r="E72" s="2643"/>
      <c r="F72" s="2643"/>
      <c r="G72" s="2643"/>
      <c r="H72" s="2771" t="str">
        <f>IF(D61="","X","")</f>
        <v>X</v>
      </c>
      <c r="I72" s="2644" t="s">
        <v>132</v>
      </c>
      <c r="J72" s="74" t="s">
        <v>2209</v>
      </c>
      <c r="K72" s="74"/>
      <c r="L72" s="60"/>
      <c r="M72" s="60"/>
      <c r="N72" s="60"/>
      <c r="O72" s="2643"/>
      <c r="P72" s="2643"/>
      <c r="Q72" s="2643"/>
      <c r="R72" s="2643"/>
      <c r="S72" s="2643"/>
      <c r="T72" s="2643"/>
      <c r="U72" s="2643"/>
      <c r="V72" s="2643"/>
      <c r="W72" s="2643"/>
      <c r="X72" s="82"/>
      <c r="Y72" s="2772">
        <f>IF(AB31&lt;&gt;"",1,0)</f>
        <v>0</v>
      </c>
      <c r="Z72" s="452"/>
      <c r="AA72" s="1761"/>
      <c r="AB72" s="1408"/>
      <c r="AC72" s="1408"/>
      <c r="AD72" s="1408"/>
      <c r="AE72" s="6973"/>
      <c r="AF72" s="7114"/>
      <c r="AG72" s="452"/>
      <c r="AH72" s="5186" t="s">
        <v>4950</v>
      </c>
      <c r="AI72" s="1443"/>
      <c r="AJ72" s="1443"/>
      <c r="AK72" s="1443"/>
      <c r="AL72" s="1443"/>
      <c r="AM72" s="1443"/>
      <c r="AN72" s="1443"/>
      <c r="AO72" s="1443"/>
      <c r="AP72" s="1554"/>
      <c r="AQ72" s="452"/>
      <c r="AR72" s="1408"/>
      <c r="AS72" s="1408"/>
      <c r="AT72" s="1408"/>
      <c r="AU72" s="1408"/>
    </row>
    <row r="73" spans="1:65" ht="14.25" customHeight="1" thickBot="1">
      <c r="A73" s="635"/>
      <c r="B73" s="2643"/>
      <c r="C73" s="2643"/>
      <c r="D73" s="60"/>
      <c r="E73" s="2643"/>
      <c r="F73" s="2643"/>
      <c r="G73" s="2643"/>
      <c r="H73" s="2643"/>
      <c r="I73" s="60"/>
      <c r="J73" s="74" t="s">
        <v>2228</v>
      </c>
      <c r="K73" s="74"/>
      <c r="L73" s="60"/>
      <c r="M73" s="60"/>
      <c r="N73" s="60"/>
      <c r="O73" s="2643"/>
      <c r="P73" s="2643"/>
      <c r="Q73" s="2643"/>
      <c r="R73" s="2643"/>
      <c r="S73" s="2643"/>
      <c r="T73" s="2643"/>
      <c r="U73" s="2643"/>
      <c r="V73" s="2643"/>
      <c r="W73" s="2770" t="b">
        <f>OR(H72&lt;&gt;"",H74&lt;&gt;"")</f>
        <v>1</v>
      </c>
      <c r="X73" s="82"/>
      <c r="Y73" s="2772">
        <f>IF(AB32&lt;&gt;"",1,0)</f>
        <v>0</v>
      </c>
      <c r="Z73" s="452"/>
      <c r="AA73" s="1761"/>
      <c r="AB73" s="1408"/>
      <c r="AC73" s="1408"/>
      <c r="AD73" s="1408"/>
      <c r="AE73" s="6973"/>
      <c r="AF73" s="7114"/>
      <c r="AG73" s="452"/>
      <c r="AH73" s="5186" t="s">
        <v>4951</v>
      </c>
      <c r="AI73" s="1443"/>
      <c r="AJ73" s="1443"/>
      <c r="AK73" s="1443"/>
      <c r="AL73" s="1443"/>
      <c r="AM73" s="1443"/>
      <c r="AN73" s="1443"/>
      <c r="AO73" s="1443"/>
      <c r="AP73" s="1554"/>
      <c r="AQ73" s="452"/>
      <c r="AR73" s="1408"/>
      <c r="AS73" s="1408"/>
      <c r="AT73" s="1408"/>
      <c r="AU73" s="1408"/>
    </row>
    <row r="74" spans="1:65" ht="12.75" customHeight="1" thickBot="1">
      <c r="A74" s="635"/>
      <c r="B74" s="2643"/>
      <c r="C74" s="2643"/>
      <c r="D74" s="60"/>
      <c r="E74" s="2643"/>
      <c r="F74" s="2643"/>
      <c r="G74" s="2643"/>
      <c r="H74" s="2771"/>
      <c r="I74" s="2644" t="s">
        <v>132</v>
      </c>
      <c r="J74" s="74" t="s">
        <v>2210</v>
      </c>
      <c r="K74" s="74"/>
      <c r="L74" s="60"/>
      <c r="M74" s="60"/>
      <c r="N74" s="60"/>
      <c r="O74" s="2643"/>
      <c r="P74" s="2643"/>
      <c r="Q74" s="2643"/>
      <c r="R74" s="2643"/>
      <c r="S74" s="2643"/>
      <c r="T74" s="2643"/>
      <c r="U74" s="2643"/>
      <c r="V74" s="2643"/>
      <c r="W74" s="2643"/>
      <c r="X74" s="82"/>
      <c r="Y74" s="2772">
        <f>IF(AB33&lt;&gt;"",1,0)</f>
        <v>0</v>
      </c>
      <c r="Z74" s="452"/>
      <c r="AA74" s="5056"/>
      <c r="AB74" s="5051"/>
      <c r="AC74" s="5051"/>
      <c r="AD74" s="5051"/>
      <c r="AE74" s="7115"/>
      <c r="AF74" s="7116"/>
      <c r="AG74" s="452"/>
      <c r="AH74" s="5186" t="s">
        <v>4952</v>
      </c>
      <c r="AI74" s="1443"/>
      <c r="AJ74" s="1443"/>
      <c r="AK74" s="1443"/>
      <c r="AL74" s="1443"/>
      <c r="AM74" s="1443"/>
      <c r="AN74" s="1443"/>
      <c r="AO74" s="1443"/>
      <c r="AP74" s="1554"/>
      <c r="AQ74" s="452"/>
      <c r="AR74" s="2685"/>
      <c r="AS74" s="2685"/>
      <c r="AT74" s="2685"/>
      <c r="AU74" s="1408"/>
    </row>
    <row r="75" spans="1:65" ht="16.5" customHeight="1">
      <c r="A75" s="635"/>
      <c r="B75" s="2643"/>
      <c r="C75" s="2643"/>
      <c r="D75" s="60"/>
      <c r="E75" s="2643"/>
      <c r="F75" s="2643"/>
      <c r="G75" s="2643"/>
      <c r="H75" s="2643"/>
      <c r="I75" s="60"/>
      <c r="J75" s="74" t="s">
        <v>2211</v>
      </c>
      <c r="K75" s="74"/>
      <c r="L75" s="60"/>
      <c r="M75" s="60"/>
      <c r="N75" s="60"/>
      <c r="O75" s="2643"/>
      <c r="P75" s="2643"/>
      <c r="Q75" s="2643"/>
      <c r="R75" s="2643"/>
      <c r="S75" s="2643"/>
      <c r="T75" s="2643"/>
      <c r="U75" s="2643"/>
      <c r="V75" s="2643"/>
      <c r="W75" s="2643"/>
      <c r="X75" s="82"/>
      <c r="Y75" s="2772">
        <f>IF(AB34&lt;&gt;"",1,0)</f>
        <v>0</v>
      </c>
      <c r="Z75" s="452"/>
      <c r="AA75" s="5057"/>
      <c r="AB75" s="5053"/>
      <c r="AC75" s="5053"/>
      <c r="AD75" s="5053"/>
      <c r="AE75" s="7117" t="s">
        <v>5081</v>
      </c>
      <c r="AF75" s="7118"/>
      <c r="AG75" s="452"/>
      <c r="AH75" s="5187" t="s">
        <v>4953</v>
      </c>
      <c r="AI75" s="1443"/>
      <c r="AJ75" s="1443"/>
      <c r="AK75" s="1443"/>
      <c r="AL75" s="1443"/>
      <c r="AM75" s="1443"/>
      <c r="AN75" s="1443"/>
      <c r="AO75" s="1443"/>
      <c r="AP75" s="1554"/>
      <c r="AQ75" s="452"/>
      <c r="AR75" s="1408"/>
      <c r="AS75" s="1408"/>
      <c r="AT75" s="1408"/>
      <c r="AU75" s="1408"/>
    </row>
    <row r="76" spans="1:65" ht="8.25" customHeight="1">
      <c r="A76" s="635"/>
      <c r="B76" s="2645"/>
      <c r="C76" s="2645"/>
      <c r="D76" s="287"/>
      <c r="E76" s="2645"/>
      <c r="F76" s="2645"/>
      <c r="G76" s="2645"/>
      <c r="H76" s="2645"/>
      <c r="I76" s="287"/>
      <c r="J76" s="287"/>
      <c r="K76" s="287"/>
      <c r="L76" s="287"/>
      <c r="M76" s="287"/>
      <c r="N76" s="287"/>
      <c r="O76" s="2645"/>
      <c r="P76" s="2645"/>
      <c r="Q76" s="2645"/>
      <c r="R76" s="2645"/>
      <c r="S76" s="2645"/>
      <c r="T76" s="2645"/>
      <c r="U76" s="2645"/>
      <c r="V76" s="2645"/>
      <c r="W76" s="2645"/>
      <c r="X76" s="82"/>
      <c r="Y76" s="2772"/>
      <c r="Z76" s="452"/>
      <c r="AA76" s="1761"/>
      <c r="AB76" s="6970" t="s">
        <v>472</v>
      </c>
      <c r="AC76" s="5292"/>
      <c r="AD76" s="1408"/>
      <c r="AE76" s="7119"/>
      <c r="AF76" s="7120"/>
      <c r="AG76" s="452"/>
      <c r="AH76" s="6954" t="s">
        <v>4954</v>
      </c>
      <c r="AI76" s="6955"/>
      <c r="AJ76" s="6955"/>
      <c r="AK76" s="6955"/>
      <c r="AL76" s="6955"/>
      <c r="AM76" s="6955"/>
      <c r="AN76" s="6955"/>
      <c r="AO76" s="6955"/>
      <c r="AP76" s="6956"/>
      <c r="AQ76" s="452"/>
      <c r="AR76" s="1408"/>
      <c r="AS76" s="1408"/>
      <c r="AT76" s="1408"/>
      <c r="AU76" s="1408"/>
    </row>
    <row r="77" spans="1:65" ht="6" customHeight="1">
      <c r="A77" s="635"/>
      <c r="B77" s="2648"/>
      <c r="C77" s="2648"/>
      <c r="D77" s="2648"/>
      <c r="E77" s="2648"/>
      <c r="F77" s="2648"/>
      <c r="G77" s="2648"/>
      <c r="H77" s="2648"/>
      <c r="I77" s="2648"/>
      <c r="J77" s="2648"/>
      <c r="K77" s="2648"/>
      <c r="L77" s="2648"/>
      <c r="M77" s="2648"/>
      <c r="N77" s="2648"/>
      <c r="O77" s="2648"/>
      <c r="P77" s="2648"/>
      <c r="Q77" s="2648"/>
      <c r="R77" s="2648"/>
      <c r="S77" s="2648"/>
      <c r="T77" s="2648"/>
      <c r="U77" s="2648"/>
      <c r="V77" s="2648"/>
      <c r="W77" s="2648"/>
      <c r="X77" s="82"/>
      <c r="Y77" s="2772"/>
      <c r="Z77" s="452"/>
      <c r="AA77" s="1761"/>
      <c r="AB77" s="5292"/>
      <c r="AC77" s="5292"/>
      <c r="AD77" s="1408"/>
      <c r="AE77" s="7119"/>
      <c r="AF77" s="7120"/>
      <c r="AG77" s="452"/>
      <c r="AH77" s="6954"/>
      <c r="AI77" s="6955"/>
      <c r="AJ77" s="6955"/>
      <c r="AK77" s="6955"/>
      <c r="AL77" s="6955"/>
      <c r="AM77" s="6955"/>
      <c r="AN77" s="6955"/>
      <c r="AO77" s="6955"/>
      <c r="AP77" s="6956"/>
      <c r="AQ77" s="452"/>
      <c r="AR77" s="1408"/>
      <c r="AS77" s="1408"/>
      <c r="AT77" s="1408"/>
      <c r="AU77" s="1408"/>
    </row>
    <row r="78" spans="1:65" ht="17.45" customHeight="1" thickBot="1">
      <c r="A78" s="635"/>
      <c r="B78" s="2643"/>
      <c r="C78" s="2643"/>
      <c r="D78" s="582" t="s">
        <v>2212</v>
      </c>
      <c r="E78" s="2643"/>
      <c r="F78" s="2643"/>
      <c r="G78" s="2643"/>
      <c r="H78" s="2643"/>
      <c r="I78" s="423" t="s">
        <v>2214</v>
      </c>
      <c r="J78" s="2643"/>
      <c r="K78" s="2643"/>
      <c r="L78" s="2643"/>
      <c r="M78" s="2643"/>
      <c r="N78" s="2643"/>
      <c r="O78" s="2643"/>
      <c r="P78" s="2643"/>
      <c r="Q78" s="2643"/>
      <c r="R78" s="2643"/>
      <c r="S78" s="2643"/>
      <c r="T78" s="2643"/>
      <c r="U78" s="2643"/>
      <c r="V78" s="2643"/>
      <c r="W78" s="2643"/>
      <c r="X78" s="82"/>
      <c r="Y78" s="2772">
        <f>SUM(Y71:Y75)</f>
        <v>0</v>
      </c>
      <c r="Z78" s="452"/>
      <c r="AA78" s="1761"/>
      <c r="AB78" s="1408"/>
      <c r="AC78" s="1408"/>
      <c r="AD78" s="1408"/>
      <c r="AE78" s="7119"/>
      <c r="AF78" s="7120"/>
      <c r="AG78" s="452"/>
      <c r="AH78" s="5186" t="s">
        <v>4955</v>
      </c>
      <c r="AI78" s="1443"/>
      <c r="AJ78" s="1443"/>
      <c r="AK78" s="1443"/>
      <c r="AL78" s="1443"/>
      <c r="AM78" s="1443"/>
      <c r="AN78" s="1443"/>
      <c r="AO78" s="1443"/>
      <c r="AP78" s="1554"/>
      <c r="AQ78" s="452"/>
      <c r="AR78" s="1408"/>
      <c r="AS78" s="1408"/>
      <c r="AT78" s="1408"/>
      <c r="AU78" s="1408"/>
    </row>
    <row r="79" spans="1:65" ht="17.45" customHeight="1" thickBot="1">
      <c r="A79" s="635"/>
      <c r="B79" s="2643"/>
      <c r="C79" s="2643"/>
      <c r="D79" s="582" t="s">
        <v>2213</v>
      </c>
      <c r="E79" s="2643"/>
      <c r="F79" s="2643"/>
      <c r="G79" s="2643"/>
      <c r="H79" s="2771"/>
      <c r="I79" s="2644" t="s">
        <v>132</v>
      </c>
      <c r="J79" s="74" t="s">
        <v>2215</v>
      </c>
      <c r="K79" s="74"/>
      <c r="L79" s="60"/>
      <c r="M79" s="60"/>
      <c r="N79" s="60"/>
      <c r="O79" s="2643"/>
      <c r="P79" s="2643"/>
      <c r="Q79" s="2643"/>
      <c r="R79" s="2643"/>
      <c r="S79" s="2643"/>
      <c r="T79" s="2643"/>
      <c r="U79" s="2643"/>
      <c r="V79" s="2643"/>
      <c r="W79" s="2643"/>
      <c r="X79" s="82"/>
      <c r="Y79" s="1450"/>
      <c r="Z79" s="452"/>
      <c r="AA79" s="1761"/>
      <c r="AB79" s="1408"/>
      <c r="AC79" s="1408"/>
      <c r="AD79" s="1408"/>
      <c r="AE79" s="7119"/>
      <c r="AF79" s="7120"/>
      <c r="AG79" s="452"/>
      <c r="AH79" s="5188"/>
      <c r="AI79" s="3969"/>
      <c r="AJ79" s="3969"/>
      <c r="AK79" s="3969"/>
      <c r="AL79" s="3969"/>
      <c r="AM79" s="3969"/>
      <c r="AN79" s="3969"/>
      <c r="AO79" s="3969"/>
      <c r="AP79" s="5189"/>
      <c r="AQ79" s="452"/>
      <c r="AR79" s="1408"/>
      <c r="AS79" s="1408"/>
      <c r="AT79" s="1408"/>
      <c r="AU79" s="1408"/>
    </row>
    <row r="80" spans="1:65" ht="15" customHeight="1" thickBot="1">
      <c r="A80" s="635"/>
      <c r="B80" s="2643"/>
      <c r="C80" s="2643"/>
      <c r="D80" s="60"/>
      <c r="E80" s="2643"/>
      <c r="F80" s="2643"/>
      <c r="G80" s="2687"/>
      <c r="H80" s="2945" t="str">
        <f>IF(OR(D61&lt;&gt;"",D63&lt;&gt;""),"X","")</f>
        <v/>
      </c>
      <c r="I80" s="2644" t="s">
        <v>132</v>
      </c>
      <c r="J80" s="74" t="s">
        <v>2227</v>
      </c>
      <c r="K80" s="74"/>
      <c r="L80" s="60"/>
      <c r="M80" s="60"/>
      <c r="N80" s="60"/>
      <c r="O80" s="2643"/>
      <c r="P80" s="2643"/>
      <c r="Q80" s="2643"/>
      <c r="R80" s="2643"/>
      <c r="S80" s="2643"/>
      <c r="T80" s="2643"/>
      <c r="U80" s="2643"/>
      <c r="V80" s="2643"/>
      <c r="W80" s="2770" t="b">
        <f>IF(OR(H79&lt;&gt;"",D61&lt;&gt;"",D63&lt;&gt;"",H81&lt;&gt;""),TRUE,FALSE)</f>
        <v>0</v>
      </c>
      <c r="X80" s="82"/>
      <c r="Y80" s="1450"/>
      <c r="Z80" s="452"/>
      <c r="AA80" s="1769"/>
      <c r="AB80" s="1882"/>
      <c r="AC80" s="1882"/>
      <c r="AD80" s="1882"/>
      <c r="AE80" s="7121"/>
      <c r="AF80" s="7122"/>
      <c r="AG80" s="452"/>
      <c r="AH80" s="5190"/>
      <c r="AI80" s="5191"/>
      <c r="AJ80" s="5191"/>
      <c r="AK80" s="5191"/>
      <c r="AL80" s="5191"/>
      <c r="AM80" s="5191"/>
      <c r="AN80" s="5191"/>
      <c r="AO80" s="5191"/>
      <c r="AP80" s="5192"/>
      <c r="AQ80" s="452"/>
      <c r="AR80" s="1408"/>
      <c r="AS80" s="1408"/>
      <c r="AT80" s="1408"/>
      <c r="AU80" s="1408"/>
    </row>
    <row r="81" spans="1:47" ht="12.75" customHeight="1" thickBot="1">
      <c r="A81" s="635"/>
      <c r="B81" s="2643"/>
      <c r="C81" s="2643"/>
      <c r="D81" s="60"/>
      <c r="E81" s="2643"/>
      <c r="F81" s="2643"/>
      <c r="G81" s="2643"/>
      <c r="H81" s="2771"/>
      <c r="I81" s="2644" t="s">
        <v>132</v>
      </c>
      <c r="J81" s="74" t="s">
        <v>2216</v>
      </c>
      <c r="K81" s="74"/>
      <c r="L81" s="60"/>
      <c r="M81" s="60"/>
      <c r="N81" s="60"/>
      <c r="O81" s="2643"/>
      <c r="P81" s="2643"/>
      <c r="Q81" s="2643"/>
      <c r="R81" s="2643"/>
      <c r="S81" s="2643"/>
      <c r="T81" s="2643"/>
      <c r="U81" s="2643"/>
      <c r="V81" s="2643"/>
      <c r="W81" s="2643"/>
      <c r="X81" s="82"/>
      <c r="Y81" s="1450"/>
      <c r="Z81" s="452"/>
      <c r="AA81" s="452"/>
      <c r="AB81" s="452"/>
      <c r="AC81" s="452"/>
      <c r="AD81" s="452"/>
      <c r="AE81" s="452"/>
      <c r="AF81" s="452"/>
      <c r="AG81" s="452"/>
      <c r="AH81" s="7144" t="str">
        <f>"Enter the "&amp;TaxYear-1&amp;" tax you figured above unless the AGI on your"</f>
        <v>Enter the 2017 tax you figured above unless the AGI on your</v>
      </c>
      <c r="AI81" s="7145"/>
      <c r="AJ81" s="7145"/>
      <c r="AK81" s="7145"/>
      <c r="AL81" s="7145"/>
      <c r="AM81" s="7145"/>
      <c r="AN81" s="7145"/>
      <c r="AO81" s="7145"/>
      <c r="AP81" s="7146"/>
      <c r="AQ81" s="452"/>
      <c r="AR81" s="1408"/>
      <c r="AS81" s="1408"/>
      <c r="AT81" s="1408"/>
      <c r="AU81" s="1408"/>
    </row>
    <row r="82" spans="1:47" ht="12.75" customHeight="1" thickBot="1">
      <c r="A82" s="635"/>
      <c r="B82" s="2643"/>
      <c r="C82" s="2643"/>
      <c r="D82" s="60"/>
      <c r="E82" s="2643"/>
      <c r="F82" s="2643"/>
      <c r="G82" s="2643"/>
      <c r="H82" s="2643"/>
      <c r="I82" s="60"/>
      <c r="J82" s="74" t="s">
        <v>2217</v>
      </c>
      <c r="K82" s="74"/>
      <c r="L82" s="60"/>
      <c r="M82" s="60"/>
      <c r="N82" s="60"/>
      <c r="O82" s="2643"/>
      <c r="P82" s="2643"/>
      <c r="Q82" s="2643"/>
      <c r="R82" s="2643"/>
      <c r="S82" s="2643"/>
      <c r="T82" s="2643"/>
      <c r="U82" s="2643"/>
      <c r="V82" s="2643"/>
      <c r="W82" s="2930" t="b">
        <f>AND($W$73,NOT($W$80))</f>
        <v>1</v>
      </c>
      <c r="X82" s="82"/>
      <c r="Y82" s="1450"/>
      <c r="Z82" s="452"/>
      <c r="AA82" s="452"/>
      <c r="AB82" s="452"/>
      <c r="AC82" s="452"/>
      <c r="AD82" s="452"/>
      <c r="AE82" s="452"/>
      <c r="AF82" s="452"/>
      <c r="AG82" s="452"/>
      <c r="AH82" s="7147"/>
      <c r="AI82" s="7142"/>
      <c r="AJ82" s="7142"/>
      <c r="AK82" s="7142"/>
      <c r="AL82" s="7142"/>
      <c r="AM82" s="7142"/>
      <c r="AN82" s="7142"/>
      <c r="AO82" s="7142"/>
      <c r="AP82" s="7143"/>
      <c r="AQ82" s="452"/>
      <c r="AR82" s="1408"/>
      <c r="AS82" s="1408"/>
      <c r="AT82" s="1408"/>
      <c r="AU82" s="1408"/>
    </row>
    <row r="83" spans="1:47" ht="15.75" customHeight="1" thickBot="1">
      <c r="A83" s="635"/>
      <c r="B83" s="2643"/>
      <c r="C83" s="2643"/>
      <c r="D83" s="74" t="s">
        <v>4746</v>
      </c>
      <c r="E83" s="2643"/>
      <c r="F83" s="2643"/>
      <c r="G83" s="2643"/>
      <c r="H83" s="2643"/>
      <c r="I83" s="60"/>
      <c r="J83" s="60"/>
      <c r="K83" s="60"/>
      <c r="L83" s="60"/>
      <c r="M83" s="60"/>
      <c r="N83" s="60"/>
      <c r="O83" s="2643"/>
      <c r="P83" s="2643"/>
      <c r="Q83" s="2643"/>
      <c r="R83" s="2643"/>
      <c r="S83" s="2643"/>
      <c r="T83" s="2643"/>
      <c r="U83" s="2643"/>
      <c r="V83" s="2643"/>
      <c r="W83" s="2643"/>
      <c r="X83" s="82"/>
      <c r="Y83" s="1450"/>
      <c r="Z83" s="1603"/>
      <c r="AA83" s="452"/>
      <c r="AB83" s="452"/>
      <c r="AC83" s="452"/>
      <c r="AD83" s="452"/>
      <c r="AE83" s="452"/>
      <c r="AF83" s="452"/>
      <c r="AG83" s="452"/>
      <c r="AH83" s="5185" t="str">
        <f>TaxYear-1&amp;" return is more than "&amp;TEXT(AA17,"$0,000")&amp;" ("&amp;TEXT(AE17,"$0,000")&amp;" if married filing"</f>
        <v>2017 return is more than $150,000 ($75,000 if married filing</v>
      </c>
      <c r="AI83" s="1408"/>
      <c r="AJ83" s="1408"/>
      <c r="AK83" s="1408"/>
      <c r="AL83" s="1408"/>
      <c r="AM83" s="1408"/>
      <c r="AN83" s="1408"/>
      <c r="AO83" s="1408"/>
      <c r="AP83" s="1877"/>
      <c r="AQ83" s="452"/>
      <c r="AR83" s="1408"/>
      <c r="AS83" s="1408"/>
      <c r="AT83" s="1408"/>
      <c r="AU83" s="1408"/>
    </row>
    <row r="84" spans="1:47" ht="12.75" customHeight="1">
      <c r="A84" s="635"/>
      <c r="B84" s="2643"/>
      <c r="C84" s="2643"/>
      <c r="D84" s="2170"/>
      <c r="E84" s="74" t="s">
        <v>2218</v>
      </c>
      <c r="F84" s="2643"/>
      <c r="G84" s="2643"/>
      <c r="H84" s="2643"/>
      <c r="I84" s="60"/>
      <c r="J84" s="60"/>
      <c r="K84" s="60"/>
      <c r="L84" s="60"/>
      <c r="M84" s="60"/>
      <c r="N84" s="60"/>
      <c r="O84" s="2643"/>
      <c r="P84" s="2643"/>
      <c r="Q84" s="2643"/>
      <c r="R84" s="2643"/>
      <c r="S84" s="2643"/>
      <c r="T84" s="2643"/>
      <c r="U84" s="2643"/>
      <c r="V84" s="2643"/>
      <c r="W84" s="2643"/>
      <c r="X84" s="82"/>
      <c r="Y84" s="1450"/>
      <c r="Z84" s="452"/>
      <c r="AA84" s="452"/>
      <c r="AB84" s="452"/>
      <c r="AC84" s="452"/>
      <c r="AD84" s="452"/>
      <c r="AE84" s="452"/>
      <c r="AF84" s="452"/>
      <c r="AG84" s="452"/>
      <c r="AH84" s="5185" t="str">
        <f>"separately for "&amp;TaxYear&amp;"). If the AGI shown on your "&amp;TaxYear-1&amp;" tax return is"</f>
        <v>separately for 2018). If the AGI shown on your 2017 tax return is</v>
      </c>
      <c r="AI84" s="1408"/>
      <c r="AJ84" s="1408"/>
      <c r="AK84" s="1408"/>
      <c r="AL84" s="1408"/>
      <c r="AM84" s="1408"/>
      <c r="AN84" s="1408"/>
      <c r="AO84" s="1408"/>
      <c r="AP84" s="1877"/>
      <c r="AQ84" s="452"/>
      <c r="AR84" s="1408"/>
      <c r="AS84" s="1408"/>
      <c r="AT84" s="1408"/>
      <c r="AU84" s="1408"/>
    </row>
    <row r="85" spans="1:47" ht="9" customHeight="1">
      <c r="A85" s="635"/>
      <c r="B85" s="2649"/>
      <c r="C85" s="2650"/>
      <c r="D85" s="2650"/>
      <c r="E85" s="2650"/>
      <c r="F85" s="2650"/>
      <c r="G85" s="2650"/>
      <c r="H85" s="2650"/>
      <c r="I85" s="2650"/>
      <c r="J85" s="2650"/>
      <c r="K85" s="2650"/>
      <c r="L85" s="2650"/>
      <c r="M85" s="2650"/>
      <c r="N85" s="2650"/>
      <c r="O85" s="2650"/>
      <c r="P85" s="2650"/>
      <c r="Q85" s="2650"/>
      <c r="R85" s="2650"/>
      <c r="S85" s="2650"/>
      <c r="T85" s="2650"/>
      <c r="U85" s="2650"/>
      <c r="V85" s="2650"/>
      <c r="W85" s="2650"/>
      <c r="X85" s="82"/>
      <c r="Y85" s="1450"/>
      <c r="Z85" s="452"/>
      <c r="AA85" s="452"/>
      <c r="AB85" s="452"/>
      <c r="AC85" s="452"/>
      <c r="AD85" s="452"/>
      <c r="AE85" s="452"/>
      <c r="AF85" s="452"/>
      <c r="AG85" s="452"/>
      <c r="AH85" s="2092" t="str">
        <f>"more than "&amp;TEXT(AA17,"$0,000")&amp;" ("&amp;TEXT(AE17,"$0,000")&amp;" if married filing separately), enter"</f>
        <v>more than $150,000 ($75,000 if married filing separately), enter</v>
      </c>
      <c r="AI85" s="1443"/>
      <c r="AJ85" s="1443"/>
      <c r="AK85" s="1443"/>
      <c r="AL85" s="1443"/>
      <c r="AM85" s="1443"/>
      <c r="AN85" s="1443"/>
      <c r="AO85" s="1408"/>
      <c r="AP85" s="1877"/>
      <c r="AQ85" s="452"/>
      <c r="AR85" s="1408"/>
      <c r="AS85" s="1408"/>
      <c r="AT85" s="1408"/>
      <c r="AU85" s="1408"/>
    </row>
    <row r="86" spans="1:47" ht="10.5" customHeight="1">
      <c r="A86" s="635"/>
      <c r="B86" s="2651"/>
      <c r="C86" s="2652"/>
      <c r="D86" s="2652"/>
      <c r="E86" s="2652"/>
      <c r="F86" s="2652"/>
      <c r="G86" s="2652"/>
      <c r="H86" s="2652"/>
      <c r="I86" s="2652"/>
      <c r="J86" s="2652"/>
      <c r="K86" s="2652"/>
      <c r="L86" s="2652"/>
      <c r="M86" s="2652"/>
      <c r="N86" s="2652"/>
      <c r="O86" s="2652"/>
      <c r="P86" s="2652"/>
      <c r="Q86" s="2652"/>
      <c r="R86" s="2652"/>
      <c r="S86" s="2652"/>
      <c r="T86" s="2652"/>
      <c r="U86" s="2652"/>
      <c r="V86" s="2652"/>
      <c r="W86" s="2652"/>
      <c r="X86" s="705"/>
      <c r="Y86" s="2765"/>
      <c r="Z86" s="452"/>
      <c r="AA86" s="452"/>
      <c r="AB86" s="452"/>
      <c r="AC86" s="452"/>
      <c r="AD86" s="452"/>
      <c r="AE86" s="452"/>
      <c r="AF86" s="452"/>
      <c r="AG86" s="452"/>
      <c r="AH86" s="2092" t="str">
        <f>TEXT(AA25,"0%")&amp;" of the amount of the tax computed earlier."</f>
        <v>110% of the amount of the tax computed earlier.</v>
      </c>
      <c r="AI86" s="1443"/>
      <c r="AJ86" s="1443"/>
      <c r="AK86" s="1443"/>
      <c r="AL86" s="1443"/>
      <c r="AM86" s="1443"/>
      <c r="AN86" s="1443"/>
      <c r="AO86" s="2685"/>
      <c r="AP86" s="2758"/>
      <c r="AQ86" s="452"/>
      <c r="AR86" s="1408"/>
      <c r="AS86" s="1408"/>
      <c r="AT86" s="1408"/>
      <c r="AU86" s="1408"/>
    </row>
    <row r="87" spans="1:47" ht="16.5" customHeight="1" thickBot="1">
      <c r="A87" s="635"/>
      <c r="B87" s="1220"/>
      <c r="C87" s="422">
        <v>10</v>
      </c>
      <c r="D87" s="3247" t="s">
        <v>2219</v>
      </c>
      <c r="E87" s="5030"/>
      <c r="F87" s="458"/>
      <c r="G87" s="458"/>
      <c r="H87" s="458"/>
      <c r="I87" s="458"/>
      <c r="J87" s="458"/>
      <c r="K87" s="458"/>
      <c r="L87" s="458"/>
      <c r="M87" s="458"/>
      <c r="N87" s="458"/>
      <c r="O87" s="458"/>
      <c r="P87" s="458"/>
      <c r="Q87" s="458"/>
      <c r="R87" s="458"/>
      <c r="S87" s="1699" t="s">
        <v>1150</v>
      </c>
      <c r="T87" s="567">
        <v>10</v>
      </c>
      <c r="U87" s="7239" t="str">
        <f>IF(ShortMethod,U46,"")</f>
        <v/>
      </c>
      <c r="V87" s="7240"/>
      <c r="W87" s="7240"/>
      <c r="X87" s="705"/>
      <c r="Y87" s="2765"/>
      <c r="Z87" s="452"/>
      <c r="AA87" s="452"/>
      <c r="AB87" s="452"/>
      <c r="AC87" s="452"/>
      <c r="AD87" s="452"/>
      <c r="AE87" s="452"/>
      <c r="AF87" s="452"/>
      <c r="AG87" s="452"/>
      <c r="AH87" s="7106" t="str">
        <f>"If you are filing a joint return for "&amp;TaxYear&amp;", but you didn't file a joint"</f>
        <v>If you are filing a joint return for 2018, but you didn't file a joint</v>
      </c>
      <c r="AI87" s="7107"/>
      <c r="AJ87" s="7107"/>
      <c r="AK87" s="7107"/>
      <c r="AL87" s="7107"/>
      <c r="AM87" s="7107"/>
      <c r="AN87" s="7107"/>
      <c r="AO87" s="6440"/>
      <c r="AP87" s="7108"/>
      <c r="AQ87" s="452"/>
      <c r="AR87" s="1408"/>
      <c r="AS87" s="1408"/>
      <c r="AT87" s="1408"/>
      <c r="AU87" s="1408"/>
    </row>
    <row r="88" spans="1:47" ht="8.25" customHeight="1" thickBot="1">
      <c r="A88" s="635"/>
      <c r="B88" s="74"/>
      <c r="C88" s="41"/>
      <c r="D88" s="354"/>
      <c r="E88" s="423"/>
      <c r="F88" s="24"/>
      <c r="G88" s="24"/>
      <c r="H88" s="24"/>
      <c r="I88" s="24"/>
      <c r="J88" s="24"/>
      <c r="K88" s="24"/>
      <c r="L88" s="24"/>
      <c r="M88" s="24"/>
      <c r="N88" s="24"/>
      <c r="O88" s="24"/>
      <c r="P88" s="43"/>
      <c r="Q88" s="1966"/>
      <c r="R88" s="2653"/>
      <c r="S88" s="24"/>
      <c r="T88" s="453"/>
      <c r="U88" s="58"/>
      <c r="V88" s="58"/>
      <c r="W88" s="58"/>
      <c r="X88" s="82"/>
      <c r="Y88" s="1450"/>
      <c r="Z88" s="1603"/>
      <c r="AA88" s="452"/>
      <c r="AB88" s="452"/>
      <c r="AC88" s="452"/>
      <c r="AD88" s="452"/>
      <c r="AE88" s="452"/>
      <c r="AF88" s="452"/>
      <c r="AG88" s="452"/>
      <c r="AH88" s="7101"/>
      <c r="AI88" s="7102"/>
      <c r="AJ88" s="7102"/>
      <c r="AK88" s="7102"/>
      <c r="AL88" s="7102"/>
      <c r="AM88" s="7102"/>
      <c r="AN88" s="7102"/>
      <c r="AO88" s="6440"/>
      <c r="AP88" s="7108"/>
      <c r="AQ88" s="452"/>
      <c r="AR88" s="1408"/>
      <c r="AS88" s="1408"/>
      <c r="AT88" s="1408"/>
      <c r="AU88" s="1408"/>
    </row>
    <row r="89" spans="1:47" ht="13.5" customHeight="1">
      <c r="A89" s="635"/>
      <c r="B89" s="24"/>
      <c r="C89" s="52">
        <v>11</v>
      </c>
      <c r="D89" s="423" t="s">
        <v>2220</v>
      </c>
      <c r="E89" s="423"/>
      <c r="F89" s="24"/>
      <c r="G89" s="24"/>
      <c r="H89" s="24"/>
      <c r="I89" s="24"/>
      <c r="J89" s="24"/>
      <c r="K89" s="24"/>
      <c r="L89" s="24"/>
      <c r="M89" s="24"/>
      <c r="N89" s="1699"/>
      <c r="O89" s="1699"/>
      <c r="P89" s="43"/>
      <c r="Q89" s="1699" t="s">
        <v>680</v>
      </c>
      <c r="R89" s="2625">
        <v>11</v>
      </c>
      <c r="S89" s="2688" t="str">
        <f>IF(ShortMethod,U43,"")</f>
        <v/>
      </c>
      <c r="T89" s="453"/>
      <c r="U89" s="398"/>
      <c r="V89" s="24"/>
      <c r="W89" s="24"/>
      <c r="X89" s="82"/>
      <c r="Y89" s="1450"/>
      <c r="Z89" s="452"/>
      <c r="AA89" s="452"/>
      <c r="AB89" s="452"/>
      <c r="AC89" s="452"/>
      <c r="AD89" s="452"/>
      <c r="AE89" s="452"/>
      <c r="AF89" s="452"/>
      <c r="AG89" s="452"/>
      <c r="AH89" s="7101" t="str">
        <f>"return for "&amp;TaxYear-1&amp;", add your "&amp;TaxYear-1&amp;" tax (as figured earlier) to your spouse's "&amp;TaxYear-1&amp;" tax (as figured earlier) and enter the total on "</f>
        <v xml:space="preserve">return for 2017, add your 2017 tax (as figured earlier) to your spouse's 2017 tax (as figured earlier) and enter the total on </v>
      </c>
      <c r="AI89" s="7102"/>
      <c r="AJ89" s="7102"/>
      <c r="AK89" s="7102"/>
      <c r="AL89" s="7102"/>
      <c r="AM89" s="7102"/>
      <c r="AN89" s="7102"/>
      <c r="AO89" s="7103"/>
      <c r="AP89" s="7104"/>
      <c r="AQ89" s="452"/>
      <c r="AR89" s="1408"/>
      <c r="AS89" s="1408"/>
      <c r="AT89" s="1408"/>
      <c r="AU89" s="1408"/>
    </row>
    <row r="90" spans="1:47" ht="8.25" customHeight="1">
      <c r="A90" s="635"/>
      <c r="B90" s="74"/>
      <c r="C90" s="41"/>
      <c r="D90" s="354"/>
      <c r="E90" s="423"/>
      <c r="F90" s="24"/>
      <c r="G90" s="24"/>
      <c r="H90" s="24"/>
      <c r="I90" s="24"/>
      <c r="J90" s="24"/>
      <c r="K90" s="24"/>
      <c r="L90" s="24"/>
      <c r="M90" s="24"/>
      <c r="N90" s="24"/>
      <c r="O90" s="24"/>
      <c r="P90" s="43"/>
      <c r="Q90" s="1966"/>
      <c r="R90" s="2653"/>
      <c r="S90" s="24"/>
      <c r="T90" s="453"/>
      <c r="U90" s="398"/>
      <c r="V90" s="24"/>
      <c r="W90" s="24"/>
      <c r="X90" s="82"/>
      <c r="Y90" s="1450"/>
      <c r="Z90" s="452"/>
      <c r="AA90" s="452"/>
      <c r="AB90" s="452"/>
      <c r="AC90" s="452"/>
      <c r="AD90" s="452"/>
      <c r="AE90" s="452"/>
      <c r="AF90" s="452"/>
      <c r="AG90" s="452"/>
      <c r="AH90" s="7105"/>
      <c r="AI90" s="7102"/>
      <c r="AJ90" s="7102"/>
      <c r="AK90" s="7102"/>
      <c r="AL90" s="7102"/>
      <c r="AM90" s="7102"/>
      <c r="AN90" s="7102"/>
      <c r="AO90" s="7103"/>
      <c r="AP90" s="7104"/>
      <c r="AQ90" s="452"/>
      <c r="AR90" s="1408"/>
      <c r="AS90" s="1408"/>
      <c r="AT90" s="1408"/>
      <c r="AU90" s="1408"/>
    </row>
    <row r="91" spans="1:47" ht="13.5" customHeight="1">
      <c r="A91" s="635"/>
      <c r="B91" s="24"/>
      <c r="C91" s="52">
        <v>12</v>
      </c>
      <c r="D91" s="423" t="s">
        <v>2251</v>
      </c>
      <c r="E91" s="423"/>
      <c r="F91" s="24"/>
      <c r="G91" s="24"/>
      <c r="H91" s="24"/>
      <c r="I91" s="24"/>
      <c r="J91" s="24"/>
      <c r="K91" s="24"/>
      <c r="L91" s="24"/>
      <c r="M91" s="24"/>
      <c r="N91" s="24"/>
      <c r="O91" s="24"/>
      <c r="P91" s="43"/>
      <c r="Q91" s="1699" t="s">
        <v>878</v>
      </c>
      <c r="R91" s="2625">
        <v>12</v>
      </c>
      <c r="S91" s="2688">
        <f>IF(Z83&lt;&gt;"",ROUND(Z83,0),IF(ShortMethod,ROUND(EstimatedTaxPayments,0),""))</f>
        <v>0</v>
      </c>
      <c r="T91" s="453"/>
      <c r="U91" s="398"/>
      <c r="V91" s="24"/>
      <c r="W91" s="24"/>
      <c r="X91" s="82"/>
      <c r="Y91" s="1450"/>
      <c r="Z91" s="7182" t="s">
        <v>2231</v>
      </c>
      <c r="AA91" s="452"/>
      <c r="AB91" s="452"/>
      <c r="AC91" s="452"/>
      <c r="AD91" s="452"/>
      <c r="AE91" s="452"/>
      <c r="AF91" s="452"/>
      <c r="AG91" s="452"/>
      <c r="AH91" s="7106" t="str">
        <f>"line 8. If you filed a joint return for "&amp;TaxYear-1&amp;" but you aren't filing a joint"</f>
        <v>line 8. If you filed a joint return for 2017 but you aren't filing a joint</v>
      </c>
      <c r="AI91" s="7107"/>
      <c r="AJ91" s="7107"/>
      <c r="AK91" s="7107"/>
      <c r="AL91" s="7107"/>
      <c r="AM91" s="7107"/>
      <c r="AN91" s="7107"/>
      <c r="AO91" s="6440"/>
      <c r="AP91" s="7108"/>
      <c r="AQ91" s="452"/>
      <c r="AR91" s="1408"/>
      <c r="AS91" s="1408"/>
      <c r="AT91" s="1408"/>
      <c r="AU91" s="1408"/>
    </row>
    <row r="92" spans="1:47" ht="12" customHeight="1" thickBot="1">
      <c r="A92" s="635"/>
      <c r="B92" s="74"/>
      <c r="C92" s="41"/>
      <c r="D92" s="354"/>
      <c r="E92" s="423"/>
      <c r="F92" s="24"/>
      <c r="G92" s="24"/>
      <c r="H92" s="24"/>
      <c r="I92" s="24"/>
      <c r="J92" s="24"/>
      <c r="K92" s="24"/>
      <c r="L92" s="24"/>
      <c r="M92" s="24"/>
      <c r="N92" s="24"/>
      <c r="O92" s="24"/>
      <c r="P92" s="24"/>
      <c r="Q92" s="24"/>
      <c r="R92" s="24"/>
      <c r="S92" s="24"/>
      <c r="T92" s="453"/>
      <c r="U92" s="398"/>
      <c r="V92" s="24"/>
      <c r="W92" s="24"/>
      <c r="X92" s="82"/>
      <c r="Y92" s="1450"/>
      <c r="Z92" s="7183"/>
      <c r="AA92" s="452"/>
      <c r="AB92" s="452"/>
      <c r="AC92" s="452"/>
      <c r="AD92" s="452"/>
      <c r="AE92" s="452"/>
      <c r="AF92" s="452"/>
      <c r="AG92" s="452"/>
      <c r="AH92" s="7106" t="str">
        <f>"return for "&amp;TaxYear&amp;", see Pub. 505, chapter 4, General Rule, to figure"</f>
        <v>return for 2018, see Pub. 505, chapter 4, General Rule, to figure</v>
      </c>
      <c r="AI92" s="7107"/>
      <c r="AJ92" s="7107"/>
      <c r="AK92" s="7107"/>
      <c r="AL92" s="7107"/>
      <c r="AM92" s="7107"/>
      <c r="AN92" s="7107"/>
      <c r="AO92" s="7142"/>
      <c r="AP92" s="7143"/>
      <c r="AQ92" s="452"/>
      <c r="AR92" s="1408"/>
      <c r="AS92" s="1408"/>
      <c r="AT92" s="1408"/>
      <c r="AU92" s="1408"/>
    </row>
    <row r="93" spans="1:47" ht="15" thickBot="1">
      <c r="A93" s="635"/>
      <c r="B93" s="74"/>
      <c r="C93" s="52">
        <v>13</v>
      </c>
      <c r="D93" s="423" t="s">
        <v>2221</v>
      </c>
      <c r="E93" s="423"/>
      <c r="F93" s="24"/>
      <c r="G93" s="24"/>
      <c r="H93" s="24"/>
      <c r="I93" s="24"/>
      <c r="J93" s="24"/>
      <c r="K93" s="24"/>
      <c r="L93" s="24"/>
      <c r="M93" s="24"/>
      <c r="N93" s="24"/>
      <c r="O93" s="24"/>
      <c r="P93" s="24"/>
      <c r="Q93" s="24"/>
      <c r="R93" s="24"/>
      <c r="S93" s="1699" t="s">
        <v>764</v>
      </c>
      <c r="T93" s="463">
        <v>13</v>
      </c>
      <c r="U93" s="6671">
        <f>IF(ShortMethod,SUM(S89,S91),"")</f>
        <v>0</v>
      </c>
      <c r="V93" s="6672"/>
      <c r="W93" s="6672"/>
      <c r="X93" s="82"/>
      <c r="Y93" s="1450"/>
      <c r="Z93" s="2658">
        <f>U101</f>
        <v>43570</v>
      </c>
      <c r="AA93" s="452"/>
      <c r="AB93" s="452"/>
      <c r="AC93" s="452"/>
      <c r="AD93" s="452"/>
      <c r="AE93" s="452"/>
      <c r="AF93" s="452"/>
      <c r="AG93" s="452"/>
      <c r="AH93" s="7106" t="str">
        <f>"your share of the "&amp;TaxYear-1&amp;" tax to enter on line 8. If you didn't file a"</f>
        <v>your share of the 2017 tax to enter on line 8. If you didn't file a</v>
      </c>
      <c r="AI93" s="7107"/>
      <c r="AJ93" s="7107"/>
      <c r="AK93" s="7107"/>
      <c r="AL93" s="7107"/>
      <c r="AM93" s="7107"/>
      <c r="AN93" s="7107"/>
      <c r="AO93" s="1408"/>
      <c r="AP93" s="1877"/>
      <c r="AQ93" s="452"/>
      <c r="AR93" s="1408"/>
      <c r="AS93" s="1408"/>
      <c r="AT93" s="1408"/>
    </row>
    <row r="94" spans="1:47" ht="10.5" customHeight="1">
      <c r="A94" s="635"/>
      <c r="B94" s="74"/>
      <c r="C94" s="41"/>
      <c r="D94" s="74"/>
      <c r="E94" s="24"/>
      <c r="F94" s="24"/>
      <c r="G94" s="24"/>
      <c r="H94" s="24"/>
      <c r="I94" s="24"/>
      <c r="J94" s="24"/>
      <c r="K94" s="24"/>
      <c r="L94" s="24"/>
      <c r="M94" s="24"/>
      <c r="N94" s="24"/>
      <c r="O94" s="24"/>
      <c r="P94" s="24"/>
      <c r="Q94" s="24"/>
      <c r="R94" s="24"/>
      <c r="S94" s="24"/>
      <c r="T94" s="1007"/>
      <c r="U94" s="398"/>
      <c r="V94" s="24"/>
      <c r="W94" s="24"/>
      <c r="X94" s="82"/>
      <c r="Y94" s="1450"/>
      <c r="Z94" s="4430" t="str">
        <f>IF($AE$100,"Adjusted for","")</f>
        <v/>
      </c>
      <c r="AA94" s="452"/>
      <c r="AB94" s="452"/>
      <c r="AC94" s="452"/>
      <c r="AD94" s="452"/>
      <c r="AE94" s="452"/>
      <c r="AF94" s="452"/>
      <c r="AG94" s="452"/>
      <c r="AH94" s="7101" t="str">
        <f>"return for "&amp;TaxYear-1&amp;" or your "&amp;TaxYear-1&amp;" tax year was less than 12 months, don't complete line 8. Instead, enter the amount from line 5 on"</f>
        <v>return for 2017 or your 2017 tax year was less than 12 months, don't complete line 8. Instead, enter the amount from line 5 on</v>
      </c>
      <c r="AI94" s="7102"/>
      <c r="AJ94" s="7102"/>
      <c r="AK94" s="7102"/>
      <c r="AL94" s="7102"/>
      <c r="AM94" s="7102"/>
      <c r="AN94" s="7102"/>
      <c r="AO94" s="6440"/>
      <c r="AP94" s="7108"/>
      <c r="AQ94" s="452"/>
      <c r="AR94" s="1408"/>
      <c r="AS94" s="1408"/>
      <c r="AT94" s="1408"/>
    </row>
    <row r="95" spans="1:47" ht="12" customHeight="1" thickBot="1">
      <c r="A95" s="635"/>
      <c r="B95" s="24"/>
      <c r="C95" s="52">
        <v>14</v>
      </c>
      <c r="D95" s="1085" t="s">
        <v>2546</v>
      </c>
      <c r="E95" s="24"/>
      <c r="F95" s="24"/>
      <c r="G95" s="24"/>
      <c r="H95" s="24"/>
      <c r="I95" s="24"/>
      <c r="J95" s="24"/>
      <c r="K95" s="24"/>
      <c r="L95" s="24"/>
      <c r="M95" s="24"/>
      <c r="N95" s="1085" t="s">
        <v>2547</v>
      </c>
      <c r="O95" s="24"/>
      <c r="P95" s="24"/>
      <c r="Q95" s="24"/>
      <c r="R95" s="24"/>
      <c r="S95" s="24"/>
      <c r="T95" s="2654"/>
      <c r="U95" s="398"/>
      <c r="V95" s="24"/>
      <c r="W95" s="24"/>
      <c r="X95" s="82"/>
      <c r="Y95" s="1450"/>
      <c r="Z95" s="4431" t="str">
        <f>IF($AE$100,"State holiday.","")</f>
        <v/>
      </c>
      <c r="AA95" s="452"/>
      <c r="AB95" s="452"/>
      <c r="AC95" s="452"/>
      <c r="AD95" s="452"/>
      <c r="AE95" s="452"/>
      <c r="AF95" s="452"/>
      <c r="AG95" s="452"/>
      <c r="AH95" s="7105"/>
      <c r="AI95" s="7102"/>
      <c r="AJ95" s="7102"/>
      <c r="AK95" s="7102"/>
      <c r="AL95" s="7102"/>
      <c r="AM95" s="7102"/>
      <c r="AN95" s="7102"/>
      <c r="AO95" s="6440"/>
      <c r="AP95" s="7108"/>
      <c r="AQ95" s="452"/>
      <c r="AR95" s="1408"/>
      <c r="AS95" s="1408"/>
      <c r="AT95" s="1408"/>
    </row>
    <row r="96" spans="1:47" ht="12" customHeight="1" thickBot="1">
      <c r="A96" s="635"/>
      <c r="B96" s="24"/>
      <c r="C96" s="41"/>
      <c r="D96" s="1085" t="s">
        <v>2548</v>
      </c>
      <c r="E96" s="24"/>
      <c r="F96" s="24"/>
      <c r="G96" s="24"/>
      <c r="H96" s="24"/>
      <c r="I96" s="24"/>
      <c r="J96" s="24"/>
      <c r="K96" s="24"/>
      <c r="L96" s="24"/>
      <c r="M96" s="24"/>
      <c r="N96" s="24"/>
      <c r="O96" s="24"/>
      <c r="P96" s="24"/>
      <c r="Q96" s="24"/>
      <c r="R96" s="24"/>
      <c r="S96" s="1699" t="s">
        <v>857</v>
      </c>
      <c r="T96" s="463">
        <v>14</v>
      </c>
      <c r="U96" s="6671">
        <f>IF(Z88&lt;&gt;"",ROUND(Z88,0),IF(ShortMethod,SUM(U87,-U93),""))</f>
        <v>0</v>
      </c>
      <c r="V96" s="6672"/>
      <c r="W96" s="6672"/>
      <c r="X96" s="82"/>
      <c r="Y96" s="1450"/>
      <c r="Z96" s="417"/>
      <c r="AA96" s="452"/>
      <c r="AB96" s="452"/>
      <c r="AC96" s="452"/>
      <c r="AD96" s="452"/>
      <c r="AE96" s="452"/>
      <c r="AF96" s="452"/>
      <c r="AG96" s="452"/>
      <c r="AH96" s="7126" t="s">
        <v>2550</v>
      </c>
      <c r="AI96" s="7127"/>
      <c r="AJ96" s="7127"/>
      <c r="AK96" s="7127"/>
      <c r="AL96" s="7127"/>
      <c r="AM96" s="7127"/>
      <c r="AN96" s="7127"/>
      <c r="AO96" s="1408"/>
      <c r="AP96" s="1877"/>
      <c r="AQ96" s="452"/>
      <c r="AR96" s="1408"/>
      <c r="AS96" s="1408"/>
      <c r="AT96" s="1408"/>
    </row>
    <row r="97" spans="1:65" ht="10.5" customHeight="1" thickBot="1">
      <c r="A97" s="635"/>
      <c r="B97" s="24"/>
      <c r="C97" s="52"/>
      <c r="D97" s="74"/>
      <c r="E97" s="24"/>
      <c r="F97" s="24"/>
      <c r="G97" s="24"/>
      <c r="H97" s="24"/>
      <c r="I97" s="24"/>
      <c r="J97" s="24"/>
      <c r="K97" s="24"/>
      <c r="L97" s="24"/>
      <c r="M97" s="24"/>
      <c r="N97" s="24"/>
      <c r="O97" s="24"/>
      <c r="P97" s="24"/>
      <c r="Q97" s="24"/>
      <c r="R97" s="24"/>
      <c r="S97" s="24"/>
      <c r="T97" s="1007"/>
      <c r="U97" s="7241">
        <v>3.603E-2</v>
      </c>
      <c r="V97" s="7242"/>
      <c r="W97" s="7242"/>
      <c r="X97" s="82"/>
      <c r="Y97" s="1450"/>
      <c r="Z97" s="452"/>
      <c r="AA97" s="452"/>
      <c r="AB97" s="452"/>
      <c r="AC97" s="452"/>
      <c r="AD97" s="452"/>
      <c r="AE97" s="452"/>
      <c r="AF97" s="452"/>
      <c r="AG97" s="452"/>
      <c r="AH97" s="7128"/>
      <c r="AI97" s="7129"/>
      <c r="AJ97" s="7129"/>
      <c r="AK97" s="7129"/>
      <c r="AL97" s="7129"/>
      <c r="AM97" s="7129"/>
      <c r="AN97" s="7129"/>
      <c r="AO97" s="1882"/>
      <c r="AP97" s="1883"/>
      <c r="AQ97" s="452"/>
      <c r="AR97" s="1408"/>
      <c r="AS97" s="1408"/>
      <c r="AT97" s="1408"/>
    </row>
    <row r="98" spans="1:65" ht="12.75" customHeight="1">
      <c r="A98" s="635"/>
      <c r="B98" s="127"/>
      <c r="C98" s="52">
        <v>15</v>
      </c>
      <c r="D98" s="1085" t="str">
        <f>"Multiply line 14 by "&amp;TEXT(U97,"0.00000")</f>
        <v>Multiply line 14 by 0.03603</v>
      </c>
      <c r="E98" s="127"/>
      <c r="F98" s="127"/>
      <c r="G98" s="127"/>
      <c r="H98" s="127"/>
      <c r="I98" s="127"/>
      <c r="J98" s="127"/>
      <c r="K98" s="127"/>
      <c r="L98" s="127"/>
      <c r="M98" s="127"/>
      <c r="N98" s="127"/>
      <c r="O98" s="127"/>
      <c r="P98" s="127"/>
      <c r="Q98" s="127"/>
      <c r="R98" s="127"/>
      <c r="S98" s="1699" t="s">
        <v>341</v>
      </c>
      <c r="T98" s="463">
        <v>15</v>
      </c>
      <c r="U98" s="6671" t="str">
        <f>IF(AND(ShortMethod,U96&gt;0),U96*U97,"")</f>
        <v/>
      </c>
      <c r="V98" s="6672"/>
      <c r="W98" s="6672"/>
      <c r="X98" s="704"/>
      <c r="Y98" s="2693"/>
      <c r="Z98" s="452"/>
      <c r="AA98" s="452"/>
      <c r="AB98" s="452"/>
      <c r="AC98" s="452"/>
      <c r="AD98" s="452"/>
      <c r="AE98" s="452"/>
      <c r="AF98" s="452"/>
      <c r="AG98" s="452"/>
      <c r="AH98" s="452"/>
      <c r="AI98" s="452"/>
      <c r="AJ98" s="452"/>
      <c r="AK98" s="452"/>
      <c r="AL98" s="452"/>
      <c r="AM98" s="452"/>
      <c r="AN98" s="452"/>
      <c r="AO98" s="452"/>
      <c r="AP98" s="452"/>
      <c r="AQ98" s="452"/>
      <c r="AR98" s="1408"/>
      <c r="AS98" s="1408"/>
      <c r="AT98" s="1408"/>
    </row>
    <row r="99" spans="1:65" ht="6.75" customHeight="1" thickBot="1">
      <c r="A99" s="635"/>
      <c r="B99" s="127"/>
      <c r="C99" s="52"/>
      <c r="D99" s="288"/>
      <c r="E99" s="127"/>
      <c r="F99" s="127"/>
      <c r="G99" s="127"/>
      <c r="H99" s="127"/>
      <c r="I99" s="127"/>
      <c r="J99" s="127"/>
      <c r="K99" s="127"/>
      <c r="L99" s="127"/>
      <c r="M99" s="127"/>
      <c r="N99" s="127"/>
      <c r="O99" s="127"/>
      <c r="P99" s="127"/>
      <c r="Q99" s="127"/>
      <c r="R99" s="127"/>
      <c r="S99" s="127"/>
      <c r="T99" s="453"/>
      <c r="U99" s="2655"/>
      <c r="V99" s="1620"/>
      <c r="W99" s="1620"/>
      <c r="X99" s="704"/>
      <c r="Y99" s="2693"/>
      <c r="Z99" s="452"/>
      <c r="AA99" s="452"/>
      <c r="AB99" s="452"/>
      <c r="AC99" s="452"/>
      <c r="AD99" s="452"/>
      <c r="AE99" s="452"/>
      <c r="AF99" s="452"/>
      <c r="AG99" s="452"/>
      <c r="AH99" s="452"/>
      <c r="AI99" s="452"/>
      <c r="AJ99" s="452"/>
      <c r="AK99" s="452"/>
      <c r="AL99" s="452"/>
      <c r="AM99" s="452"/>
      <c r="AN99" s="452"/>
      <c r="AO99" s="452"/>
      <c r="AP99" s="452"/>
      <c r="AQ99" s="452"/>
      <c r="AR99" s="1408"/>
      <c r="AS99" s="1408"/>
      <c r="AT99" s="1408"/>
    </row>
    <row r="100" spans="1:65" ht="13.5" customHeight="1" thickBot="1">
      <c r="A100" s="635"/>
      <c r="B100" s="127"/>
      <c r="C100" s="52">
        <v>16</v>
      </c>
      <c r="D100" s="2644" t="s">
        <v>132</v>
      </c>
      <c r="E100" s="1085" t="s">
        <v>2229</v>
      </c>
      <c r="F100" s="127"/>
      <c r="G100" s="127"/>
      <c r="H100" s="127"/>
      <c r="I100" s="127"/>
      <c r="J100" s="127"/>
      <c r="K100" s="127" t="str">
        <f>TEXT($U$101,"m/d/yy")&amp;", enter -0-."</f>
        <v>4/15/19, enter -0-.</v>
      </c>
      <c r="L100" s="127"/>
      <c r="M100" s="127"/>
      <c r="N100" s="127"/>
      <c r="O100" s="127"/>
      <c r="P100" s="127"/>
      <c r="Q100" s="127"/>
      <c r="R100" s="127"/>
      <c r="S100" s="2690" t="b">
        <f>IF(Z93&gt;=U101,TRUE,FALSE)</f>
        <v>1</v>
      </c>
      <c r="T100" s="453"/>
      <c r="U100" s="7206"/>
      <c r="V100" s="7207"/>
      <c r="W100" s="7207"/>
      <c r="X100" s="704"/>
      <c r="Y100" s="2693"/>
      <c r="Z100" s="417"/>
      <c r="AA100" s="452"/>
      <c r="AB100" s="5193">
        <f>IF(AE100,17,15)</f>
        <v>15</v>
      </c>
      <c r="AC100" s="5194"/>
      <c r="AD100" s="5194"/>
      <c r="AE100" s="5195" t="b">
        <f>AND($AB$101=2,'1040'!BE7)</f>
        <v>0</v>
      </c>
      <c r="AF100" s="452"/>
      <c r="AG100" s="452"/>
      <c r="AH100" s="452"/>
      <c r="AI100" s="452"/>
      <c r="AJ100" s="452"/>
      <c r="AK100" s="452"/>
      <c r="AL100" s="452"/>
      <c r="AM100" s="452"/>
      <c r="AN100" s="452"/>
      <c r="AO100" s="452"/>
      <c r="AP100" s="452"/>
      <c r="AQ100" s="452"/>
      <c r="AR100" s="1408"/>
      <c r="AS100" s="1408"/>
      <c r="AT100" s="1408"/>
    </row>
    <row r="101" spans="1:65" ht="13.5" customHeight="1">
      <c r="A101" s="635"/>
      <c r="B101" s="127"/>
      <c r="C101" s="52"/>
      <c r="D101" s="2644" t="s">
        <v>132</v>
      </c>
      <c r="E101" s="1085" t="s">
        <v>2230</v>
      </c>
      <c r="F101" s="127"/>
      <c r="G101" s="127"/>
      <c r="H101" s="127"/>
      <c r="I101" s="127"/>
      <c r="J101" s="127" t="str">
        <f>TEXT($U$101,"m/d/yy")&amp;", make the following computation to find the"</f>
        <v>4/15/19, make the following computation to find the</v>
      </c>
      <c r="K101" s="127"/>
      <c r="L101" s="127"/>
      <c r="M101" s="127"/>
      <c r="N101" s="127"/>
      <c r="O101" s="127"/>
      <c r="P101" s="127"/>
      <c r="Q101" s="127"/>
      <c r="R101" s="127"/>
      <c r="S101" s="127"/>
      <c r="T101" s="453"/>
      <c r="U101" s="7206">
        <f>DATEVALUE(AB100&amp;"-Apr-"&amp;TaxYear+1)</f>
        <v>43570</v>
      </c>
      <c r="V101" s="7207"/>
      <c r="W101" s="7207"/>
      <c r="X101" s="704"/>
      <c r="Y101" s="2693"/>
      <c r="Z101" s="452"/>
      <c r="AA101" s="452"/>
      <c r="AB101" s="5196">
        <f>WEEKDAY($AC$101)</f>
        <v>2</v>
      </c>
      <c r="AC101" s="5197" t="str">
        <f>"15-Apr-"&amp;TaxYear+1</f>
        <v>15-Apr-2019</v>
      </c>
      <c r="AD101" s="5194"/>
      <c r="AE101" s="5198"/>
      <c r="AF101" s="452"/>
      <c r="AG101" s="452"/>
      <c r="AH101" s="452"/>
      <c r="AI101" s="452"/>
      <c r="AJ101" s="452"/>
      <c r="AK101" s="452"/>
      <c r="AL101" s="452"/>
      <c r="AM101" s="452"/>
      <c r="AN101" s="452"/>
      <c r="AO101" s="452"/>
      <c r="AP101" s="452"/>
      <c r="AQ101" s="452"/>
      <c r="AR101" s="1408"/>
      <c r="AS101" s="1408"/>
      <c r="AT101" s="1408"/>
    </row>
    <row r="102" spans="1:65" ht="13.5" customHeight="1">
      <c r="A102" s="635"/>
      <c r="B102" s="127"/>
      <c r="C102" s="52"/>
      <c r="D102" s="2644"/>
      <c r="E102" s="502" t="s">
        <v>2222</v>
      </c>
      <c r="F102" s="127"/>
      <c r="G102" s="127"/>
      <c r="H102" s="127"/>
      <c r="I102" s="127"/>
      <c r="J102" s="127"/>
      <c r="K102" s="127"/>
      <c r="L102" s="127"/>
      <c r="M102" s="127"/>
      <c r="N102" s="127"/>
      <c r="O102" s="127"/>
      <c r="P102" s="127"/>
      <c r="Q102" s="127"/>
      <c r="R102" s="127"/>
      <c r="S102" s="127"/>
      <c r="T102" s="453"/>
      <c r="U102" s="7202">
        <f>IF($S$100,0,SUM(U101,-Z93))</f>
        <v>0</v>
      </c>
      <c r="V102" s="7203"/>
      <c r="W102" s="7203"/>
      <c r="X102" s="704"/>
      <c r="Y102" s="2693"/>
      <c r="Z102" s="452"/>
      <c r="AA102" s="452"/>
      <c r="AB102" s="452"/>
      <c r="AC102" s="452"/>
      <c r="AD102" s="452"/>
      <c r="AE102" s="452"/>
      <c r="AF102" s="452"/>
      <c r="AG102" s="452"/>
      <c r="AH102" s="452"/>
      <c r="AI102" s="452"/>
      <c r="AJ102" s="452"/>
      <c r="AK102" s="452"/>
      <c r="AL102" s="452"/>
      <c r="AM102" s="452"/>
      <c r="AN102" s="452"/>
      <c r="AO102" s="452"/>
      <c r="AP102" s="452"/>
      <c r="AQ102" s="452"/>
      <c r="AR102" s="1408"/>
      <c r="AS102" s="1408"/>
      <c r="AT102" s="1408"/>
    </row>
    <row r="103" spans="1:65" ht="17.25" customHeight="1">
      <c r="A103" s="635"/>
      <c r="B103" s="24"/>
      <c r="C103" s="52"/>
      <c r="D103" s="2656"/>
      <c r="E103" s="60"/>
      <c r="F103" s="24" t="s">
        <v>2223</v>
      </c>
      <c r="G103" s="24"/>
      <c r="H103" s="24"/>
      <c r="I103" s="24" t="s">
        <v>2225</v>
      </c>
      <c r="J103" s="24"/>
      <c r="K103" s="24"/>
      <c r="L103" s="24"/>
      <c r="M103" s="24"/>
      <c r="N103" s="24"/>
      <c r="O103" s="24"/>
      <c r="P103" s="24"/>
      <c r="Q103" s="24"/>
      <c r="R103" s="24"/>
      <c r="S103" s="24"/>
      <c r="T103" s="453"/>
      <c r="U103" s="7200">
        <f>0.00016</f>
        <v>1.6000000000000001E-4</v>
      </c>
      <c r="V103" s="7201"/>
      <c r="W103" s="7201"/>
      <c r="X103" s="82"/>
      <c r="Y103" s="1450"/>
      <c r="Z103" s="452"/>
      <c r="AA103" s="452"/>
      <c r="AB103" s="452"/>
      <c r="AC103" s="452"/>
      <c r="AD103" s="452"/>
      <c r="AE103" s="452"/>
      <c r="AF103" s="452"/>
      <c r="AG103" s="452"/>
      <c r="AH103" s="452"/>
      <c r="AI103" s="452"/>
      <c r="AJ103" s="452"/>
      <c r="AK103" s="452"/>
      <c r="AL103" s="452"/>
      <c r="AM103" s="452"/>
      <c r="AN103" s="452"/>
      <c r="AO103" s="452"/>
      <c r="AP103" s="452"/>
      <c r="AQ103" s="452"/>
      <c r="AR103" s="1408"/>
      <c r="AS103" s="1408"/>
      <c r="AT103" s="1408"/>
    </row>
    <row r="104" spans="1:65" ht="12.75" customHeight="1">
      <c r="A104" s="635"/>
      <c r="B104" s="24"/>
      <c r="C104" s="52"/>
      <c r="D104" s="1224"/>
      <c r="E104" s="24"/>
      <c r="F104" s="24" t="s">
        <v>2224</v>
      </c>
      <c r="G104" s="24"/>
      <c r="H104" s="1127" t="s">
        <v>2295</v>
      </c>
      <c r="I104" s="24" t="str">
        <f>"before "&amp;TEXT($U$101,"m/d/yy")</f>
        <v>before 4/15/19</v>
      </c>
      <c r="J104" s="24"/>
      <c r="K104" s="24"/>
      <c r="L104" s="24"/>
      <c r="M104" s="24"/>
      <c r="N104" s="74" t="s">
        <v>1584</v>
      </c>
      <c r="O104" s="7204">
        <f>U103</f>
        <v>1.6000000000000001E-4</v>
      </c>
      <c r="P104" s="7205"/>
      <c r="Q104" s="2616"/>
      <c r="R104" s="24"/>
      <c r="S104" s="1699" t="s">
        <v>312</v>
      </c>
      <c r="T104" s="463">
        <v>16</v>
      </c>
      <c r="U104" s="6671">
        <f>IF(Z96&lt;&gt;"",ROUND(Z96,0),IF(AND(ShortMethod,$U$96&gt;0,NOT(S100)),U96*U102*U103,IF(AND(ShortMethod,$S$100),0,"")))</f>
        <v>0</v>
      </c>
      <c r="V104" s="6672"/>
      <c r="W104" s="6672"/>
      <c r="X104" s="82"/>
      <c r="Y104" s="1450"/>
      <c r="Z104" s="452"/>
      <c r="AA104" s="452"/>
      <c r="AB104" s="452"/>
      <c r="AC104" s="452"/>
      <c r="AD104" s="452"/>
      <c r="AE104" s="452"/>
      <c r="AF104" s="452"/>
      <c r="AG104" s="452"/>
      <c r="AH104" s="452"/>
      <c r="AI104" s="452"/>
      <c r="AJ104" s="452"/>
      <c r="AK104" s="452"/>
      <c r="AL104" s="452"/>
      <c r="AM104" s="452"/>
      <c r="AN104" s="452"/>
      <c r="AO104" s="452"/>
      <c r="AP104" s="452"/>
      <c r="AQ104" s="452"/>
      <c r="AR104" s="1408"/>
      <c r="AS104" s="1408"/>
      <c r="AT104" s="1408"/>
    </row>
    <row r="105" spans="1:65" ht="12.75" customHeight="1">
      <c r="A105" s="635"/>
      <c r="B105" s="24"/>
      <c r="C105" s="52"/>
      <c r="D105" s="1224"/>
      <c r="E105" s="24"/>
      <c r="F105" s="24"/>
      <c r="G105" s="24"/>
      <c r="H105" s="24"/>
      <c r="I105" s="24"/>
      <c r="J105" s="24"/>
      <c r="K105" s="24"/>
      <c r="L105" s="24"/>
      <c r="M105" s="24"/>
      <c r="N105" s="24"/>
      <c r="O105" s="24"/>
      <c r="P105" s="24"/>
      <c r="Q105" s="24"/>
      <c r="R105" s="24"/>
      <c r="S105" s="24"/>
      <c r="T105" s="57"/>
      <c r="U105" s="60"/>
      <c r="V105" s="60"/>
      <c r="W105" s="60"/>
      <c r="X105" s="82"/>
      <c r="Y105" s="1450"/>
      <c r="Z105" s="452"/>
      <c r="AA105" s="452"/>
      <c r="AB105" s="452"/>
      <c r="AC105" s="452"/>
      <c r="AD105" s="452"/>
      <c r="AE105" s="452"/>
      <c r="AF105" s="452"/>
      <c r="AG105" s="452"/>
      <c r="AH105" s="452"/>
      <c r="AI105" s="452"/>
      <c r="AJ105" s="452"/>
      <c r="AK105" s="452"/>
      <c r="AL105" s="452"/>
      <c r="AM105" s="452"/>
      <c r="AN105" s="452"/>
      <c r="AO105" s="452"/>
      <c r="AP105" s="452"/>
      <c r="AQ105" s="452"/>
      <c r="AR105" s="1408"/>
      <c r="AS105" s="1408"/>
      <c r="AT105" s="1408"/>
    </row>
    <row r="106" spans="1:65" ht="12.75" customHeight="1">
      <c r="A106" s="635"/>
      <c r="B106" s="24"/>
      <c r="C106" s="52">
        <v>17</v>
      </c>
      <c r="D106" s="1224" t="s">
        <v>3315</v>
      </c>
      <c r="E106" s="24"/>
      <c r="F106" s="24"/>
      <c r="G106" s="24"/>
      <c r="H106" s="24"/>
      <c r="I106" s="24"/>
      <c r="J106" s="24"/>
      <c r="K106" s="24"/>
      <c r="L106" s="24"/>
      <c r="M106" s="24"/>
      <c r="N106" s="24"/>
      <c r="O106" s="24"/>
      <c r="P106" s="24"/>
      <c r="Q106" s="24"/>
      <c r="R106" s="24"/>
      <c r="S106" s="24"/>
      <c r="T106" s="450"/>
      <c r="U106" s="60"/>
      <c r="V106" s="60"/>
      <c r="W106" s="60"/>
      <c r="X106" s="82"/>
      <c r="Y106" s="1450"/>
      <c r="Z106" s="452"/>
      <c r="AA106" s="452"/>
      <c r="AB106" s="452"/>
      <c r="AC106" s="452"/>
      <c r="AD106" s="452"/>
      <c r="AE106" s="452"/>
      <c r="AF106" s="452"/>
      <c r="AG106" s="452"/>
      <c r="AH106" s="452"/>
      <c r="AI106" s="452"/>
      <c r="AJ106" s="452"/>
      <c r="AK106" s="452"/>
      <c r="AL106" s="452"/>
      <c r="AM106" s="452"/>
      <c r="AN106" s="452"/>
      <c r="AO106" s="452"/>
      <c r="AP106" s="452"/>
      <c r="AQ106" s="452"/>
      <c r="AR106" s="1408"/>
      <c r="AS106" s="1408"/>
      <c r="AT106" s="1408"/>
    </row>
    <row r="107" spans="1:65" ht="12.75" customHeight="1">
      <c r="A107" s="635"/>
      <c r="B107" s="24"/>
      <c r="C107" s="52"/>
      <c r="D107" s="1224" t="s">
        <v>4747</v>
      </c>
      <c r="E107" s="24"/>
      <c r="F107" s="24"/>
      <c r="G107" s="24"/>
      <c r="H107" s="24"/>
      <c r="I107" s="24"/>
      <c r="J107" s="24"/>
      <c r="K107" s="24"/>
      <c r="L107" s="24"/>
      <c r="M107" s="24"/>
      <c r="N107" s="24"/>
      <c r="O107" s="24"/>
      <c r="P107" s="24"/>
      <c r="Q107" s="24"/>
      <c r="R107" s="24"/>
      <c r="S107" s="24"/>
      <c r="T107" s="450"/>
      <c r="U107" s="60"/>
      <c r="V107" s="60"/>
      <c r="W107" s="60"/>
      <c r="X107" s="82"/>
      <c r="Y107" s="1450"/>
      <c r="Z107" s="452"/>
      <c r="AA107" s="452"/>
      <c r="AB107" s="452"/>
      <c r="AC107" s="452"/>
      <c r="AD107" s="452"/>
      <c r="AE107" s="452"/>
      <c r="AF107" s="452"/>
      <c r="AG107" s="452"/>
      <c r="AH107" s="452"/>
      <c r="AI107" s="452"/>
      <c r="AJ107" s="452"/>
      <c r="AK107" s="452"/>
      <c r="AL107" s="452"/>
      <c r="AM107" s="452"/>
      <c r="AN107" s="452"/>
      <c r="AO107" s="452"/>
      <c r="AP107" s="452"/>
      <c r="AQ107" s="452"/>
      <c r="AR107" s="1408"/>
      <c r="AS107" s="1408"/>
      <c r="AT107" s="1408"/>
    </row>
    <row r="108" spans="1:65" ht="12.75" customHeight="1" thickBot="1">
      <c r="A108" s="635"/>
      <c r="B108" s="24"/>
      <c r="C108" s="24"/>
      <c r="D108" s="2657" t="s">
        <v>2226</v>
      </c>
      <c r="E108" s="24"/>
      <c r="F108" s="24"/>
      <c r="G108" s="24"/>
      <c r="H108" s="24"/>
      <c r="I108" s="24"/>
      <c r="J108" s="24"/>
      <c r="K108" s="24"/>
      <c r="L108" s="24"/>
      <c r="M108" s="24"/>
      <c r="N108" s="24"/>
      <c r="O108" s="24"/>
      <c r="P108" s="24"/>
      <c r="Q108" s="24"/>
      <c r="R108" s="24"/>
      <c r="S108" s="1699" t="s">
        <v>679</v>
      </c>
      <c r="T108" s="463">
        <v>17</v>
      </c>
      <c r="U108" s="6671">
        <f>IF(Z100&lt;&gt;"",ROUND(Z100,0),IF(OR($U$96="",$U$96&lt;0,NOT(ShortMethod)),"",IF(SUM(U98,-U104)&lt;0,0,SUM(U98,-U104))))</f>
        <v>0</v>
      </c>
      <c r="V108" s="6672"/>
      <c r="W108" s="6672"/>
      <c r="X108" s="82"/>
      <c r="Y108" s="1450"/>
      <c r="Z108" s="452"/>
      <c r="AA108" s="452"/>
      <c r="AB108" s="452"/>
      <c r="AC108" s="452"/>
      <c r="AD108" s="452"/>
      <c r="AE108" s="452"/>
      <c r="AF108" s="452"/>
      <c r="AG108" s="452"/>
      <c r="AH108" s="452"/>
      <c r="AI108" s="452"/>
      <c r="AJ108" s="452"/>
      <c r="AK108" s="452"/>
      <c r="AL108" s="452"/>
      <c r="AM108" s="452"/>
      <c r="AN108" s="452"/>
      <c r="AO108" s="452"/>
      <c r="AP108" s="452"/>
      <c r="AQ108" s="452"/>
      <c r="AR108" s="1408"/>
      <c r="AS108" s="1408"/>
      <c r="AT108" s="1408"/>
    </row>
    <row r="109" spans="1:65" s="1016" customFormat="1" ht="17.25" customHeight="1">
      <c r="A109" s="1010"/>
      <c r="B109" s="2631"/>
      <c r="C109" s="2637"/>
      <c r="D109" s="2632"/>
      <c r="E109" s="2631"/>
      <c r="F109" s="2631"/>
      <c r="G109" s="2631"/>
      <c r="H109" s="2631"/>
      <c r="I109" s="2631"/>
      <c r="J109" s="2631"/>
      <c r="K109" s="2631"/>
      <c r="L109" s="2631"/>
      <c r="M109" s="2631"/>
      <c r="N109" s="2631"/>
      <c r="O109" s="2631"/>
      <c r="P109" s="2631"/>
      <c r="Q109" s="2633"/>
      <c r="R109" s="2634"/>
      <c r="S109" s="2631"/>
      <c r="T109" s="2631"/>
      <c r="U109" s="2635"/>
      <c r="V109" s="2635" t="s">
        <v>2197</v>
      </c>
      <c r="W109" s="3076" t="str">
        <f>"("&amp;TaxYear&amp;")"</f>
        <v>(2018)</v>
      </c>
      <c r="X109" s="1014"/>
      <c r="Y109" s="1450"/>
      <c r="Z109" s="452"/>
      <c r="AA109" s="452"/>
      <c r="AB109" s="452"/>
      <c r="AC109" s="452"/>
      <c r="AD109" s="452"/>
      <c r="AE109" s="452"/>
      <c r="AF109" s="452"/>
      <c r="AG109" s="452"/>
      <c r="AH109" s="452"/>
      <c r="AI109" s="452"/>
      <c r="AJ109" s="452"/>
      <c r="AK109" s="452"/>
      <c r="AL109" s="452"/>
      <c r="AM109" s="452"/>
      <c r="AN109" s="452"/>
      <c r="AO109" s="452"/>
      <c r="AP109" s="452"/>
      <c r="AQ109" s="452"/>
      <c r="AR109" s="1408"/>
      <c r="AS109" s="1408"/>
      <c r="AT109" s="1408"/>
      <c r="AU109"/>
      <c r="AV109" s="931"/>
      <c r="AW109"/>
      <c r="AX109"/>
      <c r="AY109"/>
      <c r="AZ109"/>
      <c r="BA109"/>
      <c r="BB109"/>
      <c r="BC109" s="3169"/>
      <c r="BD109" s="3169"/>
      <c r="BE109" s="3169"/>
      <c r="BF109" s="3169"/>
      <c r="BG109" s="3169"/>
      <c r="BH109" s="3169"/>
      <c r="BI109" s="3169"/>
      <c r="BJ109" s="3169"/>
      <c r="BK109" s="3169"/>
      <c r="BL109" s="3169"/>
      <c r="BM109" s="3169"/>
    </row>
    <row r="110" spans="1:65" ht="20.25" customHeight="1" thickBot="1">
      <c r="A110" s="635"/>
      <c r="B110" s="48"/>
      <c r="C110" s="1928" t="str">
        <f>"Form 2210 ("&amp;TaxYear&amp;")"</f>
        <v>Form 2210 (2018)</v>
      </c>
      <c r="D110" s="351"/>
      <c r="E110" s="39"/>
      <c r="F110" s="39"/>
      <c r="G110" s="39"/>
      <c r="H110" s="39"/>
      <c r="I110" s="39"/>
      <c r="J110" s="39"/>
      <c r="K110" s="39"/>
      <c r="L110" s="39"/>
      <c r="M110" s="39"/>
      <c r="N110" s="39"/>
      <c r="O110" s="39"/>
      <c r="P110" s="39"/>
      <c r="Q110" s="30"/>
      <c r="R110" s="456"/>
      <c r="S110" s="39"/>
      <c r="T110" s="39"/>
      <c r="U110" s="39"/>
      <c r="V110" s="2638"/>
      <c r="W110" s="2664" t="s">
        <v>2237</v>
      </c>
      <c r="X110" s="82"/>
      <c r="Y110" s="1450"/>
      <c r="Z110" s="2776" t="s">
        <v>2335</v>
      </c>
      <c r="AA110" s="452"/>
      <c r="AB110" s="452"/>
      <c r="AC110" s="452"/>
      <c r="AD110" s="452"/>
      <c r="AE110" s="452"/>
      <c r="AF110" s="452"/>
      <c r="AG110" s="452"/>
      <c r="AH110" s="452"/>
      <c r="AI110" s="452"/>
      <c r="AJ110" s="452"/>
      <c r="AK110" s="452"/>
      <c r="AL110" s="452"/>
      <c r="AM110" s="452"/>
      <c r="AN110" s="452"/>
      <c r="AO110" s="452"/>
      <c r="AP110" s="452"/>
      <c r="AQ110" s="452"/>
      <c r="AR110" s="1408"/>
      <c r="AS110" s="1408"/>
      <c r="AT110" s="1408"/>
    </row>
    <row r="111" spans="1:65" ht="16.5" customHeight="1">
      <c r="A111" s="635"/>
      <c r="B111" s="2628" t="s">
        <v>2232</v>
      </c>
      <c r="C111" s="2622"/>
      <c r="D111" s="2622"/>
      <c r="E111" s="5032" t="s">
        <v>2233</v>
      </c>
      <c r="F111" s="2623"/>
      <c r="G111" s="2623"/>
      <c r="H111" s="5031" t="s">
        <v>2234</v>
      </c>
      <c r="I111" s="2623"/>
      <c r="J111" s="2623"/>
      <c r="K111" s="2623"/>
      <c r="L111" s="2623"/>
      <c r="M111" s="2623"/>
      <c r="N111" s="2623"/>
      <c r="O111" s="2623"/>
      <c r="P111" s="2623"/>
      <c r="Q111" s="2623"/>
      <c r="R111" s="2623"/>
      <c r="S111" s="2623"/>
      <c r="T111" s="2623"/>
      <c r="U111" s="2623"/>
      <c r="V111" s="2623"/>
      <c r="W111" s="2623"/>
      <c r="X111" s="704"/>
      <c r="Y111" s="2693"/>
      <c r="Z111" s="2931" t="s">
        <v>2475</v>
      </c>
      <c r="AA111" s="452"/>
      <c r="AB111" s="452"/>
      <c r="AC111" s="452"/>
      <c r="AD111" s="452"/>
      <c r="AE111" s="452"/>
      <c r="AF111" s="452"/>
      <c r="AG111" s="452"/>
      <c r="AH111" s="452"/>
      <c r="AI111" s="452"/>
      <c r="AJ111" s="452"/>
      <c r="AK111" s="452"/>
      <c r="AL111" s="452"/>
      <c r="AM111" s="452"/>
      <c r="AN111" s="452"/>
      <c r="AO111" s="452"/>
      <c r="AP111" s="452"/>
      <c r="AQ111" s="452"/>
      <c r="AR111" s="1408"/>
      <c r="AS111" s="1408"/>
      <c r="AT111" s="1408"/>
    </row>
    <row r="112" spans="1:65" ht="13.5" customHeight="1">
      <c r="A112" s="635"/>
      <c r="B112" s="7246" t="s">
        <v>2235</v>
      </c>
      <c r="C112" s="7247"/>
      <c r="D112" s="7247"/>
      <c r="E112" s="7247"/>
      <c r="F112" s="7247"/>
      <c r="G112" s="7247"/>
      <c r="H112" s="7247"/>
      <c r="I112" s="7247"/>
      <c r="J112" s="7247"/>
      <c r="K112" s="7247"/>
      <c r="L112" s="7247"/>
      <c r="M112" s="7247"/>
      <c r="N112" s="7248"/>
      <c r="O112" s="2665"/>
      <c r="P112" s="7191" t="s">
        <v>2236</v>
      </c>
      <c r="Q112" s="7192"/>
      <c r="R112" s="7192"/>
      <c r="S112" s="7192"/>
      <c r="T112" s="7192"/>
      <c r="U112" s="7192"/>
      <c r="V112" s="7192"/>
      <c r="W112" s="7192"/>
      <c r="X112" s="82"/>
      <c r="Y112" s="1450"/>
      <c r="Z112" s="2931" t="s">
        <v>2474</v>
      </c>
      <c r="AA112" s="452"/>
      <c r="AB112" s="452"/>
      <c r="AC112" s="452"/>
      <c r="AD112" s="452"/>
      <c r="AE112" s="452"/>
      <c r="AF112" s="452"/>
      <c r="AG112" s="452"/>
      <c r="AH112" s="452"/>
      <c r="AI112" s="452"/>
      <c r="AJ112" s="452"/>
      <c r="AK112" s="452"/>
      <c r="AL112" s="452"/>
      <c r="AM112" s="452"/>
      <c r="AN112" s="452"/>
      <c r="AO112" s="452"/>
      <c r="AP112" s="452"/>
      <c r="AQ112" s="452"/>
      <c r="AR112" s="1408"/>
      <c r="AS112" s="1408"/>
      <c r="AT112" s="1408"/>
    </row>
    <row r="113" spans="1:65" ht="13.5" customHeight="1">
      <c r="A113" s="635"/>
      <c r="B113" s="7249"/>
      <c r="C113" s="7249"/>
      <c r="D113" s="7249"/>
      <c r="E113" s="7249"/>
      <c r="F113" s="7249"/>
      <c r="G113" s="7249"/>
      <c r="H113" s="7249"/>
      <c r="I113" s="7249"/>
      <c r="J113" s="7249"/>
      <c r="K113" s="7249"/>
      <c r="L113" s="7249"/>
      <c r="M113" s="7249"/>
      <c r="N113" s="7250"/>
      <c r="O113" s="453"/>
      <c r="P113" s="7176" t="s">
        <v>1137</v>
      </c>
      <c r="Q113" s="7199"/>
      <c r="R113" s="7176" t="s">
        <v>1139</v>
      </c>
      <c r="S113" s="7199"/>
      <c r="T113" s="7176" t="s">
        <v>2298</v>
      </c>
      <c r="U113" s="7177"/>
      <c r="V113" s="7176" t="s">
        <v>938</v>
      </c>
      <c r="W113" s="7198"/>
      <c r="X113" s="82"/>
      <c r="Y113" s="1450"/>
      <c r="Z113" s="452"/>
      <c r="AA113" s="452"/>
      <c r="AB113" s="452"/>
      <c r="AC113" s="452"/>
      <c r="AD113" s="452"/>
      <c r="AE113" s="452"/>
      <c r="AF113" s="452"/>
      <c r="AG113" s="452"/>
      <c r="AH113" s="452"/>
      <c r="AI113" s="452"/>
      <c r="AJ113" s="452"/>
      <c r="AK113" s="452"/>
      <c r="AL113" s="452"/>
      <c r="AM113" s="452"/>
      <c r="AN113" s="452"/>
      <c r="AO113" s="452"/>
      <c r="AP113" s="452"/>
      <c r="AQ113" s="452"/>
      <c r="AR113" s="1408"/>
      <c r="AS113" s="1408"/>
      <c r="AT113" s="1408"/>
    </row>
    <row r="114" spans="1:65" ht="12" customHeight="1">
      <c r="A114" s="635"/>
      <c r="B114" s="7251"/>
      <c r="C114" s="7251"/>
      <c r="D114" s="7251"/>
      <c r="E114" s="7251"/>
      <c r="F114" s="7251"/>
      <c r="G114" s="7251"/>
      <c r="H114" s="7251"/>
      <c r="I114" s="7251"/>
      <c r="J114" s="7251"/>
      <c r="K114" s="7251"/>
      <c r="L114" s="7251"/>
      <c r="M114" s="7251"/>
      <c r="N114" s="7252"/>
      <c r="O114" s="2666"/>
      <c r="P114" s="7184">
        <f>DATEVALUE("15-Apr-"&amp;TaxYear)</f>
        <v>43205</v>
      </c>
      <c r="Q114" s="7266"/>
      <c r="R114" s="7184">
        <f>DATEVALUE("15-Jun-"&amp;TaxYear)</f>
        <v>43266</v>
      </c>
      <c r="S114" s="7266"/>
      <c r="T114" s="7184">
        <f>DATEVALUE("15-Sep-"&amp;TaxYear)</f>
        <v>43358</v>
      </c>
      <c r="U114" s="7266"/>
      <c r="V114" s="7184">
        <f>DATEVALUE("15-Jan-"&amp;TaxYear+1)</f>
        <v>43480</v>
      </c>
      <c r="W114" s="7185"/>
      <c r="X114" s="82"/>
      <c r="Y114" s="1450"/>
      <c r="Z114" s="452"/>
      <c r="AA114" s="452"/>
      <c r="AB114" s="452"/>
      <c r="AC114" s="452"/>
      <c r="AD114" s="452"/>
      <c r="AE114" s="452"/>
      <c r="AF114" s="452"/>
      <c r="AG114" s="452"/>
      <c r="AH114" s="452"/>
      <c r="AI114" s="452"/>
      <c r="AJ114" s="452"/>
      <c r="AK114" s="452"/>
      <c r="AL114" s="452"/>
      <c r="AM114" s="452"/>
      <c r="AN114" s="452"/>
      <c r="AO114" s="452"/>
      <c r="AP114" s="452"/>
      <c r="AQ114" s="452"/>
      <c r="AR114" s="452"/>
      <c r="AS114" s="452"/>
      <c r="AT114" s="452"/>
      <c r="AU114" s="46"/>
      <c r="AV114" s="2153"/>
      <c r="AW114" s="46"/>
      <c r="AX114" s="46"/>
      <c r="AY114" s="46"/>
      <c r="AZ114" s="46"/>
      <c r="BA114" s="46"/>
      <c r="BB114" s="46"/>
    </row>
    <row r="115" spans="1:65" ht="13.5" customHeight="1">
      <c r="A115" s="635"/>
      <c r="B115" s="24"/>
      <c r="C115" s="52">
        <v>18</v>
      </c>
      <c r="D115" s="1922" t="s">
        <v>4748</v>
      </c>
      <c r="E115" s="1443"/>
      <c r="F115" s="1443"/>
      <c r="G115" s="1443"/>
      <c r="H115" s="1443"/>
      <c r="I115" s="1443"/>
      <c r="J115" s="1443"/>
      <c r="K115" s="1443"/>
      <c r="L115" s="1443"/>
      <c r="M115" s="1443"/>
      <c r="N115" s="1443"/>
      <c r="O115" s="57"/>
      <c r="P115" s="7186"/>
      <c r="Q115" s="7193"/>
      <c r="R115" s="7186"/>
      <c r="S115" s="7193"/>
      <c r="T115" s="7186"/>
      <c r="U115" s="7193"/>
      <c r="V115" s="7186"/>
      <c r="W115" s="7187"/>
      <c r="X115" s="82"/>
      <c r="Y115" s="1450"/>
      <c r="Z115" s="452"/>
      <c r="AA115" s="452"/>
      <c r="AB115" s="452"/>
      <c r="AC115" s="452"/>
      <c r="AD115" s="452"/>
      <c r="AE115" s="452"/>
      <c r="AF115" s="452"/>
      <c r="AG115" s="452"/>
      <c r="AH115" s="452"/>
      <c r="AI115" s="452"/>
      <c r="AJ115" s="452"/>
      <c r="AK115" s="4558" t="s">
        <v>2331</v>
      </c>
      <c r="AR115" s="452"/>
      <c r="AS115" s="452"/>
      <c r="AT115" s="452"/>
      <c r="AU115" s="46"/>
      <c r="AV115" s="2153"/>
      <c r="AW115" s="46"/>
      <c r="AX115" s="46"/>
      <c r="AY115" s="46"/>
      <c r="AZ115" s="46"/>
      <c r="BA115" s="46"/>
      <c r="BB115" s="46"/>
    </row>
    <row r="116" spans="1:65" ht="13.5" customHeight="1">
      <c r="A116" s="635"/>
      <c r="B116" s="24"/>
      <c r="C116" s="42"/>
      <c r="D116" s="1922" t="s">
        <v>4749</v>
      </c>
      <c r="E116" s="1443"/>
      <c r="F116" s="1443"/>
      <c r="G116" s="1443"/>
      <c r="H116" s="1443"/>
      <c r="I116" s="1443"/>
      <c r="J116" s="1443"/>
      <c r="K116" s="1443"/>
      <c r="L116" s="1443"/>
      <c r="M116" s="1443"/>
      <c r="N116" s="1443"/>
      <c r="O116" s="450"/>
      <c r="P116" s="7261"/>
      <c r="Q116" s="7262"/>
      <c r="R116" s="7261"/>
      <c r="S116" s="7262"/>
      <c r="T116" s="7261"/>
      <c r="U116" s="7262"/>
      <c r="V116" s="7261"/>
      <c r="W116" s="7263"/>
      <c r="X116" s="82"/>
      <c r="Y116" s="1450"/>
      <c r="Z116" s="2776" t="s">
        <v>2335</v>
      </c>
      <c r="AA116" s="452"/>
      <c r="AB116" s="452"/>
      <c r="AC116" s="452"/>
      <c r="AD116" s="452"/>
      <c r="AE116" s="452"/>
      <c r="AF116" s="452"/>
      <c r="AG116" s="452"/>
      <c r="AH116" s="452"/>
      <c r="AI116" s="452"/>
      <c r="AJ116" s="452"/>
      <c r="AK116" s="2679" t="str">
        <f>P113</f>
        <v>(a)</v>
      </c>
      <c r="AL116" s="452"/>
      <c r="AM116" s="2679" t="str">
        <f>R113</f>
        <v>(b)</v>
      </c>
      <c r="AN116" s="452"/>
      <c r="AO116" s="2679" t="s">
        <v>1142</v>
      </c>
      <c r="AP116" s="452"/>
      <c r="AQ116" s="2679" t="s">
        <v>938</v>
      </c>
      <c r="AR116" s="452"/>
      <c r="AS116" s="452"/>
      <c r="AT116" s="452"/>
      <c r="AU116" s="46"/>
      <c r="AV116" s="2153"/>
      <c r="AW116" s="46"/>
      <c r="AX116" s="46"/>
      <c r="AY116" s="46"/>
      <c r="AZ116" s="46"/>
      <c r="BA116" s="46"/>
      <c r="BB116" s="46"/>
    </row>
    <row r="117" spans="1:65" ht="13.5" customHeight="1" thickBot="1">
      <c r="A117" s="635"/>
      <c r="B117" s="24"/>
      <c r="C117" s="42"/>
      <c r="D117" s="1922" t="str">
        <f>"Otherwise, enter "&amp;TEXT(P117,"00%")&amp;" ("&amp;TEXT(P117,"0.00")&amp;") of line 9, Form 2210, in"</f>
        <v>Otherwise, enter 25% (0.25) of line 9, Form 2210, in</v>
      </c>
      <c r="E117" s="1443"/>
      <c r="F117" s="1443"/>
      <c r="G117" s="1443"/>
      <c r="H117" s="1443"/>
      <c r="I117" s="1443"/>
      <c r="J117" s="1443"/>
      <c r="K117" s="1843"/>
      <c r="L117" s="2772"/>
      <c r="M117" s="3527"/>
      <c r="N117" s="5200"/>
      <c r="O117" s="450"/>
      <c r="P117" s="7194">
        <v>0.25</v>
      </c>
      <c r="Q117" s="7195"/>
      <c r="R117" s="398"/>
      <c r="S117" s="2660"/>
      <c r="T117" s="1080"/>
      <c r="U117" s="2660"/>
      <c r="V117" s="2659"/>
      <c r="W117" s="1080"/>
      <c r="X117" s="82"/>
      <c r="Y117" s="1450"/>
      <c r="Z117" s="2931" t="s">
        <v>2475</v>
      </c>
      <c r="AA117" s="452"/>
      <c r="AB117" s="452"/>
      <c r="AC117" s="452"/>
      <c r="AD117" s="452"/>
      <c r="AE117" s="452"/>
      <c r="AF117" s="452"/>
      <c r="AG117" s="452"/>
      <c r="AH117" s="452"/>
      <c r="AI117" s="452"/>
      <c r="AJ117" s="452"/>
      <c r="AK117" s="2777" t="str">
        <f>"4/15/"&amp;TaxYear-2000</f>
        <v>4/15/18</v>
      </c>
      <c r="AL117" s="452"/>
      <c r="AM117" s="2777" t="str">
        <f>"6/15/"&amp;TaxYear-2000</f>
        <v>6/15/18</v>
      </c>
      <c r="AN117" s="452"/>
      <c r="AO117" s="2779" t="str">
        <f>"9/15/"&amp;TaxYear-2000</f>
        <v>9/15/18</v>
      </c>
      <c r="AP117" s="452"/>
      <c r="AQ117" s="2777" t="str">
        <f>"1/15/"&amp;TaxYear+1-2000</f>
        <v>1/15/19</v>
      </c>
      <c r="AR117" s="452"/>
      <c r="AS117" s="452"/>
      <c r="AT117" s="452"/>
      <c r="AU117" s="46"/>
      <c r="AV117" s="2153"/>
      <c r="AW117" s="46"/>
      <c r="AX117" s="46"/>
      <c r="AY117" s="46"/>
      <c r="AZ117" s="46"/>
      <c r="BA117" s="46"/>
      <c r="BB117" s="46"/>
    </row>
    <row r="118" spans="1:65" ht="13.5" customHeight="1" thickBot="1">
      <c r="A118" s="635"/>
      <c r="B118" s="24"/>
      <c r="C118" s="24"/>
      <c r="D118" s="1922" t="s">
        <v>2238</v>
      </c>
      <c r="E118" s="1443"/>
      <c r="F118" s="1443"/>
      <c r="G118" s="1443"/>
      <c r="H118" s="1443"/>
      <c r="I118" s="1443"/>
      <c r="J118" s="1443"/>
      <c r="K118" s="1443"/>
      <c r="L118" s="1443"/>
      <c r="M118" s="1443"/>
      <c r="N118" s="3563" t="s">
        <v>422</v>
      </c>
      <c r="O118" s="2667">
        <v>18</v>
      </c>
      <c r="P118" s="7164" t="str">
        <f>IF(AK118&lt;&gt;"",ROUND(AK118,0),IF(OR($U$46="",$W$82,ShortMethod,NOT($W$80)),"",IF($B$61,P194,$P$117*$U$46)))</f>
        <v/>
      </c>
      <c r="Q118" s="7165"/>
      <c r="R118" s="7164" t="str">
        <f>IF(AM118&lt;&gt;"",ROUND(AM118,0),IF(OR($U$46="",$W$82,ShortMethod,NOT($W$80)),"",IF($B$61,R194,$P$117*$U$46)))</f>
        <v/>
      </c>
      <c r="S118" s="7165"/>
      <c r="T118" s="7164" t="str">
        <f>IF(AO118&lt;&gt;"",ROUND(AO118,0),IF(OR($U$46="",$W$82,ShortMethod,NOT($W$80)),"",IF($B$61,T194,$P$117*$U$46)))</f>
        <v/>
      </c>
      <c r="U118" s="7165"/>
      <c r="V118" s="7164" t="str">
        <f>IF(AQ118&lt;&gt;"",ROUND(AQ118,0),IF(OR($U$46="",$W$82,ShortMethod,NOT($W$80)),"",IF($B$61,V194,$P$117*$U$46)))</f>
        <v/>
      </c>
      <c r="W118" s="6707"/>
      <c r="X118" s="82"/>
      <c r="Y118" s="1450"/>
      <c r="Z118" s="2931" t="s">
        <v>2474</v>
      </c>
      <c r="AA118" s="452"/>
      <c r="AB118" s="452"/>
      <c r="AC118" s="452"/>
      <c r="AD118" s="452"/>
      <c r="AE118" s="452"/>
      <c r="AF118" s="452"/>
      <c r="AG118" s="452"/>
      <c r="AH118" s="452"/>
      <c r="AI118" s="452"/>
      <c r="AJ118" s="452"/>
      <c r="AK118" s="2778"/>
      <c r="AL118" s="452"/>
      <c r="AM118" s="2778"/>
      <c r="AN118" s="452"/>
      <c r="AO118" s="2778"/>
      <c r="AP118" s="452"/>
      <c r="AQ118" s="2778"/>
      <c r="AR118" s="452"/>
      <c r="AS118" s="452"/>
      <c r="AT118" s="452"/>
      <c r="AU118" s="46"/>
      <c r="AV118" s="2153"/>
      <c r="AW118" s="46"/>
      <c r="AX118" s="46"/>
      <c r="AY118" s="46"/>
      <c r="AZ118" s="46"/>
      <c r="BA118" s="46"/>
      <c r="BB118" s="46"/>
    </row>
    <row r="119" spans="1:65" ht="13.5" customHeight="1">
      <c r="A119" s="635"/>
      <c r="B119" s="24"/>
      <c r="C119" s="52">
        <v>19</v>
      </c>
      <c r="D119" s="1922" t="s">
        <v>2239</v>
      </c>
      <c r="E119" s="1443"/>
      <c r="F119" s="1443"/>
      <c r="G119" s="1443"/>
      <c r="H119" s="1443"/>
      <c r="I119" s="1443"/>
      <c r="J119" s="1443"/>
      <c r="K119" s="1443"/>
      <c r="L119" s="7243" t="b">
        <f>AND($W$50,$W$80,NOT(ShortMethod),AK124="",AM124="",AO124="",AQ124="",S278="")</f>
        <v>0</v>
      </c>
      <c r="M119" s="7244"/>
      <c r="N119" s="7245"/>
      <c r="O119" s="57"/>
      <c r="P119" s="398"/>
      <c r="Q119" s="446"/>
      <c r="R119" s="398"/>
      <c r="S119" s="2660"/>
      <c r="T119" s="1080"/>
      <c r="U119" s="2660"/>
      <c r="V119" s="2659"/>
      <c r="W119" s="1080"/>
      <c r="X119" s="82"/>
      <c r="Y119" s="1450"/>
      <c r="Z119" s="452"/>
      <c r="AA119" s="452"/>
      <c r="AB119" s="452"/>
      <c r="AC119" s="452"/>
      <c r="AD119" s="452"/>
      <c r="AE119" s="452"/>
      <c r="AF119" s="452"/>
      <c r="AG119" s="452"/>
      <c r="AH119" s="452"/>
      <c r="AI119" s="452"/>
      <c r="AJ119" s="452"/>
      <c r="AK119" s="452"/>
      <c r="AL119" s="452"/>
      <c r="AM119" s="452"/>
      <c r="AN119" s="452"/>
      <c r="AO119" s="452"/>
      <c r="AP119" s="452"/>
      <c r="AQ119" s="452"/>
      <c r="AR119" s="452"/>
      <c r="AS119" s="452"/>
      <c r="AT119" s="452"/>
      <c r="AU119" s="46"/>
      <c r="AV119" s="2153"/>
      <c r="AW119" s="46"/>
      <c r="AX119" s="46"/>
      <c r="AY119" s="46"/>
      <c r="AZ119" s="46"/>
      <c r="BA119" s="46"/>
      <c r="BB119" s="46"/>
    </row>
    <row r="120" spans="1:65" ht="13.5" customHeight="1">
      <c r="A120" s="635"/>
      <c r="B120" s="24"/>
      <c r="C120" s="52"/>
      <c r="D120" s="1922" t="s">
        <v>4752</v>
      </c>
      <c r="E120" s="1443"/>
      <c r="F120" s="1443"/>
      <c r="G120" s="1443"/>
      <c r="H120" s="1443"/>
      <c r="I120" s="1443"/>
      <c r="J120" s="1443"/>
      <c r="K120" s="1443"/>
      <c r="L120" s="1443"/>
      <c r="M120" s="1443"/>
      <c r="N120" s="1443"/>
      <c r="O120" s="450"/>
      <c r="P120" s="2865"/>
      <c r="Q120" s="446"/>
      <c r="R120" s="398"/>
      <c r="S120" s="2660"/>
      <c r="T120" s="1080"/>
      <c r="U120" s="2660"/>
      <c r="V120" s="2659"/>
      <c r="W120" s="1080"/>
      <c r="X120" s="82"/>
      <c r="Y120" s="1450"/>
      <c r="Z120" s="452"/>
      <c r="AA120" s="452"/>
      <c r="AB120" s="452"/>
      <c r="AC120" s="452"/>
      <c r="AD120" s="452"/>
      <c r="AE120" s="452"/>
      <c r="AF120" s="452"/>
      <c r="AG120" s="452"/>
      <c r="AH120" s="452"/>
      <c r="AI120" s="452"/>
      <c r="AJ120" s="452"/>
      <c r="AK120" s="452"/>
      <c r="AL120" s="452"/>
      <c r="AM120" s="452"/>
      <c r="AN120" s="452"/>
      <c r="AO120" s="452"/>
      <c r="AP120" s="452"/>
      <c r="AQ120" s="452"/>
      <c r="AR120" s="452"/>
      <c r="AS120" s="452"/>
      <c r="AT120" s="452"/>
      <c r="AU120" s="46"/>
      <c r="AV120" s="2153"/>
      <c r="AW120" s="46"/>
      <c r="AX120" s="46"/>
      <c r="AY120" s="46"/>
      <c r="AZ120" s="46"/>
      <c r="BA120" s="46"/>
      <c r="BB120" s="46"/>
    </row>
    <row r="121" spans="1:65" ht="13.5" customHeight="1">
      <c r="A121" s="635"/>
      <c r="B121" s="24"/>
      <c r="C121" s="52"/>
      <c r="D121" s="1922" t="s">
        <v>4753</v>
      </c>
      <c r="E121" s="1443"/>
      <c r="F121" s="1443"/>
      <c r="G121" s="1443"/>
      <c r="H121" s="1443"/>
      <c r="I121" s="1443"/>
      <c r="J121" s="1443"/>
      <c r="K121" s="1443"/>
      <c r="L121" s="5201"/>
      <c r="M121" s="5202"/>
      <c r="N121" s="5203"/>
      <c r="O121" s="450"/>
      <c r="P121" s="7264" t="b">
        <f>IF(AND(SUM(P124,R124,T124,V124)&gt;0,P124&gt;=P118,R124&gt;=R118,T124&gt;=T118,V124&gt;=V118),TRUE,FALSE)</f>
        <v>0</v>
      </c>
      <c r="Q121" s="7265"/>
      <c r="R121" s="398"/>
      <c r="S121" s="2660"/>
      <c r="T121" s="1080"/>
      <c r="U121" s="2660"/>
      <c r="V121" s="2659"/>
      <c r="W121" s="1080"/>
      <c r="X121" s="82"/>
      <c r="Y121" s="1450"/>
      <c r="Z121" s="452"/>
      <c r="AA121" s="452"/>
      <c r="AB121" s="452"/>
      <c r="AC121" s="452"/>
      <c r="AD121" s="452"/>
      <c r="AE121" s="452"/>
      <c r="AF121" s="452"/>
      <c r="AG121" s="452"/>
      <c r="AH121" s="452"/>
      <c r="AI121" s="452"/>
      <c r="AJ121" s="452"/>
      <c r="AK121" s="452"/>
      <c r="AL121" s="452"/>
      <c r="AM121" s="452"/>
      <c r="AN121" s="452"/>
      <c r="AO121" s="452"/>
      <c r="AP121" s="452"/>
      <c r="AQ121" s="452"/>
      <c r="AR121" s="452"/>
      <c r="AS121" s="452"/>
      <c r="AT121" s="452"/>
      <c r="AU121" s="46"/>
      <c r="AV121" s="2153"/>
      <c r="AW121" s="46"/>
      <c r="AX121" s="46"/>
      <c r="AY121" s="46"/>
      <c r="AZ121" s="46"/>
      <c r="BA121" s="46"/>
      <c r="BB121" s="46"/>
    </row>
    <row r="122" spans="1:65" s="633" customFormat="1" ht="13.5" customHeight="1">
      <c r="A122" s="694"/>
      <c r="B122" s="104"/>
      <c r="C122" s="104"/>
      <c r="D122" s="5204" t="s">
        <v>4958</v>
      </c>
      <c r="E122" s="2260"/>
      <c r="F122" s="2260"/>
      <c r="G122" s="2260"/>
      <c r="H122" s="2260"/>
      <c r="I122" s="3564"/>
      <c r="J122" s="2109"/>
      <c r="K122" s="2260"/>
      <c r="L122" s="2693"/>
      <c r="M122" s="2694"/>
      <c r="N122" s="2695"/>
      <c r="O122" s="2668"/>
      <c r="P122" s="2944"/>
      <c r="Q122" s="2662"/>
      <c r="R122" s="2661"/>
      <c r="S122" s="2660"/>
      <c r="T122" s="1080"/>
      <c r="U122" s="2660"/>
      <c r="V122" s="2659"/>
      <c r="W122" s="1080"/>
      <c r="X122" s="707"/>
      <c r="Y122" s="2764"/>
      <c r="Z122" s="452"/>
      <c r="AA122" s="452"/>
      <c r="AB122" s="452"/>
      <c r="AC122" s="452"/>
      <c r="AD122" s="452"/>
      <c r="AE122" s="452"/>
      <c r="AF122" s="452"/>
      <c r="AG122" s="452"/>
      <c r="AH122" s="452"/>
      <c r="AI122" s="452"/>
      <c r="AJ122" s="452"/>
      <c r="AK122" s="2679" t="str">
        <f>AK116</f>
        <v>(a)</v>
      </c>
      <c r="AL122" s="452"/>
      <c r="AM122" s="2679" t="str">
        <f>AM116</f>
        <v>(b)</v>
      </c>
      <c r="AN122" s="452"/>
      <c r="AO122" s="2679" t="str">
        <f>AO116</f>
        <v>(c)</v>
      </c>
      <c r="AP122" s="452"/>
      <c r="AQ122" s="2679" t="str">
        <f>AQ116</f>
        <v>(d)</v>
      </c>
      <c r="AR122" s="452"/>
      <c r="AS122" s="452"/>
      <c r="AT122" s="452"/>
      <c r="AU122" s="46"/>
      <c r="AV122" s="2153"/>
      <c r="AW122" s="46"/>
      <c r="AX122" s="46"/>
      <c r="AY122" s="46"/>
      <c r="AZ122" s="46"/>
      <c r="BA122" s="46"/>
      <c r="BB122" s="46"/>
      <c r="BC122" s="3169"/>
      <c r="BD122" s="3169"/>
      <c r="BE122" s="3169"/>
      <c r="BF122" s="3169"/>
      <c r="BG122" s="3169"/>
      <c r="BH122" s="3169"/>
      <c r="BI122" s="3169"/>
      <c r="BJ122" s="3169"/>
      <c r="BK122" s="3169"/>
      <c r="BL122" s="3169"/>
      <c r="BM122" s="3169"/>
    </row>
    <row r="123" spans="1:65" ht="13.5" customHeight="1" thickBot="1">
      <c r="A123" s="635"/>
      <c r="B123" s="24"/>
      <c r="C123" s="52"/>
      <c r="D123" s="5204" t="s">
        <v>4751</v>
      </c>
      <c r="E123" s="2260"/>
      <c r="F123" s="2260"/>
      <c r="G123" s="3380"/>
      <c r="H123" s="3380"/>
      <c r="I123" s="2260"/>
      <c r="J123" s="2260"/>
      <c r="K123" s="2260"/>
      <c r="L123" s="2260"/>
      <c r="M123" s="2260"/>
      <c r="N123" s="5205" t="s">
        <v>4754</v>
      </c>
      <c r="O123" s="450"/>
      <c r="P123" s="398"/>
      <c r="Q123" s="446"/>
      <c r="R123" s="2663"/>
      <c r="S123" s="2696" t="b">
        <f>IF(AND(P124="",R124&lt;&gt;""),TRUE,FALSE)</f>
        <v>0</v>
      </c>
      <c r="T123" s="2698"/>
      <c r="U123" s="2696" t="b">
        <f>IF(AND(R124="",T124&lt;&gt;""),TRUE,FALSE)</f>
        <v>0</v>
      </c>
      <c r="V123" s="2697"/>
      <c r="W123" s="2750" t="b">
        <f>IF(AND(T124="",V124&lt;&gt;""),TRUE,FALSE)</f>
        <v>0</v>
      </c>
      <c r="X123" s="82"/>
      <c r="Y123" s="1450"/>
      <c r="Z123" s="452"/>
      <c r="AA123" s="452"/>
      <c r="AB123" s="452"/>
      <c r="AC123" s="452"/>
      <c r="AD123" s="452"/>
      <c r="AE123" s="452"/>
      <c r="AF123" s="452"/>
      <c r="AG123" s="452"/>
      <c r="AH123" s="452"/>
      <c r="AI123" s="452"/>
      <c r="AJ123" s="452"/>
      <c r="AK123" s="2777" t="str">
        <f>"4/15/"&amp;TaxYear-2000</f>
        <v>4/15/18</v>
      </c>
      <c r="AL123" s="452"/>
      <c r="AM123" s="2777" t="str">
        <f>"6/15/"&amp;TaxYear-2000</f>
        <v>6/15/18</v>
      </c>
      <c r="AN123" s="452"/>
      <c r="AO123" s="2779" t="str">
        <f>"9/15/"&amp;TaxYear-2000</f>
        <v>9/15/18</v>
      </c>
      <c r="AP123" s="452"/>
      <c r="AQ123" s="2777" t="str">
        <f>"1/15/"&amp;TaxYear+1-2000</f>
        <v>1/15/19</v>
      </c>
      <c r="AR123" s="452"/>
      <c r="AS123" s="452"/>
      <c r="AT123" s="452"/>
      <c r="AU123" s="46"/>
      <c r="AV123" s="2153"/>
      <c r="AW123" s="46"/>
      <c r="AX123" s="46"/>
      <c r="AY123" s="46"/>
      <c r="AZ123" s="46"/>
      <c r="BA123" s="46"/>
      <c r="BB123" s="46"/>
    </row>
    <row r="124" spans="1:65" ht="13.5" customHeight="1" thickBot="1">
      <c r="A124" s="635"/>
      <c r="B124" s="24"/>
      <c r="C124" s="52"/>
      <c r="D124" s="5206" t="s">
        <v>4750</v>
      </c>
      <c r="E124" s="1443"/>
      <c r="F124" s="1443"/>
      <c r="G124" s="1443"/>
      <c r="H124" s="1443"/>
      <c r="I124" s="1443"/>
      <c r="J124" s="1443"/>
      <c r="K124" s="1443"/>
      <c r="L124" s="1443"/>
      <c r="M124" s="1443"/>
      <c r="N124" s="3563" t="s">
        <v>878</v>
      </c>
      <c r="O124" s="2667">
        <v>19</v>
      </c>
      <c r="P124" s="7164" t="str">
        <f>IF(AK124&lt;&gt;"",ROUND(AK124,0),IF($W$82,"",IF($S$278="","",LOOKUP(LOOKUP(P$114,$Q$278:$Q$332,$O$278:$O$332),$O278:$O332,$U$278:$U$332))))</f>
        <v/>
      </c>
      <c r="Q124" s="7165"/>
      <c r="R124" s="7164" t="str">
        <f>IF(AM124&lt;&gt;"",ROUND(AM124,0),IF($W$82,"",IF($S$278="","",LOOKUP(LOOKUP(R$114,$Q$278:$Q$332,$O$278:$O$332),$O278:$O332,$U$278:$U$332)-P$124)))</f>
        <v/>
      </c>
      <c r="S124" s="7165"/>
      <c r="T124" s="7164" t="str">
        <f>IF(AO124&lt;&gt;"",ROUND(AO124,0),IF($W$82,"",IF($S$278="","",LOOKUP(LOOKUP(T$114,$Q$278:$Q$332,$O$278:$O$332),$O278:$O332,$U$278:$U$332)-R$124-P$124)))</f>
        <v/>
      </c>
      <c r="U124" s="7165"/>
      <c r="V124" s="7164" t="str">
        <f>IF(AQ124&lt;&gt;"",ROUND(AQ124,0),IF($W$82,"",IF($S$278="","",LOOKUP(LOOKUP(V$114,$Q$278:$Q$332,$O$278:$O$332),$O278:$O332,$U$278:$U$332)-T$124-R$124-P$124)))</f>
        <v/>
      </c>
      <c r="W124" s="6707"/>
      <c r="X124" s="82"/>
      <c r="Y124" s="1450"/>
      <c r="Z124" s="452"/>
      <c r="AA124" s="452"/>
      <c r="AB124" s="452"/>
      <c r="AC124" s="452"/>
      <c r="AD124" s="452"/>
      <c r="AE124" s="452"/>
      <c r="AF124" s="452"/>
      <c r="AG124" s="452"/>
      <c r="AH124" s="452"/>
      <c r="AI124" s="452"/>
      <c r="AJ124" s="452"/>
      <c r="AK124" s="2778"/>
      <c r="AL124" s="452"/>
      <c r="AM124" s="2778"/>
      <c r="AN124" s="452"/>
      <c r="AO124" s="2778"/>
      <c r="AP124" s="452"/>
      <c r="AQ124" s="2778"/>
      <c r="AR124" s="452"/>
      <c r="AS124" s="452"/>
      <c r="AT124" s="452"/>
      <c r="AU124" s="46"/>
      <c r="AV124" s="2153"/>
      <c r="AW124" s="46"/>
      <c r="AX124" s="46"/>
      <c r="AY124" s="46"/>
      <c r="AZ124" s="46"/>
      <c r="BA124" s="46"/>
      <c r="BB124" s="46"/>
    </row>
    <row r="125" spans="1:65" ht="13.5" customHeight="1">
      <c r="A125" s="635"/>
      <c r="B125" s="6924"/>
      <c r="C125" s="6924"/>
      <c r="D125" s="5207" t="str">
        <f>IF($L$119,"Enter taxes paid amounts into table at Row 278  OR","Complete lines 20 through 26 of one column")</f>
        <v>Complete lines 20 through 26 of one column</v>
      </c>
      <c r="E125" s="1443"/>
      <c r="F125" s="1443"/>
      <c r="G125" s="1443"/>
      <c r="H125" s="1443"/>
      <c r="I125" s="1443"/>
      <c r="J125" s="1443"/>
      <c r="K125" s="1443"/>
      <c r="L125" s="1443"/>
      <c r="M125" s="1443"/>
      <c r="N125" s="1443"/>
      <c r="O125" s="450"/>
      <c r="P125" s="1081"/>
      <c r="Q125" s="2669"/>
      <c r="R125" s="398"/>
      <c r="S125" s="2660"/>
      <c r="T125" s="1080"/>
      <c r="U125" s="2660"/>
      <c r="V125" s="2659"/>
      <c r="W125" s="1080"/>
      <c r="X125" s="82"/>
      <c r="Y125" s="1450"/>
      <c r="Z125" s="452"/>
      <c r="AA125" s="452"/>
      <c r="AB125" s="452"/>
      <c r="AC125" s="452"/>
      <c r="AD125" s="452"/>
      <c r="AE125" s="452"/>
      <c r="AF125" s="452"/>
      <c r="AG125" s="452"/>
      <c r="AH125" s="452"/>
      <c r="AI125" s="452"/>
      <c r="AJ125" s="452"/>
      <c r="AK125" s="452"/>
      <c r="AL125" s="452"/>
      <c r="AM125" s="452"/>
      <c r="AN125" s="452"/>
      <c r="AO125" s="452"/>
      <c r="AP125" s="452"/>
      <c r="AQ125" s="452"/>
      <c r="AR125" s="452"/>
      <c r="AS125" s="452"/>
      <c r="AT125" s="452"/>
      <c r="AU125" s="46"/>
      <c r="AV125" s="2153"/>
      <c r="AW125" s="46"/>
      <c r="AX125" s="46"/>
      <c r="AY125" s="46"/>
      <c r="AZ125" s="46"/>
      <c r="BA125" s="46"/>
      <c r="BB125" s="46"/>
    </row>
    <row r="126" spans="1:65" ht="15.75" customHeight="1">
      <c r="A126" s="635"/>
      <c r="B126" s="24"/>
      <c r="C126" s="52"/>
      <c r="D126" s="6925" t="str">
        <f>IF($L$119,"use override cells in columns AJ through AP.","before going to line 20 of the next column.")</f>
        <v>before going to line 20 of the next column.</v>
      </c>
      <c r="E126" s="6925"/>
      <c r="F126" s="6925"/>
      <c r="G126" s="6925"/>
      <c r="H126" s="6925"/>
      <c r="I126" s="6925"/>
      <c r="J126" s="6925"/>
      <c r="K126" s="6925"/>
      <c r="L126" s="6925"/>
      <c r="M126" s="6925"/>
      <c r="N126" s="6926"/>
      <c r="O126" s="2668"/>
      <c r="P126" s="1081"/>
      <c r="Q126" s="2669"/>
      <c r="R126" s="398"/>
      <c r="S126" s="2660"/>
      <c r="T126" s="1080"/>
      <c r="U126" s="2660"/>
      <c r="V126" s="2659"/>
      <c r="W126" s="1080"/>
      <c r="X126" s="82"/>
      <c r="Y126" s="1450"/>
      <c r="Z126" s="452"/>
      <c r="AA126" s="452"/>
      <c r="AB126" s="452"/>
      <c r="AC126" s="452"/>
      <c r="AD126" s="452"/>
      <c r="AE126" s="452"/>
      <c r="AF126" s="452"/>
      <c r="AG126" s="452"/>
      <c r="AH126" s="452"/>
      <c r="AI126" s="452"/>
      <c r="AJ126" s="452"/>
      <c r="AK126" s="452"/>
      <c r="AL126" s="452"/>
      <c r="AM126" s="452"/>
      <c r="AN126" s="452"/>
      <c r="AO126" s="452"/>
      <c r="AP126" s="452"/>
      <c r="AQ126" s="452"/>
      <c r="AR126" s="452"/>
      <c r="AS126" s="452"/>
      <c r="AT126" s="452"/>
      <c r="AU126" s="46"/>
      <c r="AV126" s="2153"/>
      <c r="AW126" s="46"/>
      <c r="AX126" s="46"/>
      <c r="AY126" s="46"/>
      <c r="AZ126" s="46"/>
      <c r="BA126" s="46"/>
      <c r="BB126" s="46"/>
    </row>
    <row r="127" spans="1:65" ht="13.5" customHeight="1">
      <c r="A127" s="635"/>
      <c r="B127" s="24"/>
      <c r="C127" s="52">
        <v>20</v>
      </c>
      <c r="D127" s="3269" t="s">
        <v>2240</v>
      </c>
      <c r="E127" s="1443"/>
      <c r="F127" s="1443"/>
      <c r="G127" s="1443"/>
      <c r="H127" s="1443"/>
      <c r="I127" s="1443"/>
      <c r="J127" s="1443"/>
      <c r="K127" s="1443"/>
      <c r="L127" s="1443"/>
      <c r="M127" s="1443"/>
      <c r="N127" s="1443"/>
      <c r="O127" s="450"/>
      <c r="P127" s="1081"/>
      <c r="Q127" s="2669"/>
      <c r="R127" s="398"/>
      <c r="S127" s="2660"/>
      <c r="T127" s="1080"/>
      <c r="U127" s="2660"/>
      <c r="V127" s="2659"/>
      <c r="W127" s="1080"/>
      <c r="X127" s="82"/>
      <c r="Y127" s="1450"/>
      <c r="Z127" s="452"/>
      <c r="AA127" s="452"/>
      <c r="AB127" s="452"/>
      <c r="AC127" s="452"/>
      <c r="AD127" s="452"/>
      <c r="AE127" s="452"/>
      <c r="AF127" s="452"/>
      <c r="AG127" s="452"/>
      <c r="AH127" s="452"/>
      <c r="AI127" s="452"/>
      <c r="AJ127" s="452"/>
      <c r="AK127" s="452"/>
      <c r="AL127" s="452"/>
      <c r="AM127" s="452"/>
      <c r="AN127" s="452"/>
      <c r="AO127" s="452"/>
      <c r="AP127" s="452"/>
      <c r="AQ127" s="452"/>
      <c r="AR127" s="452"/>
      <c r="AS127" s="452"/>
      <c r="AT127" s="452"/>
      <c r="AU127" s="46"/>
      <c r="AV127" s="2153"/>
      <c r="AW127" s="46"/>
      <c r="AX127" s="46"/>
      <c r="AY127" s="46"/>
      <c r="AZ127" s="46"/>
      <c r="BA127" s="46"/>
      <c r="BB127" s="46"/>
    </row>
    <row r="128" spans="1:65" ht="13.5" customHeight="1">
      <c r="A128" s="635"/>
      <c r="B128" s="24"/>
      <c r="C128" s="52"/>
      <c r="D128" s="3269" t="s">
        <v>2241</v>
      </c>
      <c r="E128" s="1443"/>
      <c r="F128" s="1443"/>
      <c r="G128" s="1443"/>
      <c r="H128" s="1443"/>
      <c r="I128" s="1443"/>
      <c r="J128" s="1443"/>
      <c r="K128" s="1443"/>
      <c r="L128" s="1443"/>
      <c r="M128" s="1443"/>
      <c r="N128" s="3563" t="s">
        <v>676</v>
      </c>
      <c r="O128" s="2667">
        <v>20</v>
      </c>
      <c r="P128" s="2670"/>
      <c r="Q128" s="2671"/>
      <c r="R128" s="7164" t="str">
        <f>IF(AND($B$66,NOT($W$82),NOT($P$121),R124&lt;&gt;""),P141,"")</f>
        <v/>
      </c>
      <c r="S128" s="7165"/>
      <c r="T128" s="7164" t="str">
        <f>IF(AND($B$66,NOT($W$82),NOT($P$121),T124&lt;&gt;""),R141,"")</f>
        <v/>
      </c>
      <c r="U128" s="7165"/>
      <c r="V128" s="7164" t="str">
        <f>IF(AND($B$66,NOT($W$82),NOT($P$121),V124&lt;&gt;""),T141,"")</f>
        <v/>
      </c>
      <c r="W128" s="6707"/>
      <c r="X128" s="82"/>
      <c r="Y128" s="1450"/>
      <c r="Z128" s="452"/>
      <c r="AA128" s="452"/>
      <c r="AB128" s="452"/>
      <c r="AC128" s="452"/>
      <c r="AD128" s="452"/>
      <c r="AE128" s="452"/>
      <c r="AF128" s="452"/>
      <c r="AG128" s="452"/>
      <c r="AH128" s="452"/>
      <c r="AI128" s="452"/>
      <c r="AJ128" s="452"/>
      <c r="AK128" s="452"/>
      <c r="AL128" s="452"/>
      <c r="AM128" s="452"/>
      <c r="AN128" s="452"/>
      <c r="AO128" s="452"/>
      <c r="AP128" s="452"/>
      <c r="AQ128" s="452"/>
      <c r="AR128" s="452"/>
      <c r="AS128" s="452"/>
      <c r="AT128" s="452"/>
      <c r="AU128" s="46"/>
      <c r="AV128" s="2153"/>
      <c r="AW128" s="46"/>
      <c r="AX128" s="46"/>
      <c r="AY128" s="46"/>
      <c r="AZ128" s="46"/>
      <c r="BA128" s="46"/>
      <c r="BB128" s="46"/>
    </row>
    <row r="129" spans="1:78" ht="13.5" customHeight="1">
      <c r="A129" s="635"/>
      <c r="B129" s="24"/>
      <c r="C129" s="52">
        <v>21</v>
      </c>
      <c r="D129" s="3269" t="s">
        <v>1018</v>
      </c>
      <c r="E129" s="1443"/>
      <c r="F129" s="1443"/>
      <c r="G129" s="1443"/>
      <c r="H129" s="1443"/>
      <c r="I129" s="1443"/>
      <c r="J129" s="1443"/>
      <c r="K129" s="1443"/>
      <c r="L129" s="1443"/>
      <c r="M129" s="1443"/>
      <c r="N129" s="3563" t="s">
        <v>981</v>
      </c>
      <c r="O129" s="2667">
        <v>21</v>
      </c>
      <c r="P129" s="2672"/>
      <c r="Q129" s="2673"/>
      <c r="R129" s="7164" t="str">
        <f>IF(AND($B$66,NOT($W$82),NOT($P$121),R124&lt;&gt;""),SUM(R124,R128),"")</f>
        <v/>
      </c>
      <c r="S129" s="7165"/>
      <c r="T129" s="7171" t="str">
        <f>IF(AND($B$66,NOT($W$82),NOT($P$121),T124&lt;&gt;""),SUM(T124,T128),"")</f>
        <v/>
      </c>
      <c r="U129" s="7256"/>
      <c r="V129" s="7171" t="str">
        <f>IF(AND($B$66,NOT($W$82),NOT($P$121),V124&lt;&gt;""),SUM(V124,V128),"")</f>
        <v/>
      </c>
      <c r="W129" s="7172"/>
      <c r="X129" s="82"/>
      <c r="Y129" s="1450"/>
      <c r="Z129" s="452"/>
      <c r="AA129" s="452"/>
      <c r="AB129" s="452"/>
      <c r="AC129" s="452"/>
      <c r="AD129" s="452"/>
      <c r="AE129" s="452"/>
      <c r="AF129" s="452"/>
      <c r="AG129" s="452"/>
      <c r="AH129" s="452"/>
      <c r="AI129" s="452"/>
      <c r="AJ129" s="452"/>
      <c r="AK129" s="452"/>
      <c r="AL129" s="452"/>
      <c r="AM129" s="452"/>
      <c r="AN129" s="452"/>
      <c r="AO129" s="452"/>
      <c r="AP129" s="452"/>
      <c r="AQ129" s="452"/>
      <c r="AR129" s="452"/>
      <c r="AS129" s="452"/>
      <c r="AT129" s="452"/>
      <c r="AU129" s="46"/>
      <c r="AV129" s="2153"/>
      <c r="AW129" s="46"/>
      <c r="AX129" s="46"/>
      <c r="AY129" s="46"/>
      <c r="AZ129" s="46"/>
      <c r="BA129" s="46"/>
      <c r="BB129" s="46"/>
    </row>
    <row r="130" spans="1:78" ht="13.5" customHeight="1">
      <c r="A130" s="635"/>
      <c r="B130" s="24"/>
      <c r="C130" s="52">
        <v>22</v>
      </c>
      <c r="D130" s="3269" t="s">
        <v>2297</v>
      </c>
      <c r="E130" s="1443"/>
      <c r="F130" s="1443"/>
      <c r="G130" s="1443"/>
      <c r="H130" s="1443"/>
      <c r="I130" s="1443"/>
      <c r="J130" s="1443"/>
      <c r="K130" s="1443"/>
      <c r="L130" s="1443"/>
      <c r="M130" s="1443"/>
      <c r="N130" s="1443"/>
      <c r="O130" s="450"/>
      <c r="P130" s="1081"/>
      <c r="Q130" s="2669"/>
      <c r="R130" s="398"/>
      <c r="S130" s="2660"/>
      <c r="T130" s="1080"/>
      <c r="U130" s="2660"/>
      <c r="V130" s="2659"/>
      <c r="W130" s="1080"/>
      <c r="X130" s="82"/>
      <c r="Y130" s="1450"/>
      <c r="Z130" s="2776" t="s">
        <v>2335</v>
      </c>
      <c r="AA130" s="452"/>
      <c r="AB130" s="452"/>
      <c r="AC130" s="452"/>
      <c r="AD130" s="452"/>
      <c r="AE130" s="452"/>
      <c r="AF130" s="452"/>
      <c r="AG130" s="452"/>
      <c r="AH130" s="452"/>
      <c r="AI130" s="452"/>
      <c r="AJ130" s="452"/>
      <c r="AK130" s="452"/>
      <c r="AL130" s="452"/>
      <c r="AM130" s="452"/>
      <c r="AN130" s="452"/>
      <c r="AO130" s="452"/>
      <c r="AP130" s="452"/>
      <c r="AQ130" s="452"/>
      <c r="AR130" s="452"/>
      <c r="AS130" s="452"/>
      <c r="AT130" s="452"/>
      <c r="AU130" s="46"/>
      <c r="AV130" s="2153"/>
      <c r="AW130" s="46"/>
      <c r="AX130" s="46"/>
      <c r="AY130" s="46"/>
      <c r="AZ130" s="46"/>
      <c r="BA130" s="46"/>
      <c r="BB130" s="46"/>
    </row>
    <row r="131" spans="1:78" ht="13.5" customHeight="1">
      <c r="A131" s="635"/>
      <c r="B131" s="24"/>
      <c r="C131" s="52"/>
      <c r="D131" s="3269" t="s">
        <v>2241</v>
      </c>
      <c r="E131" s="1443"/>
      <c r="F131" s="1443"/>
      <c r="G131" s="1443"/>
      <c r="H131" s="1443"/>
      <c r="I131" s="1443"/>
      <c r="J131" s="1443"/>
      <c r="K131" s="1443"/>
      <c r="L131" s="1443"/>
      <c r="M131" s="1443"/>
      <c r="N131" s="3563" t="s">
        <v>676</v>
      </c>
      <c r="O131" s="2667">
        <v>22</v>
      </c>
      <c r="P131" s="2670"/>
      <c r="Q131" s="2671"/>
      <c r="R131" s="7164" t="str">
        <f>IF(AND($B$66,NOT($W$82),NOT($P$121),R124&lt;&gt;""),IF(P138="",0,P138),"")</f>
        <v/>
      </c>
      <c r="S131" s="7165"/>
      <c r="T131" s="7164" t="str">
        <f>IF(AND($B$66,NOT($W$82),NOT($P$121),T124&lt;&gt;""),IF(R138="",R135,SUM(R135,R138)),"")</f>
        <v/>
      </c>
      <c r="U131" s="7165"/>
      <c r="V131" s="7164" t="str">
        <f>IF(AND($B$66,NOT($W$82),NOT($P$121),V124&lt;&gt;""),IF(T138="",T135,SUM(T135,T138)),"")</f>
        <v/>
      </c>
      <c r="W131" s="6707"/>
      <c r="X131" s="82"/>
      <c r="Y131" s="1450"/>
      <c r="Z131" s="452"/>
      <c r="AA131" s="452"/>
      <c r="AB131" s="452"/>
      <c r="AC131" s="452"/>
      <c r="AD131" s="452"/>
      <c r="AE131" s="452"/>
      <c r="AF131" s="452"/>
      <c r="AG131" s="452"/>
      <c r="AH131" s="452"/>
      <c r="AI131" s="452"/>
      <c r="AJ131" s="452"/>
      <c r="AK131" s="452"/>
      <c r="AL131" s="452"/>
      <c r="AM131" s="452"/>
      <c r="AN131" s="452"/>
      <c r="AO131" s="452"/>
      <c r="AP131" s="452"/>
      <c r="AQ131" s="452"/>
      <c r="AR131" s="452"/>
      <c r="AS131" s="452"/>
      <c r="AT131" s="452"/>
      <c r="AU131" s="46"/>
      <c r="AV131" s="2153"/>
      <c r="AW131" s="46"/>
      <c r="AX131" s="46"/>
      <c r="AY131" s="46"/>
      <c r="AZ131" s="46"/>
      <c r="BA131" s="46"/>
      <c r="BB131" s="46"/>
    </row>
    <row r="132" spans="1:78" ht="13.5" customHeight="1">
      <c r="A132" s="635"/>
      <c r="B132" s="24"/>
      <c r="C132" s="52">
        <v>23</v>
      </c>
      <c r="D132" s="1922" t="s">
        <v>2242</v>
      </c>
      <c r="E132" s="1443"/>
      <c r="F132" s="1443"/>
      <c r="G132" s="1443"/>
      <c r="H132" s="1443"/>
      <c r="I132" s="1443"/>
      <c r="J132" s="1443"/>
      <c r="K132" s="1443"/>
      <c r="L132" s="1443"/>
      <c r="M132" s="1443"/>
      <c r="N132" s="1443"/>
      <c r="O132" s="57"/>
      <c r="P132" s="398"/>
      <c r="Q132" s="446"/>
      <c r="R132" s="398"/>
      <c r="S132" s="2660"/>
      <c r="T132" s="1080"/>
      <c r="U132" s="2660"/>
      <c r="V132" s="2659"/>
      <c r="W132" s="1080"/>
      <c r="X132" s="82"/>
      <c r="Y132" s="1450"/>
      <c r="Z132" s="452"/>
      <c r="AA132" s="452"/>
      <c r="AB132" s="452"/>
      <c r="AC132" s="452"/>
      <c r="AD132" s="452"/>
      <c r="AE132" s="452"/>
      <c r="AF132" s="452"/>
      <c r="AG132" s="452"/>
      <c r="AH132" s="452"/>
      <c r="AI132" s="452"/>
      <c r="AJ132" s="452"/>
      <c r="AK132" s="452"/>
      <c r="AL132" s="452"/>
      <c r="AM132" s="452"/>
      <c r="AN132" s="452"/>
      <c r="AO132" s="452"/>
      <c r="AP132" s="452"/>
      <c r="AQ132" s="452"/>
      <c r="AR132" s="452"/>
      <c r="AS132" s="452"/>
      <c r="AT132" s="452"/>
      <c r="AU132" s="46"/>
      <c r="AV132" s="2153"/>
      <c r="AW132" s="46"/>
      <c r="AX132" s="46"/>
      <c r="AY132" s="46"/>
      <c r="AZ132" s="46"/>
      <c r="BA132" s="46"/>
      <c r="BB132" s="46"/>
    </row>
    <row r="133" spans="1:78" ht="13.5" customHeight="1">
      <c r="A133" s="635"/>
      <c r="B133" s="24"/>
      <c r="C133" s="52"/>
      <c r="D133" s="1922" t="s">
        <v>2243</v>
      </c>
      <c r="E133" s="1443"/>
      <c r="F133" s="1443"/>
      <c r="G133" s="1443"/>
      <c r="H133" s="1443"/>
      <c r="I133" s="1443"/>
      <c r="J133" s="1443"/>
      <c r="K133" s="1443"/>
      <c r="L133" s="1443"/>
      <c r="M133" s="1443"/>
      <c r="N133" s="3563" t="s">
        <v>1280</v>
      </c>
      <c r="O133" s="2667">
        <v>23</v>
      </c>
      <c r="P133" s="7164" t="str">
        <f>IF(AND($B$66,NOT($W$82),NOT($P$121),P124&lt;&gt;""),P124,"")</f>
        <v/>
      </c>
      <c r="Q133" s="7165"/>
      <c r="R133" s="7164" t="str">
        <f>IF(AND($B$66,NOT($W$82),NOT($P$121),R124&lt;&gt;"",R131&lt;&gt;""),IF(SUM(R129,-R131)&lt;=0,0,SUM(R129,-R131)),"")</f>
        <v/>
      </c>
      <c r="S133" s="7165"/>
      <c r="T133" s="7164" t="str">
        <f>IF(AND($B$66,NOT($W$82),NOT($P$121),T124&lt;&gt;"",T131&lt;&gt;""),IF(SUM(T129,-T131)&lt;=0,0,SUM(T129,-T131)),"")</f>
        <v/>
      </c>
      <c r="U133" s="7165"/>
      <c r="V133" s="7164" t="str">
        <f>IF(AND($B$66,NOT($W$82),NOT($P$121),V124&lt;&gt;"",V131&lt;&gt;""),IF(SUM(V129,-V131)&lt;=0,0,SUM(V129,-V131)),"")</f>
        <v/>
      </c>
      <c r="W133" s="6707"/>
      <c r="X133" s="82"/>
      <c r="Y133" s="1450"/>
      <c r="Z133" s="2776" t="s">
        <v>2335</v>
      </c>
      <c r="AA133" s="452"/>
      <c r="AB133" s="452"/>
      <c r="AC133" s="452"/>
      <c r="AD133" s="452"/>
      <c r="AE133" s="452"/>
      <c r="AF133" s="452"/>
      <c r="AG133" s="452"/>
      <c r="AH133" s="452"/>
      <c r="AI133" s="452"/>
      <c r="AJ133" s="452"/>
      <c r="AK133" s="452"/>
      <c r="AL133" s="452"/>
      <c r="AM133" s="452"/>
      <c r="AN133" s="452"/>
      <c r="AO133" s="452"/>
      <c r="AP133" s="452"/>
      <c r="AQ133" s="452"/>
      <c r="AR133" s="452"/>
      <c r="AS133" s="452"/>
      <c r="AT133" s="452"/>
      <c r="AU133" s="46"/>
      <c r="AV133" s="2153"/>
      <c r="AW133" s="46"/>
      <c r="AX133" s="46"/>
      <c r="AY133" s="46"/>
      <c r="AZ133" s="46"/>
      <c r="BA133" s="46"/>
      <c r="BB133" s="46"/>
    </row>
    <row r="134" spans="1:78" ht="13.5" customHeight="1">
      <c r="A134" s="635"/>
      <c r="B134" s="24"/>
      <c r="C134" s="52">
        <v>24</v>
      </c>
      <c r="D134" s="1922" t="s">
        <v>2244</v>
      </c>
      <c r="E134" s="1443"/>
      <c r="F134" s="1443"/>
      <c r="G134" s="1443"/>
      <c r="H134" s="1443"/>
      <c r="I134" s="1443"/>
      <c r="J134" s="1443"/>
      <c r="K134" s="1443"/>
      <c r="L134" s="1443"/>
      <c r="M134" s="1443"/>
      <c r="N134" s="1443"/>
      <c r="O134" s="57"/>
      <c r="P134" s="2676"/>
      <c r="Q134" s="2677"/>
      <c r="R134" s="398"/>
      <c r="S134" s="2660"/>
      <c r="T134" s="1080"/>
      <c r="U134" s="2660"/>
      <c r="V134" s="2676"/>
      <c r="W134" s="2691"/>
      <c r="X134" s="82"/>
      <c r="Y134" s="1450"/>
      <c r="Z134" s="452"/>
      <c r="AA134" s="452"/>
      <c r="AB134" s="452"/>
      <c r="AC134" s="452"/>
      <c r="AD134" s="452"/>
      <c r="AE134" s="452"/>
      <c r="AF134" s="452"/>
      <c r="AG134" s="452"/>
      <c r="AH134" s="452"/>
      <c r="AI134" s="452"/>
      <c r="AJ134" s="452"/>
      <c r="AK134" s="452"/>
      <c r="AL134" s="452"/>
      <c r="AM134" s="452"/>
      <c r="AN134" s="452"/>
      <c r="AO134" s="452"/>
      <c r="AP134" s="452"/>
      <c r="AQ134" s="452"/>
      <c r="AR134" s="452"/>
      <c r="AS134" s="452"/>
      <c r="AT134" s="452"/>
      <c r="AU134" s="46"/>
      <c r="AV134" s="2153"/>
      <c r="AW134" s="46"/>
      <c r="AX134" s="46"/>
      <c r="AY134" s="46"/>
      <c r="AZ134" s="46"/>
      <c r="BA134" s="46"/>
      <c r="BB134" s="46"/>
    </row>
    <row r="135" spans="1:78" ht="13.5" customHeight="1" thickBot="1">
      <c r="A135" s="635"/>
      <c r="B135" s="24"/>
      <c r="C135" s="52"/>
      <c r="D135" s="1922" t="s">
        <v>2245</v>
      </c>
      <c r="E135" s="1443"/>
      <c r="F135" s="1443"/>
      <c r="G135" s="1443"/>
      <c r="H135" s="1443"/>
      <c r="I135" s="1443"/>
      <c r="J135" s="1443"/>
      <c r="K135" s="1443"/>
      <c r="L135" s="1443"/>
      <c r="M135" s="1443"/>
      <c r="N135" s="3563" t="s">
        <v>312</v>
      </c>
      <c r="O135" s="2667">
        <v>24</v>
      </c>
      <c r="P135" s="2670"/>
      <c r="Q135" s="2671"/>
      <c r="R135" s="7164" t="str">
        <f>IF(AND($B$66,NOT($W$82),NOT($P$121),R124&lt;&gt;""),IF(R133=0,SUM(R131,-R129),0),"")</f>
        <v/>
      </c>
      <c r="S135" s="7165"/>
      <c r="T135" s="7164" t="str">
        <f>IF(AND($B$66,NOT($W$82),NOT($P$121),T124&lt;&gt;""),IF(T133=0,SUM(T131,-T129),0),"")</f>
        <v/>
      </c>
      <c r="U135" s="7165"/>
      <c r="V135" s="2670"/>
      <c r="W135" s="2692"/>
      <c r="X135" s="82"/>
      <c r="Y135" s="1450"/>
      <c r="Z135" s="452"/>
      <c r="AA135" s="452"/>
      <c r="AB135" s="452"/>
      <c r="AC135" s="452"/>
      <c r="AD135" s="452"/>
      <c r="AE135" s="452"/>
      <c r="AF135" s="452"/>
      <c r="AG135" s="452"/>
      <c r="AH135" s="452"/>
      <c r="AI135" s="452"/>
      <c r="AJ135" s="452"/>
      <c r="AK135" s="452"/>
      <c r="AL135" s="452"/>
      <c r="AM135" s="452"/>
      <c r="AN135" s="452"/>
      <c r="AO135" s="452"/>
      <c r="AP135" s="452"/>
      <c r="AQ135" s="452"/>
      <c r="AR135" s="452"/>
      <c r="AS135" s="452"/>
      <c r="AT135" s="452"/>
      <c r="AU135" s="46"/>
      <c r="AV135" s="2153"/>
      <c r="AW135" s="46"/>
      <c r="AX135" s="46"/>
      <c r="AY135" s="46"/>
      <c r="AZ135" s="46"/>
      <c r="BA135" s="46"/>
      <c r="BB135" s="46"/>
      <c r="BP135" s="277" t="s">
        <v>3635</v>
      </c>
      <c r="BQ135" s="277" t="s">
        <v>77</v>
      </c>
      <c r="BR135" s="277" t="s">
        <v>3629</v>
      </c>
      <c r="BS135" s="277" t="s">
        <v>531</v>
      </c>
      <c r="BT135" s="277" t="s">
        <v>2508</v>
      </c>
      <c r="BV135" s="277" t="s">
        <v>3636</v>
      </c>
      <c r="BW135" s="277" t="s">
        <v>77</v>
      </c>
      <c r="BX135" s="277" t="s">
        <v>3629</v>
      </c>
      <c r="BY135" s="277" t="s">
        <v>531</v>
      </c>
      <c r="BZ135" s="277" t="s">
        <v>2508</v>
      </c>
    </row>
    <row r="136" spans="1:78" ht="13.5" customHeight="1" thickTop="1" thickBot="1">
      <c r="A136" s="635"/>
      <c r="B136" s="24"/>
      <c r="C136" s="52">
        <v>25</v>
      </c>
      <c r="D136" s="5204" t="s">
        <v>4755</v>
      </c>
      <c r="E136" s="1443"/>
      <c r="F136" s="1443"/>
      <c r="G136" s="1443"/>
      <c r="H136" s="1443"/>
      <c r="I136" s="1443"/>
      <c r="J136" s="1443"/>
      <c r="K136" s="1443"/>
      <c r="L136" s="1443"/>
      <c r="M136" s="1443"/>
      <c r="N136" s="1443"/>
      <c r="O136" s="450"/>
      <c r="P136" s="398"/>
      <c r="Q136" s="446"/>
      <c r="R136" s="398"/>
      <c r="S136" s="2660"/>
      <c r="T136" s="1080"/>
      <c r="U136" s="2660"/>
      <c r="V136" s="2659"/>
      <c r="W136" s="1080"/>
      <c r="X136" s="82"/>
      <c r="Y136" s="1450"/>
      <c r="Z136" s="452"/>
      <c r="AA136" s="452"/>
      <c r="AB136" s="452"/>
      <c r="AC136" s="452"/>
      <c r="AD136" s="452"/>
      <c r="AE136" s="452"/>
      <c r="AF136" s="452"/>
      <c r="AG136" s="452"/>
      <c r="AH136" s="452"/>
      <c r="AI136" s="452"/>
      <c r="AJ136" s="452"/>
      <c r="AK136" s="2679" t="str">
        <f>AK116</f>
        <v>(a)</v>
      </c>
      <c r="AL136" s="452"/>
      <c r="AM136" s="2679" t="str">
        <f>AM116</f>
        <v>(b)</v>
      </c>
      <c r="AN136" s="452"/>
      <c r="AO136" s="2679" t="str">
        <f>AO116</f>
        <v>(c)</v>
      </c>
      <c r="AP136" s="452"/>
      <c r="AQ136" s="2679" t="str">
        <f>AQ116</f>
        <v>(d)</v>
      </c>
      <c r="AR136" s="452"/>
      <c r="AS136" s="452"/>
      <c r="AT136" s="452"/>
      <c r="AU136" s="46"/>
      <c r="AV136" s="2153"/>
      <c r="AW136" s="46"/>
      <c r="AX136" s="46"/>
      <c r="AY136" s="46"/>
      <c r="AZ136" s="46"/>
      <c r="BA136" s="46"/>
      <c r="BB136" s="46"/>
      <c r="BP136" s="4268">
        <f>AW309</f>
        <v>0</v>
      </c>
      <c r="BQ136" s="4262">
        <f>LOOKUP(BP136,'Tax Table'!$B$2:$B$2063,'Tax Table'!$D$2:$D$2063)</f>
        <v>0</v>
      </c>
      <c r="BR136" s="4262">
        <f>LOOKUP(BP136,'Tax Table'!$B$2:$B$2063,'Tax Table'!$E$2:$E$2063)</f>
        <v>0</v>
      </c>
      <c r="BS136" s="4262">
        <f>LOOKUP(BP136,'Tax Table'!$B$2:$B$2063,'Tax Table'!$F$2:$F$2063)</f>
        <v>0</v>
      </c>
      <c r="BT136" s="4263">
        <f>LOOKUP(BP136,'Tax Table'!$B$2:$B$2063,'Tax Table'!$G$2:$G$2063)</f>
        <v>0</v>
      </c>
      <c r="BV136" s="4268">
        <f>AX309</f>
        <v>0</v>
      </c>
      <c r="BW136" s="4262">
        <f>LOOKUP(BV136,'Tax Table'!$B$2:$B$2063,'Tax Table'!$D$2:$D$2063)</f>
        <v>0</v>
      </c>
      <c r="BX136" s="4262">
        <f>LOOKUP(BV136,'Tax Table'!$B$2:$B$2063,'Tax Table'!$E$2:$E$2063)</f>
        <v>0</v>
      </c>
      <c r="BY136" s="4262">
        <f>LOOKUP(BV136,'Tax Table'!$B$2:$B$2063,'Tax Table'!$F$2:$F$2063)</f>
        <v>0</v>
      </c>
      <c r="BZ136" s="4263">
        <f>LOOKUP(BV136,'Tax Table'!$B$2:$B$2063,'Tax Table'!$G$2:$G$2063)</f>
        <v>0</v>
      </c>
    </row>
    <row r="137" spans="1:78" ht="13.5" customHeight="1" thickBot="1">
      <c r="A137" s="635"/>
      <c r="B137" s="24"/>
      <c r="C137" s="42"/>
      <c r="D137" s="1922" t="s">
        <v>2246</v>
      </c>
      <c r="E137" s="1443"/>
      <c r="F137" s="1443"/>
      <c r="G137" s="1443"/>
      <c r="H137" s="1443"/>
      <c r="I137" s="1443"/>
      <c r="J137" s="1443"/>
      <c r="K137" s="1843"/>
      <c r="L137" s="1443"/>
      <c r="M137" s="1443"/>
      <c r="N137" s="1443"/>
      <c r="O137" s="450"/>
      <c r="P137" s="398"/>
      <c r="Q137" s="446"/>
      <c r="R137" s="398"/>
      <c r="S137" s="2660"/>
      <c r="T137" s="1080"/>
      <c r="U137" s="2660"/>
      <c r="V137" s="2659"/>
      <c r="W137" s="1080"/>
      <c r="X137" s="82"/>
      <c r="Y137" s="1450"/>
      <c r="Z137" s="452"/>
      <c r="AA137" s="452"/>
      <c r="AB137" s="452"/>
      <c r="AC137" s="452"/>
      <c r="AD137" s="452"/>
      <c r="AE137" s="452"/>
      <c r="AF137" s="452"/>
      <c r="AG137" s="452"/>
      <c r="AH137" s="452"/>
      <c r="AI137" s="452"/>
      <c r="AJ137" s="452"/>
      <c r="AK137" s="2777" t="str">
        <f>"4/15/"&amp;TaxYear-2000</f>
        <v>4/15/18</v>
      </c>
      <c r="AL137" s="452"/>
      <c r="AM137" s="2777" t="str">
        <f>"6/15/"&amp;TaxYear-2000</f>
        <v>6/15/18</v>
      </c>
      <c r="AN137" s="452"/>
      <c r="AO137" s="2779" t="str">
        <f>"9/15/"&amp;TaxYear-2000</f>
        <v>9/15/18</v>
      </c>
      <c r="AP137" s="452"/>
      <c r="AQ137" s="2777" t="str">
        <f>"1/15/"&amp;TaxYear+1-2000</f>
        <v>1/15/19</v>
      </c>
      <c r="AR137" s="452"/>
      <c r="AS137" s="452"/>
      <c r="AT137" s="452"/>
      <c r="AU137" s="46"/>
      <c r="AV137" s="2153"/>
      <c r="AW137" s="46"/>
      <c r="AX137" s="46"/>
      <c r="AY137" s="46"/>
      <c r="AZ137" s="46"/>
      <c r="BA137" s="46"/>
      <c r="BB137" s="46"/>
      <c r="BP137" s="4257"/>
      <c r="BQ137" s="4264" t="str">
        <f>IF(BP136&lt;SectA_a3,"---",IF(BP136&lt;=SectA_a4,ROUND((BP136*(SectA_b4/100)-SectA_d4),0),IF(BP136&lt;=SectA_a5,ROUND((BP136*(SectA_b5/100)-SectA_d5),0),IF(BP136&lt;=SectA_a6,ROUND((BP136*(SectA_b6/100)-SectA_d6),0),ROUND((BP136*(SectA_b7/100)-SectA_d7),0)))))</f>
        <v>---</v>
      </c>
      <c r="BR137" s="4264" t="str">
        <f>IF(BP136&lt;SectB_a2,"---",IF(BP136&lt;=SectB_a3,ROUND((BP136*(SectB_b3/100)-SectB_d3),0),IF(BP136&lt;=SectB_a4,ROUND((BP136*(SectB_b4/100)-SectB_d4),0),IF(BP136&lt;=SectB_a5,ROUND((BP136*(SectB_b5/100)-SectB_d5),0),IF(BP136&lt;=SectB_a6,ROUND((BP136*(SectB_b6/100)-SectB_d6),0),ROUND((BP136*(SectB_b7/100)-SectB_d7),0))))))</f>
        <v>---</v>
      </c>
      <c r="BS137" s="4264" t="str">
        <f>IF(BP136&lt;SectC_a2,"---",IF(BP136&lt;=SectC_a3,ROUND((BP136*(SectC_b3/100)-SectC_d3),0),IF(BP136&lt;=SectC_a4,ROUND((BP136*(SectC_b4/100)-SectC_d4),0),IF(BP136&lt;=SectC_a5,ROUND((BP136*(SectC_b5/100)-SectC_d5),0),ROUND((BP136*(SectC_b6/100)-SectC_d6),0)))))</f>
        <v>---</v>
      </c>
      <c r="BT137" s="4265" t="str">
        <f>IF(BP136&lt;SectD_a2,"---",IF(BP136&lt;=SectD_a3,ROUND((BP136*(SectD_b3/100)-SectD_d3),0),IF(BP136&lt;=SectD_a4,ROUND((BP136*(SectD_b4/100)-SectD_d4),0),IF(BP136&lt;=SectD_a5,ROUND((BP136*(SectD_b5/100)-SectD_d5),0),IF(BP136&lt;=SectD_a6,ROUND((BP136*(SectD_b6/100)-SectD_d6),0),ROUND((BP136*(SectD_b7/100)-SectD_d7),0))))))</f>
        <v>---</v>
      </c>
      <c r="BV137" s="4257"/>
      <c r="BW137" s="4264" t="str">
        <f>IF(BV136&lt;SectA_a3,"---",IF(BV136&lt;=SectA_a4,ROUND((BV136*(SectA_b4/100)-SectA_d4),0),IF(BV136&lt;=SectA_a5,ROUND((BV136*(SectA_b5/100)-SectA_d5),0),IF(BV136&lt;=SectA_a6,ROUND((BV136*(SectA_b6/100)-SectA_d6),0),ROUND((BV136*(SectA_b7/100)-SectA_d7),0)))))</f>
        <v>---</v>
      </c>
      <c r="BX137" s="4264" t="str">
        <f>IF(BV136&lt;SectB_a2,"---",IF(BV136&lt;=SectB_a3,ROUND((BV136*(SectB_b3/100)-SectB_d3),0),IF(BV136&lt;=SectB_a4,ROUND((BV136*(SectB_b4/100)-SectB_d4),0),IF(BV136&lt;=SectB_a5,ROUND((BV136*(SectB_b5/100)-SectB_d5),0),IF(BV136&lt;=SectB_a6,ROUND((BV136*(SectB_b6/100)-SectB_d6),0),ROUND((BV136*(SectB_b7/100)-SectB_d7),0))))))</f>
        <v>---</v>
      </c>
      <c r="BY137" s="4264" t="str">
        <f>IF(BV136&lt;SectC_a2,"---",IF(BV136&lt;=SectC_a3,ROUND((BV136*(SectC_b3/100)-SectC_d3),0),IF(BV136&lt;=SectC_a4,ROUND((BV136*(SectC_b4/100)-SectC_d4),0),IF(BV136&lt;=SectC_a5,ROUND((BV136*(SectC_b5/100)-SectC_d5),0),ROUND((BV136*(SectC_b6/100)-SectC_d6),0)))))</f>
        <v>---</v>
      </c>
      <c r="BZ137" s="4265" t="str">
        <f>IF(BV136&lt;SectD_a2,"---",IF(BV136&lt;=SectD_a3,ROUND((BV136*(SectD_b3/100)-SectD_d3),0),IF(BV136&lt;=SectD_a4,ROUND((BV136*(SectD_b4/100)-SectD_d4),0),IF(BV136&lt;=SectD_a5,ROUND((BV136*(SectD_b5/100)-SectD_d5),0),IF(BV136&lt;=SectD_a6,ROUND((BV136*(SectD_b6/100)-SectD_d6),0),ROUND((BV136*(SectD_b7/100)-SectD_d7),0))))))</f>
        <v>---</v>
      </c>
    </row>
    <row r="138" spans="1:78" ht="13.5" customHeight="1" thickBot="1">
      <c r="A138" s="635"/>
      <c r="B138" s="24"/>
      <c r="C138" s="24"/>
      <c r="D138" s="1922" t="s">
        <v>2296</v>
      </c>
      <c r="E138" s="1443"/>
      <c r="F138" s="1443"/>
      <c r="G138" s="1443"/>
      <c r="H138" s="1443"/>
      <c r="I138" s="1443"/>
      <c r="J138" s="1443"/>
      <c r="K138" s="1443"/>
      <c r="L138" s="1443"/>
      <c r="M138" s="1443"/>
      <c r="N138" s="3563" t="s">
        <v>3284</v>
      </c>
      <c r="O138" s="2667">
        <v>25</v>
      </c>
      <c r="P138" s="7164" t="str">
        <f>IF(AK138&lt;&gt;"",ROUND(AK138,0),IF(AND($B$66,NOT($W$82),NOT($P$121),P124&lt;&gt;""),IF(P118&gt;=P133,SUM(P118,-P133),""),""))</f>
        <v/>
      </c>
      <c r="Q138" s="7165"/>
      <c r="R138" s="7164" t="str">
        <f>IF(AM138&lt;&gt;"",ROUND(AM138,0),IF(AND($B$66,NOT($W$82),NOT($P$121),R124&lt;&gt;""),IF(R118&gt;=R133,SUM(R118,-R133),""),""))</f>
        <v/>
      </c>
      <c r="S138" s="7165"/>
      <c r="T138" s="7164" t="str">
        <f>IF(AO138&lt;&gt;"",ROUND(AO138,0),IF(AND($B$66,NOT($W$82),NOT($P$121),T124&lt;&gt;""),IF(T118&gt;=T133,SUM(T118,-T133),""),""))</f>
        <v/>
      </c>
      <c r="U138" s="7165"/>
      <c r="V138" s="7164" t="str">
        <f>IF(AQ138&lt;&gt;"",ROUND(AQ138,0),IF(AND($B$66,NOT($W$82),NOT($P$121),V124&lt;&gt;""),IF(V118&gt;=V133,SUM(V118,-V133),""),""))</f>
        <v/>
      </c>
      <c r="W138" s="6707"/>
      <c r="X138" s="82"/>
      <c r="Y138" s="1450"/>
      <c r="Z138" s="417"/>
      <c r="AA138" s="452"/>
      <c r="AB138" s="452"/>
      <c r="AC138" s="452"/>
      <c r="AD138" s="452"/>
      <c r="AE138" s="452"/>
      <c r="AF138" s="452"/>
      <c r="AG138" s="452"/>
      <c r="AH138" s="452"/>
      <c r="AI138" s="452"/>
      <c r="AJ138" s="452"/>
      <c r="AK138" s="2778"/>
      <c r="AL138" s="452"/>
      <c r="AM138" s="2778"/>
      <c r="AN138" s="452"/>
      <c r="AO138" s="2778"/>
      <c r="AP138" s="452"/>
      <c r="AQ138" s="2778"/>
      <c r="AR138" s="452"/>
      <c r="AS138" s="452"/>
      <c r="AT138" s="452"/>
      <c r="AU138" s="46"/>
      <c r="AV138" s="2153"/>
      <c r="AW138" s="46"/>
      <c r="AX138" s="46"/>
      <c r="AY138" s="46"/>
      <c r="AZ138" s="46"/>
      <c r="BA138" s="46"/>
      <c r="BB138" s="46"/>
      <c r="BP138" s="4258" t="str">
        <f>IF(File_Single&lt;&gt;"",BQ136,IF(File_Marr_Joint&lt;&gt;"",BR136,IF(File_Marr_Sep&lt;&gt;"", BS136,IF(File_Head&lt;&gt;"",BT136,IF(File_Qual_Widow&lt;&gt;"",BR136,"Filing status?")))))</f>
        <v>Filing status?</v>
      </c>
      <c r="BQ138" s="2563" t="str">
        <f>"&lt;100k"</f>
        <v>&lt;100k</v>
      </c>
      <c r="BR138" s="2563"/>
      <c r="BS138" s="2563"/>
      <c r="BT138" s="4261"/>
      <c r="BV138" s="4258" t="str">
        <f>IF(File_Single&lt;&gt;"",BW136,IF(File_Marr_Joint&lt;&gt;"",BX136,IF(File_Marr_Sep&lt;&gt;"", BY136,IF(File_Head&lt;&gt;"",BZ136,IF(File_Qual_Widow&lt;&gt;"",BX136,"Filing status?")))))</f>
        <v>Filing status?</v>
      </c>
      <c r="BW138" s="2563" t="str">
        <f>"&lt;100k"</f>
        <v>&lt;100k</v>
      </c>
      <c r="BX138" s="2563"/>
      <c r="BY138" s="2563"/>
      <c r="BZ138" s="4261"/>
    </row>
    <row r="139" spans="1:78" ht="13.5" customHeight="1" thickBot="1">
      <c r="A139" s="635"/>
      <c r="B139" s="24"/>
      <c r="C139" s="52">
        <v>26</v>
      </c>
      <c r="D139" s="1922" t="s">
        <v>4598</v>
      </c>
      <c r="E139" s="1443"/>
      <c r="F139" s="1443"/>
      <c r="G139" s="1443"/>
      <c r="H139" s="1443"/>
      <c r="I139" s="1443"/>
      <c r="J139" s="1443"/>
      <c r="K139" s="1443"/>
      <c r="L139" s="1443"/>
      <c r="M139" s="1443"/>
      <c r="N139" s="1443"/>
      <c r="O139" s="450"/>
      <c r="P139" s="398"/>
      <c r="Q139" s="446"/>
      <c r="R139" s="398"/>
      <c r="S139" s="2660"/>
      <c r="T139" s="1080"/>
      <c r="U139" s="2660"/>
      <c r="V139" s="2659"/>
      <c r="W139" s="1080"/>
      <c r="X139" s="82"/>
      <c r="Y139" s="1450"/>
      <c r="Z139" s="452"/>
      <c r="AA139" s="452"/>
      <c r="AB139" s="452"/>
      <c r="AC139" s="452"/>
      <c r="AD139" s="452"/>
      <c r="AE139" s="452"/>
      <c r="AF139" s="452"/>
      <c r="AG139" s="452"/>
      <c r="AH139" s="452"/>
      <c r="AI139" s="452"/>
      <c r="AJ139" s="452"/>
      <c r="AK139" s="452"/>
      <c r="AL139" s="452"/>
      <c r="AM139" s="452"/>
      <c r="AN139" s="452"/>
      <c r="AO139" s="452"/>
      <c r="AP139" s="452"/>
      <c r="AQ139" s="452"/>
      <c r="AR139" s="452"/>
      <c r="AS139" s="452"/>
      <c r="AT139" s="452"/>
      <c r="AU139" s="46"/>
      <c r="AV139" s="2153"/>
      <c r="AW139" s="46"/>
      <c r="AX139" s="46"/>
      <c r="AY139" s="46"/>
      <c r="AZ139" s="46"/>
      <c r="BA139" s="46"/>
      <c r="BB139" s="46"/>
      <c r="BP139" s="4259" t="str">
        <f>IF(File_Single&lt;&gt;"",BQ137,IF(OR(File_Marr_Joint&lt;&gt;"",File_Qual_Widow&lt;&gt;""),BR137,IF(File_Marr_Sep&lt;&gt;"", BS137,IF(File_Head&lt;&gt;"",BT137,"Filing status?"))))</f>
        <v>Filing status?</v>
      </c>
      <c r="BQ139" s="4260" t="str">
        <f>"&gt;=100k"</f>
        <v>&gt;=100k</v>
      </c>
      <c r="BR139" s="4260"/>
      <c r="BS139" s="4266" t="s">
        <v>3630</v>
      </c>
      <c r="BT139" s="4267" t="str">
        <f>IF(BP136&gt;100000,BP139,BP138)</f>
        <v>Filing status?</v>
      </c>
      <c r="BV139" s="4259" t="str">
        <f>IF(File_Single&lt;&gt;"",BW137,IF(OR(File_Marr_Joint&lt;&gt;"",File_Qual_Widow&lt;&gt;""),BX137,IF(File_Marr_Sep&lt;&gt;"", BY137,IF(File_Head&lt;&gt;"",BZ137,"Filing status?"))))</f>
        <v>Filing status?</v>
      </c>
      <c r="BW139" s="4260" t="str">
        <f>"&gt;=100k"</f>
        <v>&gt;=100k</v>
      </c>
      <c r="BX139" s="4260"/>
      <c r="BY139" s="4266" t="s">
        <v>3630</v>
      </c>
      <c r="BZ139" s="4267" t="str">
        <f>IF(BV136&gt;100000,BV139,BV138)</f>
        <v>Filing status?</v>
      </c>
    </row>
    <row r="140" spans="1:78" ht="13.5" customHeight="1" thickTop="1" thickBot="1">
      <c r="A140" s="635"/>
      <c r="B140" s="24"/>
      <c r="C140" s="42"/>
      <c r="D140" s="1922" t="s">
        <v>2247</v>
      </c>
      <c r="E140" s="1443"/>
      <c r="F140" s="1443"/>
      <c r="G140" s="1443"/>
      <c r="H140" s="1443"/>
      <c r="I140" s="1443"/>
      <c r="J140" s="1443"/>
      <c r="K140" s="1843"/>
      <c r="L140" s="1443"/>
      <c r="M140" s="1443"/>
      <c r="N140" s="1443"/>
      <c r="O140" s="450"/>
      <c r="P140" s="398"/>
      <c r="Q140" s="446"/>
      <c r="R140" s="398"/>
      <c r="S140" s="2660"/>
      <c r="T140" s="1080"/>
      <c r="U140" s="2660"/>
      <c r="V140" s="2659"/>
      <c r="W140" s="1080"/>
      <c r="X140" s="82"/>
      <c r="Y140" s="1450"/>
      <c r="Z140" s="2946" t="str">
        <f>IF(AND(NOT(ShortMethod),NOT($B$61),$W$80),"Hide NOTE.","")</f>
        <v/>
      </c>
      <c r="AA140" s="452"/>
      <c r="AB140" s="452"/>
      <c r="AC140" s="452"/>
      <c r="AD140" s="452"/>
      <c r="AE140" s="452"/>
      <c r="AF140" s="452"/>
      <c r="AG140" s="452"/>
      <c r="AH140" s="452"/>
      <c r="AI140" s="452"/>
      <c r="AJ140" s="452"/>
      <c r="AK140" s="452"/>
      <c r="AL140" s="452"/>
      <c r="AM140" s="452"/>
      <c r="AN140" s="452"/>
      <c r="AO140" s="452"/>
      <c r="AP140" s="452"/>
      <c r="AQ140" s="452"/>
      <c r="AR140" s="452"/>
      <c r="AS140" s="452"/>
      <c r="AT140" s="452"/>
      <c r="AU140" s="46"/>
      <c r="AV140" s="2153"/>
      <c r="AW140" s="46"/>
      <c r="AX140" s="46"/>
      <c r="AY140" s="46"/>
      <c r="AZ140" s="46"/>
      <c r="BA140" s="46"/>
      <c r="BB140" s="46"/>
    </row>
    <row r="141" spans="1:78" ht="13.5" customHeight="1" thickBot="1">
      <c r="A141" s="635"/>
      <c r="B141" s="24"/>
      <c r="C141" s="24"/>
      <c r="D141" s="1922" t="s">
        <v>2248</v>
      </c>
      <c r="E141" s="1443"/>
      <c r="F141" s="1443"/>
      <c r="G141" s="1443"/>
      <c r="H141" s="1443"/>
      <c r="I141" s="1443"/>
      <c r="J141" s="1443"/>
      <c r="K141" s="1443"/>
      <c r="L141" s="1443"/>
      <c r="M141" s="1443"/>
      <c r="N141" s="3563" t="s">
        <v>677</v>
      </c>
      <c r="O141" s="2674">
        <v>26</v>
      </c>
      <c r="P141" s="7189" t="str">
        <f>IF(AK141&lt;&gt;"",ROUND(AK141,0),IF(AND($B$66,NOT($W$82),NOT($P$121),P124&lt;&gt;""),IF(P133&gt;P118,SUM(P133,-P118),""),""))</f>
        <v/>
      </c>
      <c r="Q141" s="7190"/>
      <c r="R141" s="7189" t="str">
        <f>IF(AM141&lt;&gt;"",ROUND(AM141,0),IF(AND($B$66,NOT($W$82),NOT($P$121),R124&lt;&gt;""),IF(R133&gt;R118,SUM(R133,-R118),""),""))</f>
        <v/>
      </c>
      <c r="S141" s="7190"/>
      <c r="T141" s="7189" t="str">
        <f>IF(AO141&lt;&gt;"",ROUND(AO141,0),IF(AND($B$66,NOT($W$82),NOT($P$121),T124&lt;&gt;""),IF(T133&gt;T118,SUM(T133,-T118),""),""))</f>
        <v/>
      </c>
      <c r="U141" s="7190"/>
      <c r="V141" s="7164" t="str">
        <f>IF(AQ141&lt;&gt;"",ROUND(AQ141,0),IF(AND($B$66,NOT($W$82),NOT($P$121),V124&lt;&gt;""),IF(V133&gt;V118,SUM(V133,-V118),""),""))</f>
        <v/>
      </c>
      <c r="W141" s="6707"/>
      <c r="X141" s="82"/>
      <c r="Y141" s="1450"/>
      <c r="Z141" s="452"/>
      <c r="AA141" s="452"/>
      <c r="AB141" s="452"/>
      <c r="AC141" s="452"/>
      <c r="AD141" s="452"/>
      <c r="AE141" s="452"/>
      <c r="AF141" s="452"/>
      <c r="AG141" s="452"/>
      <c r="AH141" s="452"/>
      <c r="AI141" s="452"/>
      <c r="AJ141" s="452"/>
      <c r="AK141" s="2778"/>
      <c r="AL141" s="452"/>
      <c r="AM141" s="2778"/>
      <c r="AN141" s="452"/>
      <c r="AO141" s="2778"/>
      <c r="AP141" s="452"/>
      <c r="AQ141" s="2778"/>
      <c r="AR141" s="452"/>
      <c r="AS141" s="452"/>
      <c r="AT141" s="452"/>
      <c r="AU141" s="46"/>
      <c r="AV141" s="2153"/>
      <c r="AW141" s="46"/>
      <c r="AX141" s="46"/>
      <c r="AY141" s="46"/>
      <c r="AZ141" s="46"/>
      <c r="BA141" s="46"/>
      <c r="BB141" s="46"/>
      <c r="BP141" s="277" t="s">
        <v>3637</v>
      </c>
      <c r="BQ141" s="277" t="s">
        <v>77</v>
      </c>
      <c r="BR141" s="277" t="s">
        <v>3629</v>
      </c>
      <c r="BS141" s="277" t="s">
        <v>531</v>
      </c>
      <c r="BT141" s="277" t="s">
        <v>2508</v>
      </c>
      <c r="BV141" s="277" t="s">
        <v>3638</v>
      </c>
      <c r="BW141" s="277" t="s">
        <v>77</v>
      </c>
      <c r="BX141" s="277" t="s">
        <v>3629</v>
      </c>
      <c r="BY141" s="277" t="s">
        <v>531</v>
      </c>
      <c r="BZ141" s="277" t="s">
        <v>2508</v>
      </c>
    </row>
    <row r="142" spans="1:78" ht="14.25" customHeight="1" thickTop="1" thickBot="1">
      <c r="A142" s="635"/>
      <c r="B142" s="58"/>
      <c r="C142" s="5033" t="s">
        <v>4757</v>
      </c>
      <c r="D142" s="2675"/>
      <c r="E142" s="58"/>
      <c r="F142" s="58"/>
      <c r="G142" s="58"/>
      <c r="H142" s="58"/>
      <c r="I142" s="58"/>
      <c r="J142" s="58"/>
      <c r="K142" s="58"/>
      <c r="L142" s="58"/>
      <c r="M142" s="58"/>
      <c r="N142" s="58"/>
      <c r="O142" s="58"/>
      <c r="P142" s="58"/>
      <c r="Q142" s="58"/>
      <c r="R142" s="58"/>
      <c r="S142" s="58"/>
      <c r="T142" s="58"/>
      <c r="U142" s="58"/>
      <c r="V142" s="58"/>
      <c r="W142" s="58"/>
      <c r="X142" s="82"/>
      <c r="Y142" s="1450"/>
      <c r="Z142" s="452"/>
      <c r="AA142" s="452"/>
      <c r="AB142" s="452"/>
      <c r="AC142" s="452"/>
      <c r="AD142" s="452"/>
      <c r="AE142" s="452"/>
      <c r="AF142" s="452"/>
      <c r="AG142" s="452"/>
      <c r="AH142" s="452"/>
      <c r="AI142" s="452"/>
      <c r="AJ142" s="452"/>
      <c r="AK142" s="452"/>
      <c r="AL142" s="452"/>
      <c r="AM142" s="452"/>
      <c r="AN142" s="452"/>
      <c r="AO142" s="452"/>
      <c r="AP142" s="452"/>
      <c r="AQ142" s="452"/>
      <c r="AR142" s="452"/>
      <c r="AS142" s="452"/>
      <c r="AT142" s="452"/>
      <c r="AU142" s="46"/>
      <c r="AV142" s="2153"/>
      <c r="AW142" s="46"/>
      <c r="AX142" s="46"/>
      <c r="AY142" s="46"/>
      <c r="AZ142" s="46"/>
      <c r="BA142" s="46"/>
      <c r="BB142" s="46"/>
      <c r="BP142" s="4268">
        <f>AY309</f>
        <v>0</v>
      </c>
      <c r="BQ142" s="4262">
        <f>LOOKUP(BP142,'Tax Table'!$B$2:$B$2063,'Tax Table'!$D$2:$D$2063)</f>
        <v>0</v>
      </c>
      <c r="BR142" s="4262">
        <f>LOOKUP(BP142,'Tax Table'!$B$2:$B$2063,'Tax Table'!$E$2:$E$2063)</f>
        <v>0</v>
      </c>
      <c r="BS142" s="4262">
        <f>LOOKUP(BP142,'Tax Table'!$B$2:$B$2063,'Tax Table'!$F$2:$F$2063)</f>
        <v>0</v>
      </c>
      <c r="BT142" s="4263">
        <f>LOOKUP(BP142,'Tax Table'!$B$2:$B$2063,'Tax Table'!$G$2:$G$2063)</f>
        <v>0</v>
      </c>
      <c r="BV142" s="4268">
        <f>AZ309</f>
        <v>0</v>
      </c>
      <c r="BW142" s="4262">
        <f>LOOKUP(BV142,'Tax Table'!$B$2:$B$2063,'Tax Table'!$D$2:$D$2063)</f>
        <v>0</v>
      </c>
      <c r="BX142" s="4262">
        <f>LOOKUP(BV142,'Tax Table'!$B$2:$B$2063,'Tax Table'!$E$2:$E$2063)</f>
        <v>0</v>
      </c>
      <c r="BY142" s="4262">
        <f>LOOKUP(BV142,'Tax Table'!$B$2:$B$2063,'Tax Table'!$F$2:$F$2063)</f>
        <v>0</v>
      </c>
      <c r="BZ142" s="4263">
        <f>LOOKUP(BV142,'Tax Table'!$B$2:$B$2063,'Tax Table'!$G$2:$G$2063)</f>
        <v>0</v>
      </c>
    </row>
    <row r="143" spans="1:78" ht="14.25" customHeight="1" thickBot="1">
      <c r="A143" s="635"/>
      <c r="B143" s="45"/>
      <c r="C143" s="119" t="s">
        <v>2249</v>
      </c>
      <c r="D143" s="45"/>
      <c r="E143" s="45"/>
      <c r="F143" s="45"/>
      <c r="G143" s="45"/>
      <c r="H143" s="45"/>
      <c r="I143" s="45"/>
      <c r="J143" s="45"/>
      <c r="K143" s="45"/>
      <c r="L143" s="45"/>
      <c r="M143" s="45"/>
      <c r="N143" s="45"/>
      <c r="O143" s="45"/>
      <c r="P143" s="45"/>
      <c r="Q143" s="45"/>
      <c r="R143" s="45"/>
      <c r="S143" s="45"/>
      <c r="T143" s="45"/>
      <c r="U143" s="45"/>
      <c r="V143" s="45"/>
      <c r="W143" s="45"/>
      <c r="X143" s="82"/>
      <c r="Y143" s="1450"/>
      <c r="Z143" s="452"/>
      <c r="AA143" s="452"/>
      <c r="AB143" s="452"/>
      <c r="AC143" s="452"/>
      <c r="AD143" s="452"/>
      <c r="AE143" s="452"/>
      <c r="AF143" s="452"/>
      <c r="AG143" s="452"/>
      <c r="AH143" s="452"/>
      <c r="AI143" s="452"/>
      <c r="AJ143" s="452"/>
      <c r="AK143" s="452"/>
      <c r="AL143" s="452"/>
      <c r="AM143" s="452"/>
      <c r="AN143" s="452"/>
      <c r="AO143" s="452"/>
      <c r="AP143" s="452"/>
      <c r="AQ143" s="452"/>
      <c r="AR143" s="452"/>
      <c r="AS143" s="452"/>
      <c r="AT143" s="452"/>
      <c r="AU143" s="46"/>
      <c r="AV143" s="2153"/>
      <c r="AW143" s="46"/>
      <c r="AX143" s="46"/>
      <c r="AY143" s="46"/>
      <c r="AZ143" s="46"/>
      <c r="BA143" s="46"/>
      <c r="BB143" s="46"/>
      <c r="BP143" s="4257"/>
      <c r="BQ143" s="4264" t="str">
        <f>IF(BP142&lt;SectA_a3,"---",IF(BP142&lt;=SectA_a4,ROUND((BP142*(SectA_b4/100)-SectA_d4),0),IF(BP142&lt;=SectA_a5,ROUND((BP142*(SectA_b5/100)-SectA_d5),0),IF(BP142&lt;=SectA_a6,ROUND((BP142*(SectA_b6/100)-SectA_d6),0),ROUND((BP142*(SectA_b7/100)-SectA_d7),0)))))</f>
        <v>---</v>
      </c>
      <c r="BR143" s="4264" t="str">
        <f>IF(BP142&lt;SectB_a2,"---",IF(BP142&lt;=SectB_a3,ROUND((BP142*(SectB_b3/100)-SectB_d3),0),IF(BP142&lt;=SectB_a4,ROUND((BP142*(SectB_b4/100)-SectB_d4),0),IF(BP142&lt;=SectB_a5,ROUND((BP142*(SectB_b5/100)-SectB_d5),0),IF(BP142&lt;=SectB_a6,ROUND((BP142*(SectB_b6/100)-SectB_d6),0),ROUND((BP142*(SectB_b7/100)-SectB_d7),0))))))</f>
        <v>---</v>
      </c>
      <c r="BS143" s="4264" t="str">
        <f>IF(BP142&lt;SectC_a2,"---",IF(BP142&lt;=SectC_a3,ROUND((BP142*(SectC_b3/100)-SectC_d3),0),IF(BP142&lt;=SectC_a4,ROUND((BP142*(SectC_b4/100)-SectC_d4),0),IF(BP142&lt;=SectC_a5,ROUND((BP142*(SectC_b5/100)-SectC_d5),0),ROUND((BP142*(SectC_b6/100)-SectC_d6),0)))))</f>
        <v>---</v>
      </c>
      <c r="BT143" s="4265" t="str">
        <f>IF(BP142&lt;SectD_a2,"---",IF(BP142&lt;=SectD_a3,ROUND((BP142*(SectD_b3/100)-SectD_d3),0),IF(BP142&lt;=SectD_a4,ROUND((BP142*(SectD_b4/100)-SectD_d4),0),IF(BP142&lt;=SectD_a5,ROUND((BP142*(SectD_b5/100)-SectD_d5),0),IF(BP142&lt;=SectD_a6,ROUND((BP142*(SectD_b6/100)-SectD_d6),0),ROUND((BP142*(SectD_b7/100)-SectD_d7),0))))))</f>
        <v>---</v>
      </c>
      <c r="BV143" s="4257"/>
      <c r="BW143" s="4264" t="str">
        <f>IF(BV142&lt;SectA_a3,"---",IF(BV142&lt;=SectA_a4,ROUND((BV142*(SectA_b4/100)-SectA_d4),0),IF(BV142&lt;=SectA_a5,ROUND((BV142*(SectA_b5/100)-SectA_d5),0),IF(BV142&lt;=SectA_a6,ROUND((BV142*(SectA_b6/100)-SectA_d6),0),ROUND((BV142*(SectA_b7/100)-SectA_d7),0)))))</f>
        <v>---</v>
      </c>
      <c r="BX143" s="4264" t="str">
        <f>IF(BV142&lt;SectB_a2,"---",IF(BV142&lt;=SectB_a3,ROUND((BV142*(SectB_b3/100)-SectB_d3),0),IF(BV142&lt;=SectB_a4,ROUND((BV142*(SectB_b4/100)-SectB_d4),0),IF(BV142&lt;=SectB_a5,ROUND((BV142*(SectB_b5/100)-SectB_d5),0),IF(BV142&lt;=SectB_a6,ROUND((BV142*(SectB_b6/100)-SectB_d6),0),ROUND((BV142*(SectB_b7/100)-SectB_d7),0))))))</f>
        <v>---</v>
      </c>
      <c r="BY143" s="4264" t="str">
        <f>IF(BV142&lt;SectC_a2,"---",IF(BV142&lt;=SectC_a3,ROUND((BV142*(SectC_b3/100)-SectC_d3),0),IF(BV142&lt;=SectC_a4,ROUND((BV142*(SectC_b4/100)-SectC_d4),0),IF(BV142&lt;=SectC_a5,ROUND((BV142*(SectC_b5/100)-SectC_d5),0),ROUND((BV142*(SectC_b6/100)-SectC_d6),0)))))</f>
        <v>---</v>
      </c>
      <c r="BZ143" s="4265" t="str">
        <f>IF(BV142&lt;SectD_a2,"---",IF(BV142&lt;=SectD_a3,ROUND((BV142*(SectD_b3/100)-SectD_d3),0),IF(BV142&lt;=SectD_a4,ROUND((BV142*(SectD_b4/100)-SectD_d4),0),IF(BV142&lt;=SectD_a5,ROUND((BV142*(SectD_b5/100)-SectD_d5),0),IF(BV142&lt;=SectD_a6,ROUND((BV142*(SectD_b6/100)-SectD_d6),0),ROUND((BV142*(SectD_b7/100)-SectD_d7),0))))))</f>
        <v>---</v>
      </c>
    </row>
    <row r="144" spans="1:78" ht="14.25" customHeight="1" thickBot="1">
      <c r="A144" s="635"/>
      <c r="B144" s="24"/>
      <c r="C144" s="5034">
        <v>27</v>
      </c>
      <c r="D144" s="3247" t="s">
        <v>4756</v>
      </c>
      <c r="E144" s="24"/>
      <c r="F144" s="24"/>
      <c r="G144" s="24"/>
      <c r="H144" s="24"/>
      <c r="I144" s="24"/>
      <c r="J144" s="24"/>
      <c r="K144" s="24"/>
      <c r="L144" s="24"/>
      <c r="M144" s="24"/>
      <c r="N144" s="24"/>
      <c r="O144" s="24"/>
      <c r="P144" s="24"/>
      <c r="Q144" s="24"/>
      <c r="R144" s="24"/>
      <c r="S144" s="24"/>
      <c r="T144" s="57"/>
      <c r="U144" s="24"/>
      <c r="V144" s="24"/>
      <c r="W144" s="24"/>
      <c r="X144" s="82"/>
      <c r="Y144" s="1450"/>
      <c r="Z144" s="452"/>
      <c r="AA144" s="452"/>
      <c r="AB144" s="452"/>
      <c r="AC144" s="452"/>
      <c r="AD144" s="452"/>
      <c r="AE144" s="452"/>
      <c r="AF144" s="452"/>
      <c r="AG144" s="452"/>
      <c r="AH144" s="452"/>
      <c r="AI144" s="452"/>
      <c r="AJ144" s="452"/>
      <c r="AK144" s="452"/>
      <c r="AL144" s="452"/>
      <c r="AM144" s="452"/>
      <c r="AN144" s="452"/>
      <c r="AO144" s="452"/>
      <c r="AP144" s="452"/>
      <c r="AQ144" s="452"/>
      <c r="AR144" s="452"/>
      <c r="AS144" s="452"/>
      <c r="AT144" s="452"/>
      <c r="AU144" s="46"/>
      <c r="AV144" s="2153"/>
      <c r="AW144" s="46"/>
      <c r="AX144" s="46"/>
      <c r="AY144" s="46"/>
      <c r="AZ144" s="46"/>
      <c r="BA144" s="46"/>
      <c r="BB144" s="46"/>
      <c r="BP144" s="4258" t="str">
        <f>IF(File_Single&lt;&gt;"",BQ142,IF(File_Marr_Joint&lt;&gt;"",BR142,IF(File_Marr_Sep&lt;&gt;"", BS142,IF(File_Head&lt;&gt;"",BT142,IF(File_Qual_Widow&lt;&gt;"",BR142,"Filing status?")))))</f>
        <v>Filing status?</v>
      </c>
      <c r="BQ144" s="2563" t="str">
        <f>"&lt;100k"</f>
        <v>&lt;100k</v>
      </c>
      <c r="BR144" s="2563"/>
      <c r="BS144" s="2563"/>
      <c r="BT144" s="4261"/>
      <c r="BV144" s="4258" t="str">
        <f>IF(File_Single&lt;&gt;"",BW142,IF(File_Marr_Joint&lt;&gt;"",BX142,IF(File_Marr_Sep&lt;&gt;"", BY142,IF(File_Head&lt;&gt;"",BZ142,IF(File_Qual_Widow&lt;&gt;"",BX142,"Filing status?")))))</f>
        <v>Filing status?</v>
      </c>
      <c r="BW144" s="2563" t="str">
        <f>"&lt;100k"</f>
        <v>&lt;100k</v>
      </c>
      <c r="BX144" s="2563"/>
      <c r="BY144" s="2563"/>
      <c r="BZ144" s="4261"/>
    </row>
    <row r="145" spans="1:78" ht="14.25" customHeight="1" thickBot="1">
      <c r="A145" s="635"/>
      <c r="B145" s="24"/>
      <c r="C145" s="52"/>
      <c r="D145" s="3247" t="s">
        <v>4758</v>
      </c>
      <c r="E145" s="24"/>
      <c r="F145" s="24"/>
      <c r="G145" s="24"/>
      <c r="H145" s="24"/>
      <c r="I145" s="24"/>
      <c r="J145" s="24"/>
      <c r="K145" s="24"/>
      <c r="L145" s="24"/>
      <c r="M145" s="24"/>
      <c r="N145" s="24"/>
      <c r="O145" s="24"/>
      <c r="P145" s="24"/>
      <c r="Q145" s="24"/>
      <c r="R145" s="24"/>
      <c r="S145" s="24"/>
      <c r="T145" s="450"/>
      <c r="U145" s="24"/>
      <c r="V145" s="24"/>
      <c r="W145" s="24"/>
      <c r="X145" s="82"/>
      <c r="Y145" s="1450"/>
      <c r="Z145" s="452"/>
      <c r="AA145" s="452"/>
      <c r="AB145" s="452"/>
      <c r="AC145" s="452"/>
      <c r="AD145" s="452"/>
      <c r="AE145" s="452"/>
      <c r="AF145" s="452"/>
      <c r="AG145" s="452"/>
      <c r="AH145" s="452"/>
      <c r="AI145" s="452"/>
      <c r="AJ145" s="452"/>
      <c r="AK145" s="452"/>
      <c r="AL145" s="452"/>
      <c r="AM145" s="452"/>
      <c r="AN145" s="452"/>
      <c r="AO145" s="452"/>
      <c r="AP145" s="452"/>
      <c r="AQ145" s="452"/>
      <c r="AR145" s="452"/>
      <c r="AS145" s="452"/>
      <c r="AT145" s="452"/>
      <c r="AU145" s="46"/>
      <c r="AV145" s="2153"/>
      <c r="AW145" s="46"/>
      <c r="AX145" s="46"/>
      <c r="AY145" s="46"/>
      <c r="AZ145" s="46"/>
      <c r="BA145" s="46"/>
      <c r="BB145" s="46"/>
      <c r="BP145" s="4259" t="str">
        <f>IF(File_Single&lt;&gt;"",BQ143,IF(OR(File_Marr_Joint&lt;&gt;"",File_Qual_Widow&lt;&gt;""),BR143,IF(File_Marr_Sep&lt;&gt;"", BS143,IF(File_Head&lt;&gt;"",BT143,"Filing status?"))))</f>
        <v>Filing status?</v>
      </c>
      <c r="BQ145" s="4260" t="str">
        <f>"&gt;=100k"</f>
        <v>&gt;=100k</v>
      </c>
      <c r="BR145" s="4260"/>
      <c r="BS145" s="4266" t="s">
        <v>3630</v>
      </c>
      <c r="BT145" s="4267" t="str">
        <f>IF(BP142&gt;100000,BP145,BP144)</f>
        <v>Filing status?</v>
      </c>
      <c r="BV145" s="4259" t="str">
        <f>IF(File_Single&lt;&gt;"",BW143,IF(OR(File_Marr_Joint&lt;&gt;"",File_Qual_Widow&lt;&gt;""),BX143,IF(File_Marr_Sep&lt;&gt;"", BY143,IF(File_Head&lt;&gt;"",BZ143,"Filing status?"))))</f>
        <v>Filing status?</v>
      </c>
      <c r="BW145" s="4260" t="str">
        <f>"&gt;=100k"</f>
        <v>&gt;=100k</v>
      </c>
      <c r="BX145" s="4260"/>
      <c r="BY145" s="4266" t="s">
        <v>3630</v>
      </c>
      <c r="BZ145" s="4267" t="str">
        <f>IF(BV142&gt;100000,BV145,BV144)</f>
        <v>Filing status?</v>
      </c>
    </row>
    <row r="146" spans="1:78" ht="14.25" customHeight="1" thickTop="1" thickBot="1">
      <c r="A146" s="635"/>
      <c r="B146" s="24"/>
      <c r="C146" s="52"/>
      <c r="D146" s="5030" t="s">
        <v>4759</v>
      </c>
      <c r="E146" s="24"/>
      <c r="F146" s="24"/>
      <c r="G146" s="24"/>
      <c r="H146" s="24"/>
      <c r="I146" s="24"/>
      <c r="J146" s="24"/>
      <c r="K146" s="24"/>
      <c r="L146" s="24"/>
      <c r="M146" s="24"/>
      <c r="N146" s="24"/>
      <c r="O146" s="24"/>
      <c r="P146" s="24"/>
      <c r="Q146" s="24"/>
      <c r="R146" s="24"/>
      <c r="S146" s="1699" t="s">
        <v>878</v>
      </c>
      <c r="T146" s="350">
        <v>27</v>
      </c>
      <c r="U146" s="6671">
        <f>IF(Z138&lt;&gt;"",ROUND(Z138,0),IF(AND($B$66,NOT($W$82),NOT($P$121),V124&lt;&gt;""),V265,0))</f>
        <v>0</v>
      </c>
      <c r="V146" s="6672"/>
      <c r="W146" s="6672"/>
      <c r="X146" s="82"/>
      <c r="Y146" s="1450"/>
      <c r="Z146" s="452"/>
      <c r="AA146" s="452"/>
      <c r="AB146" s="452"/>
      <c r="AC146" s="452"/>
      <c r="AD146" s="452"/>
      <c r="AE146" s="452"/>
      <c r="AF146" s="452"/>
      <c r="AG146" s="452"/>
      <c r="AH146" s="452"/>
      <c r="AI146" s="452"/>
      <c r="AJ146" s="452"/>
      <c r="AK146" s="452"/>
      <c r="AL146" s="452"/>
      <c r="AM146" s="452"/>
      <c r="AN146" s="452"/>
      <c r="AO146" s="452"/>
      <c r="AP146" s="452"/>
      <c r="AQ146" s="452"/>
      <c r="AR146" s="452"/>
      <c r="AS146" s="452"/>
      <c r="AT146" s="452"/>
      <c r="AU146" s="46"/>
      <c r="AV146" s="2153"/>
      <c r="AW146" s="46"/>
      <c r="AX146" s="46"/>
      <c r="AY146" s="46"/>
      <c r="AZ146" s="46"/>
      <c r="BA146" s="46"/>
      <c r="BB146" s="46"/>
    </row>
    <row r="147" spans="1:78" ht="14.25" customHeight="1" thickBot="1">
      <c r="A147" s="1010"/>
      <c r="B147" s="2631"/>
      <c r="C147" s="2637"/>
      <c r="D147" s="2632"/>
      <c r="E147" s="2631"/>
      <c r="F147" s="2631"/>
      <c r="G147" s="3475"/>
      <c r="H147" s="2631"/>
      <c r="I147" s="2631"/>
      <c r="J147" s="2631"/>
      <c r="K147" s="2631"/>
      <c r="L147" s="2631"/>
      <c r="M147" s="2631"/>
      <c r="N147" s="2631"/>
      <c r="O147" s="2631"/>
      <c r="P147" s="2631"/>
      <c r="Q147" s="2633"/>
      <c r="R147" s="2634"/>
      <c r="S147" s="2631"/>
      <c r="T147" s="2631"/>
      <c r="U147" s="2635"/>
      <c r="V147" s="2635" t="s">
        <v>2197</v>
      </c>
      <c r="W147" s="3076" t="str">
        <f>"("&amp;TaxYear&amp;")"</f>
        <v>(2018)</v>
      </c>
      <c r="X147" s="1014"/>
      <c r="Y147" s="1450"/>
      <c r="Z147" s="452"/>
      <c r="AA147" s="452"/>
      <c r="AB147" s="452"/>
      <c r="AC147" s="452"/>
      <c r="AD147" s="452"/>
      <c r="AE147" s="452"/>
      <c r="AF147" s="452"/>
      <c r="AG147" s="452"/>
      <c r="AH147" s="452"/>
      <c r="AI147" s="452"/>
      <c r="AJ147" s="452"/>
      <c r="AK147" s="452"/>
      <c r="AL147" s="452"/>
      <c r="AM147" s="452"/>
      <c r="AN147" s="452"/>
      <c r="AO147" s="452"/>
      <c r="AP147" s="452"/>
      <c r="AQ147" s="452"/>
      <c r="AR147" s="452"/>
      <c r="AS147" s="452"/>
      <c r="AT147" s="452"/>
      <c r="AU147" s="46"/>
      <c r="AV147" s="2153"/>
      <c r="AW147" s="46"/>
      <c r="AX147" s="46"/>
      <c r="AY147" s="46"/>
      <c r="AZ147" s="46"/>
      <c r="BA147" s="46"/>
      <c r="BB147" s="46"/>
      <c r="BP147" s="1625" t="s">
        <v>4936</v>
      </c>
      <c r="BQ147" s="277" t="s">
        <v>77</v>
      </c>
      <c r="BR147" s="277" t="s">
        <v>3629</v>
      </c>
      <c r="BS147" s="277" t="s">
        <v>531</v>
      </c>
      <c r="BT147" s="277" t="s">
        <v>2508</v>
      </c>
      <c r="BV147" s="1625" t="s">
        <v>4937</v>
      </c>
      <c r="BW147" s="277" t="s">
        <v>77</v>
      </c>
      <c r="BX147" s="277" t="s">
        <v>3629</v>
      </c>
      <c r="BY147" s="277" t="s">
        <v>531</v>
      </c>
      <c r="BZ147" s="277" t="s">
        <v>2508</v>
      </c>
    </row>
    <row r="148" spans="1:78" s="1016" customFormat="1" ht="17.25" customHeight="1" thickTop="1" thickBot="1">
      <c r="A148" s="635"/>
      <c r="B148" s="48"/>
      <c r="C148" s="1928" t="str">
        <f>"Form 2210 ("&amp;TaxYear&amp;")"</f>
        <v>Form 2210 (2018)</v>
      </c>
      <c r="D148" s="351"/>
      <c r="E148" s="39"/>
      <c r="F148" s="39"/>
      <c r="G148" s="3476" t="str">
        <f>IF(OR(Y148&lt;&gt;"",ShortMethod,$B$61,NOT($W$80)),"","Schedule AI should only be completed if Box C is check in Part II.")</f>
        <v/>
      </c>
      <c r="H148" s="39"/>
      <c r="I148" s="39"/>
      <c r="J148" s="39"/>
      <c r="K148" s="39"/>
      <c r="L148" s="39"/>
      <c r="M148" s="39"/>
      <c r="N148" s="39"/>
      <c r="O148" s="39"/>
      <c r="P148" s="39"/>
      <c r="Q148" s="30"/>
      <c r="R148" s="456"/>
      <c r="S148" s="39"/>
      <c r="T148" s="39"/>
      <c r="U148" s="39"/>
      <c r="V148" s="2638"/>
      <c r="W148" s="2664" t="s">
        <v>2250</v>
      </c>
      <c r="X148" s="82"/>
      <c r="Y148" s="2947"/>
      <c r="Z148" s="452"/>
      <c r="AA148" s="452"/>
      <c r="AB148" s="452"/>
      <c r="AC148" s="452"/>
      <c r="AD148" s="452"/>
      <c r="AE148" s="452"/>
      <c r="AF148" s="452"/>
      <c r="AG148" s="452"/>
      <c r="AH148" s="452"/>
      <c r="AI148" s="452"/>
      <c r="AJ148" s="452"/>
      <c r="AK148" s="452"/>
      <c r="AL148" s="452"/>
      <c r="AM148" s="452"/>
      <c r="AN148" s="452"/>
      <c r="AO148" s="452"/>
      <c r="AP148" s="452"/>
      <c r="AQ148" s="452"/>
      <c r="AR148" s="452"/>
      <c r="AS148" s="452"/>
      <c r="AT148" s="452"/>
      <c r="AU148" s="46"/>
      <c r="AV148" s="2153"/>
      <c r="AW148" s="46"/>
      <c r="AX148" s="46"/>
      <c r="AY148" s="46"/>
      <c r="AZ148" s="46"/>
      <c r="BA148" s="46"/>
      <c r="BB148" s="46"/>
      <c r="BC148" s="3169"/>
      <c r="BD148" s="3169"/>
      <c r="BE148" s="3169"/>
      <c r="BF148" s="3169"/>
      <c r="BG148" s="3169"/>
      <c r="BH148" s="3169"/>
      <c r="BI148" s="3169"/>
      <c r="BJ148" s="3169"/>
      <c r="BK148" s="3169"/>
      <c r="BL148" s="3169"/>
      <c r="BM148" s="3169"/>
      <c r="BP148" s="4268" t="str">
        <f>AK161</f>
        <v/>
      </c>
      <c r="BQ148" s="4262" t="e">
        <f>LOOKUP(BP148,'Tax Table'!$B$2:$B$2063,'Tax Table'!$D$2:$D$2063)</f>
        <v>#N/A</v>
      </c>
      <c r="BR148" s="4262" t="e">
        <f>LOOKUP(BP148,'Tax Table'!$B$2:$B$2063,'Tax Table'!$E$2:$E$2063)</f>
        <v>#N/A</v>
      </c>
      <c r="BS148" s="4262" t="e">
        <f>LOOKUP(BP148,'Tax Table'!$B$2:$B$2063,'Tax Table'!$F$2:$F$2063)</f>
        <v>#N/A</v>
      </c>
      <c r="BT148" s="4263" t="e">
        <f>LOOKUP(BP148,'Tax Table'!$B$2:$B$2063,'Tax Table'!$G$2:$G$2063)</f>
        <v>#N/A</v>
      </c>
      <c r="BU148"/>
      <c r="BV148" s="4268" t="str">
        <f>AM161</f>
        <v/>
      </c>
      <c r="BW148" s="4262" t="e">
        <f>LOOKUP(BV148,'Tax Table'!$B$2:$B$2063,'Tax Table'!$D$2:$D$2063)</f>
        <v>#N/A</v>
      </c>
      <c r="BX148" s="4262" t="e">
        <f>LOOKUP(BV148,'Tax Table'!$B$2:$B$2063,'Tax Table'!$E$2:$E$2063)</f>
        <v>#N/A</v>
      </c>
      <c r="BY148" s="4262" t="e">
        <f>LOOKUP(BV148,'Tax Table'!$B$2:$B$2063,'Tax Table'!$F$2:$F$2063)</f>
        <v>#N/A</v>
      </c>
      <c r="BZ148" s="4263" t="e">
        <f>LOOKUP(BV148,'Tax Table'!$B$2:$B$2063,'Tax Table'!$G$2:$G$2063)</f>
        <v>#N/A</v>
      </c>
    </row>
    <row r="149" spans="1:78" ht="20.25" customHeight="1" thickBot="1">
      <c r="A149" s="635"/>
      <c r="B149" s="2681"/>
      <c r="C149" s="2682" t="s">
        <v>4595</v>
      </c>
      <c r="D149" s="2681"/>
      <c r="E149" s="2681"/>
      <c r="F149" s="2681"/>
      <c r="G149" s="2681"/>
      <c r="H149" s="2681"/>
      <c r="I149" s="2681"/>
      <c r="J149" s="2681"/>
      <c r="K149" s="2681"/>
      <c r="L149" s="2681"/>
      <c r="M149" s="2681"/>
      <c r="N149" s="2681"/>
      <c r="O149" s="2681"/>
      <c r="P149" s="2681"/>
      <c r="Q149" s="2681"/>
      <c r="R149" s="2681"/>
      <c r="S149" s="2681"/>
      <c r="T149" s="2681"/>
      <c r="U149" s="2681"/>
      <c r="V149" s="2681"/>
      <c r="W149" s="2681"/>
      <c r="X149" s="82"/>
      <c r="Y149" s="1450"/>
      <c r="Z149" s="452"/>
      <c r="AA149" s="452"/>
      <c r="AB149" s="452"/>
      <c r="AC149" s="452"/>
      <c r="AD149" s="452"/>
      <c r="AE149" s="452"/>
      <c r="AF149" s="452"/>
      <c r="AG149" s="452"/>
      <c r="AH149" s="452"/>
      <c r="AI149" s="452"/>
      <c r="AJ149" s="452"/>
      <c r="AK149" s="452"/>
      <c r="AL149" s="452"/>
      <c r="AM149" s="452"/>
      <c r="AN149" s="452"/>
      <c r="AO149" s="452"/>
      <c r="AP149" s="452"/>
      <c r="AQ149" s="452"/>
      <c r="AR149" s="452"/>
      <c r="AS149" s="452"/>
      <c r="AT149" s="452"/>
      <c r="AU149" s="46"/>
      <c r="AV149" s="2153"/>
      <c r="AW149" s="46"/>
      <c r="AX149" s="46"/>
      <c r="AY149" s="46"/>
      <c r="AZ149" s="46"/>
      <c r="BA149" s="46"/>
      <c r="BB149" s="46"/>
      <c r="BP149" s="4257"/>
      <c r="BQ149" s="4264" t="e">
        <f>IF(BP148&lt;SectA_a3,"---",IF(BP148&lt;=SectA_a4,ROUND((BP148*(SectA_b4/100)-SectA_d4),0),IF(BP148&lt;=SectA_a5,ROUND((BP148*(SectA_b5/100)-SectA_d5),0),IF(BP148&lt;=SectA_a6,ROUND((BP148*(SectA_b6/100)-SectA_d6),0),ROUND((BP148*(SectA_b7/100)-SectA_d7),0)))))</f>
        <v>#VALUE!</v>
      </c>
      <c r="BR149" s="4264" t="e">
        <f>IF(BP148&lt;SectB_a2,"---",IF(BP148&lt;=SectB_a3,ROUND((BP148*(SectB_b3/100)-SectB_d3),0),IF(BP148&lt;=SectB_a4,ROUND((BP148*(SectB_b4/100)-SectB_d4),0),IF(BP148&lt;=SectB_a5,ROUND((BP148*(SectB_b5/100)-SectB_d5),0),IF(BP148&lt;=SectB_a6,ROUND((BP148*(SectB_b6/100)-SectB_d6),0),ROUND((BP148*(SectB_b7/100)-SectB_d7),0))))))</f>
        <v>#VALUE!</v>
      </c>
      <c r="BS149" s="4264" t="e">
        <f>IF(BP148&lt;SectC_a2,"---",IF(BP148&lt;=SectC_a3,ROUND((BP148*(SectC_b3/100)-SectC_d3),0),IF(BP148&lt;=SectC_a4,ROUND((BP148*(SectC_b4/100)-SectC_d4),0),IF(BP148&lt;=SectC_a5,ROUND((BP148*(SectC_b5/100)-SectC_d5),0),ROUND((BP148*(SectC_b6/100)-SectC_d6),0)))))</f>
        <v>#VALUE!</v>
      </c>
      <c r="BT149" s="4265" t="e">
        <f>IF(BP148&lt;SectD_a2,"---",IF(BP148&lt;=SectD_a3,ROUND((BP148*(SectD_b3/100)-SectD_d3),0),IF(BP148&lt;=SectD_a4,ROUND((BP148*(SectD_b4/100)-SectD_d4),0),IF(BP148&lt;=SectD_a5,ROUND((BP148*(SectD_b5/100)-SectD_d5),0),IF(BP148&lt;=SectD_a6,ROUND((BP148*(SectD_b6/100)-SectD_d6),0),ROUND((BP148*(SectD_b7/100)-SectD_d7),0))))))</f>
        <v>#VALUE!</v>
      </c>
      <c r="BV149" s="4257"/>
      <c r="BW149" s="4264" t="e">
        <f>IF(BV148&lt;SectA_a3,"---",IF(BV148&lt;=SectA_a4,ROUND((BV148*(SectA_b4/100)-SectA_d4),0),IF(BV148&lt;=SectA_a5,ROUND((BV148*(SectA_b5/100)-SectA_d5),0),IF(BV148&lt;=SectA_a6,ROUND((BV148*(SectA_b6/100)-SectA_d6),0),ROUND((BV148*(SectA_b7/100)-SectA_d7),0)))))</f>
        <v>#VALUE!</v>
      </c>
      <c r="BX149" s="4264" t="e">
        <f>IF(BV148&lt;SectB_a2,"---",IF(BV148&lt;=SectB_a3,ROUND((BV148*(SectB_b3/100)-SectB_d3),0),IF(BV148&lt;=SectB_a4,ROUND((BV148*(SectB_b4/100)-SectB_d4),0),IF(BV148&lt;=SectB_a5,ROUND((BV148*(SectB_b5/100)-SectB_d5),0),IF(BV148&lt;=SectB_a6,ROUND((BV148*(SectB_b6/100)-SectB_d6),0),ROUND((BV148*(SectB_b7/100)-SectB_d7),0))))))</f>
        <v>#VALUE!</v>
      </c>
      <c r="BY149" s="4264" t="e">
        <f>IF(BV148&lt;SectC_a2,"---",IF(BV148&lt;=SectC_a3,ROUND((BV148*(SectC_b3/100)-SectC_d3),0),IF(BV148&lt;=SectC_a4,ROUND((BV148*(SectC_b4/100)-SectC_d4),0),IF(BV148&lt;=SectC_a5,ROUND((BV148*(SectC_b5/100)-SectC_d5),0),ROUND((BV148*(SectC_b6/100)-SectC_d6),0)))))</f>
        <v>#VALUE!</v>
      </c>
      <c r="BZ149" s="4265" t="e">
        <f>IF(BV148&lt;SectD_a2,"---",IF(BV148&lt;=SectD_a3,ROUND((BV148*(SectD_b3/100)-SectD_d3),0),IF(BV148&lt;=SectD_a4,ROUND((BV148*(SectD_b4/100)-SectD_d4),0),IF(BV148&lt;=SectD_a5,ROUND((BV148*(SectD_b5/100)-SectD_d5),0),IF(BV148&lt;=SectD_a6,ROUND((BV148*(SectD_b6/100)-SectD_d6),0),ROUND((BV148*(SectD_b7/100)-SectD_d7),0))))))</f>
        <v>#VALUE!</v>
      </c>
    </row>
    <row r="150" spans="1:78" ht="18.75" customHeight="1" thickBot="1">
      <c r="A150" s="635"/>
      <c r="B150" s="24"/>
      <c r="C150" s="74" t="s">
        <v>4760</v>
      </c>
      <c r="D150" s="24"/>
      <c r="E150" s="24"/>
      <c r="F150" s="24"/>
      <c r="G150" s="24"/>
      <c r="H150" s="24"/>
      <c r="I150" s="24"/>
      <c r="J150" s="24"/>
      <c r="K150" s="24"/>
      <c r="L150" s="24"/>
      <c r="M150" s="24"/>
      <c r="N150" s="24"/>
      <c r="O150" s="2665"/>
      <c r="P150" s="7176" t="s">
        <v>1137</v>
      </c>
      <c r="Q150" s="7199"/>
      <c r="R150" s="7176" t="s">
        <v>1139</v>
      </c>
      <c r="S150" s="7199"/>
      <c r="T150" s="7176" t="s">
        <v>1142</v>
      </c>
      <c r="U150" s="7177"/>
      <c r="V150" s="7176" t="s">
        <v>938</v>
      </c>
      <c r="W150" s="7198"/>
      <c r="X150" s="82"/>
      <c r="Y150" s="1450"/>
      <c r="Z150" s="452"/>
      <c r="AA150" s="452"/>
      <c r="AB150" s="2103"/>
      <c r="AC150" s="2104"/>
      <c r="AD150" s="2104"/>
      <c r="AE150" s="2104"/>
      <c r="AF150" s="2104"/>
      <c r="AG150" s="2104"/>
      <c r="AH150" s="2104"/>
      <c r="AI150" s="2104"/>
      <c r="AJ150" s="2104"/>
      <c r="AK150" s="2104"/>
      <c r="AL150" s="2104"/>
      <c r="AM150" s="2104"/>
      <c r="AN150" s="2104"/>
      <c r="AO150" s="2104"/>
      <c r="AP150" s="2104"/>
      <c r="AQ150" s="2104"/>
      <c r="AR150" s="2104"/>
      <c r="AS150" s="2105"/>
      <c r="AT150" s="452"/>
      <c r="AU150" s="46"/>
      <c r="AV150" s="2153"/>
      <c r="AW150" s="46"/>
      <c r="AX150" s="46"/>
      <c r="AY150" s="46"/>
      <c r="AZ150" s="46"/>
      <c r="BA150" s="46"/>
      <c r="BB150" s="46"/>
      <c r="BP150" s="4258" t="str">
        <f>IF(File_Single&lt;&gt;"",BQ148,IF(File_Marr_Joint&lt;&gt;"",BR148,IF(File_Marr_Sep&lt;&gt;"", BS148,IF(File_Head&lt;&gt;"",BT148,IF(File_Qual_Widow&lt;&gt;"",BR148,"Filing status?")))))</f>
        <v>Filing status?</v>
      </c>
      <c r="BQ150" s="2563" t="str">
        <f>"&lt;100k"</f>
        <v>&lt;100k</v>
      </c>
      <c r="BR150" s="2563"/>
      <c r="BS150" s="2563"/>
      <c r="BT150" s="4261"/>
      <c r="BV150" s="4258" t="str">
        <f>IF(File_Single&lt;&gt;"",BW148,IF(File_Marr_Joint&lt;&gt;"",BX148,IF(File_Marr_Sep&lt;&gt;"", BY148,IF(File_Head&lt;&gt;"",BZ148,IF(File_Qual_Widow&lt;&gt;"",BX148,"Filing status?")))))</f>
        <v>Filing status?</v>
      </c>
      <c r="BW150" s="2563" t="str">
        <f>"&lt;100k"</f>
        <v>&lt;100k</v>
      </c>
      <c r="BX150" s="2563"/>
      <c r="BY150" s="2563"/>
      <c r="BZ150" s="4261"/>
    </row>
    <row r="151" spans="1:78" ht="11.25" customHeight="1" thickBot="1">
      <c r="A151" s="635"/>
      <c r="B151" s="41"/>
      <c r="C151" s="74" t="str">
        <f>"Instead, use the following: "&amp;TEXT(P152,"m/dd/yy")&amp;", "&amp; TEXT(R152,"m/dd/yy")&amp;", "&amp; TEXT(T152,"m/dd/yy")&amp;", and "&amp;TEXT(V152,"m/dd/yy")&amp;"."</f>
        <v>Instead, use the following: 2/28/18, 4/30/18, 7/31/18, and 11/30/18.</v>
      </c>
      <c r="D151" s="24"/>
      <c r="E151" s="24"/>
      <c r="F151" s="24"/>
      <c r="G151" s="24"/>
      <c r="H151" s="24"/>
      <c r="I151" s="24"/>
      <c r="J151" s="24"/>
      <c r="K151" s="24"/>
      <c r="L151" s="24"/>
      <c r="M151" s="24"/>
      <c r="N151" s="24"/>
      <c r="O151" s="2666"/>
      <c r="P151" s="7178" t="str">
        <f>"1/1/"&amp;TaxYear-2000&amp;"–3/31/"&amp;TaxYear-2000</f>
        <v>1/1/18–3/31/18</v>
      </c>
      <c r="Q151" s="7179"/>
      <c r="R151" s="7178" t="str">
        <f>"1/1/"&amp;TaxYear-2000&amp;"–5/31/"&amp;TaxYear-2000</f>
        <v>1/1/18–5/31/18</v>
      </c>
      <c r="S151" s="7179"/>
      <c r="T151" s="7178" t="str">
        <f>"1/1/"&amp;TaxYear-2000&amp;"–8/31/"&amp;TaxYear-2000</f>
        <v>1/1/18–8/31/18</v>
      </c>
      <c r="U151" s="7179"/>
      <c r="V151" s="7254" t="str">
        <f>"1/1/"&amp;TaxYear-2000&amp;"–12/31/"&amp;TaxYear-2000</f>
        <v>1/1/18–12/31/18</v>
      </c>
      <c r="W151" s="7255"/>
      <c r="X151" s="82"/>
      <c r="Y151" s="1450"/>
      <c r="Z151" s="452"/>
      <c r="AA151" s="452"/>
      <c r="AB151" s="4237" t="s">
        <v>3565</v>
      </c>
      <c r="AC151" s="1408"/>
      <c r="AD151" s="1408"/>
      <c r="AE151" s="1408"/>
      <c r="AF151" s="1408"/>
      <c r="AG151" s="1408"/>
      <c r="AH151" s="1408"/>
      <c r="AI151" s="1408"/>
      <c r="AJ151" s="1408"/>
      <c r="AK151" s="1408"/>
      <c r="AL151" s="1408"/>
      <c r="AM151" s="1408"/>
      <c r="AN151" s="1408"/>
      <c r="AO151" s="1408"/>
      <c r="AP151" s="1408"/>
      <c r="AQ151" s="1408"/>
      <c r="AR151" s="1408"/>
      <c r="AS151" s="2107"/>
      <c r="AT151" s="452"/>
      <c r="AU151" s="46"/>
      <c r="AV151" s="2153"/>
      <c r="AW151" s="46"/>
      <c r="AX151" s="46"/>
      <c r="AY151" s="46"/>
      <c r="AZ151" s="46"/>
      <c r="BA151" s="46"/>
      <c r="BB151" s="46"/>
      <c r="BP151" s="4259" t="str">
        <f>IF(File_Single&lt;&gt;"",BQ149,IF(OR(File_Marr_Joint&lt;&gt;"",File_Qual_Widow&lt;&gt;""),BR149,IF(File_Marr_Sep&lt;&gt;"", BS149,IF(File_Head&lt;&gt;"",BT149,"Filing status?"))))</f>
        <v>Filing status?</v>
      </c>
      <c r="BQ151" s="4260" t="str">
        <f>"&gt;=100k"</f>
        <v>&gt;=100k</v>
      </c>
      <c r="BR151" s="4260"/>
      <c r="BS151" s="4266" t="s">
        <v>3630</v>
      </c>
      <c r="BT151" s="4267" t="str">
        <f>IF(BP148&gt;100000,BP151,BP150)</f>
        <v>Filing status?</v>
      </c>
      <c r="BV151" s="4259" t="str">
        <f>IF(File_Single&lt;&gt;"",BW149,IF(OR(File_Marr_Joint&lt;&gt;"",File_Qual_Widow&lt;&gt;""),BX149,IF(File_Marr_Sep&lt;&gt;"", BY149,IF(File_Head&lt;&gt;"",BZ149,"Filing status?"))))</f>
        <v>Filing status?</v>
      </c>
      <c r="BW151" s="4260" t="str">
        <f>"&gt;=100k"</f>
        <v>&gt;=100k</v>
      </c>
      <c r="BX151" s="4260"/>
      <c r="BY151" s="4266" t="s">
        <v>3630</v>
      </c>
      <c r="BZ151" s="4267" t="str">
        <f>IF(BV148&gt;100000,BV151,BV150)</f>
        <v>Filing status?</v>
      </c>
    </row>
    <row r="152" spans="1:78" ht="11.25" customHeight="1">
      <c r="A152" s="635"/>
      <c r="B152" s="2628" t="s">
        <v>2191</v>
      </c>
      <c r="C152" s="2622"/>
      <c r="D152" s="2622"/>
      <c r="E152" s="2647" t="s">
        <v>2254</v>
      </c>
      <c r="F152" s="2623"/>
      <c r="G152" s="2623"/>
      <c r="H152" s="2623"/>
      <c r="I152" s="2623"/>
      <c r="J152" s="2623"/>
      <c r="K152" s="3477"/>
      <c r="L152" s="2623"/>
      <c r="M152" s="2623"/>
      <c r="N152" s="2623"/>
      <c r="O152" s="2623"/>
      <c r="P152" s="7196">
        <f>DATEVALUE("1-Mar-"&amp;TaxYear)-1</f>
        <v>43159</v>
      </c>
      <c r="Q152" s="7197"/>
      <c r="R152" s="7196">
        <f>DATEVALUE("30-Apr-"&amp;TaxYear)</f>
        <v>43220</v>
      </c>
      <c r="S152" s="7197"/>
      <c r="T152" s="7196">
        <f>DATEVALUE("31-Jul-"&amp;TaxYear)</f>
        <v>43312</v>
      </c>
      <c r="U152" s="7197"/>
      <c r="V152" s="7196">
        <f>DATEVALUE("30-Nov-"&amp;TaxYear)</f>
        <v>43434</v>
      </c>
      <c r="W152" s="7197"/>
      <c r="X152" s="704"/>
      <c r="Y152" s="1450"/>
      <c r="Z152" s="452"/>
      <c r="AA152" s="452"/>
      <c r="AB152" s="5209" t="str">
        <f>TaxYear&amp;" Form 2210, Schedule AI -- Line 12"</f>
        <v>2018 Form 2210, Schedule AI -- Line 12</v>
      </c>
      <c r="AC152" s="2754"/>
      <c r="AD152" s="2754"/>
      <c r="AE152" s="1408"/>
      <c r="AF152" s="1408"/>
      <c r="AG152" s="1408"/>
      <c r="AH152" s="1408"/>
      <c r="AI152" s="1408"/>
      <c r="AJ152" s="1408"/>
      <c r="AK152" s="1408"/>
      <c r="AL152" s="1408"/>
      <c r="AM152" s="1408"/>
      <c r="AN152" s="1408"/>
      <c r="AO152" s="1408"/>
      <c r="AP152" s="1408"/>
      <c r="AQ152" s="1408"/>
      <c r="AR152" s="1408"/>
      <c r="AS152" s="2107"/>
      <c r="AT152" s="452"/>
      <c r="AU152" s="46"/>
      <c r="AV152" s="2153"/>
      <c r="AW152" s="46"/>
      <c r="AX152" s="46"/>
      <c r="AY152" s="46"/>
      <c r="AZ152" s="46"/>
      <c r="BA152" s="46"/>
      <c r="BB152" s="46"/>
    </row>
    <row r="153" spans="1:78" ht="16.5" customHeight="1" thickBot="1">
      <c r="A153" s="635"/>
      <c r="B153" s="74"/>
      <c r="C153" s="52">
        <v>1</v>
      </c>
      <c r="D153" s="137" t="s">
        <v>2255</v>
      </c>
      <c r="E153" s="24"/>
      <c r="F153" s="24"/>
      <c r="G153" s="24"/>
      <c r="H153" s="24"/>
      <c r="I153" s="24"/>
      <c r="J153" s="24"/>
      <c r="K153" s="24"/>
      <c r="L153" s="24"/>
      <c r="M153" s="24"/>
      <c r="N153" s="24"/>
      <c r="O153" s="450"/>
      <c r="P153" s="398"/>
      <c r="Q153" s="446"/>
      <c r="R153" s="398"/>
      <c r="S153" s="2660"/>
      <c r="T153" s="1080"/>
      <c r="U153" s="2660"/>
      <c r="V153" s="2659"/>
      <c r="W153" s="1080"/>
      <c r="X153" s="82"/>
      <c r="Y153" s="1450"/>
      <c r="Z153" s="452"/>
      <c r="AA153" s="452"/>
      <c r="AB153" s="5209" t="s">
        <v>3562</v>
      </c>
      <c r="AC153" s="2684"/>
      <c r="AD153" s="2684"/>
      <c r="AE153" s="1408"/>
      <c r="AF153" s="1408"/>
      <c r="AG153" s="1408"/>
      <c r="AH153" s="1408"/>
      <c r="AI153" s="1408"/>
      <c r="AJ153" s="1408"/>
      <c r="AK153" s="1408"/>
      <c r="AL153" s="1408"/>
      <c r="AM153" s="1408"/>
      <c r="AN153" s="1408"/>
      <c r="AO153" s="1408"/>
      <c r="AP153" s="4240" t="s">
        <v>234</v>
      </c>
      <c r="AQ153" s="1408"/>
      <c r="AR153" s="1408"/>
      <c r="AS153" s="2107"/>
      <c r="AT153" s="452"/>
      <c r="AU153" s="46"/>
      <c r="AV153" s="2153"/>
      <c r="AW153" s="46"/>
      <c r="AX153" s="46"/>
      <c r="AY153" s="46"/>
      <c r="AZ153" s="46"/>
      <c r="BA153" s="46"/>
      <c r="BB153" s="46"/>
      <c r="BP153" s="1625" t="s">
        <v>4938</v>
      </c>
      <c r="BQ153" s="277" t="s">
        <v>77</v>
      </c>
      <c r="BR153" s="277" t="s">
        <v>3629</v>
      </c>
      <c r="BS153" s="277" t="s">
        <v>531</v>
      </c>
      <c r="BT153" s="277" t="s">
        <v>2508</v>
      </c>
      <c r="BV153" s="1625" t="s">
        <v>4939</v>
      </c>
      <c r="BW153" s="277" t="s">
        <v>77</v>
      </c>
      <c r="BX153" s="277" t="s">
        <v>3629</v>
      </c>
      <c r="BY153" s="277" t="s">
        <v>531</v>
      </c>
      <c r="BZ153" s="277" t="s">
        <v>2508</v>
      </c>
    </row>
    <row r="154" spans="1:78" ht="17.25" thickTop="1" thickBot="1">
      <c r="A154" s="635"/>
      <c r="B154" s="24"/>
      <c r="C154" s="52"/>
      <c r="D154" s="137" t="s">
        <v>2256</v>
      </c>
      <c r="E154" s="24"/>
      <c r="F154" s="24"/>
      <c r="G154" s="24"/>
      <c r="H154" s="24"/>
      <c r="I154" s="24"/>
      <c r="J154" s="24"/>
      <c r="K154" s="24"/>
      <c r="L154" s="24"/>
      <c r="M154" s="24"/>
      <c r="N154" s="24"/>
      <c r="O154" s="450"/>
      <c r="P154" s="398"/>
      <c r="Q154" s="446"/>
      <c r="R154" s="398"/>
      <c r="S154" s="2660"/>
      <c r="T154" s="1080"/>
      <c r="U154" s="2660"/>
      <c r="V154" s="2659"/>
      <c r="W154" s="1080"/>
      <c r="X154" s="82"/>
      <c r="Y154" s="1450"/>
      <c r="Z154" s="452"/>
      <c r="AA154" s="452"/>
      <c r="AB154" s="2755"/>
      <c r="AC154" s="2684"/>
      <c r="AD154" s="2684"/>
      <c r="AE154" s="1408"/>
      <c r="AF154" s="1408"/>
      <c r="AG154" s="1408"/>
      <c r="AH154" s="1408"/>
      <c r="AI154" s="1408"/>
      <c r="AJ154" s="1408"/>
      <c r="AK154" s="1408"/>
      <c r="AL154" s="1408"/>
      <c r="AM154" s="1408"/>
      <c r="AN154" s="1408"/>
      <c r="AO154" s="1408"/>
      <c r="AP154" s="1408"/>
      <c r="AQ154" s="1408"/>
      <c r="AR154" s="1408"/>
      <c r="AS154" s="2107"/>
      <c r="AT154" s="452"/>
      <c r="AU154" s="46"/>
      <c r="AV154" s="2153"/>
      <c r="AW154" s="46"/>
      <c r="AX154" s="46"/>
      <c r="AY154" s="46"/>
      <c r="AZ154" s="46"/>
      <c r="BA154" s="46"/>
      <c r="BB154" s="46"/>
      <c r="BP154" s="4268" t="str">
        <f>AO161</f>
        <v/>
      </c>
      <c r="BQ154" s="4262" t="e">
        <f>LOOKUP(BP154,'Tax Table'!$B$2:$B$2063,'Tax Table'!$D$2:$D$2063)</f>
        <v>#N/A</v>
      </c>
      <c r="BR154" s="4262" t="e">
        <f>LOOKUP(BP154,'Tax Table'!$B$2:$B$2063,'Tax Table'!$E$2:$E$2063)</f>
        <v>#N/A</v>
      </c>
      <c r="BS154" s="4262" t="e">
        <f>LOOKUP(BP154,'Tax Table'!$B$2:$B$2063,'Tax Table'!$F$2:$F$2063)</f>
        <v>#N/A</v>
      </c>
      <c r="BT154" s="4263" t="e">
        <f>LOOKUP(BP154,'Tax Table'!$B$2:$B$2063,'Tax Table'!$G$2:$G$2063)</f>
        <v>#N/A</v>
      </c>
      <c r="BV154" s="4268" t="str">
        <f>AQ161</f>
        <v/>
      </c>
      <c r="BW154" s="4262" t="e">
        <f>LOOKUP(BV154,'Tax Table'!$B$2:$B$2063,'Tax Table'!$D$2:$D$2063)</f>
        <v>#N/A</v>
      </c>
      <c r="BX154" s="4262" t="e">
        <f>LOOKUP(BV154,'Tax Table'!$B$2:$B$2063,'Tax Table'!$E$2:$E$2063)</f>
        <v>#N/A</v>
      </c>
      <c r="BY154" s="4262" t="e">
        <f>LOOKUP(BV154,'Tax Table'!$B$2:$B$2063,'Tax Table'!$F$2:$F$2063)</f>
        <v>#N/A</v>
      </c>
      <c r="BZ154" s="4263" t="e">
        <f>LOOKUP(BV154,'Tax Table'!$B$2:$B$2063,'Tax Table'!$G$2:$G$2063)</f>
        <v>#N/A</v>
      </c>
    </row>
    <row r="155" spans="1:78" ht="15" customHeight="1" thickBot="1">
      <c r="A155" s="635"/>
      <c r="B155" s="24"/>
      <c r="C155" s="52"/>
      <c r="D155" s="137" t="s">
        <v>2257</v>
      </c>
      <c r="E155" s="24"/>
      <c r="F155" s="24"/>
      <c r="G155" s="24"/>
      <c r="H155" s="24"/>
      <c r="I155" s="24"/>
      <c r="J155" s="24"/>
      <c r="K155" s="24"/>
      <c r="L155" s="24"/>
      <c r="M155" s="24"/>
      <c r="N155" s="1699" t="s">
        <v>753</v>
      </c>
      <c r="O155" s="2667">
        <v>1</v>
      </c>
      <c r="P155" s="7166"/>
      <c r="Q155" s="7167"/>
      <c r="R155" s="7166"/>
      <c r="S155" s="7167"/>
      <c r="T155" s="7166"/>
      <c r="U155" s="7167"/>
      <c r="V155" s="7166"/>
      <c r="W155" s="7168"/>
      <c r="X155" s="82"/>
      <c r="Y155" s="1450"/>
      <c r="Z155" s="452"/>
      <c r="AA155" s="452"/>
      <c r="AB155" s="4234"/>
      <c r="AC155" s="2868" t="s">
        <v>3563</v>
      </c>
      <c r="AD155" s="4235"/>
      <c r="AE155" s="2104"/>
      <c r="AF155" s="2104"/>
      <c r="AG155" s="2104"/>
      <c r="AH155" s="2104"/>
      <c r="AI155" s="2104"/>
      <c r="AJ155" s="2104"/>
      <c r="AK155" s="2104"/>
      <c r="AL155" s="2104"/>
      <c r="AM155" s="2104"/>
      <c r="AN155" s="2104"/>
      <c r="AO155" s="2104"/>
      <c r="AP155" s="2104"/>
      <c r="AQ155" s="2104"/>
      <c r="AR155" s="2104"/>
      <c r="AS155" s="2105"/>
      <c r="AT155" s="452"/>
      <c r="AU155" s="46"/>
      <c r="AV155" s="4253"/>
      <c r="AW155" s="3955"/>
      <c r="AX155" s="3955"/>
      <c r="AY155" s="3955"/>
      <c r="AZ155" s="3955"/>
      <c r="BA155" s="3955"/>
      <c r="BB155" s="46"/>
      <c r="BP155" s="4257"/>
      <c r="BQ155" s="4264" t="e">
        <f>IF(BP154&lt;SectA_a3,"---",IF(BP154&lt;=SectA_a4,ROUND((BP154*(SectA_b4/100)-SectA_d4),0),IF(BP154&lt;=SectA_a5,ROUND((BP154*(SectA_b5/100)-SectA_d5),0),IF(BP154&lt;=SectA_a6,ROUND((BP154*(SectA_b6/100)-SectA_d6),0),ROUND((BP154*(SectA_b7/100)-SectA_d7),0)))))</f>
        <v>#VALUE!</v>
      </c>
      <c r="BR155" s="4264" t="e">
        <f>IF(BP154&lt;SectB_a2,"---",IF(BP154&lt;=SectB_a3,ROUND((BP154*(SectB_b3/100)-SectB_d3),0),IF(BP154&lt;=SectB_a4,ROUND((BP154*(SectB_b4/100)-SectB_d4),0),IF(BP154&lt;=SectB_a5,ROUND((BP154*(SectB_b5/100)-SectB_d5),0),IF(BP154&lt;=SectB_a6,ROUND((BP154*(SectB_b6/100)-SectB_d6),0),ROUND((BP154*(SectB_b7/100)-SectB_d7),0))))))</f>
        <v>#VALUE!</v>
      </c>
      <c r="BS155" s="4264" t="e">
        <f>IF(BP154&lt;SectC_a2,"---",IF(BP154&lt;=SectC_a3,ROUND((BP154*(SectC_b3/100)-SectC_d3),0),IF(BP154&lt;=SectC_a4,ROUND((BP154*(SectC_b4/100)-SectC_d4),0),IF(BP154&lt;=SectC_a5,ROUND((BP154*(SectC_b5/100)-SectC_d5),0),ROUND((BP154*(SectC_b6/100)-SectC_d6),0)))))</f>
        <v>#VALUE!</v>
      </c>
      <c r="BT155" s="4265" t="e">
        <f>IF(BP154&lt;SectD_a2,"---",IF(BP154&lt;=SectD_a3,ROUND((BP154*(SectD_b3/100)-SectD_d3),0),IF(BP154&lt;=SectD_a4,ROUND((BP154*(SectD_b4/100)-SectD_d4),0),IF(BP154&lt;=SectD_a5,ROUND((BP154*(SectD_b5/100)-SectD_d5),0),IF(BP154&lt;=SectD_a6,ROUND((BP154*(SectD_b6/100)-SectD_d6),0),ROUND((BP154*(SectD_b7/100)-SectD_d7),0))))))</f>
        <v>#VALUE!</v>
      </c>
      <c r="BV155" s="4257"/>
      <c r="BW155" s="4264" t="e">
        <f>IF(BV154&lt;SectA_a3,"---",IF(BV154&lt;=SectA_a4,ROUND((BV154*(SectA_b4/100)-SectA_d4),0),IF(BV154&lt;=SectA_a5,ROUND((BV154*(SectA_b5/100)-SectA_d5),0),IF(BV154&lt;=SectA_a6,ROUND((BV154*(SectA_b6/100)-SectA_d6),0),ROUND((BV154*(SectA_b7/100)-SectA_d7),0)))))</f>
        <v>#VALUE!</v>
      </c>
      <c r="BX155" s="4264" t="e">
        <f>IF(BV154&lt;SectB_a2,"---",IF(BV154&lt;=SectB_a3,ROUND((BV154*(SectB_b3/100)-SectB_d3),0),IF(BV154&lt;=SectB_a4,ROUND((BV154*(SectB_b4/100)-SectB_d4),0),IF(BV154&lt;=SectB_a5,ROUND((BV154*(SectB_b5/100)-SectB_d5),0),IF(BV154&lt;=SectB_a6,ROUND((BV154*(SectB_b6/100)-SectB_d6),0),ROUND((BV154*(SectB_b7/100)-SectB_d7),0))))))</f>
        <v>#VALUE!</v>
      </c>
      <c r="BY155" s="4264" t="e">
        <f>IF(BV154&lt;SectC_a2,"---",IF(BV154&lt;=SectC_a3,ROUND((BV154*(SectC_b3/100)-SectC_d3),0),IF(BV154&lt;=SectC_a4,ROUND((BV154*(SectC_b4/100)-SectC_d4),0),IF(BV154&lt;=SectC_a5,ROUND((BV154*(SectC_b5/100)-SectC_d5),0),ROUND((BV154*(SectC_b6/100)-SectC_d6),0)))))</f>
        <v>#VALUE!</v>
      </c>
      <c r="BZ155" s="4265" t="e">
        <f>IF(BV154&lt;SectD_a2,"---",IF(BV154&lt;=SectD_a3,ROUND((BV154*(SectD_b3/100)-SectD_d3),0),IF(BV154&lt;=SectD_a4,ROUND((BV154*(SectD_b4/100)-SectD_d4),0),IF(BV154&lt;=SectD_a5,ROUND((BV154*(SectD_b5/100)-SectD_d5),0),IF(BV154&lt;=SectD_a6,ROUND((BV154*(SectD_b6/100)-SectD_d6),0),ROUND((BV154*(SectD_b7/100)-SectD_d7),0))))))</f>
        <v>#VALUE!</v>
      </c>
    </row>
    <row r="156" spans="1:78" ht="16.5" thickBot="1">
      <c r="A156" s="635"/>
      <c r="B156" s="24"/>
      <c r="C156" s="52">
        <v>2</v>
      </c>
      <c r="D156" s="3247" t="s">
        <v>4776</v>
      </c>
      <c r="E156" s="24"/>
      <c r="F156" s="24"/>
      <c r="G156" s="24"/>
      <c r="H156" s="24"/>
      <c r="I156" s="24"/>
      <c r="J156" s="24"/>
      <c r="K156" s="24"/>
      <c r="L156" s="24"/>
      <c r="M156" s="24"/>
      <c r="N156" s="24"/>
      <c r="O156" s="2667">
        <v>2</v>
      </c>
      <c r="P156" s="7233">
        <v>4</v>
      </c>
      <c r="Q156" s="7234"/>
      <c r="R156" s="7235">
        <v>2.4</v>
      </c>
      <c r="S156" s="7236"/>
      <c r="T156" s="7169">
        <v>1.5</v>
      </c>
      <c r="U156" s="7170"/>
      <c r="V156" s="7257">
        <v>1</v>
      </c>
      <c r="W156" s="7258"/>
      <c r="X156" s="82"/>
      <c r="Y156" s="1450"/>
      <c r="Z156" s="452"/>
      <c r="AA156" s="452"/>
      <c r="AB156" s="2111"/>
      <c r="AC156" s="4236" t="s">
        <v>3564</v>
      </c>
      <c r="AD156" s="2112"/>
      <c r="AE156" s="2112"/>
      <c r="AF156" s="2112"/>
      <c r="AG156" s="2112"/>
      <c r="AH156" s="2112"/>
      <c r="AI156" s="2112"/>
      <c r="AJ156" s="2112"/>
      <c r="AK156" s="2112"/>
      <c r="AL156" s="2112"/>
      <c r="AM156" s="2112"/>
      <c r="AN156" s="2112"/>
      <c r="AO156" s="2112"/>
      <c r="AP156" s="2112"/>
      <c r="AQ156" s="2112"/>
      <c r="AR156" s="2112"/>
      <c r="AS156" s="2113"/>
      <c r="AT156" s="452"/>
      <c r="AU156" s="46"/>
      <c r="AV156" s="4253"/>
      <c r="AW156" s="3955"/>
      <c r="AX156" s="3955"/>
      <c r="AY156" s="3955"/>
      <c r="AZ156" s="3955"/>
      <c r="BA156" s="3955"/>
      <c r="BB156" s="46"/>
      <c r="BP156" s="4258" t="str">
        <f>IF(File_Single&lt;&gt;"",BQ154,IF(File_Marr_Joint&lt;&gt;"",BR154,IF(File_Marr_Sep&lt;&gt;"", BS154,IF(File_Head&lt;&gt;"",BT154,IF(File_Qual_Widow&lt;&gt;"",BR154,"Filing status?")))))</f>
        <v>Filing status?</v>
      </c>
      <c r="BQ156" s="2563" t="str">
        <f>"&lt;100k"</f>
        <v>&lt;100k</v>
      </c>
      <c r="BR156" s="2563"/>
      <c r="BS156" s="2563"/>
      <c r="BT156" s="4261"/>
      <c r="BV156" s="4258" t="str">
        <f>IF(File_Single&lt;&gt;"",BW154,IF(File_Marr_Joint&lt;&gt;"",BX154,IF(File_Marr_Sep&lt;&gt;"", BY154,IF(File_Head&lt;&gt;"",BZ154,IF(File_Qual_Widow&lt;&gt;"",BX154,"Filing status?")))))</f>
        <v>Filing status?</v>
      </c>
      <c r="BW156" s="2563" t="str">
        <f>"&lt;100k"</f>
        <v>&lt;100k</v>
      </c>
      <c r="BX156" s="2563"/>
      <c r="BY156" s="2563"/>
      <c r="BZ156" s="4261"/>
    </row>
    <row r="157" spans="1:78" ht="15" customHeight="1" thickBot="1">
      <c r="A157" s="635"/>
      <c r="B157" s="24"/>
      <c r="C157" s="52">
        <v>3</v>
      </c>
      <c r="D157" s="137" t="s">
        <v>2258</v>
      </c>
      <c r="E157" s="24"/>
      <c r="F157" s="24"/>
      <c r="G157" s="24"/>
      <c r="H157" s="24"/>
      <c r="I157" s="24"/>
      <c r="J157" s="24"/>
      <c r="K157" s="24"/>
      <c r="L157" s="24"/>
      <c r="M157" s="24"/>
      <c r="N157" s="1699" t="s">
        <v>878</v>
      </c>
      <c r="O157" s="2667">
        <v>3</v>
      </c>
      <c r="P157" s="7164" t="str">
        <f>IF(NOT($B$61),"",P155*P156)</f>
        <v/>
      </c>
      <c r="Q157" s="7165"/>
      <c r="R157" s="7164" t="str">
        <f>IF(NOT($B$61),"",R155*R156)</f>
        <v/>
      </c>
      <c r="S157" s="7165"/>
      <c r="T157" s="7164" t="str">
        <f>IF(NOT($B$61),"",T155*T156)</f>
        <v/>
      </c>
      <c r="U157" s="7165"/>
      <c r="V157" s="7171" t="str">
        <f>IF(NOT($B$61),"",V155*V156)</f>
        <v/>
      </c>
      <c r="W157" s="7172"/>
      <c r="X157" s="82"/>
      <c r="Y157" s="1450"/>
      <c r="Z157" s="452"/>
      <c r="AA157" s="452"/>
      <c r="AB157" s="1610"/>
      <c r="AC157" s="1443"/>
      <c r="AD157" s="1443"/>
      <c r="AE157" s="1443"/>
      <c r="AF157" s="1443"/>
      <c r="AG157" s="1443"/>
      <c r="AH157" s="1443"/>
      <c r="AI157" s="1443"/>
      <c r="AJ157" s="1408"/>
      <c r="AK157" s="1408"/>
      <c r="AL157" s="1767"/>
      <c r="AM157" s="2088"/>
      <c r="AN157" s="1408"/>
      <c r="AO157" s="1408"/>
      <c r="AP157" s="1408"/>
      <c r="AQ157" s="1408"/>
      <c r="AR157" s="1408"/>
      <c r="AS157" s="1877"/>
      <c r="AT157" s="452"/>
      <c r="AU157" s="46"/>
      <c r="AV157" s="4253"/>
      <c r="AW157" s="3955"/>
      <c r="AX157" s="3955"/>
      <c r="AY157" s="3955"/>
      <c r="AZ157" s="3955"/>
      <c r="BA157" s="3955"/>
      <c r="BB157" s="46"/>
      <c r="BP157" s="4259" t="str">
        <f>IF(File_Single&lt;&gt;"",BQ155,IF(OR(File_Marr_Joint&lt;&gt;"",File_Qual_Widow&lt;&gt;""),BR155,IF(File_Marr_Sep&lt;&gt;"", BS155,IF(File_Head&lt;&gt;"",BT155,"Filing status?"))))</f>
        <v>Filing status?</v>
      </c>
      <c r="BQ157" s="4260" t="str">
        <f>"&gt;=100k"</f>
        <v>&gt;=100k</v>
      </c>
      <c r="BR157" s="4260"/>
      <c r="BS157" s="4266" t="s">
        <v>3630</v>
      </c>
      <c r="BT157" s="4267" t="str">
        <f>IF(BP154&gt;100000,BP157,BP156)</f>
        <v>Filing status?</v>
      </c>
      <c r="BV157" s="4259" t="str">
        <f>IF(File_Single&lt;&gt;"",BW155,IF(OR(File_Marr_Joint&lt;&gt;"",File_Qual_Widow&lt;&gt;""),BX155,IF(File_Marr_Sep&lt;&gt;"", BY155,IF(File_Head&lt;&gt;"",BZ155,"Filing status?"))))</f>
        <v>Filing status?</v>
      </c>
      <c r="BW157" s="4260" t="str">
        <f>"&gt;=100k"</f>
        <v>&gt;=100k</v>
      </c>
      <c r="BX157" s="4260"/>
      <c r="BY157" s="4266" t="s">
        <v>3630</v>
      </c>
      <c r="BZ157" s="4267" t="str">
        <f>IF(BV154&gt;100000,BV157,BV156)</f>
        <v>Filing status?</v>
      </c>
    </row>
    <row r="158" spans="1:78" ht="13.5" customHeight="1" thickTop="1">
      <c r="A158" s="635"/>
      <c r="B158" s="74"/>
      <c r="C158" s="52">
        <v>4</v>
      </c>
      <c r="D158" s="74" t="s">
        <v>2259</v>
      </c>
      <c r="E158" s="24"/>
      <c r="F158" s="24"/>
      <c r="G158" s="24"/>
      <c r="H158" s="24"/>
      <c r="I158" s="24"/>
      <c r="J158" s="24"/>
      <c r="K158" s="24"/>
      <c r="L158" s="24"/>
      <c r="M158" s="24"/>
      <c r="N158" s="24"/>
      <c r="O158" s="450"/>
      <c r="P158" s="398"/>
      <c r="Q158" s="446"/>
      <c r="R158" s="398"/>
      <c r="S158" s="2660"/>
      <c r="T158" s="1080"/>
      <c r="U158" s="2660"/>
      <c r="V158" s="2659"/>
      <c r="W158" s="1080"/>
      <c r="X158" s="82"/>
      <c r="Y158" s="1450"/>
      <c r="Z158" s="452"/>
      <c r="AA158" s="452"/>
      <c r="AB158" s="1610"/>
      <c r="AC158" s="1443"/>
      <c r="AD158" s="1443"/>
      <c r="AE158" s="1443"/>
      <c r="AF158" s="1443"/>
      <c r="AG158" s="1443"/>
      <c r="AH158" s="1443"/>
      <c r="AI158" s="1443"/>
      <c r="AJ158" s="7176" t="s">
        <v>1137</v>
      </c>
      <c r="AK158" s="7199"/>
      <c r="AL158" s="7176" t="s">
        <v>1139</v>
      </c>
      <c r="AM158" s="7199"/>
      <c r="AN158" s="7176" t="s">
        <v>1142</v>
      </c>
      <c r="AO158" s="7177"/>
      <c r="AP158" s="7176" t="s">
        <v>938</v>
      </c>
      <c r="AQ158" s="7319"/>
      <c r="AR158" s="1408"/>
      <c r="AS158" s="1877"/>
      <c r="AT158" s="452"/>
      <c r="AU158" s="46"/>
      <c r="AV158" s="4253"/>
      <c r="AW158" s="922"/>
      <c r="AX158" s="4255"/>
      <c r="AY158" s="4255"/>
      <c r="AZ158" s="922"/>
      <c r="BA158" s="922"/>
      <c r="BB158" s="46"/>
    </row>
    <row r="159" spans="1:78" ht="13.5" thickBot="1">
      <c r="A159" s="635"/>
      <c r="B159" s="24"/>
      <c r="C159" s="52"/>
      <c r="D159" s="74" t="s">
        <v>4761</v>
      </c>
      <c r="E159" s="24"/>
      <c r="F159" s="24"/>
      <c r="G159" s="24"/>
      <c r="H159" s="24"/>
      <c r="I159" s="24"/>
      <c r="J159" s="24"/>
      <c r="K159" s="24"/>
      <c r="L159" s="24"/>
      <c r="M159" s="24"/>
      <c r="N159" s="24"/>
      <c r="O159" s="450"/>
      <c r="P159" s="398"/>
      <c r="Q159" s="446"/>
      <c r="R159" s="398"/>
      <c r="S159" s="2660"/>
      <c r="T159" s="1080"/>
      <c r="U159" s="2660"/>
      <c r="V159" s="2659"/>
      <c r="W159" s="1080"/>
      <c r="X159" s="82"/>
      <c r="Y159" s="1450"/>
      <c r="Z159" s="452"/>
      <c r="AA159" s="452"/>
      <c r="AB159" s="1610"/>
      <c r="AC159" s="1443"/>
      <c r="AD159" s="1443"/>
      <c r="AE159" s="1443"/>
      <c r="AF159" s="1443"/>
      <c r="AG159" s="1443"/>
      <c r="AH159" s="1443"/>
      <c r="AI159" s="1443"/>
      <c r="AJ159" s="7178" t="str">
        <f>"1/1/"&amp;TaxYear-2000&amp;"–3/31/"&amp;TaxYear-2000</f>
        <v>1/1/18–3/31/18</v>
      </c>
      <c r="AK159" s="7179"/>
      <c r="AL159" s="7178" t="str">
        <f>"1/1/"&amp;TaxYear-2000&amp;"–5/31/"&amp;TaxYear-2000</f>
        <v>1/1/18–5/31/18</v>
      </c>
      <c r="AM159" s="7179"/>
      <c r="AN159" s="7178" t="str">
        <f>"1/1/"&amp;TaxYear-2000&amp;"–8/31/"&amp;TaxYear-2000</f>
        <v>1/1/18–8/31/18</v>
      </c>
      <c r="AO159" s="7179"/>
      <c r="AP159" s="7178" t="str">
        <f>"1/1/"&amp;TaxYear-2000&amp;"–12/31/"&amp;TaxYear-2000</f>
        <v>1/1/18–12/31/18</v>
      </c>
      <c r="AQ159" s="7320"/>
      <c r="AR159" s="1408"/>
      <c r="AS159" s="1877"/>
      <c r="AT159" s="452"/>
      <c r="AU159" s="46"/>
      <c r="AV159" s="4253"/>
      <c r="AW159" s="3955"/>
      <c r="AX159" s="3955"/>
      <c r="AY159" s="3955"/>
      <c r="AZ159" s="3955"/>
      <c r="BA159" s="3955"/>
      <c r="BB159" s="46"/>
      <c r="BP159" s="277" t="s">
        <v>3631</v>
      </c>
      <c r="BQ159" s="277" t="s">
        <v>77</v>
      </c>
      <c r="BR159" s="277" t="s">
        <v>3629</v>
      </c>
      <c r="BS159" s="277" t="s">
        <v>531</v>
      </c>
      <c r="BT159" s="277" t="s">
        <v>2508</v>
      </c>
      <c r="BV159" s="277" t="s">
        <v>3635</v>
      </c>
      <c r="BW159" s="277" t="s">
        <v>77</v>
      </c>
      <c r="BX159" s="277" t="s">
        <v>3629</v>
      </c>
      <c r="BY159" s="277" t="s">
        <v>531</v>
      </c>
      <c r="BZ159" s="277" t="s">
        <v>2508</v>
      </c>
    </row>
    <row r="160" spans="1:78" ht="14.25" thickTop="1" thickBot="1">
      <c r="A160" s="635"/>
      <c r="B160" s="24"/>
      <c r="C160" s="52"/>
      <c r="D160" s="74" t="s">
        <v>4762</v>
      </c>
      <c r="E160" s="24"/>
      <c r="F160" s="24"/>
      <c r="G160" s="24"/>
      <c r="H160" s="24"/>
      <c r="I160" s="24"/>
      <c r="J160" s="24"/>
      <c r="K160" s="24"/>
      <c r="L160" s="24"/>
      <c r="M160" s="24"/>
      <c r="N160" s="1699" t="s">
        <v>1280</v>
      </c>
      <c r="O160" s="2667">
        <v>4</v>
      </c>
      <c r="P160" s="7166">
        <v>0</v>
      </c>
      <c r="Q160" s="7167"/>
      <c r="R160" s="7166">
        <v>0</v>
      </c>
      <c r="S160" s="7167"/>
      <c r="T160" s="7166">
        <v>0</v>
      </c>
      <c r="U160" s="7167"/>
      <c r="V160" s="7166">
        <v>0</v>
      </c>
      <c r="W160" s="7168"/>
      <c r="X160" s="82"/>
      <c r="Y160" s="1450"/>
      <c r="Z160" s="452"/>
      <c r="AA160" s="452"/>
      <c r="AB160" s="3077" t="s">
        <v>336</v>
      </c>
      <c r="AC160" s="1607" t="s">
        <v>3566</v>
      </c>
      <c r="AD160" s="1607"/>
      <c r="AE160" s="1443"/>
      <c r="AF160" s="1443"/>
      <c r="AG160" s="1443"/>
      <c r="AH160" s="1443"/>
      <c r="AI160" s="1443"/>
      <c r="AJ160" s="1408"/>
      <c r="AK160" s="1408"/>
      <c r="AL160" s="1408"/>
      <c r="AM160" s="1408"/>
      <c r="AN160" s="1408"/>
      <c r="AO160" s="1408"/>
      <c r="AP160" s="1408"/>
      <c r="AQ160" s="1408"/>
      <c r="AR160" s="1408"/>
      <c r="AS160" s="1877"/>
      <c r="AT160" s="452"/>
      <c r="AU160" s="46"/>
      <c r="AV160" s="4253"/>
      <c r="AW160" s="1701"/>
      <c r="AX160" s="1701"/>
      <c r="AY160" s="1701"/>
      <c r="AZ160" s="1701"/>
      <c r="BA160" s="1701"/>
      <c r="BB160" s="46"/>
      <c r="BP160" s="4268">
        <f>$AW$318</f>
        <v>0</v>
      </c>
      <c r="BQ160" s="4262">
        <f>LOOKUP(BP160,'Tax Table'!$B$2:$B$2063,'Tax Table'!$D$2:$D$2063)</f>
        <v>0</v>
      </c>
      <c r="BR160" s="4262">
        <f>LOOKUP(BP160,'Tax Table'!$B$2:$B$2063,'Tax Table'!$E$2:$E$2063)</f>
        <v>0</v>
      </c>
      <c r="BS160" s="4262">
        <f>LOOKUP(BP160,'Tax Table'!$B$2:$B$2063,'Tax Table'!$F$2:$F$2063)</f>
        <v>0</v>
      </c>
      <c r="BT160" s="4263">
        <f>LOOKUP(BP160,'Tax Table'!$B$2:$B$2063,'Tax Table'!$G$2:$G$2063)</f>
        <v>0</v>
      </c>
      <c r="BV160" s="4268">
        <f>$AW$309</f>
        <v>0</v>
      </c>
      <c r="BW160" s="4262">
        <f>LOOKUP(BV160,'Tax Table'!$B$2:$B$2063,'Tax Table'!$D$2:$D$2063)</f>
        <v>0</v>
      </c>
      <c r="BX160" s="4262">
        <f>LOOKUP(BV160,'Tax Table'!$B$2:$B$2063,'Tax Table'!$E$2:$E$2063)</f>
        <v>0</v>
      </c>
      <c r="BY160" s="4262">
        <f>LOOKUP(BV160,'Tax Table'!$B$2:$B$2063,'Tax Table'!$F$2:$F$2063)</f>
        <v>0</v>
      </c>
      <c r="BZ160" s="4263">
        <f>LOOKUP(BV160,'Tax Table'!$B$2:$B$2063,'Tax Table'!$G$2:$G$2063)</f>
        <v>0</v>
      </c>
    </row>
    <row r="161" spans="1:78" ht="16.5" thickBot="1">
      <c r="A161" s="635"/>
      <c r="B161" s="24"/>
      <c r="C161" s="52">
        <v>5</v>
      </c>
      <c r="D161" s="3247" t="s">
        <v>2276</v>
      </c>
      <c r="E161" s="24"/>
      <c r="F161" s="24"/>
      <c r="G161" s="24"/>
      <c r="H161" s="24"/>
      <c r="I161" s="24"/>
      <c r="J161" s="24"/>
      <c r="K161" s="24"/>
      <c r="L161" s="24"/>
      <c r="M161" s="24"/>
      <c r="N161" s="1699" t="s">
        <v>312</v>
      </c>
      <c r="O161" s="2667">
        <v>5</v>
      </c>
      <c r="P161" s="7233">
        <v>4</v>
      </c>
      <c r="Q161" s="7234"/>
      <c r="R161" s="7235">
        <v>2.4</v>
      </c>
      <c r="S161" s="7236"/>
      <c r="T161" s="7169">
        <v>1.5</v>
      </c>
      <c r="U161" s="7170"/>
      <c r="V161" s="7257">
        <v>1</v>
      </c>
      <c r="W161" s="7258"/>
      <c r="X161" s="82"/>
      <c r="Y161" s="1450"/>
      <c r="Z161" s="452"/>
      <c r="AA161" s="452"/>
      <c r="AB161" s="1610"/>
      <c r="AC161" s="1607" t="s">
        <v>3567</v>
      </c>
      <c r="AD161" s="1607"/>
      <c r="AE161" s="1443"/>
      <c r="AF161" s="1443"/>
      <c r="AG161" s="1443"/>
      <c r="AH161" s="1443"/>
      <c r="AI161" s="1443"/>
      <c r="AJ161" s="1767" t="s">
        <v>336</v>
      </c>
      <c r="AK161" s="2756" t="str">
        <f>P173</f>
        <v/>
      </c>
      <c r="AL161" s="1767"/>
      <c r="AM161" s="2756" t="str">
        <f>R173</f>
        <v/>
      </c>
      <c r="AN161" s="1767"/>
      <c r="AO161" s="2756" t="str">
        <f>T173</f>
        <v/>
      </c>
      <c r="AP161" s="1767"/>
      <c r="AQ161" s="2756" t="str">
        <f>V173</f>
        <v/>
      </c>
      <c r="AR161" s="1767"/>
      <c r="AS161" s="5176"/>
      <c r="AT161" s="452"/>
      <c r="AU161" s="46"/>
      <c r="AV161" s="4253"/>
      <c r="AW161" s="3955"/>
      <c r="AX161" s="3955"/>
      <c r="AY161" s="3955"/>
      <c r="AZ161" s="3955"/>
      <c r="BA161" s="3955"/>
      <c r="BB161" s="46"/>
      <c r="BP161" s="4257"/>
      <c r="BQ161" s="4264" t="str">
        <f>IF(BP160&lt;SectA_a3,"---",IF(BP160&lt;=SectA_a4,ROUND((BP160*(SectA_b4/100)-SectA_d4),0),IF(BP160&lt;=SectA_a5,ROUND((BP160*(SectA_b5/100)-SectA_d5),0),IF(BP160&lt;=SectA_a6,ROUND((BP160*(SectA_b6/100)-SectA_d6),0),ROUND((BP160*(SectA_b7/100)-SectA_d7),0)))))</f>
        <v>---</v>
      </c>
      <c r="BR161" s="4264" t="str">
        <f>IF(BP160&lt;SectB_a2,"---",IF(BP160&lt;=SectB_a3,ROUND((BP160*(SectB_b3/100)-SectB_d3),0),IF(BP160&lt;=SectB_a4,ROUND((BP160*(SectB_b4/100)-SectB_d4),0),IF(BP160&lt;=SectB_a5,ROUND((BP160*(SectB_b5/100)-SectB_d5),0),IF(BP160&lt;=SectB_a6,ROUND((BP160*(SectB_b6/100)-SectB_d6),0),ROUND((BP160*(SectB_b7/100)-SectB_d7),0))))))</f>
        <v>---</v>
      </c>
      <c r="BS161" s="4264" t="str">
        <f>IF(BP160&lt;SectC_a2,"---",IF(BP160&lt;=SectC_a3,ROUND((BP160*(SectC_b3/100)-SectC_d3),0),IF(BP160&lt;=SectC_a4,ROUND((BP160*(SectC_b4/100)-SectC_d4),0),IF(BP160&lt;=SectC_a5,ROUND((BP160*(SectC_b5/100)-SectC_d5),0),ROUND((BP160*(SectC_b6/100)-SectC_d6),0)))))</f>
        <v>---</v>
      </c>
      <c r="BT161" s="4265" t="str">
        <f>IF(BP160&lt;SectD_a2,"---",IF(BP160&lt;=SectD_a3,ROUND((BP160*(SectD_b3/100)-SectD_d3),0),IF(BP160&lt;=SectD_a4,ROUND((BP160*(SectD_b4/100)-SectD_d4),0),IF(BP160&lt;=SectD_a5,ROUND((BP160*(SectD_b5/100)-SectD_d5),0),IF(BP160&lt;=SectD_a6,ROUND((BP160*(SectD_b6/100)-SectD_d6),0),ROUND((BP160*(SectD_b7/100)-SectD_d7),0))))))</f>
        <v>---</v>
      </c>
      <c r="BV161" s="4257"/>
      <c r="BW161" s="4264" t="str">
        <f>IF(BV160&lt;SectA_a3,"---",IF(BV160&lt;=SectA_a4,ROUND((BV160*(SectA_b4/100)-SectA_d4),0),IF(BV160&lt;=SectA_a5,ROUND((BV160*(SectA_b5/100)-SectA_d5),0),IF(BV160&lt;=SectA_a6,ROUND((BV160*(SectA_b6/100)-SectA_d6),0),ROUND((BV160*(SectA_b7/100)-SectA_d7),0)))))</f>
        <v>---</v>
      </c>
      <c r="BX161" s="4264" t="str">
        <f>IF(BV160&lt;SectB_a2,"---",IF(BV160&lt;=SectB_a3,ROUND((BV160*(SectB_b3/100)-SectB_d3),0),IF(BV160&lt;=SectB_a4,ROUND((BV160*(SectB_b4/100)-SectB_d4),0),IF(BV160&lt;=SectB_a5,ROUND((BV160*(SectB_b5/100)-SectB_d5),0),IF(BV160&lt;=SectB_a6,ROUND((BV160*(SectB_b6/100)-SectB_d6),0),ROUND((BV160*(SectB_b7/100)-SectB_d7),0))))))</f>
        <v>---</v>
      </c>
      <c r="BY161" s="4264" t="str">
        <f>IF(BV160&lt;SectC_a2,"---",IF(BV160&lt;=SectC_a3,ROUND((BV160*(SectC_b3/100)-SectC_d3),0),IF(BV160&lt;=SectC_a4,ROUND((BV160*(SectC_b4/100)-SectC_d4),0),IF(BV160&lt;=SectC_a5,ROUND((BV160*(SectC_b5/100)-SectC_d5),0),ROUND((BV160*(SectC_b6/100)-SectC_d6),0)))))</f>
        <v>---</v>
      </c>
      <c r="BZ161" s="4265" t="str">
        <f>IF(BV160&lt;SectD_a2,"---",IF(BV160&lt;=SectD_a3,ROUND((BV160*(SectD_b3/100)-SectD_d3),0),IF(BV160&lt;=SectD_a4,ROUND((BV160*(SectD_b4/100)-SectD_d4),0),IF(BV160&lt;=SectD_a5,ROUND((BV160*(SectD_b5/100)-SectD_d5),0),IF(BV160&lt;=SectD_a6,ROUND((BV160*(SectD_b6/100)-SectD_d6),0),ROUND((BV160*(SectD_b7/100)-SectD_d7),0))))))</f>
        <v>---</v>
      </c>
    </row>
    <row r="162" spans="1:78" ht="14.25" customHeight="1" thickBot="1">
      <c r="A162" s="635"/>
      <c r="B162" s="24"/>
      <c r="C162" s="52">
        <v>6</v>
      </c>
      <c r="D162" s="3247" t="s">
        <v>4599</v>
      </c>
      <c r="E162" s="24"/>
      <c r="F162" s="24"/>
      <c r="G162" s="24"/>
      <c r="H162" s="24"/>
      <c r="I162" s="24"/>
      <c r="J162" s="24"/>
      <c r="K162" s="24"/>
      <c r="L162" s="24"/>
      <c r="M162" s="24"/>
      <c r="N162" s="1699" t="s">
        <v>312</v>
      </c>
      <c r="O162" s="2667">
        <v>6</v>
      </c>
      <c r="P162" s="7164" t="str">
        <f>IF(NOT($B$61),"",ROUND(P160*P161,0))</f>
        <v/>
      </c>
      <c r="Q162" s="7165"/>
      <c r="R162" s="7164" t="str">
        <f>IF(NOT($B$61),"",ROUND(R160*R161,0))</f>
        <v/>
      </c>
      <c r="S162" s="7165"/>
      <c r="T162" s="7164" t="str">
        <f>IF(NOT($B$61),"",ROUND(T160*T161,0))</f>
        <v/>
      </c>
      <c r="U162" s="7165"/>
      <c r="V162" s="7171" t="str">
        <f>IF(NOT($B$61),"",ROUND(V160*V161,0))</f>
        <v/>
      </c>
      <c r="W162" s="7172"/>
      <c r="X162" s="82"/>
      <c r="Y162" s="1450"/>
      <c r="Z162" s="452"/>
      <c r="AA162" s="452"/>
      <c r="AB162" s="1610"/>
      <c r="AC162" s="1443"/>
      <c r="AD162" s="1443"/>
      <c r="AE162" s="1443"/>
      <c r="AF162" s="1443"/>
      <c r="AG162" s="1443"/>
      <c r="AH162" s="1443"/>
      <c r="AI162" s="1443"/>
      <c r="AJ162" s="1767"/>
      <c r="AK162" s="2088"/>
      <c r="AL162" s="1767"/>
      <c r="AM162" s="2088"/>
      <c r="AN162" s="1408"/>
      <c r="AO162" s="2088"/>
      <c r="AP162" s="1408"/>
      <c r="AQ162" s="2088"/>
      <c r="AR162" s="1408"/>
      <c r="AS162" s="1877"/>
      <c r="AT162" s="452"/>
      <c r="AU162" s="46"/>
      <c r="AV162" s="4253"/>
      <c r="AW162" s="46"/>
      <c r="AX162" s="46"/>
      <c r="AY162" s="46"/>
      <c r="AZ162" s="46"/>
      <c r="BA162" s="46"/>
      <c r="BB162" s="46"/>
      <c r="BP162" s="4258" t="str">
        <f>IF(File_Single&lt;&gt;"",BQ160,IF(File_Marr_Joint&lt;&gt;"",BR160,IF(File_Marr_Sep&lt;&gt;"", BS160,IF(File_Head&lt;&gt;"",BT160,IF(File_Qual_Widow&lt;&gt;"",BR160,"Filing status?")))))</f>
        <v>Filing status?</v>
      </c>
      <c r="BQ162" s="2563" t="str">
        <f>"&lt;100k"</f>
        <v>&lt;100k</v>
      </c>
      <c r="BR162" s="2563"/>
      <c r="BS162" s="2563"/>
      <c r="BT162" s="4261"/>
      <c r="BV162" s="4258" t="str">
        <f>IF(File_Single&lt;&gt;"",BW160,IF(File_Marr_Joint&lt;&gt;"",BX160,IF(File_Marr_Sep&lt;&gt;"", BY160,IF(File_Head&lt;&gt;"",BZ160,IF(File_Qual_Widow&lt;&gt;"",BX160,"Filing status?")))))</f>
        <v>Filing status?</v>
      </c>
      <c r="BW162" s="2563" t="str">
        <f>"&lt;100k"</f>
        <v>&lt;100k</v>
      </c>
      <c r="BX162" s="2563"/>
      <c r="BY162" s="2563"/>
      <c r="BZ162" s="4261"/>
    </row>
    <row r="163" spans="1:78" ht="14.25" customHeight="1" thickBot="1">
      <c r="A163" s="635"/>
      <c r="B163" s="25"/>
      <c r="C163" s="52">
        <v>7</v>
      </c>
      <c r="D163" s="423" t="s">
        <v>2260</v>
      </c>
      <c r="E163" s="24"/>
      <c r="F163" s="24"/>
      <c r="G163" s="24"/>
      <c r="H163" s="24"/>
      <c r="I163" s="24"/>
      <c r="J163" s="24"/>
      <c r="K163" s="24"/>
      <c r="L163" s="24"/>
      <c r="M163" s="24"/>
      <c r="N163" s="24"/>
      <c r="O163" s="450"/>
      <c r="P163" s="7231"/>
      <c r="Q163" s="7232"/>
      <c r="R163" s="398"/>
      <c r="S163" s="2660"/>
      <c r="T163" s="1080"/>
      <c r="U163" s="2660"/>
      <c r="V163" s="2659"/>
      <c r="W163" s="1080"/>
      <c r="X163" s="82"/>
      <c r="Y163" s="1450"/>
      <c r="Z163" s="452"/>
      <c r="AA163" s="452"/>
      <c r="AB163" s="3077" t="s">
        <v>2000</v>
      </c>
      <c r="AC163" s="1607" t="s">
        <v>3571</v>
      </c>
      <c r="AD163" s="1443"/>
      <c r="AE163" s="1443"/>
      <c r="AF163" s="1443"/>
      <c r="AG163" s="1443"/>
      <c r="AH163" s="1443"/>
      <c r="AI163" s="1443"/>
      <c r="AJ163" s="1767"/>
      <c r="AK163" s="2088"/>
      <c r="AL163" s="1767"/>
      <c r="AM163" s="2088"/>
      <c r="AN163" s="1408"/>
      <c r="AO163" s="2088"/>
      <c r="AP163" s="1408"/>
      <c r="AQ163" s="2088"/>
      <c r="AR163" s="1408"/>
      <c r="AS163" s="1877"/>
      <c r="AT163" s="452"/>
      <c r="AU163" s="46"/>
      <c r="AV163" s="4253"/>
      <c r="AW163" s="46"/>
      <c r="AX163" s="46"/>
      <c r="AY163" s="46"/>
      <c r="AZ163" s="46"/>
      <c r="BA163" s="46"/>
      <c r="BB163" s="46"/>
      <c r="BP163" s="4259" t="str">
        <f>IF(File_Single&lt;&gt;"",BQ161,IF(OR(File_Marr_Joint&lt;&gt;"",File_Qual_Widow&lt;&gt;""),BR161,IF(File_Marr_Sep&lt;&gt;"", BS161,IF(File_Head&lt;&gt;"",BT161,"Filing status?"))))</f>
        <v>Filing status?</v>
      </c>
      <c r="BQ163" s="4260" t="str">
        <f>"&gt;=100k"</f>
        <v>&gt;=100k</v>
      </c>
      <c r="BR163" s="4260"/>
      <c r="BS163" s="4266" t="s">
        <v>3630</v>
      </c>
      <c r="BT163" s="4267" t="str">
        <f>IF(BP160&gt;100000,BP163,BP162)</f>
        <v>Filing status?</v>
      </c>
      <c r="BV163" s="4259" t="str">
        <f>IF(File_Single&lt;&gt;"",BW161,IF(OR(File_Marr_Joint&lt;&gt;"",File_Qual_Widow&lt;&gt;""),BX161,IF(File_Marr_Sep&lt;&gt;"", BY161,IF(File_Head&lt;&gt;"",BZ161,"Filing status?"))))</f>
        <v>Filing status?</v>
      </c>
      <c r="BW163" s="4260" t="str">
        <f>"&gt;=100k"</f>
        <v>&gt;=100k</v>
      </c>
      <c r="BX163" s="4260"/>
      <c r="BY163" s="4266" t="s">
        <v>3630</v>
      </c>
      <c r="BZ163" s="4267" t="str">
        <f>IF(BV160&gt;100000,BV163,BV162)</f>
        <v>Filing status?</v>
      </c>
    </row>
    <row r="164" spans="1:78" ht="14.25" customHeight="1" thickTop="1">
      <c r="A164" s="635"/>
      <c r="B164" s="74"/>
      <c r="C164" s="52"/>
      <c r="D164" s="423" t="s">
        <v>4764</v>
      </c>
      <c r="E164" s="24"/>
      <c r="F164" s="24"/>
      <c r="G164" s="24"/>
      <c r="H164" s="24"/>
      <c r="I164" s="24"/>
      <c r="J164" s="24"/>
      <c r="K164" s="24"/>
      <c r="L164" s="24"/>
      <c r="M164" s="24"/>
      <c r="N164" s="24"/>
      <c r="O164" s="450"/>
      <c r="P164" s="398"/>
      <c r="Q164" s="446"/>
      <c r="R164" s="398"/>
      <c r="S164" s="2660"/>
      <c r="T164" s="1080"/>
      <c r="U164" s="2660"/>
      <c r="V164" s="2659"/>
      <c r="W164" s="1080"/>
      <c r="X164" s="82"/>
      <c r="Y164" s="1450"/>
      <c r="Z164" s="452"/>
      <c r="AA164" s="452"/>
      <c r="AB164" s="3077"/>
      <c r="AC164" s="1607" t="s">
        <v>3584</v>
      </c>
      <c r="AD164" s="1443"/>
      <c r="AE164" s="1443"/>
      <c r="AF164" s="1443"/>
      <c r="AG164" s="1443"/>
      <c r="AH164" s="1443"/>
      <c r="AI164" s="1443"/>
      <c r="AJ164" s="1767" t="s">
        <v>2000</v>
      </c>
      <c r="AK164" s="1983"/>
      <c r="AL164" s="1408"/>
      <c r="AM164" s="1983"/>
      <c r="AN164" s="1408"/>
      <c r="AO164" s="1983"/>
      <c r="AP164" s="1408"/>
      <c r="AQ164" s="1983"/>
      <c r="AR164" s="1408"/>
      <c r="AS164" s="1877"/>
      <c r="AT164" s="452"/>
      <c r="AU164" s="46"/>
      <c r="AV164" s="4253"/>
      <c r="AW164" s="46"/>
      <c r="AX164" s="46"/>
      <c r="AY164" s="46"/>
      <c r="AZ164" s="46"/>
      <c r="BA164" s="46"/>
      <c r="BB164" s="46"/>
    </row>
    <row r="165" spans="1:78" ht="14.25" customHeight="1" thickBot="1">
      <c r="A165" s="635"/>
      <c r="B165" s="24"/>
      <c r="C165" s="52"/>
      <c r="D165" s="3247" t="s">
        <v>4763</v>
      </c>
      <c r="E165" s="24"/>
      <c r="F165" s="24"/>
      <c r="G165" s="24"/>
      <c r="H165" s="24"/>
      <c r="I165" s="24"/>
      <c r="J165" s="24"/>
      <c r="K165" s="24"/>
      <c r="L165" s="24"/>
      <c r="M165" s="24"/>
      <c r="N165" s="24"/>
      <c r="O165" s="450"/>
      <c r="P165" s="7259">
        <f>Standard</f>
        <v>0</v>
      </c>
      <c r="Q165" s="7260"/>
      <c r="R165" s="398"/>
      <c r="S165" s="2660"/>
      <c r="T165" s="1080"/>
      <c r="U165" s="2660"/>
      <c r="V165" s="2659"/>
      <c r="W165" s="1080"/>
      <c r="X165" s="82"/>
      <c r="Y165" s="1450"/>
      <c r="Z165" s="452"/>
      <c r="AA165" s="452"/>
      <c r="AB165" s="1610"/>
      <c r="AC165" s="1443"/>
      <c r="AD165" s="1443"/>
      <c r="AE165" s="1443"/>
      <c r="AF165" s="1443"/>
      <c r="AG165" s="1443"/>
      <c r="AH165" s="1443"/>
      <c r="AI165" s="1443"/>
      <c r="AJ165" s="1767"/>
      <c r="AK165" s="2851"/>
      <c r="AL165" s="1767"/>
      <c r="AM165" s="4239"/>
      <c r="AN165" s="1408"/>
      <c r="AO165" s="4239"/>
      <c r="AP165" s="1408"/>
      <c r="AQ165" s="2851"/>
      <c r="AR165" s="1408"/>
      <c r="AS165" s="1877"/>
      <c r="AT165" s="452"/>
      <c r="AU165" s="46"/>
      <c r="AV165" s="4253"/>
      <c r="AW165" s="46"/>
      <c r="AX165" s="46"/>
      <c r="AY165" s="46"/>
      <c r="AZ165" s="46"/>
      <c r="BA165" s="46"/>
      <c r="BB165" s="46"/>
      <c r="BP165" s="277" t="s">
        <v>3632</v>
      </c>
      <c r="BQ165" s="277" t="s">
        <v>77</v>
      </c>
      <c r="BR165" s="277" t="s">
        <v>3629</v>
      </c>
      <c r="BS165" s="277" t="s">
        <v>531</v>
      </c>
      <c r="BT165" s="277" t="s">
        <v>2508</v>
      </c>
      <c r="BV165" s="277" t="s">
        <v>3636</v>
      </c>
      <c r="BW165" s="277" t="s">
        <v>77</v>
      </c>
      <c r="BX165" s="277" t="s">
        <v>3629</v>
      </c>
      <c r="BY165" s="277" t="s">
        <v>531</v>
      </c>
      <c r="BZ165" s="277" t="s">
        <v>2508</v>
      </c>
    </row>
    <row r="166" spans="1:78" ht="14.25" customHeight="1" thickTop="1" thickBot="1">
      <c r="A166" s="635"/>
      <c r="B166" s="24"/>
      <c r="C166" s="52"/>
      <c r="D166" s="423" t="s">
        <v>4600</v>
      </c>
      <c r="E166" s="24"/>
      <c r="F166" s="24"/>
      <c r="G166" s="24"/>
      <c r="H166" s="24"/>
      <c r="I166" s="24"/>
      <c r="J166" s="24"/>
      <c r="K166" s="24"/>
      <c r="L166" s="24"/>
      <c r="M166" s="24"/>
      <c r="N166" s="1699" t="s">
        <v>879</v>
      </c>
      <c r="O166" s="2667">
        <v>7</v>
      </c>
      <c r="P166" s="7164" t="str">
        <f>IF(NOT($B$61),"",IF(OR(P155="",P160=""),"",$P$165))</f>
        <v/>
      </c>
      <c r="Q166" s="7165"/>
      <c r="R166" s="7164" t="str">
        <f>IF(NOT($B$61),"",IF(OR(R155="",R160=""),"",$P$165))</f>
        <v/>
      </c>
      <c r="S166" s="7165"/>
      <c r="T166" s="7164" t="str">
        <f>IF(NOT($B$61),"",IF(OR(T155="",T160=""),"",$P$165))</f>
        <v/>
      </c>
      <c r="U166" s="7165"/>
      <c r="V166" s="7164" t="str">
        <f>IF(NOT($B$61),"",IF(OR(V155="",V160=""),"",$P$165))</f>
        <v/>
      </c>
      <c r="W166" s="6707"/>
      <c r="X166" s="82"/>
      <c r="Y166" s="1450"/>
      <c r="Z166" s="452"/>
      <c r="AA166" s="452"/>
      <c r="AB166" s="3077" t="s">
        <v>3572</v>
      </c>
      <c r="AC166" s="1443" t="s">
        <v>3574</v>
      </c>
      <c r="AD166" s="1443"/>
      <c r="AE166" s="1443"/>
      <c r="AF166" s="1443"/>
      <c r="AG166" s="1443"/>
      <c r="AH166" s="1443"/>
      <c r="AI166" s="1443"/>
      <c r="AJ166" s="1767"/>
      <c r="AK166" s="2851">
        <f>P156</f>
        <v>4</v>
      </c>
      <c r="AL166" s="1767"/>
      <c r="AM166" s="4239">
        <f>R156</f>
        <v>2.4</v>
      </c>
      <c r="AN166" s="1408"/>
      <c r="AO166" s="4239">
        <f>T156</f>
        <v>1.5</v>
      </c>
      <c r="AP166" s="1408"/>
      <c r="AQ166" s="2851">
        <f>V156</f>
        <v>1</v>
      </c>
      <c r="AR166" s="1408"/>
      <c r="AS166" s="1877"/>
      <c r="AT166" s="452"/>
      <c r="AU166" s="46"/>
      <c r="AV166" s="4253"/>
      <c r="AW166" s="1701"/>
      <c r="AX166" s="1701"/>
      <c r="AY166" s="1701"/>
      <c r="AZ166" s="1701"/>
      <c r="BA166" s="1701"/>
      <c r="BB166" s="46"/>
      <c r="BP166" s="4268">
        <f>AX318</f>
        <v>0</v>
      </c>
      <c r="BQ166" s="4262">
        <f>LOOKUP(BP166,'Tax Table'!$B$2:$B$2063,'Tax Table'!$D$2:$D$2063)</f>
        <v>0</v>
      </c>
      <c r="BR166" s="4262">
        <f>LOOKUP(BP166,'Tax Table'!$B$2:$B$2063,'Tax Table'!$E$2:$E$2063)</f>
        <v>0</v>
      </c>
      <c r="BS166" s="4262">
        <f>LOOKUP(BP166,'Tax Table'!$B$2:$B$2063,'Tax Table'!$F$2:$F$2063)</f>
        <v>0</v>
      </c>
      <c r="BT166" s="4263">
        <f>LOOKUP(BP166,'Tax Table'!$B$2:$B$2063,'Tax Table'!$G$2:$G$2063)</f>
        <v>0</v>
      </c>
      <c r="BV166" s="4268">
        <f>$AX$309</f>
        <v>0</v>
      </c>
      <c r="BW166" s="4262">
        <f>LOOKUP(BV166,'Tax Table'!$B$2:$B$2063,'Tax Table'!$D$2:$D$2063)</f>
        <v>0</v>
      </c>
      <c r="BX166" s="4262">
        <f>LOOKUP(BV166,'Tax Table'!$B$2:$B$2063,'Tax Table'!$E$2:$E$2063)</f>
        <v>0</v>
      </c>
      <c r="BY166" s="4262">
        <f>LOOKUP(BV166,'Tax Table'!$B$2:$B$2063,'Tax Table'!$F$2:$F$2063)</f>
        <v>0</v>
      </c>
      <c r="BZ166" s="4263">
        <f>LOOKUP(BV166,'Tax Table'!$B$2:$B$2063,'Tax Table'!$G$2:$G$2063)</f>
        <v>0</v>
      </c>
    </row>
    <row r="167" spans="1:78" ht="14.25" customHeight="1" thickBot="1">
      <c r="A167" s="635"/>
      <c r="B167" s="24"/>
      <c r="C167" s="52">
        <v>8</v>
      </c>
      <c r="D167" s="3247" t="s">
        <v>4765</v>
      </c>
      <c r="E167" s="24"/>
      <c r="F167" s="24"/>
      <c r="G167" s="24"/>
      <c r="H167" s="24"/>
      <c r="I167" s="24"/>
      <c r="J167" s="24"/>
      <c r="K167" s="24"/>
      <c r="L167" s="24"/>
      <c r="M167" s="24"/>
      <c r="N167" s="1699" t="s">
        <v>857</v>
      </c>
      <c r="O167" s="2667">
        <v>8</v>
      </c>
      <c r="P167" s="7164" t="str">
        <f>IF(NOT($B$61),"",IF(OR(P155="",P160=""),"",MAX(P162,P166)))</f>
        <v/>
      </c>
      <c r="Q167" s="7165"/>
      <c r="R167" s="7164" t="str">
        <f>IF(NOT($B$61),"",IF(OR(R155="",R160=""),"",MAX(R162,R166)))</f>
        <v/>
      </c>
      <c r="S167" s="7165"/>
      <c r="T167" s="7164" t="str">
        <f>IF(NOT($B$61),"",IF(OR(T155="",T160=""),"",MAX(T162,T166)))</f>
        <v/>
      </c>
      <c r="U167" s="7165"/>
      <c r="V167" s="7164" t="str">
        <f>IF(NOT($B$61),"",IF(OR(V155="",V160=""),"",MAX(V162,V166)))</f>
        <v/>
      </c>
      <c r="W167" s="6707"/>
      <c r="X167" s="82"/>
      <c r="Y167" s="1450"/>
      <c r="Z167" s="452"/>
      <c r="AA167" s="452"/>
      <c r="AB167" s="1610"/>
      <c r="AC167" s="1607" t="s">
        <v>3573</v>
      </c>
      <c r="AD167" s="1443"/>
      <c r="AE167" s="1443"/>
      <c r="AF167" s="1443"/>
      <c r="AG167" s="1443"/>
      <c r="AH167" s="1443"/>
      <c r="AI167" s="1443"/>
      <c r="AJ167" s="1767" t="s">
        <v>3572</v>
      </c>
      <c r="AK167" s="2756">
        <f>ROUND(AK164*AK166,0)</f>
        <v>0</v>
      </c>
      <c r="AL167" s="1408"/>
      <c r="AM167" s="2756">
        <f>ROUND(AM164*AM166,0)</f>
        <v>0</v>
      </c>
      <c r="AN167" s="1408"/>
      <c r="AO167" s="2756">
        <f>ROUND(AO164*AO166,0)</f>
        <v>0</v>
      </c>
      <c r="AP167" s="1408"/>
      <c r="AQ167" s="2756">
        <f>ROUND(AQ164*AQ166,0)</f>
        <v>0</v>
      </c>
      <c r="AR167" s="1408"/>
      <c r="AS167" s="1877"/>
      <c r="AT167" s="452"/>
      <c r="AU167" s="46"/>
      <c r="AV167" s="4253"/>
      <c r="AW167" s="46"/>
      <c r="AX167" s="46"/>
      <c r="AY167" s="46"/>
      <c r="AZ167" s="46"/>
      <c r="BA167" s="46"/>
      <c r="BB167" s="46"/>
      <c r="BP167" s="4257"/>
      <c r="BQ167" s="4264" t="str">
        <f>IF(BP166&lt;SectA_a3,"---",IF(BP166&lt;=SectA_a4,ROUND((BP166*(SectA_b4/100)-SectA_d4),0),IF(BP166&lt;=SectA_a5,ROUND((BP166*(SectA_b5/100)-SectA_d5),0),IF(BP166&lt;=SectA_a6,ROUND((BP166*(SectA_b6/100)-SectA_d6),0),ROUND((BP166*(SectA_b7/100)-SectA_d7),0)))))</f>
        <v>---</v>
      </c>
      <c r="BR167" s="4264" t="str">
        <f>IF(BP166&lt;SectB_a2,"---",IF(BP166&lt;=SectB_a3,ROUND((BP166*(SectB_b3/100)-SectB_d3),0),IF(BP166&lt;=SectB_a4,ROUND((BP166*(SectB_b4/100)-SectB_d4),0),IF(BP166&lt;=SectB_a5,ROUND((BP166*(SectB_b5/100)-SectB_d5),0),IF(BP166&lt;=SectB_a6,ROUND((BP166*(SectB_b6/100)-SectB_d6),0),ROUND((BP166*(SectB_b7/100)-SectB_d7),0))))))</f>
        <v>---</v>
      </c>
      <c r="BS167" s="4264" t="str">
        <f>IF(BP166&lt;SectC_a2,"---",IF(BP166&lt;=SectC_a3,ROUND((BP166*(SectC_b3/100)-SectC_d3),0),IF(BP166&lt;=SectC_a4,ROUND((BP166*(SectC_b4/100)-SectC_d4),0),IF(BP166&lt;=SectC_a5,ROUND((BP166*(SectC_b5/100)-SectC_d5),0),ROUND((BP166*(SectC_b6/100)-SectC_d6),0)))))</f>
        <v>---</v>
      </c>
      <c r="BT167" s="4265" t="str">
        <f>IF(BP166&lt;SectD_a2,"---",IF(BP166&lt;=SectD_a3,ROUND((BP166*(SectD_b3/100)-SectD_d3),0),IF(BP166&lt;=SectD_a4,ROUND((BP166*(SectD_b4/100)-SectD_d4),0),IF(BP166&lt;=SectD_a5,ROUND((BP166*(SectD_b5/100)-SectD_d5),0),IF(BP166&lt;=SectD_a6,ROUND((BP166*(SectD_b6/100)-SectD_d6),0),ROUND((BP166*(SectD_b7/100)-SectD_d7),0))))))</f>
        <v>---</v>
      </c>
      <c r="BV167" s="4257"/>
      <c r="BW167" s="4264" t="str">
        <f>IF(BV166&lt;SectA_a3,"---",IF(BV166&lt;=SectA_a4,ROUND((BV166*(SectA_b4/100)-SectA_d4),0),IF(BV166&lt;=SectA_a5,ROUND((BV166*(SectA_b5/100)-SectA_d5),0),IF(BV166&lt;=SectA_a6,ROUND((BV166*(SectA_b6/100)-SectA_d6),0),ROUND((BV166*(SectA_b7/100)-SectA_d7),0)))))</f>
        <v>---</v>
      </c>
      <c r="BX167" s="4264" t="str">
        <f>IF(BV166&lt;SectB_a2,"---",IF(BV166&lt;=SectB_a3,ROUND((BV166*(SectB_b3/100)-SectB_d3),0),IF(BV166&lt;=SectB_a4,ROUND((BV166*(SectB_b4/100)-SectB_d4),0),IF(BV166&lt;=SectB_a5,ROUND((BV166*(SectB_b5/100)-SectB_d5),0),IF(BV166&lt;=SectB_a6,ROUND((BV166*(SectB_b6/100)-SectB_d6),0),ROUND((BV166*(SectB_b7/100)-SectB_d7),0))))))</f>
        <v>---</v>
      </c>
      <c r="BY167" s="4264" t="str">
        <f>IF(BV166&lt;SectC_a2,"---",IF(BV166&lt;=SectC_a3,ROUND((BV166*(SectC_b3/100)-SectC_d3),0),IF(BV166&lt;=SectC_a4,ROUND((BV166*(SectC_b4/100)-SectC_d4),0),IF(BV166&lt;=SectC_a5,ROUND((BV166*(SectC_b5/100)-SectC_d5),0),ROUND((BV166*(SectC_b6/100)-SectC_d6),0)))))</f>
        <v>---</v>
      </c>
      <c r="BZ167" s="4265" t="str">
        <f>IF(BV166&lt;SectD_a2,"---",IF(BV166&lt;=SectD_a3,ROUND((BV166*(SectD_b3/100)-SectD_d3),0),IF(BV166&lt;=SectD_a4,ROUND((BV166*(SectD_b4/100)-SectD_d4),0),IF(BV166&lt;=SectD_a5,ROUND((BV166*(SectD_b5/100)-SectD_d5),0),IF(BV166&lt;=SectD_a6,ROUND((BV166*(SectD_b6/100)-SectD_d6),0),ROUND((BV166*(SectD_b7/100)-SectD_d7),0))))))</f>
        <v>---</v>
      </c>
    </row>
    <row r="168" spans="1:78" ht="14.25" customHeight="1" thickBot="1">
      <c r="A168" s="635"/>
      <c r="B168" s="24"/>
      <c r="C168" s="52">
        <v>9</v>
      </c>
      <c r="D168" s="3247" t="s">
        <v>4596</v>
      </c>
      <c r="E168" s="24"/>
      <c r="F168" s="24"/>
      <c r="G168" s="24"/>
      <c r="H168" s="24"/>
      <c r="I168" s="24"/>
      <c r="J168" s="24"/>
      <c r="K168" s="24"/>
      <c r="L168" s="24"/>
      <c r="M168" s="24"/>
      <c r="N168" s="1699" t="s">
        <v>747</v>
      </c>
      <c r="O168" s="2667">
        <v>9</v>
      </c>
      <c r="P168" s="7173"/>
      <c r="Q168" s="7253"/>
      <c r="R168" s="7173"/>
      <c r="S168" s="7253"/>
      <c r="T168" s="7173"/>
      <c r="U168" s="7253"/>
      <c r="V168" s="7173"/>
      <c r="W168" s="7174"/>
      <c r="X168" s="82"/>
      <c r="Y168" s="1450"/>
      <c r="Z168" s="5042" t="s">
        <v>4942</v>
      </c>
      <c r="AA168" s="5043"/>
      <c r="AB168" s="1610"/>
      <c r="AC168" s="1443"/>
      <c r="AD168" s="1443"/>
      <c r="AE168" s="1443"/>
      <c r="AF168" s="1443"/>
      <c r="AG168" s="1443"/>
      <c r="AH168" s="1443"/>
      <c r="AI168" s="1443"/>
      <c r="AJ168" s="1408"/>
      <c r="AK168" s="2749"/>
      <c r="AL168" s="2749"/>
      <c r="AM168" s="2749"/>
      <c r="AN168" s="2749"/>
      <c r="AO168" s="2749"/>
      <c r="AP168" s="2749"/>
      <c r="AQ168" s="2749"/>
      <c r="AR168" s="1408"/>
      <c r="AS168" s="1877"/>
      <c r="AT168" s="452"/>
      <c r="AU168" s="46"/>
      <c r="AV168" s="4253"/>
      <c r="AW168" s="46"/>
      <c r="AX168" s="46"/>
      <c r="AY168" s="46"/>
      <c r="AZ168" s="46"/>
      <c r="BA168" s="46"/>
      <c r="BB168" s="46"/>
      <c r="BP168" s="4258" t="str">
        <f>IF(File_Single&lt;&gt;"",BQ166,IF(File_Marr_Joint&lt;&gt;"",BR166,IF(File_Marr_Sep&lt;&gt;"", BS166,IF(File_Head&lt;&gt;"",BT166,IF(File_Qual_Widow&lt;&gt;"",BR166,"Filing status?")))))</f>
        <v>Filing status?</v>
      </c>
      <c r="BQ168" s="2563" t="str">
        <f>"&lt;100k"</f>
        <v>&lt;100k</v>
      </c>
      <c r="BR168" s="2563"/>
      <c r="BS168" s="2563"/>
      <c r="BT168" s="4261"/>
      <c r="BV168" s="4258" t="str">
        <f>IF(File_Single&lt;&gt;"",BW166,IF(File_Marr_Joint&lt;&gt;"",BX166,IF(File_Marr_Sep&lt;&gt;"", BY166,IF(File_Head&lt;&gt;"",BZ166,IF(File_Qual_Widow&lt;&gt;"",BX166,"Filing status?")))))</f>
        <v>Filing status?</v>
      </c>
      <c r="BW168" s="2563" t="str">
        <f>"&lt;100k"</f>
        <v>&lt;100k</v>
      </c>
      <c r="BX168" s="2563"/>
      <c r="BY168" s="2563"/>
      <c r="BZ168" s="4261"/>
    </row>
    <row r="169" spans="1:78" ht="14.25" customHeight="1" thickBot="1">
      <c r="A169" s="635"/>
      <c r="B169" s="24"/>
      <c r="C169" s="52">
        <v>10</v>
      </c>
      <c r="D169" s="372" t="s">
        <v>317</v>
      </c>
      <c r="E169" s="24"/>
      <c r="F169" s="24"/>
      <c r="G169" s="24"/>
      <c r="H169" s="24"/>
      <c r="I169" s="24"/>
      <c r="J169" s="24"/>
      <c r="K169" s="24"/>
      <c r="L169" s="24"/>
      <c r="M169" s="24"/>
      <c r="N169" s="1699" t="s">
        <v>677</v>
      </c>
      <c r="O169" s="2667">
        <v>10</v>
      </c>
      <c r="P169" s="7171" t="str">
        <f>IF(NOT($B$61),"",IF(OR(P155="",P160=""),"",SUM(P167,P168)))</f>
        <v/>
      </c>
      <c r="Q169" s="7175"/>
      <c r="R169" s="7171" t="str">
        <f>IF(NOT($B$61),"",IF(OR(R155="",R160=""),"",SUM(R167,R168)))</f>
        <v/>
      </c>
      <c r="S169" s="7175"/>
      <c r="T169" s="7171" t="str">
        <f>IF(NOT($B$61),"",IF(OR(T155="",T160=""),"",SUM(T167,T168)))</f>
        <v/>
      </c>
      <c r="U169" s="7175"/>
      <c r="V169" s="7171" t="str">
        <f>IF(NOT($B$61),"",IF(OR(V155="",V160=""),"",SUM(V167,V168)))</f>
        <v/>
      </c>
      <c r="W169" s="7298"/>
      <c r="X169" s="82"/>
      <c r="Y169" s="1450"/>
      <c r="Z169" s="4256"/>
      <c r="AA169" s="1607" t="s">
        <v>586</v>
      </c>
      <c r="AB169" s="3077" t="s">
        <v>3583</v>
      </c>
      <c r="AC169" s="1607" t="s">
        <v>3568</v>
      </c>
      <c r="AD169" s="1443"/>
      <c r="AE169" s="1443"/>
      <c r="AF169" s="1443"/>
      <c r="AG169" s="1443"/>
      <c r="AH169" s="1443"/>
      <c r="AI169" s="1443"/>
      <c r="AJ169" s="1408"/>
      <c r="AK169" s="1408"/>
      <c r="AL169" s="1408"/>
      <c r="AM169" s="1408"/>
      <c r="AN169" s="1408"/>
      <c r="AO169" s="1408"/>
      <c r="AP169" s="1408"/>
      <c r="AQ169" s="1408"/>
      <c r="AR169" s="1408"/>
      <c r="AS169" s="1877"/>
      <c r="AT169" s="452"/>
      <c r="AU169" s="46"/>
      <c r="AV169" s="4253"/>
      <c r="AW169" s="46"/>
      <c r="AX169" s="46"/>
      <c r="AY169" s="46"/>
      <c r="AZ169" s="46"/>
      <c r="BA169" s="46"/>
      <c r="BB169" s="46"/>
      <c r="BP169" s="4259" t="str">
        <f>IF(File_Single&lt;&gt;"",BQ167,IF(OR(File_Marr_Joint&lt;&gt;"",File_Qual_Widow&lt;&gt;""),BR167,IF(File_Marr_Sep&lt;&gt;"", BS167,IF(File_Head&lt;&gt;"",BT167,"Filing status?"))))</f>
        <v>Filing status?</v>
      </c>
      <c r="BQ169" s="4260" t="str">
        <f>"&gt;=100k"</f>
        <v>&gt;=100k</v>
      </c>
      <c r="BR169" s="4260"/>
      <c r="BS169" s="4266" t="s">
        <v>3630</v>
      </c>
      <c r="BT169" s="4267" t="str">
        <f>IF(BP166&gt;100000,BP169,BP168)</f>
        <v>Filing status?</v>
      </c>
      <c r="BV169" s="4259" t="str">
        <f>IF(File_Single&lt;&gt;"",BW167,IF(OR(File_Marr_Joint&lt;&gt;"",File_Qual_Widow&lt;&gt;""),BX167,IF(File_Marr_Sep&lt;&gt;"", BY167,IF(File_Head&lt;&gt;"",BZ167,"Filing status?"))))</f>
        <v>Filing status?</v>
      </c>
      <c r="BW169" s="4260" t="str">
        <f>"&gt;=100k"</f>
        <v>&gt;=100k</v>
      </c>
      <c r="BX169" s="4260"/>
      <c r="BY169" s="4266" t="s">
        <v>3630</v>
      </c>
      <c r="BZ169" s="4267" t="str">
        <f>IF(BV166&gt;100000,BV169,BV168)</f>
        <v>Filing status?</v>
      </c>
    </row>
    <row r="170" spans="1:78" ht="14.25" customHeight="1" thickBot="1">
      <c r="A170" s="635"/>
      <c r="B170" s="25"/>
      <c r="C170" s="52">
        <v>11</v>
      </c>
      <c r="D170" s="137" t="s">
        <v>4597</v>
      </c>
      <c r="E170" s="24"/>
      <c r="F170" s="24"/>
      <c r="G170" s="24"/>
      <c r="H170" s="24"/>
      <c r="I170" s="24"/>
      <c r="J170" s="24"/>
      <c r="K170" s="24"/>
      <c r="L170" s="24"/>
      <c r="M170" s="24"/>
      <c r="N170" s="1699" t="s">
        <v>680</v>
      </c>
      <c r="O170" s="2667">
        <v>11</v>
      </c>
      <c r="P170" s="7164" t="str">
        <f>IF(NOT($B$61),"",IF(OR(P155="",P160=""),"",SUM(P157,-P169)))</f>
        <v/>
      </c>
      <c r="Q170" s="7165"/>
      <c r="R170" s="7164" t="str">
        <f>IF(NOT($B$61),"",IF(OR(R155="",R160=""),"",SUM(R157,-R169)))</f>
        <v/>
      </c>
      <c r="S170" s="7165"/>
      <c r="T170" s="7164" t="str">
        <f>IF(NOT($B$61),"",IF(OR(T155="",T160=""),"",SUM(T157,-T169)))</f>
        <v/>
      </c>
      <c r="U170" s="7165"/>
      <c r="V170" s="7164" t="str">
        <f>IF(NOT($B$61),"",IF(OR(V155="",V160=""),"",SUM(V157,-V169)))</f>
        <v/>
      </c>
      <c r="W170" s="6707"/>
      <c r="X170" s="82"/>
      <c r="Y170" s="1450"/>
      <c r="Z170" s="4256"/>
      <c r="AA170" s="1607" t="s">
        <v>587</v>
      </c>
      <c r="AB170" s="1610"/>
      <c r="AC170" s="1443"/>
      <c r="AD170" s="1443"/>
      <c r="AE170" s="1616" t="b">
        <f>AND(NOT(SchD_NotReqd),OR(SchDLine15&lt;&gt;"",SchDLine16&lt;&gt;""))</f>
        <v>0</v>
      </c>
      <c r="AF170" s="1443"/>
      <c r="AG170" s="1443"/>
      <c r="AH170" s="1443"/>
      <c r="AI170" s="1443"/>
      <c r="AJ170" s="1767" t="s">
        <v>3583</v>
      </c>
      <c r="AK170" s="1983"/>
      <c r="AL170" s="1408"/>
      <c r="AM170" s="1983"/>
      <c r="AN170" s="1408"/>
      <c r="AO170" s="1983"/>
      <c r="AP170" s="1408"/>
      <c r="AQ170" s="1983"/>
      <c r="AR170" s="1408"/>
      <c r="AS170" s="1877"/>
      <c r="AT170" s="452"/>
      <c r="AU170" s="46"/>
      <c r="AV170" s="2153"/>
      <c r="AW170" s="46"/>
      <c r="AX170" s="46"/>
      <c r="AY170" s="46"/>
      <c r="AZ170" s="46"/>
      <c r="BA170" s="46"/>
      <c r="BB170" s="46"/>
    </row>
    <row r="171" spans="1:78" ht="14.25" customHeight="1" thickBot="1">
      <c r="A171" s="635"/>
      <c r="B171" s="25"/>
      <c r="C171" s="52">
        <v>12</v>
      </c>
      <c r="D171" s="137" t="s">
        <v>4601</v>
      </c>
      <c r="E171" s="24"/>
      <c r="F171" s="24"/>
      <c r="G171" s="24"/>
      <c r="H171" s="24"/>
      <c r="I171" s="24"/>
      <c r="J171" s="24"/>
      <c r="K171" s="24"/>
      <c r="L171" s="24"/>
      <c r="M171" s="24"/>
      <c r="N171" s="24"/>
      <c r="O171" s="450"/>
      <c r="P171" s="7231"/>
      <c r="Q171" s="7232"/>
      <c r="R171" s="398"/>
      <c r="S171" s="2660"/>
      <c r="T171" s="1080"/>
      <c r="U171" s="2660"/>
      <c r="V171" s="4943"/>
      <c r="W171" s="2751"/>
      <c r="X171" s="82"/>
      <c r="Y171" s="1450"/>
      <c r="Z171" s="4256"/>
      <c r="AA171" s="1607" t="s">
        <v>588</v>
      </c>
      <c r="AB171" s="1610"/>
      <c r="AC171" s="2296" t="str">
        <f>IF($AE$170,"X","")</f>
        <v/>
      </c>
      <c r="AD171" s="2752"/>
      <c r="AE171" s="4238" t="s">
        <v>3587</v>
      </c>
      <c r="AF171" s="1607"/>
      <c r="AG171" s="1607"/>
      <c r="AH171" s="1607"/>
      <c r="AI171" s="1607"/>
      <c r="AJ171" s="1408"/>
      <c r="AK171" s="2851"/>
      <c r="AL171" s="1767"/>
      <c r="AM171" s="4239"/>
      <c r="AN171" s="1408"/>
      <c r="AO171" s="4239"/>
      <c r="AP171" s="1408"/>
      <c r="AQ171" s="2851"/>
      <c r="AR171" s="1408"/>
      <c r="AS171" s="1877"/>
      <c r="AT171" s="452"/>
      <c r="AU171" s="46"/>
      <c r="AV171" s="2153"/>
      <c r="AW171" s="46"/>
      <c r="AX171" s="46"/>
      <c r="AY171" s="46"/>
      <c r="AZ171" s="46"/>
      <c r="BA171" s="46"/>
      <c r="BB171" s="46"/>
      <c r="BP171" s="277" t="s">
        <v>3633</v>
      </c>
      <c r="BQ171" s="277" t="s">
        <v>77</v>
      </c>
      <c r="BR171" s="277" t="s">
        <v>3629</v>
      </c>
      <c r="BS171" s="277" t="s">
        <v>531</v>
      </c>
      <c r="BT171" s="277" t="s">
        <v>2508</v>
      </c>
      <c r="BV171" s="277" t="s">
        <v>3637</v>
      </c>
      <c r="BW171" s="277" t="s">
        <v>77</v>
      </c>
      <c r="BX171" s="277" t="s">
        <v>3629</v>
      </c>
      <c r="BY171" s="277" t="s">
        <v>531</v>
      </c>
      <c r="BZ171" s="277" t="s">
        <v>2508</v>
      </c>
    </row>
    <row r="172" spans="1:78" ht="14.25" customHeight="1" thickTop="1" thickBot="1">
      <c r="A172" s="635"/>
      <c r="B172" s="24"/>
      <c r="C172" s="52"/>
      <c r="D172" s="137" t="s">
        <v>4766</v>
      </c>
      <c r="E172" s="24"/>
      <c r="F172" s="24"/>
      <c r="G172" s="24"/>
      <c r="H172" s="24"/>
      <c r="I172" s="24"/>
      <c r="J172" s="24"/>
      <c r="K172" s="24"/>
      <c r="L172" s="24"/>
      <c r="M172" s="24"/>
      <c r="N172" s="1699" t="s">
        <v>1280</v>
      </c>
      <c r="O172" s="2667">
        <v>12</v>
      </c>
      <c r="P172" s="7164" t="str">
        <f>IF(Z169&lt;&gt;"",ROUND(Z169,0),IF(NOT($B$61),"",IF(OR(P155="",P160=""),"",0)))</f>
        <v/>
      </c>
      <c r="Q172" s="7165"/>
      <c r="R172" s="7164" t="str">
        <f>IF(Z170&lt;&gt;"",ROUND(Z170,0),IF(NOT($B$61),"",IF(OR(R155="",R160=""),"",0)))</f>
        <v/>
      </c>
      <c r="S172" s="7165"/>
      <c r="T172" s="7164" t="str">
        <f>IF(Z171&lt;&gt;"",ROUND(Z171,0),IF(NOT($B$61),"",IF(OR(T155="",T160=""),"",0)))</f>
        <v/>
      </c>
      <c r="U172" s="7165"/>
      <c r="V172" s="7164" t="str">
        <f>IF(Z172&lt;&gt;"",ROUND(Z172,0),IF(NOT($B$61),"",IF(OR(V155="",V160=""),"",0)))</f>
        <v/>
      </c>
      <c r="W172" s="6707"/>
      <c r="X172" s="82"/>
      <c r="Y172" s="1450"/>
      <c r="Z172" s="4256"/>
      <c r="AA172" s="1607" t="s">
        <v>589</v>
      </c>
      <c r="AB172" s="1610"/>
      <c r="AC172" s="1443"/>
      <c r="AD172" s="1443"/>
      <c r="AE172" s="3564" t="s">
        <v>3588</v>
      </c>
      <c r="AF172" s="1443"/>
      <c r="AG172" s="1443"/>
      <c r="AH172" s="1443"/>
      <c r="AI172" s="1443"/>
      <c r="AJ172" s="1408"/>
      <c r="AK172" s="1408"/>
      <c r="AL172" s="1408"/>
      <c r="AM172" s="1408"/>
      <c r="AN172" s="1408"/>
      <c r="AO172" s="1408"/>
      <c r="AP172" s="1408"/>
      <c r="AQ172" s="1408"/>
      <c r="AR172" s="1408"/>
      <c r="AS172" s="1877"/>
      <c r="AT172" s="452"/>
      <c r="AU172" s="46"/>
      <c r="AV172" s="2153"/>
      <c r="AW172" s="46"/>
      <c r="AX172" s="46"/>
      <c r="AY172" s="46"/>
      <c r="AZ172" s="46"/>
      <c r="BA172" s="46"/>
      <c r="BB172" s="46"/>
      <c r="BP172" s="4268">
        <f>AY318</f>
        <v>0</v>
      </c>
      <c r="BQ172" s="4262">
        <f>LOOKUP(BP172,'Tax Table'!$B$2:$B$2063,'Tax Table'!$D$2:$D$2063)</f>
        <v>0</v>
      </c>
      <c r="BR172" s="4262">
        <f>LOOKUP(BP172,'Tax Table'!$B$2:$B$2063,'Tax Table'!$E$2:$E$2063)</f>
        <v>0</v>
      </c>
      <c r="BS172" s="4262">
        <f>LOOKUP(BP172,'Tax Table'!$B$2:$B$2063,'Tax Table'!$F$2:$F$2063)</f>
        <v>0</v>
      </c>
      <c r="BT172" s="4263">
        <f>LOOKUP(BP172,'Tax Table'!$B$2:$B$2063,'Tax Table'!$G$2:$G$2063)</f>
        <v>0</v>
      </c>
      <c r="BU172" s="1016"/>
      <c r="BV172" s="4268">
        <f>AY309</f>
        <v>0</v>
      </c>
      <c r="BW172" s="4262">
        <f>LOOKUP(BV172,'Tax Table'!$B$2:$B$2063,'Tax Table'!$D$2:$D$2063)</f>
        <v>0</v>
      </c>
      <c r="BX172" s="4262">
        <f>LOOKUP(BV172,'Tax Table'!$B$2:$B$2063,'Tax Table'!$E$2:$E$2063)</f>
        <v>0</v>
      </c>
      <c r="BY172" s="4262">
        <f>LOOKUP(BV172,'Tax Table'!$B$2:$B$2063,'Tax Table'!$F$2:$F$2063)</f>
        <v>0</v>
      </c>
      <c r="BZ172" s="4263">
        <f>LOOKUP(BV172,'Tax Table'!$B$2:$B$2063,'Tax Table'!$G$2:$G$2063)</f>
        <v>0</v>
      </c>
    </row>
    <row r="173" spans="1:78" ht="14.25" customHeight="1" thickBot="1">
      <c r="A173" s="635"/>
      <c r="B173" s="24"/>
      <c r="C173" s="52">
        <v>13</v>
      </c>
      <c r="D173" s="137" t="s">
        <v>4770</v>
      </c>
      <c r="E173" s="24"/>
      <c r="F173" s="24"/>
      <c r="G173" s="24"/>
      <c r="H173" s="24"/>
      <c r="I173" s="74"/>
      <c r="J173" s="24"/>
      <c r="K173" s="24"/>
      <c r="L173" s="24"/>
      <c r="M173" s="24"/>
      <c r="N173" s="5035" t="s">
        <v>4771</v>
      </c>
      <c r="O173" s="2667">
        <v>13</v>
      </c>
      <c r="P173" s="7164" t="str">
        <f>IF(NOT($B$61),"",IF(OR(P155="",P160=""),"",IF(SUM(P170,-P172)&lt;=0,0,SUM(P170,-P172))))</f>
        <v/>
      </c>
      <c r="Q173" s="7165"/>
      <c r="R173" s="7164" t="str">
        <f>IF(NOT($B$61),"",IF(OR(R155="",R160=""),"",IF(SUM(R170,-R172)&lt;=0,0,SUM(R170,-R172))))</f>
        <v/>
      </c>
      <c r="S173" s="7165"/>
      <c r="T173" s="7164" t="str">
        <f>IF(NOT($B$61),"",IF(OR(T155="",T160=""),"",IF(SUM(T170,-T172)&lt;=0,0,SUM(T170,-T172))))</f>
        <v/>
      </c>
      <c r="U173" s="7165"/>
      <c r="V173" s="7164" t="str">
        <f>IF(NOT($B$61),"",IF(OR(V155="",V160=""),"",IF(SUM(V170,-V172)&lt;=0,0,SUM(V170,-V172))))</f>
        <v/>
      </c>
      <c r="W173" s="6707"/>
      <c r="X173" s="82"/>
      <c r="Y173" s="1450"/>
      <c r="Z173" s="5042" t="s">
        <v>4768</v>
      </c>
      <c r="AA173" s="5043"/>
      <c r="AB173" s="1610"/>
      <c r="AC173" s="2752"/>
      <c r="AD173" s="2752"/>
      <c r="AE173" s="4238" t="s">
        <v>1040</v>
      </c>
      <c r="AF173" s="1607"/>
      <c r="AG173" s="1607"/>
      <c r="AH173" s="1607"/>
      <c r="AI173" s="1607"/>
      <c r="AJ173" s="1767"/>
      <c r="AK173" s="1408"/>
      <c r="AL173" s="1408"/>
      <c r="AM173" s="1408"/>
      <c r="AN173" s="1408"/>
      <c r="AO173" s="1408"/>
      <c r="AP173" s="1408"/>
      <c r="AQ173" s="1408"/>
      <c r="AR173" s="1408"/>
      <c r="AS173" s="1877"/>
      <c r="AT173" s="452"/>
      <c r="AU173" s="46"/>
      <c r="AV173" s="2153"/>
      <c r="AW173" s="46"/>
      <c r="AX173" s="46"/>
      <c r="AY173" s="46"/>
      <c r="AZ173" s="46"/>
      <c r="BA173" s="46"/>
      <c r="BB173" s="46"/>
      <c r="BP173" s="4257"/>
      <c r="BQ173" s="4264" t="str">
        <f>IF(BP172&lt;SectA_a3,"---",IF(BP172&lt;=SectA_a4,ROUND((BP172*(SectA_b4/100)-SectA_d4),0),IF(BP172&lt;=SectA_a5,ROUND((BP172*(SectA_b5/100)-SectA_d5),0),IF(BP172&lt;=SectA_a6,ROUND((BP172*(SectA_b6/100)-SectA_d6),0),ROUND((BP172*(SectA_b7/100)-SectA_d7),0)))))</f>
        <v>---</v>
      </c>
      <c r="BR173" s="4264" t="str">
        <f>IF(BP172&lt;SectB_a2,"---",IF(BP172&lt;=SectB_a3,ROUND((BP172*(SectB_b3/100)-SectB_d3),0),IF(BP172&lt;=SectB_a4,ROUND((BP172*(SectB_b4/100)-SectB_d4),0),IF(BP172&lt;=SectB_a5,ROUND((BP172*(SectB_b5/100)-SectB_d5),0),IF(BP172&lt;=SectB_a6,ROUND((BP172*(SectB_b6/100)-SectB_d6),0),ROUND((BP172*(SectB_b7/100)-SectB_d7),0))))))</f>
        <v>---</v>
      </c>
      <c r="BS173" s="4264" t="str">
        <f>IF(BP172&lt;SectC_a2,"---",IF(BP172&lt;=SectC_a3,ROUND((BP172*(SectC_b3/100)-SectC_d3),0),IF(BP172&lt;=SectC_a4,ROUND((BP172*(SectC_b4/100)-SectC_d4),0),IF(BP172&lt;=SectC_a5,ROUND((BP172*(SectC_b5/100)-SectC_d5),0),ROUND((BP172*(SectC_b6/100)-SectC_d6),0)))))</f>
        <v>---</v>
      </c>
      <c r="BT173" s="4265" t="str">
        <f>IF(BP172&lt;SectD_a2,"---",IF(BP172&lt;=SectD_a3,ROUND((BP172*(SectD_b3/100)-SectD_d3),0),IF(BP172&lt;=SectD_a4,ROUND((BP172*(SectD_b4/100)-SectD_d4),0),IF(BP172&lt;=SectD_a5,ROUND((BP172*(SectD_b5/100)-SectD_d5),0),IF(BP172&lt;=SectD_a6,ROUND((BP172*(SectD_b6/100)-SectD_d6),0),ROUND((BP172*(SectD_b7/100)-SectD_d7),0))))))</f>
        <v>---</v>
      </c>
      <c r="BV173" s="4257"/>
      <c r="BW173" s="4264" t="str">
        <f>IF(BV172&lt;SectA_a3,"---",IF(BV172&lt;=SectA_a4,ROUND((BV172*(SectA_b4/100)-SectA_d4),0),IF(BV172&lt;=SectA_a5,ROUND((BV172*(SectA_b5/100)-SectA_d5),0),IF(BV172&lt;=SectA_a6,ROUND((BV172*(SectA_b6/100)-SectA_d6),0),ROUND((BV172*(SectA_b7/100)-SectA_d7),0)))))</f>
        <v>---</v>
      </c>
      <c r="BX173" s="4264" t="str">
        <f>IF(BV172&lt;SectB_a2,"---",IF(BV172&lt;=SectB_a3,ROUND((BV172*(SectB_b3/100)-SectB_d3),0),IF(BV172&lt;=SectB_a4,ROUND((BV172*(SectB_b4/100)-SectB_d4),0),IF(BV172&lt;=SectB_a5,ROUND((BV172*(SectB_b5/100)-SectB_d5),0),IF(BV172&lt;=SectB_a6,ROUND((BV172*(SectB_b6/100)-SectB_d6),0),ROUND((BV172*(SectB_b7/100)-SectB_d7),0))))))</f>
        <v>---</v>
      </c>
      <c r="BY173" s="4264" t="str">
        <f>IF(BV172&lt;SectC_a2,"---",IF(BV172&lt;=SectC_a3,ROUND((BV172*(SectC_b3/100)-SectC_d3),0),IF(BV172&lt;=SectC_a4,ROUND((BV172*(SectC_b4/100)-SectC_d4),0),IF(BV172&lt;=SectC_a5,ROUND((BV172*(SectC_b5/100)-SectC_d5),0),ROUND((BV172*(SectC_b6/100)-SectC_d6),0)))))</f>
        <v>---</v>
      </c>
      <c r="BZ173" s="4265" t="str">
        <f>IF(BV172&lt;SectD_a2,"---",IF(BV172&lt;=SectD_a3,ROUND((BV172*(SectD_b3/100)-SectD_d3),0),IF(BV172&lt;=SectD_a4,ROUND((BV172*(SectD_b4/100)-SectD_d4),0),IF(BV172&lt;=SectD_a5,ROUND((BV172*(SectD_b5/100)-SectD_d5),0),IF(BV172&lt;=SectD_a6,ROUND((BV172*(SectD_b6/100)-SectD_d6),0),ROUND((BV172*(SectD_b7/100)-SectD_d7),0))))))</f>
        <v>---</v>
      </c>
    </row>
    <row r="174" spans="1:78" ht="14.25" customHeight="1" thickBot="1">
      <c r="A174" s="635"/>
      <c r="B174" s="24"/>
      <c r="C174" s="52">
        <v>14</v>
      </c>
      <c r="D174" s="372" t="s">
        <v>4767</v>
      </c>
      <c r="E174" s="24"/>
      <c r="F174" s="24"/>
      <c r="G174" s="24"/>
      <c r="H174" s="24"/>
      <c r="I174" s="24"/>
      <c r="J174" s="24"/>
      <c r="K174" s="24"/>
      <c r="L174" s="24"/>
      <c r="M174" s="24"/>
      <c r="N174" s="1699"/>
      <c r="O174" s="2667">
        <v>14</v>
      </c>
      <c r="P174" s="7164" t="str">
        <f>IF(Z174&lt;&gt;"",ROUND(Z174,0),IF(NOT($B$61),"",IF(OR(P155="",P160=""),"",AK231)))</f>
        <v/>
      </c>
      <c r="Q174" s="7165"/>
      <c r="R174" s="7164" t="str">
        <f>IF(Z175&lt;&gt;"",ROUND(Z175,0),IF(NOT($B$61),"",IF(OR(R155="",R160=""),"",AM231)))</f>
        <v/>
      </c>
      <c r="S174" s="7165"/>
      <c r="T174" s="7164" t="str">
        <f>IF(Z176&lt;&gt;"",ROUND(Z176,0),IF(NOT($B$61),"",IF(OR(T155="",T160=""),"",AO231)))</f>
        <v/>
      </c>
      <c r="U174" s="7165"/>
      <c r="V174" s="7164" t="str">
        <f>IF(Z177&lt;&gt;"",ROUND(Z177,0),IF(NOT($B$61),"",IF(OR(V155="",V160=""),"",AQ231)))</f>
        <v/>
      </c>
      <c r="W174" s="6707"/>
      <c r="X174" s="82"/>
      <c r="Y174" s="1450"/>
      <c r="Z174" s="4256"/>
      <c r="AA174" s="1607" t="s">
        <v>2400</v>
      </c>
      <c r="AB174" s="1610"/>
      <c r="AC174" s="2752"/>
      <c r="AD174" s="2752"/>
      <c r="AE174" s="4238" t="s">
        <v>1041</v>
      </c>
      <c r="AF174" s="1607"/>
      <c r="AG174" s="1607"/>
      <c r="AH174" s="1607"/>
      <c r="AI174" s="1607"/>
      <c r="AJ174" s="1408"/>
      <c r="AK174" s="1408"/>
      <c r="AL174" s="1408"/>
      <c r="AM174" s="1408"/>
      <c r="AN174" s="1408"/>
      <c r="AO174" s="1408"/>
      <c r="AP174" s="1408"/>
      <c r="AQ174" s="1408"/>
      <c r="AR174" s="1408"/>
      <c r="AS174" s="1877"/>
      <c r="AT174" s="452"/>
      <c r="AU174" s="46"/>
      <c r="AV174" s="2153"/>
      <c r="AW174" s="46"/>
      <c r="AX174" s="46"/>
      <c r="AY174" s="46"/>
      <c r="AZ174" s="46"/>
      <c r="BA174" s="46"/>
      <c r="BB174" s="46"/>
      <c r="BP174" s="4258" t="str">
        <f>IF(File_Single&lt;&gt;"",BQ172,IF(File_Marr_Joint&lt;&gt;"",BR172,IF(File_Marr_Sep&lt;&gt;"", BS172,IF(File_Head&lt;&gt;"",BT172,IF(File_Qual_Widow&lt;&gt;"",BR172,"Filing status?")))))</f>
        <v>Filing status?</v>
      </c>
      <c r="BQ174" s="2563" t="str">
        <f>"&lt;100k"</f>
        <v>&lt;100k</v>
      </c>
      <c r="BR174" s="2563"/>
      <c r="BS174" s="2563"/>
      <c r="BT174" s="4261"/>
      <c r="BV174" s="4258" t="str">
        <f>IF(File_Single&lt;&gt;"",BW172,IF(File_Marr_Joint&lt;&gt;"",BX172,IF(File_Marr_Sep&lt;&gt;"", BY172,IF(File_Head&lt;&gt;"",BZ172,IF(File_Qual_Widow&lt;&gt;"",BX172,"Filing status?")))))</f>
        <v>Filing status?</v>
      </c>
      <c r="BW174" s="2563" t="str">
        <f>"&lt;100k"</f>
        <v>&lt;100k</v>
      </c>
      <c r="BX174" s="2563"/>
      <c r="BY174" s="2563"/>
      <c r="BZ174" s="4261"/>
    </row>
    <row r="175" spans="1:78" ht="14.25" customHeight="1" thickBot="1">
      <c r="A175" s="635"/>
      <c r="B175" s="25"/>
      <c r="C175" s="52">
        <v>15</v>
      </c>
      <c r="D175" s="423" t="s">
        <v>4602</v>
      </c>
      <c r="E175" s="137"/>
      <c r="F175" s="137"/>
      <c r="G175" s="137"/>
      <c r="H175" s="137"/>
      <c r="I175" s="137"/>
      <c r="J175" s="137"/>
      <c r="K175" s="137"/>
      <c r="L175" s="137"/>
      <c r="M175" s="137"/>
      <c r="N175" s="5036" t="s">
        <v>753</v>
      </c>
      <c r="O175" s="2667">
        <v>15</v>
      </c>
      <c r="P175" s="7164" t="str">
        <f>IF(NOT($B$61),"",IF(OR(P155="",P160=""),"",P207))</f>
        <v/>
      </c>
      <c r="Q175" s="7165"/>
      <c r="R175" s="7164" t="str">
        <f>IF(NOT($B$61),"",IF(OR(R155="",R160=""),"",R207))</f>
        <v/>
      </c>
      <c r="S175" s="7165"/>
      <c r="T175" s="7164" t="str">
        <f>IF(NOT($B$61),"",IF(OR(T155="",T160=""),"",T207))</f>
        <v/>
      </c>
      <c r="U175" s="7165"/>
      <c r="V175" s="7164" t="str">
        <f>IF(NOT($B$61),"",IF(OR(V155="",V160=""),"",V207))</f>
        <v/>
      </c>
      <c r="W175" s="6707"/>
      <c r="X175" s="82"/>
      <c r="Y175" s="1450"/>
      <c r="Z175" s="4256"/>
      <c r="AA175" s="1607" t="s">
        <v>2401</v>
      </c>
      <c r="AB175" s="1610"/>
      <c r="AC175" s="2296" t="str">
        <f>IF($AE$170,"","X")</f>
        <v>X</v>
      </c>
      <c r="AD175" s="2752"/>
      <c r="AE175" s="4238" t="s">
        <v>3589</v>
      </c>
      <c r="AF175" s="1607"/>
      <c r="AG175" s="1607"/>
      <c r="AH175" s="1607"/>
      <c r="AI175" s="1607"/>
      <c r="AJ175" s="1408"/>
      <c r="AK175" s="1408"/>
      <c r="AL175" s="1408"/>
      <c r="AM175" s="1408"/>
      <c r="AN175" s="1408"/>
      <c r="AO175" s="1408"/>
      <c r="AP175" s="1408"/>
      <c r="AQ175" s="1408"/>
      <c r="AR175" s="1408"/>
      <c r="AS175" s="1877"/>
      <c r="AT175" s="452"/>
      <c r="AU175" s="46"/>
      <c r="AV175" s="2153"/>
      <c r="AW175" s="46"/>
      <c r="AX175" s="46"/>
      <c r="AY175" s="46"/>
      <c r="AZ175" s="46"/>
      <c r="BA175" s="46"/>
      <c r="BB175" s="46"/>
      <c r="BP175" s="4259" t="str">
        <f>IF(File_Single&lt;&gt;"",BQ173,IF(OR(File_Marr_Joint&lt;&gt;"",File_Qual_Widow&lt;&gt;""),BR173,IF(File_Marr_Sep&lt;&gt;"", BS173,IF(File_Head&lt;&gt;"",BT173,"Filing status?"))))</f>
        <v>Filing status?</v>
      </c>
      <c r="BQ175" s="4260" t="str">
        <f>"&gt;=100k"</f>
        <v>&gt;=100k</v>
      </c>
      <c r="BR175" s="4260"/>
      <c r="BS175" s="4266" t="s">
        <v>3630</v>
      </c>
      <c r="BT175" s="4267" t="str">
        <f>IF(BP172&gt;100000,BP175,BP174)</f>
        <v>Filing status?</v>
      </c>
      <c r="BV175" s="4259" t="str">
        <f>IF(File_Single&lt;&gt;"",BW173,IF(OR(File_Marr_Joint&lt;&gt;"",File_Qual_Widow&lt;&gt;""),BX173,IF(File_Marr_Sep&lt;&gt;"", BY173,IF(File_Head&lt;&gt;"",BZ173,"Filing status?"))))</f>
        <v>Filing status?</v>
      </c>
      <c r="BW175" s="4260" t="str">
        <f>"&gt;=100k"</f>
        <v>&gt;=100k</v>
      </c>
      <c r="BX175" s="4260"/>
      <c r="BY175" s="4266" t="s">
        <v>3630</v>
      </c>
      <c r="BZ175" s="4267" t="str">
        <f>IF(BV172&gt;100000,BV175,BV174)</f>
        <v>Filing status?</v>
      </c>
    </row>
    <row r="176" spans="1:78" ht="14.25" customHeight="1" thickBot="1">
      <c r="A176" s="635"/>
      <c r="B176" s="74"/>
      <c r="C176" s="52">
        <v>16</v>
      </c>
      <c r="D176" s="137" t="s">
        <v>2262</v>
      </c>
      <c r="E176" s="24"/>
      <c r="F176" s="24"/>
      <c r="G176" s="24"/>
      <c r="H176" s="24"/>
      <c r="I176" s="24"/>
      <c r="J176" s="24"/>
      <c r="K176" s="24"/>
      <c r="L176" s="24"/>
      <c r="M176" s="24"/>
      <c r="N176" s="24"/>
      <c r="O176" s="450"/>
      <c r="P176" s="398"/>
      <c r="Q176" s="446"/>
      <c r="R176" s="398"/>
      <c r="S176" s="2660"/>
      <c r="T176" s="1080"/>
      <c r="U176" s="2660"/>
      <c r="V176" s="2659"/>
      <c r="W176" s="1080"/>
      <c r="X176" s="82"/>
      <c r="Y176" s="1450"/>
      <c r="Z176" s="4256"/>
      <c r="AA176" s="1607" t="s">
        <v>2405</v>
      </c>
      <c r="AB176" s="1610"/>
      <c r="AC176" s="1443"/>
      <c r="AD176" s="1443"/>
      <c r="AE176" s="1607" t="s">
        <v>3590</v>
      </c>
      <c r="AF176" s="1443"/>
      <c r="AG176" s="1443"/>
      <c r="AH176" s="1443"/>
      <c r="AI176" s="1443"/>
      <c r="AJ176" s="1408"/>
      <c r="AK176" s="1408"/>
      <c r="AL176" s="1408"/>
      <c r="AM176" s="1408"/>
      <c r="AN176" s="1408"/>
      <c r="AO176" s="1408"/>
      <c r="AP176" s="1408"/>
      <c r="AQ176" s="1408"/>
      <c r="AR176" s="1408"/>
      <c r="AS176" s="1877"/>
      <c r="AT176" s="452"/>
      <c r="AU176" s="46"/>
      <c r="AV176" s="2153"/>
      <c r="AW176" s="46"/>
      <c r="AX176" s="46"/>
      <c r="AY176" s="46"/>
      <c r="AZ176" s="46"/>
      <c r="BA176" s="46"/>
      <c r="BB176" s="46"/>
    </row>
    <row r="177" spans="1:78" ht="14.25" customHeight="1" thickBot="1">
      <c r="A177" s="635"/>
      <c r="B177" s="24"/>
      <c r="C177" s="52"/>
      <c r="D177" s="137" t="s">
        <v>4772</v>
      </c>
      <c r="E177" s="24"/>
      <c r="F177" s="24"/>
      <c r="G177" s="24"/>
      <c r="H177" s="24"/>
      <c r="I177" s="24"/>
      <c r="J177" s="24"/>
      <c r="K177" s="24"/>
      <c r="L177" s="24"/>
      <c r="M177" s="24"/>
      <c r="N177" s="24"/>
      <c r="O177" s="450"/>
      <c r="P177" s="398"/>
      <c r="Q177" s="446"/>
      <c r="R177" s="398"/>
      <c r="S177" s="2660"/>
      <c r="T177" s="1080"/>
      <c r="U177" s="2660"/>
      <c r="V177" s="2659"/>
      <c r="W177" s="1080"/>
      <c r="X177" s="82"/>
      <c r="Y177" s="1450"/>
      <c r="Z177" s="4256"/>
      <c r="AA177" s="1607" t="s">
        <v>4769</v>
      </c>
      <c r="AB177" s="1610"/>
      <c r="AC177" s="1443"/>
      <c r="AD177" s="1443"/>
      <c r="AE177" s="1443"/>
      <c r="AF177" s="1443"/>
      <c r="AG177" s="1443"/>
      <c r="AH177" s="1443"/>
      <c r="AI177" s="1443"/>
      <c r="AJ177" s="1408"/>
      <c r="AK177" s="1408"/>
      <c r="AL177" s="1408"/>
      <c r="AM177" s="1408"/>
      <c r="AN177" s="1408"/>
      <c r="AO177" s="1408"/>
      <c r="AP177" s="1408"/>
      <c r="AQ177" s="1408"/>
      <c r="AR177" s="1408"/>
      <c r="AS177" s="1877"/>
      <c r="AT177" s="452"/>
      <c r="AU177" s="46"/>
      <c r="AV177" s="2153"/>
      <c r="AW177" s="46"/>
      <c r="AX177" s="46"/>
      <c r="AY177" s="46"/>
      <c r="AZ177" s="46"/>
      <c r="BA177" s="46"/>
      <c r="BB177" s="46"/>
      <c r="BP177" s="277" t="s">
        <v>3634</v>
      </c>
      <c r="BQ177" s="277" t="s">
        <v>77</v>
      </c>
      <c r="BR177" s="277" t="s">
        <v>3629</v>
      </c>
      <c r="BS177" s="277" t="s">
        <v>531</v>
      </c>
      <c r="BT177" s="277" t="s">
        <v>2508</v>
      </c>
      <c r="BV177" s="277" t="s">
        <v>3638</v>
      </c>
      <c r="BW177" s="277" t="s">
        <v>77</v>
      </c>
      <c r="BX177" s="277" t="s">
        <v>3629</v>
      </c>
      <c r="BY177" s="277" t="s">
        <v>531</v>
      </c>
      <c r="BZ177" s="277" t="s">
        <v>2508</v>
      </c>
    </row>
    <row r="178" spans="1:78" ht="14.25" customHeight="1" thickTop="1" thickBot="1">
      <c r="A178" s="635"/>
      <c r="B178" s="24"/>
      <c r="C178" s="52"/>
      <c r="D178" s="137" t="s">
        <v>2263</v>
      </c>
      <c r="E178" s="24"/>
      <c r="F178" s="24"/>
      <c r="G178" s="24"/>
      <c r="H178" s="24"/>
      <c r="I178" s="24"/>
      <c r="J178" s="24"/>
      <c r="K178" s="24"/>
      <c r="L178" s="24"/>
      <c r="M178" s="24"/>
      <c r="N178" s="1699"/>
      <c r="O178" s="2667">
        <v>16</v>
      </c>
      <c r="P178" s="7166"/>
      <c r="Q178" s="7167"/>
      <c r="R178" s="7166"/>
      <c r="S178" s="7167"/>
      <c r="T178" s="7166"/>
      <c r="U178" s="7167"/>
      <c r="V178" s="7166"/>
      <c r="W178" s="7168"/>
      <c r="X178" s="82"/>
      <c r="Y178" s="1450"/>
      <c r="Z178" s="452"/>
      <c r="AA178" s="452"/>
      <c r="AB178" s="3077" t="s">
        <v>3585</v>
      </c>
      <c r="AC178" s="1607" t="s">
        <v>3586</v>
      </c>
      <c r="AD178" s="1443"/>
      <c r="AE178" s="1443"/>
      <c r="AF178" s="1443"/>
      <c r="AG178" s="1443"/>
      <c r="AH178" s="1443"/>
      <c r="AI178" s="1443"/>
      <c r="AJ178" s="1408"/>
      <c r="AK178" s="2851">
        <f>P156</f>
        <v>4</v>
      </c>
      <c r="AL178" s="1767"/>
      <c r="AM178" s="4239">
        <f>R156</f>
        <v>2.4</v>
      </c>
      <c r="AN178" s="1408"/>
      <c r="AO178" s="4239">
        <f>T156</f>
        <v>1.5</v>
      </c>
      <c r="AP178" s="1408"/>
      <c r="AQ178" s="2851">
        <f>V156</f>
        <v>1</v>
      </c>
      <c r="AR178" s="1408"/>
      <c r="AS178" s="1877"/>
      <c r="AT178" s="452"/>
      <c r="AU178" s="46"/>
      <c r="AV178" s="2153"/>
      <c r="AW178" s="46"/>
      <c r="AX178" s="46"/>
      <c r="AY178" s="46"/>
      <c r="AZ178" s="46"/>
      <c r="BA178" s="46"/>
      <c r="BB178" s="46"/>
      <c r="BP178" s="4268">
        <f>AZ318</f>
        <v>0</v>
      </c>
      <c r="BQ178" s="4262">
        <f>LOOKUP(BP178,'Tax Table'!$B$2:$B$2063,'Tax Table'!$D$2:$D$2063)</f>
        <v>0</v>
      </c>
      <c r="BR178" s="4262">
        <f>LOOKUP(BP178,'Tax Table'!$B$2:$B$2063,'Tax Table'!$E$2:$E$2063)</f>
        <v>0</v>
      </c>
      <c r="BS178" s="4262">
        <f>LOOKUP(BP178,'Tax Table'!$B$2:$B$2063,'Tax Table'!$F$2:$F$2063)</f>
        <v>0</v>
      </c>
      <c r="BT178" s="4263">
        <f>LOOKUP(BP178,'Tax Table'!$B$2:$B$2063,'Tax Table'!$G$2:$G$2063)</f>
        <v>0</v>
      </c>
      <c r="BV178" s="4268">
        <f>AZ309</f>
        <v>0</v>
      </c>
      <c r="BW178" s="4262">
        <f>LOOKUP(BV178,'Tax Table'!$B$2:$B$2063,'Tax Table'!$D$2:$D$2063)</f>
        <v>0</v>
      </c>
      <c r="BX178" s="4262">
        <f>LOOKUP(BV178,'Tax Table'!$B$2:$B$2063,'Tax Table'!$E$2:$E$2063)</f>
        <v>0</v>
      </c>
      <c r="BY178" s="4262">
        <f>LOOKUP(BV178,'Tax Table'!$B$2:$B$2063,'Tax Table'!$F$2:$F$2063)</f>
        <v>0</v>
      </c>
      <c r="BZ178" s="4263">
        <f>LOOKUP(BV178,'Tax Table'!$B$2:$B$2063,'Tax Table'!$G$2:$G$2063)</f>
        <v>0</v>
      </c>
    </row>
    <row r="179" spans="1:78" ht="14.25" customHeight="1" thickBot="1">
      <c r="A179" s="635"/>
      <c r="B179" s="24"/>
      <c r="C179" s="52">
        <v>17</v>
      </c>
      <c r="D179" s="137" t="s">
        <v>4603</v>
      </c>
      <c r="E179" s="24"/>
      <c r="F179" s="24"/>
      <c r="G179" s="24"/>
      <c r="H179" s="24"/>
      <c r="I179" s="24"/>
      <c r="J179" s="24"/>
      <c r="K179" s="24"/>
      <c r="L179" s="24"/>
      <c r="M179" s="24"/>
      <c r="N179" s="1699" t="s">
        <v>879</v>
      </c>
      <c r="O179" s="2667">
        <v>17</v>
      </c>
      <c r="P179" s="7164" t="str">
        <f>IF(NOT($B$61),"",IF(OR(P155="",P160=""),"",SUM(P174,P175,P178)))</f>
        <v/>
      </c>
      <c r="Q179" s="7165"/>
      <c r="R179" s="7164" t="str">
        <f>IF(NOT($B$61),"",IF(OR(R155="",R160=""),"",SUM(R174,R175,R178)))</f>
        <v/>
      </c>
      <c r="S179" s="7165"/>
      <c r="T179" s="7164" t="str">
        <f>IF(NOT($B$61),"",IF(OR(T155="",T160=""),"",SUM(T174,T175,T178)))</f>
        <v/>
      </c>
      <c r="U179" s="7165"/>
      <c r="V179" s="7171" t="str">
        <f>IF(NOT($B$61),"",IF(OR(V155="",V160=""),"",SUM(V174,V175,V178)))</f>
        <v/>
      </c>
      <c r="W179" s="7172"/>
      <c r="X179" s="82"/>
      <c r="Y179" s="1450"/>
      <c r="Z179" s="452"/>
      <c r="AA179" s="452"/>
      <c r="AB179" s="1610"/>
      <c r="AC179" s="1607" t="s">
        <v>3573</v>
      </c>
      <c r="AD179" s="1443"/>
      <c r="AE179" s="1443"/>
      <c r="AF179" s="1443"/>
      <c r="AG179" s="1443"/>
      <c r="AH179" s="1443"/>
      <c r="AI179" s="1443"/>
      <c r="AJ179" s="1767" t="s">
        <v>3585</v>
      </c>
      <c r="AK179" s="2756">
        <f>ROUND(AK170*AK178,0)</f>
        <v>0</v>
      </c>
      <c r="AL179" s="1408"/>
      <c r="AM179" s="2756">
        <f>ROUND(AM170*AM178,0)</f>
        <v>0</v>
      </c>
      <c r="AN179" s="1408"/>
      <c r="AO179" s="2756">
        <f>ROUND(AO170*AO178,0)</f>
        <v>0</v>
      </c>
      <c r="AP179" s="1408"/>
      <c r="AQ179" s="2756">
        <f>ROUND(AQ170*AQ178,0)</f>
        <v>0</v>
      </c>
      <c r="AR179" s="1408"/>
      <c r="AS179" s="1877"/>
      <c r="AT179" s="452"/>
      <c r="AU179" s="46"/>
      <c r="AV179" s="2153"/>
      <c r="AW179" s="46"/>
      <c r="AX179" s="46"/>
      <c r="AY179" s="46"/>
      <c r="AZ179" s="46"/>
      <c r="BA179" s="46"/>
      <c r="BB179" s="46"/>
      <c r="BP179" s="4257"/>
      <c r="BQ179" s="4264" t="str">
        <f>IF(BP178&lt;SectA_a3,"---",IF(BP178&lt;=SectA_a4,ROUND((BP178*(SectA_b4/100)-SectA_d4),0),IF(BP178&lt;=SectA_a5,ROUND((BP178*(SectA_b5/100)-SectA_d5),0),IF(BP178&lt;=SectA_a6,ROUND((BP178*(SectA_b6/100)-SectA_d6),0),ROUND((BP178*(SectA_b7/100)-SectA_d7),0)))))</f>
        <v>---</v>
      </c>
      <c r="BR179" s="4264" t="str">
        <f>IF(BP178&lt;SectB_a2,"---",IF(BP178&lt;=SectB_a3,ROUND((BP178*(SectB_b3/100)-SectB_d3),0),IF(BP178&lt;=SectB_a4,ROUND((BP178*(SectB_b4/100)-SectB_d4),0),IF(BP178&lt;=SectB_a5,ROUND((BP178*(SectB_b5/100)-SectB_d5),0),IF(BP178&lt;=SectB_a6,ROUND((BP178*(SectB_b6/100)-SectB_d6),0),ROUND((BP178*(SectB_b7/100)-SectB_d7),0))))))</f>
        <v>---</v>
      </c>
      <c r="BS179" s="4264" t="str">
        <f>IF(BP178&lt;SectC_a2,"---",IF(BP178&lt;=SectC_a3,ROUND((BP178*(SectC_b3/100)-SectC_d3),0),IF(BP178&lt;=SectC_a4,ROUND((BP178*(SectC_b4/100)-SectC_d4),0),IF(BP178&lt;=SectC_a5,ROUND((BP178*(SectC_b5/100)-SectC_d5),0),ROUND((BP178*(SectC_b6/100)-SectC_d6),0)))))</f>
        <v>---</v>
      </c>
      <c r="BT179" s="4265" t="str">
        <f>IF(BP178&lt;SectD_a2,"---",IF(BP178&lt;=SectD_a3,ROUND((BP178*(SectD_b3/100)-SectD_d3),0),IF(BP178&lt;=SectD_a4,ROUND((BP178*(SectD_b4/100)-SectD_d4),0),IF(BP178&lt;=SectD_a5,ROUND((BP178*(SectD_b5/100)-SectD_d5),0),IF(BP178&lt;=SectD_a6,ROUND((BP178*(SectD_b6/100)-SectD_d6),0),ROUND((BP178*(SectD_b7/100)-SectD_d7),0))))))</f>
        <v>---</v>
      </c>
      <c r="BV179" s="4257"/>
      <c r="BW179" s="4264" t="str">
        <f>IF(BV178&lt;SectA_a3,"---",IF(BV178&lt;=SectA_a4,ROUND((BV178*(SectA_b4/100)-SectA_d4),0),IF(BV178&lt;=SectA_a5,ROUND((BV178*(SectA_b5/100)-SectA_d5),0),IF(BV178&lt;=SectA_a6,ROUND((BV178*(SectA_b6/100)-SectA_d6),0),ROUND((BV178*(SectA_b7/100)-SectA_d7),0)))))</f>
        <v>---</v>
      </c>
      <c r="BX179" s="4264" t="str">
        <f>IF(BV178&lt;SectB_a2,"---",IF(BV178&lt;=SectB_a3,ROUND((BV178*(SectB_b3/100)-SectB_d3),0),IF(BV178&lt;=SectB_a4,ROUND((BV178*(SectB_b4/100)-SectB_d4),0),IF(BV178&lt;=SectB_a5,ROUND((BV178*(SectB_b5/100)-SectB_d5),0),IF(BV178&lt;=SectB_a6,ROUND((BV178*(SectB_b6/100)-SectB_d6),0),ROUND((BV178*(SectB_b7/100)-SectB_d7),0))))))</f>
        <v>---</v>
      </c>
      <c r="BY179" s="4264" t="str">
        <f>IF(BV178&lt;SectC_a2,"---",IF(BV178&lt;=SectC_a3,ROUND((BV178*(SectC_b3/100)-SectC_d3),0),IF(BV178&lt;=SectC_a4,ROUND((BV178*(SectC_b4/100)-SectC_d4),0),IF(BV178&lt;=SectC_a5,ROUND((BV178*(SectC_b5/100)-SectC_d5),0),ROUND((BV178*(SectC_b6/100)-SectC_d6),0)))))</f>
        <v>---</v>
      </c>
      <c r="BZ179" s="4265" t="str">
        <f>IF(BV178&lt;SectD_a2,"---",IF(BV178&lt;=SectD_a3,ROUND((BV178*(SectD_b3/100)-SectD_d3),0),IF(BV178&lt;=SectD_a4,ROUND((BV178*(SectD_b4/100)-SectD_d4),0),IF(BV178&lt;=SectD_a5,ROUND((BV178*(SectD_b5/100)-SectD_d5),0),IF(BV178&lt;=SectD_a6,ROUND((BV178*(SectD_b6/100)-SectD_d6),0),ROUND((BV178*(SectD_b7/100)-SectD_d7),0))))))</f>
        <v>---</v>
      </c>
    </row>
    <row r="180" spans="1:78" ht="14.25" customHeight="1" thickBot="1">
      <c r="A180" s="635"/>
      <c r="B180" s="24"/>
      <c r="C180" s="52">
        <v>18</v>
      </c>
      <c r="D180" s="423" t="s">
        <v>2264</v>
      </c>
      <c r="E180" s="24"/>
      <c r="F180" s="24"/>
      <c r="G180" s="24"/>
      <c r="H180" s="24"/>
      <c r="I180" s="24"/>
      <c r="J180" s="24"/>
      <c r="K180" s="24"/>
      <c r="L180" s="24"/>
      <c r="M180" s="24"/>
      <c r="N180" s="24"/>
      <c r="O180" s="450"/>
      <c r="P180" s="398"/>
      <c r="Q180" s="446"/>
      <c r="R180" s="398"/>
      <c r="S180" s="2660"/>
      <c r="T180" s="1080"/>
      <c r="U180" s="2660"/>
      <c r="V180" s="2659"/>
      <c r="W180" s="1080"/>
      <c r="X180" s="82"/>
      <c r="Y180" s="1450"/>
      <c r="Z180" s="452"/>
      <c r="AA180" s="452"/>
      <c r="AB180" s="1610"/>
      <c r="AC180" s="1607"/>
      <c r="AD180" s="1443"/>
      <c r="AE180" s="1443"/>
      <c r="AF180" s="1443"/>
      <c r="AG180" s="1443"/>
      <c r="AH180" s="1443"/>
      <c r="AI180" s="1443"/>
      <c r="AJ180" s="1408"/>
      <c r="AK180" s="1408"/>
      <c r="AL180" s="1408"/>
      <c r="AM180" s="1408"/>
      <c r="AN180" s="1408"/>
      <c r="AO180" s="1408"/>
      <c r="AP180" s="1408"/>
      <c r="AQ180" s="1408"/>
      <c r="AR180" s="1408"/>
      <c r="AS180" s="1877"/>
      <c r="AT180" s="452"/>
      <c r="AU180" s="46"/>
      <c r="AV180" s="2153"/>
      <c r="AW180" s="46"/>
      <c r="AX180" s="46"/>
      <c r="AY180" s="46"/>
      <c r="AZ180" s="46"/>
      <c r="BA180" s="46"/>
      <c r="BB180" s="46"/>
      <c r="BP180" s="4258" t="str">
        <f>IF(File_Single&lt;&gt;"",BQ178,IF(File_Marr_Joint&lt;&gt;"",BR178,IF(File_Marr_Sep&lt;&gt;"", BS178,IF(File_Head&lt;&gt;"",BT178,IF(File_Qual_Widow&lt;&gt;"",BR178,"Filing status?")))))</f>
        <v>Filing status?</v>
      </c>
      <c r="BQ180" s="2563" t="str">
        <f>"&lt;100k"</f>
        <v>&lt;100k</v>
      </c>
      <c r="BR180" s="2563"/>
      <c r="BS180" s="2563"/>
      <c r="BT180" s="4261"/>
      <c r="BV180" s="4258" t="str">
        <f>IF(File_Single&lt;&gt;"",BW178,IF(File_Marr_Joint&lt;&gt;"",BX178,IF(File_Marr_Sep&lt;&gt;"", BY178,IF(File_Head&lt;&gt;"",BZ178,IF(File_Qual_Widow&lt;&gt;"",BX178,"Filing status?")))))</f>
        <v>Filing status?</v>
      </c>
      <c r="BW180" s="2563" t="str">
        <f>"&lt;100k"</f>
        <v>&lt;100k</v>
      </c>
      <c r="BX180" s="2563"/>
      <c r="BY180" s="2563"/>
      <c r="BZ180" s="4261"/>
    </row>
    <row r="181" spans="1:78" ht="14.25" customHeight="1" thickBot="1">
      <c r="A181" s="635"/>
      <c r="B181" s="24"/>
      <c r="C181" s="52"/>
      <c r="D181" s="423" t="s">
        <v>2265</v>
      </c>
      <c r="E181" s="24"/>
      <c r="F181" s="24"/>
      <c r="G181" s="24"/>
      <c r="H181" s="24"/>
      <c r="I181" s="24"/>
      <c r="J181" s="24"/>
      <c r="K181" s="24"/>
      <c r="L181" s="24"/>
      <c r="M181" s="24"/>
      <c r="N181" s="1699" t="s">
        <v>856</v>
      </c>
      <c r="O181" s="2667">
        <v>18</v>
      </c>
      <c r="P181" s="7166"/>
      <c r="Q181" s="7167"/>
      <c r="R181" s="7166"/>
      <c r="S181" s="7167"/>
      <c r="T181" s="7166"/>
      <c r="U181" s="7167"/>
      <c r="V181" s="7166"/>
      <c r="W181" s="7168"/>
      <c r="X181" s="82"/>
      <c r="Y181" s="1450"/>
      <c r="Z181" s="452"/>
      <c r="AA181" s="452"/>
      <c r="AB181" s="3077" t="s">
        <v>455</v>
      </c>
      <c r="AC181" s="1443" t="s">
        <v>127</v>
      </c>
      <c r="AD181" s="1443"/>
      <c r="AE181" s="1443"/>
      <c r="AF181" s="1443"/>
      <c r="AG181" s="1443"/>
      <c r="AH181" s="1443"/>
      <c r="AI181" s="1443"/>
      <c r="AJ181" s="1767" t="s">
        <v>455</v>
      </c>
      <c r="AK181" s="2756">
        <f>SUM(AK167,AK179)</f>
        <v>0</v>
      </c>
      <c r="AL181" s="1408"/>
      <c r="AM181" s="2756">
        <f>SUM(AM167,AM179)</f>
        <v>0</v>
      </c>
      <c r="AN181" s="1408"/>
      <c r="AO181" s="2756">
        <f>SUM(AO167,AO179)</f>
        <v>0</v>
      </c>
      <c r="AP181" s="1408"/>
      <c r="AQ181" s="2756">
        <f>SUM(AQ167,AQ179)</f>
        <v>0</v>
      </c>
      <c r="AR181" s="1408"/>
      <c r="AS181" s="1877"/>
      <c r="AT181" s="452"/>
      <c r="AU181" s="46"/>
      <c r="AV181" s="2153"/>
      <c r="AW181" s="46"/>
      <c r="AX181" s="46"/>
      <c r="AY181" s="46"/>
      <c r="AZ181" s="46"/>
      <c r="BA181" s="46"/>
      <c r="BB181" s="46"/>
      <c r="BP181" s="4259" t="str">
        <f>IF(File_Single&lt;&gt;"",BQ179,IF(OR(File_Marr_Joint&lt;&gt;"",File_Qual_Widow&lt;&gt;""),BR179,IF(File_Marr_Sep&lt;&gt;"", BS179,IF(File_Head&lt;&gt;"",BT179,"Filing status?"))))</f>
        <v>Filing status?</v>
      </c>
      <c r="BQ181" s="4260" t="str">
        <f>"&gt;=100k"</f>
        <v>&gt;=100k</v>
      </c>
      <c r="BR181" s="4260"/>
      <c r="BS181" s="4266" t="s">
        <v>3630</v>
      </c>
      <c r="BT181" s="4267" t="str">
        <f>IF(BP178&gt;100000,BP181,BP180)</f>
        <v>Filing status?</v>
      </c>
      <c r="BV181" s="4259" t="str">
        <f>IF(File_Single&lt;&gt;"",BW179,IF(OR(File_Marr_Joint&lt;&gt;"",File_Qual_Widow&lt;&gt;""),BX179,IF(File_Marr_Sep&lt;&gt;"", BY179,IF(File_Head&lt;&gt;"",BZ179,"Filing status?"))))</f>
        <v>Filing status?</v>
      </c>
      <c r="BW181" s="4260" t="str">
        <f>"&gt;=100k"</f>
        <v>&gt;=100k</v>
      </c>
      <c r="BX181" s="4260"/>
      <c r="BY181" s="4266" t="s">
        <v>3630</v>
      </c>
      <c r="BZ181" s="4267" t="str">
        <f>IF(BV178&gt;100000,BV181,BV180)</f>
        <v>Filing status?</v>
      </c>
    </row>
    <row r="182" spans="1:78" ht="14.25" customHeight="1" thickTop="1">
      <c r="A182" s="635"/>
      <c r="B182" s="24"/>
      <c r="C182" s="52">
        <v>19</v>
      </c>
      <c r="D182" s="137" t="s">
        <v>4604</v>
      </c>
      <c r="E182" s="24"/>
      <c r="F182" s="24"/>
      <c r="G182" s="24"/>
      <c r="H182" s="24"/>
      <c r="I182" s="24"/>
      <c r="J182" s="24"/>
      <c r="K182" s="24"/>
      <c r="L182" s="24"/>
      <c r="M182" s="24"/>
      <c r="N182" s="1699"/>
      <c r="O182" s="2667">
        <v>19</v>
      </c>
      <c r="P182" s="7164" t="str">
        <f>IF(OR(P155="",NOT($B$61)),"",IF(P181="",MAX(0,P179),MAX(0,SUM(P179,-P181))))</f>
        <v/>
      </c>
      <c r="Q182" s="7165"/>
      <c r="R182" s="7164" t="str">
        <f>IF(OR(R155="",NOT($B$61)),"",IF(R181="",MAX(0,R179),MAX(0,SUM(R179,-R181))))</f>
        <v/>
      </c>
      <c r="S182" s="7165"/>
      <c r="T182" s="7164" t="str">
        <f>IF(OR(T155="",NOT($B$61)),"",IF(T181="",MAX(0,T179),MAX(0,SUM(T179,-T181))))</f>
        <v/>
      </c>
      <c r="U182" s="7165"/>
      <c r="V182" s="7171" t="str">
        <f>IF(OR(V155="",NOT($B$61)),"",IF(V181="",MAX(0,V179),MAX(0,SUM(V179,-V181))))</f>
        <v/>
      </c>
      <c r="W182" s="7172"/>
      <c r="X182" s="82"/>
      <c r="Y182" s="1450"/>
      <c r="Z182" s="452"/>
      <c r="AA182" s="452"/>
      <c r="AB182" s="1610"/>
      <c r="AC182" s="1443"/>
      <c r="AD182" s="1443"/>
      <c r="AE182" s="1443"/>
      <c r="AF182" s="1443"/>
      <c r="AG182" s="1443"/>
      <c r="AH182" s="1443"/>
      <c r="AI182" s="1443"/>
      <c r="AJ182" s="1408"/>
      <c r="AK182" s="1408"/>
      <c r="AL182" s="1408"/>
      <c r="AM182" s="1408"/>
      <c r="AN182" s="1408"/>
      <c r="AO182" s="1408"/>
      <c r="AP182" s="1408"/>
      <c r="AQ182" s="1408"/>
      <c r="AR182" s="1408"/>
      <c r="AS182" s="1877"/>
      <c r="AT182" s="452"/>
      <c r="AU182" s="46"/>
      <c r="AV182" s="2153"/>
      <c r="AW182" s="46"/>
      <c r="AX182" s="46"/>
      <c r="AY182" s="46"/>
      <c r="AZ182" s="46"/>
      <c r="BA182" s="46"/>
      <c r="BB182" s="46"/>
    </row>
    <row r="183" spans="1:78" ht="12.75" customHeight="1" thickBot="1">
      <c r="A183" s="635"/>
      <c r="B183" s="24"/>
      <c r="C183" s="52">
        <v>20</v>
      </c>
      <c r="D183" s="137" t="s">
        <v>2266</v>
      </c>
      <c r="E183" s="24"/>
      <c r="F183" s="24"/>
      <c r="G183" s="24"/>
      <c r="H183" s="24"/>
      <c r="I183" s="24"/>
      <c r="J183" s="24"/>
      <c r="K183" s="24"/>
      <c r="L183" s="24"/>
      <c r="M183" s="24"/>
      <c r="N183" s="5037" t="s">
        <v>312</v>
      </c>
      <c r="O183" s="2667">
        <v>20</v>
      </c>
      <c r="P183" s="7304">
        <f>ROUND(V183*0.25,3)</f>
        <v>0.22500000000000001</v>
      </c>
      <c r="Q183" s="7305"/>
      <c r="R183" s="7317">
        <f>ROUND(V183*0.5,3)</f>
        <v>0.45</v>
      </c>
      <c r="S183" s="7318"/>
      <c r="T183" s="7304">
        <f>ROUND(V183*0.75,4)</f>
        <v>0.67500000000000004</v>
      </c>
      <c r="U183" s="7305"/>
      <c r="V183" s="7317">
        <v>0.9</v>
      </c>
      <c r="W183" s="7321"/>
      <c r="X183" s="82"/>
      <c r="Y183" s="1450"/>
      <c r="Z183" s="452"/>
      <c r="AA183" s="452"/>
      <c r="AB183" s="3077" t="s">
        <v>3591</v>
      </c>
      <c r="AC183" s="1607" t="s">
        <v>3569</v>
      </c>
      <c r="AD183" s="1443"/>
      <c r="AE183" s="1443"/>
      <c r="AF183" s="1443"/>
      <c r="AG183" s="1443"/>
      <c r="AH183" s="1443"/>
      <c r="AI183" s="1443"/>
      <c r="AJ183" s="1408"/>
      <c r="AK183" s="2749"/>
      <c r="AL183" s="1408"/>
      <c r="AM183" s="1408"/>
      <c r="AN183" s="1408"/>
      <c r="AO183" s="1408"/>
      <c r="AP183" s="1408"/>
      <c r="AQ183" s="1408"/>
      <c r="AR183" s="1408"/>
      <c r="AS183" s="1877"/>
      <c r="AT183" s="452"/>
      <c r="AU183" s="46"/>
      <c r="AV183" s="2153"/>
      <c r="AW183" s="46"/>
      <c r="AX183" s="46"/>
      <c r="AY183" s="46"/>
      <c r="AZ183" s="46"/>
      <c r="BA183" s="46"/>
      <c r="BB183" s="46"/>
      <c r="BP183" s="277" t="s">
        <v>3596</v>
      </c>
      <c r="BQ183" s="277" t="s">
        <v>77</v>
      </c>
      <c r="BR183" s="277" t="s">
        <v>3629</v>
      </c>
      <c r="BS183" s="277" t="s">
        <v>531</v>
      </c>
      <c r="BT183" s="277" t="s">
        <v>2508</v>
      </c>
      <c r="BV183" s="277" t="s">
        <v>3597</v>
      </c>
      <c r="BW183" s="277" t="s">
        <v>77</v>
      </c>
      <c r="BX183" s="277" t="s">
        <v>3629</v>
      </c>
      <c r="BY183" s="277" t="s">
        <v>531</v>
      </c>
      <c r="BZ183" s="277" t="s">
        <v>2508</v>
      </c>
    </row>
    <row r="184" spans="1:78" ht="12.75" customHeight="1" thickTop="1" thickBot="1">
      <c r="A184" s="635"/>
      <c r="B184" s="24"/>
      <c r="C184" s="52">
        <v>21</v>
      </c>
      <c r="D184" s="137" t="s">
        <v>4605</v>
      </c>
      <c r="E184" s="24"/>
      <c r="F184" s="24"/>
      <c r="G184" s="24"/>
      <c r="H184" s="24"/>
      <c r="I184" s="24"/>
      <c r="J184" s="24"/>
      <c r="K184" s="24"/>
      <c r="L184" s="24"/>
      <c r="M184" s="24"/>
      <c r="N184" s="1699" t="s">
        <v>679</v>
      </c>
      <c r="O184" s="2667">
        <v>21</v>
      </c>
      <c r="P184" s="7164" t="str">
        <f>IF(NOT($B$61),"",IF(OR(P155="",P160=""),"",P182*P183))</f>
        <v/>
      </c>
      <c r="Q184" s="7165"/>
      <c r="R184" s="7164" t="str">
        <f>IF(NOT($B$61),"",IF(OR(R155="",R160=""),"",R182*R183))</f>
        <v/>
      </c>
      <c r="S184" s="7165"/>
      <c r="T184" s="7164" t="str">
        <f>IF(NOT($B$61),"",IF(OR(T155="",T160=""),"",T182*T183))</f>
        <v/>
      </c>
      <c r="U184" s="7165"/>
      <c r="V184" s="7171" t="str">
        <f>IF(NOT($B$61),"",IF(OR(V155="",V160=""),"",V182*V183))</f>
        <v/>
      </c>
      <c r="W184" s="7172"/>
      <c r="X184" s="82"/>
      <c r="Y184" s="1450"/>
      <c r="Z184" s="452"/>
      <c r="AA184" s="452"/>
      <c r="AB184" s="1610"/>
      <c r="AC184" s="1607" t="s">
        <v>3595</v>
      </c>
      <c r="AD184" s="1443"/>
      <c r="AE184" s="1443"/>
      <c r="AF184" s="1443"/>
      <c r="AG184" s="1443"/>
      <c r="AH184" s="1443"/>
      <c r="AI184" s="1443"/>
      <c r="AJ184" s="1408"/>
      <c r="AK184" s="2749"/>
      <c r="AL184" s="1408"/>
      <c r="AM184" s="1408"/>
      <c r="AN184" s="1408"/>
      <c r="AO184" s="1408"/>
      <c r="AP184" s="1408"/>
      <c r="AQ184" s="1408"/>
      <c r="AR184" s="1408"/>
      <c r="AS184" s="1877"/>
      <c r="AT184" s="452"/>
      <c r="AU184" s="46"/>
      <c r="AV184" s="2153"/>
      <c r="AW184" s="46"/>
      <c r="AX184" s="46"/>
      <c r="AY184" s="46"/>
      <c r="AZ184" s="46"/>
      <c r="BA184" s="46"/>
      <c r="BB184" s="46"/>
      <c r="BP184" s="4268">
        <f>AK193</f>
        <v>0</v>
      </c>
      <c r="BQ184" s="4262">
        <f>LOOKUP(BP184,'Tax Table'!$B$2:$B$2063,'Tax Table'!$D$2:$D$2063)</f>
        <v>0</v>
      </c>
      <c r="BR184" s="4262">
        <f>LOOKUP(BP184,'Tax Table'!$B$2:$B$2063,'Tax Table'!$E$2:$E$2063)</f>
        <v>0</v>
      </c>
      <c r="BS184" s="4262">
        <f>LOOKUP(BP184,'Tax Table'!$B$2:$B$2063,'Tax Table'!$F$2:$F$2063)</f>
        <v>0</v>
      </c>
      <c r="BT184" s="4263">
        <f>LOOKUP(BP184,'Tax Table'!$B$2:$B$2063,'Tax Table'!$G$2:$G$2063)</f>
        <v>0</v>
      </c>
      <c r="BV184" s="4268">
        <f>AM193</f>
        <v>0</v>
      </c>
      <c r="BW184" s="4262">
        <f>LOOKUP(BV184,'Tax Table'!$B$2:$B$2063,'Tax Table'!$D$2:$D$2063)</f>
        <v>0</v>
      </c>
      <c r="BX184" s="4262">
        <f>LOOKUP(BV184,'Tax Table'!$B$2:$B$2063,'Tax Table'!$E$2:$E$2063)</f>
        <v>0</v>
      </c>
      <c r="BY184" s="4262">
        <f>LOOKUP(BV184,'Tax Table'!$B$2:$B$2063,'Tax Table'!$F$2:$F$2063)</f>
        <v>0</v>
      </c>
      <c r="BZ184" s="4263">
        <f>LOOKUP(BV184,'Tax Table'!$B$2:$B$2063,'Tax Table'!$G$2:$G$2063)</f>
        <v>0</v>
      </c>
    </row>
    <row r="185" spans="1:78" ht="17.25" customHeight="1" thickBot="1">
      <c r="A185" s="635"/>
      <c r="B185" s="24"/>
      <c r="C185" s="24"/>
      <c r="D185" s="5038" t="s">
        <v>4606</v>
      </c>
      <c r="E185" s="24"/>
      <c r="F185" s="24"/>
      <c r="G185" s="24"/>
      <c r="H185" s="24"/>
      <c r="I185" s="24"/>
      <c r="J185" s="24"/>
      <c r="K185" s="24"/>
      <c r="L185" s="24"/>
      <c r="M185" s="24"/>
      <c r="N185" s="24"/>
      <c r="O185" s="450"/>
      <c r="P185" s="1081"/>
      <c r="Q185" s="2669"/>
      <c r="R185" s="398"/>
      <c r="S185" s="2660"/>
      <c r="T185" s="1080"/>
      <c r="U185" s="2660"/>
      <c r="V185" s="2659"/>
      <c r="W185" s="1080"/>
      <c r="X185" s="82"/>
      <c r="Y185" s="1450"/>
      <c r="Z185" s="452"/>
      <c r="AA185" s="452"/>
      <c r="AB185" s="1610"/>
      <c r="AC185" s="1607" t="s">
        <v>3594</v>
      </c>
      <c r="AD185" s="1443"/>
      <c r="AE185" s="1443"/>
      <c r="AF185" s="1443"/>
      <c r="AG185" s="1443"/>
      <c r="AH185" s="1443"/>
      <c r="AI185" s="1443"/>
      <c r="AJ185" s="1408"/>
      <c r="AK185" s="2749"/>
      <c r="AL185" s="1408"/>
      <c r="AM185" s="1408"/>
      <c r="AN185" s="1408"/>
      <c r="AO185" s="1408"/>
      <c r="AP185" s="1408"/>
      <c r="AQ185" s="1408"/>
      <c r="AR185" s="1408"/>
      <c r="AS185" s="1877"/>
      <c r="AT185" s="452"/>
      <c r="AU185" s="46"/>
      <c r="AV185" s="2153"/>
      <c r="AW185" s="46"/>
      <c r="AX185" s="46"/>
      <c r="AY185" s="46"/>
      <c r="AZ185" s="46"/>
      <c r="BA185" s="46"/>
      <c r="BB185" s="46"/>
      <c r="BP185" s="4257"/>
      <c r="BQ185" s="4264" t="str">
        <f>IF(BP184&lt;SectA_a3,"---",IF(BP184&lt;=SectA_a4,ROUND((BP184*(SectA_b4/100)-SectA_d4),0),IF(BP184&lt;=SectA_a5,ROUND((BP184*(SectA_b5/100)-SectA_d5),0),IF(BP184&lt;=SectA_a6,ROUND((BP184*(SectA_b6/100)-SectA_d6),0),ROUND((BP184*(SectA_b7/100)-SectA_d7),0)))))</f>
        <v>---</v>
      </c>
      <c r="BR185" s="4264" t="str">
        <f>IF(BP184&lt;SectB_a2,"---",IF(BP184&lt;=SectB_a3,ROUND((BP184*(SectB_b3/100)-SectB_d3),0),IF(BP184&lt;=SectB_a4,ROUND((BP184*(SectB_b4/100)-SectB_d4),0),IF(BP184&lt;=SectB_a5,ROUND((BP184*(SectB_b5/100)-SectB_d5),0),IF(BP184&lt;=SectB_a6,ROUND((BP184*(SectB_b6/100)-SectB_d6),0),ROUND((BP184*(SectB_b7/100)-SectB_d7),0))))))</f>
        <v>---</v>
      </c>
      <c r="BS185" s="4264" t="str">
        <f>IF(BP184&lt;SectC_a2,"---",IF(BP184&lt;=SectC_a3,ROUND((BP184*(SectC_b3/100)-SectC_d3),0),IF(BP184&lt;=SectC_a4,ROUND((BP184*(SectC_b4/100)-SectC_d4),0),IF(BP184&lt;=SectC_a5,ROUND((BP184*(SectC_b5/100)-SectC_d5),0),ROUND((BP184*(SectC_b6/100)-SectC_d6),0)))))</f>
        <v>---</v>
      </c>
      <c r="BT185" s="4265" t="str">
        <f>IF(BP184&lt;SectD_a2,"---",IF(BP184&lt;=SectD_a3,ROUND((BP184*(SectD_b3/100)-SectD_d3),0),IF(BP184&lt;=SectD_a4,ROUND((BP184*(SectD_b4/100)-SectD_d4),0),IF(BP184&lt;=SectD_a5,ROUND((BP184*(SectD_b5/100)-SectD_d5),0),IF(BP184&lt;=SectD_a6,ROUND((BP184*(SectD_b6/100)-SectD_d6),0),ROUND((BP184*(SectD_b7/100)-SectD_d7),0))))))</f>
        <v>---</v>
      </c>
      <c r="BV185" s="4257"/>
      <c r="BW185" s="4264" t="str">
        <f>IF(BV184&lt;SectA_a3,"---",IF(BV184&lt;=SectA_a4,ROUND((BV184*(SectA_b4/100)-SectA_d4),0),IF(BV184&lt;=SectA_a5,ROUND((BV184*(SectA_b5/100)-SectA_d5),0),IF(BV184&lt;=SectA_a6,ROUND((BV184*(SectA_b6/100)-SectA_d6),0),ROUND((BV184*(SectA_b7/100)-SectA_d7),0)))))</f>
        <v>---</v>
      </c>
      <c r="BX185" s="4264" t="str">
        <f>IF(BV184&lt;SectB_a2,"---",IF(BV184&lt;=SectB_a3,ROUND((BV184*(SectB_b3/100)-SectB_d3),0),IF(BV184&lt;=SectB_a4,ROUND((BV184*(SectB_b4/100)-SectB_d4),0),IF(BV184&lt;=SectB_a5,ROUND((BV184*(SectB_b5/100)-SectB_d5),0),IF(BV184&lt;=SectB_a6,ROUND((BV184*(SectB_b6/100)-SectB_d6),0),ROUND((BV184*(SectB_b7/100)-SectB_d7),0))))))</f>
        <v>---</v>
      </c>
      <c r="BY185" s="4264" t="str">
        <f>IF(BV184&lt;SectC_a2,"---",IF(BV184&lt;=SectC_a3,ROUND((BV184*(SectC_b3/100)-SectC_d3),0),IF(BV184&lt;=SectC_a4,ROUND((BV184*(SectC_b4/100)-SectC_d4),0),IF(BV184&lt;=SectC_a5,ROUND((BV184*(SectC_b5/100)-SectC_d5),0),ROUND((BV184*(SectC_b6/100)-SectC_d6),0)))))</f>
        <v>---</v>
      </c>
      <c r="BZ185" s="4265" t="str">
        <f>IF(BV184&lt;SectD_a2,"---",IF(BV184&lt;=SectD_a3,ROUND((BV184*(SectD_b3/100)-SectD_d3),0),IF(BV184&lt;=SectD_a4,ROUND((BV184*(SectD_b4/100)-SectD_d4),0),IF(BV184&lt;=SectD_a5,ROUND((BV184*(SectD_b5/100)-SectD_d5),0),IF(BV184&lt;=SectD_a6,ROUND((BV184*(SectD_b6/100)-SectD_d6),0),ROUND((BV184*(SectD_b7/100)-SectD_d7),0))))))</f>
        <v>---</v>
      </c>
    </row>
    <row r="186" spans="1:78" ht="16.5" customHeight="1" thickBot="1">
      <c r="A186" s="635"/>
      <c r="B186" s="24"/>
      <c r="C186" s="52"/>
      <c r="D186" s="5039" t="s">
        <v>4607</v>
      </c>
      <c r="E186" s="24"/>
      <c r="F186" s="24"/>
      <c r="G186" s="24"/>
      <c r="H186" s="24"/>
      <c r="I186" s="24"/>
      <c r="J186" s="24"/>
      <c r="K186" s="24"/>
      <c r="L186" s="24"/>
      <c r="M186" s="24"/>
      <c r="N186" s="24"/>
      <c r="O186" s="2668"/>
      <c r="P186" s="1081"/>
      <c r="Q186" s="2669"/>
      <c r="R186" s="398"/>
      <c r="S186" s="2660"/>
      <c r="T186" s="1080"/>
      <c r="U186" s="2660"/>
      <c r="V186" s="2659"/>
      <c r="W186" s="1080"/>
      <c r="X186" s="82"/>
      <c r="Y186" s="1450"/>
      <c r="Z186" s="452"/>
      <c r="AA186" s="452"/>
      <c r="AB186" s="1610"/>
      <c r="AC186" s="2753" t="s">
        <v>2245</v>
      </c>
      <c r="AD186" s="2288"/>
      <c r="AE186" s="2753"/>
      <c r="AF186" s="1443"/>
      <c r="AG186" s="1443"/>
      <c r="AH186" s="1443"/>
      <c r="AI186" s="1443"/>
      <c r="AJ186" s="1767" t="s">
        <v>3591</v>
      </c>
      <c r="AK186" s="1983"/>
      <c r="AL186" s="1408"/>
      <c r="AM186" s="1983"/>
      <c r="AN186" s="1408"/>
      <c r="AO186" s="1983"/>
      <c r="AP186" s="1408"/>
      <c r="AQ186" s="1983"/>
      <c r="AR186" s="1408"/>
      <c r="AS186" s="1877"/>
      <c r="AT186" s="452"/>
      <c r="AU186" s="46"/>
      <c r="AV186" s="2153"/>
      <c r="AW186" s="46"/>
      <c r="AX186" s="46"/>
      <c r="AY186" s="46"/>
      <c r="AZ186" s="46"/>
      <c r="BA186" s="46"/>
      <c r="BB186" s="46"/>
      <c r="BP186" s="4258" t="str">
        <f>IF(File_Single&lt;&gt;"",BQ184,IF(File_Marr_Joint&lt;&gt;"",BR184,IF(File_Marr_Sep&lt;&gt;"", BS184,IF(File_Head&lt;&gt;"",BT184,IF(File_Qual_Widow&lt;&gt;"",BR184,"Filing status?")))))</f>
        <v>Filing status?</v>
      </c>
      <c r="BQ186" s="2563" t="str">
        <f>"&lt;100k"</f>
        <v>&lt;100k</v>
      </c>
      <c r="BR186" s="2563"/>
      <c r="BS186" s="2563"/>
      <c r="BT186" s="4261"/>
      <c r="BV186" s="4258" t="str">
        <f>IF(File_Single&lt;&gt;"",BW184,IF(File_Marr_Joint&lt;&gt;"",BX184,IF(File_Marr_Sep&lt;&gt;"", BY184,IF(File_Head&lt;&gt;"",BZ184,IF(File_Qual_Widow&lt;&gt;"",BX184,"Filing status?")))))</f>
        <v>Filing status?</v>
      </c>
      <c r="BW186" s="2563" t="str">
        <f>"&lt;100k"</f>
        <v>&lt;100k</v>
      </c>
      <c r="BX186" s="2563"/>
      <c r="BY186" s="2563"/>
      <c r="BZ186" s="4261"/>
    </row>
    <row r="187" spans="1:78" ht="13.5" customHeight="1" thickBot="1">
      <c r="A187" s="635"/>
      <c r="B187" s="24"/>
      <c r="C187" s="52">
        <v>22</v>
      </c>
      <c r="D187" s="423" t="s">
        <v>4608</v>
      </c>
      <c r="E187" s="24"/>
      <c r="F187" s="24"/>
      <c r="G187" s="24"/>
      <c r="H187" s="24"/>
      <c r="I187" s="24"/>
      <c r="J187" s="24"/>
      <c r="K187" s="24"/>
      <c r="L187" s="24"/>
      <c r="M187" s="24"/>
      <c r="N187" s="1699"/>
      <c r="O187" s="2667">
        <v>22</v>
      </c>
      <c r="P187" s="2670"/>
      <c r="Q187" s="2671"/>
      <c r="R187" s="7164" t="str">
        <f>IF(OR(R$155="",NOT($B$61)),"",P194)</f>
        <v/>
      </c>
      <c r="S187" s="7165"/>
      <c r="T187" s="7164" t="str">
        <f>IF(OR(T$155="",NOT($B$61)),"",SUM(P194,R194))</f>
        <v/>
      </c>
      <c r="U187" s="7165"/>
      <c r="V187" s="7164" t="str">
        <f>IF(OR(V$155="",NOT($B$61)),"",SUM(P194,R194,T194))</f>
        <v/>
      </c>
      <c r="W187" s="6707"/>
      <c r="X187" s="82"/>
      <c r="Y187" s="1450"/>
      <c r="Z187" s="452"/>
      <c r="AA187" s="452"/>
      <c r="AB187" s="1610"/>
      <c r="AC187" s="1443"/>
      <c r="AD187" s="1443"/>
      <c r="AE187" s="1443"/>
      <c r="AF187" s="1443"/>
      <c r="AG187" s="1443"/>
      <c r="AH187" s="1443"/>
      <c r="AI187" s="1443"/>
      <c r="AJ187" s="1408"/>
      <c r="AK187" s="1408"/>
      <c r="AL187" s="1408"/>
      <c r="AM187" s="1408"/>
      <c r="AN187" s="1408"/>
      <c r="AO187" s="1408"/>
      <c r="AP187" s="1408"/>
      <c r="AQ187" s="1408"/>
      <c r="AR187" s="1408"/>
      <c r="AS187" s="1877"/>
      <c r="AT187" s="452"/>
      <c r="AU187" s="46"/>
      <c r="AV187" s="2153"/>
      <c r="AW187" s="46"/>
      <c r="AX187" s="46"/>
      <c r="AY187" s="46"/>
      <c r="AZ187" s="46"/>
      <c r="BA187" s="46"/>
      <c r="BB187" s="46"/>
      <c r="BP187" s="4259" t="str">
        <f>IF(File_Single&lt;&gt;"",BQ185,IF(OR(File_Marr_Joint&lt;&gt;"",File_Qual_Widow&lt;&gt;""),BR185,IF(File_Marr_Sep&lt;&gt;"", BS185,IF(File_Head&lt;&gt;"",BT185,"Filing status?"))))</f>
        <v>Filing status?</v>
      </c>
      <c r="BQ187" s="4260" t="str">
        <f>"&gt;=100k"</f>
        <v>&gt;=100k</v>
      </c>
      <c r="BR187" s="4260"/>
      <c r="BS187" s="4266" t="s">
        <v>3630</v>
      </c>
      <c r="BT187" s="4267" t="str">
        <f>IF(BP184&gt;100000,BP187,BP186)</f>
        <v>Filing status?</v>
      </c>
      <c r="BV187" s="4259" t="str">
        <f>IF(File_Single&lt;&gt;"",BW185,IF(OR(File_Marr_Joint&lt;&gt;"",File_Qual_Widow&lt;&gt;""),BX185,IF(File_Marr_Sep&lt;&gt;"", BY185,IF(File_Head&lt;&gt;"",BZ185,"Filing status?"))))</f>
        <v>Filing status?</v>
      </c>
      <c r="BW187" s="4260" t="str">
        <f>"&gt;=100k"</f>
        <v>&gt;=100k</v>
      </c>
      <c r="BX187" s="4260"/>
      <c r="BY187" s="4266" t="s">
        <v>3630</v>
      </c>
      <c r="BZ187" s="4267" t="str">
        <f>IF(BV184&gt;100000,BV187,BV186)</f>
        <v>Filing status?</v>
      </c>
    </row>
    <row r="188" spans="1:78" ht="13.5" customHeight="1" thickTop="1">
      <c r="A188" s="635"/>
      <c r="B188" s="24"/>
      <c r="C188" s="52">
        <v>23</v>
      </c>
      <c r="D188" s="137" t="s">
        <v>666</v>
      </c>
      <c r="E188" s="24"/>
      <c r="F188" s="24"/>
      <c r="G188" s="24"/>
      <c r="H188" s="24"/>
      <c r="I188" s="24"/>
      <c r="J188" s="24"/>
      <c r="K188" s="24"/>
      <c r="L188" s="24"/>
      <c r="M188" s="24"/>
      <c r="N188" s="1699"/>
      <c r="O188" s="2667">
        <v>23</v>
      </c>
      <c r="P188" s="7164" t="str">
        <f>IF(NOT($B$61),"",IF(OR(P155="",P160=""),"",MAX(0,SUM(P184))))</f>
        <v/>
      </c>
      <c r="Q188" s="7165"/>
      <c r="R188" s="7164" t="str">
        <f>IF(NOT($B$61),"",IF(OR(R155="",R160=""),"",MAX(0,SUM(R184,-R187))))</f>
        <v/>
      </c>
      <c r="S188" s="7165"/>
      <c r="T188" s="7164" t="str">
        <f>IF(NOT($B$61),"",IF(OR(T155="",T160=""),"",MAX(0,SUM(T184,-T187))))</f>
        <v/>
      </c>
      <c r="U188" s="7165"/>
      <c r="V188" s="7171" t="str">
        <f>IF(NOT($B$61),"",IF(OR(V155="",V160=""),"",MAX(0,SUM(V184,-V187))))</f>
        <v/>
      </c>
      <c r="W188" s="7172"/>
      <c r="X188" s="82"/>
      <c r="Y188" s="1450"/>
      <c r="Z188" s="452"/>
      <c r="AA188" s="452"/>
      <c r="AB188" s="3077" t="s">
        <v>3592</v>
      </c>
      <c r="AC188" s="1607" t="s">
        <v>3593</v>
      </c>
      <c r="AD188" s="1443"/>
      <c r="AE188" s="1443"/>
      <c r="AF188" s="1443"/>
      <c r="AG188" s="1443"/>
      <c r="AH188" s="1443"/>
      <c r="AI188" s="1443"/>
      <c r="AJ188" s="1408"/>
      <c r="AK188" s="2851">
        <f>P156</f>
        <v>4</v>
      </c>
      <c r="AL188" s="1767"/>
      <c r="AM188" s="4239">
        <f>R156</f>
        <v>2.4</v>
      </c>
      <c r="AN188" s="1408"/>
      <c r="AO188" s="4239">
        <f>T156</f>
        <v>1.5</v>
      </c>
      <c r="AP188" s="1408"/>
      <c r="AQ188" s="2851">
        <f>V156</f>
        <v>1</v>
      </c>
      <c r="AR188" s="1408"/>
      <c r="AS188" s="1877"/>
      <c r="AT188" s="452"/>
      <c r="AU188" s="46"/>
      <c r="AV188" s="2153"/>
      <c r="AW188" s="46"/>
      <c r="AX188" s="46"/>
      <c r="AY188" s="46"/>
      <c r="AZ188" s="46"/>
      <c r="BA188" s="46"/>
      <c r="BB188" s="46"/>
    </row>
    <row r="189" spans="1:78" ht="12.75" customHeight="1" thickBot="1">
      <c r="A189" s="635"/>
      <c r="B189" s="24"/>
      <c r="C189" s="52">
        <v>24</v>
      </c>
      <c r="D189" s="74" t="str">
        <f>"Enter "&amp;TEXT(S190,"0%")&amp;" ("&amp;TEXT(S190,"0.00")&amp;") of line 9 on page 1 of Form 2210 in each column"</f>
        <v>Enter 25% (0.25) of line 9 on page 1 of Form 2210 in each column</v>
      </c>
      <c r="E189" s="24"/>
      <c r="F189" s="24"/>
      <c r="G189" s="24"/>
      <c r="H189" s="24"/>
      <c r="I189" s="24"/>
      <c r="J189" s="24"/>
      <c r="K189" s="24"/>
      <c r="L189" s="24"/>
      <c r="M189" s="24"/>
      <c r="N189" s="1699"/>
      <c r="O189" s="2667">
        <v>24</v>
      </c>
      <c r="P189" s="7164" t="str">
        <f>IF(NOT($B$61),"",IF(OR($U$46="",P155="",P160=""),"",$U$46*$S$190))</f>
        <v/>
      </c>
      <c r="Q189" s="7165"/>
      <c r="R189" s="7164" t="str">
        <f>IF(NOT($B$61),"",IF(OR($U$46="",R155="",R160=""),"",$U$46*$S$190))</f>
        <v/>
      </c>
      <c r="S189" s="7165"/>
      <c r="T189" s="7164" t="str">
        <f>IF(NOT($B$61),"",IF(OR($U$46="",T155="",T160=""),"",$U$46*$S$190))</f>
        <v/>
      </c>
      <c r="U189" s="7165"/>
      <c r="V189" s="7164" t="str">
        <f>IF(NOT($B$61),"",IF(OR($U$46="",V155="",V160=""),"",$U$46*$S$190))</f>
        <v/>
      </c>
      <c r="W189" s="6707"/>
      <c r="X189" s="82"/>
      <c r="Y189" s="1450"/>
      <c r="Z189" s="452"/>
      <c r="AA189" s="452"/>
      <c r="AB189" s="1610"/>
      <c r="AC189" s="1607" t="s">
        <v>3573</v>
      </c>
      <c r="AD189" s="1443"/>
      <c r="AE189" s="1443"/>
      <c r="AF189" s="1443"/>
      <c r="AG189" s="1443"/>
      <c r="AH189" s="1443"/>
      <c r="AI189" s="1443"/>
      <c r="AJ189" s="1767" t="s">
        <v>3592</v>
      </c>
      <c r="AK189" s="2518">
        <f>ROUND(AK186*AK188,0)</f>
        <v>0</v>
      </c>
      <c r="AL189" s="4591"/>
      <c r="AM189" s="2518">
        <f>ROUND(AM186*AM188,0)</f>
        <v>0</v>
      </c>
      <c r="AN189" s="4591"/>
      <c r="AO189" s="2518">
        <f>ROUND(AO186*AO188,0)</f>
        <v>0</v>
      </c>
      <c r="AP189" s="4591"/>
      <c r="AQ189" s="2518">
        <f>ROUND(AQ186*AQ188,0)</f>
        <v>0</v>
      </c>
      <c r="AR189" s="1408"/>
      <c r="AS189" s="1877"/>
      <c r="AT189" s="452"/>
      <c r="AU189" s="46"/>
      <c r="AV189" s="2153"/>
      <c r="AW189" s="46"/>
      <c r="AX189" s="46"/>
      <c r="AY189" s="46"/>
      <c r="AZ189" s="46"/>
      <c r="BA189" s="46"/>
      <c r="BB189" s="46"/>
      <c r="BP189" s="277" t="s">
        <v>3598</v>
      </c>
      <c r="BQ189" s="277" t="s">
        <v>77</v>
      </c>
      <c r="BR189" s="277" t="s">
        <v>3629</v>
      </c>
      <c r="BS189" s="277" t="s">
        <v>531</v>
      </c>
      <c r="BT189" s="277" t="s">
        <v>2508</v>
      </c>
      <c r="BV189" s="277" t="s">
        <v>3599</v>
      </c>
      <c r="BW189" s="277" t="s">
        <v>77</v>
      </c>
      <c r="BX189" s="277" t="s">
        <v>3629</v>
      </c>
      <c r="BY189" s="277" t="s">
        <v>531</v>
      </c>
      <c r="BZ189" s="277" t="s">
        <v>2508</v>
      </c>
    </row>
    <row r="190" spans="1:78" ht="12.75" customHeight="1" thickTop="1" thickBot="1">
      <c r="A190" s="635"/>
      <c r="B190" s="24"/>
      <c r="C190" s="52">
        <v>25</v>
      </c>
      <c r="D190" s="137" t="s">
        <v>4609</v>
      </c>
      <c r="E190" s="24"/>
      <c r="F190" s="24"/>
      <c r="G190" s="24"/>
      <c r="H190" s="24"/>
      <c r="I190" s="24"/>
      <c r="J190" s="24"/>
      <c r="K190" s="24"/>
      <c r="L190" s="24"/>
      <c r="M190" s="24"/>
      <c r="N190" s="2761"/>
      <c r="O190" s="57"/>
      <c r="P190" s="2676"/>
      <c r="Q190" s="2677"/>
      <c r="R190" s="398"/>
      <c r="S190" s="5040">
        <v>0.25</v>
      </c>
      <c r="T190" s="1080"/>
      <c r="U190" s="2660"/>
      <c r="V190" s="440"/>
      <c r="W190" s="2751"/>
      <c r="X190" s="82"/>
      <c r="Y190" s="1450"/>
      <c r="Z190" s="452"/>
      <c r="AA190" s="452"/>
      <c r="AB190" s="1610"/>
      <c r="AC190" s="1443"/>
      <c r="AD190" s="1443"/>
      <c r="AE190" s="1443"/>
      <c r="AF190" s="1443"/>
      <c r="AG190" s="1443"/>
      <c r="AH190" s="1443"/>
      <c r="AI190" s="1443"/>
      <c r="AJ190" s="1408"/>
      <c r="AK190" s="5180"/>
      <c r="AL190" s="4591"/>
      <c r="AM190" s="4591"/>
      <c r="AN190" s="4591"/>
      <c r="AO190" s="4591"/>
      <c r="AP190" s="4591"/>
      <c r="AQ190" s="4591"/>
      <c r="AR190" s="1408"/>
      <c r="AS190" s="1877"/>
      <c r="AT190" s="452"/>
      <c r="AU190" s="46"/>
      <c r="AV190" s="2153"/>
      <c r="AW190" s="46"/>
      <c r="AX190" s="46"/>
      <c r="AY190" s="46"/>
      <c r="AZ190" s="46"/>
      <c r="BA190" s="46"/>
      <c r="BB190" s="46"/>
      <c r="BP190" s="4268">
        <f>AO193</f>
        <v>0</v>
      </c>
      <c r="BQ190" s="4262">
        <f>LOOKUP(BP190,'Tax Table'!$B$2:$B$2063,'Tax Table'!$D$2:$D$2063)</f>
        <v>0</v>
      </c>
      <c r="BR190" s="4262">
        <f>LOOKUP(BP190,'Tax Table'!$B$2:$B$2063,'Tax Table'!$E$2:$E$2063)</f>
        <v>0</v>
      </c>
      <c r="BS190" s="4262">
        <f>LOOKUP(BP190,'Tax Table'!$B$2:$B$2063,'Tax Table'!$F$2:$F$2063)</f>
        <v>0</v>
      </c>
      <c r="BT190" s="4263">
        <f>LOOKUP(BP190,'Tax Table'!$B$2:$B$2063,'Tax Table'!$G$2:$G$2063)</f>
        <v>0</v>
      </c>
      <c r="BV190" s="4268">
        <f>AQ193</f>
        <v>0</v>
      </c>
      <c r="BW190" s="4262">
        <f>LOOKUP(BV190,'Tax Table'!$B$2:$B$2063,'Tax Table'!$D$2:$D$2063)</f>
        <v>0</v>
      </c>
      <c r="BX190" s="4262">
        <f>LOOKUP(BV190,'Tax Table'!$B$2:$B$2063,'Tax Table'!$E$2:$E$2063)</f>
        <v>0</v>
      </c>
      <c r="BY190" s="4262">
        <f>LOOKUP(BV190,'Tax Table'!$B$2:$B$2063,'Tax Table'!$F$2:$F$2063)</f>
        <v>0</v>
      </c>
      <c r="BZ190" s="4263">
        <f>LOOKUP(BV190,'Tax Table'!$B$2:$B$2063,'Tax Table'!$G$2:$G$2063)</f>
        <v>0</v>
      </c>
    </row>
    <row r="191" spans="1:78" ht="13.5" customHeight="1" thickBot="1">
      <c r="A191" s="635"/>
      <c r="B191" s="24"/>
      <c r="C191" s="52"/>
      <c r="D191" s="137" t="s">
        <v>2268</v>
      </c>
      <c r="E191" s="24"/>
      <c r="F191" s="24"/>
      <c r="G191" s="24"/>
      <c r="H191" s="24"/>
      <c r="I191" s="24"/>
      <c r="J191" s="24"/>
      <c r="K191" s="24"/>
      <c r="L191" s="24"/>
      <c r="M191" s="24"/>
      <c r="N191" s="1699" t="s">
        <v>422</v>
      </c>
      <c r="O191" s="2667">
        <v>25</v>
      </c>
      <c r="P191" s="2670"/>
      <c r="Q191" s="2671"/>
      <c r="R191" s="7164" t="str">
        <f>IF(NOT($B$61),"",IF(OR(R155="",R160=""),"",SUM(P192,-P194)))</f>
        <v/>
      </c>
      <c r="S191" s="7165"/>
      <c r="T191" s="7164" t="str">
        <f>IF(NOT($B$61),"",IF(OR(T155="",T160=""),"",SUM(R192,-R194)))</f>
        <v/>
      </c>
      <c r="U191" s="7165"/>
      <c r="V191" s="7164" t="str">
        <f>IF(NOT($B$61),"",IF(OR(V155="",V160=""),"",SUM(T192,-T194)))</f>
        <v/>
      </c>
      <c r="W191" s="6707"/>
      <c r="X191" s="82"/>
      <c r="Y191" s="1450"/>
      <c r="Z191" s="452"/>
      <c r="AA191" s="452"/>
      <c r="AB191" s="3077" t="s">
        <v>75</v>
      </c>
      <c r="AC191" s="1607" t="s">
        <v>2110</v>
      </c>
      <c r="AD191" s="1443"/>
      <c r="AE191" s="1443"/>
      <c r="AF191" s="1443"/>
      <c r="AG191" s="1443"/>
      <c r="AH191" s="1443"/>
      <c r="AI191" s="1443"/>
      <c r="AJ191" s="1767" t="s">
        <v>75</v>
      </c>
      <c r="AK191" s="2518">
        <f>MAX(0,SUM(AK181,-AK189))</f>
        <v>0</v>
      </c>
      <c r="AL191" s="5181"/>
      <c r="AM191" s="2518">
        <f>MAX(0,SUM(AM181,-AM189))</f>
        <v>0</v>
      </c>
      <c r="AN191" s="5181"/>
      <c r="AO191" s="2518">
        <f>MAX(0,SUM(AO181,-AO189))</f>
        <v>0</v>
      </c>
      <c r="AP191" s="5181"/>
      <c r="AQ191" s="2518">
        <f>MAX(0,SUM(AQ181,-AQ189))</f>
        <v>0</v>
      </c>
      <c r="AR191" s="1408"/>
      <c r="AS191" s="1877"/>
      <c r="AT191" s="452"/>
      <c r="AU191" s="46"/>
      <c r="AV191" s="2153"/>
      <c r="AW191" s="46"/>
      <c r="AX191" s="46"/>
      <c r="AY191" s="46"/>
      <c r="AZ191" s="46"/>
      <c r="BA191" s="46"/>
      <c r="BB191" s="46"/>
      <c r="BP191" s="4257"/>
      <c r="BQ191" s="4264" t="str">
        <f>IF(BP190&lt;SectA_a3,"---",IF(BP190&lt;=SectA_a4,ROUND((BP190*(SectA_b4/100)-SectA_d4),0),IF(BP190&lt;=SectA_a5,ROUND((BP190*(SectA_b5/100)-SectA_d5),0),IF(BP190&lt;=SectA_a6,ROUND((BP190*(SectA_b6/100)-SectA_d6),0),ROUND((BP190*(SectA_b7/100)-SectA_d7),0)))))</f>
        <v>---</v>
      </c>
      <c r="BR191" s="4264" t="str">
        <f>IF(BP190&lt;SectB_a2,"---",IF(BP190&lt;=SectB_a3,ROUND((BP190*(SectB_b3/100)-SectB_d3),0),IF(BP190&lt;=SectB_a4,ROUND((BP190*(SectB_b4/100)-SectB_d4),0),IF(BP190&lt;=SectB_a5,ROUND((BP190*(SectB_b5/100)-SectB_d5),0),IF(BP190&lt;=SectB_a6,ROUND((BP190*(SectB_b6/100)-SectB_d6),0),ROUND((BP190*(SectB_b7/100)-SectB_d7),0))))))</f>
        <v>---</v>
      </c>
      <c r="BS191" s="4264" t="str">
        <f>IF(BP190&lt;SectC_a2,"---",IF(BP190&lt;=SectC_a3,ROUND((BP190*(SectC_b3/100)-SectC_d3),0),IF(BP190&lt;=SectC_a4,ROUND((BP190*(SectC_b4/100)-SectC_d4),0),IF(BP190&lt;=SectC_a5,ROUND((BP190*(SectC_b5/100)-SectC_d5),0),ROUND((BP190*(SectC_b6/100)-SectC_d6),0)))))</f>
        <v>---</v>
      </c>
      <c r="BT191" s="4265" t="str">
        <f>IF(BP190&lt;SectD_a2,"---",IF(BP190&lt;=SectD_a3,ROUND((BP190*(SectD_b3/100)-SectD_d3),0),IF(BP190&lt;=SectD_a4,ROUND((BP190*(SectD_b4/100)-SectD_d4),0),IF(BP190&lt;=SectD_a5,ROUND((BP190*(SectD_b5/100)-SectD_d5),0),IF(BP190&lt;=SectD_a6,ROUND((BP190*(SectD_b6/100)-SectD_d6),0),ROUND((BP190*(SectD_b7/100)-SectD_d7),0))))))</f>
        <v>---</v>
      </c>
      <c r="BV191" s="4257"/>
      <c r="BW191" s="4264" t="str">
        <f>IF(BV190&lt;SectA_a3,"---",IF(BV190&lt;=SectA_a4,ROUND((BV190*(SectA_b4/100)-SectA_d4),0),IF(BV190&lt;=SectA_a5,ROUND((BV190*(SectA_b5/100)-SectA_d5),0),IF(BV190&lt;=SectA_a6,ROUND((BV190*(SectA_b6/100)-SectA_d6),0),ROUND((BV190*(SectA_b7/100)-SectA_d7),0)))))</f>
        <v>---</v>
      </c>
      <c r="BX191" s="4264" t="str">
        <f>IF(BV190&lt;SectB_a2,"---",IF(BV190&lt;=SectB_a3,ROUND((BV190*(SectB_b3/100)-SectB_d3),0),IF(BV190&lt;=SectB_a4,ROUND((BV190*(SectB_b4/100)-SectB_d4),0),IF(BV190&lt;=SectB_a5,ROUND((BV190*(SectB_b5/100)-SectB_d5),0),IF(BV190&lt;=SectB_a6,ROUND((BV190*(SectB_b6/100)-SectB_d6),0),ROUND((BV190*(SectB_b7/100)-SectB_d7),0))))))</f>
        <v>---</v>
      </c>
      <c r="BY191" s="4264" t="str">
        <f>IF(BV190&lt;SectC_a2,"---",IF(BV190&lt;=SectC_a3,ROUND((BV190*(SectC_b3/100)-SectC_d3),0),IF(BV190&lt;=SectC_a4,ROUND((BV190*(SectC_b4/100)-SectC_d4),0),IF(BV190&lt;=SectC_a5,ROUND((BV190*(SectC_b5/100)-SectC_d5),0),ROUND((BV190*(SectC_b6/100)-SectC_d6),0)))))</f>
        <v>---</v>
      </c>
      <c r="BZ191" s="4265" t="str">
        <f>IF(BV190&lt;SectD_a2,"---",IF(BV190&lt;=SectD_a3,ROUND((BV190*(SectD_b3/100)-SectD_d3),0),IF(BV190&lt;=SectD_a4,ROUND((BV190*(SectD_b4/100)-SectD_d4),0),IF(BV190&lt;=SectD_a5,ROUND((BV190*(SectD_b5/100)-SectD_d5),0),IF(BV190&lt;=SectD_a6,ROUND((BV190*(SectD_b6/100)-SectD_d6),0),ROUND((BV190*(SectD_b7/100)-SectD_d7),0))))))</f>
        <v>---</v>
      </c>
    </row>
    <row r="192" spans="1:78" ht="13.5" customHeight="1" thickBot="1">
      <c r="A192" s="635"/>
      <c r="B192" s="24"/>
      <c r="C192" s="52">
        <v>26</v>
      </c>
      <c r="D192" s="137" t="s">
        <v>4567</v>
      </c>
      <c r="E192" s="24"/>
      <c r="F192" s="24"/>
      <c r="G192" s="24"/>
      <c r="H192" s="24"/>
      <c r="I192" s="24"/>
      <c r="J192" s="24"/>
      <c r="K192" s="24"/>
      <c r="L192" s="24"/>
      <c r="M192" s="24"/>
      <c r="N192" s="1699" t="s">
        <v>981</v>
      </c>
      <c r="O192" s="2667">
        <v>26</v>
      </c>
      <c r="P192" s="7164" t="str">
        <f>IF(NOT($B$61),"",IF(OR(P155="",P160=""),"",SUM(P189)))</f>
        <v/>
      </c>
      <c r="Q192" s="7165"/>
      <c r="R192" s="7164" t="str">
        <f>IF(NOT($B$61),"",IF(OR(R155="",R160=""),"",SUM(R189,R191)))</f>
        <v/>
      </c>
      <c r="S192" s="7165"/>
      <c r="T192" s="7164" t="str">
        <f>IF(NOT($B$61),"",IF(OR(T155="",T160=""),"",SUM(T189,T191)))</f>
        <v/>
      </c>
      <c r="U192" s="7165"/>
      <c r="V192" s="7164" t="str">
        <f>IF(NOT($B$61),"",IF(OR(V155="",V160=""),"",SUM(V189,V191)))</f>
        <v/>
      </c>
      <c r="W192" s="6707"/>
      <c r="X192" s="82"/>
      <c r="Y192" s="1450"/>
      <c r="Z192" s="452"/>
      <c r="AA192" s="452"/>
      <c r="AB192" s="1610"/>
      <c r="AC192" s="1443"/>
      <c r="AD192" s="1443"/>
      <c r="AE192" s="1443"/>
      <c r="AF192" s="1443"/>
      <c r="AG192" s="1443"/>
      <c r="AH192" s="1443"/>
      <c r="AI192" s="1443"/>
      <c r="AJ192" s="1408"/>
      <c r="AK192" s="5182"/>
      <c r="AL192" s="4591"/>
      <c r="AM192" s="5182"/>
      <c r="AN192" s="4591"/>
      <c r="AO192" s="5182"/>
      <c r="AP192" s="4591"/>
      <c r="AQ192" s="5182"/>
      <c r="AR192" s="1408"/>
      <c r="AS192" s="1877"/>
      <c r="AT192" s="452"/>
      <c r="AU192" s="46"/>
      <c r="AV192" s="2153"/>
      <c r="AW192" s="46"/>
      <c r="AX192" s="46"/>
      <c r="AY192" s="46"/>
      <c r="AZ192" s="46"/>
      <c r="BA192" s="46"/>
      <c r="BB192" s="46"/>
      <c r="BP192" s="4258" t="str">
        <f>IF(File_Single&lt;&gt;"",BQ190,IF(File_Marr_Joint&lt;&gt;"",BR190,IF(File_Marr_Sep&lt;&gt;"", BS190,IF(File_Head&lt;&gt;"",BT190,IF(File_Qual_Widow&lt;&gt;"",BR190,"Filing status?")))))</f>
        <v>Filing status?</v>
      </c>
      <c r="BQ192" s="2563" t="str">
        <f>"&lt;100k"</f>
        <v>&lt;100k</v>
      </c>
      <c r="BR192" s="2563"/>
      <c r="BS192" s="2563"/>
      <c r="BT192" s="4261"/>
      <c r="BV192" s="4258" t="str">
        <f>IF(File_Single&lt;&gt;"",BW190,IF(File_Marr_Joint&lt;&gt;"",BX190,IF(File_Marr_Sep&lt;&gt;"", BY190,IF(File_Head&lt;&gt;"",BZ190,IF(File_Qual_Widow&lt;&gt;"",BX190,"Filing status?")))))</f>
        <v>Filing status?</v>
      </c>
      <c r="BW192" s="2563" t="str">
        <f>"&lt;100k"</f>
        <v>&lt;100k</v>
      </c>
      <c r="BX192" s="2563"/>
      <c r="BY192" s="2563"/>
      <c r="BZ192" s="4261"/>
    </row>
    <row r="193" spans="1:78" ht="16.5" thickBot="1">
      <c r="A193" s="635"/>
      <c r="B193" s="24"/>
      <c r="C193" s="52">
        <v>27</v>
      </c>
      <c r="D193" s="137" t="s">
        <v>4773</v>
      </c>
      <c r="E193" s="24"/>
      <c r="F193" s="24"/>
      <c r="G193" s="24"/>
      <c r="H193" s="24"/>
      <c r="I193" s="24"/>
      <c r="J193" s="24"/>
      <c r="K193" s="24"/>
      <c r="L193" s="24"/>
      <c r="M193" s="24"/>
      <c r="N193" s="24"/>
      <c r="O193" s="57"/>
      <c r="P193" s="398"/>
      <c r="Q193" s="446"/>
      <c r="R193" s="398"/>
      <c r="S193" s="2660"/>
      <c r="T193" s="1080"/>
      <c r="U193" s="2660"/>
      <c r="V193" s="440"/>
      <c r="W193" s="2751"/>
      <c r="X193" s="82"/>
      <c r="Y193" s="1450"/>
      <c r="Z193" s="452"/>
      <c r="AA193" s="452"/>
      <c r="AB193" s="3077" t="s">
        <v>76</v>
      </c>
      <c r="AC193" s="1607" t="s">
        <v>3570</v>
      </c>
      <c r="AD193" s="1607"/>
      <c r="AE193" s="1607"/>
      <c r="AF193" s="1443"/>
      <c r="AG193" s="1443"/>
      <c r="AH193" s="1443"/>
      <c r="AI193" s="1443"/>
      <c r="AJ193" s="1767" t="s">
        <v>76</v>
      </c>
      <c r="AK193" s="1715">
        <f>MAX(0,SUM(AK161,-AK191))</f>
        <v>0</v>
      </c>
      <c r="AL193" s="5181"/>
      <c r="AM193" s="1715">
        <f>MAX(0,SUM(AM161,-AM191))</f>
        <v>0</v>
      </c>
      <c r="AN193" s="5181"/>
      <c r="AO193" s="1715">
        <f>MAX(0,SUM(AO161,-AO191))</f>
        <v>0</v>
      </c>
      <c r="AP193" s="5181"/>
      <c r="AQ193" s="1715">
        <f>MAX(0,SUM(AQ161,-AQ191))</f>
        <v>0</v>
      </c>
      <c r="AR193" s="1408"/>
      <c r="AS193" s="1877"/>
      <c r="AT193" s="452"/>
      <c r="AU193" s="46"/>
      <c r="AV193" s="2153"/>
      <c r="AW193" s="46"/>
      <c r="AX193" s="46"/>
      <c r="AY193" s="46"/>
      <c r="AZ193" s="46"/>
      <c r="BA193" s="46"/>
      <c r="BB193" s="46"/>
      <c r="BP193" s="4259" t="str">
        <f>IF(File_Single&lt;&gt;"",BQ191,IF(OR(File_Marr_Joint&lt;&gt;"",File_Qual_Widow&lt;&gt;""),BR191,IF(File_Marr_Sep&lt;&gt;"", BS191,IF(File_Head&lt;&gt;"",BT191,"Filing status?"))))</f>
        <v>Filing status?</v>
      </c>
      <c r="BQ193" s="4260" t="str">
        <f>"&gt;=100k"</f>
        <v>&gt;=100k</v>
      </c>
      <c r="BR193" s="4260"/>
      <c r="BS193" s="4266" t="s">
        <v>3630</v>
      </c>
      <c r="BT193" s="4267" t="str">
        <f>IF(BP190&gt;100000,BP193,BP192)</f>
        <v>Filing status?</v>
      </c>
      <c r="BV193" s="4259" t="str">
        <f>IF(File_Single&lt;&gt;"",BW191,IF(OR(File_Marr_Joint&lt;&gt;"",File_Qual_Widow&lt;&gt;""),BX191,IF(File_Marr_Sep&lt;&gt;"", BY191,IF(File_Head&lt;&gt;"",BZ191,"Filing status?"))))</f>
        <v>Filing status?</v>
      </c>
      <c r="BW193" s="4260" t="str">
        <f>"&gt;=100k"</f>
        <v>&gt;=100k</v>
      </c>
      <c r="BX193" s="4260"/>
      <c r="BY193" s="4266" t="s">
        <v>3630</v>
      </c>
      <c r="BZ193" s="4267" t="str">
        <f>IF(BV190&gt;100000,BV193,BV192)</f>
        <v>Filing status?</v>
      </c>
    </row>
    <row r="194" spans="1:78" ht="13.5" customHeight="1" thickTop="1" thickBot="1">
      <c r="A194" s="635"/>
      <c r="B194" s="24"/>
      <c r="C194" s="52"/>
      <c r="D194" s="137" t="s">
        <v>2275</v>
      </c>
      <c r="E194" s="24"/>
      <c r="F194" s="24"/>
      <c r="G194" s="24"/>
      <c r="H194" s="24"/>
      <c r="I194" s="24"/>
      <c r="J194" s="24"/>
      <c r="K194" s="24"/>
      <c r="L194" s="24"/>
      <c r="M194" s="24"/>
      <c r="N194" s="1699" t="s">
        <v>680</v>
      </c>
      <c r="O194" s="2667">
        <v>27</v>
      </c>
      <c r="P194" s="7164" t="str">
        <f>IF(NOT($B$61),"",IF(OR(P155="",P160="",P192=""),"",MIN(P192,P188)))</f>
        <v/>
      </c>
      <c r="Q194" s="7165"/>
      <c r="R194" s="7164" t="str">
        <f>IF(NOT($B$61),"",IF(OR(R155="",R160="",R192=""),"",MIN(R192,R188)))</f>
        <v/>
      </c>
      <c r="S194" s="7165"/>
      <c r="T194" s="7164" t="str">
        <f>IF(NOT($B$61),"",IF(OR(T155="",T160="",T192=""),"",MIN(T192,T188)))</f>
        <v/>
      </c>
      <c r="U194" s="7165"/>
      <c r="V194" s="7315" t="str">
        <f>IF(NOT($B$61),"",IF(OR(V155="",V160="",V192=""),"",MIN(V192,V188)))</f>
        <v/>
      </c>
      <c r="W194" s="7316"/>
      <c r="X194" s="82"/>
      <c r="Y194" s="1450"/>
      <c r="Z194" s="452"/>
      <c r="AA194" s="452"/>
      <c r="AB194" s="1610"/>
      <c r="AC194" s="1443"/>
      <c r="AD194" s="1443"/>
      <c r="AE194" s="1443"/>
      <c r="AF194" s="1443"/>
      <c r="AG194" s="1443"/>
      <c r="AH194" s="1443"/>
      <c r="AI194" s="1443"/>
      <c r="AJ194" s="1408"/>
      <c r="AK194" s="5180"/>
      <c r="AL194" s="4591"/>
      <c r="AM194" s="4591"/>
      <c r="AN194" s="4591"/>
      <c r="AO194" s="4591"/>
      <c r="AP194" s="4591"/>
      <c r="AQ194" s="4591"/>
      <c r="AR194" s="1408"/>
      <c r="AS194" s="1877"/>
      <c r="AT194" s="452"/>
      <c r="AU194" s="46"/>
      <c r="AV194" s="2153"/>
      <c r="AW194" s="46"/>
      <c r="AX194" s="46"/>
      <c r="AY194" s="46"/>
      <c r="AZ194" s="46"/>
      <c r="BA194" s="46"/>
      <c r="BB194" s="46"/>
    </row>
    <row r="195" spans="1:78" ht="13.5" customHeight="1" thickBot="1">
      <c r="A195" s="635"/>
      <c r="B195" s="2628" t="s">
        <v>2190</v>
      </c>
      <c r="C195" s="4914"/>
      <c r="D195" s="2622"/>
      <c r="E195" s="5032" t="s">
        <v>2269</v>
      </c>
      <c r="F195" s="2623"/>
      <c r="G195" s="2623"/>
      <c r="H195" s="2623"/>
      <c r="I195" s="2623"/>
      <c r="J195" s="2623"/>
      <c r="K195" s="2678"/>
      <c r="L195" s="2678" t="s">
        <v>2277</v>
      </c>
      <c r="M195" s="2678"/>
      <c r="N195" s="2623"/>
      <c r="O195" s="2623"/>
      <c r="P195" s="2623"/>
      <c r="Q195" s="2623"/>
      <c r="R195" s="2623"/>
      <c r="S195" s="2623"/>
      <c r="T195" s="2623"/>
      <c r="U195" s="2623"/>
      <c r="V195" s="2623"/>
      <c r="W195" s="2623"/>
      <c r="X195" s="704"/>
      <c r="Y195" s="2693"/>
      <c r="Z195" s="452"/>
      <c r="AA195" s="452"/>
      <c r="AB195" s="3077" t="s">
        <v>232</v>
      </c>
      <c r="AC195" s="1607" t="s">
        <v>402</v>
      </c>
      <c r="AD195" s="1443"/>
      <c r="AE195" s="1443"/>
      <c r="AF195" s="1443"/>
      <c r="AG195" s="1443"/>
      <c r="AH195" s="1443"/>
      <c r="AI195" s="1443"/>
      <c r="AJ195" s="1408"/>
      <c r="AK195" s="5183">
        <f>CGTW_Line8_SMFS</f>
        <v>38600</v>
      </c>
      <c r="AL195" s="5183"/>
      <c r="AM195" s="5183">
        <f>CGTW_Line8_MFJQW</f>
        <v>77200</v>
      </c>
      <c r="AN195" s="5180"/>
      <c r="AO195" s="4324">
        <f>CGTW_Line8_HOH</f>
        <v>51700</v>
      </c>
      <c r="AP195" s="5180"/>
      <c r="AQ195" s="4324">
        <f>IF(OR(File_Single&lt;&gt;"",File_Marr_Sep&lt;&gt;""),CGTW_Line8_SMFS,IF(OR(File_Marr_Joint&lt;&gt;"",File_Qual_Widow&lt;&gt;""),CGTW_Line8_MFJQW,IF(File_Head&lt;&gt;"",CGTW_Line8_HOH,0)))</f>
        <v>0</v>
      </c>
      <c r="AR195" s="1408"/>
      <c r="AS195" s="1877"/>
      <c r="AT195" s="452"/>
      <c r="AU195" s="46"/>
      <c r="AV195" s="2153"/>
      <c r="AW195" s="46"/>
      <c r="AX195" s="46"/>
      <c r="AY195" s="46"/>
      <c r="AZ195" s="46"/>
      <c r="BA195" s="46"/>
      <c r="BB195" s="46"/>
      <c r="BP195" s="277" t="s">
        <v>3621</v>
      </c>
      <c r="BQ195" s="277" t="s">
        <v>77</v>
      </c>
      <c r="BR195" s="277" t="s">
        <v>3629</v>
      </c>
      <c r="BS195" s="277" t="s">
        <v>531</v>
      </c>
      <c r="BT195" s="277" t="s">
        <v>2508</v>
      </c>
      <c r="BV195" s="277" t="s">
        <v>3622</v>
      </c>
      <c r="BW195" s="277" t="s">
        <v>77</v>
      </c>
      <c r="BX195" s="277" t="s">
        <v>3629</v>
      </c>
      <c r="BY195" s="277" t="s">
        <v>531</v>
      </c>
      <c r="BZ195" s="277" t="s">
        <v>2508</v>
      </c>
    </row>
    <row r="196" spans="1:78" ht="16.5" customHeight="1" thickTop="1" thickBot="1">
      <c r="A196" s="635"/>
      <c r="B196" s="24"/>
      <c r="C196" s="52">
        <v>28</v>
      </c>
      <c r="D196" s="423" t="s">
        <v>2270</v>
      </c>
      <c r="E196" s="24"/>
      <c r="F196" s="24"/>
      <c r="G196" s="24"/>
      <c r="H196" s="24"/>
      <c r="I196" s="24"/>
      <c r="J196" s="24"/>
      <c r="K196" s="24"/>
      <c r="L196" s="24"/>
      <c r="M196" s="24"/>
      <c r="N196" s="24"/>
      <c r="O196" s="450"/>
      <c r="P196" s="398"/>
      <c r="Q196" s="446"/>
      <c r="R196" s="398"/>
      <c r="S196" s="2660"/>
      <c r="T196" s="1080"/>
      <c r="U196" s="2660"/>
      <c r="V196" s="2659"/>
      <c r="W196" s="1080"/>
      <c r="X196" s="82"/>
      <c r="Y196" s="1450"/>
      <c r="Z196" s="452"/>
      <c r="AA196" s="452"/>
      <c r="AB196" s="1610"/>
      <c r="AC196" s="1443" t="str">
        <f>TEXT(AK195,"$0,000")&amp;" if single or married filing separately,"</f>
        <v>$38,600 if single or married filing separately,</v>
      </c>
      <c r="AD196" s="1443"/>
      <c r="AE196" s="1443"/>
      <c r="AF196" s="1443"/>
      <c r="AG196" s="1443"/>
      <c r="AH196" s="1443"/>
      <c r="AI196" s="1443"/>
      <c r="AJ196" s="1408"/>
      <c r="AK196" s="4591"/>
      <c r="AL196" s="4591"/>
      <c r="AM196" s="4591"/>
      <c r="AN196" s="4591"/>
      <c r="AO196" s="4591"/>
      <c r="AP196" s="4591"/>
      <c r="AQ196" s="4591"/>
      <c r="AR196" s="1408"/>
      <c r="AS196" s="1877"/>
      <c r="AT196" s="452"/>
      <c r="AU196" s="46"/>
      <c r="AV196" s="2153"/>
      <c r="AW196" s="46"/>
      <c r="AX196" s="46"/>
      <c r="AY196" s="46"/>
      <c r="AZ196" s="46"/>
      <c r="BA196" s="46"/>
      <c r="BB196" s="46"/>
      <c r="BP196" s="4268">
        <f>AK253</f>
        <v>0</v>
      </c>
      <c r="BQ196" s="4262">
        <f>LOOKUP(BP196,'Tax Table'!$B$2:$B$2063,'Tax Table'!$D$2:$D$2063)</f>
        <v>0</v>
      </c>
      <c r="BR196" s="4262">
        <f>LOOKUP(BP196,'Tax Table'!$B$2:$B$2063,'Tax Table'!$E$2:$E$2063)</f>
        <v>0</v>
      </c>
      <c r="BS196" s="4262">
        <f>LOOKUP(BP196,'Tax Table'!$B$2:$B$2063,'Tax Table'!$F$2:$F$2063)</f>
        <v>0</v>
      </c>
      <c r="BT196" s="4263">
        <f>LOOKUP(BP196,'Tax Table'!$B$2:$B$2063,'Tax Table'!$G$2:$G$2063)</f>
        <v>0</v>
      </c>
      <c r="BV196" s="4268">
        <f>AM253</f>
        <v>0</v>
      </c>
      <c r="BW196" s="4262">
        <f>LOOKUP(BV196,'Tax Table'!$B$2:$B$2063,'Tax Table'!$D$2:$D$2063)</f>
        <v>0</v>
      </c>
      <c r="BX196" s="4262">
        <f>LOOKUP(BV196,'Tax Table'!$B$2:$B$2063,'Tax Table'!$E$2:$E$2063)</f>
        <v>0</v>
      </c>
      <c r="BY196" s="4262">
        <f>LOOKUP(BV196,'Tax Table'!$B$2:$B$2063,'Tax Table'!$F$2:$F$2063)</f>
        <v>0</v>
      </c>
      <c r="BZ196" s="4263">
        <f>LOOKUP(BV196,'Tax Table'!$B$2:$B$2063,'Tax Table'!$G$2:$G$2063)</f>
        <v>0</v>
      </c>
    </row>
    <row r="197" spans="1:78" ht="15" thickBot="1">
      <c r="A197" s="635"/>
      <c r="B197" s="24"/>
      <c r="C197" s="52"/>
      <c r="D197" s="423" t="s">
        <v>2271</v>
      </c>
      <c r="E197" s="24"/>
      <c r="F197" s="24"/>
      <c r="G197" s="24"/>
      <c r="H197" s="24"/>
      <c r="I197" s="24"/>
      <c r="J197" s="24"/>
      <c r="K197" s="24"/>
      <c r="L197" s="24"/>
      <c r="M197" s="24"/>
      <c r="N197" s="1699" t="s">
        <v>677</v>
      </c>
      <c r="O197" s="2667">
        <v>28</v>
      </c>
      <c r="P197" s="7166"/>
      <c r="Q197" s="7167"/>
      <c r="R197" s="7166"/>
      <c r="S197" s="7167"/>
      <c r="T197" s="7166"/>
      <c r="U197" s="7167"/>
      <c r="V197" s="7166"/>
      <c r="W197" s="7168"/>
      <c r="X197" s="82"/>
      <c r="Y197" s="1450"/>
      <c r="Z197" s="452"/>
      <c r="AA197" s="452"/>
      <c r="AB197" s="1610"/>
      <c r="AC197" s="1443" t="str">
        <f>TEXT(AM195,"$0,000")&amp;" if married filing jointly or qualifying widow(er),"</f>
        <v>$77,200 if married filing jointly or qualifying widow(er),</v>
      </c>
      <c r="AD197" s="1443"/>
      <c r="AE197" s="1607"/>
      <c r="AF197" s="1443"/>
      <c r="AG197" s="1443"/>
      <c r="AH197" s="1443"/>
      <c r="AI197" s="1443"/>
      <c r="AJ197" s="1767" t="s">
        <v>232</v>
      </c>
      <c r="AK197" s="2518">
        <f>AQ195</f>
        <v>0</v>
      </c>
      <c r="AL197" s="5181"/>
      <c r="AM197" s="2518">
        <f>AQ195</f>
        <v>0</v>
      </c>
      <c r="AN197" s="5181"/>
      <c r="AO197" s="2518">
        <f>AQ195</f>
        <v>0</v>
      </c>
      <c r="AP197" s="5181"/>
      <c r="AQ197" s="2518">
        <f>AQ195</f>
        <v>0</v>
      </c>
      <c r="AR197" s="1408"/>
      <c r="AS197" s="1877"/>
      <c r="AT197" s="452"/>
      <c r="AU197" s="46"/>
      <c r="AV197" s="2153"/>
      <c r="AW197" s="46"/>
      <c r="AX197" s="46"/>
      <c r="AY197" s="46"/>
      <c r="AZ197" s="46"/>
      <c r="BA197" s="46"/>
      <c r="BB197" s="46"/>
      <c r="BP197" s="4257"/>
      <c r="BQ197" s="4264" t="str">
        <f>IF(BP196&lt;SectA_a3,"---",IF(BP196&lt;=SectA_a4,ROUND((BP196*(SectA_b4/100)-SectA_d4),0),IF(BP196&lt;=SectA_a5,ROUND((BP196*(SectA_b5/100)-SectA_d5),0),IF(BP196&lt;=SectA_a6,ROUND((BP196*(SectA_b6/100)-SectA_d6),0),ROUND((BP196*(SectA_b7/100)-SectA_d7),0)))))</f>
        <v>---</v>
      </c>
      <c r="BR197" s="4264" t="str">
        <f>IF(BP196&lt;SectB_a2,"---",IF(BP196&lt;=SectB_a3,ROUND((BP196*(SectB_b3/100)-SectB_d3),0),IF(BP196&lt;=SectB_a4,ROUND((BP196*(SectB_b4/100)-SectB_d4),0),IF(BP196&lt;=SectB_a5,ROUND((BP196*(SectB_b5/100)-SectB_d5),0),IF(BP196&lt;=SectB_a6,ROUND((BP196*(SectB_b6/100)-SectB_d6),0),ROUND((BP196*(SectB_b7/100)-SectB_d7),0))))))</f>
        <v>---</v>
      </c>
      <c r="BS197" s="4264" t="str">
        <f>IF(BP196&lt;SectC_a2,"---",IF(BP196&lt;=SectC_a3,ROUND((BP196*(SectC_b3/100)-SectC_d3),0),IF(BP196&lt;=SectC_a4,ROUND((BP196*(SectC_b4/100)-SectC_d4),0),IF(BP196&lt;=SectC_a5,ROUND((BP196*(SectC_b5/100)-SectC_d5),0),ROUND((BP196*(SectC_b6/100)-SectC_d6),0)))))</f>
        <v>---</v>
      </c>
      <c r="BT197" s="4265" t="str">
        <f>IF(BP196&lt;SectD_a2,"---",IF(BP196&lt;=SectD_a3,ROUND((BP196*(SectD_b3/100)-SectD_d3),0),IF(BP196&lt;=SectD_a4,ROUND((BP196*(SectD_b4/100)-SectD_d4),0),IF(BP196&lt;=SectD_a5,ROUND((BP196*(SectD_b5/100)-SectD_d5),0),IF(BP196&lt;=SectD_a6,ROUND((BP196*(SectD_b6/100)-SectD_d6),0),ROUND((BP196*(SectD_b7/100)-SectD_d7),0))))))</f>
        <v>---</v>
      </c>
      <c r="BV197" s="4257"/>
      <c r="BW197" s="4264" t="str">
        <f>IF(BV196&lt;SectA_a3,"---",IF(BV196&lt;=SectA_a4,ROUND((BV196*(SectA_b4/100)-SectA_d4),0),IF(BV196&lt;=SectA_a5,ROUND((BV196*(SectA_b5/100)-SectA_d5),0),IF(BV196&lt;=SectA_a6,ROUND((BV196*(SectA_b6/100)-SectA_d6),0),ROUND((BV196*(SectA_b7/100)-SectA_d7),0)))))</f>
        <v>---</v>
      </c>
      <c r="BX197" s="4264" t="str">
        <f>IF(BV196&lt;SectB_a2,"---",IF(BV196&lt;=SectB_a3,ROUND((BV196*(SectB_b3/100)-SectB_d3),0),IF(BV196&lt;=SectB_a4,ROUND((BV196*(SectB_b4/100)-SectB_d4),0),IF(BV196&lt;=SectB_a5,ROUND((BV196*(SectB_b5/100)-SectB_d5),0),IF(BV196&lt;=SectB_a6,ROUND((BV196*(SectB_b6/100)-SectB_d6),0),ROUND((BV196*(SectB_b7/100)-SectB_d7),0))))))</f>
        <v>---</v>
      </c>
      <c r="BY197" s="4264" t="str">
        <f>IF(BV196&lt;SectC_a2,"---",IF(BV196&lt;=SectC_a3,ROUND((BV196*(SectC_b3/100)-SectC_d3),0),IF(BV196&lt;=SectC_a4,ROUND((BV196*(SectC_b4/100)-SectC_d4),0),IF(BV196&lt;=SectC_a5,ROUND((BV196*(SectC_b5/100)-SectC_d5),0),ROUND((BV196*(SectC_b6/100)-SectC_d6),0)))))</f>
        <v>---</v>
      </c>
      <c r="BZ197" s="4265" t="str">
        <f>IF(BV196&lt;SectD_a2,"---",IF(BV196&lt;=SectD_a3,ROUND((BV196*(SectD_b3/100)-SectD_d3),0),IF(BV196&lt;=SectD_a4,ROUND((BV196*(SectD_b4/100)-SectD_d4),0),IF(BV196&lt;=SectD_a5,ROUND((BV196*(SectD_b5/100)-SectD_d5),0),IF(BV196&lt;=SectD_a6,ROUND((BV196*(SectD_b6/100)-SectD_d6),0),ROUND((BV196*(SectD_b7/100)-SectD_d7),0))))))</f>
        <v>---</v>
      </c>
    </row>
    <row r="198" spans="1:78" ht="12" customHeight="1" thickBot="1">
      <c r="A198" s="635"/>
      <c r="B198" s="24"/>
      <c r="C198" s="52">
        <v>29</v>
      </c>
      <c r="D198" s="423" t="s">
        <v>2272</v>
      </c>
      <c r="E198" s="24"/>
      <c r="F198" s="24"/>
      <c r="G198" s="24"/>
      <c r="H198" s="24"/>
      <c r="I198" s="24"/>
      <c r="J198" s="24"/>
      <c r="K198" s="24"/>
      <c r="L198" s="24"/>
      <c r="M198" s="24"/>
      <c r="N198" s="1699" t="s">
        <v>681</v>
      </c>
      <c r="O198" s="2667">
        <v>29</v>
      </c>
      <c r="P198" s="7283">
        <v>32100</v>
      </c>
      <c r="Q198" s="7284"/>
      <c r="R198" s="7283">
        <v>53500</v>
      </c>
      <c r="S198" s="7284"/>
      <c r="T198" s="7301">
        <v>85600</v>
      </c>
      <c r="U198" s="7303"/>
      <c r="V198" s="7301">
        <v>128400</v>
      </c>
      <c r="W198" s="7302"/>
      <c r="X198" s="82"/>
      <c r="Y198" s="1450"/>
      <c r="Z198" s="452"/>
      <c r="AA198" s="452"/>
      <c r="AB198" s="1610"/>
      <c r="AC198" s="1607" t="s">
        <v>274</v>
      </c>
      <c r="AD198" s="1443"/>
      <c r="AE198" s="1443"/>
      <c r="AF198" s="1443"/>
      <c r="AG198" s="1443"/>
      <c r="AH198" s="1443"/>
      <c r="AI198" s="1443"/>
      <c r="AJ198" s="1408"/>
      <c r="AK198" s="4591"/>
      <c r="AL198" s="4591"/>
      <c r="AM198" s="4591"/>
      <c r="AN198" s="4591"/>
      <c r="AO198" s="4591"/>
      <c r="AP198" s="4591"/>
      <c r="AQ198" s="4591"/>
      <c r="AR198" s="1408"/>
      <c r="AS198" s="1877"/>
      <c r="AT198" s="452"/>
      <c r="AU198" s="46"/>
      <c r="AV198" s="2153"/>
      <c r="AW198" s="46"/>
      <c r="AX198" s="46"/>
      <c r="AY198" s="46"/>
      <c r="AZ198" s="46"/>
      <c r="BA198" s="46"/>
      <c r="BB198" s="46"/>
      <c r="BP198" s="4258" t="str">
        <f>IF(File_Single&lt;&gt;"",BQ196,IF(File_Marr_Joint&lt;&gt;"",BR196,IF(File_Marr_Sep&lt;&gt;"", BS196,IF(File_Head&lt;&gt;"",BT196,IF(File_Qual_Widow&lt;&gt;"",BR196,"Filing status?")))))</f>
        <v>Filing status?</v>
      </c>
      <c r="BQ198" s="2563" t="str">
        <f>"&lt;100k"</f>
        <v>&lt;100k</v>
      </c>
      <c r="BR198" s="2563"/>
      <c r="BS198" s="2563"/>
      <c r="BT198" s="4261"/>
      <c r="BV198" s="4258" t="str">
        <f>IF(File_Single&lt;&gt;"",BW196,IF(File_Marr_Joint&lt;&gt;"",BX196,IF(File_Marr_Sep&lt;&gt;"", BY196,IF(File_Head&lt;&gt;"",BZ196,IF(File_Qual_Widow&lt;&gt;"",BX196,"Filing status?")))))</f>
        <v>Filing status?</v>
      </c>
      <c r="BW198" s="2563" t="str">
        <f>"&lt;100k"</f>
        <v>&lt;100k</v>
      </c>
      <c r="BX198" s="2563"/>
      <c r="BY198" s="2563"/>
      <c r="BZ198" s="4261"/>
    </row>
    <row r="199" spans="1:78" ht="12.75" customHeight="1" thickBot="1">
      <c r="A199" s="635"/>
      <c r="B199" s="74"/>
      <c r="C199" s="52">
        <v>30</v>
      </c>
      <c r="D199" s="74" t="s">
        <v>2273</v>
      </c>
      <c r="E199" s="24"/>
      <c r="F199" s="24"/>
      <c r="G199" s="24"/>
      <c r="H199" s="24"/>
      <c r="I199" s="24"/>
      <c r="J199" s="24"/>
      <c r="K199" s="24"/>
      <c r="L199" s="24"/>
      <c r="M199" s="24"/>
      <c r="N199" s="24"/>
      <c r="O199" s="450"/>
      <c r="P199" s="398"/>
      <c r="Q199" s="446"/>
      <c r="R199" s="398"/>
      <c r="S199" s="2660"/>
      <c r="T199" s="1080"/>
      <c r="U199" s="2660"/>
      <c r="V199" s="2659"/>
      <c r="W199" s="1080"/>
      <c r="X199" s="82"/>
      <c r="Y199" s="1450"/>
      <c r="Z199" s="452"/>
      <c r="AA199" s="452"/>
      <c r="AB199" s="3077"/>
      <c r="AC199" s="1607" t="str">
        <f>TEXT(AO195,"$0,000")&amp;" if head of household."</f>
        <v>$51,700 if head of household.</v>
      </c>
      <c r="AD199" s="1607"/>
      <c r="AE199" s="1443"/>
      <c r="AF199" s="1443"/>
      <c r="AG199" s="1443"/>
      <c r="AH199" s="1443"/>
      <c r="AI199" s="1443"/>
      <c r="AJ199" s="1408"/>
      <c r="AK199" s="5180"/>
      <c r="AL199" s="4591"/>
      <c r="AM199" s="4591"/>
      <c r="AN199" s="4591"/>
      <c r="AO199" s="4591"/>
      <c r="AP199" s="4591"/>
      <c r="AQ199" s="4591"/>
      <c r="AR199" s="1408"/>
      <c r="AS199" s="1877"/>
      <c r="AT199" s="452"/>
      <c r="AU199" s="46"/>
      <c r="AV199" s="2153"/>
      <c r="AW199" s="46"/>
      <c r="AX199" s="46"/>
      <c r="AY199" s="46"/>
      <c r="AZ199" s="46"/>
      <c r="BA199" s="46"/>
      <c r="BB199" s="46"/>
      <c r="BP199" s="4259" t="str">
        <f>IF(File_Single&lt;&gt;"",BQ197,IF(OR(File_Marr_Joint&lt;&gt;"",File_Qual_Widow&lt;&gt;""),BR197,IF(File_Marr_Sep&lt;&gt;"", BS197,IF(File_Head&lt;&gt;"",BT197,"Filing status?"))))</f>
        <v>Filing status?</v>
      </c>
      <c r="BQ199" s="4260" t="str">
        <f>"&gt;=100k"</f>
        <v>&gt;=100k</v>
      </c>
      <c r="BR199" s="4260"/>
      <c r="BS199" s="4266" t="s">
        <v>3630</v>
      </c>
      <c r="BT199" s="4267" t="str">
        <f>IF(BP196&gt;100000,BP199,BP198)</f>
        <v>Filing status?</v>
      </c>
      <c r="BV199" s="4259" t="str">
        <f>IF(File_Single&lt;&gt;"",BW197,IF(OR(File_Marr_Joint&lt;&gt;"",File_Qual_Widow&lt;&gt;""),BX197,IF(File_Marr_Sep&lt;&gt;"", BY197,IF(File_Head&lt;&gt;"",BZ197,"Filing status?"))))</f>
        <v>Filing status?</v>
      </c>
      <c r="BW199" s="4260" t="str">
        <f>"&gt;=100k"</f>
        <v>&gt;=100k</v>
      </c>
      <c r="BX199" s="4260"/>
      <c r="BY199" s="4266" t="s">
        <v>3630</v>
      </c>
      <c r="BZ199" s="4267" t="str">
        <f>IF(BV196&gt;100000,BV199,BV198)</f>
        <v>Filing status?</v>
      </c>
    </row>
    <row r="200" spans="1:78" ht="13.5" thickTop="1">
      <c r="A200" s="635"/>
      <c r="B200" s="24"/>
      <c r="C200" s="52"/>
      <c r="D200" s="74" t="s">
        <v>2274</v>
      </c>
      <c r="E200" s="24"/>
      <c r="F200" s="24"/>
      <c r="G200" s="24"/>
      <c r="H200" s="24"/>
      <c r="I200" s="24"/>
      <c r="J200" s="24"/>
      <c r="K200" s="24"/>
      <c r="L200" s="24"/>
      <c r="M200" s="24"/>
      <c r="N200" s="24"/>
      <c r="O200" s="450"/>
      <c r="P200" s="398"/>
      <c r="Q200" s="446"/>
      <c r="R200" s="398"/>
      <c r="S200" s="2660"/>
      <c r="T200" s="1080"/>
      <c r="U200" s="2660"/>
      <c r="V200" s="2659"/>
      <c r="W200" s="1080"/>
      <c r="X200" s="82"/>
      <c r="Y200" s="1450"/>
      <c r="Z200" s="452"/>
      <c r="AA200" s="452"/>
      <c r="AB200" s="1610"/>
      <c r="AC200" s="1443"/>
      <c r="AD200" s="1443"/>
      <c r="AE200" s="1607"/>
      <c r="AF200" s="1443"/>
      <c r="AG200" s="1443"/>
      <c r="AH200" s="1443"/>
      <c r="AI200" s="1443"/>
      <c r="AJ200" s="1408"/>
      <c r="AK200" s="4591"/>
      <c r="AL200" s="4591"/>
      <c r="AM200" s="4591"/>
      <c r="AN200" s="4591"/>
      <c r="AO200" s="4591"/>
      <c r="AP200" s="4591"/>
      <c r="AQ200" s="4591"/>
      <c r="AR200" s="1767"/>
      <c r="AS200" s="1877"/>
      <c r="AT200" s="452"/>
      <c r="AU200" s="46"/>
      <c r="AV200" s="2153"/>
      <c r="AW200" s="46"/>
      <c r="AX200" s="46"/>
      <c r="AY200" s="46"/>
      <c r="AZ200" s="46"/>
      <c r="BA200" s="46"/>
      <c r="BB200" s="46"/>
    </row>
    <row r="201" spans="1:78" ht="13.5" thickBot="1">
      <c r="A201" s="635"/>
      <c r="B201" s="24"/>
      <c r="C201" s="52"/>
      <c r="D201" s="74" t="s">
        <v>4774</v>
      </c>
      <c r="E201" s="24"/>
      <c r="F201" s="24"/>
      <c r="G201" s="24"/>
      <c r="H201" s="24"/>
      <c r="I201" s="24"/>
      <c r="J201" s="24"/>
      <c r="K201" s="24"/>
      <c r="L201" s="24"/>
      <c r="M201" s="24"/>
      <c r="N201" s="1699"/>
      <c r="O201" s="2667">
        <v>30</v>
      </c>
      <c r="P201" s="7166"/>
      <c r="Q201" s="7167"/>
      <c r="R201" s="7166"/>
      <c r="S201" s="7167"/>
      <c r="T201" s="7166"/>
      <c r="U201" s="7167"/>
      <c r="V201" s="7166"/>
      <c r="W201" s="7168"/>
      <c r="X201" s="82"/>
      <c r="Y201" s="1450"/>
      <c r="Z201" s="452"/>
      <c r="AA201" s="452"/>
      <c r="AB201" s="1610"/>
      <c r="AC201" s="1443"/>
      <c r="AD201" s="1443"/>
      <c r="AE201" s="1443"/>
      <c r="AF201" s="1443"/>
      <c r="AG201" s="1443"/>
      <c r="AH201" s="1443"/>
      <c r="AI201" s="1443"/>
      <c r="AJ201" s="1408"/>
      <c r="AK201" s="4591"/>
      <c r="AL201" s="4591"/>
      <c r="AM201" s="4591"/>
      <c r="AN201" s="4591"/>
      <c r="AO201" s="4591"/>
      <c r="AP201" s="4591"/>
      <c r="AQ201" s="4591"/>
      <c r="AR201" s="1408"/>
      <c r="AS201" s="1877"/>
      <c r="AT201" s="452"/>
      <c r="AU201" s="46"/>
      <c r="AV201" s="2153"/>
      <c r="AW201" s="46"/>
      <c r="AX201" s="46"/>
      <c r="AY201" s="46"/>
      <c r="AZ201" s="46"/>
      <c r="BA201" s="46"/>
      <c r="BB201" s="46"/>
      <c r="BP201" s="277" t="s">
        <v>3623</v>
      </c>
      <c r="BQ201" s="277" t="s">
        <v>77</v>
      </c>
      <c r="BR201" s="277" t="s">
        <v>3629</v>
      </c>
      <c r="BS201" s="277" t="s">
        <v>531</v>
      </c>
      <c r="BT201" s="277" t="s">
        <v>2508</v>
      </c>
      <c r="BV201" s="277" t="s">
        <v>3624</v>
      </c>
      <c r="BW201" s="277" t="s">
        <v>77</v>
      </c>
      <c r="BX201" s="277" t="s">
        <v>3629</v>
      </c>
      <c r="BY201" s="277" t="s">
        <v>531</v>
      </c>
      <c r="BZ201" s="277" t="s">
        <v>2508</v>
      </c>
    </row>
    <row r="202" spans="1:78" ht="13.5" customHeight="1" thickTop="1" thickBot="1">
      <c r="A202" s="635"/>
      <c r="B202" s="24"/>
      <c r="C202" s="52">
        <v>31</v>
      </c>
      <c r="D202" s="423" t="s">
        <v>4610</v>
      </c>
      <c r="E202" s="24"/>
      <c r="F202" s="24"/>
      <c r="G202" s="24"/>
      <c r="H202" s="24"/>
      <c r="I202" s="24"/>
      <c r="J202" s="24"/>
      <c r="K202" s="24"/>
      <c r="L202" s="24"/>
      <c r="M202" s="24"/>
      <c r="N202" s="1699" t="s">
        <v>856</v>
      </c>
      <c r="O202" s="2667">
        <v>31</v>
      </c>
      <c r="P202" s="7164" t="str">
        <f>IF(OR(AND(P197="",P201=""),NOT($B$61)),"",IF(SUM(P198,-P201)&lt;=0,0,SUM(P198,-P201)))</f>
        <v/>
      </c>
      <c r="Q202" s="7165"/>
      <c r="R202" s="7164" t="str">
        <f>IF(OR(AND(R197="",R201=""),NOT($B$61)),"",IF(SUM(R198,-R201)&lt;=0,0,SUM(R198,-R201)))</f>
        <v/>
      </c>
      <c r="S202" s="7165"/>
      <c r="T202" s="7164" t="str">
        <f>IF(OR(AND(T197="",T201=""),NOT($B$61)),"",IF(SUM(T198,-T201)&lt;=0,0,SUM(T198,-T201)))</f>
        <v/>
      </c>
      <c r="U202" s="7165"/>
      <c r="V202" s="7164" t="str">
        <f>IF(OR(AND(V197="",V201=""),NOT($B$61)),"",IF(SUM(V198,-V201)&lt;=0,0,SUM(V198,-V201)))</f>
        <v/>
      </c>
      <c r="W202" s="6707"/>
      <c r="X202" s="82"/>
      <c r="Y202" s="1450"/>
      <c r="Z202" s="452"/>
      <c r="AA202" s="452"/>
      <c r="AB202" s="3077" t="s">
        <v>233</v>
      </c>
      <c r="AC202" s="1607" t="s">
        <v>3581</v>
      </c>
      <c r="AD202" s="1443"/>
      <c r="AE202" s="1443"/>
      <c r="AF202" s="1443"/>
      <c r="AG202" s="1443"/>
      <c r="AH202" s="1443"/>
      <c r="AI202" s="1443"/>
      <c r="AJ202" s="1767" t="s">
        <v>233</v>
      </c>
      <c r="AK202" s="2518">
        <f>MIN(AK161,AK197)</f>
        <v>0</v>
      </c>
      <c r="AL202" s="5181"/>
      <c r="AM202" s="2518">
        <f>MIN(AM161,AM197)</f>
        <v>0</v>
      </c>
      <c r="AN202" s="5181"/>
      <c r="AO202" s="2518">
        <f>MIN(AO161,AO197)</f>
        <v>0</v>
      </c>
      <c r="AP202" s="5181"/>
      <c r="AQ202" s="2518">
        <f>MIN(AQ161,AQ197)</f>
        <v>0</v>
      </c>
      <c r="AR202" s="1767"/>
      <c r="AS202" s="1877"/>
      <c r="AT202" s="452"/>
      <c r="AU202" s="46"/>
      <c r="AV202" s="2153"/>
      <c r="AW202" s="46"/>
      <c r="AX202" s="46"/>
      <c r="AY202" s="46"/>
      <c r="AZ202" s="46"/>
      <c r="BA202" s="46"/>
      <c r="BB202" s="46"/>
      <c r="BP202" s="4268">
        <f>AO253</f>
        <v>0</v>
      </c>
      <c r="BQ202" s="4262">
        <f>LOOKUP(BP202,'Tax Table'!$B$2:$B$2063,'Tax Table'!$D$2:$D$2063)</f>
        <v>0</v>
      </c>
      <c r="BR202" s="4262">
        <f>LOOKUP(BP202,'Tax Table'!$B$2:$B$2063,'Tax Table'!$E$2:$E$2063)</f>
        <v>0</v>
      </c>
      <c r="BS202" s="4262">
        <f>LOOKUP(BP202,'Tax Table'!$B$2:$B$2063,'Tax Table'!$F$2:$F$2063)</f>
        <v>0</v>
      </c>
      <c r="BT202" s="4263">
        <f>LOOKUP(BP202,'Tax Table'!$B$2:$B$2063,'Tax Table'!$G$2:$G$2063)</f>
        <v>0</v>
      </c>
      <c r="BV202" s="4268">
        <f>AQ253</f>
        <v>0</v>
      </c>
      <c r="BW202" s="4262">
        <f>LOOKUP(BV202,'Tax Table'!$B$2:$B$2063,'Tax Table'!$D$2:$D$2063)</f>
        <v>0</v>
      </c>
      <c r="BX202" s="4262">
        <f>LOOKUP(BV202,'Tax Table'!$B$2:$B$2063,'Tax Table'!$E$2:$E$2063)</f>
        <v>0</v>
      </c>
      <c r="BY202" s="4262">
        <f>LOOKUP(BV202,'Tax Table'!$B$2:$B$2063,'Tax Table'!$F$2:$F$2063)</f>
        <v>0</v>
      </c>
      <c r="BZ202" s="4263">
        <f>LOOKUP(BV202,'Tax Table'!$B$2:$B$2063,'Tax Table'!$G$2:$G$2063)</f>
        <v>0</v>
      </c>
    </row>
    <row r="203" spans="1:78" ht="13.5" customHeight="1" thickBot="1">
      <c r="A203" s="635"/>
      <c r="B203" s="24"/>
      <c r="C203" s="52">
        <v>32</v>
      </c>
      <c r="D203" s="3247" t="s">
        <v>2276</v>
      </c>
      <c r="E203" s="24"/>
      <c r="F203" s="24"/>
      <c r="G203" s="24"/>
      <c r="H203" s="24"/>
      <c r="I203" s="24"/>
      <c r="J203" s="24"/>
      <c r="K203" s="24"/>
      <c r="L203" s="24"/>
      <c r="M203" s="24"/>
      <c r="N203" s="1699" t="s">
        <v>681</v>
      </c>
      <c r="O203" s="2667">
        <v>32</v>
      </c>
      <c r="P203" s="7275">
        <v>0.496</v>
      </c>
      <c r="Q203" s="7276"/>
      <c r="R203" s="7277">
        <v>0.29759999999999998</v>
      </c>
      <c r="S203" s="7278"/>
      <c r="T203" s="7275">
        <v>0.186</v>
      </c>
      <c r="U203" s="7276"/>
      <c r="V203" s="7275">
        <v>0.124</v>
      </c>
      <c r="W203" s="7308"/>
      <c r="X203" s="82"/>
      <c r="Y203" s="1450"/>
      <c r="Z203" s="452"/>
      <c r="AA203" s="452"/>
      <c r="AB203" s="1610"/>
      <c r="AC203" s="1443"/>
      <c r="AD203" s="1443"/>
      <c r="AE203" s="1443"/>
      <c r="AF203" s="1443"/>
      <c r="AG203" s="1443"/>
      <c r="AH203" s="1443"/>
      <c r="AI203" s="1443"/>
      <c r="AJ203" s="1408"/>
      <c r="AK203" s="4591"/>
      <c r="AL203" s="4591"/>
      <c r="AM203" s="4591"/>
      <c r="AN203" s="4591"/>
      <c r="AO203" s="4591"/>
      <c r="AP203" s="4591"/>
      <c r="AQ203" s="4591"/>
      <c r="AR203" s="1408"/>
      <c r="AS203" s="1877"/>
      <c r="AT203" s="452"/>
      <c r="AU203" s="46"/>
      <c r="AV203" s="2153"/>
      <c r="AW203" s="46"/>
      <c r="AX203" s="46"/>
      <c r="AY203" s="46"/>
      <c r="AZ203" s="46"/>
      <c r="BA203" s="46"/>
      <c r="BB203" s="46"/>
      <c r="BP203" s="4257"/>
      <c r="BQ203" s="4264" t="str">
        <f>IF(BP202&lt;SectA_a3,"---",IF(BP202&lt;=SectA_a4,ROUND((BP202*(SectA_b4/100)-SectA_d4),0),IF(BP202&lt;=SectA_a5,ROUND((BP202*(SectA_b5/100)-SectA_d5),0),IF(BP202&lt;=SectA_a6,ROUND((BP202*(SectA_b6/100)-SectA_d6),0),ROUND((BP202*(SectA_b7/100)-SectA_d7),0)))))</f>
        <v>---</v>
      </c>
      <c r="BR203" s="4264" t="str">
        <f>IF(BP202&lt;SectB_a2,"---",IF(BP202&lt;=SectB_a3,ROUND((BP202*(SectB_b3/100)-SectB_d3),0),IF(BP202&lt;=SectB_a4,ROUND((BP202*(SectB_b4/100)-SectB_d4),0),IF(BP202&lt;=SectB_a5,ROUND((BP202*(SectB_b5/100)-SectB_d5),0),IF(BP202&lt;=SectB_a6,ROUND((BP202*(SectB_b6/100)-SectB_d6),0),ROUND((BP202*(SectB_b7/100)-SectB_d7),0))))))</f>
        <v>---</v>
      </c>
      <c r="BS203" s="4264" t="str">
        <f>IF(BP202&lt;SectC_a2,"---",IF(BP202&lt;=SectC_a3,ROUND((BP202*(SectC_b3/100)-SectC_d3),0),IF(BP202&lt;=SectC_a4,ROUND((BP202*(SectC_b4/100)-SectC_d4),0),IF(BP202&lt;=SectC_a5,ROUND((BP202*(SectC_b5/100)-SectC_d5),0),ROUND((BP202*(SectC_b6/100)-SectC_d6),0)))))</f>
        <v>---</v>
      </c>
      <c r="BT203" s="4265" t="str">
        <f>IF(BP202&lt;SectD_a2,"---",IF(BP202&lt;=SectD_a3,ROUND((BP202*(SectD_b3/100)-SectD_d3),0),IF(BP202&lt;=SectD_a4,ROUND((BP202*(SectD_b4/100)-SectD_d4),0),IF(BP202&lt;=SectD_a5,ROUND((BP202*(SectD_b5/100)-SectD_d5),0),IF(BP202&lt;=SectD_a6,ROUND((BP202*(SectD_b6/100)-SectD_d6),0),ROUND((BP202*(SectD_b7/100)-SectD_d7),0))))))</f>
        <v>---</v>
      </c>
      <c r="BV203" s="4257"/>
      <c r="BW203" s="4264" t="str">
        <f>IF(BV202&lt;SectA_a3,"---",IF(BV202&lt;=SectA_a4,ROUND((BV202*(SectA_b4/100)-SectA_d4),0),IF(BV202&lt;=SectA_a5,ROUND((BV202*(SectA_b5/100)-SectA_d5),0),IF(BV202&lt;=SectA_a6,ROUND((BV202*(SectA_b6/100)-SectA_d6),0),ROUND((BV202*(SectA_b7/100)-SectA_d7),0)))))</f>
        <v>---</v>
      </c>
      <c r="BX203" s="4264" t="str">
        <f>IF(BV202&lt;SectB_a2,"---",IF(BV202&lt;=SectB_a3,ROUND((BV202*(SectB_b3/100)-SectB_d3),0),IF(BV202&lt;=SectB_a4,ROUND((BV202*(SectB_b4/100)-SectB_d4),0),IF(BV202&lt;=SectB_a5,ROUND((BV202*(SectB_b5/100)-SectB_d5),0),IF(BV202&lt;=SectB_a6,ROUND((BV202*(SectB_b6/100)-SectB_d6),0),ROUND((BV202*(SectB_b7/100)-SectB_d7),0))))))</f>
        <v>---</v>
      </c>
      <c r="BY203" s="4264" t="str">
        <f>IF(BV202&lt;SectC_a2,"---",IF(BV202&lt;=SectC_a3,ROUND((BV202*(SectC_b3/100)-SectC_d3),0),IF(BV202&lt;=SectC_a4,ROUND((BV202*(SectC_b4/100)-SectC_d4),0),IF(BV202&lt;=SectC_a5,ROUND((BV202*(SectC_b5/100)-SectC_d5),0),ROUND((BV202*(SectC_b6/100)-SectC_d6),0)))))</f>
        <v>---</v>
      </c>
      <c r="BZ203" s="4265" t="str">
        <f>IF(BV202&lt;SectD_a2,"---",IF(BV202&lt;=SectD_a3,ROUND((BV202*(SectD_b3/100)-SectD_d3),0),IF(BV202&lt;=SectD_a4,ROUND((BV202*(SectD_b4/100)-SectD_d4),0),IF(BV202&lt;=SectD_a5,ROUND((BV202*(SectD_b5/100)-SectD_d5),0),IF(BV202&lt;=SectD_a6,ROUND((BV202*(SectD_b6/100)-SectD_d6),0),ROUND((BV202*(SectD_b7/100)-SectD_d7),0))))))</f>
        <v>---</v>
      </c>
    </row>
    <row r="204" spans="1:78" ht="13.5" customHeight="1" thickBot="1">
      <c r="A204" s="635"/>
      <c r="B204" s="25"/>
      <c r="C204" s="52">
        <v>33</v>
      </c>
      <c r="D204" s="3247" t="s">
        <v>4775</v>
      </c>
      <c r="E204" s="24"/>
      <c r="F204" s="24"/>
      <c r="G204" s="24"/>
      <c r="H204" s="24"/>
      <c r="I204" s="24"/>
      <c r="J204" s="24"/>
      <c r="K204" s="24"/>
      <c r="L204" s="24"/>
      <c r="M204" s="24"/>
      <c r="N204" s="1699" t="s">
        <v>2261</v>
      </c>
      <c r="O204" s="2667">
        <v>33</v>
      </c>
      <c r="P204" s="7164" t="str">
        <f>IF(NOT($B$61),"",P203*MIN(P197,P202))</f>
        <v/>
      </c>
      <c r="Q204" s="7165"/>
      <c r="R204" s="7164" t="str">
        <f>IF(NOT($B$61),"",R203*MIN(R197,R202))</f>
        <v/>
      </c>
      <c r="S204" s="7165"/>
      <c r="T204" s="7164" t="str">
        <f>IF(NOT($B$61),"",T203*MIN(T197,T202))</f>
        <v/>
      </c>
      <c r="U204" s="7165"/>
      <c r="V204" s="7171" t="str">
        <f>IF(NOT($B$61),"",V203*MIN(V197,V202))</f>
        <v/>
      </c>
      <c r="W204" s="7172"/>
      <c r="X204" s="82"/>
      <c r="Y204" s="1450"/>
      <c r="Z204" s="452"/>
      <c r="AA204" s="452"/>
      <c r="AB204" s="3077" t="s">
        <v>337</v>
      </c>
      <c r="AC204" s="1607" t="s">
        <v>3582</v>
      </c>
      <c r="AD204" s="1615"/>
      <c r="AE204" s="1443"/>
      <c r="AF204" s="1443"/>
      <c r="AG204" s="1443"/>
      <c r="AH204" s="1443"/>
      <c r="AI204" s="1443"/>
      <c r="AJ204" s="1767" t="s">
        <v>337</v>
      </c>
      <c r="AK204" s="2518">
        <f>MIN(AK193,AK202)</f>
        <v>0</v>
      </c>
      <c r="AL204" s="5181"/>
      <c r="AM204" s="2518">
        <f>MIN(AM193,AM202)</f>
        <v>0</v>
      </c>
      <c r="AN204" s="5181"/>
      <c r="AO204" s="2518">
        <f>MIN(AO193,AO202)</f>
        <v>0</v>
      </c>
      <c r="AP204" s="5181"/>
      <c r="AQ204" s="2518">
        <f>MIN(AQ193,AQ202)</f>
        <v>0</v>
      </c>
      <c r="AR204" s="1408"/>
      <c r="AS204" s="1877"/>
      <c r="AT204" s="452"/>
      <c r="AU204" s="46"/>
      <c r="AV204" s="2153"/>
      <c r="AW204" s="46"/>
      <c r="AX204" s="46"/>
      <c r="AY204" s="46"/>
      <c r="AZ204" s="46"/>
      <c r="BA204" s="46"/>
      <c r="BB204" s="46"/>
      <c r="BP204" s="4258" t="str">
        <f>IF(File_Single&lt;&gt;"",BQ202,IF(File_Marr_Joint&lt;&gt;"",BR202,IF(File_Marr_Sep&lt;&gt;"", BS202,IF(File_Head&lt;&gt;"",BT202,IF(File_Qual_Widow&lt;&gt;"",BR202,"Filing status?")))))</f>
        <v>Filing status?</v>
      </c>
      <c r="BQ204" s="2563" t="str">
        <f>"&lt;100k"</f>
        <v>&lt;100k</v>
      </c>
      <c r="BR204" s="2563"/>
      <c r="BS204" s="2563"/>
      <c r="BT204" s="4261"/>
      <c r="BV204" s="4258" t="str">
        <f>IF(File_Single&lt;&gt;"",BW202,IF(File_Marr_Joint&lt;&gt;"",BX202,IF(File_Marr_Sep&lt;&gt;"", BY202,IF(File_Head&lt;&gt;"",BZ202,IF(File_Qual_Widow&lt;&gt;"",BX202,"Filing status?")))))</f>
        <v>Filing status?</v>
      </c>
      <c r="BW204" s="2563" t="str">
        <f>"&lt;100k"</f>
        <v>&lt;100k</v>
      </c>
      <c r="BX204" s="2563"/>
      <c r="BY204" s="2563"/>
      <c r="BZ204" s="4261"/>
    </row>
    <row r="205" spans="1:78" ht="15.75" customHeight="1" thickBot="1">
      <c r="A205" s="635"/>
      <c r="B205" s="24"/>
      <c r="C205" s="52">
        <v>34</v>
      </c>
      <c r="D205" s="423" t="s">
        <v>2276</v>
      </c>
      <c r="E205" s="24"/>
      <c r="F205" s="24"/>
      <c r="G205" s="24"/>
      <c r="H205" s="24"/>
      <c r="I205" s="24"/>
      <c r="J205" s="24"/>
      <c r="K205" s="24"/>
      <c r="L205" s="24"/>
      <c r="M205" s="24"/>
      <c r="N205" s="1699" t="s">
        <v>981</v>
      </c>
      <c r="O205" s="2667">
        <v>34</v>
      </c>
      <c r="P205" s="7275">
        <v>0.11600000000000001</v>
      </c>
      <c r="Q205" s="7276"/>
      <c r="R205" s="7277">
        <v>6.9599999999999995E-2</v>
      </c>
      <c r="S205" s="7278"/>
      <c r="T205" s="7277">
        <v>4.3499999999999997E-2</v>
      </c>
      <c r="U205" s="7278"/>
      <c r="V205" s="7275">
        <v>2.9000000000000001E-2</v>
      </c>
      <c r="W205" s="7308"/>
      <c r="X205" s="82"/>
      <c r="Y205" s="1450"/>
      <c r="Z205" s="452"/>
      <c r="AA205" s="452"/>
      <c r="AB205" s="3077"/>
      <c r="AC205" s="1443"/>
      <c r="AD205" s="1443"/>
      <c r="AE205" s="1443"/>
      <c r="AF205" s="1443"/>
      <c r="AG205" s="1443"/>
      <c r="AH205" s="1443"/>
      <c r="AI205" s="1443"/>
      <c r="AJ205" s="1408"/>
      <c r="AK205" s="4591"/>
      <c r="AL205" s="4591"/>
      <c r="AM205" s="4591"/>
      <c r="AN205" s="4591"/>
      <c r="AO205" s="4591"/>
      <c r="AP205" s="4591"/>
      <c r="AQ205" s="4591"/>
      <c r="AR205" s="1408"/>
      <c r="AS205" s="1877"/>
      <c r="AT205" s="452"/>
      <c r="AU205" s="46"/>
      <c r="AV205" s="2153"/>
      <c r="AW205" s="46"/>
      <c r="AX205" s="46"/>
      <c r="AY205" s="46"/>
      <c r="AZ205" s="46"/>
      <c r="BA205" s="46"/>
      <c r="BB205" s="46"/>
      <c r="BP205" s="4259" t="str">
        <f>IF(File_Single&lt;&gt;"",BQ203,IF(OR(File_Marr_Joint&lt;&gt;"",File_Qual_Widow&lt;&gt;""),BR203,IF(File_Marr_Sep&lt;&gt;"", BS203,IF(File_Head&lt;&gt;"",BT203,"Filing status?"))))</f>
        <v>Filing status?</v>
      </c>
      <c r="BQ205" s="4260" t="str">
        <f>"&gt;=100k"</f>
        <v>&gt;=100k</v>
      </c>
      <c r="BR205" s="4260"/>
      <c r="BS205" s="4266" t="s">
        <v>3630</v>
      </c>
      <c r="BT205" s="4267" t="str">
        <f>IF(BP202&gt;100000,BP205,BP204)</f>
        <v>Filing status?</v>
      </c>
      <c r="BV205" s="4259" t="str">
        <f>IF(File_Single&lt;&gt;"",BW203,IF(OR(File_Marr_Joint&lt;&gt;"",File_Qual_Widow&lt;&gt;""),BX203,IF(File_Marr_Sep&lt;&gt;"", BY203,IF(File_Head&lt;&gt;"",BZ203,"Filing status?"))))</f>
        <v>Filing status?</v>
      </c>
      <c r="BW205" s="4260" t="str">
        <f>"&gt;=100k"</f>
        <v>&gt;=100k</v>
      </c>
      <c r="BX205" s="4260"/>
      <c r="BY205" s="4266" t="s">
        <v>3630</v>
      </c>
      <c r="BZ205" s="4267" t="str">
        <f>IF(BV202&gt;100000,BV205,BV204)</f>
        <v>Filing status?</v>
      </c>
    </row>
    <row r="206" spans="1:78" ht="12.75" customHeight="1" thickTop="1">
      <c r="A206" s="635"/>
      <c r="B206" s="24"/>
      <c r="C206" s="52">
        <v>35</v>
      </c>
      <c r="D206" s="3247" t="s">
        <v>4611</v>
      </c>
      <c r="E206" s="24"/>
      <c r="F206" s="24"/>
      <c r="G206" s="24"/>
      <c r="H206" s="24"/>
      <c r="I206" s="24"/>
      <c r="J206" s="24"/>
      <c r="K206" s="24"/>
      <c r="L206" s="24"/>
      <c r="M206" s="24"/>
      <c r="N206" s="1699" t="s">
        <v>681</v>
      </c>
      <c r="O206" s="2667">
        <v>35</v>
      </c>
      <c r="P206" s="7281" t="str">
        <f>IF(NOT($B$61),"",P197*P205)</f>
        <v/>
      </c>
      <c r="Q206" s="7282"/>
      <c r="R206" s="7281" t="str">
        <f>IF(NOT($B$61),"",R197*R205)</f>
        <v/>
      </c>
      <c r="S206" s="7282"/>
      <c r="T206" s="7281" t="str">
        <f>IF(NOT($B$61),"",T197*T205)</f>
        <v/>
      </c>
      <c r="U206" s="7282"/>
      <c r="V206" s="7309" t="str">
        <f>IF(NOT($B$61),"",V197*V205)</f>
        <v/>
      </c>
      <c r="W206" s="7310"/>
      <c r="X206" s="82"/>
      <c r="Y206" s="1450"/>
      <c r="Z206" s="452"/>
      <c r="AA206" s="452"/>
      <c r="AB206" s="3077" t="s">
        <v>338</v>
      </c>
      <c r="AC206" s="1607" t="s">
        <v>651</v>
      </c>
      <c r="AD206" s="1607"/>
      <c r="AE206" s="1443"/>
      <c r="AF206" s="1443"/>
      <c r="AG206" s="1443"/>
      <c r="AH206" s="1443"/>
      <c r="AI206" s="1443"/>
      <c r="AJ206" s="1767" t="s">
        <v>338</v>
      </c>
      <c r="AK206" s="2518">
        <f>SUM(AK202,-AK204)</f>
        <v>0</v>
      </c>
      <c r="AL206" s="5181"/>
      <c r="AM206" s="2518">
        <f>SUM(AM202,-AM204)</f>
        <v>0</v>
      </c>
      <c r="AN206" s="5181"/>
      <c r="AO206" s="2518">
        <f>SUM(AO202,-AO204)</f>
        <v>0</v>
      </c>
      <c r="AP206" s="5181"/>
      <c r="AQ206" s="2518">
        <f>SUM(AQ202,-AQ204)</f>
        <v>0</v>
      </c>
      <c r="AR206" s="1408"/>
      <c r="AS206" s="1877"/>
      <c r="AT206" s="452"/>
      <c r="AU206" s="46"/>
      <c r="AV206" s="2153"/>
      <c r="AW206" s="46"/>
      <c r="AX206" s="46"/>
      <c r="AY206" s="46"/>
      <c r="AZ206" s="46"/>
      <c r="BA206" s="46"/>
      <c r="BB206" s="46"/>
    </row>
    <row r="207" spans="1:78" ht="15.75" customHeight="1" thickBot="1">
      <c r="A207" s="635"/>
      <c r="B207" s="25"/>
      <c r="C207" s="52">
        <v>36</v>
      </c>
      <c r="D207" s="423" t="s">
        <v>4612</v>
      </c>
      <c r="E207" s="24"/>
      <c r="F207" s="24"/>
      <c r="G207" s="24"/>
      <c r="H207" s="24"/>
      <c r="I207" s="24"/>
      <c r="J207" s="24"/>
      <c r="K207" s="24"/>
      <c r="L207" s="24"/>
      <c r="M207" s="24"/>
      <c r="N207" s="1699" t="s">
        <v>856</v>
      </c>
      <c r="O207" s="2667">
        <v>36</v>
      </c>
      <c r="P207" s="7164" t="str">
        <f>IF(NOT($B$61),"",SUM(P204,P206))</f>
        <v/>
      </c>
      <c r="Q207" s="7165"/>
      <c r="R207" s="7164" t="str">
        <f>IF(NOT($B$61),"",SUM(R204,R206))</f>
        <v/>
      </c>
      <c r="S207" s="7165"/>
      <c r="T207" s="7164" t="str">
        <f>IF(NOT($B$61),"",SUM(T204,T206))</f>
        <v/>
      </c>
      <c r="U207" s="7165"/>
      <c r="V207" s="7311" t="str">
        <f>IF(NOT($B$61),"",SUM(V204,V206))</f>
        <v/>
      </c>
      <c r="W207" s="7312"/>
      <c r="X207" s="82"/>
      <c r="Y207" s="1450"/>
      <c r="Z207" s="452"/>
      <c r="AA207" s="452"/>
      <c r="AB207" s="1610"/>
      <c r="AC207" s="1607"/>
      <c r="AD207" s="1607"/>
      <c r="AE207" s="1443"/>
      <c r="AF207" s="1443"/>
      <c r="AG207" s="1443"/>
      <c r="AH207" s="1443"/>
      <c r="AI207" s="1443"/>
      <c r="AJ207" s="1408"/>
      <c r="AK207" s="4591"/>
      <c r="AL207" s="4591"/>
      <c r="AM207" s="4591"/>
      <c r="AN207" s="4591"/>
      <c r="AO207" s="4591"/>
      <c r="AP207" s="4591"/>
      <c r="AQ207" s="4591"/>
      <c r="AR207" s="1767"/>
      <c r="AS207" s="1877"/>
      <c r="AT207" s="452"/>
      <c r="AU207" s="46"/>
      <c r="AV207" s="2153"/>
      <c r="AW207" s="46"/>
      <c r="AX207" s="46"/>
      <c r="AY207" s="46"/>
      <c r="AZ207" s="46"/>
      <c r="BA207" s="46"/>
      <c r="BB207" s="46"/>
      <c r="BP207" s="277" t="s">
        <v>3620</v>
      </c>
      <c r="BQ207" s="277" t="s">
        <v>77</v>
      </c>
      <c r="BR207" s="277" t="s">
        <v>3629</v>
      </c>
      <c r="BS207" s="277" t="s">
        <v>531</v>
      </c>
      <c r="BT207" s="277" t="s">
        <v>2508</v>
      </c>
      <c r="BV207" s="277" t="s">
        <v>3619</v>
      </c>
      <c r="BW207" s="277" t="s">
        <v>77</v>
      </c>
      <c r="BX207" s="277" t="s">
        <v>3629</v>
      </c>
      <c r="BY207" s="277" t="s">
        <v>531</v>
      </c>
      <c r="BZ207" s="277" t="s">
        <v>2508</v>
      </c>
    </row>
    <row r="208" spans="1:78" ht="16.5" thickTop="1" thickBot="1">
      <c r="A208" s="1010"/>
      <c r="B208" s="2631"/>
      <c r="C208" s="2637"/>
      <c r="D208" s="2632"/>
      <c r="E208" s="2631"/>
      <c r="F208" s="2631"/>
      <c r="G208" s="2631"/>
      <c r="H208" s="2631"/>
      <c r="I208" s="2631"/>
      <c r="J208" s="2631"/>
      <c r="K208" s="2631"/>
      <c r="L208" s="2631"/>
      <c r="M208" s="2631"/>
      <c r="N208" s="2631"/>
      <c r="O208" s="2631"/>
      <c r="P208" s="2631"/>
      <c r="Q208" s="2633"/>
      <c r="R208" s="2634"/>
      <c r="S208" s="2631"/>
      <c r="T208" s="2631"/>
      <c r="U208" s="2635"/>
      <c r="V208" s="2635" t="s">
        <v>2197</v>
      </c>
      <c r="W208" s="2635" t="str">
        <f>"("&amp;TaxYear&amp;")"</f>
        <v>(2018)</v>
      </c>
      <c r="X208" s="1014"/>
      <c r="Y208" s="1450"/>
      <c r="Z208" s="452"/>
      <c r="AA208" s="452"/>
      <c r="AB208" s="3077" t="s">
        <v>339</v>
      </c>
      <c r="AC208" s="1607" t="s">
        <v>3580</v>
      </c>
      <c r="AD208" s="1607"/>
      <c r="AE208" s="1443"/>
      <c r="AF208" s="1443"/>
      <c r="AG208" s="1443"/>
      <c r="AH208" s="1443"/>
      <c r="AI208" s="1443"/>
      <c r="AJ208" s="1767" t="s">
        <v>339</v>
      </c>
      <c r="AK208" s="2518">
        <f>MIN(AK161,AK191)</f>
        <v>0</v>
      </c>
      <c r="AL208" s="5181"/>
      <c r="AM208" s="2518">
        <f>MIN(AM161,AM191)</f>
        <v>0</v>
      </c>
      <c r="AN208" s="5181"/>
      <c r="AO208" s="2518">
        <f>MIN(AO161,AO191)</f>
        <v>0</v>
      </c>
      <c r="AP208" s="5181"/>
      <c r="AQ208" s="2518">
        <f>MIN(AQ161,AQ191)</f>
        <v>0</v>
      </c>
      <c r="AR208" s="1408"/>
      <c r="AS208" s="1877"/>
      <c r="AT208" s="452"/>
      <c r="AU208" s="46"/>
      <c r="AV208" s="2153"/>
      <c r="AW208" s="46"/>
      <c r="AX208" s="46"/>
      <c r="AY208" s="46"/>
      <c r="AZ208" s="46"/>
      <c r="BA208" s="46"/>
      <c r="BB208" s="46"/>
      <c r="BP208" s="4268">
        <f>AM255</f>
        <v>0</v>
      </c>
      <c r="BQ208" s="4262">
        <f>LOOKUP(BP208,'Tax Table'!$B$2:$B$2063,'Tax Table'!$D$2:$D$2063)</f>
        <v>0</v>
      </c>
      <c r="BR208" s="4262">
        <f>LOOKUP(BP208,'Tax Table'!$B$2:$B$2063,'Tax Table'!$E$2:$E$2063)</f>
        <v>0</v>
      </c>
      <c r="BS208" s="4262">
        <f>LOOKUP(BP208,'Tax Table'!$B$2:$B$2063,'Tax Table'!$F$2:$F$2063)</f>
        <v>0</v>
      </c>
      <c r="BT208" s="4263">
        <f>LOOKUP(BP208,'Tax Table'!$B$2:$B$2063,'Tax Table'!$G$2:$G$2063)</f>
        <v>0</v>
      </c>
      <c r="BV208" s="4268">
        <f>AK255</f>
        <v>0</v>
      </c>
      <c r="BW208" s="4262">
        <f>LOOKUP(BV208,'Tax Table'!$B$2:$B$2063,'Tax Table'!$D$2:$D$2063)</f>
        <v>0</v>
      </c>
      <c r="BX208" s="4262">
        <f>LOOKUP(BV208,'Tax Table'!$B$2:$B$2063,'Tax Table'!$E$2:$E$2063)</f>
        <v>0</v>
      </c>
      <c r="BY208" s="4262">
        <f>LOOKUP(BV208,'Tax Table'!$B$2:$B$2063,'Tax Table'!$F$2:$F$2063)</f>
        <v>0</v>
      </c>
      <c r="BZ208" s="4263">
        <f>LOOKUP(BV208,'Tax Table'!$B$2:$B$2063,'Tax Table'!$G$2:$G$2063)</f>
        <v>0</v>
      </c>
    </row>
    <row r="209" spans="1:86" s="1016" customFormat="1" ht="17.25" customHeight="1" thickBot="1">
      <c r="A209" s="635"/>
      <c r="B209" s="2738" t="s">
        <v>2302</v>
      </c>
      <c r="C209" s="2739"/>
      <c r="D209" s="2739"/>
      <c r="E209" s="2739"/>
      <c r="F209" s="2739"/>
      <c r="G209" s="2739"/>
      <c r="H209" s="2739"/>
      <c r="I209" s="2739"/>
      <c r="J209" s="2739"/>
      <c r="K209" s="2739"/>
      <c r="L209" s="2739"/>
      <c r="M209" s="2739"/>
      <c r="N209" s="2739"/>
      <c r="O209" s="2739"/>
      <c r="P209" s="2739"/>
      <c r="Q209" s="2739"/>
      <c r="R209" s="2739"/>
      <c r="S209" s="2739"/>
      <c r="T209" s="2739"/>
      <c r="U209" s="2739"/>
      <c r="V209" s="2739"/>
      <c r="W209" s="2739"/>
      <c r="X209" s="82"/>
      <c r="Y209" s="1450"/>
      <c r="Z209" s="452"/>
      <c r="AA209" s="452"/>
      <c r="AB209" s="1610"/>
      <c r="AC209" s="1607"/>
      <c r="AD209" s="1607"/>
      <c r="AE209" s="1443"/>
      <c r="AF209" s="1443"/>
      <c r="AG209" s="1443"/>
      <c r="AH209" s="1443"/>
      <c r="AI209" s="1443"/>
      <c r="AJ209" s="1408"/>
      <c r="AK209" s="4591"/>
      <c r="AL209" s="4591"/>
      <c r="AM209" s="4591"/>
      <c r="AN209" s="4591"/>
      <c r="AO209" s="4591"/>
      <c r="AP209" s="4591"/>
      <c r="AQ209" s="4591"/>
      <c r="AR209" s="1767"/>
      <c r="AS209" s="1877"/>
      <c r="AT209" s="452"/>
      <c r="AU209" s="46"/>
      <c r="AV209" s="2153"/>
      <c r="AW209" s="46"/>
      <c r="AX209" s="46"/>
      <c r="AY209" s="46"/>
      <c r="AZ209" s="46"/>
      <c r="BA209" s="46"/>
      <c r="BB209" s="46"/>
      <c r="BC209" s="3169"/>
      <c r="BD209" s="3169"/>
      <c r="BE209" s="3169"/>
      <c r="BF209" s="3169"/>
      <c r="BG209" s="3169"/>
      <c r="BH209" s="3169"/>
      <c r="BI209" s="3169"/>
      <c r="BJ209" s="3169"/>
      <c r="BK209" s="3169"/>
      <c r="BL209" s="3169"/>
      <c r="BM209" s="3169"/>
      <c r="BP209" s="4257"/>
      <c r="BQ209" s="4264" t="str">
        <f>IF(BP208&lt;SectA_a3,"---",IF(BP208&lt;=SectA_a4,ROUND((BP208*(SectA_b4/100)-SectA_d4),0),IF(BP208&lt;=SectA_a5,ROUND((BP208*(SectA_b5/100)-SectA_d5),0),IF(BP208&lt;=SectA_a6,ROUND((BP208*(SectA_b6/100)-SectA_d6),0),ROUND((BP208*(SectA_b7/100)-SectA_d7),0)))))</f>
        <v>---</v>
      </c>
      <c r="BR209" s="4264" t="str">
        <f>IF(BP208&lt;SectB_a2,"---",IF(BP208&lt;=SectB_a3,ROUND((BP208*(SectB_b3/100)-SectB_d3),0),IF(BP208&lt;=SectB_a4,ROUND((BP208*(SectB_b4/100)-SectB_d4),0),IF(BP208&lt;=SectB_a5,ROUND((BP208*(SectB_b5/100)-SectB_d5),0),IF(BP208&lt;=SectB_a6,ROUND((BP208*(SectB_b6/100)-SectB_d6),0),ROUND((BP208*(SectB_b7/100)-SectB_d7),0))))))</f>
        <v>---</v>
      </c>
      <c r="BS209" s="4264" t="str">
        <f>IF(BP208&lt;SectC_a2,"---",IF(BP208&lt;=SectC_a3,ROUND((BP208*(SectC_b3/100)-SectC_d3),0),IF(BP208&lt;=SectC_a4,ROUND((BP208*(SectC_b4/100)-SectC_d4),0),IF(BP208&lt;=SectC_a5,ROUND((BP208*(SectC_b5/100)-SectC_d5),0),ROUND((BP208*(SectC_b6/100)-SectC_d6),0)))))</f>
        <v>---</v>
      </c>
      <c r="BT209" s="4265" t="str">
        <f>IF(BP208&lt;SectD_a2,"---",IF(BP208&lt;=SectD_a3,ROUND((BP208*(SectD_b3/100)-SectD_d3),0),IF(BP208&lt;=SectD_a4,ROUND((BP208*(SectD_b4/100)-SectD_d4),0),IF(BP208&lt;=SectD_a5,ROUND((BP208*(SectD_b5/100)-SectD_d5),0),IF(BP208&lt;=SectD_a6,ROUND((BP208*(SectD_b6/100)-SectD_d6),0),ROUND((BP208*(SectD_b7/100)-SectD_d7),0))))))</f>
        <v>---</v>
      </c>
      <c r="BU209"/>
      <c r="BV209" s="4257"/>
      <c r="BW209" s="4264" t="str">
        <f>IF(BV208&lt;SectA_a3,"---",IF(BV208&lt;=SectA_a4,ROUND((BV208*(SectA_b4/100)-SectA_d4),0),IF(BV208&lt;=SectA_a5,ROUND((BV208*(SectA_b5/100)-SectA_d5),0),IF(BV208&lt;=SectA_a6,ROUND((BV208*(SectA_b6/100)-SectA_d6),0),ROUND((BV208*(SectA_b7/100)-SectA_d7),0)))))</f>
        <v>---</v>
      </c>
      <c r="BX209" s="4264" t="str">
        <f>IF(BV208&lt;SectB_a2,"---",IF(BV208&lt;=SectB_a3,ROUND((BV208*(SectB_b3/100)-SectB_d3),0),IF(BV208&lt;=SectB_a4,ROUND((BV208*(SectB_b4/100)-SectB_d4),0),IF(BV208&lt;=SectB_a5,ROUND((BV208*(SectB_b5/100)-SectB_d5),0),IF(BV208&lt;=SectB_a6,ROUND((BV208*(SectB_b6/100)-SectB_d6),0),ROUND((BV208*(SectB_b7/100)-SectB_d7),0))))))</f>
        <v>---</v>
      </c>
      <c r="BY209" s="4264" t="str">
        <f>IF(BV208&lt;SectC_a2,"---",IF(BV208&lt;=SectC_a3,ROUND((BV208*(SectC_b3/100)-SectC_d3),0),IF(BV208&lt;=SectC_a4,ROUND((BV208*(SectC_b4/100)-SectC_d4),0),IF(BV208&lt;=SectC_a5,ROUND((BV208*(SectC_b5/100)-SectC_d5),0),ROUND((BV208*(SectC_b6/100)-SectC_d6),0)))))</f>
        <v>---</v>
      </c>
      <c r="BZ209" s="4265" t="str">
        <f>IF(BV208&lt;SectD_a2,"---",IF(BV208&lt;=SectD_a3,ROUND((BV208*(SectD_b3/100)-SectD_d3),0),IF(BV208&lt;=SectD_a4,ROUND((BV208*(SectD_b4/100)-SectD_d4),0),IF(BV208&lt;=SectD_a5,ROUND((BV208*(SectD_b5/100)-SectD_d5),0),IF(BV208&lt;=SectD_a6,ROUND((BV208*(SectD_b6/100)-SectD_d6),0),ROUND((BV208*(SectD_b7/100)-SectD_d7),0))))))</f>
        <v>---</v>
      </c>
      <c r="CA209"/>
      <c r="CB209"/>
      <c r="CC209"/>
      <c r="CD209"/>
      <c r="CE209"/>
      <c r="CF209"/>
      <c r="CG209"/>
      <c r="CH209"/>
    </row>
    <row r="210" spans="1:86" s="661" customFormat="1" ht="16.5" thickBot="1">
      <c r="A210" s="635"/>
      <c r="B210" s="5061" t="s">
        <v>4789</v>
      </c>
      <c r="C210" s="2109"/>
      <c r="D210" s="2109"/>
      <c r="E210" s="2109"/>
      <c r="F210" s="2109"/>
      <c r="G210" s="2109"/>
      <c r="H210" s="2109"/>
      <c r="I210" s="2109"/>
      <c r="J210" s="2109"/>
      <c r="K210" s="2109"/>
      <c r="L210" s="2109"/>
      <c r="M210" s="2109"/>
      <c r="N210" s="2109"/>
      <c r="O210" s="2109"/>
      <c r="P210" s="2109"/>
      <c r="Q210" s="2109"/>
      <c r="R210" s="2109"/>
      <c r="S210" s="2109"/>
      <c r="T210" s="2109"/>
      <c r="U210" s="5062" t="s">
        <v>200</v>
      </c>
      <c r="V210" s="2109"/>
      <c r="W210" s="2109"/>
      <c r="X210" s="82"/>
      <c r="Y210" s="1450"/>
      <c r="Z210" s="452"/>
      <c r="AA210" s="452"/>
      <c r="AB210" s="3077" t="s">
        <v>498</v>
      </c>
      <c r="AC210" s="1607" t="s">
        <v>686</v>
      </c>
      <c r="AD210" s="1607"/>
      <c r="AE210" s="1443"/>
      <c r="AF210" s="1443"/>
      <c r="AG210" s="1443"/>
      <c r="AH210" s="1443"/>
      <c r="AI210" s="1443"/>
      <c r="AJ210" s="1767" t="s">
        <v>498</v>
      </c>
      <c r="AK210" s="2518">
        <f>AK206</f>
        <v>0</v>
      </c>
      <c r="AL210" s="5181"/>
      <c r="AM210" s="2518">
        <f>AM206</f>
        <v>0</v>
      </c>
      <c r="AN210" s="5181"/>
      <c r="AO210" s="2518">
        <f>AO206</f>
        <v>0</v>
      </c>
      <c r="AP210" s="5181"/>
      <c r="AQ210" s="2518">
        <f>AQ206</f>
        <v>0</v>
      </c>
      <c r="AR210" s="1408"/>
      <c r="AS210" s="1877"/>
      <c r="AT210" s="452"/>
      <c r="AU210" s="46"/>
      <c r="AV210" s="2153"/>
      <c r="AW210" s="46"/>
      <c r="AX210" s="46"/>
      <c r="AY210" s="46"/>
      <c r="AZ210" s="46"/>
      <c r="BA210" s="46"/>
      <c r="BB210" s="46"/>
      <c r="BC210" s="3169"/>
      <c r="BD210" s="3169"/>
      <c r="BE210" s="3169"/>
      <c r="BF210" s="3169"/>
      <c r="BG210" s="3169"/>
      <c r="BH210" s="3169"/>
      <c r="BI210" s="3169"/>
      <c r="BJ210" s="3169"/>
      <c r="BK210" s="3169"/>
      <c r="BL210" s="3169"/>
      <c r="BM210" s="3169"/>
      <c r="BP210" s="4258" t="str">
        <f>IF(File_Single&lt;&gt;"",BQ208,IF(File_Marr_Joint&lt;&gt;"",BR208,IF(File_Marr_Sep&lt;&gt;"", BS208,IF(File_Head&lt;&gt;"",BT208,IF(File_Qual_Widow&lt;&gt;"",BR208,"Filing status?")))))</f>
        <v>Filing status?</v>
      </c>
      <c r="BQ210" s="2563" t="str">
        <f>"&lt;100k"</f>
        <v>&lt;100k</v>
      </c>
      <c r="BR210" s="2563"/>
      <c r="BS210" s="2563"/>
      <c r="BT210" s="4261"/>
      <c r="BU210"/>
      <c r="BV210" s="4258" t="str">
        <f>IF(File_Single&lt;&gt;"",BW208,IF(File_Marr_Joint&lt;&gt;"",BX208,IF(File_Marr_Sep&lt;&gt;"", BY208,IF(File_Head&lt;&gt;"",BZ208,IF(File_Qual_Widow&lt;&gt;"",BX208,"Filing status?")))))</f>
        <v>Filing status?</v>
      </c>
      <c r="BW210" s="2563" t="str">
        <f>"&lt;100k"</f>
        <v>&lt;100k</v>
      </c>
      <c r="BX210" s="2563"/>
      <c r="BY210" s="2563"/>
      <c r="BZ210" s="4261"/>
      <c r="CA210"/>
      <c r="CB210"/>
      <c r="CC210"/>
      <c r="CD210"/>
      <c r="CE210"/>
      <c r="CF210"/>
      <c r="CG210"/>
      <c r="CH210"/>
    </row>
    <row r="211" spans="1:86" s="2703" customFormat="1" ht="15" thickBot="1">
      <c r="A211" s="635"/>
      <c r="B211" s="2741" t="s">
        <v>2301</v>
      </c>
      <c r="C211" s="2742"/>
      <c r="D211" s="2742"/>
      <c r="E211" s="2742"/>
      <c r="F211" s="2742"/>
      <c r="G211" s="2742"/>
      <c r="H211" s="2742"/>
      <c r="I211" s="2742"/>
      <c r="J211" s="2742"/>
      <c r="K211" s="2742"/>
      <c r="L211" s="2742"/>
      <c r="M211" s="2742"/>
      <c r="N211" s="2742"/>
      <c r="O211" s="2742"/>
      <c r="P211" s="2742"/>
      <c r="Q211" s="2742"/>
      <c r="R211" s="2742"/>
      <c r="S211" s="2742"/>
      <c r="T211" s="2742"/>
      <c r="U211" s="2742"/>
      <c r="V211" s="2742"/>
      <c r="W211" s="2742"/>
      <c r="X211" s="82"/>
      <c r="Y211" s="1450"/>
      <c r="Z211" s="452"/>
      <c r="AA211" s="452"/>
      <c r="AB211" s="1610"/>
      <c r="AC211" s="1607"/>
      <c r="AD211" s="1607"/>
      <c r="AE211" s="1443"/>
      <c r="AF211" s="1443"/>
      <c r="AG211" s="1443"/>
      <c r="AH211" s="1443"/>
      <c r="AI211" s="1443"/>
      <c r="AJ211" s="1408"/>
      <c r="AK211" s="4591"/>
      <c r="AL211" s="4591"/>
      <c r="AM211" s="4591"/>
      <c r="AN211" s="4591"/>
      <c r="AO211" s="4591"/>
      <c r="AP211" s="4591"/>
      <c r="AQ211" s="4591"/>
      <c r="AR211" s="1767"/>
      <c r="AS211" s="1877"/>
      <c r="AT211" s="452"/>
      <c r="AU211" s="46"/>
      <c r="AV211" s="2153"/>
      <c r="AW211" s="46"/>
      <c r="AX211" s="46"/>
      <c r="AY211" s="46"/>
      <c r="AZ211" s="46"/>
      <c r="BA211" s="3955"/>
      <c r="BB211" s="46"/>
      <c r="BC211" s="3169"/>
      <c r="BD211" s="3169"/>
      <c r="BE211" s="3169"/>
      <c r="BF211" s="3169"/>
      <c r="BG211" s="3169"/>
      <c r="BH211" s="3169"/>
      <c r="BI211" s="3169"/>
      <c r="BJ211" s="3169"/>
      <c r="BK211" s="3169"/>
      <c r="BL211" s="3169"/>
      <c r="BM211" s="3169"/>
      <c r="BP211" s="4259" t="str">
        <f>IF(File_Single&lt;&gt;"",BQ209,IF(OR(File_Marr_Joint&lt;&gt;"",File_Qual_Widow&lt;&gt;""),BR209,IF(File_Marr_Sep&lt;&gt;"", BS209,IF(File_Head&lt;&gt;"",BT209,"Filing status?"))))</f>
        <v>Filing status?</v>
      </c>
      <c r="BQ211" s="4260" t="str">
        <f>"&gt;=100k"</f>
        <v>&gt;=100k</v>
      </c>
      <c r="BR211" s="4260"/>
      <c r="BS211" s="4266" t="s">
        <v>3630</v>
      </c>
      <c r="BT211" s="4267" t="str">
        <f>IF(BP208&gt;100000,BP211,BP210)</f>
        <v>Filing status?</v>
      </c>
      <c r="BU211"/>
      <c r="BV211" s="4259" t="str">
        <f>IF(File_Single&lt;&gt;"",BW209,IF(OR(File_Marr_Joint&lt;&gt;"",File_Qual_Widow&lt;&gt;""),BX209,IF(File_Marr_Sep&lt;&gt;"", BY209,IF(File_Head&lt;&gt;"",BZ209,"Filing status?"))))</f>
        <v>Filing status?</v>
      </c>
      <c r="BW211" s="4260" t="str">
        <f>"&gt;=100k"</f>
        <v>&gt;=100k</v>
      </c>
      <c r="BX211" s="4260"/>
      <c r="BY211" s="4266" t="s">
        <v>3630</v>
      </c>
      <c r="BZ211" s="4267" t="str">
        <f>IF(BV208&gt;100000,BV211,BV210)</f>
        <v>Filing status?</v>
      </c>
      <c r="CA211"/>
      <c r="CB211"/>
      <c r="CC211"/>
      <c r="CD211"/>
      <c r="CE211"/>
      <c r="CF211"/>
      <c r="CG211"/>
      <c r="CH211"/>
    </row>
    <row r="212" spans="1:86" s="2703" customFormat="1" ht="15" customHeight="1" thickTop="1">
      <c r="A212" s="635"/>
      <c r="B212" s="2741" t="s">
        <v>2300</v>
      </c>
      <c r="C212" s="2742"/>
      <c r="D212" s="2742"/>
      <c r="E212" s="2742"/>
      <c r="F212" s="2742"/>
      <c r="G212" s="2742"/>
      <c r="H212" s="2742"/>
      <c r="I212" s="2742"/>
      <c r="J212" s="2742"/>
      <c r="K212" s="2742"/>
      <c r="L212" s="2742"/>
      <c r="M212" s="2742"/>
      <c r="N212" s="2742"/>
      <c r="O212" s="2742"/>
      <c r="P212" s="2742"/>
      <c r="Q212" s="2742"/>
      <c r="R212" s="2742"/>
      <c r="S212" s="2742"/>
      <c r="T212" s="2742"/>
      <c r="U212" s="2742"/>
      <c r="V212" s="2742"/>
      <c r="W212" s="2742"/>
      <c r="X212" s="82"/>
      <c r="Y212" s="1450"/>
      <c r="Z212" s="452"/>
      <c r="AA212" s="452"/>
      <c r="AB212" s="3077" t="s">
        <v>499</v>
      </c>
      <c r="AC212" s="1607" t="s">
        <v>787</v>
      </c>
      <c r="AD212" s="1607"/>
      <c r="AE212" s="1443"/>
      <c r="AF212" s="1443"/>
      <c r="AG212" s="1443"/>
      <c r="AH212" s="1443"/>
      <c r="AI212" s="1443"/>
      <c r="AJ212" s="1767" t="s">
        <v>499</v>
      </c>
      <c r="AK212" s="2518">
        <f>SUM(AK208,-AK210)</f>
        <v>0</v>
      </c>
      <c r="AL212" s="5181"/>
      <c r="AM212" s="2518">
        <f>SUM(AM208,-AM210)</f>
        <v>0</v>
      </c>
      <c r="AN212" s="5181"/>
      <c r="AO212" s="2518">
        <f>SUM(AO208,-AO210)</f>
        <v>0</v>
      </c>
      <c r="AP212" s="5181"/>
      <c r="AQ212" s="2518">
        <f>SUM(AQ208,-AQ210)</f>
        <v>0</v>
      </c>
      <c r="AR212" s="1408"/>
      <c r="AS212" s="1877"/>
      <c r="AT212" s="452"/>
      <c r="AU212" s="46"/>
      <c r="AV212" s="2153"/>
      <c r="AW212" s="46"/>
      <c r="AX212" s="46"/>
      <c r="AY212" s="46"/>
      <c r="AZ212" s="46"/>
      <c r="BA212" s="3955"/>
      <c r="BB212" s="46"/>
      <c r="BC212" s="3169"/>
      <c r="BD212" s="3169"/>
      <c r="BE212" s="3169"/>
      <c r="BF212" s="3169"/>
      <c r="BG212" s="3169"/>
      <c r="BH212" s="3169"/>
      <c r="BI212" s="3169"/>
      <c r="BJ212" s="3169"/>
      <c r="BK212" s="3169"/>
      <c r="BL212" s="3169"/>
      <c r="BM212" s="3169"/>
      <c r="BP212"/>
      <c r="BQ212"/>
      <c r="BR212"/>
      <c r="BS212"/>
      <c r="BT212"/>
      <c r="BU212"/>
      <c r="BV212"/>
      <c r="BW212"/>
      <c r="BX212"/>
      <c r="BY212"/>
      <c r="BZ212"/>
      <c r="CA212"/>
      <c r="CB212"/>
      <c r="CC212"/>
      <c r="CD212"/>
      <c r="CE212"/>
      <c r="CF212"/>
      <c r="CG212"/>
      <c r="CH212"/>
    </row>
    <row r="213" spans="1:86" s="2703" customFormat="1" ht="14.25">
      <c r="A213" s="635"/>
      <c r="B213" s="2741" t="s">
        <v>2299</v>
      </c>
      <c r="C213" s="2742"/>
      <c r="D213" s="2742"/>
      <c r="E213" s="2742"/>
      <c r="F213" s="2742"/>
      <c r="G213" s="2742"/>
      <c r="H213" s="2742"/>
      <c r="I213" s="2742"/>
      <c r="J213" s="2742"/>
      <c r="K213" s="2742"/>
      <c r="L213" s="2742"/>
      <c r="M213" s="2742"/>
      <c r="N213" s="2742"/>
      <c r="O213" s="2742"/>
      <c r="P213" s="2742"/>
      <c r="Q213" s="2742"/>
      <c r="R213" s="2742"/>
      <c r="S213" s="2742"/>
      <c r="T213" s="2742"/>
      <c r="U213" s="2742"/>
      <c r="V213" s="2742"/>
      <c r="W213" s="2742"/>
      <c r="X213" s="82"/>
      <c r="Y213" s="1450"/>
      <c r="Z213" s="452"/>
      <c r="AA213" s="452"/>
      <c r="AB213" s="1610"/>
      <c r="AC213" s="1616">
        <v>0.15</v>
      </c>
      <c r="AD213" s="1607"/>
      <c r="AE213" s="1443"/>
      <c r="AF213" s="1443"/>
      <c r="AG213" s="1443"/>
      <c r="AH213" s="1443"/>
      <c r="AI213" s="1443"/>
      <c r="AJ213" s="1408"/>
      <c r="AK213" s="4591"/>
      <c r="AL213" s="4591"/>
      <c r="AM213" s="4591"/>
      <c r="AN213" s="4591"/>
      <c r="AO213" s="4591"/>
      <c r="AP213" s="4591"/>
      <c r="AQ213" s="4591"/>
      <c r="AR213" s="1767"/>
      <c r="AS213" s="1877"/>
      <c r="AT213" s="452"/>
      <c r="AU213" s="46"/>
      <c r="AV213" s="2153"/>
      <c r="AW213" s="46"/>
      <c r="AX213" s="46"/>
      <c r="AY213" s="46"/>
      <c r="AZ213" s="46"/>
      <c r="BA213" s="3955"/>
      <c r="BB213" s="46"/>
      <c r="BC213" s="3169"/>
      <c r="BD213" s="3169"/>
      <c r="BE213" s="3169"/>
      <c r="BF213" s="3169"/>
      <c r="BG213" s="3169"/>
      <c r="BH213" s="3169"/>
      <c r="BI213" s="3169"/>
      <c r="BJ213" s="3169"/>
      <c r="BK213" s="3169"/>
      <c r="BL213" s="3169"/>
      <c r="BM213" s="3169"/>
      <c r="BP213"/>
      <c r="BQ213"/>
      <c r="BR213"/>
      <c r="BS213"/>
      <c r="BT213"/>
      <c r="BU213"/>
      <c r="BV213"/>
      <c r="BW213"/>
      <c r="BX213"/>
      <c r="BY213"/>
      <c r="BZ213"/>
      <c r="CA213"/>
      <c r="CB213"/>
      <c r="CC213"/>
      <c r="CD213"/>
      <c r="CE213"/>
      <c r="CF213"/>
      <c r="CG213"/>
      <c r="CH213"/>
    </row>
    <row r="214" spans="1:86" ht="13.5" customHeight="1">
      <c r="A214" s="635"/>
      <c r="B214" s="7269" t="str">
        <f>IF(Q278="","Enter payment information below.  (Starting on row "&amp;ROW(Q278)&amp;".)","")</f>
        <v>Enter payment information below.  (Starting on row 278.)</v>
      </c>
      <c r="C214" s="7270"/>
      <c r="D214" s="7270"/>
      <c r="E214" s="7270"/>
      <c r="F214" s="7270"/>
      <c r="G214" s="7270"/>
      <c r="H214" s="7270"/>
      <c r="I214" s="7270"/>
      <c r="J214" s="7270"/>
      <c r="K214" s="7270"/>
      <c r="L214" s="7270"/>
      <c r="M214" s="7270"/>
      <c r="N214" s="7271"/>
      <c r="O214" s="1938"/>
      <c r="P214" s="7313" t="s">
        <v>2236</v>
      </c>
      <c r="Q214" s="7314"/>
      <c r="R214" s="7314"/>
      <c r="S214" s="7314"/>
      <c r="T214" s="7314"/>
      <c r="U214" s="7314"/>
      <c r="V214" s="7314"/>
      <c r="W214" s="7314"/>
      <c r="X214" s="82"/>
      <c r="Y214" s="1450"/>
      <c r="Z214" s="452"/>
      <c r="AA214" s="452"/>
      <c r="AB214" s="3077" t="s">
        <v>500</v>
      </c>
      <c r="AC214" s="1607" t="str">
        <f>"Multiply line 14 by "&amp;TEXT(AC213,"0%")&amp;" ("&amp;TEXT(AC213,"0.00")&amp;")"</f>
        <v>Multiply line 14 by 15% (0.15)</v>
      </c>
      <c r="AD214" s="1607"/>
      <c r="AE214" s="1443"/>
      <c r="AF214" s="1443"/>
      <c r="AG214" s="1443"/>
      <c r="AH214" s="1443"/>
      <c r="AI214" s="1443"/>
      <c r="AJ214" s="1767" t="s">
        <v>500</v>
      </c>
      <c r="AK214" s="2518">
        <f>ROUND(AK212*$AC$213,0)</f>
        <v>0</v>
      </c>
      <c r="AL214" s="5181"/>
      <c r="AM214" s="2518">
        <f>ROUND(AM212*$AC$213,0)</f>
        <v>0</v>
      </c>
      <c r="AN214" s="5181"/>
      <c r="AO214" s="2518">
        <f>ROUND(AO212*$AC$213,0)</f>
        <v>0</v>
      </c>
      <c r="AP214" s="5181"/>
      <c r="AQ214" s="2518">
        <f>ROUND(AQ212*$AC$213,0)</f>
        <v>0</v>
      </c>
      <c r="AR214" s="1408"/>
      <c r="AS214" s="1877"/>
      <c r="AT214" s="452"/>
      <c r="AU214" s="46"/>
      <c r="AV214" s="2153"/>
      <c r="AW214" s="46"/>
      <c r="AX214" s="46"/>
      <c r="AY214" s="46"/>
      <c r="AZ214" s="46"/>
      <c r="BA214" s="3955"/>
      <c r="BB214" s="46"/>
    </row>
    <row r="215" spans="1:86" ht="13.5" customHeight="1">
      <c r="A215" s="635"/>
      <c r="B215" s="7272"/>
      <c r="C215" s="7273"/>
      <c r="D215" s="7273"/>
      <c r="E215" s="7273"/>
      <c r="F215" s="7273"/>
      <c r="G215" s="7273"/>
      <c r="H215" s="7273"/>
      <c r="I215" s="7273"/>
      <c r="J215" s="7273"/>
      <c r="K215" s="7273"/>
      <c r="L215" s="7273"/>
      <c r="M215" s="7273"/>
      <c r="N215" s="7274"/>
      <c r="O215" s="1941"/>
      <c r="P215" s="7176" t="s">
        <v>1137</v>
      </c>
      <c r="Q215" s="7199"/>
      <c r="R215" s="7176" t="s">
        <v>1139</v>
      </c>
      <c r="S215" s="7199"/>
      <c r="T215" s="7176" t="s">
        <v>2298</v>
      </c>
      <c r="U215" s="7177"/>
      <c r="V215" s="7176" t="s">
        <v>938</v>
      </c>
      <c r="W215" s="7198"/>
      <c r="X215" s="82"/>
      <c r="Y215" s="1450"/>
      <c r="Z215" s="452"/>
      <c r="AA215" s="452"/>
      <c r="AB215" s="1610"/>
      <c r="AC215" s="1607"/>
      <c r="AD215" s="1607"/>
      <c r="AE215" s="1443"/>
      <c r="AF215" s="1443"/>
      <c r="AG215" s="1443"/>
      <c r="AH215" s="1443"/>
      <c r="AI215" s="1443"/>
      <c r="AJ215" s="1408"/>
      <c r="AK215" s="4591"/>
      <c r="AL215" s="4591"/>
      <c r="AM215" s="4591"/>
      <c r="AN215" s="4591"/>
      <c r="AO215" s="4591"/>
      <c r="AP215" s="4591"/>
      <c r="AQ215" s="4591"/>
      <c r="AR215" s="1767"/>
      <c r="AS215" s="1877"/>
      <c r="AT215" s="452"/>
      <c r="AU215" s="46"/>
      <c r="AV215" s="2153"/>
      <c r="AW215" s="3955"/>
      <c r="AX215" s="46"/>
      <c r="AY215" s="46"/>
      <c r="AZ215" s="46"/>
      <c r="BA215" s="3955"/>
      <c r="BB215" s="46"/>
      <c r="BY215" s="1016"/>
    </row>
    <row r="216" spans="1:86" ht="12" customHeight="1">
      <c r="A216" s="635"/>
      <c r="B216" s="7272"/>
      <c r="C216" s="7273"/>
      <c r="D216" s="7273"/>
      <c r="E216" s="7273"/>
      <c r="F216" s="7273"/>
      <c r="G216" s="7273"/>
      <c r="H216" s="7273"/>
      <c r="I216" s="7273"/>
      <c r="J216" s="7273"/>
      <c r="K216" s="7273"/>
      <c r="L216" s="7273"/>
      <c r="M216" s="7273"/>
      <c r="N216" s="7274"/>
      <c r="O216" s="2700"/>
      <c r="P216" s="7184">
        <f>P114</f>
        <v>43205</v>
      </c>
      <c r="Q216" s="7266"/>
      <c r="R216" s="7184">
        <f>R114</f>
        <v>43266</v>
      </c>
      <c r="S216" s="7266"/>
      <c r="T216" s="7184">
        <f>T114</f>
        <v>43358</v>
      </c>
      <c r="U216" s="7266"/>
      <c r="V216" s="7184">
        <f>V114</f>
        <v>43480</v>
      </c>
      <c r="W216" s="7185"/>
      <c r="X216" s="82"/>
      <c r="Y216" s="1450"/>
      <c r="Z216" s="452"/>
      <c r="AA216" s="452"/>
      <c r="AB216" s="3077" t="s">
        <v>215</v>
      </c>
      <c r="AC216" s="1607" t="s">
        <v>652</v>
      </c>
      <c r="AD216" s="1607"/>
      <c r="AE216" s="1443"/>
      <c r="AF216" s="1443"/>
      <c r="AG216" s="1443"/>
      <c r="AH216" s="1443"/>
      <c r="AI216" s="1443"/>
      <c r="AJ216" s="1408"/>
      <c r="AK216" s="4591"/>
      <c r="AL216" s="4591"/>
      <c r="AM216" s="4591"/>
      <c r="AN216" s="4591"/>
      <c r="AO216" s="4591"/>
      <c r="AP216" s="4591"/>
      <c r="AQ216" s="4591"/>
      <c r="AR216" s="1408"/>
      <c r="AS216" s="1877"/>
      <c r="AT216" s="452"/>
      <c r="AU216" s="46"/>
      <c r="AV216" s="2153"/>
      <c r="AW216" s="46"/>
      <c r="AX216" s="46"/>
      <c r="AY216" s="46"/>
      <c r="AZ216" s="46"/>
      <c r="BA216" s="3955"/>
      <c r="BB216" s="46"/>
      <c r="BY216" s="661"/>
    </row>
    <row r="217" spans="1:86" ht="13.5" customHeight="1">
      <c r="A217" s="635"/>
      <c r="B217" s="2743"/>
      <c r="C217" s="2704" t="s">
        <v>2305</v>
      </c>
      <c r="D217" s="2705" t="s">
        <v>2303</v>
      </c>
      <c r="E217" s="2706"/>
      <c r="F217" s="2706"/>
      <c r="G217" s="2706"/>
      <c r="H217" s="2706"/>
      <c r="I217" s="2706"/>
      <c r="J217" s="2706"/>
      <c r="K217" s="2706"/>
      <c r="L217" s="2706"/>
      <c r="M217" s="2706"/>
      <c r="N217" s="5060" t="s">
        <v>4323</v>
      </c>
      <c r="O217" s="2710" t="s">
        <v>14</v>
      </c>
      <c r="P217" s="7279" t="str">
        <f>P138</f>
        <v/>
      </c>
      <c r="Q217" s="7280"/>
      <c r="R217" s="7279" t="str">
        <f>R138</f>
        <v/>
      </c>
      <c r="S217" s="7280"/>
      <c r="T217" s="7279" t="str">
        <f>T138</f>
        <v/>
      </c>
      <c r="U217" s="7280"/>
      <c r="V217" s="7279" t="str">
        <f>V138</f>
        <v/>
      </c>
      <c r="W217" s="7307"/>
      <c r="X217" s="82"/>
      <c r="Y217" s="1450"/>
      <c r="Z217" s="452"/>
      <c r="AA217" s="452"/>
      <c r="AB217" s="1610"/>
      <c r="AC217" s="1607" t="str">
        <f>"Table in the "&amp;TaxYear&amp;" Instructions for Form 1040 to figure this tax. If the amount on line 7 is $100,000 or"</f>
        <v>Table in the 2018 Instructions for Form 1040 to figure this tax. If the amount on line 7 is $100,000 or</v>
      </c>
      <c r="AD217" s="1607"/>
      <c r="AE217" s="1443"/>
      <c r="AF217" s="1443"/>
      <c r="AG217" s="1443"/>
      <c r="AH217" s="1443"/>
      <c r="AI217" s="1443"/>
      <c r="AJ217" s="1408"/>
      <c r="AK217" s="4591"/>
      <c r="AL217" s="4591"/>
      <c r="AM217" s="4591"/>
      <c r="AN217" s="4591"/>
      <c r="AO217" s="4591"/>
      <c r="AP217" s="4591"/>
      <c r="AQ217" s="4591"/>
      <c r="AR217" s="1767"/>
      <c r="AS217" s="1877"/>
      <c r="AT217" s="452"/>
      <c r="AU217" s="46"/>
      <c r="AV217" s="2153"/>
      <c r="AW217" s="46"/>
      <c r="AX217" s="46"/>
      <c r="AY217" s="46"/>
      <c r="AZ217" s="46"/>
      <c r="BA217" s="3955"/>
      <c r="BB217" s="46"/>
      <c r="BY217" s="2703"/>
    </row>
    <row r="218" spans="1:86" ht="12.6" customHeight="1">
      <c r="A218" s="635"/>
      <c r="B218" s="2744"/>
      <c r="C218" s="2689"/>
      <c r="D218" s="6385" t="s">
        <v>2306</v>
      </c>
      <c r="E218" s="7218"/>
      <c r="F218" s="7218"/>
      <c r="G218" s="7218"/>
      <c r="H218" s="7218"/>
      <c r="I218" s="7218"/>
      <c r="J218" s="7218"/>
      <c r="K218" s="7218"/>
      <c r="L218" s="7218"/>
      <c r="M218" s="7218"/>
      <c r="N218" s="7219"/>
      <c r="O218" s="2701"/>
      <c r="P218" s="7287">
        <f>IF(ISERROR(LOOKUP(P219,$O$278:$O$332,$Q$278:$Q$332)),"",LOOKUP(P219,$O$278:$O$332,$Q$278:$Q$332))</f>
        <v>0</v>
      </c>
      <c r="Q218" s="7288"/>
      <c r="R218" s="7288" t="str">
        <f>IF(ISERROR(LOOKUP(R219,$O$278:$O$332,$Q$278:$Q$332)),"",LOOKUP(R219,$O$278:$O$332,$Q$278:$Q$332))</f>
        <v/>
      </c>
      <c r="S218" s="7288"/>
      <c r="T218" s="7288" t="str">
        <f>IF(ISERROR(LOOKUP(T219,$O$278:$O$332,$Q$278:$Q$332)),"",LOOKUP(T219,$O$278:$O$332,$Q$278:$Q$332))</f>
        <v/>
      </c>
      <c r="U218" s="7288"/>
      <c r="V218" s="7288" t="str">
        <f>IF(ISERROR(LOOKUP(V219,$O$278:$O$332,$Q$278:$Q$332)),"",LOOKUP(V219,$O$278:$O$332,$Q$278:$Q$332))</f>
        <v/>
      </c>
      <c r="W218" s="7288"/>
      <c r="X218" s="82"/>
      <c r="Y218" s="1450"/>
      <c r="Z218" s="452"/>
      <c r="AA218" s="452"/>
      <c r="AB218" s="1610"/>
      <c r="AC218" s="1607" t="str">
        <f>"more, use the Tax Computation Worksheet in the "&amp;TaxYear&amp;" Instructions for Form 1040"</f>
        <v>more, use the Tax Computation Worksheet in the 2018 Instructions for Form 1040</v>
      </c>
      <c r="AD218" s="1607"/>
      <c r="AE218" s="1443"/>
      <c r="AF218" s="1443"/>
      <c r="AG218" s="1443"/>
      <c r="AH218" s="1443"/>
      <c r="AI218" s="1443"/>
      <c r="AJ218" s="1408"/>
      <c r="AK218" s="4591"/>
      <c r="AL218" s="4591"/>
      <c r="AM218" s="4591"/>
      <c r="AN218" s="4591"/>
      <c r="AO218" s="4591"/>
      <c r="AP218" s="4591"/>
      <c r="AQ218" s="4591"/>
      <c r="AR218" s="1767"/>
      <c r="AS218" s="1877"/>
      <c r="AT218" s="452"/>
      <c r="AU218" s="46"/>
      <c r="AV218" s="2153"/>
      <c r="AW218" s="46"/>
      <c r="AX218" s="46"/>
      <c r="AY218" s="46"/>
      <c r="AZ218" s="46"/>
      <c r="BA218" s="3955"/>
      <c r="BB218" s="46"/>
      <c r="BY218" s="2703"/>
    </row>
    <row r="219" spans="1:86" ht="12.6" customHeight="1">
      <c r="A219" s="635"/>
      <c r="B219" s="2745"/>
      <c r="C219" s="2709" t="s">
        <v>17</v>
      </c>
      <c r="D219" s="7214"/>
      <c r="E219" s="7214"/>
      <c r="F219" s="7214"/>
      <c r="G219" s="7214"/>
      <c r="H219" s="7214"/>
      <c r="I219" s="7214"/>
      <c r="J219" s="7214"/>
      <c r="K219" s="7214"/>
      <c r="L219" s="7214"/>
      <c r="M219" s="7214"/>
      <c r="N219" s="7215"/>
      <c r="O219" s="2711"/>
      <c r="P219" s="7289">
        <f>IF(LOOKUP(P220,$U$278:$U$332,$U$278:$U$332)=P220,LOOKUP(P220,$U$278:$U$332,$O$278:$O$332),LOOKUP(P220,$U$278:$U$332,$O$278:$O$332)-1)</f>
        <v>332</v>
      </c>
      <c r="Q219" s="7289"/>
      <c r="R219" s="7289" t="e">
        <f>IF(LOOKUP(R220,$U$278:$U$332,$U$278:$U$332)=R220,LOOKUP(R220,$U$278:$U$332,$O$278:$O$332),LOOKUP(R220,$U$278:$U$332,$O$278:$O$332)-1)</f>
        <v>#N/A</v>
      </c>
      <c r="S219" s="7289"/>
      <c r="T219" s="7289" t="e">
        <f>IF(LOOKUP(T220,$U$278:$U$332,$U$278:$U$332)=T220,LOOKUP(T220,$U$278:$U$332,$O$278:$O$332),LOOKUP(T220,$U$278:$U$332,$O$278:$O$332)-1)</f>
        <v>#N/A</v>
      </c>
      <c r="U219" s="7289"/>
      <c r="V219" s="7289" t="e">
        <f>IF(LOOKUP(V220,$U$278:$U$332,$U$278:$U$332)=V220,LOOKUP(V220,$U$278:$U$332,$O$278:$O$332),LOOKUP(V220,$U$278:$U$332,$O$278:$O$332)-1)</f>
        <v>#N/A</v>
      </c>
      <c r="W219" s="7289"/>
      <c r="X219" s="82"/>
      <c r="Y219" s="1450"/>
      <c r="Z219" s="452"/>
      <c r="AA219" s="452"/>
      <c r="AB219" s="1610"/>
      <c r="AC219" s="1607"/>
      <c r="AD219" s="1607"/>
      <c r="AE219" s="1443"/>
      <c r="AF219" s="1443"/>
      <c r="AG219" s="1443"/>
      <c r="AH219" s="1443"/>
      <c r="AI219" s="1443"/>
      <c r="AJ219" s="1767" t="s">
        <v>215</v>
      </c>
      <c r="AK219" s="2518" t="str">
        <f>BT187</f>
        <v>Filing status?</v>
      </c>
      <c r="AL219" s="5181"/>
      <c r="AM219" s="2518" t="str">
        <f>BZ187</f>
        <v>Filing status?</v>
      </c>
      <c r="AN219" s="5181"/>
      <c r="AO219" s="2518" t="str">
        <f>BT193</f>
        <v>Filing status?</v>
      </c>
      <c r="AP219" s="5181"/>
      <c r="AQ219" s="2518" t="str">
        <f>BZ193</f>
        <v>Filing status?</v>
      </c>
      <c r="AR219" s="1767"/>
      <c r="AS219" s="1877"/>
      <c r="AT219" s="452"/>
      <c r="AU219" s="46"/>
      <c r="AV219" s="2153"/>
      <c r="AW219" s="46"/>
      <c r="AX219" s="46"/>
      <c r="AY219" s="46"/>
      <c r="AZ219" s="46"/>
      <c r="BA219" s="3955"/>
      <c r="BB219" s="46"/>
      <c r="BY219" s="2703"/>
    </row>
    <row r="220" spans="1:86" ht="12.6" customHeight="1">
      <c r="A220" s="635"/>
      <c r="B220" s="2745"/>
      <c r="C220" s="2708"/>
      <c r="D220" s="7214"/>
      <c r="E220" s="7214"/>
      <c r="F220" s="7214"/>
      <c r="G220" s="7214"/>
      <c r="H220" s="7214"/>
      <c r="I220" s="7214"/>
      <c r="J220" s="7214"/>
      <c r="K220" s="7214"/>
      <c r="L220" s="7214"/>
      <c r="M220" s="7214"/>
      <c r="N220" s="7215"/>
      <c r="O220" s="2711"/>
      <c r="P220" s="7291" t="str">
        <f>P217</f>
        <v/>
      </c>
      <c r="Q220" s="7289"/>
      <c r="R220" s="7289">
        <f>SUM(P217,R217)</f>
        <v>0</v>
      </c>
      <c r="S220" s="7289"/>
      <c r="T220" s="7289">
        <f>SUM(P217,R217,T217)</f>
        <v>0</v>
      </c>
      <c r="U220" s="7289"/>
      <c r="V220" s="7289">
        <f>SUM(P217,R217,T217,V217)</f>
        <v>0</v>
      </c>
      <c r="W220" s="7289"/>
      <c r="X220" s="82"/>
      <c r="Y220" s="1450"/>
      <c r="Z220" s="452"/>
      <c r="AA220" s="452"/>
      <c r="AB220" s="1610"/>
      <c r="AC220" s="1607"/>
      <c r="AD220" s="1607"/>
      <c r="AE220" s="1443"/>
      <c r="AF220" s="1443"/>
      <c r="AG220" s="1443"/>
      <c r="AH220" s="1443"/>
      <c r="AI220" s="1443"/>
      <c r="AJ220" s="1408"/>
      <c r="AK220" s="4591"/>
      <c r="AL220" s="4591"/>
      <c r="AM220" s="4591"/>
      <c r="AN220" s="4591"/>
      <c r="AO220" s="4591"/>
      <c r="AP220" s="4591"/>
      <c r="AQ220" s="4591"/>
      <c r="AR220" s="1767"/>
      <c r="AS220" s="1877"/>
      <c r="AT220" s="452"/>
      <c r="AU220" s="46"/>
      <c r="AV220" s="2153"/>
      <c r="AW220" s="46"/>
      <c r="AX220" s="46"/>
      <c r="AY220" s="46"/>
      <c r="AZ220" s="46"/>
      <c r="BA220" s="3955"/>
      <c r="BB220" s="46"/>
    </row>
    <row r="221" spans="1:86" ht="12.6" customHeight="1">
      <c r="A221" s="635"/>
      <c r="B221" s="2745"/>
      <c r="C221" s="2708"/>
      <c r="D221" s="7214"/>
      <c r="E221" s="7214"/>
      <c r="F221" s="7214"/>
      <c r="G221" s="7214"/>
      <c r="H221" s="7214"/>
      <c r="I221" s="7214"/>
      <c r="J221" s="7214"/>
      <c r="K221" s="7214"/>
      <c r="L221" s="7214"/>
      <c r="M221" s="7214"/>
      <c r="N221" s="7215"/>
      <c r="O221" s="2711"/>
      <c r="P221" s="3328"/>
      <c r="Q221" s="3329"/>
      <c r="R221" s="3330"/>
      <c r="S221" s="3330"/>
      <c r="T221" s="3330"/>
      <c r="U221" s="3330"/>
      <c r="V221" s="7297"/>
      <c r="W221" s="7297"/>
      <c r="X221" s="82"/>
      <c r="Y221" s="1450"/>
      <c r="Z221" s="452"/>
      <c r="AA221" s="452"/>
      <c r="AB221" s="3077" t="s">
        <v>559</v>
      </c>
      <c r="AC221" s="1607" t="s">
        <v>3575</v>
      </c>
      <c r="AD221" s="1607"/>
      <c r="AE221" s="1443"/>
      <c r="AF221" s="1443"/>
      <c r="AG221" s="1443"/>
      <c r="AH221" s="1443"/>
      <c r="AI221" s="1443"/>
      <c r="AJ221" s="1767" t="s">
        <v>559</v>
      </c>
      <c r="AK221" s="2518">
        <f>SUM(AK214,AK219)</f>
        <v>0</v>
      </c>
      <c r="AL221" s="5181"/>
      <c r="AM221" s="2518">
        <f>SUM(AM214,AM219)</f>
        <v>0</v>
      </c>
      <c r="AN221" s="5181"/>
      <c r="AO221" s="2518">
        <f>SUM(AO214,AO219)</f>
        <v>0</v>
      </c>
      <c r="AP221" s="5181"/>
      <c r="AQ221" s="2518">
        <f>SUM(AQ214,AQ219)</f>
        <v>0</v>
      </c>
      <c r="AR221" s="1408"/>
      <c r="AS221" s="1877"/>
      <c r="AT221" s="452"/>
      <c r="AU221" s="46"/>
      <c r="AV221" s="2153"/>
      <c r="AW221" s="46"/>
      <c r="AX221" s="46"/>
      <c r="AY221" s="46"/>
      <c r="AZ221" s="46"/>
      <c r="BA221" s="3955"/>
      <c r="BB221" s="46"/>
    </row>
    <row r="222" spans="1:86" ht="12.6" customHeight="1">
      <c r="A222" s="635"/>
      <c r="B222" s="2745"/>
      <c r="C222" s="2708"/>
      <c r="D222" s="7214"/>
      <c r="E222" s="7214"/>
      <c r="F222" s="7214"/>
      <c r="G222" s="7214"/>
      <c r="H222" s="7214"/>
      <c r="I222" s="7214"/>
      <c r="J222" s="7214"/>
      <c r="K222" s="7214"/>
      <c r="L222" s="7214"/>
      <c r="M222" s="7214"/>
      <c r="N222" s="7215"/>
      <c r="O222" s="2711"/>
      <c r="P222" s="7290">
        <f>MAX(Q228,Q238,Q248,Q258)</f>
        <v>0</v>
      </c>
      <c r="Q222" s="7290"/>
      <c r="R222" s="7290">
        <f>MAX(S228,S238,S248,S258)</f>
        <v>43570</v>
      </c>
      <c r="S222" s="7290"/>
      <c r="T222" s="7290">
        <f>MAX(U228,U238,U248,U258)</f>
        <v>43570</v>
      </c>
      <c r="U222" s="7290"/>
      <c r="V222" s="7290" t="str">
        <f>V218</f>
        <v/>
      </c>
      <c r="W222" s="7290"/>
      <c r="X222" s="82"/>
      <c r="Y222" s="1450"/>
      <c r="Z222" s="452"/>
      <c r="AA222" s="452"/>
      <c r="AB222" s="1610"/>
      <c r="AC222" s="1607"/>
      <c r="AD222" s="1607"/>
      <c r="AE222" s="1443"/>
      <c r="AF222" s="1443"/>
      <c r="AG222" s="1443"/>
      <c r="AH222" s="1443"/>
      <c r="AI222" s="1443"/>
      <c r="AJ222" s="1408"/>
      <c r="AK222" s="4591"/>
      <c r="AL222" s="4591"/>
      <c r="AM222" s="4591"/>
      <c r="AN222" s="4591"/>
      <c r="AO222" s="4591"/>
      <c r="AP222" s="4591"/>
      <c r="AQ222" s="4591"/>
      <c r="AR222" s="1767"/>
      <c r="AS222" s="1877"/>
      <c r="AT222" s="452"/>
      <c r="AU222" s="46"/>
      <c r="AV222" s="2153"/>
      <c r="AW222" s="46"/>
      <c r="AX222" s="46"/>
      <c r="AY222" s="46"/>
      <c r="AZ222" s="46"/>
      <c r="BA222" s="3955"/>
      <c r="BB222" s="46"/>
    </row>
    <row r="223" spans="1:86" ht="12.6" customHeight="1">
      <c r="A223" s="635"/>
      <c r="B223" s="2746"/>
      <c r="C223" s="2702"/>
      <c r="D223" s="7220"/>
      <c r="E223" s="7220"/>
      <c r="F223" s="7220"/>
      <c r="G223" s="7220"/>
      <c r="H223" s="7220"/>
      <c r="I223" s="7220"/>
      <c r="J223" s="7220"/>
      <c r="K223" s="7220"/>
      <c r="L223" s="7220"/>
      <c r="M223" s="7220"/>
      <c r="N223" s="7221"/>
      <c r="O223" s="2712" t="s">
        <v>2304</v>
      </c>
      <c r="P223" s="7292" t="str">
        <f>IF(ISERROR(MIN(P217,LOOKUP(P222,$Q$278:$Q$332,$U$278:$U$332))),"",MIN(P217,LOOKUP(P222,$Q$278:$Q$332,$U$278:$U$332)))</f>
        <v/>
      </c>
      <c r="Q223" s="7292"/>
      <c r="R223" s="7292" t="str">
        <f>IF(ISERROR(MIN(R217,LOOKUP(R222,$Q$278:$Q$332,$U$278:$U$332))),"",MIN(R217,LOOKUP(R222,$Q$278:$Q$332,$U$278:$U$332)))</f>
        <v/>
      </c>
      <c r="S223" s="7292"/>
      <c r="T223" s="7292" t="str">
        <f>IF(ISERROR(MIN(T217,LOOKUP(T222,$Q$278:$Q$332,$U$278:$U$332))),"",MIN(T217,LOOKUP(T222,$Q$278:$Q$332,$U$278:$U$332)))</f>
        <v/>
      </c>
      <c r="U223" s="7292"/>
      <c r="V223" s="7292" t="str">
        <f>IF(ISERROR(MIN(V217,LOOKUP(V222,$Q$278:$Q$332,$U$278:$U$332))),"",MIN(V217,LOOKUP(V222,$Q$278:$Q$332,$U$278:$U$332)))</f>
        <v/>
      </c>
      <c r="W223" s="7306"/>
      <c r="X223" s="82"/>
      <c r="Y223" s="1450"/>
      <c r="Z223" s="452"/>
      <c r="AA223" s="452"/>
      <c r="AB223" s="3077" t="s">
        <v>560</v>
      </c>
      <c r="AC223" s="1607" t="s">
        <v>654</v>
      </c>
      <c r="AD223" s="1607"/>
      <c r="AE223" s="1443"/>
      <c r="AF223" s="1443"/>
      <c r="AG223" s="1443"/>
      <c r="AH223" s="1443"/>
      <c r="AI223" s="1443"/>
      <c r="AK223" s="4591"/>
      <c r="AL223" s="4591"/>
      <c r="AM223" s="4591"/>
      <c r="AN223" s="4591"/>
      <c r="AO223" s="4591"/>
      <c r="AP223" s="4591"/>
      <c r="AQ223" s="4591"/>
      <c r="AR223" s="1408"/>
      <c r="AS223" s="1877"/>
      <c r="AT223" s="452"/>
      <c r="AU223" s="46"/>
      <c r="AV223" s="2153"/>
      <c r="AW223" s="46"/>
      <c r="AX223" s="46"/>
      <c r="AY223" s="46"/>
      <c r="AZ223" s="46"/>
      <c r="BA223" s="3955"/>
      <c r="BB223" s="46"/>
    </row>
    <row r="224" spans="1:86" s="661" customFormat="1" ht="20.100000000000001" customHeight="1">
      <c r="A224" s="685"/>
      <c r="B224" s="2745"/>
      <c r="C224" s="2713" t="s">
        <v>2314</v>
      </c>
      <c r="D224" s="2713"/>
      <c r="E224" s="2708"/>
      <c r="F224" s="2713" t="str">
        <f>TEXT(K225,"MMMM D, YYYY")&amp;"—"&amp;TEXT(K226,"MMMM D, YYYY")</f>
        <v>April 16, 2018—June 30, 2018</v>
      </c>
      <c r="G224" s="2708"/>
      <c r="H224" s="2708"/>
      <c r="I224" s="2708"/>
      <c r="J224" s="2708"/>
      <c r="K224" s="2708"/>
      <c r="L224" s="2708"/>
      <c r="M224" s="2708"/>
      <c r="N224" s="2714"/>
      <c r="O224" s="2736"/>
      <c r="P224" s="7216"/>
      <c r="Q224" s="7217"/>
      <c r="R224" s="7216"/>
      <c r="S224" s="7217"/>
      <c r="T224" s="2728"/>
      <c r="U224" s="2729"/>
      <c r="V224" s="3331"/>
      <c r="W224" s="4124"/>
      <c r="X224" s="704"/>
      <c r="Y224" s="1450"/>
      <c r="Z224" s="452"/>
      <c r="AA224" s="452"/>
      <c r="AB224" s="1610"/>
      <c r="AC224" s="1607" t="str">
        <f>"Table in the "&amp;TaxYear&amp;" Instructions for Form 1040 to figure this tax. If the amount on line 1 is $100,000 or"</f>
        <v>Table in the 2018 Instructions for Form 1040 to figure this tax. If the amount on line 1 is $100,000 or</v>
      </c>
      <c r="AD224" s="1607"/>
      <c r="AE224" s="1443"/>
      <c r="AF224" s="1443"/>
      <c r="AG224" s="1443"/>
      <c r="AH224" s="1443"/>
      <c r="AI224" s="1443"/>
      <c r="AJ224" s="1408"/>
      <c r="AK224" s="4591"/>
      <c r="AL224" s="4591"/>
      <c r="AM224" s="4591"/>
      <c r="AN224" s="4591"/>
      <c r="AO224" s="4591"/>
      <c r="AP224" s="4591"/>
      <c r="AQ224" s="4591"/>
      <c r="AR224" s="1767"/>
      <c r="AS224" s="1877"/>
      <c r="AT224" s="452"/>
      <c r="AU224" s="46"/>
      <c r="AV224" s="2153"/>
      <c r="AW224" s="46"/>
      <c r="AX224" s="46"/>
      <c r="AY224" s="46"/>
      <c r="AZ224" s="46"/>
      <c r="BA224" s="3955"/>
      <c r="BB224" s="46"/>
      <c r="BC224" s="3169"/>
      <c r="BD224" s="3169"/>
      <c r="BE224" s="3169"/>
      <c r="BF224" s="3169"/>
      <c r="BG224" s="3169"/>
      <c r="BH224" s="3169"/>
      <c r="BI224" s="3169"/>
      <c r="BJ224" s="3169"/>
      <c r="BK224" s="3169"/>
      <c r="BL224" s="3169"/>
      <c r="BM224" s="3169"/>
      <c r="BP224"/>
      <c r="BQ224"/>
      <c r="BR224"/>
      <c r="BS224"/>
      <c r="BT224"/>
      <c r="BU224"/>
      <c r="BV224"/>
      <c r="BW224"/>
      <c r="BX224"/>
      <c r="BY224"/>
      <c r="BZ224"/>
      <c r="CA224"/>
      <c r="CB224"/>
      <c r="CC224"/>
      <c r="CD224"/>
      <c r="CE224"/>
      <c r="CF224"/>
      <c r="CG224"/>
      <c r="CH224"/>
    </row>
    <row r="225" spans="1:86" ht="15">
      <c r="A225" s="635"/>
      <c r="B225" s="2745"/>
      <c r="C225" s="2717">
        <v>2</v>
      </c>
      <c r="D225" s="2719" t="s">
        <v>2307</v>
      </c>
      <c r="E225" s="2708"/>
      <c r="F225" s="2708"/>
      <c r="G225" s="2708"/>
      <c r="H225" s="2708"/>
      <c r="I225" s="2708"/>
      <c r="J225" s="2708"/>
      <c r="K225" s="7228">
        <f>DATEVALUE("16-Apr-"&amp;TaxYear)</f>
        <v>43206</v>
      </c>
      <c r="L225" s="7229"/>
      <c r="M225" s="7229"/>
      <c r="N225" s="7230"/>
      <c r="O225" s="2721" t="s">
        <v>166</v>
      </c>
      <c r="P225" s="7222">
        <f>P216</f>
        <v>43205</v>
      </c>
      <c r="Q225" s="7223"/>
      <c r="R225" s="7222">
        <f>R216</f>
        <v>43266</v>
      </c>
      <c r="S225" s="7223"/>
      <c r="T225" s="2732"/>
      <c r="U225" s="2733"/>
      <c r="V225" s="2732"/>
      <c r="W225" s="4125"/>
      <c r="X225" s="82"/>
      <c r="Y225" s="1450"/>
      <c r="Z225" s="452"/>
      <c r="AA225" s="452"/>
      <c r="AB225" s="1610"/>
      <c r="AC225" s="2378" t="str">
        <f>"more, use the Tax Computation Worksheet in the "&amp;TaxYear&amp;" Instructions for Form 1040"</f>
        <v>more, use the Tax Computation Worksheet in the 2018 Instructions for Form 1040</v>
      </c>
      <c r="AD225" s="1607"/>
      <c r="AE225" s="1443"/>
      <c r="AF225" s="1443"/>
      <c r="AG225" s="1443"/>
      <c r="AH225" s="1443"/>
      <c r="AI225" s="1443"/>
      <c r="AJ225" s="1408"/>
      <c r="AK225" s="4591"/>
      <c r="AL225" s="4591"/>
      <c r="AM225" s="4591"/>
      <c r="AN225" s="4591"/>
      <c r="AO225" s="4591"/>
      <c r="AP225" s="4591"/>
      <c r="AQ225" s="4591"/>
      <c r="AR225" s="1767"/>
      <c r="AS225" s="1877"/>
      <c r="AT225" s="452"/>
      <c r="AU225" s="46"/>
      <c r="AV225" s="2153"/>
      <c r="AW225" s="46"/>
      <c r="AX225" s="46"/>
      <c r="AY225" s="46"/>
      <c r="AZ225" s="46"/>
      <c r="BA225" s="3955"/>
      <c r="BB225" s="46"/>
    </row>
    <row r="226" spans="1:86" ht="12.6" customHeight="1">
      <c r="A226" s="635"/>
      <c r="B226" s="2745"/>
      <c r="C226" s="2767"/>
      <c r="D226" s="2767"/>
      <c r="E226" s="2767"/>
      <c r="F226" s="2767"/>
      <c r="G226" s="2767"/>
      <c r="H226" s="2767"/>
      <c r="I226" s="2767"/>
      <c r="J226" s="2767"/>
      <c r="K226" s="7228">
        <f>DATEVALUE("30-Jun-"&amp;TaxYear)</f>
        <v>43281</v>
      </c>
      <c r="L226" s="7229"/>
      <c r="M226" s="7229"/>
      <c r="N226" s="7230"/>
      <c r="O226" s="2711"/>
      <c r="P226" s="7224" t="s">
        <v>4790</v>
      </c>
      <c r="Q226" s="7225"/>
      <c r="R226" s="7224" t="s">
        <v>4790</v>
      </c>
      <c r="S226" s="7225"/>
      <c r="T226" s="2732"/>
      <c r="U226" s="2733"/>
      <c r="V226" s="2732"/>
      <c r="W226" s="4125"/>
      <c r="X226" s="82"/>
      <c r="Y226" s="1450"/>
      <c r="Z226" s="452"/>
      <c r="AA226" s="452"/>
      <c r="AB226" s="1610"/>
      <c r="AC226" s="1607"/>
      <c r="AD226" s="1607"/>
      <c r="AE226" s="1443"/>
      <c r="AF226" s="1443"/>
      <c r="AG226" s="1443"/>
      <c r="AH226" s="1443"/>
      <c r="AI226" s="1443"/>
      <c r="AJ226" s="1767" t="s">
        <v>560</v>
      </c>
      <c r="AK226" s="2518" t="str">
        <f>IF(AK161="","",IF(AK161&lt;=0,0,BT151))</f>
        <v/>
      </c>
      <c r="AL226" s="5181"/>
      <c r="AM226" s="2518" t="str">
        <f>IF(AM161="","",IF(AM161&lt;=0,0,BZ151))</f>
        <v/>
      </c>
      <c r="AN226" s="5181"/>
      <c r="AO226" s="2518" t="str">
        <f>IF(AO161="","",IF(AO161&lt;=0,0,BT157))</f>
        <v/>
      </c>
      <c r="AP226" s="5181"/>
      <c r="AQ226" s="2518" t="str">
        <f>IF(AQ161="","",IF(AQ161&lt;=0,0,BZ157))</f>
        <v/>
      </c>
      <c r="AR226" s="1767"/>
      <c r="AS226" s="1877"/>
      <c r="AT226" s="452"/>
      <c r="AU226" s="46"/>
      <c r="AV226" s="2153"/>
      <c r="AW226" s="46"/>
      <c r="AX226" s="46"/>
      <c r="AY226" s="46"/>
      <c r="AZ226" s="46"/>
      <c r="BA226" s="3955"/>
      <c r="BB226" s="46"/>
    </row>
    <row r="227" spans="1:86" ht="12.6" customHeight="1">
      <c r="A227" s="635"/>
      <c r="B227" s="2745"/>
      <c r="C227" s="2708"/>
      <c r="D227" s="2708"/>
      <c r="E227" s="2708"/>
      <c r="F227" s="2708"/>
      <c r="G227" s="2708"/>
      <c r="H227" s="2708"/>
      <c r="I227" s="2708"/>
      <c r="J227" s="2708"/>
      <c r="K227" s="2708"/>
      <c r="L227" s="2708"/>
      <c r="M227" s="2708"/>
      <c r="N227" s="2714"/>
      <c r="O227" s="2711"/>
      <c r="P227" s="4106"/>
      <c r="Q227" s="2763"/>
      <c r="R227" s="4106"/>
      <c r="S227" s="2763"/>
      <c r="T227" s="2732"/>
      <c r="U227" s="2733"/>
      <c r="V227" s="2732"/>
      <c r="W227" s="4125"/>
      <c r="X227" s="82"/>
      <c r="Y227" s="1450"/>
      <c r="Z227" s="452"/>
      <c r="AA227" s="452"/>
      <c r="AB227" s="1610"/>
      <c r="AC227" s="1607"/>
      <c r="AD227" s="1607"/>
      <c r="AE227" s="1443"/>
      <c r="AF227" s="1443"/>
      <c r="AG227" s="1443"/>
      <c r="AH227" s="1443"/>
      <c r="AI227" s="1443"/>
      <c r="AJ227" s="1408"/>
      <c r="AK227" s="4591"/>
      <c r="AL227" s="4591"/>
      <c r="AM227" s="4591"/>
      <c r="AN227" s="4591"/>
      <c r="AO227" s="4591"/>
      <c r="AP227" s="4591"/>
      <c r="AQ227" s="4591"/>
      <c r="AR227" s="1767"/>
      <c r="AS227" s="1877"/>
      <c r="AT227" s="452"/>
      <c r="AU227" s="46"/>
      <c r="AV227" s="2153"/>
      <c r="AW227" s="46"/>
      <c r="AX227" s="46"/>
      <c r="AY227" s="46"/>
      <c r="AZ227" s="46"/>
      <c r="BA227" s="3955"/>
      <c r="BB227" s="46"/>
    </row>
    <row r="228" spans="1:86" ht="12.6" customHeight="1">
      <c r="A228" s="635"/>
      <c r="B228" s="2745"/>
      <c r="C228" s="2717">
        <v>3</v>
      </c>
      <c r="D228" s="2718" t="s">
        <v>4791</v>
      </c>
      <c r="E228" s="2708"/>
      <c r="F228" s="2708"/>
      <c r="G228" s="2708"/>
      <c r="H228" s="2708"/>
      <c r="I228" s="2708"/>
      <c r="J228" s="2708"/>
      <c r="K228" s="2708"/>
      <c r="L228" s="2708"/>
      <c r="M228" s="2708"/>
      <c r="N228" s="2714"/>
      <c r="O228" s="2711"/>
      <c r="P228" s="4106"/>
      <c r="Q228" s="2769">
        <f>IF(P$218&gt;$K226,$K226,P$218)</f>
        <v>0</v>
      </c>
      <c r="R228" s="2715"/>
      <c r="S228" s="2769">
        <f>IF(R$218&gt;$K226,$K226,R$218)</f>
        <v>43281</v>
      </c>
      <c r="T228" s="2732"/>
      <c r="U228" s="2733"/>
      <c r="V228" s="2732"/>
      <c r="W228" s="4125"/>
      <c r="X228" s="82"/>
      <c r="Y228" s="1450"/>
      <c r="Z228" s="452"/>
      <c r="AA228" s="452"/>
      <c r="AB228" s="3077" t="s">
        <v>561</v>
      </c>
      <c r="AC228" s="1607" t="s">
        <v>3579</v>
      </c>
      <c r="AD228" s="1607"/>
      <c r="AE228" s="1443"/>
      <c r="AF228" s="1443"/>
      <c r="AG228" s="1443"/>
      <c r="AH228" s="1443"/>
      <c r="AI228" s="1443"/>
      <c r="AK228" s="4591"/>
      <c r="AL228" s="4591"/>
      <c r="AM228" s="4591"/>
      <c r="AN228" s="4591"/>
      <c r="AO228" s="4591"/>
      <c r="AP228" s="4591"/>
      <c r="AQ228" s="4591"/>
      <c r="AR228" s="1408"/>
      <c r="AS228" s="1877"/>
      <c r="AT228" s="452"/>
      <c r="AU228" s="46"/>
      <c r="AV228" s="2153"/>
      <c r="AW228" s="46"/>
      <c r="AX228" s="46"/>
      <c r="AY228" s="46"/>
      <c r="AZ228" s="46"/>
      <c r="BA228" s="46"/>
      <c r="BB228" s="46"/>
    </row>
    <row r="229" spans="1:86" ht="15">
      <c r="A229" s="635"/>
      <c r="B229" s="2745"/>
      <c r="C229" s="2708"/>
      <c r="D229" s="2718" t="s">
        <v>2325</v>
      </c>
      <c r="E229" s="2708"/>
      <c r="F229" s="2708"/>
      <c r="G229" s="2718" t="str">
        <f>TEXT(K226,"M/D/YY")&amp;", whichever is earlier"</f>
        <v>6/30/18, whichever is earlier</v>
      </c>
      <c r="H229" s="2708"/>
      <c r="I229" s="2708"/>
      <c r="J229" s="2708"/>
      <c r="K229" s="2708"/>
      <c r="L229" s="2708"/>
      <c r="M229" s="2708"/>
      <c r="N229" s="1699" t="s">
        <v>856</v>
      </c>
      <c r="O229" s="2726">
        <v>3</v>
      </c>
      <c r="P229" s="7285" t="str">
        <f>IF(P233=0,"",IF(Q228-P225&lt;0,0,Q228-P225))</f>
        <v/>
      </c>
      <c r="Q229" s="7286"/>
      <c r="R229" s="7285" t="str">
        <f>IF(R233=0,"",IF(S228-R225&lt;0,0,S228-R225))</f>
        <v/>
      </c>
      <c r="S229" s="7286"/>
      <c r="T229" s="2732"/>
      <c r="U229" s="2733"/>
      <c r="V229" s="2732"/>
      <c r="W229" s="4125"/>
      <c r="X229" s="82"/>
      <c r="Y229" s="1450"/>
      <c r="Z229" s="452"/>
      <c r="AA229" s="452"/>
      <c r="AB229" s="1610"/>
      <c r="AC229" s="1607" t="s">
        <v>3576</v>
      </c>
      <c r="AD229" s="1607"/>
      <c r="AE229" s="1443"/>
      <c r="AF229" s="1443"/>
      <c r="AG229" s="1443"/>
      <c r="AH229" s="1443"/>
      <c r="AI229" s="1443"/>
      <c r="AJ229" s="1408"/>
      <c r="AK229" s="4591"/>
      <c r="AL229" s="4591"/>
      <c r="AM229" s="4591"/>
      <c r="AN229" s="4591"/>
      <c r="AO229" s="4591"/>
      <c r="AP229" s="4591"/>
      <c r="AQ229" s="4591"/>
      <c r="AR229" s="1767"/>
      <c r="AS229" s="1877"/>
      <c r="AT229" s="452"/>
      <c r="AU229" s="46"/>
      <c r="AV229" s="2153"/>
      <c r="AW229" s="46"/>
      <c r="AX229" s="46"/>
      <c r="AY229" s="46"/>
      <c r="AZ229" s="46"/>
      <c r="BA229" s="46"/>
      <c r="BB229" s="46"/>
    </row>
    <row r="230" spans="1:86" ht="12.6" customHeight="1">
      <c r="A230" s="635"/>
      <c r="B230" s="2745"/>
      <c r="C230" s="2708"/>
      <c r="D230" s="2708"/>
      <c r="E230" s="2708"/>
      <c r="F230" s="2708"/>
      <c r="G230" s="2708"/>
      <c r="H230" s="2708"/>
      <c r="I230" s="2708"/>
      <c r="J230" s="2708"/>
      <c r="K230" s="2708"/>
      <c r="L230" s="2708"/>
      <c r="M230" s="2708"/>
      <c r="N230" s="2714"/>
      <c r="O230" s="2711"/>
      <c r="P230" s="2715"/>
      <c r="Q230" s="2716"/>
      <c r="R230" s="2715"/>
      <c r="S230" s="2716"/>
      <c r="T230" s="2732"/>
      <c r="U230" s="2733"/>
      <c r="V230" s="2732"/>
      <c r="W230" s="4125"/>
      <c r="X230" s="82"/>
      <c r="Y230" s="1450"/>
      <c r="Z230" s="452"/>
      <c r="AA230" s="452"/>
      <c r="AB230" s="1610"/>
      <c r="AC230" s="1607" t="s">
        <v>3577</v>
      </c>
      <c r="AD230" s="1607"/>
      <c r="AE230" s="1443"/>
      <c r="AF230" s="1443"/>
      <c r="AG230" s="1443"/>
      <c r="AH230" s="1443"/>
      <c r="AI230" s="1443"/>
      <c r="AJ230" s="1408"/>
      <c r="AK230" s="4591"/>
      <c r="AL230" s="4591"/>
      <c r="AM230" s="4591"/>
      <c r="AN230" s="4591"/>
      <c r="AO230" s="4591"/>
      <c r="AP230" s="4591"/>
      <c r="AQ230" s="4591"/>
      <c r="AR230" s="1767"/>
      <c r="AS230" s="1877"/>
      <c r="AT230" s="452"/>
      <c r="AU230" s="46"/>
      <c r="AV230" s="2153"/>
      <c r="AW230" s="46"/>
      <c r="AX230" s="46"/>
      <c r="AY230" s="46"/>
      <c r="AZ230" s="46"/>
      <c r="BA230" s="46"/>
      <c r="BB230" s="46"/>
      <c r="BY230" s="661"/>
    </row>
    <row r="231" spans="1:86" ht="12.6" customHeight="1">
      <c r="A231" s="635"/>
      <c r="B231" s="2745"/>
      <c r="C231" s="2717">
        <v>4</v>
      </c>
      <c r="D231" s="2708"/>
      <c r="E231" s="2205" t="s">
        <v>2308</v>
      </c>
      <c r="F231" s="2708"/>
      <c r="G231" s="2708"/>
      <c r="H231" s="2718" t="s">
        <v>1948</v>
      </c>
      <c r="I231" s="2717"/>
      <c r="J231" s="2708"/>
      <c r="K231" s="2708"/>
      <c r="L231" s="2708"/>
      <c r="M231" s="2708"/>
      <c r="N231" s="2714"/>
      <c r="O231" s="2711"/>
      <c r="P231" s="4106"/>
      <c r="Q231" s="2716"/>
      <c r="R231" s="4106"/>
      <c r="S231" s="2716"/>
      <c r="T231" s="2732"/>
      <c r="U231" s="2733"/>
      <c r="V231" s="2732"/>
      <c r="W231" s="4125"/>
      <c r="X231" s="82"/>
      <c r="Y231" s="1450"/>
      <c r="Z231" s="452"/>
      <c r="AA231" s="452"/>
      <c r="AB231" s="1610"/>
      <c r="AC231" s="1607" t="s">
        <v>3578</v>
      </c>
      <c r="AD231" s="1607"/>
      <c r="AE231" s="1443"/>
      <c r="AF231" s="1443"/>
      <c r="AG231" s="1443"/>
      <c r="AH231" s="1443"/>
      <c r="AI231" s="1443"/>
      <c r="AJ231" s="1767" t="s">
        <v>561</v>
      </c>
      <c r="AK231" s="2518">
        <f>MIN(AK221,AK226)</f>
        <v>0</v>
      </c>
      <c r="AL231" s="5181"/>
      <c r="AM231" s="2518">
        <f>MIN(AM221,AM226)</f>
        <v>0</v>
      </c>
      <c r="AN231" s="5181"/>
      <c r="AO231" s="2518">
        <f>MIN(AO221,AO226)</f>
        <v>0</v>
      </c>
      <c r="AP231" s="5181"/>
      <c r="AQ231" s="2518">
        <f>MIN(AQ221,AQ226)</f>
        <v>0</v>
      </c>
      <c r="AR231" s="1767"/>
      <c r="AS231" s="1877"/>
      <c r="AT231" s="452"/>
      <c r="AU231" s="46"/>
      <c r="AV231" s="2153"/>
      <c r="AW231" s="46"/>
      <c r="AX231" s="46"/>
      <c r="AY231" s="46"/>
      <c r="AZ231" s="46"/>
      <c r="BA231" s="46"/>
      <c r="BB231" s="46"/>
    </row>
    <row r="232" spans="1:86" ht="12.6" customHeight="1">
      <c r="A232" s="635"/>
      <c r="B232" s="2745"/>
      <c r="C232" s="2717"/>
      <c r="D232" s="2719"/>
      <c r="E232" s="2205" t="s">
        <v>2310</v>
      </c>
      <c r="F232" s="2708"/>
      <c r="G232" s="2707" t="s">
        <v>1499</v>
      </c>
      <c r="H232" s="2702"/>
      <c r="I232" s="2206" t="s">
        <v>2309</v>
      </c>
      <c r="J232" s="2702"/>
      <c r="K232" s="2722" t="s">
        <v>1499</v>
      </c>
      <c r="L232" s="7213">
        <v>0.05</v>
      </c>
      <c r="M232" s="7214"/>
      <c r="N232" s="7215"/>
      <c r="O232" s="2711"/>
      <c r="P232" s="2715"/>
      <c r="Q232" s="2716"/>
      <c r="R232" s="2715"/>
      <c r="S232" s="2716"/>
      <c r="T232" s="2732"/>
      <c r="U232" s="2733"/>
      <c r="V232" s="2732"/>
      <c r="W232" s="4125"/>
      <c r="X232" s="82"/>
      <c r="Y232" s="1450"/>
      <c r="Z232" s="452"/>
      <c r="AA232" s="452"/>
      <c r="AB232" s="1610"/>
      <c r="AC232" s="1607"/>
      <c r="AD232" s="1607"/>
      <c r="AE232" s="1443"/>
      <c r="AF232" s="1443"/>
      <c r="AG232" s="1443"/>
      <c r="AH232" s="1443"/>
      <c r="AI232" s="1443"/>
      <c r="AJ232" s="1408"/>
      <c r="AK232" s="1408"/>
      <c r="AL232" s="1408"/>
      <c r="AM232" s="1408"/>
      <c r="AN232" s="1408"/>
      <c r="AO232" s="1408"/>
      <c r="AP232" s="1408"/>
      <c r="AQ232" s="1408"/>
      <c r="AR232" s="1767"/>
      <c r="AS232" s="1877"/>
      <c r="AT232" s="452"/>
      <c r="AU232" s="46"/>
      <c r="AV232" s="2153"/>
      <c r="AW232" s="46"/>
      <c r="AX232" s="46"/>
      <c r="AY232" s="46"/>
      <c r="AZ232" s="46"/>
      <c r="BA232" s="46"/>
      <c r="BB232" s="46"/>
    </row>
    <row r="233" spans="1:86" ht="15.95" customHeight="1" thickBot="1">
      <c r="A233" s="635"/>
      <c r="B233" s="2746"/>
      <c r="C233" s="2702"/>
      <c r="D233" s="2723"/>
      <c r="E233" s="2702"/>
      <c r="F233" s="2702"/>
      <c r="G233" s="2702"/>
      <c r="H233" s="2702"/>
      <c r="I233" s="2725">
        <v>365</v>
      </c>
      <c r="J233" s="2702"/>
      <c r="K233" s="2702"/>
      <c r="L233" s="2702"/>
      <c r="M233" s="2702"/>
      <c r="N233" s="2724"/>
      <c r="O233" s="2726">
        <v>4</v>
      </c>
      <c r="P233" s="7226">
        <f>ROUND(BN333,2)</f>
        <v>0</v>
      </c>
      <c r="Q233" s="7227"/>
      <c r="R233" s="7226">
        <f>ROUND(BR333,2)</f>
        <v>0</v>
      </c>
      <c r="S233" s="7227"/>
      <c r="T233" s="2734"/>
      <c r="U233" s="2735"/>
      <c r="V233" s="2732"/>
      <c r="W233" s="4125"/>
      <c r="X233" s="82"/>
      <c r="Y233" s="1450"/>
      <c r="Z233" s="452"/>
      <c r="AA233" s="452"/>
      <c r="AB233" s="1611"/>
      <c r="AC233" s="1612"/>
      <c r="AD233" s="1612"/>
      <c r="AE233" s="1612"/>
      <c r="AF233" s="1612"/>
      <c r="AG233" s="1612"/>
      <c r="AH233" s="1612"/>
      <c r="AI233" s="1612"/>
      <c r="AJ233" s="1882"/>
      <c r="AK233" s="1882"/>
      <c r="AL233" s="1882"/>
      <c r="AM233" s="1882"/>
      <c r="AN233" s="1882"/>
      <c r="AO233" s="1882"/>
      <c r="AP233" s="1882"/>
      <c r="AQ233" s="1882"/>
      <c r="AR233" s="1882"/>
      <c r="AS233" s="1883"/>
      <c r="AT233" s="452"/>
      <c r="AU233" s="46"/>
      <c r="AV233" s="2153"/>
      <c r="AW233" s="46"/>
      <c r="AX233" s="46"/>
      <c r="AY233" s="46"/>
      <c r="AZ233" s="46"/>
      <c r="BA233" s="46"/>
      <c r="BB233" s="46"/>
    </row>
    <row r="234" spans="1:86" s="661" customFormat="1" ht="20.100000000000001" customHeight="1">
      <c r="A234" s="685"/>
      <c r="B234" s="2745"/>
      <c r="C234" s="2713" t="s">
        <v>2315</v>
      </c>
      <c r="D234" s="2713"/>
      <c r="E234" s="2708"/>
      <c r="F234" s="2713" t="str">
        <f>TEXT(K235,"MMMM D, YYYY")&amp;"—"&amp;TEXT(K236,"MMMM D, YYYY")</f>
        <v>July 1, 2018—September 30, 2018</v>
      </c>
      <c r="G234" s="2708"/>
      <c r="H234" s="2708"/>
      <c r="I234" s="2708"/>
      <c r="J234" s="2708"/>
      <c r="K234" s="2708"/>
      <c r="L234" s="2708"/>
      <c r="M234" s="2708"/>
      <c r="N234" s="2714"/>
      <c r="O234" s="2736"/>
      <c r="P234" s="7216"/>
      <c r="Q234" s="7217"/>
      <c r="R234" s="7216"/>
      <c r="S234" s="7217"/>
      <c r="T234" s="2728"/>
      <c r="U234" s="2729"/>
      <c r="V234" s="2732"/>
      <c r="W234" s="4125"/>
      <c r="X234" s="704"/>
      <c r="Y234" s="1450"/>
      <c r="Z234" s="452"/>
      <c r="AA234" s="452"/>
      <c r="AB234" s="452"/>
      <c r="AC234" s="452"/>
      <c r="AD234" s="452"/>
      <c r="AE234" s="452"/>
      <c r="AF234" s="452"/>
      <c r="AG234" s="452"/>
      <c r="AH234" s="452"/>
      <c r="AI234" s="452"/>
      <c r="AJ234" s="452"/>
      <c r="AK234" s="452"/>
      <c r="AL234" s="452"/>
      <c r="AM234" s="452"/>
      <c r="AN234" s="452"/>
      <c r="AO234" s="452"/>
      <c r="AP234" s="452"/>
      <c r="AQ234" s="452"/>
      <c r="AR234" s="2757"/>
      <c r="AS234" s="2757"/>
      <c r="AT234" s="452"/>
      <c r="AU234" s="46"/>
      <c r="AV234" s="2153"/>
      <c r="AW234" s="46"/>
      <c r="AX234" s="46"/>
      <c r="AY234" s="46"/>
      <c r="AZ234" s="46"/>
      <c r="BA234" s="46"/>
      <c r="BB234" s="46"/>
      <c r="BC234" s="3169"/>
      <c r="BD234" s="3169"/>
      <c r="BE234" s="3169"/>
      <c r="BF234" s="3169"/>
      <c r="BG234" s="3169"/>
      <c r="BH234" s="3169"/>
      <c r="BI234" s="3169"/>
      <c r="BJ234" s="3169"/>
      <c r="BK234" s="3169"/>
      <c r="BL234" s="3169"/>
      <c r="BM234" s="3169"/>
      <c r="BP234"/>
      <c r="BQ234"/>
      <c r="BR234"/>
      <c r="BS234"/>
      <c r="BT234"/>
      <c r="BU234"/>
      <c r="BV234"/>
      <c r="BW234"/>
      <c r="BX234"/>
      <c r="BY234"/>
      <c r="BZ234"/>
      <c r="CA234"/>
      <c r="CB234"/>
      <c r="CC234"/>
      <c r="CD234"/>
      <c r="CE234"/>
      <c r="CF234"/>
      <c r="CG234"/>
      <c r="CH234"/>
    </row>
    <row r="235" spans="1:86" ht="12.6" customHeight="1" thickBot="1">
      <c r="A235" s="635"/>
      <c r="B235" s="2745"/>
      <c r="C235" s="2717">
        <v>5</v>
      </c>
      <c r="D235" s="2719" t="s">
        <v>2307</v>
      </c>
      <c r="E235" s="2708"/>
      <c r="F235" s="2708"/>
      <c r="G235" s="2708"/>
      <c r="H235" s="2708"/>
      <c r="I235" s="2708"/>
      <c r="J235" s="2708"/>
      <c r="K235" s="7228">
        <f>DATEVALUE("1-Jul-"&amp;TaxYear)</f>
        <v>43282</v>
      </c>
      <c r="L235" s="7229"/>
      <c r="M235" s="7229"/>
      <c r="N235" s="7230"/>
      <c r="O235" s="2721">
        <v>5</v>
      </c>
      <c r="P235" s="7222">
        <f>$K226</f>
        <v>43281</v>
      </c>
      <c r="Q235" s="7223"/>
      <c r="R235" s="7222">
        <f>$K226</f>
        <v>43281</v>
      </c>
      <c r="S235" s="7223"/>
      <c r="T235" s="7222">
        <f>T216</f>
        <v>43358</v>
      </c>
      <c r="U235" s="7223"/>
      <c r="V235" s="2732"/>
      <c r="W235" s="4125"/>
      <c r="X235" s="82"/>
      <c r="Y235" s="1450"/>
      <c r="Z235" s="452"/>
      <c r="AA235" s="452"/>
      <c r="AB235" s="452"/>
      <c r="AC235" s="452"/>
      <c r="AD235" s="452"/>
      <c r="AE235" s="452"/>
      <c r="AF235" s="452"/>
      <c r="AG235" s="452"/>
      <c r="AH235" s="452"/>
      <c r="AI235" s="452"/>
      <c r="AJ235" s="452"/>
      <c r="AK235" s="452"/>
      <c r="AL235" s="452"/>
      <c r="AM235" s="452"/>
      <c r="AN235" s="452"/>
      <c r="AO235" s="452"/>
      <c r="AP235" s="452"/>
      <c r="AQ235" s="452"/>
      <c r="AR235" s="2757"/>
      <c r="AS235" s="2757"/>
      <c r="AT235" s="452"/>
      <c r="AU235" s="46"/>
      <c r="AV235" s="2153"/>
      <c r="AW235" s="46"/>
      <c r="AX235" s="46"/>
      <c r="AY235" s="46"/>
      <c r="AZ235" s="46"/>
      <c r="BA235" s="46"/>
      <c r="BB235" s="46"/>
    </row>
    <row r="236" spans="1:86" ht="12.6" customHeight="1">
      <c r="A236" s="635"/>
      <c r="B236" s="2745"/>
      <c r="C236" s="2708"/>
      <c r="D236" s="2708"/>
      <c r="E236" s="2708"/>
      <c r="F236" s="2708"/>
      <c r="G236" s="2708"/>
      <c r="H236" s="2708"/>
      <c r="I236" s="2708"/>
      <c r="J236" s="2708"/>
      <c r="K236" s="7228">
        <f>DATEVALUE("30-Sep-"&amp;TaxYear)</f>
        <v>43373</v>
      </c>
      <c r="L236" s="7229"/>
      <c r="M236" s="7229"/>
      <c r="N236" s="7230"/>
      <c r="O236" s="2711"/>
      <c r="P236" s="7224" t="s">
        <v>4790</v>
      </c>
      <c r="Q236" s="7225"/>
      <c r="R236" s="7224" t="s">
        <v>4790</v>
      </c>
      <c r="S236" s="7225"/>
      <c r="T236" s="7224" t="s">
        <v>4790</v>
      </c>
      <c r="U236" s="7225"/>
      <c r="V236" s="2732"/>
      <c r="W236" s="4125"/>
      <c r="X236" s="82"/>
      <c r="Y236" s="1450"/>
      <c r="Z236" s="452"/>
      <c r="AA236" s="452"/>
      <c r="AB236" s="1758"/>
      <c r="AC236" s="1873"/>
      <c r="AD236" s="1873"/>
      <c r="AE236" s="1873"/>
      <c r="AF236" s="1873"/>
      <c r="AG236" s="1873"/>
      <c r="AH236" s="1873"/>
      <c r="AI236" s="1873"/>
      <c r="AJ236" s="1873"/>
      <c r="AK236" s="1873"/>
      <c r="AL236" s="1873"/>
      <c r="AM236" s="1873"/>
      <c r="AN236" s="1873"/>
      <c r="AO236" s="1873"/>
      <c r="AP236" s="1873"/>
      <c r="AQ236" s="1873"/>
      <c r="AR236" s="1873"/>
      <c r="AS236" s="1874"/>
      <c r="AT236" s="452"/>
      <c r="AU236" s="46"/>
      <c r="AV236" s="2153"/>
      <c r="AW236" s="46"/>
      <c r="AX236" s="46"/>
      <c r="AY236" s="46"/>
      <c r="AZ236" s="46"/>
      <c r="BA236" s="46"/>
      <c r="BB236" s="46"/>
    </row>
    <row r="237" spans="1:86" ht="12.6" customHeight="1">
      <c r="A237" s="635"/>
      <c r="B237" s="2745"/>
      <c r="C237" s="2708"/>
      <c r="D237" s="2708"/>
      <c r="E237" s="2708"/>
      <c r="F237" s="2708"/>
      <c r="G237" s="2708"/>
      <c r="H237" s="2708"/>
      <c r="I237" s="2708"/>
      <c r="J237" s="2708"/>
      <c r="K237" s="2708"/>
      <c r="L237" s="2708"/>
      <c r="M237" s="2708"/>
      <c r="N237" s="2714"/>
      <c r="O237" s="2711"/>
      <c r="P237" s="4106"/>
      <c r="Q237" s="2763"/>
      <c r="R237" s="4106"/>
      <c r="S237" s="2716"/>
      <c r="T237" s="4106"/>
      <c r="U237" s="2716"/>
      <c r="V237" s="2732"/>
      <c r="W237" s="4125"/>
      <c r="X237" s="82"/>
      <c r="Y237" s="1450"/>
      <c r="Z237" s="452"/>
      <c r="AA237" s="452"/>
      <c r="AB237" s="4247" t="s">
        <v>3600</v>
      </c>
      <c r="AC237" s="1408"/>
      <c r="AD237" s="1408"/>
      <c r="AE237" s="1408"/>
      <c r="AF237" s="1408"/>
      <c r="AG237" s="1408"/>
      <c r="AH237" s="1408"/>
      <c r="AI237" s="1408"/>
      <c r="AJ237" s="1408"/>
      <c r="AK237" s="1408"/>
      <c r="AL237" s="1408"/>
      <c r="AM237" s="1408"/>
      <c r="AN237" s="1408"/>
      <c r="AO237" s="1408"/>
      <c r="AP237" s="1408"/>
      <c r="AQ237" s="1408"/>
      <c r="AR237" s="1408"/>
      <c r="AS237" s="1877"/>
      <c r="AT237" s="452"/>
      <c r="AU237" s="46"/>
      <c r="AV237" s="2153"/>
      <c r="AW237" s="46"/>
      <c r="AX237" s="46"/>
      <c r="AY237" s="46"/>
      <c r="AZ237" s="46"/>
      <c r="BA237" s="46"/>
      <c r="BB237" s="46"/>
    </row>
    <row r="238" spans="1:86" ht="13.5" customHeight="1">
      <c r="A238" s="635"/>
      <c r="B238" s="2745"/>
      <c r="C238" s="2717">
        <v>6</v>
      </c>
      <c r="D238" s="2718" t="s">
        <v>4792</v>
      </c>
      <c r="E238" s="2708"/>
      <c r="F238" s="2708"/>
      <c r="G238" s="2708"/>
      <c r="H238" s="2708"/>
      <c r="I238" s="2708"/>
      <c r="J238" s="2708"/>
      <c r="K238" s="2708"/>
      <c r="L238" s="2708"/>
      <c r="M238" s="2708"/>
      <c r="N238" s="2714"/>
      <c r="O238" s="2711"/>
      <c r="P238" s="2715"/>
      <c r="Q238" s="2769">
        <f>IF(P$218&gt;$K236,$K236,P$218)</f>
        <v>0</v>
      </c>
      <c r="R238" s="2715"/>
      <c r="S238" s="2769">
        <f>IF(R$218&gt;$K236,$K236,R$218)</f>
        <v>43373</v>
      </c>
      <c r="T238" s="2715"/>
      <c r="U238" s="2769">
        <f>IF(T$218&gt;$K236,$K236,T$218)</f>
        <v>43373</v>
      </c>
      <c r="V238" s="2732"/>
      <c r="W238" s="4125"/>
      <c r="X238" s="82"/>
      <c r="Y238" s="1450"/>
      <c r="Z238" s="452"/>
      <c r="AA238" s="452"/>
      <c r="AB238" s="5208" t="str">
        <f>TaxYear&amp;" Form 2210, Schedule AI—Line 12"</f>
        <v>2018 Form 2210, Schedule AI—Line 12</v>
      </c>
      <c r="AC238" s="2754"/>
      <c r="AD238" s="2754"/>
      <c r="AE238" s="1408"/>
      <c r="AF238" s="1408"/>
      <c r="AG238" s="1408"/>
      <c r="AH238" s="1408"/>
      <c r="AI238" s="1408"/>
      <c r="AJ238" s="1408"/>
      <c r="AK238" s="1408"/>
      <c r="AL238" s="1408"/>
      <c r="AM238" s="1408"/>
      <c r="AN238" s="1408"/>
      <c r="AO238" s="1408"/>
      <c r="AP238" s="1408"/>
      <c r="AQ238" s="1408"/>
      <c r="AR238" s="1408"/>
      <c r="AS238" s="1877"/>
      <c r="AT238" s="452"/>
      <c r="AU238" s="46"/>
      <c r="AV238" s="2153"/>
      <c r="AW238" s="46"/>
      <c r="AX238" s="46"/>
      <c r="AY238" s="46"/>
      <c r="AZ238" s="46"/>
      <c r="BA238" s="46"/>
      <c r="BB238" s="46"/>
    </row>
    <row r="239" spans="1:86" ht="12.6" customHeight="1">
      <c r="A239" s="635"/>
      <c r="B239" s="2745"/>
      <c r="C239" s="2708"/>
      <c r="D239" s="2718" t="s">
        <v>2325</v>
      </c>
      <c r="E239" s="2708"/>
      <c r="F239" s="2708"/>
      <c r="G239" s="2718" t="str">
        <f>"9/30/"&amp;TaxYear-2000&amp;", whichever is earlier"</f>
        <v>9/30/18, whichever is earlier</v>
      </c>
      <c r="H239" s="2708"/>
      <c r="I239" s="2708"/>
      <c r="J239" s="2708"/>
      <c r="K239" s="2708"/>
      <c r="L239" s="2708"/>
      <c r="M239" s="2708"/>
      <c r="N239" s="1699" t="s">
        <v>856</v>
      </c>
      <c r="O239" s="2726">
        <v>6</v>
      </c>
      <c r="P239" s="7285" t="str">
        <f>IF(P243=0,"",IF(Q238-P235&lt;0,0,Q238-P235))</f>
        <v/>
      </c>
      <c r="Q239" s="7286"/>
      <c r="R239" s="7285" t="str">
        <f>IF(R243=0,"",IF(S238-R235&lt;0,0,S238-R235))</f>
        <v/>
      </c>
      <c r="S239" s="7286"/>
      <c r="T239" s="7285" t="str">
        <f>IF(T243=0,"",IF(U238-T235&lt;0,0,U238-T235))</f>
        <v/>
      </c>
      <c r="U239" s="7286"/>
      <c r="V239" s="2732"/>
      <c r="W239" s="4125"/>
      <c r="X239" s="82"/>
      <c r="Y239" s="1450"/>
      <c r="Z239" s="452"/>
      <c r="AA239" s="452"/>
      <c r="AB239" s="5208" t="s">
        <v>3601</v>
      </c>
      <c r="AC239" s="2684"/>
      <c r="AD239" s="2684"/>
      <c r="AE239" s="1408"/>
      <c r="AF239" s="1408"/>
      <c r="AG239" s="1408"/>
      <c r="AH239" s="1408"/>
      <c r="AI239" s="1408"/>
      <c r="AJ239" s="1408"/>
      <c r="AK239" s="1408"/>
      <c r="AL239" s="1408"/>
      <c r="AM239" s="1408"/>
      <c r="AN239" s="1408"/>
      <c r="AO239" s="1408"/>
      <c r="AP239" s="4240" t="s">
        <v>234</v>
      </c>
      <c r="AQ239" s="1408"/>
      <c r="AR239" s="1408"/>
      <c r="AS239" s="1877"/>
      <c r="AT239" s="452"/>
      <c r="AU239" s="46"/>
      <c r="AV239" s="2153"/>
      <c r="AW239" s="46"/>
      <c r="AX239" s="46"/>
      <c r="AY239" s="46"/>
      <c r="AZ239" s="46"/>
      <c r="BA239" s="46"/>
      <c r="BB239" s="46"/>
    </row>
    <row r="240" spans="1:86" ht="12.6" customHeight="1">
      <c r="A240" s="635"/>
      <c r="B240" s="2745"/>
      <c r="C240" s="2708"/>
      <c r="D240" s="2708"/>
      <c r="E240" s="2708"/>
      <c r="F240" s="2708"/>
      <c r="G240" s="2708"/>
      <c r="H240" s="2708"/>
      <c r="I240" s="2708"/>
      <c r="J240" s="2708"/>
      <c r="K240" s="2708"/>
      <c r="L240" s="2708"/>
      <c r="M240" s="2708"/>
      <c r="N240" s="2714"/>
      <c r="O240" s="2711"/>
      <c r="P240" s="2715"/>
      <c r="Q240" s="2716"/>
      <c r="R240" s="2715"/>
      <c r="S240" s="2716"/>
      <c r="T240" s="2715"/>
      <c r="U240" s="2716"/>
      <c r="V240" s="2732"/>
      <c r="W240" s="4125"/>
      <c r="X240" s="82"/>
      <c r="Y240" s="1450"/>
      <c r="Z240" s="452"/>
      <c r="AA240" s="452"/>
      <c r="AB240" s="4248"/>
      <c r="AC240" s="2684"/>
      <c r="AD240" s="2684"/>
      <c r="AE240" s="1408"/>
      <c r="AF240" s="1408"/>
      <c r="AG240" s="1408"/>
      <c r="AH240" s="1408"/>
      <c r="AI240" s="1408"/>
      <c r="AJ240" s="1408"/>
      <c r="AK240" s="1408"/>
      <c r="AL240" s="1408"/>
      <c r="AM240" s="1408"/>
      <c r="AN240" s="1408"/>
      <c r="AO240" s="1408"/>
      <c r="AP240" s="1408"/>
      <c r="AQ240" s="1408"/>
      <c r="AR240" s="1408"/>
      <c r="AS240" s="1877"/>
      <c r="AT240" s="452"/>
      <c r="AU240" s="46"/>
      <c r="AV240" s="2153"/>
      <c r="AW240" s="46"/>
      <c r="AX240" s="46"/>
      <c r="AY240" s="46"/>
      <c r="AZ240" s="46"/>
      <c r="BA240" s="46"/>
      <c r="BB240" s="46"/>
      <c r="BY240" s="661"/>
    </row>
    <row r="241" spans="1:78" ht="12.6" customHeight="1" thickBot="1">
      <c r="A241" s="635"/>
      <c r="B241" s="2745"/>
      <c r="C241" s="2717">
        <v>7</v>
      </c>
      <c r="D241" s="2708"/>
      <c r="E241" s="2205" t="s">
        <v>2308</v>
      </c>
      <c r="F241" s="2708"/>
      <c r="G241" s="2708"/>
      <c r="H241" s="2718" t="s">
        <v>1948</v>
      </c>
      <c r="I241" s="2717"/>
      <c r="J241" s="2708"/>
      <c r="K241" s="2708"/>
      <c r="L241" s="2708"/>
      <c r="M241" s="2708"/>
      <c r="N241" s="2714"/>
      <c r="O241" s="2711"/>
      <c r="P241" s="4106"/>
      <c r="Q241" s="2716"/>
      <c r="R241" s="4106"/>
      <c r="S241" s="2716"/>
      <c r="T241" s="2715"/>
      <c r="U241" s="2716"/>
      <c r="V241" s="2732"/>
      <c r="W241" s="4125"/>
      <c r="X241" s="82"/>
      <c r="Y241" s="1450"/>
      <c r="Z241" s="452"/>
      <c r="AA241" s="452"/>
      <c r="AB241" s="4249" t="s">
        <v>3602</v>
      </c>
      <c r="AC241" s="2610"/>
      <c r="AD241" s="4250"/>
      <c r="AE241" s="1882"/>
      <c r="AF241" s="1882" t="s">
        <v>3603</v>
      </c>
      <c r="AG241" s="1882"/>
      <c r="AH241" s="1882"/>
      <c r="AI241" s="1882"/>
      <c r="AJ241" s="1882"/>
      <c r="AK241" s="1882"/>
      <c r="AL241" s="1882"/>
      <c r="AM241" s="1882"/>
      <c r="AN241" s="1882"/>
      <c r="AO241" s="1882"/>
      <c r="AP241" s="1882"/>
      <c r="AQ241" s="1882"/>
      <c r="AR241" s="1882"/>
      <c r="AS241" s="1883"/>
      <c r="AT241" s="452"/>
      <c r="AU241" s="46"/>
      <c r="AV241" s="2153"/>
      <c r="AW241" s="46"/>
      <c r="AX241" s="46"/>
      <c r="AY241" s="46"/>
      <c r="AZ241" s="46"/>
      <c r="BA241" s="46"/>
      <c r="BB241" s="46"/>
    </row>
    <row r="242" spans="1:78" ht="12.6" customHeight="1">
      <c r="A242" s="635"/>
      <c r="B242" s="2745"/>
      <c r="C242" s="2717"/>
      <c r="D242" s="2719"/>
      <c r="E242" s="2205" t="s">
        <v>2310</v>
      </c>
      <c r="F242" s="2708"/>
      <c r="G242" s="2707" t="s">
        <v>1499</v>
      </c>
      <c r="H242" s="2702"/>
      <c r="I242" s="2206" t="s">
        <v>4795</v>
      </c>
      <c r="J242" s="2702"/>
      <c r="K242" s="2722" t="s">
        <v>1499</v>
      </c>
      <c r="L242" s="7213">
        <v>0.05</v>
      </c>
      <c r="M242" s="7214"/>
      <c r="N242" s="7215"/>
      <c r="O242" s="2711"/>
      <c r="P242" s="2715"/>
      <c r="Q242" s="2716"/>
      <c r="R242" s="2715"/>
      <c r="S242" s="2716"/>
      <c r="T242" s="2715"/>
      <c r="U242" s="2716"/>
      <c r="V242" s="2732"/>
      <c r="W242" s="4125"/>
      <c r="X242" s="82"/>
      <c r="Y242" s="1450"/>
      <c r="Z242" s="452"/>
      <c r="AA242" s="452"/>
      <c r="AB242" s="1610"/>
      <c r="AC242" s="1443"/>
      <c r="AD242" s="1443"/>
      <c r="AE242" s="1443"/>
      <c r="AF242" s="1443"/>
      <c r="AG242" s="1443"/>
      <c r="AH242" s="1443"/>
      <c r="AI242" s="1616" t="b">
        <f>AND(AK242,AM242,AO242,AQ242)</f>
        <v>1</v>
      </c>
      <c r="AJ242" s="2749"/>
      <c r="AK242" s="2749" t="b">
        <f>OR(P173=0,P173="")</f>
        <v>1</v>
      </c>
      <c r="AL242" s="4241"/>
      <c r="AM242" s="2749" t="b">
        <f>OR(R173=0,R173="")</f>
        <v>1</v>
      </c>
      <c r="AN242" s="2749"/>
      <c r="AO242" s="2749" t="b">
        <f>OR(T173=0,T173="")</f>
        <v>1</v>
      </c>
      <c r="AP242" s="2749"/>
      <c r="AQ242" s="2749" t="b">
        <f>OR(V173=0,V173="")</f>
        <v>1</v>
      </c>
      <c r="AR242" s="1408"/>
      <c r="AS242" s="1877"/>
      <c r="AT242" s="452"/>
      <c r="AU242" s="46"/>
      <c r="AV242" s="2153"/>
      <c r="AW242" s="46"/>
      <c r="AX242" s="46"/>
      <c r="AY242" s="46"/>
      <c r="AZ242" s="46"/>
      <c r="BA242" s="46"/>
      <c r="BB242" s="46"/>
    </row>
    <row r="243" spans="1:78" ht="15.95" customHeight="1">
      <c r="A243" s="635"/>
      <c r="B243" s="2746"/>
      <c r="C243" s="2702"/>
      <c r="D243" s="2723"/>
      <c r="E243" s="2702"/>
      <c r="F243" s="2702"/>
      <c r="G243" s="2702"/>
      <c r="H243" s="2702"/>
      <c r="I243" s="2725">
        <v>365</v>
      </c>
      <c r="J243" s="2702"/>
      <c r="K243" s="2702"/>
      <c r="L243" s="2702"/>
      <c r="M243" s="2702"/>
      <c r="N243" s="2724"/>
      <c r="O243" s="2726">
        <v>7</v>
      </c>
      <c r="P243" s="7226">
        <f>ROUND(BO333,2)</f>
        <v>0</v>
      </c>
      <c r="Q243" s="7227"/>
      <c r="R243" s="7226">
        <f>ROUND(BS333,2)</f>
        <v>0</v>
      </c>
      <c r="S243" s="7227"/>
      <c r="T243" s="7226">
        <f>ROUND(BV333,2)</f>
        <v>0</v>
      </c>
      <c r="U243" s="7227"/>
      <c r="V243" s="2732"/>
      <c r="W243" s="4125"/>
      <c r="X243" s="82"/>
      <c r="Y243" s="1450"/>
      <c r="Z243" s="452"/>
      <c r="AA243" s="452"/>
      <c r="AB243" s="1610"/>
      <c r="AC243" s="1443"/>
      <c r="AD243" s="1443"/>
      <c r="AE243" s="1443"/>
      <c r="AF243" s="1443"/>
      <c r="AG243" s="1443"/>
      <c r="AH243" s="1443"/>
      <c r="AI243" s="1443"/>
      <c r="AJ243" s="7176" t="s">
        <v>1137</v>
      </c>
      <c r="AK243" s="7199"/>
      <c r="AL243" s="7176" t="s">
        <v>1139</v>
      </c>
      <c r="AM243" s="7199"/>
      <c r="AN243" s="7176" t="s">
        <v>1142</v>
      </c>
      <c r="AO243" s="7177"/>
      <c r="AP243" s="7176" t="s">
        <v>938</v>
      </c>
      <c r="AQ243" s="7319"/>
      <c r="AR243" s="1408"/>
      <c r="AS243" s="1877"/>
      <c r="AT243" s="452"/>
      <c r="AU243" s="46"/>
      <c r="AV243" s="2153"/>
      <c r="AW243" s="46"/>
      <c r="AX243" s="46"/>
      <c r="AY243" s="46"/>
      <c r="AZ243" s="46"/>
      <c r="BA243" s="46"/>
      <c r="BB243" s="46"/>
    </row>
    <row r="244" spans="1:78" s="661" customFormat="1" ht="20.100000000000001" customHeight="1">
      <c r="A244" s="685"/>
      <c r="B244" s="2745"/>
      <c r="C244" s="2713" t="s">
        <v>2316</v>
      </c>
      <c r="D244" s="2713"/>
      <c r="E244" s="2708"/>
      <c r="F244" s="2713" t="str">
        <f>TEXT(K245,"MMMM D, YYYY")&amp;"—"&amp;TEXT(K246,"MMMM D, YYYY")</f>
        <v>October 1, 2018—December 31, 2018</v>
      </c>
      <c r="G244" s="2708"/>
      <c r="H244" s="2708"/>
      <c r="I244" s="2708"/>
      <c r="J244" s="2708"/>
      <c r="K244" s="2708"/>
      <c r="L244" s="2708"/>
      <c r="M244" s="2708"/>
      <c r="N244" s="2714"/>
      <c r="O244" s="2736"/>
      <c r="P244" s="7216"/>
      <c r="Q244" s="7217"/>
      <c r="R244" s="7216"/>
      <c r="S244" s="7217"/>
      <c r="T244" s="2728"/>
      <c r="U244" s="2729"/>
      <c r="V244" s="2732"/>
      <c r="W244" s="4125"/>
      <c r="X244" s="704"/>
      <c r="Y244" s="1450"/>
      <c r="Z244" s="452"/>
      <c r="AA244" s="452"/>
      <c r="AB244" s="1610"/>
      <c r="AC244" s="1443"/>
      <c r="AD244" s="1443"/>
      <c r="AE244" s="1443"/>
      <c r="AF244" s="1443"/>
      <c r="AG244" s="1443"/>
      <c r="AH244" s="1443"/>
      <c r="AI244" s="1443"/>
      <c r="AJ244" s="7178" t="str">
        <f>"1/1/"&amp;TaxYear-2000&amp;"–3/31/"&amp;TaxYear-2000</f>
        <v>1/1/18–3/31/18</v>
      </c>
      <c r="AK244" s="7179"/>
      <c r="AL244" s="7178" t="str">
        <f>"1/1/"&amp;TaxYear-2000&amp;"–5/31/"&amp;TaxYear-2000</f>
        <v>1/1/18–5/31/18</v>
      </c>
      <c r="AM244" s="7179"/>
      <c r="AN244" s="7178" t="str">
        <f>"1/1/"&amp;TaxYear-2000&amp;"–8/31/"&amp;TaxYear-2000</f>
        <v>1/1/18–8/31/18</v>
      </c>
      <c r="AO244" s="7179"/>
      <c r="AP244" s="7178" t="str">
        <f>"1/1/"&amp;TaxYear-2000&amp;"–12/31/"&amp;TaxYear-2000</f>
        <v>1/1/18–12/31/18</v>
      </c>
      <c r="AQ244" s="7320"/>
      <c r="AR244" s="1408"/>
      <c r="AS244" s="1877"/>
      <c r="AT244" s="452"/>
      <c r="AU244" s="46"/>
      <c r="AV244" s="2153"/>
      <c r="AW244" s="46"/>
      <c r="AX244" s="46"/>
      <c r="AY244" s="46"/>
      <c r="AZ244" s="46"/>
      <c r="BA244" s="46"/>
      <c r="BB244" s="46"/>
      <c r="BC244" s="3169"/>
      <c r="BD244" s="3169"/>
      <c r="BE244" s="3169"/>
      <c r="BF244" s="3169"/>
      <c r="BG244" s="3169"/>
      <c r="BH244" s="3169"/>
      <c r="BI244" s="3169"/>
      <c r="BJ244" s="3169"/>
      <c r="BK244" s="3169"/>
      <c r="BL244" s="3169"/>
      <c r="BM244" s="3169"/>
      <c r="BP244"/>
      <c r="BQ244"/>
      <c r="BR244"/>
      <c r="BS244"/>
      <c r="BT244"/>
      <c r="BU244"/>
      <c r="BV244"/>
      <c r="BW244"/>
      <c r="BX244"/>
      <c r="BY244"/>
      <c r="BZ244"/>
    </row>
    <row r="245" spans="1:78" ht="15">
      <c r="A245" s="635"/>
      <c r="B245" s="2745"/>
      <c r="C245" s="2717">
        <v>8</v>
      </c>
      <c r="D245" s="2719" t="s">
        <v>2307</v>
      </c>
      <c r="E245" s="2708"/>
      <c r="F245" s="2708"/>
      <c r="G245" s="2708"/>
      <c r="H245" s="2708"/>
      <c r="I245" s="2708"/>
      <c r="J245" s="2708"/>
      <c r="K245" s="7228">
        <f>DATEVALUE("1-Oct-"&amp;TaxYear)</f>
        <v>43374</v>
      </c>
      <c r="L245" s="7229"/>
      <c r="M245" s="7229"/>
      <c r="N245" s="7230"/>
      <c r="O245" s="2721">
        <v>8</v>
      </c>
      <c r="P245" s="7222">
        <f>$K236</f>
        <v>43373</v>
      </c>
      <c r="Q245" s="7223"/>
      <c r="R245" s="7222">
        <f>$K236</f>
        <v>43373</v>
      </c>
      <c r="S245" s="7223"/>
      <c r="T245" s="7222">
        <f>$K236</f>
        <v>43373</v>
      </c>
      <c r="U245" s="7223"/>
      <c r="V245" s="2732"/>
      <c r="W245" s="4125"/>
      <c r="X245" s="82"/>
      <c r="Y245" s="1450"/>
      <c r="Z245" s="452"/>
      <c r="AA245" s="452"/>
      <c r="AB245" s="3077" t="s">
        <v>336</v>
      </c>
      <c r="AC245" s="1607" t="s">
        <v>3605</v>
      </c>
      <c r="AD245" s="1607"/>
      <c r="AE245" s="1443"/>
      <c r="AF245" s="1443"/>
      <c r="AG245" s="1443"/>
      <c r="AH245" s="1443"/>
      <c r="AI245" s="1443"/>
      <c r="AJ245" s="1408"/>
      <c r="AK245" s="1408"/>
      <c r="AL245" s="1408"/>
      <c r="AM245" s="1408"/>
      <c r="AN245" s="1408"/>
      <c r="AO245" s="1408"/>
      <c r="AP245" s="1408"/>
      <c r="AQ245" s="1408"/>
      <c r="AR245" s="1408"/>
      <c r="AS245" s="1877"/>
      <c r="AT245" s="452"/>
      <c r="AU245" s="46"/>
      <c r="AV245" s="2153"/>
      <c r="AW245" s="46"/>
      <c r="AX245" s="46"/>
      <c r="AY245" s="46"/>
      <c r="AZ245" s="46"/>
      <c r="BA245" s="46"/>
      <c r="BB245" s="46"/>
    </row>
    <row r="246" spans="1:78" ht="12.6" customHeight="1">
      <c r="A246" s="635"/>
      <c r="B246" s="2745"/>
      <c r="C246" s="2708"/>
      <c r="D246" s="2708"/>
      <c r="E246" s="2708"/>
      <c r="F246" s="2708"/>
      <c r="G246" s="2708"/>
      <c r="H246" s="2708"/>
      <c r="I246" s="2708"/>
      <c r="J246" s="2708"/>
      <c r="K246" s="7228">
        <f>DATEVALUE("31-Dec-"&amp;TaxYear)</f>
        <v>43465</v>
      </c>
      <c r="L246" s="7229"/>
      <c r="M246" s="7229"/>
      <c r="N246" s="7230"/>
      <c r="O246" s="2711"/>
      <c r="P246" s="7224" t="s">
        <v>4790</v>
      </c>
      <c r="Q246" s="7225"/>
      <c r="R246" s="7224" t="s">
        <v>4790</v>
      </c>
      <c r="S246" s="7225"/>
      <c r="T246" s="7224" t="s">
        <v>4790</v>
      </c>
      <c r="U246" s="7225"/>
      <c r="V246" s="2732"/>
      <c r="W246" s="4125"/>
      <c r="X246" s="82"/>
      <c r="Y246" s="1450"/>
      <c r="Z246" s="452"/>
      <c r="AA246" s="452"/>
      <c r="AB246" s="1610"/>
      <c r="AC246" s="1607" t="s">
        <v>3604</v>
      </c>
      <c r="AD246" s="1607"/>
      <c r="AE246" s="1443"/>
      <c r="AF246" s="1443"/>
      <c r="AG246" s="1443"/>
      <c r="AH246" s="1443"/>
      <c r="AI246" s="1443"/>
      <c r="AJ246" s="1767" t="s">
        <v>336</v>
      </c>
      <c r="AK246" s="2756" t="str">
        <f>P173</f>
        <v/>
      </c>
      <c r="AL246" s="1767"/>
      <c r="AM246" s="2756" t="str">
        <f>R173</f>
        <v/>
      </c>
      <c r="AN246" s="1767"/>
      <c r="AO246" s="2756" t="str">
        <f>T173</f>
        <v/>
      </c>
      <c r="AP246" s="1767"/>
      <c r="AQ246" s="2756" t="str">
        <f>V173</f>
        <v/>
      </c>
      <c r="AR246" s="1767"/>
      <c r="AS246" s="1877"/>
      <c r="AT246" s="452"/>
      <c r="AU246" s="46"/>
      <c r="AV246" s="2153"/>
      <c r="AW246" s="46"/>
      <c r="AX246" s="46"/>
      <c r="AY246" s="46"/>
      <c r="AZ246" s="46"/>
      <c r="BA246" s="46"/>
      <c r="BB246" s="46"/>
    </row>
    <row r="247" spans="1:78" ht="12.6" customHeight="1">
      <c r="A247" s="635"/>
      <c r="B247" s="2745"/>
      <c r="C247" s="2708"/>
      <c r="D247" s="2708"/>
      <c r="E247" s="2708"/>
      <c r="F247" s="2708"/>
      <c r="G247" s="2708"/>
      <c r="H247" s="2708"/>
      <c r="I247" s="2708"/>
      <c r="J247" s="2708"/>
      <c r="K247" s="2708"/>
      <c r="L247" s="2708"/>
      <c r="M247" s="2708"/>
      <c r="N247" s="2714"/>
      <c r="O247" s="2711"/>
      <c r="P247" s="4106"/>
      <c r="Q247" s="2716"/>
      <c r="R247" s="4106"/>
      <c r="S247" s="2716"/>
      <c r="T247" s="4106"/>
      <c r="U247" s="2716"/>
      <c r="V247" s="2732"/>
      <c r="W247" s="4125"/>
      <c r="X247" s="82"/>
      <c r="Y247" s="1450"/>
      <c r="Z247" s="452"/>
      <c r="AA247" s="452"/>
      <c r="AB247" s="1610"/>
      <c r="AC247" s="1443"/>
      <c r="AD247" s="1443"/>
      <c r="AE247" s="1443"/>
      <c r="AF247" s="1443"/>
      <c r="AG247" s="1443"/>
      <c r="AH247" s="1443"/>
      <c r="AI247" s="1443"/>
      <c r="AJ247" s="1767"/>
      <c r="AK247" s="2088"/>
      <c r="AL247" s="1767"/>
      <c r="AM247" s="2088"/>
      <c r="AN247" s="1408"/>
      <c r="AO247" s="2088"/>
      <c r="AP247" s="1408"/>
      <c r="AQ247" s="2088"/>
      <c r="AR247" s="1408"/>
      <c r="AS247" s="1877"/>
      <c r="AT247" s="452"/>
      <c r="AU247" s="46"/>
      <c r="AV247" s="2153"/>
      <c r="AW247" s="46"/>
      <c r="AX247" s="46"/>
      <c r="AY247" s="46"/>
      <c r="AZ247" s="46"/>
      <c r="BA247" s="46"/>
      <c r="BB247" s="46"/>
    </row>
    <row r="248" spans="1:78" ht="12.6" customHeight="1">
      <c r="A248" s="635"/>
      <c r="B248" s="2745"/>
      <c r="C248" s="2717">
        <v>9</v>
      </c>
      <c r="D248" s="2718" t="s">
        <v>4793</v>
      </c>
      <c r="E248" s="2708"/>
      <c r="F248" s="2708"/>
      <c r="G248" s="2708"/>
      <c r="H248" s="2708"/>
      <c r="I248" s="2708"/>
      <c r="J248" s="2708"/>
      <c r="K248" s="2708"/>
      <c r="L248" s="2708"/>
      <c r="M248" s="2708"/>
      <c r="N248" s="2714"/>
      <c r="O248" s="2711"/>
      <c r="P248" s="2715"/>
      <c r="Q248" s="2769">
        <f>IF(P$218&gt;$K246,$K246,P$218)</f>
        <v>0</v>
      </c>
      <c r="R248" s="2715"/>
      <c r="S248" s="2769">
        <f>IF(R$218&gt;$K246,$K246,R$218)</f>
        <v>43465</v>
      </c>
      <c r="T248" s="2715"/>
      <c r="U248" s="2769">
        <f>IF(T$218&gt;$K246,$K246,T$218)</f>
        <v>43465</v>
      </c>
      <c r="V248" s="2732"/>
      <c r="W248" s="4125"/>
      <c r="X248" s="82"/>
      <c r="Y248" s="1450"/>
      <c r="Z248" s="452"/>
      <c r="AA248" s="452"/>
      <c r="AB248" s="3077" t="s">
        <v>2000</v>
      </c>
      <c r="AC248" s="1607" t="s">
        <v>3618</v>
      </c>
      <c r="AD248" s="1443"/>
      <c r="AE248" s="1443"/>
      <c r="AF248" s="1443"/>
      <c r="AG248" s="1443"/>
      <c r="AH248" s="1443"/>
      <c r="AI248" s="1443"/>
      <c r="AJ248" s="1767"/>
      <c r="AK248" s="2088"/>
      <c r="AL248" s="1767"/>
      <c r="AM248" s="2088"/>
      <c r="AN248" s="1408"/>
      <c r="AO248" s="2088"/>
      <c r="AP248" s="1408"/>
      <c r="AQ248" s="2088"/>
      <c r="AR248" s="1408"/>
      <c r="AS248" s="1877"/>
      <c r="AT248" s="452"/>
      <c r="AU248" s="46"/>
      <c r="AV248" s="2153"/>
      <c r="BA248" s="46"/>
      <c r="BB248" s="46"/>
    </row>
    <row r="249" spans="1:78" ht="12.6" customHeight="1">
      <c r="A249" s="635"/>
      <c r="B249" s="2745"/>
      <c r="C249" s="2708"/>
      <c r="D249" s="2718" t="s">
        <v>2325</v>
      </c>
      <c r="E249" s="2708"/>
      <c r="F249" s="2708"/>
      <c r="G249" s="2718" t="str">
        <f>"12/31/"&amp;TaxYear-2000&amp;", whichever is earlier"</f>
        <v>12/31/18, whichever is earlier</v>
      </c>
      <c r="H249" s="2708"/>
      <c r="I249" s="2708"/>
      <c r="J249" s="2708"/>
      <c r="K249" s="2708"/>
      <c r="L249" s="2708"/>
      <c r="M249" s="2708"/>
      <c r="N249" s="1699" t="s">
        <v>856</v>
      </c>
      <c r="O249" s="2726">
        <v>9</v>
      </c>
      <c r="P249" s="7285" t="str">
        <f>IF(P253=0,"",IF(Q248-P245&lt;0,0,Q248-P245))</f>
        <v/>
      </c>
      <c r="Q249" s="7286"/>
      <c r="R249" s="7285" t="str">
        <f>IF(R253=0,"",IF(S248-R245&lt;0,0,S248-R245))</f>
        <v/>
      </c>
      <c r="S249" s="7286"/>
      <c r="T249" s="7285" t="str">
        <f>IF(T253=0,"",IF(U248-T245&lt;0,0,U248-T245))</f>
        <v/>
      </c>
      <c r="U249" s="7286"/>
      <c r="V249" s="2732"/>
      <c r="W249" s="4125"/>
      <c r="X249" s="82"/>
      <c r="Y249" s="1450"/>
      <c r="Z249" s="452"/>
      <c r="AA249" s="452"/>
      <c r="AB249" s="3077"/>
      <c r="AC249" s="1607" t="s">
        <v>3607</v>
      </c>
      <c r="AD249" s="1443"/>
      <c r="AE249" s="1443"/>
      <c r="AF249" s="1443"/>
      <c r="AG249" s="1443"/>
      <c r="AH249" s="1443"/>
      <c r="AI249" s="1443"/>
      <c r="AO249" s="1408"/>
      <c r="AP249" s="1408"/>
      <c r="AQ249" s="1408"/>
      <c r="AR249" s="1408"/>
      <c r="AS249" s="1877"/>
      <c r="AT249" s="452"/>
      <c r="AU249" s="46"/>
      <c r="AV249" s="2153"/>
      <c r="BA249" s="46"/>
      <c r="BB249" s="46"/>
    </row>
    <row r="250" spans="1:78" ht="12.6" customHeight="1">
      <c r="A250" s="635"/>
      <c r="B250" s="2745"/>
      <c r="C250" s="2708"/>
      <c r="D250" s="2708"/>
      <c r="E250" s="2708"/>
      <c r="F250" s="2708"/>
      <c r="G250" s="2708"/>
      <c r="H250" s="2708"/>
      <c r="I250" s="2708"/>
      <c r="J250" s="2708"/>
      <c r="K250" s="2708"/>
      <c r="L250" s="2708"/>
      <c r="M250" s="2708"/>
      <c r="N250" s="2714"/>
      <c r="O250" s="2711"/>
      <c r="P250" s="2715"/>
      <c r="Q250" s="2716"/>
      <c r="R250" s="2715"/>
      <c r="S250" s="2716"/>
      <c r="T250" s="2715"/>
      <c r="U250" s="2716"/>
      <c r="V250" s="2732"/>
      <c r="W250" s="4125"/>
      <c r="X250" s="82"/>
      <c r="Y250" s="1450"/>
      <c r="Z250" s="452"/>
      <c r="AA250" s="452"/>
      <c r="AB250" s="1610"/>
      <c r="AC250" s="1607" t="s">
        <v>3606</v>
      </c>
      <c r="AD250" s="1443"/>
      <c r="AE250" s="1443"/>
      <c r="AF250" s="1443"/>
      <c r="AG250" s="1443"/>
      <c r="AH250" s="1443"/>
      <c r="AI250" s="1443"/>
      <c r="AJ250" s="1767" t="s">
        <v>2000</v>
      </c>
      <c r="AK250" s="1983"/>
      <c r="AL250" s="1408"/>
      <c r="AM250" s="1983"/>
      <c r="AN250" s="1408"/>
      <c r="AO250" s="1983"/>
      <c r="AP250" s="1408"/>
      <c r="AQ250" s="1983"/>
      <c r="AR250" s="1408"/>
      <c r="AS250" s="1877"/>
      <c r="AT250" s="452"/>
      <c r="AU250" s="46"/>
      <c r="AV250" s="2153"/>
      <c r="BA250" s="46"/>
      <c r="BB250" s="46"/>
      <c r="BY250" s="661"/>
      <c r="BZ250" s="661"/>
    </row>
    <row r="251" spans="1:78" ht="12.6" customHeight="1">
      <c r="A251" s="635"/>
      <c r="B251" s="2745"/>
      <c r="C251" s="2717">
        <v>10</v>
      </c>
      <c r="D251" s="2708"/>
      <c r="E251" s="2205" t="s">
        <v>2308</v>
      </c>
      <c r="F251" s="2708"/>
      <c r="G251" s="2708"/>
      <c r="H251" s="2718" t="s">
        <v>1948</v>
      </c>
      <c r="I251" s="2717"/>
      <c r="J251" s="2708"/>
      <c r="K251" s="2708"/>
      <c r="L251" s="2708"/>
      <c r="M251" s="2708"/>
      <c r="N251" s="2714"/>
      <c r="O251" s="2711"/>
      <c r="P251" s="4106"/>
      <c r="Q251" s="2716"/>
      <c r="R251" s="4106"/>
      <c r="S251" s="2716"/>
      <c r="T251" s="2715"/>
      <c r="U251" s="2716"/>
      <c r="V251" s="2732"/>
      <c r="W251" s="4125"/>
      <c r="X251" s="82"/>
      <c r="Y251" s="1450"/>
      <c r="Z251" s="452"/>
      <c r="AA251" s="452"/>
      <c r="AB251" s="1610"/>
      <c r="AC251" s="1443"/>
      <c r="AD251" s="1443"/>
      <c r="AE251" s="1443"/>
      <c r="AF251" s="1443"/>
      <c r="AG251" s="1443"/>
      <c r="AH251" s="1443"/>
      <c r="AI251" s="1443"/>
      <c r="AJ251" s="1408"/>
      <c r="AK251" s="1408"/>
      <c r="AL251" s="1408"/>
      <c r="AM251" s="1408"/>
      <c r="AN251" s="1408"/>
      <c r="AO251" s="1408"/>
      <c r="AP251" s="1408"/>
      <c r="AQ251" s="1408"/>
      <c r="AR251" s="1408"/>
      <c r="AS251" s="1877"/>
      <c r="AT251" s="452"/>
      <c r="AU251" s="46"/>
      <c r="AV251" s="2153"/>
      <c r="AW251" s="661"/>
      <c r="AX251" s="661"/>
      <c r="AY251" s="661"/>
      <c r="AZ251" s="661"/>
      <c r="BA251" s="46"/>
      <c r="BB251" s="46"/>
    </row>
    <row r="252" spans="1:78" ht="12.6" customHeight="1">
      <c r="A252" s="635"/>
      <c r="B252" s="2745"/>
      <c r="C252" s="2717"/>
      <c r="D252" s="2719"/>
      <c r="E252" s="2205" t="s">
        <v>2310</v>
      </c>
      <c r="F252" s="2708"/>
      <c r="G252" s="2707" t="s">
        <v>1499</v>
      </c>
      <c r="H252" s="2702"/>
      <c r="I252" s="2206" t="s">
        <v>4796</v>
      </c>
      <c r="J252" s="2702"/>
      <c r="K252" s="2722" t="s">
        <v>1499</v>
      </c>
      <c r="L252" s="7213">
        <v>0.05</v>
      </c>
      <c r="M252" s="7214"/>
      <c r="N252" s="7215"/>
      <c r="O252" s="2711"/>
      <c r="P252" s="2715"/>
      <c r="Q252" s="2716"/>
      <c r="R252" s="2715"/>
      <c r="S252" s="2716"/>
      <c r="T252" s="2715"/>
      <c r="U252" s="2716"/>
      <c r="V252" s="2732"/>
      <c r="W252" s="4125"/>
      <c r="X252" s="82"/>
      <c r="Y252" s="1450"/>
      <c r="Z252" s="452"/>
      <c r="AA252" s="452"/>
      <c r="AB252" s="3077" t="s">
        <v>3572</v>
      </c>
      <c r="AC252" s="1443" t="s">
        <v>3574</v>
      </c>
      <c r="AD252" s="1443"/>
      <c r="AE252" s="1443"/>
      <c r="AF252" s="1443"/>
      <c r="AG252" s="1443"/>
      <c r="AH252" s="1443"/>
      <c r="AI252" s="1443"/>
      <c r="AJ252" s="1767"/>
      <c r="AK252" s="4242">
        <f>P156</f>
        <v>4</v>
      </c>
      <c r="AL252" s="1767"/>
      <c r="AM252" s="4239">
        <f>R156</f>
        <v>2.4</v>
      </c>
      <c r="AN252" s="1408"/>
      <c r="AO252" s="4239">
        <f>T156</f>
        <v>1.5</v>
      </c>
      <c r="AP252" s="1408"/>
      <c r="AQ252" s="2851">
        <f>V156</f>
        <v>1</v>
      </c>
      <c r="AR252" s="1408"/>
      <c r="AS252" s="1877"/>
      <c r="AT252" s="452"/>
      <c r="AU252" s="46"/>
      <c r="AV252" s="2153"/>
      <c r="BA252" s="46"/>
      <c r="BB252" s="46"/>
    </row>
    <row r="253" spans="1:78" ht="15.95" customHeight="1">
      <c r="A253" s="635"/>
      <c r="B253" s="2746"/>
      <c r="C253" s="2702"/>
      <c r="D253" s="2723"/>
      <c r="E253" s="2702"/>
      <c r="F253" s="2702"/>
      <c r="G253" s="2702"/>
      <c r="H253" s="2702"/>
      <c r="I253" s="2725">
        <v>365</v>
      </c>
      <c r="J253" s="2702"/>
      <c r="K253" s="2702"/>
      <c r="L253" s="2702"/>
      <c r="M253" s="2702"/>
      <c r="N253" s="2724"/>
      <c r="O253" s="2730">
        <v>10</v>
      </c>
      <c r="P253" s="7226">
        <f>ROUND(BP333,2)</f>
        <v>0</v>
      </c>
      <c r="Q253" s="7227"/>
      <c r="R253" s="7226">
        <f>ROUND(BT333,2)</f>
        <v>0</v>
      </c>
      <c r="S253" s="7227"/>
      <c r="T253" s="7226">
        <f>ROUND(BW333,2)</f>
        <v>0</v>
      </c>
      <c r="U253" s="7227"/>
      <c r="V253" s="2734"/>
      <c r="W253" s="4126"/>
      <c r="X253" s="82"/>
      <c r="Y253" s="1450"/>
      <c r="Z253" s="452"/>
      <c r="AA253" s="452"/>
      <c r="AB253" s="1610"/>
      <c r="AC253" s="1607" t="s">
        <v>3573</v>
      </c>
      <c r="AD253" s="1443"/>
      <c r="AE253" s="1443"/>
      <c r="AF253" s="1443"/>
      <c r="AG253" s="1443"/>
      <c r="AH253" s="1443"/>
      <c r="AI253" s="1443"/>
      <c r="AJ253" s="1767" t="s">
        <v>3572</v>
      </c>
      <c r="AK253" s="2756">
        <f>ROUND(AK250*AK252,0)</f>
        <v>0</v>
      </c>
      <c r="AL253" s="1408"/>
      <c r="AM253" s="2756">
        <f>ROUND(AM250*AM252,0)</f>
        <v>0</v>
      </c>
      <c r="AN253" s="1408"/>
      <c r="AO253" s="2756">
        <f>ROUND(AO250*AO252,0)</f>
        <v>0</v>
      </c>
      <c r="AP253" s="1408"/>
      <c r="AQ253" s="2756">
        <f>ROUND(AQ250*AQ252,0)</f>
        <v>0</v>
      </c>
      <c r="AR253" s="1408"/>
      <c r="AS253" s="1877"/>
      <c r="AT253" s="452"/>
      <c r="AU253" s="46"/>
      <c r="BA253" s="46"/>
      <c r="BB253" s="46"/>
    </row>
    <row r="254" spans="1:78" s="661" customFormat="1" ht="20.100000000000001" customHeight="1">
      <c r="A254" s="685"/>
      <c r="B254" s="2745"/>
      <c r="C254" s="2713" t="s">
        <v>2317</v>
      </c>
      <c r="D254" s="2713"/>
      <c r="E254" s="2708"/>
      <c r="F254" s="2713" t="str">
        <f>TEXT(K255,"MMMM D, YYYY")&amp;"—"&amp;TEXT(K256,"MMMM D, YYYY")</f>
        <v>January 1, 2019—April 15, 2019</v>
      </c>
      <c r="G254" s="2708"/>
      <c r="H254" s="2708"/>
      <c r="I254" s="2708"/>
      <c r="J254" s="2708"/>
      <c r="K254" s="2708"/>
      <c r="L254" s="2708"/>
      <c r="M254" s="2708"/>
      <c r="N254" s="2714"/>
      <c r="O254" s="2736"/>
      <c r="P254" s="7216"/>
      <c r="Q254" s="7217"/>
      <c r="R254" s="7216"/>
      <c r="S254" s="7217"/>
      <c r="T254" s="2728"/>
      <c r="U254" s="2729"/>
      <c r="V254" s="2732"/>
      <c r="W254" s="4125"/>
      <c r="X254" s="704"/>
      <c r="Y254" s="1450"/>
      <c r="Z254" s="452"/>
      <c r="AA254" s="452"/>
      <c r="AB254" s="1610"/>
      <c r="AC254" s="1607"/>
      <c r="AD254" s="1443"/>
      <c r="AE254" s="1443"/>
      <c r="AF254" s="1443"/>
      <c r="AG254" s="1443"/>
      <c r="AH254" s="1443"/>
      <c r="AI254" s="1443"/>
      <c r="AJ254" s="1408"/>
      <c r="AK254" s="1408"/>
      <c r="AL254" s="1408"/>
      <c r="AM254" s="1408"/>
      <c r="AN254" s="1408"/>
      <c r="AO254" s="1408"/>
      <c r="AP254" s="1408"/>
      <c r="AQ254" s="1408"/>
      <c r="AR254" s="1408"/>
      <c r="AS254" s="1877"/>
      <c r="AT254" s="452"/>
      <c r="AU254" s="46"/>
      <c r="AV254" s="931"/>
      <c r="AW254"/>
      <c r="AX254"/>
      <c r="AY254"/>
      <c r="AZ254"/>
      <c r="BA254" s="46"/>
      <c r="BB254" s="46"/>
      <c r="BC254" s="3169"/>
      <c r="BD254" s="3169"/>
      <c r="BE254" s="3169"/>
      <c r="BF254" s="3169"/>
      <c r="BG254" s="3169"/>
      <c r="BH254" s="3169"/>
      <c r="BI254" s="3169"/>
      <c r="BJ254" s="3169"/>
      <c r="BK254" s="3169"/>
      <c r="BL254" s="3169"/>
      <c r="BM254" s="3169"/>
      <c r="BP254"/>
      <c r="BQ254"/>
      <c r="BR254"/>
      <c r="BS254"/>
      <c r="BT254"/>
      <c r="BU254"/>
      <c r="BV254"/>
      <c r="BW254"/>
      <c r="BX254"/>
      <c r="BY254"/>
      <c r="BZ254"/>
    </row>
    <row r="255" spans="1:78" ht="15">
      <c r="A255" s="635"/>
      <c r="B255" s="2745"/>
      <c r="C255" s="2717">
        <v>11</v>
      </c>
      <c r="D255" s="2719" t="s">
        <v>2307</v>
      </c>
      <c r="E255" s="2708"/>
      <c r="F255" s="2708"/>
      <c r="G255" s="2708"/>
      <c r="H255" s="2708"/>
      <c r="I255" s="2708"/>
      <c r="J255" s="2708"/>
      <c r="K255" s="7228">
        <f>DATEVALUE("1-Jan-"&amp;TaxYear+1)</f>
        <v>43466</v>
      </c>
      <c r="L255" s="7229"/>
      <c r="M255" s="7229"/>
      <c r="N255" s="7230"/>
      <c r="O255" s="2731">
        <v>11</v>
      </c>
      <c r="P255" s="7222">
        <f>$K246</f>
        <v>43465</v>
      </c>
      <c r="Q255" s="7223"/>
      <c r="R255" s="7222">
        <f>$K246</f>
        <v>43465</v>
      </c>
      <c r="S255" s="7223"/>
      <c r="T255" s="7222">
        <f>$K246</f>
        <v>43465</v>
      </c>
      <c r="U255" s="7223"/>
      <c r="V255" s="7222">
        <f>V216</f>
        <v>43480</v>
      </c>
      <c r="W255" s="7294"/>
      <c r="X255" s="82"/>
      <c r="Y255" s="1450"/>
      <c r="Z255" s="452"/>
      <c r="AA255" s="452"/>
      <c r="AB255" s="3077" t="s">
        <v>1</v>
      </c>
      <c r="AC255" s="1443" t="s">
        <v>2649</v>
      </c>
      <c r="AD255" s="1443"/>
      <c r="AE255" s="1443"/>
      <c r="AF255" s="1443"/>
      <c r="AG255" s="1443"/>
      <c r="AH255" s="1443"/>
      <c r="AI255" s="1443"/>
      <c r="AJ255" s="1767" t="s">
        <v>1</v>
      </c>
      <c r="AK255" s="2756">
        <f>SUM(AK241,AK253)</f>
        <v>0</v>
      </c>
      <c r="AL255" s="1408"/>
      <c r="AM255" s="2756">
        <f>SUM(AM241,AM253)</f>
        <v>0</v>
      </c>
      <c r="AN255" s="1408"/>
      <c r="AO255" s="2756">
        <f>SUM(AO241,AO253)</f>
        <v>0</v>
      </c>
      <c r="AP255" s="1408"/>
      <c r="AQ255" s="2756">
        <f>SUM(AQ241,AQ253)</f>
        <v>0</v>
      </c>
      <c r="AR255" s="1408"/>
      <c r="AS255" s="1877"/>
      <c r="AT255" s="452"/>
      <c r="AU255" s="46"/>
      <c r="BA255" s="46"/>
      <c r="BB255" s="46"/>
    </row>
    <row r="256" spans="1:78" ht="12.6" customHeight="1">
      <c r="A256" s="635"/>
      <c r="B256" s="2745"/>
      <c r="C256" s="2708"/>
      <c r="D256" s="2708"/>
      <c r="E256" s="2708"/>
      <c r="F256" s="2708"/>
      <c r="G256" s="2708"/>
      <c r="H256" s="2708"/>
      <c r="I256" s="2708"/>
      <c r="J256" s="2708"/>
      <c r="K256" s="7228">
        <f>DATEVALUE("15-Apr-"&amp;TaxYear+1)</f>
        <v>43570</v>
      </c>
      <c r="L256" s="7229"/>
      <c r="M256" s="7229"/>
      <c r="N256" s="7230"/>
      <c r="O256" s="2711"/>
      <c r="P256" s="7224" t="s">
        <v>4790</v>
      </c>
      <c r="Q256" s="7225"/>
      <c r="R256" s="7224" t="s">
        <v>4790</v>
      </c>
      <c r="S256" s="7225"/>
      <c r="T256" s="7224" t="s">
        <v>4790</v>
      </c>
      <c r="U256" s="7225"/>
      <c r="V256" s="7224" t="s">
        <v>4790</v>
      </c>
      <c r="W256" s="7293"/>
      <c r="X256" s="82"/>
      <c r="Y256" s="1450"/>
      <c r="Z256" s="452"/>
      <c r="AA256" s="452"/>
      <c r="AB256" s="3077"/>
      <c r="AC256" s="1607"/>
      <c r="AD256" s="1607"/>
      <c r="AE256" s="1443"/>
      <c r="AF256" s="1443"/>
      <c r="AG256" s="1443"/>
      <c r="AH256" s="1443"/>
      <c r="AI256" s="1443"/>
      <c r="AJ256" s="1443"/>
      <c r="AK256" s="1443"/>
      <c r="AL256" s="1443"/>
      <c r="AM256" s="1443"/>
      <c r="AN256" s="1443"/>
      <c r="AO256" s="1443"/>
      <c r="AP256" s="1443"/>
      <c r="AQ256" s="1443"/>
      <c r="AR256" s="1443"/>
      <c r="AS256" s="1877"/>
      <c r="AT256" s="452"/>
      <c r="AU256" s="46"/>
      <c r="AV256" s="4254"/>
      <c r="BA256" s="46"/>
      <c r="BB256" s="46"/>
    </row>
    <row r="257" spans="1:78" ht="12.6" customHeight="1">
      <c r="A257" s="635"/>
      <c r="B257" s="2745"/>
      <c r="C257" s="2708"/>
      <c r="D257" s="2708"/>
      <c r="E257" s="2708"/>
      <c r="F257" s="2708"/>
      <c r="G257" s="2708"/>
      <c r="H257" s="2708"/>
      <c r="I257" s="2708"/>
      <c r="J257" s="2708"/>
      <c r="K257" s="2708"/>
      <c r="L257" s="2708"/>
      <c r="M257" s="2708"/>
      <c r="N257" s="2714"/>
      <c r="O257" s="2711"/>
      <c r="P257" s="4106"/>
      <c r="Q257" s="2716"/>
      <c r="R257" s="4106"/>
      <c r="S257" s="2716"/>
      <c r="T257" s="4106"/>
      <c r="U257" s="2716"/>
      <c r="V257" s="4106"/>
      <c r="W257" s="4127"/>
      <c r="X257" s="82"/>
      <c r="Y257" s="1450"/>
      <c r="Z257" s="452"/>
      <c r="AA257" s="452"/>
      <c r="AB257" s="3077" t="s">
        <v>455</v>
      </c>
      <c r="AC257" s="1615" t="s">
        <v>1987</v>
      </c>
      <c r="AD257" s="1607"/>
      <c r="AE257" s="1443"/>
      <c r="AF257" s="1443"/>
      <c r="AG257" s="1443"/>
      <c r="AH257" s="1443"/>
      <c r="AI257" s="1443" t="s">
        <v>3610</v>
      </c>
      <c r="AO257" s="1408"/>
      <c r="AP257" s="1408"/>
      <c r="AQ257" s="1408"/>
      <c r="AR257" s="1408"/>
      <c r="AS257" s="1877"/>
      <c r="AT257" s="452"/>
      <c r="AU257" s="46"/>
      <c r="BA257" s="46"/>
      <c r="BB257" s="46"/>
    </row>
    <row r="258" spans="1:78" ht="12.6" customHeight="1">
      <c r="A258" s="635"/>
      <c r="B258" s="2745"/>
      <c r="C258" s="2717">
        <v>12</v>
      </c>
      <c r="D258" s="2718" t="s">
        <v>4794</v>
      </c>
      <c r="E258" s="2708"/>
      <c r="F258" s="2708"/>
      <c r="G258" s="2708"/>
      <c r="H258" s="2708"/>
      <c r="I258" s="2708"/>
      <c r="J258" s="2708"/>
      <c r="K258" s="2708"/>
      <c r="L258" s="2708"/>
      <c r="M258" s="2708"/>
      <c r="N258" s="2714"/>
      <c r="O258" s="2711"/>
      <c r="P258" s="2715"/>
      <c r="Q258" s="2769">
        <f>IF(P$218&gt;$K256,$K256,P$218)</f>
        <v>0</v>
      </c>
      <c r="R258" s="2715"/>
      <c r="S258" s="2769">
        <f>IF(R$218&gt;$K256,$K256,R$218)</f>
        <v>43570</v>
      </c>
      <c r="T258" s="2715"/>
      <c r="U258" s="2769">
        <f>IF(T$218&gt;$K256,$K256,T$218)</f>
        <v>43570</v>
      </c>
      <c r="V258" s="2715"/>
      <c r="W258" s="4128">
        <f>IF(V$218&gt;$K256,$K256,V$218)</f>
        <v>43570</v>
      </c>
      <c r="X258" s="82"/>
      <c r="Y258" s="1450"/>
      <c r="Z258" s="452"/>
      <c r="AA258" s="452"/>
      <c r="AB258" s="1610"/>
      <c r="AC258" s="1607" t="s">
        <v>3608</v>
      </c>
      <c r="AD258" s="1607"/>
      <c r="AE258" s="1443"/>
      <c r="AF258" s="1443"/>
      <c r="AG258" s="1443"/>
      <c r="AH258" s="1443"/>
      <c r="AI258" s="1443"/>
      <c r="AJ258" s="1408"/>
      <c r="AK258" s="1408"/>
      <c r="AL258" s="1408"/>
      <c r="AM258" s="1408"/>
      <c r="AN258" s="1408"/>
      <c r="AO258" s="1408"/>
      <c r="AP258" s="1408"/>
      <c r="AQ258" s="1408"/>
      <c r="AR258" s="1767"/>
      <c r="AS258" s="1877"/>
      <c r="AT258" s="452"/>
      <c r="AU258" s="46"/>
      <c r="BA258" s="46"/>
      <c r="BB258" s="46"/>
    </row>
    <row r="259" spans="1:78" ht="12.6" customHeight="1">
      <c r="A259" s="635"/>
      <c r="B259" s="2745"/>
      <c r="C259" s="2708"/>
      <c r="D259" s="2718" t="s">
        <v>2325</v>
      </c>
      <c r="E259" s="2708"/>
      <c r="F259" s="2708"/>
      <c r="G259" s="2718" t="str">
        <f>"4/15/"&amp;TaxYear+1-2000&amp;", whichever is earlier"</f>
        <v>4/15/19, whichever is earlier</v>
      </c>
      <c r="H259" s="2708"/>
      <c r="I259" s="2708"/>
      <c r="J259" s="2708"/>
      <c r="K259" s="2708"/>
      <c r="L259" s="2708"/>
      <c r="M259" s="2708"/>
      <c r="N259" s="1699" t="s">
        <v>856</v>
      </c>
      <c r="O259" s="2730">
        <v>12</v>
      </c>
      <c r="P259" s="7285" t="str">
        <f>IF(P263=0,"",IF(Q258-P255&lt;0,0,Q258-P255))</f>
        <v/>
      </c>
      <c r="Q259" s="7286"/>
      <c r="R259" s="7285" t="str">
        <f>IF(R263=0,"",IF(S258-R255&lt;0,0,S258-R255))</f>
        <v/>
      </c>
      <c r="S259" s="7286"/>
      <c r="T259" s="7285" t="str">
        <f>IF(T263=0,"",IF(U258-T255&lt;0,0,U258-T255))</f>
        <v/>
      </c>
      <c r="U259" s="7286"/>
      <c r="V259" s="7285" t="str">
        <f>IF(V263=0,"",IF(W258-V255&lt;0,0,W258-V255))</f>
        <v/>
      </c>
      <c r="W259" s="7295"/>
      <c r="X259" s="82"/>
      <c r="Y259" s="1450"/>
      <c r="Z259" s="452"/>
      <c r="AA259" s="452"/>
      <c r="AB259" s="1610"/>
      <c r="AC259" s="2378" t="str">
        <f>TaxYear&amp;" instructions for Form 1040, line 44, to find out which tax computation method to use."</f>
        <v>2018 instructions for Form 1040, line 44, to find out which tax computation method to use.</v>
      </c>
      <c r="AD259" s="1607"/>
      <c r="AE259" s="1443"/>
      <c r="AF259" s="1443"/>
      <c r="AG259" s="1443"/>
      <c r="AH259" s="1443"/>
      <c r="AI259" s="1443"/>
      <c r="AJ259" s="1408"/>
      <c r="AK259" s="1408"/>
      <c r="AL259" s="1408"/>
      <c r="AM259" s="1408"/>
      <c r="AN259" s="1408"/>
      <c r="AO259" s="1766" t="s">
        <v>3628</v>
      </c>
      <c r="AP259" s="1408"/>
      <c r="AQ259" s="1408"/>
      <c r="AR259" s="1767"/>
      <c r="AS259" s="1877"/>
      <c r="AT259" s="452"/>
      <c r="AU259" s="46"/>
      <c r="BA259" s="46"/>
      <c r="BB259" s="46"/>
    </row>
    <row r="260" spans="1:78" ht="12.6" customHeight="1">
      <c r="A260" s="635"/>
      <c r="B260" s="2745"/>
      <c r="C260" s="2708"/>
      <c r="D260" s="2708"/>
      <c r="E260" s="2708"/>
      <c r="F260" s="2708"/>
      <c r="G260" s="2708"/>
      <c r="H260" s="2708"/>
      <c r="I260" s="2708"/>
      <c r="J260" s="2708"/>
      <c r="K260" s="2708"/>
      <c r="L260" s="2708"/>
      <c r="M260" s="2708"/>
      <c r="N260" s="2714"/>
      <c r="O260" s="2711"/>
      <c r="P260" s="2715"/>
      <c r="Q260" s="2716"/>
      <c r="R260" s="2715"/>
      <c r="S260" s="2716"/>
      <c r="T260" s="2715"/>
      <c r="U260" s="2716"/>
      <c r="V260" s="2715"/>
      <c r="W260" s="4127"/>
      <c r="X260" s="82"/>
      <c r="Y260" s="1450"/>
      <c r="Z260" s="452"/>
      <c r="AA260" s="452"/>
      <c r="AB260" s="1610"/>
      <c r="AC260" s="2378" t="s">
        <v>3609</v>
      </c>
      <c r="AD260" s="1607"/>
      <c r="AE260" s="1443"/>
      <c r="AF260" s="1443"/>
      <c r="AG260" s="1443"/>
      <c r="AH260" s="1443"/>
      <c r="AI260" s="1443"/>
      <c r="AJ260" s="1408"/>
      <c r="AK260" s="1408"/>
      <c r="AL260" s="1408"/>
      <c r="AM260" s="1408"/>
      <c r="AN260" s="1408"/>
      <c r="AO260" s="1408"/>
      <c r="AP260" s="1408"/>
      <c r="AQ260" s="1408"/>
      <c r="AR260" s="1767"/>
      <c r="AS260" s="1877"/>
      <c r="AT260" s="452"/>
      <c r="AU260" s="46"/>
      <c r="BA260" s="46"/>
      <c r="BB260" s="46"/>
      <c r="BY260" s="661"/>
      <c r="BZ260" s="661"/>
    </row>
    <row r="261" spans="1:78" ht="12.6" customHeight="1">
      <c r="A261" s="635"/>
      <c r="B261" s="2745"/>
      <c r="C261" s="2717">
        <v>13</v>
      </c>
      <c r="D261" s="2708"/>
      <c r="E261" s="2205" t="s">
        <v>2308</v>
      </c>
      <c r="F261" s="2708"/>
      <c r="G261" s="2708"/>
      <c r="H261" s="2718" t="s">
        <v>1948</v>
      </c>
      <c r="I261" s="2717"/>
      <c r="J261" s="2708"/>
      <c r="K261" s="2708"/>
      <c r="L261" s="2708"/>
      <c r="M261" s="2708"/>
      <c r="N261" s="2714"/>
      <c r="O261" s="2711"/>
      <c r="P261" s="4106"/>
      <c r="Q261" s="2716"/>
      <c r="R261" s="4106"/>
      <c r="S261" s="2716"/>
      <c r="T261" s="2715"/>
      <c r="U261" s="2716"/>
      <c r="V261" s="2715"/>
      <c r="W261" s="4127"/>
      <c r="X261" s="82"/>
      <c r="Y261" s="1450"/>
      <c r="Z261" s="452"/>
      <c r="AA261" s="452"/>
      <c r="AB261" s="1610"/>
      <c r="AC261" s="1607"/>
      <c r="AD261" s="1607"/>
      <c r="AE261" s="1443"/>
      <c r="AF261" s="1443"/>
      <c r="AG261" s="1443"/>
      <c r="AH261" s="1443"/>
      <c r="AI261" s="1443"/>
      <c r="AJ261" s="1767" t="s">
        <v>455</v>
      </c>
      <c r="AK261" s="2756">
        <f>AW330</f>
        <v>0</v>
      </c>
      <c r="AL261" s="1767"/>
      <c r="AM261" s="2756">
        <f>AX330</f>
        <v>0</v>
      </c>
      <c r="AN261" s="1767"/>
      <c r="AO261" s="2756">
        <f>AY330</f>
        <v>0</v>
      </c>
      <c r="AP261" s="1767"/>
      <c r="AQ261" s="2756">
        <f>AZ330</f>
        <v>0</v>
      </c>
      <c r="AR261" s="1767"/>
      <c r="AS261" s="1877"/>
      <c r="AT261" s="452"/>
      <c r="AU261" s="46"/>
      <c r="BA261" s="46"/>
      <c r="BB261" s="46"/>
    </row>
    <row r="262" spans="1:78" ht="12.6" customHeight="1">
      <c r="A262" s="635"/>
      <c r="B262" s="2745"/>
      <c r="C262" s="2717"/>
      <c r="D262" s="2719"/>
      <c r="E262" s="2205" t="s">
        <v>2310</v>
      </c>
      <c r="F262" s="2708"/>
      <c r="G262" s="2707" t="s">
        <v>1499</v>
      </c>
      <c r="H262" s="2702"/>
      <c r="I262" s="2206" t="s">
        <v>4797</v>
      </c>
      <c r="J262" s="2702"/>
      <c r="K262" s="2722" t="s">
        <v>1499</v>
      </c>
      <c r="L262" s="7213">
        <v>0.05</v>
      </c>
      <c r="M262" s="7214"/>
      <c r="N262" s="7215"/>
      <c r="O262" s="2711"/>
      <c r="P262" s="2715"/>
      <c r="Q262" s="2716"/>
      <c r="R262" s="2715"/>
      <c r="S262" s="2716"/>
      <c r="T262" s="2715"/>
      <c r="U262" s="2716"/>
      <c r="V262" s="2715"/>
      <c r="W262" s="4127"/>
      <c r="X262" s="82"/>
      <c r="Y262" s="1450"/>
      <c r="Z262" s="452"/>
      <c r="AA262" s="452"/>
      <c r="AB262" s="1610"/>
      <c r="AC262" s="1443"/>
      <c r="AD262" s="1443"/>
      <c r="AE262" s="1443"/>
      <c r="AF262" s="1443"/>
      <c r="AG262" s="1443"/>
      <c r="AH262" s="1443"/>
      <c r="AI262" s="1443"/>
      <c r="AJ262" s="1767"/>
      <c r="AK262" s="2088"/>
      <c r="AL262" s="1767"/>
      <c r="AM262" s="2088"/>
      <c r="AN262" s="1408"/>
      <c r="AO262" s="2088"/>
      <c r="AP262" s="1408"/>
      <c r="AQ262" s="2088"/>
      <c r="AR262" s="1408"/>
      <c r="AS262" s="1877"/>
      <c r="AT262" s="452"/>
      <c r="AU262" s="46"/>
      <c r="BA262" s="46"/>
      <c r="BB262" s="46"/>
    </row>
    <row r="263" spans="1:78" ht="15.95" customHeight="1">
      <c r="A263" s="635"/>
      <c r="B263" s="2745"/>
      <c r="C263" s="2708"/>
      <c r="D263" s="2719"/>
      <c r="E263" s="2708"/>
      <c r="F263" s="2708"/>
      <c r="G263" s="2708"/>
      <c r="H263" s="2708"/>
      <c r="I263" s="2727">
        <v>365</v>
      </c>
      <c r="J263" s="2708"/>
      <c r="K263" s="2708"/>
      <c r="L263" s="2708"/>
      <c r="M263" s="2708"/>
      <c r="N263" s="1699"/>
      <c r="O263" s="2720">
        <v>13</v>
      </c>
      <c r="P263" s="7226">
        <f>ROUND(BQ333,2)</f>
        <v>0</v>
      </c>
      <c r="Q263" s="7227"/>
      <c r="R263" s="7226">
        <f>ROUND(BU333,2)</f>
        <v>0</v>
      </c>
      <c r="S263" s="7227"/>
      <c r="T263" s="7226">
        <f>ROUND(BX333,2)</f>
        <v>0</v>
      </c>
      <c r="U263" s="7227"/>
      <c r="V263" s="7226">
        <f>ROUND(BY333,2)</f>
        <v>0</v>
      </c>
      <c r="W263" s="7296"/>
      <c r="X263" s="82"/>
      <c r="Y263" s="1450"/>
      <c r="Z263" s="452"/>
      <c r="AA263" s="452"/>
      <c r="AB263" s="3077" t="s">
        <v>35</v>
      </c>
      <c r="AC263" s="1615" t="s">
        <v>3611</v>
      </c>
      <c r="AD263" s="1607"/>
      <c r="AE263" s="1443"/>
      <c r="AF263" s="1443"/>
      <c r="AG263" s="1443"/>
      <c r="AH263" s="1443"/>
      <c r="AI263" s="1443" t="str">
        <f>"If the amount on line 2 is less than $100,000, use the Tax Table in the "&amp;TaxYear</f>
        <v>If the amount on line 2 is less than $100,000, use the Tax Table in the 2018</v>
      </c>
      <c r="AO263" s="1408"/>
      <c r="AP263" s="1408"/>
      <c r="AQ263" s="1408"/>
      <c r="AR263" s="1408"/>
      <c r="AS263" s="1877"/>
      <c r="AT263" s="452"/>
      <c r="AU263" s="46"/>
      <c r="BA263" s="46"/>
      <c r="BB263" s="46"/>
    </row>
    <row r="264" spans="1:78" ht="15">
      <c r="A264" s="635"/>
      <c r="B264" s="2103"/>
      <c r="C264" s="2737">
        <v>14</v>
      </c>
      <c r="D264" s="2104" t="s">
        <v>2311</v>
      </c>
      <c r="E264" s="2104"/>
      <c r="F264" s="2104"/>
      <c r="G264" s="2104"/>
      <c r="H264" s="2104"/>
      <c r="I264" s="2104"/>
      <c r="J264" s="2104"/>
      <c r="K264" s="2104"/>
      <c r="L264" s="2104"/>
      <c r="M264" s="2104"/>
      <c r="N264" s="2104"/>
      <c r="O264" s="2104"/>
      <c r="P264" s="2104"/>
      <c r="Q264" s="2104"/>
      <c r="R264" s="2104"/>
      <c r="S264" s="2104"/>
      <c r="T264" s="2104"/>
      <c r="U264" s="2104"/>
      <c r="V264" s="2103"/>
      <c r="W264" s="2104"/>
      <c r="X264" s="82"/>
      <c r="Y264" s="1450"/>
      <c r="Z264" s="452"/>
      <c r="AA264" s="452"/>
      <c r="AB264" s="1610"/>
      <c r="AC264" s="1607" t="s">
        <v>3612</v>
      </c>
      <c r="AD264" s="1607"/>
      <c r="AE264" s="1443"/>
      <c r="AF264" s="1443"/>
      <c r="AG264" s="1443"/>
      <c r="AH264" s="1443"/>
      <c r="AI264" s="1443"/>
      <c r="AJ264" s="1408"/>
      <c r="AK264" s="1408"/>
      <c r="AL264" s="1408"/>
      <c r="AM264" s="1408"/>
      <c r="AN264" s="1408"/>
      <c r="AO264" s="1408"/>
      <c r="AP264" s="1408"/>
      <c r="AQ264" s="1408"/>
      <c r="AR264" s="1767"/>
      <c r="AS264" s="1877"/>
      <c r="AT264" s="452"/>
      <c r="AU264" s="46"/>
      <c r="BA264" s="46"/>
      <c r="BB264" s="46"/>
    </row>
    <row r="265" spans="1:78">
      <c r="A265" s="635"/>
      <c r="B265" s="2106"/>
      <c r="C265" s="1408"/>
      <c r="D265" s="1408" t="s">
        <v>2312</v>
      </c>
      <c r="E265" s="1408"/>
      <c r="F265" s="1408"/>
      <c r="G265" s="1408"/>
      <c r="H265" s="1408"/>
      <c r="I265" s="1408"/>
      <c r="J265" s="1408"/>
      <c r="K265" s="1408"/>
      <c r="L265" s="1408"/>
      <c r="M265" s="1408"/>
      <c r="N265" s="1408"/>
      <c r="O265" s="1408"/>
      <c r="P265" s="1408"/>
      <c r="Q265" s="1408"/>
      <c r="R265" s="1408"/>
      <c r="S265" s="1408"/>
      <c r="T265" s="1408"/>
      <c r="U265" s="1699" t="s">
        <v>1951</v>
      </c>
      <c r="V265" s="7299">
        <f>ROUND(SUM(P233,R233,P243,R243,T243,P253,R253,T253,P263,R263,T263,V263),2)</f>
        <v>0</v>
      </c>
      <c r="W265" s="7300"/>
      <c r="X265" s="82"/>
      <c r="Y265" s="1450"/>
      <c r="Z265" s="452"/>
      <c r="AA265" s="452"/>
      <c r="AB265" s="1610"/>
      <c r="AC265" s="2378" t="s">
        <v>3613</v>
      </c>
      <c r="AD265" s="1607"/>
      <c r="AE265" s="1443"/>
      <c r="AF265" s="1443"/>
      <c r="AG265" s="1443"/>
      <c r="AH265" s="1443"/>
      <c r="AI265" s="1443"/>
      <c r="AJ265" s="1408"/>
      <c r="AK265" s="1408"/>
      <c r="AL265" s="1408"/>
      <c r="AM265" s="1408"/>
      <c r="AN265" s="1408"/>
      <c r="AO265" s="1766"/>
      <c r="AP265" s="1408"/>
      <c r="AQ265" s="1408"/>
      <c r="AR265" s="1767"/>
      <c r="AS265" s="1877"/>
      <c r="AT265" s="452"/>
      <c r="AU265" s="46"/>
      <c r="BA265" s="46"/>
      <c r="BB265" s="46"/>
    </row>
    <row r="266" spans="1:78">
      <c r="A266" s="635"/>
      <c r="B266" s="2111"/>
      <c r="C266" s="2112"/>
      <c r="D266" s="2112"/>
      <c r="E266" s="2112"/>
      <c r="F266" s="2112"/>
      <c r="G266" s="2112"/>
      <c r="H266" s="2112"/>
      <c r="I266" s="2112"/>
      <c r="J266" s="2112"/>
      <c r="K266" s="2112"/>
      <c r="L266" s="2112"/>
      <c r="M266" s="2112"/>
      <c r="N266" s="2112"/>
      <c r="O266" s="2112"/>
      <c r="P266" s="2112"/>
      <c r="Q266" s="2112"/>
      <c r="R266" s="2112"/>
      <c r="S266" s="2112"/>
      <c r="T266" s="2112"/>
      <c r="U266" s="2112"/>
      <c r="V266" s="2111"/>
      <c r="W266" s="2112"/>
      <c r="X266" s="82"/>
      <c r="Y266" s="1450"/>
      <c r="Z266" s="452"/>
      <c r="AA266" s="452"/>
      <c r="AB266" s="1610"/>
      <c r="AC266" s="1607"/>
      <c r="AD266" s="1607"/>
      <c r="AE266" s="1443"/>
      <c r="AF266" s="1443"/>
      <c r="AG266" s="1443"/>
      <c r="AH266" s="1443"/>
      <c r="AI266" s="1443"/>
      <c r="AJ266" s="1767" t="s">
        <v>35</v>
      </c>
      <c r="AK266" s="2756" t="str">
        <f>BT199</f>
        <v>Filing status?</v>
      </c>
      <c r="AL266" s="1767"/>
      <c r="AM266" s="2756" t="str">
        <f>BZ199</f>
        <v>Filing status?</v>
      </c>
      <c r="AN266" s="1767"/>
      <c r="AO266" s="2756" t="str">
        <f>BT205</f>
        <v>Filing status?</v>
      </c>
      <c r="AP266" s="1767"/>
      <c r="AQ266" s="2756" t="str">
        <f>BZ205</f>
        <v>Filing status?</v>
      </c>
      <c r="AR266" s="1767"/>
      <c r="AS266" s="1877"/>
      <c r="AT266" s="452"/>
      <c r="AU266" s="46"/>
      <c r="BA266" s="46"/>
      <c r="BB266" s="46"/>
    </row>
    <row r="267" spans="1:78">
      <c r="A267" s="635"/>
      <c r="B267" s="2104"/>
      <c r="C267" s="2104"/>
      <c r="D267" s="2104"/>
      <c r="E267" s="2104"/>
      <c r="F267" s="2104"/>
      <c r="G267" s="2104"/>
      <c r="H267" s="2104"/>
      <c r="I267" s="2104"/>
      <c r="J267" s="2104"/>
      <c r="K267" s="2104"/>
      <c r="L267" s="2104"/>
      <c r="M267" s="2104"/>
      <c r="N267" s="2104"/>
      <c r="O267" s="2104"/>
      <c r="P267" s="2104"/>
      <c r="Q267" s="2104"/>
      <c r="R267" s="2104"/>
      <c r="S267" s="2104"/>
      <c r="T267" s="2104"/>
      <c r="U267" s="2104"/>
      <c r="V267" s="2104"/>
      <c r="W267" s="2104"/>
      <c r="X267" s="82"/>
      <c r="Y267" s="1450"/>
      <c r="Z267" s="452"/>
      <c r="AA267" s="452"/>
      <c r="AB267" s="1610"/>
      <c r="AC267" s="1443"/>
      <c r="AD267" s="1443"/>
      <c r="AE267" s="1443"/>
      <c r="AF267" s="1443"/>
      <c r="AG267" s="1443"/>
      <c r="AH267" s="1443"/>
      <c r="AI267" s="1443"/>
      <c r="AJ267" s="1767"/>
      <c r="AK267" s="2088"/>
      <c r="AL267" s="1767"/>
      <c r="AM267" s="2088"/>
      <c r="AN267" s="1408"/>
      <c r="AO267" s="2088"/>
      <c r="AP267" s="1408"/>
      <c r="AQ267" s="2088"/>
      <c r="AR267" s="1408"/>
      <c r="AS267" s="1877"/>
      <c r="AT267" s="452"/>
      <c r="AU267" s="46"/>
      <c r="BA267" s="46"/>
      <c r="BB267" s="46"/>
    </row>
    <row r="268" spans="1:78" ht="15.75">
      <c r="A268" s="635"/>
      <c r="B268" s="1408"/>
      <c r="C268" s="1408"/>
      <c r="D268" s="1408"/>
      <c r="E268" s="1408"/>
      <c r="F268" s="1408"/>
      <c r="G268" s="1408"/>
      <c r="H268" s="1408"/>
      <c r="I268" s="1408"/>
      <c r="J268" s="1408"/>
      <c r="K268" s="1408"/>
      <c r="L268" s="1408"/>
      <c r="M268" s="1408"/>
      <c r="N268" s="1408"/>
      <c r="O268" s="2748" t="s">
        <v>2313</v>
      </c>
      <c r="P268" s="1408"/>
      <c r="Q268" s="1408"/>
      <c r="R268" s="1408"/>
      <c r="S268" s="1408"/>
      <c r="T268" s="1408"/>
      <c r="U268" s="1408"/>
      <c r="V268" s="1408"/>
      <c r="W268" s="2747" t="str">
        <f>"Instructions for Form 2210 ("&amp;TaxYear&amp;")"</f>
        <v>Instructions for Form 2210 (2018)</v>
      </c>
      <c r="X268" s="82"/>
      <c r="Y268" s="1450"/>
      <c r="Z268" s="452"/>
      <c r="AA268" s="452"/>
      <c r="AB268" s="3077" t="s">
        <v>75</v>
      </c>
      <c r="AC268" s="1443" t="s">
        <v>3614</v>
      </c>
      <c r="AD268" s="1443"/>
      <c r="AE268" s="1443"/>
      <c r="AF268" s="1443"/>
      <c r="AG268" s="1443"/>
      <c r="AH268" s="1443"/>
      <c r="AI268" s="1443"/>
      <c r="AJ268" s="1408"/>
      <c r="AK268" s="1408"/>
      <c r="AL268" s="1408"/>
      <c r="AM268" s="1408"/>
      <c r="AN268" s="1408"/>
      <c r="AO268" s="1408"/>
      <c r="AP268" s="1408"/>
      <c r="AQ268" s="1408"/>
      <c r="AR268" s="1408"/>
      <c r="AS268" s="1877"/>
      <c r="AT268" s="452"/>
      <c r="AU268" s="46"/>
      <c r="BA268" s="46"/>
      <c r="BB268" s="46"/>
    </row>
    <row r="269" spans="1:78">
      <c r="A269" s="635"/>
      <c r="B269" s="1408"/>
      <c r="C269" s="1408"/>
      <c r="D269" s="1408"/>
      <c r="E269" s="1408"/>
      <c r="F269" s="1408"/>
      <c r="G269" s="1408"/>
      <c r="H269" s="1408"/>
      <c r="I269" s="1408"/>
      <c r="J269" s="1408"/>
      <c r="K269" s="1408"/>
      <c r="L269" s="1408"/>
      <c r="M269" s="1408"/>
      <c r="N269" s="1408"/>
      <c r="O269" s="1408"/>
      <c r="P269" s="1408"/>
      <c r="Q269" s="1408"/>
      <c r="R269" s="1408"/>
      <c r="S269" s="1408"/>
      <c r="T269" s="1408"/>
      <c r="U269" s="1408"/>
      <c r="V269" s="1408"/>
      <c r="W269" s="1408"/>
      <c r="X269" s="82"/>
      <c r="Y269" s="1450"/>
      <c r="Z269" s="452"/>
      <c r="AA269" s="452"/>
      <c r="AB269" s="3077"/>
      <c r="AC269" s="1443" t="s">
        <v>3615</v>
      </c>
      <c r="AD269" s="1443"/>
      <c r="AE269" s="1443"/>
      <c r="AF269" s="1443"/>
      <c r="AG269" s="1443"/>
      <c r="AH269" s="1443"/>
      <c r="AI269" s="1443"/>
      <c r="AJ269" s="1767" t="s">
        <v>75</v>
      </c>
      <c r="AK269" s="2756" t="str">
        <f>IF(ISERROR(MAX(0,SUM(AK261,-AK266))),"",MAX(0,SUM(AK261,-AK266)))</f>
        <v/>
      </c>
      <c r="AL269" s="1408"/>
      <c r="AM269" s="2756" t="str">
        <f>IF(ISERROR(MAX(0,SUM(AM261,-AM266))),"",MAX(0,SUM(AM261,-AM266)))</f>
        <v/>
      </c>
      <c r="AN269" s="1408"/>
      <c r="AO269" s="2756" t="str">
        <f>IF(ISERROR(MAX(0,SUM(AO261,-AO266))),"",MAX(0,SUM(AO261,-AO266)))</f>
        <v/>
      </c>
      <c r="AP269" s="1408"/>
      <c r="AQ269" s="2756" t="str">
        <f>IF(ISERROR(MAX(0,SUM(AQ261,-AQ266))),"",MAX(0,SUM(AQ261,-AQ266)))</f>
        <v/>
      </c>
      <c r="AR269" s="1408"/>
      <c r="AS269" s="1877"/>
      <c r="AT269" s="452"/>
      <c r="AU269" s="46"/>
      <c r="BA269" s="46"/>
      <c r="BB269" s="46"/>
    </row>
    <row r="270" spans="1:78" ht="13.5" thickBot="1">
      <c r="A270" s="635"/>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1450"/>
      <c r="Z270" s="452"/>
      <c r="AA270" s="452"/>
      <c r="AB270" s="3077"/>
      <c r="AC270" s="1607"/>
      <c r="AD270" s="1607"/>
      <c r="AE270" s="1443"/>
      <c r="AF270" s="1443"/>
      <c r="AG270" s="1443"/>
      <c r="AH270" s="1443"/>
      <c r="AI270" s="1443"/>
      <c r="AJ270" s="1443"/>
      <c r="AK270" s="1443"/>
      <c r="AL270" s="1443"/>
      <c r="AM270" s="1443"/>
      <c r="AN270" s="1443"/>
      <c r="AO270" s="1443"/>
      <c r="AP270" s="1443"/>
      <c r="AQ270" s="1443"/>
      <c r="AR270" s="1443"/>
      <c r="AS270" s="1877"/>
      <c r="AT270" s="452"/>
      <c r="AU270" s="46"/>
      <c r="BA270" s="46"/>
      <c r="BB270" s="46"/>
    </row>
    <row r="271" spans="1:78" ht="13.5" thickTop="1">
      <c r="O271" s="2749"/>
      <c r="P271" s="2932"/>
      <c r="Q271" s="2933"/>
      <c r="R271" s="2933"/>
      <c r="S271" s="2933"/>
      <c r="T271" s="2933"/>
      <c r="U271" s="2933"/>
      <c r="V271" s="2933"/>
      <c r="W271" s="2933"/>
      <c r="X271" s="2934"/>
      <c r="Y271" s="2772"/>
      <c r="Z271" s="452"/>
      <c r="AA271" s="452"/>
      <c r="AB271" s="6921" t="s">
        <v>3616</v>
      </c>
      <c r="AC271" s="6922"/>
      <c r="AD271" s="6922"/>
      <c r="AE271" s="6922"/>
      <c r="AF271" s="6922"/>
      <c r="AG271" s="6922"/>
      <c r="AH271" s="6922"/>
      <c r="AI271" s="6922"/>
      <c r="AJ271" s="6922"/>
      <c r="AK271" s="6922"/>
      <c r="AL271" s="6922"/>
      <c r="AM271" s="6922"/>
      <c r="AN271" s="6922"/>
      <c r="AO271" s="6922"/>
      <c r="AP271" s="6922"/>
      <c r="AQ271" s="6922"/>
      <c r="AR271" s="6922"/>
      <c r="AS271" s="6923"/>
      <c r="AT271" s="452"/>
    </row>
    <row r="272" spans="1:78" ht="13.5" thickBot="1">
      <c r="O272" s="2749"/>
      <c r="P272" s="2935"/>
      <c r="Q272" s="1443"/>
      <c r="R272" s="1443"/>
      <c r="S272" s="2936" t="str">
        <f>IF($X$278,"Payments must be entered in order","")</f>
        <v/>
      </c>
      <c r="T272" s="2936"/>
      <c r="U272" s="1443"/>
      <c r="V272" s="1443"/>
      <c r="W272" s="1443"/>
      <c r="X272" s="2937"/>
      <c r="Y272" s="2772"/>
      <c r="Z272" s="452"/>
      <c r="AA272" s="452"/>
      <c r="AB272" s="6921"/>
      <c r="AC272" s="6922"/>
      <c r="AD272" s="6922"/>
      <c r="AE272" s="6922"/>
      <c r="AF272" s="6922"/>
      <c r="AG272" s="6922"/>
      <c r="AH272" s="6922"/>
      <c r="AI272" s="6922"/>
      <c r="AJ272" s="6922"/>
      <c r="AK272" s="6922"/>
      <c r="AL272" s="6922"/>
      <c r="AM272" s="6922"/>
      <c r="AN272" s="6922"/>
      <c r="AO272" s="6922"/>
      <c r="AP272" s="6922"/>
      <c r="AQ272" s="6922"/>
      <c r="AR272" s="6922"/>
      <c r="AS272" s="6923"/>
      <c r="AT272" s="452"/>
    </row>
    <row r="273" spans="6:77" ht="17.25" thickTop="1" thickBot="1">
      <c r="F273" s="6673" t="s">
        <v>2319</v>
      </c>
      <c r="G273" s="6674"/>
      <c r="H273" s="6674"/>
      <c r="I273" s="6674"/>
      <c r="J273" s="7209"/>
      <c r="K273" s="7210"/>
      <c r="O273" s="2749"/>
      <c r="P273" s="2935"/>
      <c r="Q273" s="1607"/>
      <c r="R273" s="1443"/>
      <c r="S273" s="2938"/>
      <c r="T273" s="2938" t="str">
        <f>IF(Y278&gt;0,"Entries must be made in order (by date).","Enter taxes paid and withheld here.")</f>
        <v>Enter taxes paid and withheld here.</v>
      </c>
      <c r="U273" s="1443"/>
      <c r="V273" s="1443"/>
      <c r="W273" s="1443"/>
      <c r="X273" s="2937"/>
      <c r="Y273" s="2772"/>
      <c r="Z273" s="452"/>
      <c r="AA273" s="452"/>
      <c r="AB273" s="6921"/>
      <c r="AC273" s="6922"/>
      <c r="AD273" s="6922"/>
      <c r="AE273" s="6922"/>
      <c r="AF273" s="6922"/>
      <c r="AG273" s="6922"/>
      <c r="AH273" s="6922"/>
      <c r="AI273" s="6922"/>
      <c r="AJ273" s="6922"/>
      <c r="AK273" s="6922"/>
      <c r="AL273" s="6922"/>
      <c r="AM273" s="6922"/>
      <c r="AN273" s="6922"/>
      <c r="AO273" s="6922"/>
      <c r="AP273" s="6922"/>
      <c r="AQ273" s="6922"/>
      <c r="AR273" s="6922"/>
      <c r="AS273" s="6923"/>
      <c r="AT273" s="452"/>
    </row>
    <row r="274" spans="6:77" ht="14.25" thickTop="1" thickBot="1">
      <c r="F274" s="46"/>
      <c r="G274" s="46"/>
      <c r="H274" s="46"/>
      <c r="I274" s="46"/>
      <c r="J274" s="46"/>
      <c r="K274" s="46"/>
      <c r="O274" s="2749"/>
      <c r="P274" s="2935"/>
      <c r="Q274" s="1443"/>
      <c r="R274" s="1443"/>
      <c r="S274" s="2939" t="str">
        <f>IF($X$278,"by date.","")</f>
        <v/>
      </c>
      <c r="T274" s="2939"/>
      <c r="U274" s="1443"/>
      <c r="V274" s="1443"/>
      <c r="W274" s="1443"/>
      <c r="X274" s="2937"/>
      <c r="Y274" s="2772"/>
      <c r="Z274" s="452"/>
      <c r="AA274" s="452"/>
      <c r="AB274" s="6921"/>
      <c r="AC274" s="6922"/>
      <c r="AD274" s="6922"/>
      <c r="AE274" s="6922"/>
      <c r="AF274" s="6922"/>
      <c r="AG274" s="6922"/>
      <c r="AH274" s="6922"/>
      <c r="AI274" s="6922"/>
      <c r="AJ274" s="6922"/>
      <c r="AK274" s="6922"/>
      <c r="AL274" s="6922"/>
      <c r="AM274" s="6922"/>
      <c r="AN274" s="6922"/>
      <c r="AO274" s="6922"/>
      <c r="AP274" s="6922"/>
      <c r="AQ274" s="6922"/>
      <c r="AR274" s="6922"/>
      <c r="AS274" s="6923"/>
      <c r="AT274" s="452"/>
      <c r="AU274" s="661"/>
      <c r="BA274" s="661"/>
      <c r="BB274" s="661"/>
    </row>
    <row r="275" spans="6:77" ht="14.25" thickTop="1" thickBot="1">
      <c r="F275" s="6018" t="s">
        <v>2318</v>
      </c>
      <c r="G275" s="6019"/>
      <c r="H275" s="6019"/>
      <c r="I275" s="6019"/>
      <c r="J275" s="7211"/>
      <c r="K275" s="7212"/>
      <c r="O275" s="2749"/>
      <c r="P275" s="2935"/>
      <c r="Q275" s="452"/>
      <c r="R275" s="452"/>
      <c r="S275" s="452"/>
      <c r="T275" s="452"/>
      <c r="U275" s="452"/>
      <c r="V275" s="452"/>
      <c r="W275" s="452"/>
      <c r="X275" s="2937"/>
      <c r="Y275" s="2772"/>
      <c r="Z275" s="452"/>
      <c r="AA275" s="452"/>
      <c r="AB275" s="6921"/>
      <c r="AC275" s="6922"/>
      <c r="AD275" s="6922"/>
      <c r="AE275" s="6922"/>
      <c r="AF275" s="6922"/>
      <c r="AG275" s="6922"/>
      <c r="AH275" s="6922"/>
      <c r="AI275" s="6922"/>
      <c r="AJ275" s="6922"/>
      <c r="AK275" s="6922"/>
      <c r="AL275" s="6922"/>
      <c r="AM275" s="6922"/>
      <c r="AN275" s="6922"/>
      <c r="AO275" s="6922"/>
      <c r="AP275" s="6922"/>
      <c r="AQ275" s="6922"/>
      <c r="AR275" s="6922"/>
      <c r="AS275" s="6923"/>
      <c r="AT275" s="452"/>
    </row>
    <row r="276" spans="6:77" ht="13.5" thickTop="1">
      <c r="O276" s="1616"/>
      <c r="P276" s="2935"/>
      <c r="Q276" s="452"/>
      <c r="R276" s="452"/>
      <c r="S276" s="2940" t="s">
        <v>2326</v>
      </c>
      <c r="T276" s="452"/>
      <c r="U276" s="452"/>
      <c r="V276" s="452"/>
      <c r="W276" s="2940" t="s">
        <v>2337</v>
      </c>
      <c r="X276" s="2937"/>
      <c r="Y276" s="2772"/>
      <c r="Z276" s="452"/>
      <c r="AA276" s="452"/>
      <c r="AB276" s="6921"/>
      <c r="AC276" s="6922"/>
      <c r="AD276" s="6922"/>
      <c r="AE276" s="6922"/>
      <c r="AF276" s="6922"/>
      <c r="AG276" s="6922"/>
      <c r="AH276" s="6922"/>
      <c r="AI276" s="6922"/>
      <c r="AJ276" s="6922"/>
      <c r="AK276" s="6922"/>
      <c r="AL276" s="6922"/>
      <c r="AM276" s="6922"/>
      <c r="AN276" s="6922"/>
      <c r="AO276" s="6922"/>
      <c r="AP276" s="6922"/>
      <c r="AQ276" s="6922"/>
      <c r="AR276" s="6922"/>
      <c r="AS276" s="6923"/>
      <c r="AT276" s="452"/>
    </row>
    <row r="277" spans="6:77" ht="12.75" customHeight="1" thickBot="1">
      <c r="O277" s="1616"/>
      <c r="P277" s="2935"/>
      <c r="Q277" s="2940" t="s">
        <v>2324</v>
      </c>
      <c r="R277" s="452"/>
      <c r="S277" s="2940" t="s">
        <v>2328</v>
      </c>
      <c r="T277" s="452"/>
      <c r="U277" s="2940" t="s">
        <v>2327</v>
      </c>
      <c r="V277" s="452"/>
      <c r="W277" s="2940" t="s">
        <v>2336</v>
      </c>
      <c r="X277" s="2937"/>
      <c r="Y277" s="2772"/>
      <c r="Z277" s="452"/>
      <c r="AA277" s="452"/>
      <c r="AB277" s="6921"/>
      <c r="AC277" s="6922"/>
      <c r="AD277" s="6922"/>
      <c r="AE277" s="6922"/>
      <c r="AF277" s="6922"/>
      <c r="AG277" s="6922"/>
      <c r="AH277" s="6922"/>
      <c r="AI277" s="6922"/>
      <c r="AJ277" s="6922"/>
      <c r="AK277" s="6922"/>
      <c r="AL277" s="6922"/>
      <c r="AM277" s="6922"/>
      <c r="AN277" s="6922"/>
      <c r="AO277" s="6922"/>
      <c r="AP277" s="6922"/>
      <c r="AQ277" s="6922"/>
      <c r="AR277" s="6922"/>
      <c r="AS277" s="6923"/>
      <c r="AT277" s="452"/>
      <c r="BN277" s="1625" t="s">
        <v>2851</v>
      </c>
      <c r="BO277" s="1625" t="s">
        <v>2852</v>
      </c>
      <c r="BP277" s="1625" t="s">
        <v>2853</v>
      </c>
      <c r="BQ277" s="1625" t="s">
        <v>2854</v>
      </c>
      <c r="BR277" s="1625" t="s">
        <v>2855</v>
      </c>
      <c r="BS277" s="1625" t="s">
        <v>2856</v>
      </c>
      <c r="BT277" s="1625" t="s">
        <v>2857</v>
      </c>
      <c r="BU277" s="1625" t="s">
        <v>2858</v>
      </c>
      <c r="BV277" s="1625" t="s">
        <v>2859</v>
      </c>
      <c r="BW277" s="1625" t="s">
        <v>2860</v>
      </c>
      <c r="BX277" s="1625" t="s">
        <v>2861</v>
      </c>
      <c r="BY277" s="1625" t="s">
        <v>2862</v>
      </c>
    </row>
    <row r="278" spans="6:77">
      <c r="O278" s="1588">
        <f t="shared" ref="O278:O309" si="0">ROW(Q278)</f>
        <v>278</v>
      </c>
      <c r="P278" s="2935"/>
      <c r="Q278" s="2786"/>
      <c r="R278" s="452"/>
      <c r="S278" s="2783"/>
      <c r="T278" s="452"/>
      <c r="U278" s="2789" t="str">
        <f>IF(S278&lt;&gt;"",S278,"")</f>
        <v/>
      </c>
      <c r="V278" s="452"/>
      <c r="W278" s="2780" t="str">
        <f t="shared" ref="W278:W309" si="1">IF(S278="","",IF(AND(Q278&lt;$P$216,Q279&gt;=$P$216),SUM($P$118,-U278),IF(AND(Q278&lt;$R$216,Q279&gt;=$R$216),SUM($P$118,$R$118,-U278),IF(AND(Q278&lt;$T$216,Q279&gt;=$T$216),SUM($P$118,$R$118,$T$118,-U278),IF(AND(Q278&lt;$V$216,Q279&gt;=$V$216),SUM($P$118,$R$118,$T$118,$V$118,-U278),0)))))</f>
        <v/>
      </c>
      <c r="X278" s="2937"/>
      <c r="Y278" s="2772">
        <f>SUM(Y279:Y332)</f>
        <v>0</v>
      </c>
      <c r="Z278" s="452"/>
      <c r="AA278" s="452"/>
      <c r="AB278" s="6921"/>
      <c r="AC278" s="6922"/>
      <c r="AD278" s="6922"/>
      <c r="AE278" s="6922"/>
      <c r="AF278" s="6922"/>
      <c r="AG278" s="6922"/>
      <c r="AH278" s="6922"/>
      <c r="AI278" s="6922"/>
      <c r="AJ278" s="6922"/>
      <c r="AK278" s="6922"/>
      <c r="AL278" s="6922"/>
      <c r="AM278" s="6922"/>
      <c r="AN278" s="6922"/>
      <c r="AO278" s="6922"/>
      <c r="AP278" s="6922"/>
      <c r="AQ278" s="6922"/>
      <c r="AR278" s="6922"/>
      <c r="AS278" s="6923"/>
      <c r="AT278" s="452"/>
      <c r="BN278" s="3479">
        <f>IF(OR($Q278&lt;$P$225,$Q278&gt;$K$226),0,MIN($P$217,$S278)*SUM(MIN($Q278,$K$226),-$P$225)/$I$233*$L$232)</f>
        <v>0</v>
      </c>
      <c r="BO278" s="3479">
        <f>IF(OR($Q278&lt;$P$235,$Q278&gt;$K$236),0,MIN($P$217,$S278)*SUM(MIN($Q278,$K$236),-$P$235)/$I$243*$L$242)</f>
        <v>0</v>
      </c>
      <c r="BP278" s="3479">
        <f>IF(OR($Q278&lt;$P$245,$Q278&gt;$K$246),0,MIN($P$217,$S278)*SUM(MIN($Q278,$K$246),-$P$245)/$I$253*$L$252)</f>
        <v>0</v>
      </c>
      <c r="BQ278" s="3479">
        <f>IF(OR($Q278&lt;$P$255,$Q278&gt;$K$256),0,MIN($P$217,$S278)*SUM(MIN($Q278,$K$256),-$P$255)/$I$263*$L$262)</f>
        <v>0</v>
      </c>
      <c r="BR278" s="3479">
        <f>IF(OR($Q278&lt;$R$225,$Q278&gt;$K$226),0,IF($U278&gt;$P$217,MIN(SUM($U278,-$P$217),$S278,$R$217)*SUM(MIN($Q278,$K$226),-$R$225)/$I$233*$L$232,MIN(SUM($P$217,$R$217),$S278)*SUM(MIN($Q278,$K$226),-$R$225)/$I$233*$L$232))</f>
        <v>0</v>
      </c>
      <c r="BS278" s="3479">
        <f>IF(OR($Q278&lt;$R$235,$Q278&gt;$K$236),0,IF($U278&gt;$P$217,MIN(SUM($U278,-$P$217),$S278,$R$217)*SUM(MIN($Q278,$K$236),-$R$235)/$I$243*$L$242,MIN(SUM($P$217,$R$217),$S278)*SUM(MIN($Q278,$K$236),-$R$235)/$I$243*$L$242))</f>
        <v>0</v>
      </c>
      <c r="BT278" s="3479">
        <f>IF(OR($Q278&lt;$R$245,$Q278&gt;$K$246),0,IF($U278&gt;$P$217,MIN(SUM($U278,-$P$217),$S278,$R$217)*SUM(MIN($Q278,$K$246),-$R$245)/$I$253*$L$252,MIN(SUM($P$217,$R$217),$S278)*SUM(MIN($Q278,$K$246),-$R$245)/$I$253*$L$252))</f>
        <v>0</v>
      </c>
      <c r="BU278" s="3479">
        <f>IF(OR($Q278&lt;$R$255,$Q278&gt;$K$256),0,IF($U278&gt;$P$217,MIN(SUM($U278,-$P$217),$S278,$R$217)*SUM(MIN($Q278,$K$256),-$R$255)/$I$263*$L$262,MIN(SUM($P$217,$R$217),$S278)*SUM(MIN($Q278,$K$256),-$R$255)/$I$263*$L$262))</f>
        <v>0</v>
      </c>
      <c r="BV278" s="3479">
        <f>IF(OR($Q278&lt;$T$235,$Q278&gt;$K$236),0,IF($U278&gt;SUM($P$217,$R$217),MIN(SUM($U278,-$P$217,-$R$217),$S278)*SUM(MIN($Q278,$K$236),-$T$235)/$I$243*$L$242,MIN(SUM($P$217,$R$217,$T$217),$S278)*SUM(MIN($Q278,$K$236),-$T$235)/$I$243*$L$242))</f>
        <v>0</v>
      </c>
      <c r="BW278" s="3479">
        <f xml:space="preserve"> IF(OR($Q278&lt;$T$245,$Q278&gt;$K$246),0,IF($U278&gt;SUM($P$217,$R$217),MIN(SUM($U278,-$P$217,-$R$217),$S278)*SUM(MIN($Q278,$K$246),-$T$245)/$I$253*$L$252,MIN(SUM($P$217,$R$217,$T$217),$S278)*SUM(MIN($Q278,$K$246),-$T$245)/$I$253*$L$252))</f>
        <v>0</v>
      </c>
      <c r="BX278" s="3479">
        <f xml:space="preserve"> IF(OR($Q278&lt;$T$255,$Q278&gt;$K$256),0,IF($U278&gt;SUM($P$217,$R$217),MIN(SUM($U278,-$P$217,-$R$217),$S278,$T$217)*SUM(MIN($Q278,$K$256),-$T$255)/$I$263*$L$262,MIN(SUM($P$217,$R$217,$T$217,-$U278),$S278)*SUM(MIN($Q278,$K$256),-$T$255)/$I$263*$L$262))</f>
        <v>0</v>
      </c>
      <c r="BY278" s="3479">
        <f xml:space="preserve"> IF(OR($Q278&lt;$V$255,$Q278&gt;$K$256),0,IF($U278&gt;SUM($P$217,$R$217,$T$217),MIN(SUM($U278,-$P$217,-$R$217,-$T$217),$S278,$R$217)*SUM(MIN($Q278,$K$256),-$V$255)/$I$263*$L$262,MIN(SUM($P$217,$R$217,$T$217,$V$217),$S278)*SUM(MIN($Q278,$K$256),-$V$255)/$I$263*$L$262))</f>
        <v>0</v>
      </c>
    </row>
    <row r="279" spans="6:77" ht="26.25" customHeight="1">
      <c r="O279" s="1588">
        <f t="shared" si="0"/>
        <v>279</v>
      </c>
      <c r="P279" s="2935"/>
      <c r="Q279" s="2787"/>
      <c r="R279" s="452"/>
      <c r="S279" s="2784"/>
      <c r="T279" s="452"/>
      <c r="U279" s="2790" t="str">
        <f>IF(S279&lt;&gt;"",U278+S279,"")</f>
        <v/>
      </c>
      <c r="V279" s="452"/>
      <c r="W279" s="2781" t="str">
        <f t="shared" si="1"/>
        <v/>
      </c>
      <c r="X279" s="2937"/>
      <c r="Y279" s="2772">
        <f t="shared" ref="Y279:Y310" si="2">IF(OR(Q279="",Q279&gt;Q278),0,1)</f>
        <v>0</v>
      </c>
      <c r="Z279" s="452"/>
      <c r="AA279" s="452"/>
      <c r="AB279" s="6921"/>
      <c r="AC279" s="6922"/>
      <c r="AD279" s="6922"/>
      <c r="AE279" s="6922"/>
      <c r="AF279" s="6922"/>
      <c r="AG279" s="6922"/>
      <c r="AH279" s="6922"/>
      <c r="AI279" s="6922"/>
      <c r="AJ279" s="6922"/>
      <c r="AK279" s="6922"/>
      <c r="AL279" s="6922"/>
      <c r="AM279" s="6922"/>
      <c r="AN279" s="6922"/>
      <c r="AO279" s="6922"/>
      <c r="AP279" s="6922"/>
      <c r="AQ279" s="6922"/>
      <c r="AR279" s="6922"/>
      <c r="AS279" s="6923"/>
      <c r="AT279" s="452"/>
      <c r="BN279" s="3479">
        <f t="shared" ref="BN279:BN310" si="3">IF(OR($Q279&lt;$P$225,$Q279&gt;$K$226),0,IF($U278&gt;$P$217,0,IF(SUM($P$217,-$U278)&lt;0,0,MIN(SUM($P$217,-$U278),$S279)*SUM(MIN($Q279,$K$226),-$P$225)/$I$233*$L$232)))</f>
        <v>0</v>
      </c>
      <c r="BO279" s="3479">
        <f t="shared" ref="BO279:BO310" si="4">IF(OR($Q279&lt;$P$235,$Q279&gt;$K$236),0,IF($U278&gt;$P$217,0,IF(SUM($P$217,-$U278)&lt;0,0,MIN(SUM($P$217,-$U278),$S279)*SUM(MIN($Q279,$K$236),-$P$235)/$I$243*$L$242)))</f>
        <v>0</v>
      </c>
      <c r="BP279" s="3479">
        <f t="shared" ref="BP279:BP310" si="5">IF(OR($Q279&lt;$P$245,$Q279&gt;$K$246),0,IF($U278&gt;$P$217,0,IF(SUM($P$217,-$U278)&lt;0,0,MIN(SUM($P$217,-$U278),$S279)*SUM(MIN($Q279,$K$246),-$P$245)/$I$253*$L$252)))</f>
        <v>0</v>
      </c>
      <c r="BQ279" s="3479">
        <f t="shared" ref="BQ279:BQ310" si="6">IF(OR($Q279&lt;$P$255,$Q279&gt;$K$256),0,IF($U278&gt;$P$217,0,IF(SUM($P$217,-$U278)&lt;0,0,MIN(SUM($P$217,-$U278),$S279)*SUM(MIN($Q279,$K$256),-$P$255)/$I$263*$L$262)))</f>
        <v>0</v>
      </c>
      <c r="BR279" s="3479">
        <f t="shared" ref="BR279:BR310" si="7">IF($U278&gt;=SUM($P$217,$R$217),0,IF(OR($Q279&lt;$R$225,$Q279&gt;$K$226),0,IF(AND($U278&lt;$P$217,$U279&gt;$P$217),MIN(SUM($U279,-$P$217),$S279)*SUM(MIN($Q279,$K$226),-$R$225)/$I$233*$L$232,IF($U278&lt;$P$217,0,IF(SUM($P$217,$R$217,-$U278)&lt;0,0,MIN(SUM($P$217,$R$217,-$U278),$S279)*SUM(MIN($Q279,$K$226),-$R$225)/$I$233*$L$232)))))</f>
        <v>0</v>
      </c>
      <c r="BS279" s="3479">
        <f t="shared" ref="BS279:BS310" si="8">IF($U278&gt;=SUM($P$217,$R$217),0,IF(OR($Q279&lt;$R$235,$Q279&gt;$K$236),0,IF(AND($U278&lt;$P$217,$U279&gt;$P$217),MIN(SUM($U279,-$P$217),$S279)*SUM(MIN($Q279,$K$236),-$R$235)/$I$243*$L$242,IF($U278&lt;$P$217,0,MIN(SUM($P$217,$R$217,-$U278),$S279)*SUM(MIN($Q279,$K$236),-$R$235)/$I$243*$L$242))))</f>
        <v>0</v>
      </c>
      <c r="BT279" s="3479">
        <f t="shared" ref="BT279:BT310" si="9">IF($U278&gt;=SUM($P$217,$R$217),0,IF(OR($Q279&lt;$R$245,$Q279&gt;$K$246),0,IF(AND($U278&lt;$P$217,$U279&gt;$P$217),MIN(SUM($U279,-$P$217),$S279)*SUM(MIN($Q279,$K$246),-$R$245)/$I$253*$L$252,IF($U278&lt;$P$217,0,IF(SUM($P$217,$R$217,-$U278)&lt;0,0,MIN(SUM($P$217,$R$217,-$U278),$S279)*SUM(MIN($Q279,$K$246),-$R$245)/$I$253*$L$252)))))</f>
        <v>0</v>
      </c>
      <c r="BU279" s="3479">
        <f t="shared" ref="BU279:BU310" si="10">IF($U278&gt;=SUM($P$217,$R$217),0,IF(OR($Q279&lt;$R$255,$Q279&gt;$K$256),0,IF(AND($U278&lt;$P$217,$U279&gt;$P$217),MIN(SUM($U279,-$P$217),$S279)*SUM(MIN($Q279,$K$256),-$R$255)/$I$263*$L$262,IF($U278&lt;$P$217,0,IF(SUM($P$217,$R$217,-$U278)&lt;0,0,MIN(SUM($P$217,$R$217,-$U278),$S279)*SUM(MIN($Q279,$K$256),-$R$255)/$I$263*$L$262)))))</f>
        <v>0</v>
      </c>
      <c r="BV279" s="3479">
        <f t="shared" ref="BV279:BV310" si="11">IF($U278&gt;=SUM($P$217,$R$217,$T$217),0,IF(OR($Q279&lt;$T$235,$Q279&gt;$K$236),0,IF(AND($U278&lt;SUM($P$217,$R$217),$U279&gt;SUM($P$217,$R$217)),MIN(SUM($U279,-$P$217,-$R$217),$S279)*SUM(MIN($Q279,$K$236),-$T$235)/$I$243*$L$242,IF($U278&lt;SUM($P$217,$R$217),0,IF(SUM($P$217,$R$217,$T$217,-$U278)&lt;0,0,MIN(SUM($P$217,$R$217,$T$217,-$U278),$S279)*SUM(MIN($Q279,$K$236),-$T$235)/$I$243*$L$242)))))</f>
        <v>0</v>
      </c>
      <c r="BW279" s="3479">
        <f t="shared" ref="BW279:BW310" si="12">IF($U278&gt;=SUM($P$217,$R$217,$T$217),0,IF(OR($Q279&lt;$T$245,$Q279&gt;$K$246),0,IF(AND($U278&lt;SUM($P$217,$R$217),$U279&gt;SUM($P$217,$R$217)),MIN(SUM($U279,-$P$217,-$R$217),$S279)*SUM(MIN($Q279,$K$246),-$T$245)/$I$253*$L$252,IF($U278&lt;SUM($P$217,$R$217),0,IF(SUM($P$217,$R$217,$T$217,-$U278)&lt;0,0,MIN(SUM($P$217,$R$217,$T$217,-$U278),$S279)*SUM(MIN($Q279,$K$246),-$T$245)/$I$253*$L$252)))))</f>
        <v>0</v>
      </c>
      <c r="BX279" s="3479">
        <f t="shared" ref="BX279:BX310" si="13">IF($U278&gt;=SUM($P$217,$R$217,$T$217),0,IF(OR($Q279&lt;$T$255,$Q279&gt;$K$256),0,IF(AND($U278&lt;SUM($P$217,$R$217),$U279&gt;SUM($P$217,$R$217)),MIN(SUM($U279,-$P$217,-$R$217),$S279)*SUM(MIN($Q279,$K$256),-$T$255)/$I$263*$L$262,IF($U278&lt;SUM($P$217,$R$217),0,IF(SUM($P$217,$R$217,$T$217,-$U279)&lt;0,0,MIN(SUM($P$217,$R$217,$T$217,-$U279),$S279)*SUM(MIN($Q279,$K$256),-$T$255)/$I$263*$L$262)))))</f>
        <v>0</v>
      </c>
      <c r="BY279" s="3479">
        <f t="shared" ref="BY279:BY310" si="14">IF($U278&gt;=SUM($P$217,$R$217,$T$217,$V$217),0,IF(OR($Q279&lt;$V$255,$Q279&gt;$K$256),0,IF(AND($U278&lt;SUM($P$217,$R$217,$T$217),$U279&gt;SUM($P$217,$R$217,$T$217)),MIN(SUM($U279,-$P$217,-$R$217,-$T$217),$S279)*SUM(MIN($Q279,$K$256),-$V$255)/$I$263*$L$262,IF($U278&lt;SUM($P$217,$R$217,$T$217),0,IF(SUM($P$217,$R$217,$T$217,$V$217,-$U278)&lt;0,0,MIN(SUM($P$217,$R$217,$T$217,$V$217,-$U278),$S279)*SUM(MIN($Q279,$K$256),-$V$255)/$I$263*$L$262)))))</f>
        <v>0</v>
      </c>
    </row>
    <row r="280" spans="6:77">
      <c r="O280" s="1588">
        <f t="shared" si="0"/>
        <v>280</v>
      </c>
      <c r="P280" s="2935"/>
      <c r="Q280" s="2787"/>
      <c r="R280" s="452"/>
      <c r="S280" s="2784"/>
      <c r="T280" s="452"/>
      <c r="U280" s="2790" t="str">
        <f t="shared" ref="U280:U332" si="15">IF(S280&lt;&gt;"",U279+S280,"")</f>
        <v/>
      </c>
      <c r="V280" s="452"/>
      <c r="W280" s="2781" t="str">
        <f t="shared" si="1"/>
        <v/>
      </c>
      <c r="X280" s="2937"/>
      <c r="Y280" s="2772">
        <f t="shared" si="2"/>
        <v>0</v>
      </c>
      <c r="Z280" s="452"/>
      <c r="AA280" s="452"/>
      <c r="AB280" s="6921"/>
      <c r="AC280" s="6922"/>
      <c r="AD280" s="6922"/>
      <c r="AE280" s="6922"/>
      <c r="AF280" s="6922"/>
      <c r="AG280" s="6922"/>
      <c r="AH280" s="6922"/>
      <c r="AI280" s="6922"/>
      <c r="AJ280" s="6922"/>
      <c r="AK280" s="6922"/>
      <c r="AL280" s="6922"/>
      <c r="AM280" s="6922"/>
      <c r="AN280" s="6922"/>
      <c r="AO280" s="6922"/>
      <c r="AP280" s="6922"/>
      <c r="AQ280" s="6922"/>
      <c r="AR280" s="6922"/>
      <c r="AS280" s="6923"/>
      <c r="AT280" s="452"/>
      <c r="BN280" s="3479">
        <f t="shared" si="3"/>
        <v>0</v>
      </c>
      <c r="BO280" s="3479">
        <f t="shared" si="4"/>
        <v>0</v>
      </c>
      <c r="BP280" s="3479">
        <f t="shared" si="5"/>
        <v>0</v>
      </c>
      <c r="BQ280" s="3479">
        <f t="shared" si="6"/>
        <v>0</v>
      </c>
      <c r="BR280" s="3479">
        <f t="shared" si="7"/>
        <v>0</v>
      </c>
      <c r="BS280" s="3479">
        <f t="shared" si="8"/>
        <v>0</v>
      </c>
      <c r="BT280" s="3479">
        <f t="shared" si="9"/>
        <v>0</v>
      </c>
      <c r="BU280" s="3479">
        <f t="shared" si="10"/>
        <v>0</v>
      </c>
      <c r="BV280" s="3479">
        <f t="shared" si="11"/>
        <v>0</v>
      </c>
      <c r="BW280" s="3479">
        <f t="shared" si="12"/>
        <v>0</v>
      </c>
      <c r="BX280" s="3479">
        <f t="shared" si="13"/>
        <v>0</v>
      </c>
      <c r="BY280" s="3479">
        <f t="shared" si="14"/>
        <v>0</v>
      </c>
    </row>
    <row r="281" spans="6:77">
      <c r="O281" s="1588">
        <f t="shared" si="0"/>
        <v>281</v>
      </c>
      <c r="P281" s="2935"/>
      <c r="Q281" s="2787"/>
      <c r="R281" s="452"/>
      <c r="S281" s="2784"/>
      <c r="T281" s="452"/>
      <c r="U281" s="2790" t="str">
        <f t="shared" si="15"/>
        <v/>
      </c>
      <c r="V281" s="452"/>
      <c r="W281" s="2781" t="str">
        <f t="shared" si="1"/>
        <v/>
      </c>
      <c r="X281" s="2937"/>
      <c r="Y281" s="2772">
        <f t="shared" si="2"/>
        <v>0</v>
      </c>
      <c r="Z281" s="452"/>
      <c r="AA281" s="452"/>
      <c r="AB281" s="6921"/>
      <c r="AC281" s="6922"/>
      <c r="AD281" s="6922"/>
      <c r="AE281" s="6922"/>
      <c r="AF281" s="6922"/>
      <c r="AG281" s="6922"/>
      <c r="AH281" s="6922"/>
      <c r="AI281" s="6922"/>
      <c r="AJ281" s="6922"/>
      <c r="AK281" s="6922"/>
      <c r="AL281" s="6922"/>
      <c r="AM281" s="6922"/>
      <c r="AN281" s="6922"/>
      <c r="AO281" s="6922"/>
      <c r="AP281" s="6922"/>
      <c r="AQ281" s="6922"/>
      <c r="AR281" s="6922"/>
      <c r="AS281" s="6923"/>
      <c r="AT281" s="452"/>
      <c r="BN281" s="3479">
        <f t="shared" si="3"/>
        <v>0</v>
      </c>
      <c r="BO281" s="3479">
        <f t="shared" si="4"/>
        <v>0</v>
      </c>
      <c r="BP281" s="3479">
        <f t="shared" si="5"/>
        <v>0</v>
      </c>
      <c r="BQ281" s="3479">
        <f t="shared" si="6"/>
        <v>0</v>
      </c>
      <c r="BR281" s="3479">
        <f t="shared" si="7"/>
        <v>0</v>
      </c>
      <c r="BS281" s="3479">
        <f t="shared" si="8"/>
        <v>0</v>
      </c>
      <c r="BT281" s="3479">
        <f t="shared" si="9"/>
        <v>0</v>
      </c>
      <c r="BU281" s="3479">
        <f t="shared" si="10"/>
        <v>0</v>
      </c>
      <c r="BV281" s="3479">
        <f t="shared" si="11"/>
        <v>0</v>
      </c>
      <c r="BW281" s="3479">
        <f t="shared" si="12"/>
        <v>0</v>
      </c>
      <c r="BX281" s="3479">
        <f t="shared" si="13"/>
        <v>0</v>
      </c>
      <c r="BY281" s="3479">
        <f t="shared" si="14"/>
        <v>0</v>
      </c>
    </row>
    <row r="282" spans="6:77">
      <c r="O282" s="1588">
        <f t="shared" si="0"/>
        <v>282</v>
      </c>
      <c r="P282" s="2935"/>
      <c r="Q282" s="2787"/>
      <c r="R282" s="452"/>
      <c r="S282" s="2784"/>
      <c r="T282" s="452"/>
      <c r="U282" s="2790" t="str">
        <f t="shared" si="15"/>
        <v/>
      </c>
      <c r="V282" s="452"/>
      <c r="W282" s="2781" t="str">
        <f t="shared" si="1"/>
        <v/>
      </c>
      <c r="X282" s="2937"/>
      <c r="Y282" s="2772">
        <f t="shared" si="2"/>
        <v>0</v>
      </c>
      <c r="Z282" s="452"/>
      <c r="AA282" s="452"/>
      <c r="AB282" s="6921"/>
      <c r="AC282" s="6922"/>
      <c r="AD282" s="6922"/>
      <c r="AE282" s="6922"/>
      <c r="AF282" s="6922"/>
      <c r="AG282" s="6922"/>
      <c r="AH282" s="6922"/>
      <c r="AI282" s="6922"/>
      <c r="AJ282" s="6922"/>
      <c r="AK282" s="6922"/>
      <c r="AL282" s="6922"/>
      <c r="AM282" s="6922"/>
      <c r="AN282" s="6922"/>
      <c r="AO282" s="6922"/>
      <c r="AP282" s="6922"/>
      <c r="AQ282" s="6922"/>
      <c r="AR282" s="6922"/>
      <c r="AS282" s="6923"/>
      <c r="AT282" s="452"/>
      <c r="BN282" s="3479">
        <f t="shared" si="3"/>
        <v>0</v>
      </c>
      <c r="BO282" s="3479">
        <f t="shared" si="4"/>
        <v>0</v>
      </c>
      <c r="BP282" s="3479">
        <f t="shared" si="5"/>
        <v>0</v>
      </c>
      <c r="BQ282" s="3479">
        <f t="shared" si="6"/>
        <v>0</v>
      </c>
      <c r="BR282" s="3479">
        <f t="shared" si="7"/>
        <v>0</v>
      </c>
      <c r="BS282" s="3479">
        <f t="shared" si="8"/>
        <v>0</v>
      </c>
      <c r="BT282" s="3479">
        <f t="shared" si="9"/>
        <v>0</v>
      </c>
      <c r="BU282" s="3479">
        <f t="shared" si="10"/>
        <v>0</v>
      </c>
      <c r="BV282" s="3479">
        <f t="shared" si="11"/>
        <v>0</v>
      </c>
      <c r="BW282" s="3479">
        <f t="shared" si="12"/>
        <v>0</v>
      </c>
      <c r="BX282" s="3479">
        <f t="shared" si="13"/>
        <v>0</v>
      </c>
      <c r="BY282" s="3479">
        <f t="shared" si="14"/>
        <v>0</v>
      </c>
    </row>
    <row r="283" spans="6:77">
      <c r="O283" s="1588">
        <f t="shared" si="0"/>
        <v>283</v>
      </c>
      <c r="P283" s="2935"/>
      <c r="Q283" s="2787"/>
      <c r="R283" s="452"/>
      <c r="S283" s="2784"/>
      <c r="T283" s="452"/>
      <c r="U283" s="2790" t="str">
        <f t="shared" si="15"/>
        <v/>
      </c>
      <c r="V283" s="452"/>
      <c r="W283" s="2781" t="str">
        <f t="shared" si="1"/>
        <v/>
      </c>
      <c r="X283" s="2937"/>
      <c r="Y283" s="2772">
        <f t="shared" si="2"/>
        <v>0</v>
      </c>
      <c r="Z283" s="452"/>
      <c r="AA283" s="452"/>
      <c r="AB283" s="4245" t="s">
        <v>3617</v>
      </c>
      <c r="AC283" s="4243"/>
      <c r="AD283" s="4243"/>
      <c r="AE283" s="4243"/>
      <c r="AF283" s="4243"/>
      <c r="AG283" s="4243"/>
      <c r="AH283" s="4243"/>
      <c r="AI283" s="4243"/>
      <c r="AJ283" s="4243"/>
      <c r="AK283" s="4243"/>
      <c r="AL283" s="4243"/>
      <c r="AM283" s="4243"/>
      <c r="AN283" s="4243"/>
      <c r="AO283" s="4243"/>
      <c r="AP283" s="4243"/>
      <c r="AQ283" s="4243"/>
      <c r="AR283" s="4243"/>
      <c r="AS283" s="4244"/>
      <c r="AT283" s="452"/>
      <c r="BN283" s="3479">
        <f t="shared" si="3"/>
        <v>0</v>
      </c>
      <c r="BO283" s="3479">
        <f t="shared" si="4"/>
        <v>0</v>
      </c>
      <c r="BP283" s="3479">
        <f t="shared" si="5"/>
        <v>0</v>
      </c>
      <c r="BQ283" s="3479">
        <f t="shared" si="6"/>
        <v>0</v>
      </c>
      <c r="BR283" s="3479">
        <f t="shared" si="7"/>
        <v>0</v>
      </c>
      <c r="BS283" s="3479">
        <f t="shared" si="8"/>
        <v>0</v>
      </c>
      <c r="BT283" s="3479">
        <f t="shared" si="9"/>
        <v>0</v>
      </c>
      <c r="BU283" s="3479">
        <f t="shared" si="10"/>
        <v>0</v>
      </c>
      <c r="BV283" s="3479">
        <f t="shared" si="11"/>
        <v>0</v>
      </c>
      <c r="BW283" s="3479">
        <f t="shared" si="12"/>
        <v>0</v>
      </c>
      <c r="BX283" s="3479">
        <f t="shared" si="13"/>
        <v>0</v>
      </c>
      <c r="BY283" s="3479">
        <f t="shared" si="14"/>
        <v>0</v>
      </c>
    </row>
    <row r="284" spans="6:77" ht="13.5" thickBot="1">
      <c r="O284" s="1588">
        <f t="shared" si="0"/>
        <v>284</v>
      </c>
      <c r="P284" s="2935"/>
      <c r="Q284" s="2787"/>
      <c r="R284" s="452"/>
      <c r="S284" s="2784"/>
      <c r="T284" s="452"/>
      <c r="U284" s="2790" t="str">
        <f t="shared" si="15"/>
        <v/>
      </c>
      <c r="V284" s="452"/>
      <c r="W284" s="2781" t="str">
        <f t="shared" si="1"/>
        <v/>
      </c>
      <c r="X284" s="2937"/>
      <c r="Y284" s="2772">
        <f t="shared" si="2"/>
        <v>0</v>
      </c>
      <c r="Z284" s="452"/>
      <c r="AA284" s="452"/>
      <c r="AB284" s="4246"/>
      <c r="AC284" s="2123"/>
      <c r="AD284" s="2123"/>
      <c r="AE284" s="1612"/>
      <c r="AF284" s="1612"/>
      <c r="AG284" s="1612"/>
      <c r="AH284" s="1612"/>
      <c r="AI284" s="1612"/>
      <c r="AJ284" s="1612"/>
      <c r="AK284" s="1612"/>
      <c r="AL284" s="1612"/>
      <c r="AM284" s="1612"/>
      <c r="AN284" s="1612"/>
      <c r="AO284" s="1612"/>
      <c r="AP284" s="1612"/>
      <c r="AQ284" s="1612"/>
      <c r="AR284" s="1612"/>
      <c r="AS284" s="1883"/>
      <c r="AT284" s="452"/>
      <c r="BN284" s="3479">
        <f t="shared" si="3"/>
        <v>0</v>
      </c>
      <c r="BO284" s="3479">
        <f t="shared" si="4"/>
        <v>0</v>
      </c>
      <c r="BP284" s="3479">
        <f t="shared" si="5"/>
        <v>0</v>
      </c>
      <c r="BQ284" s="3479">
        <f t="shared" si="6"/>
        <v>0</v>
      </c>
      <c r="BR284" s="3479">
        <f t="shared" si="7"/>
        <v>0</v>
      </c>
      <c r="BS284" s="3479">
        <f t="shared" si="8"/>
        <v>0</v>
      </c>
      <c r="BT284" s="3479">
        <f t="shared" si="9"/>
        <v>0</v>
      </c>
      <c r="BU284" s="3479">
        <f t="shared" si="10"/>
        <v>0</v>
      </c>
      <c r="BV284" s="3479">
        <f t="shared" si="11"/>
        <v>0</v>
      </c>
      <c r="BW284" s="3479">
        <f t="shared" si="12"/>
        <v>0</v>
      </c>
      <c r="BX284" s="3479">
        <f t="shared" si="13"/>
        <v>0</v>
      </c>
      <c r="BY284" s="3479">
        <f t="shared" si="14"/>
        <v>0</v>
      </c>
    </row>
    <row r="285" spans="6:77">
      <c r="O285" s="1588">
        <f t="shared" si="0"/>
        <v>285</v>
      </c>
      <c r="P285" s="2935"/>
      <c r="Q285" s="2787"/>
      <c r="R285" s="452"/>
      <c r="S285" s="2784"/>
      <c r="T285" s="452"/>
      <c r="U285" s="2790" t="str">
        <f t="shared" si="15"/>
        <v/>
      </c>
      <c r="V285" s="452"/>
      <c r="W285" s="2781" t="str">
        <f t="shared" si="1"/>
        <v/>
      </c>
      <c r="X285" s="2937"/>
      <c r="Y285" s="2772">
        <f t="shared" si="2"/>
        <v>0</v>
      </c>
      <c r="Z285" s="452"/>
      <c r="AA285" s="452"/>
      <c r="AB285" s="452"/>
      <c r="AC285" s="452"/>
      <c r="AD285" s="452"/>
      <c r="AE285" s="452"/>
      <c r="AF285" s="452"/>
      <c r="AG285" s="452"/>
      <c r="AH285" s="452"/>
      <c r="AI285" s="452"/>
      <c r="AJ285" s="452"/>
      <c r="AK285" s="452"/>
      <c r="AL285" s="452"/>
      <c r="AM285" s="452"/>
      <c r="AN285" s="452"/>
      <c r="AO285" s="452"/>
      <c r="AP285" s="452"/>
      <c r="AQ285" s="452"/>
      <c r="AR285" s="452"/>
      <c r="AS285" s="452"/>
      <c r="AT285" s="452"/>
      <c r="BN285" s="3479">
        <f t="shared" si="3"/>
        <v>0</v>
      </c>
      <c r="BO285" s="3479">
        <f t="shared" si="4"/>
        <v>0</v>
      </c>
      <c r="BP285" s="3479">
        <f t="shared" si="5"/>
        <v>0</v>
      </c>
      <c r="BQ285" s="3479">
        <f t="shared" si="6"/>
        <v>0</v>
      </c>
      <c r="BR285" s="3479">
        <f t="shared" si="7"/>
        <v>0</v>
      </c>
      <c r="BS285" s="3479">
        <f t="shared" si="8"/>
        <v>0</v>
      </c>
      <c r="BT285" s="3479">
        <f t="shared" si="9"/>
        <v>0</v>
      </c>
      <c r="BU285" s="3479">
        <f t="shared" si="10"/>
        <v>0</v>
      </c>
      <c r="BV285" s="3479">
        <f t="shared" si="11"/>
        <v>0</v>
      </c>
      <c r="BW285" s="3479">
        <f t="shared" si="12"/>
        <v>0</v>
      </c>
      <c r="BX285" s="3479">
        <f t="shared" si="13"/>
        <v>0</v>
      </c>
      <c r="BY285" s="3479">
        <f t="shared" si="14"/>
        <v>0</v>
      </c>
    </row>
    <row r="286" spans="6:77">
      <c r="O286" s="1588">
        <f t="shared" si="0"/>
        <v>286</v>
      </c>
      <c r="P286" s="2935"/>
      <c r="Q286" s="2787"/>
      <c r="R286" s="452"/>
      <c r="S286" s="2784"/>
      <c r="T286" s="452"/>
      <c r="U286" s="2790" t="str">
        <f t="shared" si="15"/>
        <v/>
      </c>
      <c r="V286" s="452"/>
      <c r="W286" s="2781" t="str">
        <f t="shared" si="1"/>
        <v/>
      </c>
      <c r="X286" s="2937"/>
      <c r="Y286" s="2772">
        <f t="shared" si="2"/>
        <v>0</v>
      </c>
      <c r="BN286" s="3479">
        <f t="shared" si="3"/>
        <v>0</v>
      </c>
      <c r="BO286" s="3479">
        <f t="shared" si="4"/>
        <v>0</v>
      </c>
      <c r="BP286" s="3479">
        <f t="shared" si="5"/>
        <v>0</v>
      </c>
      <c r="BQ286" s="3479">
        <f t="shared" si="6"/>
        <v>0</v>
      </c>
      <c r="BR286" s="3479">
        <f t="shared" si="7"/>
        <v>0</v>
      </c>
      <c r="BS286" s="3479">
        <f t="shared" si="8"/>
        <v>0</v>
      </c>
      <c r="BT286" s="3479">
        <f t="shared" si="9"/>
        <v>0</v>
      </c>
      <c r="BU286" s="3479">
        <f t="shared" si="10"/>
        <v>0</v>
      </c>
      <c r="BV286" s="3479">
        <f t="shared" si="11"/>
        <v>0</v>
      </c>
      <c r="BW286" s="3479">
        <f t="shared" si="12"/>
        <v>0</v>
      </c>
      <c r="BX286" s="3479">
        <f t="shared" si="13"/>
        <v>0</v>
      </c>
      <c r="BY286" s="3479">
        <f t="shared" si="14"/>
        <v>0</v>
      </c>
    </row>
    <row r="287" spans="6:77">
      <c r="O287" s="1588">
        <f t="shared" si="0"/>
        <v>287</v>
      </c>
      <c r="P287" s="2935"/>
      <c r="Q287" s="2787"/>
      <c r="R287" s="452"/>
      <c r="S287" s="2784"/>
      <c r="T287" s="452"/>
      <c r="U287" s="2790" t="str">
        <f t="shared" si="15"/>
        <v/>
      </c>
      <c r="V287" s="452"/>
      <c r="W287" s="2781" t="str">
        <f t="shared" si="1"/>
        <v/>
      </c>
      <c r="X287" s="2937"/>
      <c r="Y287" s="2772">
        <f t="shared" si="2"/>
        <v>0</v>
      </c>
      <c r="BN287" s="3479">
        <f t="shared" si="3"/>
        <v>0</v>
      </c>
      <c r="BO287" s="3479">
        <f t="shared" si="4"/>
        <v>0</v>
      </c>
      <c r="BP287" s="3479">
        <f t="shared" si="5"/>
        <v>0</v>
      </c>
      <c r="BQ287" s="3479">
        <f t="shared" si="6"/>
        <v>0</v>
      </c>
      <c r="BR287" s="3479">
        <f t="shared" si="7"/>
        <v>0</v>
      </c>
      <c r="BS287" s="3479">
        <f t="shared" si="8"/>
        <v>0</v>
      </c>
      <c r="BT287" s="3479">
        <f t="shared" si="9"/>
        <v>0</v>
      </c>
      <c r="BU287" s="3479">
        <f t="shared" si="10"/>
        <v>0</v>
      </c>
      <c r="BV287" s="3479">
        <f t="shared" si="11"/>
        <v>0</v>
      </c>
      <c r="BW287" s="3479">
        <f t="shared" si="12"/>
        <v>0</v>
      </c>
      <c r="BX287" s="3479">
        <f t="shared" si="13"/>
        <v>0</v>
      </c>
      <c r="BY287" s="3479">
        <f t="shared" si="14"/>
        <v>0</v>
      </c>
    </row>
    <row r="288" spans="6:77">
      <c r="O288" s="1588">
        <f t="shared" si="0"/>
        <v>288</v>
      </c>
      <c r="P288" s="2935"/>
      <c r="Q288" s="2787"/>
      <c r="R288" s="452"/>
      <c r="S288" s="2784"/>
      <c r="T288" s="452"/>
      <c r="U288" s="2790" t="str">
        <f t="shared" si="15"/>
        <v/>
      </c>
      <c r="V288" s="452"/>
      <c r="W288" s="2781" t="str">
        <f t="shared" si="1"/>
        <v/>
      </c>
      <c r="X288" s="2937"/>
      <c r="Y288" s="2772">
        <f t="shared" si="2"/>
        <v>0</v>
      </c>
      <c r="BN288" s="3479">
        <f t="shared" si="3"/>
        <v>0</v>
      </c>
      <c r="BO288" s="3479">
        <f t="shared" si="4"/>
        <v>0</v>
      </c>
      <c r="BP288" s="3479">
        <f t="shared" si="5"/>
        <v>0</v>
      </c>
      <c r="BQ288" s="3479">
        <f t="shared" si="6"/>
        <v>0</v>
      </c>
      <c r="BR288" s="3479">
        <f t="shared" si="7"/>
        <v>0</v>
      </c>
      <c r="BS288" s="3479">
        <f t="shared" si="8"/>
        <v>0</v>
      </c>
      <c r="BT288" s="3479">
        <f t="shared" si="9"/>
        <v>0</v>
      </c>
      <c r="BU288" s="3479">
        <f t="shared" si="10"/>
        <v>0</v>
      </c>
      <c r="BV288" s="3479">
        <f t="shared" si="11"/>
        <v>0</v>
      </c>
      <c r="BW288" s="3479">
        <f t="shared" si="12"/>
        <v>0</v>
      </c>
      <c r="BX288" s="3479">
        <f t="shared" si="13"/>
        <v>0</v>
      </c>
      <c r="BY288" s="3479">
        <f t="shared" si="14"/>
        <v>0</v>
      </c>
    </row>
    <row r="289" spans="15:77">
      <c r="O289" s="1588">
        <f t="shared" si="0"/>
        <v>289</v>
      </c>
      <c r="P289" s="2935"/>
      <c r="Q289" s="2787"/>
      <c r="R289" s="452"/>
      <c r="S289" s="2784"/>
      <c r="T289" s="452"/>
      <c r="U289" s="2790" t="str">
        <f t="shared" si="15"/>
        <v/>
      </c>
      <c r="V289" s="452"/>
      <c r="W289" s="2781" t="str">
        <f t="shared" si="1"/>
        <v/>
      </c>
      <c r="X289" s="2937"/>
      <c r="Y289" s="2772">
        <f t="shared" si="2"/>
        <v>0</v>
      </c>
      <c r="BN289" s="3479">
        <f t="shared" si="3"/>
        <v>0</v>
      </c>
      <c r="BO289" s="3479">
        <f t="shared" si="4"/>
        <v>0</v>
      </c>
      <c r="BP289" s="3479">
        <f t="shared" si="5"/>
        <v>0</v>
      </c>
      <c r="BQ289" s="3479">
        <f t="shared" si="6"/>
        <v>0</v>
      </c>
      <c r="BR289" s="3479">
        <f t="shared" si="7"/>
        <v>0</v>
      </c>
      <c r="BS289" s="3479">
        <f t="shared" si="8"/>
        <v>0</v>
      </c>
      <c r="BT289" s="3479">
        <f t="shared" si="9"/>
        <v>0</v>
      </c>
      <c r="BU289" s="3479">
        <f t="shared" si="10"/>
        <v>0</v>
      </c>
      <c r="BV289" s="3479">
        <f t="shared" si="11"/>
        <v>0</v>
      </c>
      <c r="BW289" s="3479">
        <f t="shared" si="12"/>
        <v>0</v>
      </c>
      <c r="BX289" s="3479">
        <f t="shared" si="13"/>
        <v>0</v>
      </c>
      <c r="BY289" s="3479">
        <f t="shared" si="14"/>
        <v>0</v>
      </c>
    </row>
    <row r="290" spans="15:77">
      <c r="O290" s="1588">
        <f t="shared" si="0"/>
        <v>290</v>
      </c>
      <c r="P290" s="2935"/>
      <c r="Q290" s="2787"/>
      <c r="R290" s="452"/>
      <c r="S290" s="2784"/>
      <c r="T290" s="452"/>
      <c r="U290" s="2790" t="str">
        <f t="shared" si="15"/>
        <v/>
      </c>
      <c r="V290" s="452"/>
      <c r="W290" s="2781" t="str">
        <f t="shared" si="1"/>
        <v/>
      </c>
      <c r="X290" s="2937"/>
      <c r="Y290" s="2772">
        <f t="shared" si="2"/>
        <v>0</v>
      </c>
      <c r="BN290" s="3479">
        <f t="shared" si="3"/>
        <v>0</v>
      </c>
      <c r="BO290" s="3479">
        <f t="shared" si="4"/>
        <v>0</v>
      </c>
      <c r="BP290" s="3479">
        <f t="shared" si="5"/>
        <v>0</v>
      </c>
      <c r="BQ290" s="3479">
        <f t="shared" si="6"/>
        <v>0</v>
      </c>
      <c r="BR290" s="3479">
        <f t="shared" si="7"/>
        <v>0</v>
      </c>
      <c r="BS290" s="3479">
        <f t="shared" si="8"/>
        <v>0</v>
      </c>
      <c r="BT290" s="3479">
        <f t="shared" si="9"/>
        <v>0</v>
      </c>
      <c r="BU290" s="3479">
        <f t="shared" si="10"/>
        <v>0</v>
      </c>
      <c r="BV290" s="3479">
        <f t="shared" si="11"/>
        <v>0</v>
      </c>
      <c r="BW290" s="3479">
        <f t="shared" si="12"/>
        <v>0</v>
      </c>
      <c r="BX290" s="3479">
        <f t="shared" si="13"/>
        <v>0</v>
      </c>
      <c r="BY290" s="3479">
        <f t="shared" si="14"/>
        <v>0</v>
      </c>
    </row>
    <row r="291" spans="15:77">
      <c r="O291" s="1588">
        <f t="shared" si="0"/>
        <v>291</v>
      </c>
      <c r="P291" s="2935"/>
      <c r="Q291" s="2787"/>
      <c r="R291" s="452"/>
      <c r="S291" s="2784"/>
      <c r="T291" s="452"/>
      <c r="U291" s="2790" t="str">
        <f t="shared" si="15"/>
        <v/>
      </c>
      <c r="V291" s="452"/>
      <c r="W291" s="2781" t="str">
        <f t="shared" si="1"/>
        <v/>
      </c>
      <c r="X291" s="2937"/>
      <c r="Y291" s="2772">
        <f t="shared" si="2"/>
        <v>0</v>
      </c>
      <c r="BN291" s="3479">
        <f t="shared" si="3"/>
        <v>0</v>
      </c>
      <c r="BO291" s="3479">
        <f t="shared" si="4"/>
        <v>0</v>
      </c>
      <c r="BP291" s="3479">
        <f t="shared" si="5"/>
        <v>0</v>
      </c>
      <c r="BQ291" s="3479">
        <f t="shared" si="6"/>
        <v>0</v>
      </c>
      <c r="BR291" s="3479">
        <f t="shared" si="7"/>
        <v>0</v>
      </c>
      <c r="BS291" s="3479">
        <f t="shared" si="8"/>
        <v>0</v>
      </c>
      <c r="BT291" s="3479">
        <f t="shared" si="9"/>
        <v>0</v>
      </c>
      <c r="BU291" s="3479">
        <f t="shared" si="10"/>
        <v>0</v>
      </c>
      <c r="BV291" s="3479">
        <f t="shared" si="11"/>
        <v>0</v>
      </c>
      <c r="BW291" s="3479">
        <f t="shared" si="12"/>
        <v>0</v>
      </c>
      <c r="BX291" s="3479">
        <f t="shared" si="13"/>
        <v>0</v>
      </c>
      <c r="BY291" s="3479">
        <f t="shared" si="14"/>
        <v>0</v>
      </c>
    </row>
    <row r="292" spans="15:77">
      <c r="O292" s="1588">
        <f t="shared" si="0"/>
        <v>292</v>
      </c>
      <c r="P292" s="2935"/>
      <c r="Q292" s="2787"/>
      <c r="R292" s="452"/>
      <c r="S292" s="2784"/>
      <c r="T292" s="452"/>
      <c r="U292" s="2790" t="str">
        <f t="shared" si="15"/>
        <v/>
      </c>
      <c r="V292" s="452"/>
      <c r="W292" s="2781" t="str">
        <f t="shared" si="1"/>
        <v/>
      </c>
      <c r="X292" s="2937"/>
      <c r="Y292" s="2772">
        <f t="shared" si="2"/>
        <v>0</v>
      </c>
      <c r="BN292" s="3479">
        <f t="shared" si="3"/>
        <v>0</v>
      </c>
      <c r="BO292" s="3479">
        <f t="shared" si="4"/>
        <v>0</v>
      </c>
      <c r="BP292" s="3479">
        <f t="shared" si="5"/>
        <v>0</v>
      </c>
      <c r="BQ292" s="3479">
        <f t="shared" si="6"/>
        <v>0</v>
      </c>
      <c r="BR292" s="3479">
        <f t="shared" si="7"/>
        <v>0</v>
      </c>
      <c r="BS292" s="3479">
        <f t="shared" si="8"/>
        <v>0</v>
      </c>
      <c r="BT292" s="3479">
        <f t="shared" si="9"/>
        <v>0</v>
      </c>
      <c r="BU292" s="3479">
        <f t="shared" si="10"/>
        <v>0</v>
      </c>
      <c r="BV292" s="3479">
        <f t="shared" si="11"/>
        <v>0</v>
      </c>
      <c r="BW292" s="3479">
        <f t="shared" si="12"/>
        <v>0</v>
      </c>
      <c r="BX292" s="3479">
        <f t="shared" si="13"/>
        <v>0</v>
      </c>
      <c r="BY292" s="3479">
        <f t="shared" si="14"/>
        <v>0</v>
      </c>
    </row>
    <row r="293" spans="15:77">
      <c r="O293" s="1588">
        <f t="shared" si="0"/>
        <v>293</v>
      </c>
      <c r="P293" s="2935"/>
      <c r="Q293" s="2787"/>
      <c r="R293" s="452"/>
      <c r="S293" s="2784"/>
      <c r="T293" s="452"/>
      <c r="U293" s="2790" t="str">
        <f t="shared" si="15"/>
        <v/>
      </c>
      <c r="V293" s="452"/>
      <c r="W293" s="2781" t="str">
        <f t="shared" si="1"/>
        <v/>
      </c>
      <c r="X293" s="2937"/>
      <c r="Y293" s="2772">
        <f t="shared" si="2"/>
        <v>0</v>
      </c>
      <c r="BN293" s="3479">
        <f t="shared" si="3"/>
        <v>0</v>
      </c>
      <c r="BO293" s="3479">
        <f t="shared" si="4"/>
        <v>0</v>
      </c>
      <c r="BP293" s="3479">
        <f t="shared" si="5"/>
        <v>0</v>
      </c>
      <c r="BQ293" s="3479">
        <f t="shared" si="6"/>
        <v>0</v>
      </c>
      <c r="BR293" s="3479">
        <f t="shared" si="7"/>
        <v>0</v>
      </c>
      <c r="BS293" s="3479">
        <f t="shared" si="8"/>
        <v>0</v>
      </c>
      <c r="BT293" s="3479">
        <f t="shared" si="9"/>
        <v>0</v>
      </c>
      <c r="BU293" s="3479">
        <f t="shared" si="10"/>
        <v>0</v>
      </c>
      <c r="BV293" s="3479">
        <f t="shared" si="11"/>
        <v>0</v>
      </c>
      <c r="BW293" s="3479">
        <f t="shared" si="12"/>
        <v>0</v>
      </c>
      <c r="BX293" s="3479">
        <f t="shared" si="13"/>
        <v>0</v>
      </c>
      <c r="BY293" s="3479">
        <f t="shared" si="14"/>
        <v>0</v>
      </c>
    </row>
    <row r="294" spans="15:77">
      <c r="O294" s="1588">
        <f t="shared" si="0"/>
        <v>294</v>
      </c>
      <c r="P294" s="2935"/>
      <c r="Q294" s="2787"/>
      <c r="R294" s="452"/>
      <c r="S294" s="2784"/>
      <c r="T294" s="452"/>
      <c r="U294" s="2790" t="str">
        <f t="shared" si="15"/>
        <v/>
      </c>
      <c r="V294" s="452"/>
      <c r="W294" s="2781" t="str">
        <f t="shared" si="1"/>
        <v/>
      </c>
      <c r="X294" s="2937"/>
      <c r="Y294" s="2772">
        <f t="shared" si="2"/>
        <v>0</v>
      </c>
      <c r="BN294" s="3479">
        <f t="shared" si="3"/>
        <v>0</v>
      </c>
      <c r="BO294" s="3479">
        <f t="shared" si="4"/>
        <v>0</v>
      </c>
      <c r="BP294" s="3479">
        <f t="shared" si="5"/>
        <v>0</v>
      </c>
      <c r="BQ294" s="3479">
        <f t="shared" si="6"/>
        <v>0</v>
      </c>
      <c r="BR294" s="3479">
        <f t="shared" si="7"/>
        <v>0</v>
      </c>
      <c r="BS294" s="3479">
        <f t="shared" si="8"/>
        <v>0</v>
      </c>
      <c r="BT294" s="3479">
        <f t="shared" si="9"/>
        <v>0</v>
      </c>
      <c r="BU294" s="3479">
        <f t="shared" si="10"/>
        <v>0</v>
      </c>
      <c r="BV294" s="3479">
        <f t="shared" si="11"/>
        <v>0</v>
      </c>
      <c r="BW294" s="3479">
        <f t="shared" si="12"/>
        <v>0</v>
      </c>
      <c r="BX294" s="3479">
        <f t="shared" si="13"/>
        <v>0</v>
      </c>
      <c r="BY294" s="3479">
        <f t="shared" si="14"/>
        <v>0</v>
      </c>
    </row>
    <row r="295" spans="15:77">
      <c r="O295" s="1588">
        <f t="shared" si="0"/>
        <v>295</v>
      </c>
      <c r="P295" s="2935"/>
      <c r="Q295" s="2787"/>
      <c r="R295" s="452"/>
      <c r="S295" s="2784"/>
      <c r="T295" s="452"/>
      <c r="U295" s="2790" t="str">
        <f t="shared" si="15"/>
        <v/>
      </c>
      <c r="V295" s="452"/>
      <c r="W295" s="2781" t="str">
        <f t="shared" si="1"/>
        <v/>
      </c>
      <c r="X295" s="2937"/>
      <c r="Y295" s="2772">
        <f t="shared" si="2"/>
        <v>0</v>
      </c>
      <c r="BN295" s="3479">
        <f t="shared" si="3"/>
        <v>0</v>
      </c>
      <c r="BO295" s="3479">
        <f t="shared" si="4"/>
        <v>0</v>
      </c>
      <c r="BP295" s="3479">
        <f t="shared" si="5"/>
        <v>0</v>
      </c>
      <c r="BQ295" s="3479">
        <f t="shared" si="6"/>
        <v>0</v>
      </c>
      <c r="BR295" s="3479">
        <f t="shared" si="7"/>
        <v>0</v>
      </c>
      <c r="BS295" s="3479">
        <f t="shared" si="8"/>
        <v>0</v>
      </c>
      <c r="BT295" s="3479">
        <f t="shared" si="9"/>
        <v>0</v>
      </c>
      <c r="BU295" s="3479">
        <f t="shared" si="10"/>
        <v>0</v>
      </c>
      <c r="BV295" s="3479">
        <f t="shared" si="11"/>
        <v>0</v>
      </c>
      <c r="BW295" s="3479">
        <f t="shared" si="12"/>
        <v>0</v>
      </c>
      <c r="BX295" s="3479">
        <f t="shared" si="13"/>
        <v>0</v>
      </c>
      <c r="BY295" s="3479">
        <f t="shared" si="14"/>
        <v>0</v>
      </c>
    </row>
    <row r="296" spans="15:77">
      <c r="O296" s="1588">
        <f t="shared" si="0"/>
        <v>296</v>
      </c>
      <c r="P296" s="2935"/>
      <c r="Q296" s="2787"/>
      <c r="R296" s="452"/>
      <c r="S296" s="2784"/>
      <c r="T296" s="452"/>
      <c r="U296" s="2790" t="str">
        <f t="shared" si="15"/>
        <v/>
      </c>
      <c r="V296" s="452"/>
      <c r="W296" s="2781" t="str">
        <f t="shared" si="1"/>
        <v/>
      </c>
      <c r="X296" s="2937"/>
      <c r="Y296" s="2772">
        <f t="shared" si="2"/>
        <v>0</v>
      </c>
      <c r="BN296" s="3479">
        <f t="shared" si="3"/>
        <v>0</v>
      </c>
      <c r="BO296" s="3479">
        <f t="shared" si="4"/>
        <v>0</v>
      </c>
      <c r="BP296" s="3479">
        <f t="shared" si="5"/>
        <v>0</v>
      </c>
      <c r="BQ296" s="3479">
        <f t="shared" si="6"/>
        <v>0</v>
      </c>
      <c r="BR296" s="3479">
        <f t="shared" si="7"/>
        <v>0</v>
      </c>
      <c r="BS296" s="3479">
        <f t="shared" si="8"/>
        <v>0</v>
      </c>
      <c r="BT296" s="3479">
        <f t="shared" si="9"/>
        <v>0</v>
      </c>
      <c r="BU296" s="3479">
        <f t="shared" si="10"/>
        <v>0</v>
      </c>
      <c r="BV296" s="3479">
        <f t="shared" si="11"/>
        <v>0</v>
      </c>
      <c r="BW296" s="3479">
        <f t="shared" si="12"/>
        <v>0</v>
      </c>
      <c r="BX296" s="3479">
        <f t="shared" si="13"/>
        <v>0</v>
      </c>
      <c r="BY296" s="3479">
        <f t="shared" si="14"/>
        <v>0</v>
      </c>
    </row>
    <row r="297" spans="15:77" ht="12.75" customHeight="1">
      <c r="O297" s="1588">
        <f t="shared" si="0"/>
        <v>297</v>
      </c>
      <c r="P297" s="2935"/>
      <c r="Q297" s="2787"/>
      <c r="R297" s="452"/>
      <c r="S297" s="2784"/>
      <c r="T297" s="452"/>
      <c r="U297" s="2790" t="str">
        <f t="shared" si="15"/>
        <v/>
      </c>
      <c r="V297" s="452"/>
      <c r="W297" s="2781" t="str">
        <f t="shared" si="1"/>
        <v/>
      </c>
      <c r="X297" s="2937"/>
      <c r="Y297" s="2772">
        <f t="shared" si="2"/>
        <v>0</v>
      </c>
      <c r="BN297" s="3479">
        <f t="shared" si="3"/>
        <v>0</v>
      </c>
      <c r="BO297" s="3479">
        <f t="shared" si="4"/>
        <v>0</v>
      </c>
      <c r="BP297" s="3479">
        <f t="shared" si="5"/>
        <v>0</v>
      </c>
      <c r="BQ297" s="3479">
        <f t="shared" si="6"/>
        <v>0</v>
      </c>
      <c r="BR297" s="3479">
        <f t="shared" si="7"/>
        <v>0</v>
      </c>
      <c r="BS297" s="3479">
        <f t="shared" si="8"/>
        <v>0</v>
      </c>
      <c r="BT297" s="3479">
        <f t="shared" si="9"/>
        <v>0</v>
      </c>
      <c r="BU297" s="3479">
        <f t="shared" si="10"/>
        <v>0</v>
      </c>
      <c r="BV297" s="3479">
        <f t="shared" si="11"/>
        <v>0</v>
      </c>
      <c r="BW297" s="3479">
        <f t="shared" si="12"/>
        <v>0</v>
      </c>
      <c r="BX297" s="3479">
        <f t="shared" si="13"/>
        <v>0</v>
      </c>
      <c r="BY297" s="3479">
        <f t="shared" si="14"/>
        <v>0</v>
      </c>
    </row>
    <row r="298" spans="15:77">
      <c r="O298" s="1588">
        <f t="shared" si="0"/>
        <v>298</v>
      </c>
      <c r="P298" s="2935"/>
      <c r="Q298" s="2787"/>
      <c r="R298" s="452"/>
      <c r="S298" s="2784"/>
      <c r="T298" s="452"/>
      <c r="U298" s="2790" t="str">
        <f t="shared" si="15"/>
        <v/>
      </c>
      <c r="V298" s="452"/>
      <c r="W298" s="2781" t="str">
        <f t="shared" si="1"/>
        <v/>
      </c>
      <c r="X298" s="2937"/>
      <c r="Y298" s="2772">
        <f t="shared" si="2"/>
        <v>0</v>
      </c>
      <c r="BN298" s="3479">
        <f t="shared" si="3"/>
        <v>0</v>
      </c>
      <c r="BO298" s="3479">
        <f t="shared" si="4"/>
        <v>0</v>
      </c>
      <c r="BP298" s="3479">
        <f t="shared" si="5"/>
        <v>0</v>
      </c>
      <c r="BQ298" s="3479">
        <f t="shared" si="6"/>
        <v>0</v>
      </c>
      <c r="BR298" s="3479">
        <f t="shared" si="7"/>
        <v>0</v>
      </c>
      <c r="BS298" s="3479">
        <f t="shared" si="8"/>
        <v>0</v>
      </c>
      <c r="BT298" s="3479">
        <f t="shared" si="9"/>
        <v>0</v>
      </c>
      <c r="BU298" s="3479">
        <f t="shared" si="10"/>
        <v>0</v>
      </c>
      <c r="BV298" s="3479">
        <f t="shared" si="11"/>
        <v>0</v>
      </c>
      <c r="BW298" s="3479">
        <f t="shared" si="12"/>
        <v>0</v>
      </c>
      <c r="BX298" s="3479">
        <f t="shared" si="13"/>
        <v>0</v>
      </c>
      <c r="BY298" s="3479">
        <f t="shared" si="14"/>
        <v>0</v>
      </c>
    </row>
    <row r="299" spans="15:77">
      <c r="O299" s="1588">
        <f t="shared" si="0"/>
        <v>299</v>
      </c>
      <c r="P299" s="2935"/>
      <c r="Q299" s="2787"/>
      <c r="R299" s="452"/>
      <c r="S299" s="2784"/>
      <c r="T299" s="452"/>
      <c r="U299" s="2790" t="str">
        <f t="shared" si="15"/>
        <v/>
      </c>
      <c r="V299" s="452"/>
      <c r="W299" s="2781" t="str">
        <f t="shared" si="1"/>
        <v/>
      </c>
      <c r="X299" s="2937"/>
      <c r="Y299" s="2772">
        <f t="shared" si="2"/>
        <v>0</v>
      </c>
      <c r="BN299" s="3479">
        <f t="shared" si="3"/>
        <v>0</v>
      </c>
      <c r="BO299" s="3479">
        <f t="shared" si="4"/>
        <v>0</v>
      </c>
      <c r="BP299" s="3479">
        <f t="shared" si="5"/>
        <v>0</v>
      </c>
      <c r="BQ299" s="3479">
        <f t="shared" si="6"/>
        <v>0</v>
      </c>
      <c r="BR299" s="3479">
        <f t="shared" si="7"/>
        <v>0</v>
      </c>
      <c r="BS299" s="3479">
        <f t="shared" si="8"/>
        <v>0</v>
      </c>
      <c r="BT299" s="3479">
        <f t="shared" si="9"/>
        <v>0</v>
      </c>
      <c r="BU299" s="3479">
        <f t="shared" si="10"/>
        <v>0</v>
      </c>
      <c r="BV299" s="3479">
        <f t="shared" si="11"/>
        <v>0</v>
      </c>
      <c r="BW299" s="3479">
        <f t="shared" si="12"/>
        <v>0</v>
      </c>
      <c r="BX299" s="3479">
        <f t="shared" si="13"/>
        <v>0</v>
      </c>
      <c r="BY299" s="3479">
        <f t="shared" si="14"/>
        <v>0</v>
      </c>
    </row>
    <row r="300" spans="15:77">
      <c r="O300" s="1588">
        <f t="shared" si="0"/>
        <v>300</v>
      </c>
      <c r="P300" s="2935"/>
      <c r="Q300" s="2787"/>
      <c r="R300" s="452"/>
      <c r="S300" s="2784"/>
      <c r="T300" s="452"/>
      <c r="U300" s="2790" t="str">
        <f t="shared" si="15"/>
        <v/>
      </c>
      <c r="V300" s="452"/>
      <c r="W300" s="2781" t="str">
        <f t="shared" si="1"/>
        <v/>
      </c>
      <c r="X300" s="2937"/>
      <c r="Y300" s="2772">
        <f t="shared" si="2"/>
        <v>0</v>
      </c>
      <c r="BN300" s="3479">
        <f t="shared" si="3"/>
        <v>0</v>
      </c>
      <c r="BO300" s="3479">
        <f t="shared" si="4"/>
        <v>0</v>
      </c>
      <c r="BP300" s="3479">
        <f t="shared" si="5"/>
        <v>0</v>
      </c>
      <c r="BQ300" s="3479">
        <f t="shared" si="6"/>
        <v>0</v>
      </c>
      <c r="BR300" s="3479">
        <f t="shared" si="7"/>
        <v>0</v>
      </c>
      <c r="BS300" s="3479">
        <f t="shared" si="8"/>
        <v>0</v>
      </c>
      <c r="BT300" s="3479">
        <f t="shared" si="9"/>
        <v>0</v>
      </c>
      <c r="BU300" s="3479">
        <f t="shared" si="10"/>
        <v>0</v>
      </c>
      <c r="BV300" s="3479">
        <f t="shared" si="11"/>
        <v>0</v>
      </c>
      <c r="BW300" s="3479">
        <f t="shared" si="12"/>
        <v>0</v>
      </c>
      <c r="BX300" s="3479">
        <f t="shared" si="13"/>
        <v>0</v>
      </c>
      <c r="BY300" s="3479">
        <f t="shared" si="14"/>
        <v>0</v>
      </c>
    </row>
    <row r="301" spans="15:77">
      <c r="O301" s="1588">
        <f t="shared" si="0"/>
        <v>301</v>
      </c>
      <c r="P301" s="2935"/>
      <c r="Q301" s="2787"/>
      <c r="R301" s="452"/>
      <c r="S301" s="2784"/>
      <c r="T301" s="452"/>
      <c r="U301" s="2790" t="str">
        <f t="shared" si="15"/>
        <v/>
      </c>
      <c r="V301" s="452"/>
      <c r="W301" s="2781" t="str">
        <f t="shared" si="1"/>
        <v/>
      </c>
      <c r="X301" s="2937"/>
      <c r="Y301" s="2772">
        <f t="shared" si="2"/>
        <v>0</v>
      </c>
      <c r="BN301" s="3479">
        <f t="shared" si="3"/>
        <v>0</v>
      </c>
      <c r="BO301" s="3479">
        <f t="shared" si="4"/>
        <v>0</v>
      </c>
      <c r="BP301" s="3479">
        <f t="shared" si="5"/>
        <v>0</v>
      </c>
      <c r="BQ301" s="3479">
        <f t="shared" si="6"/>
        <v>0</v>
      </c>
      <c r="BR301" s="3479">
        <f t="shared" si="7"/>
        <v>0</v>
      </c>
      <c r="BS301" s="3479">
        <f t="shared" si="8"/>
        <v>0</v>
      </c>
      <c r="BT301" s="3479">
        <f t="shared" si="9"/>
        <v>0</v>
      </c>
      <c r="BU301" s="3479">
        <f t="shared" si="10"/>
        <v>0</v>
      </c>
      <c r="BV301" s="3479">
        <f t="shared" si="11"/>
        <v>0</v>
      </c>
      <c r="BW301" s="3479">
        <f t="shared" si="12"/>
        <v>0</v>
      </c>
      <c r="BX301" s="3479">
        <f t="shared" si="13"/>
        <v>0</v>
      </c>
      <c r="BY301" s="3479">
        <f t="shared" si="14"/>
        <v>0</v>
      </c>
    </row>
    <row r="302" spans="15:77">
      <c r="O302" s="1588">
        <f t="shared" si="0"/>
        <v>302</v>
      </c>
      <c r="P302" s="2935"/>
      <c r="Q302" s="2787"/>
      <c r="R302" s="452"/>
      <c r="S302" s="2784"/>
      <c r="T302" s="452"/>
      <c r="U302" s="2790" t="str">
        <f t="shared" si="15"/>
        <v/>
      </c>
      <c r="V302" s="452"/>
      <c r="W302" s="2781" t="str">
        <f t="shared" si="1"/>
        <v/>
      </c>
      <c r="X302" s="2937"/>
      <c r="Y302" s="2772">
        <f t="shared" si="2"/>
        <v>0</v>
      </c>
      <c r="BN302" s="3479">
        <f t="shared" si="3"/>
        <v>0</v>
      </c>
      <c r="BO302" s="3479">
        <f t="shared" si="4"/>
        <v>0</v>
      </c>
      <c r="BP302" s="3479">
        <f t="shared" si="5"/>
        <v>0</v>
      </c>
      <c r="BQ302" s="3479">
        <f t="shared" si="6"/>
        <v>0</v>
      </c>
      <c r="BR302" s="3479">
        <f t="shared" si="7"/>
        <v>0</v>
      </c>
      <c r="BS302" s="3479">
        <f t="shared" si="8"/>
        <v>0</v>
      </c>
      <c r="BT302" s="3479">
        <f t="shared" si="9"/>
        <v>0</v>
      </c>
      <c r="BU302" s="3479">
        <f t="shared" si="10"/>
        <v>0</v>
      </c>
      <c r="BV302" s="3479">
        <f t="shared" si="11"/>
        <v>0</v>
      </c>
      <c r="BW302" s="3479">
        <f t="shared" si="12"/>
        <v>0</v>
      </c>
      <c r="BX302" s="3479">
        <f t="shared" si="13"/>
        <v>0</v>
      </c>
      <c r="BY302" s="3479">
        <f t="shared" si="14"/>
        <v>0</v>
      </c>
    </row>
    <row r="303" spans="15:77">
      <c r="O303" s="1588">
        <f t="shared" si="0"/>
        <v>303</v>
      </c>
      <c r="P303" s="2935"/>
      <c r="Q303" s="2787"/>
      <c r="R303" s="452"/>
      <c r="S303" s="2784"/>
      <c r="T303" s="452"/>
      <c r="U303" s="2790" t="str">
        <f t="shared" si="15"/>
        <v/>
      </c>
      <c r="V303" s="452"/>
      <c r="W303" s="2781" t="str">
        <f t="shared" si="1"/>
        <v/>
      </c>
      <c r="X303" s="2937"/>
      <c r="Y303" s="2772">
        <f t="shared" si="2"/>
        <v>0</v>
      </c>
      <c r="BN303" s="3479">
        <f t="shared" si="3"/>
        <v>0</v>
      </c>
      <c r="BO303" s="3479">
        <f t="shared" si="4"/>
        <v>0</v>
      </c>
      <c r="BP303" s="3479">
        <f t="shared" si="5"/>
        <v>0</v>
      </c>
      <c r="BQ303" s="3479">
        <f t="shared" si="6"/>
        <v>0</v>
      </c>
      <c r="BR303" s="3479">
        <f t="shared" si="7"/>
        <v>0</v>
      </c>
      <c r="BS303" s="3479">
        <f t="shared" si="8"/>
        <v>0</v>
      </c>
      <c r="BT303" s="3479">
        <f t="shared" si="9"/>
        <v>0</v>
      </c>
      <c r="BU303" s="3479">
        <f t="shared" si="10"/>
        <v>0</v>
      </c>
      <c r="BV303" s="3479">
        <f t="shared" si="11"/>
        <v>0</v>
      </c>
      <c r="BW303" s="3479">
        <f t="shared" si="12"/>
        <v>0</v>
      </c>
      <c r="BX303" s="3479">
        <f t="shared" si="13"/>
        <v>0</v>
      </c>
      <c r="BY303" s="3479">
        <f t="shared" si="14"/>
        <v>0</v>
      </c>
    </row>
    <row r="304" spans="15:77">
      <c r="O304" s="1588">
        <f t="shared" si="0"/>
        <v>304</v>
      </c>
      <c r="P304" s="2935"/>
      <c r="Q304" s="2787"/>
      <c r="R304" s="452"/>
      <c r="S304" s="2784"/>
      <c r="T304" s="452"/>
      <c r="U304" s="2790" t="str">
        <f t="shared" si="15"/>
        <v/>
      </c>
      <c r="V304" s="452"/>
      <c r="W304" s="2781" t="str">
        <f t="shared" si="1"/>
        <v/>
      </c>
      <c r="X304" s="2937"/>
      <c r="Y304" s="2772">
        <f t="shared" si="2"/>
        <v>0</v>
      </c>
      <c r="BN304" s="3479">
        <f t="shared" si="3"/>
        <v>0</v>
      </c>
      <c r="BO304" s="3479">
        <f t="shared" si="4"/>
        <v>0</v>
      </c>
      <c r="BP304" s="3479">
        <f t="shared" si="5"/>
        <v>0</v>
      </c>
      <c r="BQ304" s="3479">
        <f t="shared" si="6"/>
        <v>0</v>
      </c>
      <c r="BR304" s="3479">
        <f t="shared" si="7"/>
        <v>0</v>
      </c>
      <c r="BS304" s="3479">
        <f t="shared" si="8"/>
        <v>0</v>
      </c>
      <c r="BT304" s="3479">
        <f t="shared" si="9"/>
        <v>0</v>
      </c>
      <c r="BU304" s="3479">
        <f t="shared" si="10"/>
        <v>0</v>
      </c>
      <c r="BV304" s="3479">
        <f t="shared" si="11"/>
        <v>0</v>
      </c>
      <c r="BW304" s="3479">
        <f t="shared" si="12"/>
        <v>0</v>
      </c>
      <c r="BX304" s="3479">
        <f t="shared" si="13"/>
        <v>0</v>
      </c>
      <c r="BY304" s="3479">
        <f t="shared" si="14"/>
        <v>0</v>
      </c>
    </row>
    <row r="305" spans="15:77">
      <c r="O305" s="1588">
        <f t="shared" si="0"/>
        <v>305</v>
      </c>
      <c r="P305" s="2935"/>
      <c r="Q305" s="2787"/>
      <c r="R305" s="452"/>
      <c r="S305" s="2784"/>
      <c r="T305" s="452"/>
      <c r="U305" s="2790" t="str">
        <f t="shared" si="15"/>
        <v/>
      </c>
      <c r="V305" s="452"/>
      <c r="W305" s="2781" t="str">
        <f t="shared" si="1"/>
        <v/>
      </c>
      <c r="X305" s="2937"/>
      <c r="Y305" s="2772">
        <f t="shared" si="2"/>
        <v>0</v>
      </c>
      <c r="BN305" s="3479">
        <f t="shared" si="3"/>
        <v>0</v>
      </c>
      <c r="BO305" s="3479">
        <f t="shared" si="4"/>
        <v>0</v>
      </c>
      <c r="BP305" s="3479">
        <f t="shared" si="5"/>
        <v>0</v>
      </c>
      <c r="BQ305" s="3479">
        <f t="shared" si="6"/>
        <v>0</v>
      </c>
      <c r="BR305" s="3479">
        <f t="shared" si="7"/>
        <v>0</v>
      </c>
      <c r="BS305" s="3479">
        <f t="shared" si="8"/>
        <v>0</v>
      </c>
      <c r="BT305" s="3479">
        <f t="shared" si="9"/>
        <v>0</v>
      </c>
      <c r="BU305" s="3479">
        <f t="shared" si="10"/>
        <v>0</v>
      </c>
      <c r="BV305" s="3479">
        <f t="shared" si="11"/>
        <v>0</v>
      </c>
      <c r="BW305" s="3479">
        <f t="shared" si="12"/>
        <v>0</v>
      </c>
      <c r="BX305" s="3479">
        <f t="shared" si="13"/>
        <v>0</v>
      </c>
      <c r="BY305" s="3479">
        <f t="shared" si="14"/>
        <v>0</v>
      </c>
    </row>
    <row r="306" spans="15:77">
      <c r="O306" s="1588">
        <f t="shared" si="0"/>
        <v>306</v>
      </c>
      <c r="P306" s="2935"/>
      <c r="Q306" s="2787"/>
      <c r="R306" s="452"/>
      <c r="S306" s="2784"/>
      <c r="T306" s="452"/>
      <c r="U306" s="2790" t="str">
        <f t="shared" si="15"/>
        <v/>
      </c>
      <c r="V306" s="452"/>
      <c r="W306" s="2781" t="str">
        <f t="shared" si="1"/>
        <v/>
      </c>
      <c r="X306" s="2937"/>
      <c r="Y306" s="2772">
        <f t="shared" si="2"/>
        <v>0</v>
      </c>
      <c r="BN306" s="3479">
        <f t="shared" si="3"/>
        <v>0</v>
      </c>
      <c r="BO306" s="3479">
        <f t="shared" si="4"/>
        <v>0</v>
      </c>
      <c r="BP306" s="3479">
        <f t="shared" si="5"/>
        <v>0</v>
      </c>
      <c r="BQ306" s="3479">
        <f t="shared" si="6"/>
        <v>0</v>
      </c>
      <c r="BR306" s="3479">
        <f t="shared" si="7"/>
        <v>0</v>
      </c>
      <c r="BS306" s="3479">
        <f t="shared" si="8"/>
        <v>0</v>
      </c>
      <c r="BT306" s="3479">
        <f t="shared" si="9"/>
        <v>0</v>
      </c>
      <c r="BU306" s="3479">
        <f t="shared" si="10"/>
        <v>0</v>
      </c>
      <c r="BV306" s="3479">
        <f t="shared" si="11"/>
        <v>0</v>
      </c>
      <c r="BW306" s="3479">
        <f t="shared" si="12"/>
        <v>0</v>
      </c>
      <c r="BX306" s="3479">
        <f t="shared" si="13"/>
        <v>0</v>
      </c>
      <c r="BY306" s="3479">
        <f t="shared" si="14"/>
        <v>0</v>
      </c>
    </row>
    <row r="307" spans="15:77">
      <c r="O307" s="1588">
        <f t="shared" si="0"/>
        <v>307</v>
      </c>
      <c r="P307" s="2935"/>
      <c r="Q307" s="2787"/>
      <c r="R307" s="452"/>
      <c r="S307" s="2784"/>
      <c r="T307" s="452"/>
      <c r="U307" s="2790" t="str">
        <f t="shared" si="15"/>
        <v/>
      </c>
      <c r="V307" s="452"/>
      <c r="W307" s="2781" t="str">
        <f t="shared" si="1"/>
        <v/>
      </c>
      <c r="X307" s="2937"/>
      <c r="Y307" s="2772">
        <f t="shared" si="2"/>
        <v>0</v>
      </c>
      <c r="BN307" s="3479">
        <f t="shared" si="3"/>
        <v>0</v>
      </c>
      <c r="BO307" s="3479">
        <f t="shared" si="4"/>
        <v>0</v>
      </c>
      <c r="BP307" s="3479">
        <f t="shared" si="5"/>
        <v>0</v>
      </c>
      <c r="BQ307" s="3479">
        <f t="shared" si="6"/>
        <v>0</v>
      </c>
      <c r="BR307" s="3479">
        <f t="shared" si="7"/>
        <v>0</v>
      </c>
      <c r="BS307" s="3479">
        <f t="shared" si="8"/>
        <v>0</v>
      </c>
      <c r="BT307" s="3479">
        <f t="shared" si="9"/>
        <v>0</v>
      </c>
      <c r="BU307" s="3479">
        <f t="shared" si="10"/>
        <v>0</v>
      </c>
      <c r="BV307" s="3479">
        <f t="shared" si="11"/>
        <v>0</v>
      </c>
      <c r="BW307" s="3479">
        <f t="shared" si="12"/>
        <v>0</v>
      </c>
      <c r="BX307" s="3479">
        <f t="shared" si="13"/>
        <v>0</v>
      </c>
      <c r="BY307" s="3479">
        <f t="shared" si="14"/>
        <v>0</v>
      </c>
    </row>
    <row r="308" spans="15:77">
      <c r="O308" s="1588">
        <f t="shared" si="0"/>
        <v>308</v>
      </c>
      <c r="P308" s="2935"/>
      <c r="Q308" s="2787"/>
      <c r="R308" s="452"/>
      <c r="S308" s="2784"/>
      <c r="T308" s="452"/>
      <c r="U308" s="2790" t="str">
        <f t="shared" si="15"/>
        <v/>
      </c>
      <c r="V308" s="452"/>
      <c r="W308" s="2781" t="str">
        <f t="shared" si="1"/>
        <v/>
      </c>
      <c r="X308" s="2937"/>
      <c r="Y308" s="2772">
        <f t="shared" si="2"/>
        <v>0</v>
      </c>
      <c r="BN308" s="3479">
        <f t="shared" si="3"/>
        <v>0</v>
      </c>
      <c r="BO308" s="3479">
        <f t="shared" si="4"/>
        <v>0</v>
      </c>
      <c r="BP308" s="3479">
        <f t="shared" si="5"/>
        <v>0</v>
      </c>
      <c r="BQ308" s="3479">
        <f t="shared" si="6"/>
        <v>0</v>
      </c>
      <c r="BR308" s="3479">
        <f t="shared" si="7"/>
        <v>0</v>
      </c>
      <c r="BS308" s="3479">
        <f t="shared" si="8"/>
        <v>0</v>
      </c>
      <c r="BT308" s="3479">
        <f t="shared" si="9"/>
        <v>0</v>
      </c>
      <c r="BU308" s="3479">
        <f t="shared" si="10"/>
        <v>0</v>
      </c>
      <c r="BV308" s="3479">
        <f t="shared" si="11"/>
        <v>0</v>
      </c>
      <c r="BW308" s="3479">
        <f t="shared" si="12"/>
        <v>0</v>
      </c>
      <c r="BX308" s="3479">
        <f t="shared" si="13"/>
        <v>0</v>
      </c>
      <c r="BY308" s="3479">
        <f t="shared" si="14"/>
        <v>0</v>
      </c>
    </row>
    <row r="309" spans="15:77">
      <c r="O309" s="1588">
        <f t="shared" si="0"/>
        <v>309</v>
      </c>
      <c r="P309" s="2935"/>
      <c r="Q309" s="2787"/>
      <c r="R309" s="452"/>
      <c r="S309" s="2784"/>
      <c r="T309" s="452"/>
      <c r="U309" s="2790" t="str">
        <f t="shared" si="15"/>
        <v/>
      </c>
      <c r="V309" s="452"/>
      <c r="W309" s="2781" t="str">
        <f t="shared" si="1"/>
        <v/>
      </c>
      <c r="X309" s="2937"/>
      <c r="Y309" s="2772">
        <f t="shared" si="2"/>
        <v>0</v>
      </c>
      <c r="AV309" s="4253" t="s">
        <v>336</v>
      </c>
      <c r="AW309" s="3955">
        <f>AK255</f>
        <v>0</v>
      </c>
      <c r="AX309" s="3955">
        <f>AM255</f>
        <v>0</v>
      </c>
      <c r="AY309" s="3955">
        <f>AO255</f>
        <v>0</v>
      </c>
      <c r="AZ309" s="3955">
        <f>AQ255</f>
        <v>0</v>
      </c>
      <c r="BN309" s="3479">
        <f t="shared" si="3"/>
        <v>0</v>
      </c>
      <c r="BO309" s="3479">
        <f t="shared" si="4"/>
        <v>0</v>
      </c>
      <c r="BP309" s="3479">
        <f t="shared" si="5"/>
        <v>0</v>
      </c>
      <c r="BQ309" s="3479">
        <f t="shared" si="6"/>
        <v>0</v>
      </c>
      <c r="BR309" s="3479">
        <f t="shared" si="7"/>
        <v>0</v>
      </c>
      <c r="BS309" s="3479">
        <f t="shared" si="8"/>
        <v>0</v>
      </c>
      <c r="BT309" s="3479">
        <f t="shared" si="9"/>
        <v>0</v>
      </c>
      <c r="BU309" s="3479">
        <f t="shared" si="10"/>
        <v>0</v>
      </c>
      <c r="BV309" s="3479">
        <f t="shared" si="11"/>
        <v>0</v>
      </c>
      <c r="BW309" s="3479">
        <f t="shared" si="12"/>
        <v>0</v>
      </c>
      <c r="BX309" s="3479">
        <f t="shared" si="13"/>
        <v>0</v>
      </c>
      <c r="BY309" s="3479">
        <f t="shared" si="14"/>
        <v>0</v>
      </c>
    </row>
    <row r="310" spans="15:77">
      <c r="O310" s="1588">
        <f t="shared" ref="O310:O332" si="16">ROW(Q310)</f>
        <v>310</v>
      </c>
      <c r="P310" s="2935"/>
      <c r="Q310" s="2787"/>
      <c r="R310" s="452"/>
      <c r="S310" s="2784"/>
      <c r="T310" s="452"/>
      <c r="U310" s="2790" t="str">
        <f t="shared" si="15"/>
        <v/>
      </c>
      <c r="V310" s="452"/>
      <c r="W310" s="2781" t="str">
        <f t="shared" ref="W310:W332" si="17">IF(S310="","",IF(AND(Q310&lt;$P$216,Q311&gt;=$P$216),SUM($P$118,-U310),IF(AND(Q310&lt;$R$216,Q311&gt;=$R$216),SUM($P$118,$R$118,-U310),IF(AND(Q310&lt;$T$216,Q311&gt;=$T$216),SUM($P$118,$R$118,$T$118,-U310),IF(AND(Q310&lt;$V$216,Q311&gt;=$V$216),SUM($P$118,$R$118,$T$118,$V$118,-U310),0)))))</f>
        <v/>
      </c>
      <c r="X310" s="2937"/>
      <c r="Y310" s="2772">
        <f t="shared" si="2"/>
        <v>0</v>
      </c>
      <c r="AV310" s="4253" t="s">
        <v>2000</v>
      </c>
      <c r="AW310" s="3955">
        <f>AK164</f>
        <v>0</v>
      </c>
      <c r="AX310" s="3955">
        <f>AM164</f>
        <v>0</v>
      </c>
      <c r="AY310" s="3955">
        <f>AO164</f>
        <v>0</v>
      </c>
      <c r="AZ310" s="3955">
        <f>AQ164</f>
        <v>0</v>
      </c>
      <c r="BN310" s="3479">
        <f t="shared" si="3"/>
        <v>0</v>
      </c>
      <c r="BO310" s="3479">
        <f t="shared" si="4"/>
        <v>0</v>
      </c>
      <c r="BP310" s="3479">
        <f t="shared" si="5"/>
        <v>0</v>
      </c>
      <c r="BQ310" s="3479">
        <f t="shared" si="6"/>
        <v>0</v>
      </c>
      <c r="BR310" s="3479">
        <f t="shared" si="7"/>
        <v>0</v>
      </c>
      <c r="BS310" s="3479">
        <f t="shared" si="8"/>
        <v>0</v>
      </c>
      <c r="BT310" s="3479">
        <f t="shared" si="9"/>
        <v>0</v>
      </c>
      <c r="BU310" s="3479">
        <f t="shared" si="10"/>
        <v>0</v>
      </c>
      <c r="BV310" s="3479">
        <f t="shared" si="11"/>
        <v>0</v>
      </c>
      <c r="BW310" s="3479">
        <f t="shared" si="12"/>
        <v>0</v>
      </c>
      <c r="BX310" s="3479">
        <f t="shared" si="13"/>
        <v>0</v>
      </c>
      <c r="BY310" s="3479">
        <f t="shared" si="14"/>
        <v>0</v>
      </c>
    </row>
    <row r="311" spans="15:77">
      <c r="O311" s="1588">
        <f t="shared" si="16"/>
        <v>311</v>
      </c>
      <c r="P311" s="2935"/>
      <c r="Q311" s="2787"/>
      <c r="R311" s="452"/>
      <c r="S311" s="2784"/>
      <c r="T311" s="452"/>
      <c r="U311" s="2790" t="str">
        <f t="shared" si="15"/>
        <v/>
      </c>
      <c r="V311" s="452"/>
      <c r="W311" s="2781" t="str">
        <f t="shared" si="17"/>
        <v/>
      </c>
      <c r="X311" s="2937"/>
      <c r="Y311" s="2772">
        <f t="shared" ref="Y311:Y332" si="18">IF(OR(Q311="",Q311&gt;Q310),0,1)</f>
        <v>0</v>
      </c>
      <c r="AV311" s="4253" t="s">
        <v>3572</v>
      </c>
      <c r="AW311" s="3955">
        <f>ROUND(AW310*$AK$166,0)</f>
        <v>0</v>
      </c>
      <c r="AX311" s="3955">
        <f>ROUND(AX310*$AM$166,0)</f>
        <v>0</v>
      </c>
      <c r="AY311" s="3955">
        <f>ROUND(AY310*$AO$166,0)</f>
        <v>0</v>
      </c>
      <c r="AZ311" s="3955">
        <f>ROUND(AZ310*$AQ$166,0)</f>
        <v>0</v>
      </c>
      <c r="BN311" s="3479">
        <f t="shared" ref="BN311:BN332" si="19">IF(OR($Q311&lt;$P$225,$Q311&gt;$K$226),0,IF($U310&gt;$P$217,0,IF(SUM($P$217,-$U310)&lt;0,0,MIN(SUM($P$217,-$U310),$S311)*SUM(MIN($Q311,$K$226),-$P$225)/$I$233*$L$232)))</f>
        <v>0</v>
      </c>
      <c r="BO311" s="3479">
        <f t="shared" ref="BO311:BO332" si="20">IF(OR($Q311&lt;$P$235,$Q311&gt;$K$236),0,IF($U310&gt;$P$217,0,IF(SUM($P$217,-$U310)&lt;0,0,MIN(SUM($P$217,-$U310),$S311)*SUM(MIN($Q311,$K$236),-$P$235)/$I$243*$L$242)))</f>
        <v>0</v>
      </c>
      <c r="BP311" s="3479">
        <f t="shared" ref="BP311:BP332" si="21">IF(OR($Q311&lt;$P$245,$Q311&gt;$K$246),0,IF($U310&gt;$P$217,0,IF(SUM($P$217,-$U310)&lt;0,0,MIN(SUM($P$217,-$U310),$S311)*SUM(MIN($Q311,$K$246),-$P$245)/$I$253*$L$252)))</f>
        <v>0</v>
      </c>
      <c r="BQ311" s="3479">
        <f t="shared" ref="BQ311:BQ332" si="22">IF(OR($Q311&lt;$P$255,$Q311&gt;$K$256),0,IF($U310&gt;$P$217,0,IF(SUM($P$217,-$U310)&lt;0,0,MIN(SUM($P$217,-$U310),$S311)*SUM(MIN($Q311,$K$256),-$P$255)/$I$263*$L$262)))</f>
        <v>0</v>
      </c>
      <c r="BR311" s="3479">
        <f t="shared" ref="BR311:BR332" si="23">IF($U310&gt;=SUM($P$217,$R$217),0,IF(OR($Q311&lt;$R$225,$Q311&gt;$K$226),0,IF(AND($U310&lt;$P$217,$U311&gt;$P$217),MIN(SUM($U311,-$P$217),$S311)*SUM(MIN($Q311,$K$226),-$R$225)/$I$233*$L$232,IF($U310&lt;$P$217,0,IF(SUM($P$217,$R$217,-$U310)&lt;0,0,MIN(SUM($P$217,$R$217,-$U310),$S311)*SUM(MIN($Q311,$K$226),-$R$225)/$I$233*$L$232)))))</f>
        <v>0</v>
      </c>
      <c r="BS311" s="3479">
        <f t="shared" ref="BS311:BS332" si="24">IF($U310&gt;=SUM($P$217,$R$217),0,IF(OR($Q311&lt;$R$235,$Q311&gt;$K$236),0,IF(AND($U310&lt;$P$217,$U311&gt;$P$217),MIN(SUM($U311,-$P$217),$S311)*SUM(MIN($Q311,$K$236),-$R$235)/$I$243*$L$242,IF($U310&lt;$P$217,0,MIN(SUM($P$217,$R$217,-$U310),$S311)*SUM(MIN($Q311,$K$236),-$R$235)/$I$243*$L$242))))</f>
        <v>0</v>
      </c>
      <c r="BT311" s="3479">
        <f t="shared" ref="BT311:BT332" si="25">IF($U310&gt;=SUM($P$217,$R$217),0,IF(OR($Q311&lt;$R$245,$Q311&gt;$K$246),0,IF(AND($U310&lt;$P$217,$U311&gt;$P$217),MIN(SUM($U311,-$P$217),$S311)*SUM(MIN($Q311,$K$246),-$R$245)/$I$253*$L$252,IF($U310&lt;$P$217,0,IF(SUM($P$217,$R$217,-$U310)&lt;0,0,MIN(SUM($P$217,$R$217,-$U310),$S311)*SUM(MIN($Q311,$K$246),-$R$245)/$I$253*$L$252)))))</f>
        <v>0</v>
      </c>
      <c r="BU311" s="3479">
        <f t="shared" ref="BU311:BU332" si="26">IF($U310&gt;=SUM($P$217,$R$217),0,IF(OR($Q311&lt;$R$255,$Q311&gt;$K$256),0,IF(AND($U310&lt;$P$217,$U311&gt;$P$217),MIN(SUM($U311,-$P$217),$S311)*SUM(MIN($Q311,$K$256),-$R$255)/$I$263*$L$262,IF($U310&lt;$P$217,0,IF(SUM($P$217,$R$217,-$U310)&lt;0,0,MIN(SUM($P$217,$R$217,-$U310),$S311)*SUM(MIN($Q311,$K$256),-$R$255)/$I$263*$L$262)))))</f>
        <v>0</v>
      </c>
      <c r="BV311" s="3479">
        <f t="shared" ref="BV311:BV332" si="27">IF($U310&gt;=SUM($P$217,$R$217,$T$217),0,IF(OR($Q311&lt;$T$235,$Q311&gt;$K$236),0,IF(AND($U310&lt;SUM($P$217,$R$217),$U311&gt;SUM($P$217,$R$217)),MIN(SUM($U311,-$P$217,-$R$217),$S311)*SUM(MIN($Q311,$K$236),-$T$235)/$I$243*$L$242,IF($U310&lt;SUM($P$217,$R$217),0,IF(SUM($P$217,$R$217,$T$217,-$U310)&lt;0,0,MIN(SUM($P$217,$R$217,$T$217,-$U310),$S311)*SUM(MIN($Q311,$K$236),-$T$235)/$I$243*$L$242)))))</f>
        <v>0</v>
      </c>
      <c r="BW311" s="3479">
        <f t="shared" ref="BW311:BW332" si="28">IF($U310&gt;=SUM($P$217,$R$217,$T$217),0,IF(OR($Q311&lt;$T$245,$Q311&gt;$K$246),0,IF(AND($U310&lt;SUM($P$217,$R$217),$U311&gt;SUM($P$217,$R$217)),MIN(SUM($U311,-$P$217,-$R$217),$S311)*SUM(MIN($Q311,$K$246),-$T$245)/$I$253*$L$252,IF($U310&lt;SUM($P$217,$R$217),0,IF(SUM($P$217,$R$217,$T$217,-$U310)&lt;0,0,MIN(SUM($P$217,$R$217,$T$217,-$U310),$S311)*SUM(MIN($Q311,$K$246),-$T$245)/$I$253*$L$252)))))</f>
        <v>0</v>
      </c>
      <c r="BX311" s="3479">
        <f t="shared" ref="BX311:BX332" si="29">IF($U310&gt;=SUM($P$217,$R$217,$T$217),0,IF(OR($Q311&lt;$T$255,$Q311&gt;$K$256),0,IF(AND($U310&lt;SUM($P$217,$R$217),$U311&gt;SUM($P$217,$R$217)),MIN(SUM($U311,-$P$217,-$R$217),$S311)*SUM(MIN($Q311,$K$256),-$T$255)/$I$263*$L$262,IF($U310&lt;SUM($P$217,$R$217),0,IF(SUM($P$217,$R$217,$T$217,-$U311)&lt;0,0,MIN(SUM($P$217,$R$217,$T$217,-$U311),$S311)*SUM(MIN($Q311,$K$256),-$T$255)/$I$263*$L$262)))))</f>
        <v>0</v>
      </c>
      <c r="BY311" s="3479">
        <f t="shared" ref="BY311:BY332" si="30">IF($U310&gt;=SUM($P$217,$R$217,$T$217,$V$217),0,IF(OR($Q311&lt;$V$255,$Q311&gt;$K$256),0,IF(AND($U310&lt;SUM($P$217,$R$217,$T$217),$U311&gt;SUM($P$217,$R$217,$T$217)),MIN(SUM($U311,-$P$217,-$R$217,-$T$217),$S311)*SUM(MIN($Q311,$K$256),-$V$255)/$I$263*$L$262,IF($U310&lt;SUM($P$217,$R$217,$T$217),0,IF(SUM($P$217,$R$217,$T$217,$V$217,-$U310)&lt;0,0,MIN(SUM($P$217,$R$217,$T$217,$V$217,-$U310),$S311)*SUM(MIN($Q311,$K$256),-$V$255)/$I$263*$L$262)))))</f>
        <v>0</v>
      </c>
    </row>
    <row r="312" spans="15:77">
      <c r="O312" s="1588">
        <f t="shared" si="16"/>
        <v>312</v>
      </c>
      <c r="P312" s="2935"/>
      <c r="Q312" s="2787"/>
      <c r="R312" s="452"/>
      <c r="S312" s="2784"/>
      <c r="T312" s="452"/>
      <c r="U312" s="2790" t="str">
        <f t="shared" si="15"/>
        <v/>
      </c>
      <c r="V312" s="452"/>
      <c r="W312" s="2781" t="str">
        <f t="shared" si="17"/>
        <v/>
      </c>
      <c r="X312" s="2937"/>
      <c r="Y312" s="2772">
        <f t="shared" si="18"/>
        <v>0</v>
      </c>
      <c r="AV312" s="4253" t="s">
        <v>3583</v>
      </c>
      <c r="AW312" s="3955">
        <f>AK170</f>
        <v>0</v>
      </c>
      <c r="AX312" s="3955">
        <f>AM170</f>
        <v>0</v>
      </c>
      <c r="AY312" s="3955">
        <f>AO170</f>
        <v>0</v>
      </c>
      <c r="AZ312" s="3955">
        <f>AQ170</f>
        <v>0</v>
      </c>
      <c r="BN312" s="3479">
        <f t="shared" si="19"/>
        <v>0</v>
      </c>
      <c r="BO312" s="3479">
        <f t="shared" si="20"/>
        <v>0</v>
      </c>
      <c r="BP312" s="3479">
        <f t="shared" si="21"/>
        <v>0</v>
      </c>
      <c r="BQ312" s="3479">
        <f t="shared" si="22"/>
        <v>0</v>
      </c>
      <c r="BR312" s="3479">
        <f t="shared" si="23"/>
        <v>0</v>
      </c>
      <c r="BS312" s="3479">
        <f t="shared" si="24"/>
        <v>0</v>
      </c>
      <c r="BT312" s="3479">
        <f t="shared" si="25"/>
        <v>0</v>
      </c>
      <c r="BU312" s="3479">
        <f t="shared" si="26"/>
        <v>0</v>
      </c>
      <c r="BV312" s="3479">
        <f t="shared" si="27"/>
        <v>0</v>
      </c>
      <c r="BW312" s="3479">
        <f t="shared" si="28"/>
        <v>0</v>
      </c>
      <c r="BX312" s="3479">
        <f t="shared" si="29"/>
        <v>0</v>
      </c>
      <c r="BY312" s="3479">
        <f t="shared" si="30"/>
        <v>0</v>
      </c>
    </row>
    <row r="313" spans="15:77">
      <c r="O313" s="1588">
        <f t="shared" si="16"/>
        <v>313</v>
      </c>
      <c r="P313" s="2935"/>
      <c r="Q313" s="2787"/>
      <c r="R313" s="452"/>
      <c r="S313" s="2784"/>
      <c r="T313" s="452"/>
      <c r="U313" s="2790" t="str">
        <f t="shared" si="15"/>
        <v/>
      </c>
      <c r="V313" s="452"/>
      <c r="W313" s="2781" t="str">
        <f t="shared" si="17"/>
        <v/>
      </c>
      <c r="X313" s="2937"/>
      <c r="Y313" s="2772">
        <f t="shared" si="18"/>
        <v>0</v>
      </c>
      <c r="AV313" s="4253" t="s">
        <v>3585</v>
      </c>
      <c r="AW313" s="3955">
        <f>ROUND(AW312*$AK$166,0)</f>
        <v>0</v>
      </c>
      <c r="AX313" s="3955">
        <f>ROUND(AX312*$AM$166,0)</f>
        <v>0</v>
      </c>
      <c r="AY313" s="3955">
        <f>ROUND(AY312*$AO$166,0)</f>
        <v>0</v>
      </c>
      <c r="AZ313" s="3955">
        <f>ROUND(AZ312*$AQ$166,0)</f>
        <v>0</v>
      </c>
      <c r="BN313" s="3479">
        <f t="shared" si="19"/>
        <v>0</v>
      </c>
      <c r="BO313" s="3479">
        <f t="shared" si="20"/>
        <v>0</v>
      </c>
      <c r="BP313" s="3479">
        <f t="shared" si="21"/>
        <v>0</v>
      </c>
      <c r="BQ313" s="3479">
        <f t="shared" si="22"/>
        <v>0</v>
      </c>
      <c r="BR313" s="3479">
        <f t="shared" si="23"/>
        <v>0</v>
      </c>
      <c r="BS313" s="3479">
        <f t="shared" si="24"/>
        <v>0</v>
      </c>
      <c r="BT313" s="3479">
        <f t="shared" si="25"/>
        <v>0</v>
      </c>
      <c r="BU313" s="3479">
        <f t="shared" si="26"/>
        <v>0</v>
      </c>
      <c r="BV313" s="3479">
        <f t="shared" si="27"/>
        <v>0</v>
      </c>
      <c r="BW313" s="3479">
        <f t="shared" si="28"/>
        <v>0</v>
      </c>
      <c r="BX313" s="3479">
        <f t="shared" si="29"/>
        <v>0</v>
      </c>
      <c r="BY313" s="3479">
        <f t="shared" si="30"/>
        <v>0</v>
      </c>
    </row>
    <row r="314" spans="15:77">
      <c r="O314" s="1588">
        <f t="shared" si="16"/>
        <v>314</v>
      </c>
      <c r="P314" s="2935"/>
      <c r="Q314" s="2787"/>
      <c r="R314" s="452"/>
      <c r="S314" s="2784"/>
      <c r="T314" s="452"/>
      <c r="U314" s="2790" t="str">
        <f t="shared" si="15"/>
        <v/>
      </c>
      <c r="V314" s="452"/>
      <c r="W314" s="2781" t="str">
        <f t="shared" si="17"/>
        <v/>
      </c>
      <c r="X314" s="2937"/>
      <c r="Y314" s="2772">
        <f t="shared" si="18"/>
        <v>0</v>
      </c>
      <c r="AV314" s="4253" t="s">
        <v>455</v>
      </c>
      <c r="AW314" s="3955">
        <f>SUM(AW311,AW313)</f>
        <v>0</v>
      </c>
      <c r="AX314" s="3955">
        <f>SUM(AX311,AX313)</f>
        <v>0</v>
      </c>
      <c r="AY314" s="3955">
        <f>SUM(AY311,AY313)</f>
        <v>0</v>
      </c>
      <c r="AZ314" s="3955">
        <f>SUM(AZ311,AZ313)</f>
        <v>0</v>
      </c>
      <c r="BN314" s="3479">
        <f t="shared" si="19"/>
        <v>0</v>
      </c>
      <c r="BO314" s="3479">
        <f t="shared" si="20"/>
        <v>0</v>
      </c>
      <c r="BP314" s="3479">
        <f t="shared" si="21"/>
        <v>0</v>
      </c>
      <c r="BQ314" s="3479">
        <f t="shared" si="22"/>
        <v>0</v>
      </c>
      <c r="BR314" s="3479">
        <f t="shared" si="23"/>
        <v>0</v>
      </c>
      <c r="BS314" s="3479">
        <f t="shared" si="24"/>
        <v>0</v>
      </c>
      <c r="BT314" s="3479">
        <f t="shared" si="25"/>
        <v>0</v>
      </c>
      <c r="BU314" s="3479">
        <f t="shared" si="26"/>
        <v>0</v>
      </c>
      <c r="BV314" s="3479">
        <f t="shared" si="27"/>
        <v>0</v>
      </c>
      <c r="BW314" s="3479">
        <f t="shared" si="28"/>
        <v>0</v>
      </c>
      <c r="BX314" s="3479">
        <f t="shared" si="29"/>
        <v>0</v>
      </c>
      <c r="BY314" s="3479">
        <f t="shared" si="30"/>
        <v>0</v>
      </c>
    </row>
    <row r="315" spans="15:77">
      <c r="O315" s="1588">
        <f t="shared" si="16"/>
        <v>315</v>
      </c>
      <c r="P315" s="2935"/>
      <c r="Q315" s="2787"/>
      <c r="R315" s="452"/>
      <c r="S315" s="2784"/>
      <c r="T315" s="452"/>
      <c r="U315" s="2790" t="str">
        <f t="shared" si="15"/>
        <v/>
      </c>
      <c r="V315" s="452"/>
      <c r="W315" s="2781" t="str">
        <f t="shared" si="17"/>
        <v/>
      </c>
      <c r="X315" s="2937"/>
      <c r="Y315" s="2772">
        <f t="shared" si="18"/>
        <v>0</v>
      </c>
      <c r="AV315" s="4253" t="s">
        <v>3591</v>
      </c>
      <c r="AW315" s="3955">
        <f>AK186</f>
        <v>0</v>
      </c>
      <c r="AX315" s="3955">
        <f>AM186</f>
        <v>0</v>
      </c>
      <c r="AY315" s="3955">
        <f>AO186</f>
        <v>0</v>
      </c>
      <c r="AZ315" s="3955">
        <f>AQ186</f>
        <v>0</v>
      </c>
      <c r="BN315" s="3479">
        <f t="shared" si="19"/>
        <v>0</v>
      </c>
      <c r="BO315" s="3479">
        <f t="shared" si="20"/>
        <v>0</v>
      </c>
      <c r="BP315" s="3479">
        <f t="shared" si="21"/>
        <v>0</v>
      </c>
      <c r="BQ315" s="3479">
        <f t="shared" si="22"/>
        <v>0</v>
      </c>
      <c r="BR315" s="3479">
        <f t="shared" si="23"/>
        <v>0</v>
      </c>
      <c r="BS315" s="3479">
        <f t="shared" si="24"/>
        <v>0</v>
      </c>
      <c r="BT315" s="3479">
        <f t="shared" si="25"/>
        <v>0</v>
      </c>
      <c r="BU315" s="3479">
        <f t="shared" si="26"/>
        <v>0</v>
      </c>
      <c r="BV315" s="3479">
        <f t="shared" si="27"/>
        <v>0</v>
      </c>
      <c r="BW315" s="3479">
        <f t="shared" si="28"/>
        <v>0</v>
      </c>
      <c r="BX315" s="3479">
        <f t="shared" si="29"/>
        <v>0</v>
      </c>
      <c r="BY315" s="3479">
        <f t="shared" si="30"/>
        <v>0</v>
      </c>
    </row>
    <row r="316" spans="15:77">
      <c r="O316" s="1588">
        <f t="shared" si="16"/>
        <v>316</v>
      </c>
      <c r="P316" s="2935"/>
      <c r="Q316" s="2787"/>
      <c r="R316" s="452"/>
      <c r="S316" s="2784"/>
      <c r="T316" s="452"/>
      <c r="U316" s="2790" t="str">
        <f t="shared" si="15"/>
        <v/>
      </c>
      <c r="V316" s="452"/>
      <c r="W316" s="2781" t="str">
        <f t="shared" si="17"/>
        <v/>
      </c>
      <c r="X316" s="2937"/>
      <c r="Y316" s="2772">
        <f t="shared" si="18"/>
        <v>0</v>
      </c>
      <c r="AV316" s="4253" t="s">
        <v>3592</v>
      </c>
      <c r="AW316" s="3955">
        <f>ROUND(AW315*AK188,0)</f>
        <v>0</v>
      </c>
      <c r="AX316" s="3955">
        <f>ROUND(AX315*AM188,0)</f>
        <v>0</v>
      </c>
      <c r="AY316" s="3955">
        <f>ROUND(AY315*AO188,0)</f>
        <v>0</v>
      </c>
      <c r="AZ316" s="3955">
        <f>ROUND(AZ315*AQ188,0)</f>
        <v>0</v>
      </c>
      <c r="BN316" s="3479">
        <f t="shared" si="19"/>
        <v>0</v>
      </c>
      <c r="BO316" s="3479">
        <f t="shared" si="20"/>
        <v>0</v>
      </c>
      <c r="BP316" s="3479">
        <f t="shared" si="21"/>
        <v>0</v>
      </c>
      <c r="BQ316" s="3479">
        <f t="shared" si="22"/>
        <v>0</v>
      </c>
      <c r="BR316" s="3479">
        <f t="shared" si="23"/>
        <v>0</v>
      </c>
      <c r="BS316" s="3479">
        <f t="shared" si="24"/>
        <v>0</v>
      </c>
      <c r="BT316" s="3479">
        <f t="shared" si="25"/>
        <v>0</v>
      </c>
      <c r="BU316" s="3479">
        <f t="shared" si="26"/>
        <v>0</v>
      </c>
      <c r="BV316" s="3479">
        <f t="shared" si="27"/>
        <v>0</v>
      </c>
      <c r="BW316" s="3479">
        <f t="shared" si="28"/>
        <v>0</v>
      </c>
      <c r="BX316" s="3479">
        <f t="shared" si="29"/>
        <v>0</v>
      </c>
      <c r="BY316" s="3479">
        <f t="shared" si="30"/>
        <v>0</v>
      </c>
    </row>
    <row r="317" spans="15:77">
      <c r="O317" s="1588">
        <f t="shared" si="16"/>
        <v>317</v>
      </c>
      <c r="P317" s="2935"/>
      <c r="Q317" s="2787"/>
      <c r="R317" s="452"/>
      <c r="S317" s="2784"/>
      <c r="T317" s="452"/>
      <c r="U317" s="2790" t="str">
        <f t="shared" si="15"/>
        <v/>
      </c>
      <c r="V317" s="452"/>
      <c r="W317" s="2781" t="str">
        <f t="shared" si="17"/>
        <v/>
      </c>
      <c r="X317" s="2937"/>
      <c r="Y317" s="2772">
        <f t="shared" si="18"/>
        <v>0</v>
      </c>
      <c r="AV317" s="4253" t="s">
        <v>75</v>
      </c>
      <c r="AW317" s="3955">
        <f>MAX(0,SUM(AW314,-AW316))</f>
        <v>0</v>
      </c>
      <c r="AX317" s="3955">
        <f>MAX(0,SUM(AX314,-AX316))</f>
        <v>0</v>
      </c>
      <c r="AY317" s="3955">
        <f>MAX(0,SUM(AY314,-AY316))</f>
        <v>0</v>
      </c>
      <c r="AZ317" s="3955">
        <f>MAX(0,SUM(AZ314,-AZ316))</f>
        <v>0</v>
      </c>
      <c r="BN317" s="3479">
        <f t="shared" si="19"/>
        <v>0</v>
      </c>
      <c r="BO317" s="3479">
        <f t="shared" si="20"/>
        <v>0</v>
      </c>
      <c r="BP317" s="3479">
        <f t="shared" si="21"/>
        <v>0</v>
      </c>
      <c r="BQ317" s="3479">
        <f t="shared" si="22"/>
        <v>0</v>
      </c>
      <c r="BR317" s="3479">
        <f t="shared" si="23"/>
        <v>0</v>
      </c>
      <c r="BS317" s="3479">
        <f t="shared" si="24"/>
        <v>0</v>
      </c>
      <c r="BT317" s="3479">
        <f t="shared" si="25"/>
        <v>0</v>
      </c>
      <c r="BU317" s="3479">
        <f t="shared" si="26"/>
        <v>0</v>
      </c>
      <c r="BV317" s="3479">
        <f t="shared" si="27"/>
        <v>0</v>
      </c>
      <c r="BW317" s="3479">
        <f t="shared" si="28"/>
        <v>0</v>
      </c>
      <c r="BX317" s="3479">
        <f t="shared" si="29"/>
        <v>0</v>
      </c>
      <c r="BY317" s="3479">
        <f t="shared" si="30"/>
        <v>0</v>
      </c>
    </row>
    <row r="318" spans="15:77">
      <c r="O318" s="1588">
        <f t="shared" si="16"/>
        <v>318</v>
      </c>
      <c r="P318" s="2935"/>
      <c r="Q318" s="2787"/>
      <c r="R318" s="452"/>
      <c r="S318" s="2784"/>
      <c r="T318" s="452"/>
      <c r="U318" s="2790" t="str">
        <f t="shared" si="15"/>
        <v/>
      </c>
      <c r="V318" s="452"/>
      <c r="W318" s="2781" t="str">
        <f t="shared" si="17"/>
        <v/>
      </c>
      <c r="X318" s="2937"/>
      <c r="Y318" s="2772">
        <f t="shared" si="18"/>
        <v>0</v>
      </c>
      <c r="AV318" s="4253" t="s">
        <v>76</v>
      </c>
      <c r="AW318" s="3955">
        <f>MAX(0,SUM(AW309,-AW317))</f>
        <v>0</v>
      </c>
      <c r="AX318" s="3955">
        <f>MAX(0,SUM(AX309,-AX317))</f>
        <v>0</v>
      </c>
      <c r="AY318" s="3955">
        <f>MAX(0,SUM(AY309,-AY317))</f>
        <v>0</v>
      </c>
      <c r="AZ318" s="3955">
        <f>MAX(0,SUM(AZ309,-AZ317))</f>
        <v>0</v>
      </c>
      <c r="BN318" s="3479">
        <f t="shared" si="19"/>
        <v>0</v>
      </c>
      <c r="BO318" s="3479">
        <f t="shared" si="20"/>
        <v>0</v>
      </c>
      <c r="BP318" s="3479">
        <f t="shared" si="21"/>
        <v>0</v>
      </c>
      <c r="BQ318" s="3479">
        <f t="shared" si="22"/>
        <v>0</v>
      </c>
      <c r="BR318" s="3479">
        <f t="shared" si="23"/>
        <v>0</v>
      </c>
      <c r="BS318" s="3479">
        <f t="shared" si="24"/>
        <v>0</v>
      </c>
      <c r="BT318" s="3479">
        <f t="shared" si="25"/>
        <v>0</v>
      </c>
      <c r="BU318" s="3479">
        <f t="shared" si="26"/>
        <v>0</v>
      </c>
      <c r="BV318" s="3479">
        <f t="shared" si="27"/>
        <v>0</v>
      </c>
      <c r="BW318" s="3479">
        <f t="shared" si="28"/>
        <v>0</v>
      </c>
      <c r="BX318" s="3479">
        <f t="shared" si="29"/>
        <v>0</v>
      </c>
      <c r="BY318" s="3479">
        <f t="shared" si="30"/>
        <v>0</v>
      </c>
    </row>
    <row r="319" spans="15:77">
      <c r="O319" s="1588">
        <f t="shared" si="16"/>
        <v>319</v>
      </c>
      <c r="P319" s="2935"/>
      <c r="Q319" s="2787"/>
      <c r="R319" s="452"/>
      <c r="S319" s="2784"/>
      <c r="T319" s="452"/>
      <c r="U319" s="2790" t="str">
        <f t="shared" si="15"/>
        <v/>
      </c>
      <c r="V319" s="452"/>
      <c r="W319" s="2781" t="str">
        <f t="shared" si="17"/>
        <v/>
      </c>
      <c r="X319" s="2937"/>
      <c r="Y319" s="2772">
        <f t="shared" si="18"/>
        <v>0</v>
      </c>
      <c r="AV319" s="4253" t="s">
        <v>232</v>
      </c>
      <c r="AW319" s="3955">
        <f>$AQ$195</f>
        <v>0</v>
      </c>
      <c r="AX319" s="3955">
        <f>$AQ$195</f>
        <v>0</v>
      </c>
      <c r="AY319" s="3955">
        <f>$AQ$195</f>
        <v>0</v>
      </c>
      <c r="AZ319" s="3955">
        <f>$AQ$195</f>
        <v>0</v>
      </c>
      <c r="BN319" s="3479">
        <f t="shared" si="19"/>
        <v>0</v>
      </c>
      <c r="BO319" s="3479">
        <f t="shared" si="20"/>
        <v>0</v>
      </c>
      <c r="BP319" s="3479">
        <f t="shared" si="21"/>
        <v>0</v>
      </c>
      <c r="BQ319" s="3479">
        <f t="shared" si="22"/>
        <v>0</v>
      </c>
      <c r="BR319" s="3479">
        <f t="shared" si="23"/>
        <v>0</v>
      </c>
      <c r="BS319" s="3479">
        <f t="shared" si="24"/>
        <v>0</v>
      </c>
      <c r="BT319" s="3479">
        <f t="shared" si="25"/>
        <v>0</v>
      </c>
      <c r="BU319" s="3479">
        <f t="shared" si="26"/>
        <v>0</v>
      </c>
      <c r="BV319" s="3479">
        <f t="shared" si="27"/>
        <v>0</v>
      </c>
      <c r="BW319" s="3479">
        <f t="shared" si="28"/>
        <v>0</v>
      </c>
      <c r="BX319" s="3479">
        <f t="shared" si="29"/>
        <v>0</v>
      </c>
      <c r="BY319" s="3479">
        <f t="shared" si="30"/>
        <v>0</v>
      </c>
    </row>
    <row r="320" spans="15:77">
      <c r="O320" s="1588">
        <f t="shared" si="16"/>
        <v>320</v>
      </c>
      <c r="P320" s="2935"/>
      <c r="Q320" s="2787"/>
      <c r="R320" s="452"/>
      <c r="S320" s="2784"/>
      <c r="T320" s="452"/>
      <c r="U320" s="2790" t="str">
        <f t="shared" si="15"/>
        <v/>
      </c>
      <c r="V320" s="452"/>
      <c r="W320" s="2781" t="str">
        <f t="shared" si="17"/>
        <v/>
      </c>
      <c r="X320" s="2937"/>
      <c r="Y320" s="2772">
        <f t="shared" si="18"/>
        <v>0</v>
      </c>
      <c r="AV320" s="4253" t="s">
        <v>233</v>
      </c>
      <c r="AW320" s="3955">
        <f>MIN(AW309,AW317)</f>
        <v>0</v>
      </c>
      <c r="AX320" s="3955">
        <f>MIN(AX309,AX317)</f>
        <v>0</v>
      </c>
      <c r="AY320" s="3955">
        <f>MIN(AY309,AY317)</f>
        <v>0</v>
      </c>
      <c r="AZ320" s="3955">
        <f>MIN(AZ309,AZ317)</f>
        <v>0</v>
      </c>
      <c r="BN320" s="3479">
        <f t="shared" si="19"/>
        <v>0</v>
      </c>
      <c r="BO320" s="3479">
        <f t="shared" si="20"/>
        <v>0</v>
      </c>
      <c r="BP320" s="3479">
        <f t="shared" si="21"/>
        <v>0</v>
      </c>
      <c r="BQ320" s="3479">
        <f t="shared" si="22"/>
        <v>0</v>
      </c>
      <c r="BR320" s="3479">
        <f t="shared" si="23"/>
        <v>0</v>
      </c>
      <c r="BS320" s="3479">
        <f t="shared" si="24"/>
        <v>0</v>
      </c>
      <c r="BT320" s="3479">
        <f t="shared" si="25"/>
        <v>0</v>
      </c>
      <c r="BU320" s="3479">
        <f t="shared" si="26"/>
        <v>0</v>
      </c>
      <c r="BV320" s="3479">
        <f t="shared" si="27"/>
        <v>0</v>
      </c>
      <c r="BW320" s="3479">
        <f t="shared" si="28"/>
        <v>0</v>
      </c>
      <c r="BX320" s="3479">
        <f t="shared" si="29"/>
        <v>0</v>
      </c>
      <c r="BY320" s="3479">
        <f t="shared" si="30"/>
        <v>0</v>
      </c>
    </row>
    <row r="321" spans="15:77">
      <c r="O321" s="1588">
        <f t="shared" si="16"/>
        <v>321</v>
      </c>
      <c r="P321" s="2935"/>
      <c r="Q321" s="2787"/>
      <c r="R321" s="452"/>
      <c r="S321" s="2784"/>
      <c r="T321" s="452"/>
      <c r="U321" s="2790" t="str">
        <f t="shared" si="15"/>
        <v/>
      </c>
      <c r="V321" s="452"/>
      <c r="W321" s="2781" t="str">
        <f t="shared" si="17"/>
        <v/>
      </c>
      <c r="X321" s="2937"/>
      <c r="Y321" s="2772">
        <f t="shared" si="18"/>
        <v>0</v>
      </c>
      <c r="AV321" s="4253" t="s">
        <v>337</v>
      </c>
      <c r="AW321" s="3955">
        <f>MIN(AW318,AW320)</f>
        <v>0</v>
      </c>
      <c r="AX321" s="3955">
        <f>MIN(AX318,AX320)</f>
        <v>0</v>
      </c>
      <c r="AY321" s="3955">
        <f>MIN(AY318,AY320)</f>
        <v>0</v>
      </c>
      <c r="AZ321" s="3955">
        <f>MIN(AZ318,AZ320)</f>
        <v>0</v>
      </c>
      <c r="BN321" s="3479">
        <f t="shared" si="19"/>
        <v>0</v>
      </c>
      <c r="BO321" s="3479">
        <f t="shared" si="20"/>
        <v>0</v>
      </c>
      <c r="BP321" s="3479">
        <f t="shared" si="21"/>
        <v>0</v>
      </c>
      <c r="BQ321" s="3479">
        <f t="shared" si="22"/>
        <v>0</v>
      </c>
      <c r="BR321" s="3479">
        <f t="shared" si="23"/>
        <v>0</v>
      </c>
      <c r="BS321" s="3479">
        <f t="shared" si="24"/>
        <v>0</v>
      </c>
      <c r="BT321" s="3479">
        <f t="shared" si="25"/>
        <v>0</v>
      </c>
      <c r="BU321" s="3479">
        <f t="shared" si="26"/>
        <v>0</v>
      </c>
      <c r="BV321" s="3479">
        <f t="shared" si="27"/>
        <v>0</v>
      </c>
      <c r="BW321" s="3479">
        <f t="shared" si="28"/>
        <v>0</v>
      </c>
      <c r="BX321" s="3479">
        <f t="shared" si="29"/>
        <v>0</v>
      </c>
      <c r="BY321" s="3479">
        <f t="shared" si="30"/>
        <v>0</v>
      </c>
    </row>
    <row r="322" spans="15:77">
      <c r="O322" s="1588">
        <f t="shared" si="16"/>
        <v>322</v>
      </c>
      <c r="P322" s="2935"/>
      <c r="Q322" s="2787"/>
      <c r="R322" s="452"/>
      <c r="S322" s="2784"/>
      <c r="T322" s="452"/>
      <c r="U322" s="2790" t="str">
        <f t="shared" si="15"/>
        <v/>
      </c>
      <c r="V322" s="452"/>
      <c r="W322" s="2781" t="str">
        <f t="shared" si="17"/>
        <v/>
      </c>
      <c r="X322" s="2937"/>
      <c r="Y322" s="2772">
        <f t="shared" si="18"/>
        <v>0</v>
      </c>
      <c r="AV322" s="4253" t="s">
        <v>338</v>
      </c>
      <c r="AW322" s="3955">
        <f>SUM(AW320,-AW321)</f>
        <v>0</v>
      </c>
      <c r="AX322" s="3955">
        <f>SUM(AX320,-AX321)</f>
        <v>0</v>
      </c>
      <c r="AY322" s="3955">
        <f>SUM(AY320,-AY321)</f>
        <v>0</v>
      </c>
      <c r="AZ322" s="3955">
        <f>SUM(AZ320,-AZ321)</f>
        <v>0</v>
      </c>
      <c r="BN322" s="3479">
        <f t="shared" si="19"/>
        <v>0</v>
      </c>
      <c r="BO322" s="3479">
        <f t="shared" si="20"/>
        <v>0</v>
      </c>
      <c r="BP322" s="3479">
        <f t="shared" si="21"/>
        <v>0</v>
      </c>
      <c r="BQ322" s="3479">
        <f t="shared" si="22"/>
        <v>0</v>
      </c>
      <c r="BR322" s="3479">
        <f t="shared" si="23"/>
        <v>0</v>
      </c>
      <c r="BS322" s="3479">
        <f t="shared" si="24"/>
        <v>0</v>
      </c>
      <c r="BT322" s="3479">
        <f t="shared" si="25"/>
        <v>0</v>
      </c>
      <c r="BU322" s="3479">
        <f t="shared" si="26"/>
        <v>0</v>
      </c>
      <c r="BV322" s="3479">
        <f t="shared" si="27"/>
        <v>0</v>
      </c>
      <c r="BW322" s="3479">
        <f t="shared" si="28"/>
        <v>0</v>
      </c>
      <c r="BX322" s="3479">
        <f t="shared" si="29"/>
        <v>0</v>
      </c>
      <c r="BY322" s="3479">
        <f t="shared" si="30"/>
        <v>0</v>
      </c>
    </row>
    <row r="323" spans="15:77">
      <c r="O323" s="1588">
        <f t="shared" si="16"/>
        <v>323</v>
      </c>
      <c r="P323" s="2935"/>
      <c r="Q323" s="2787"/>
      <c r="R323" s="452"/>
      <c r="S323" s="2784"/>
      <c r="T323" s="452"/>
      <c r="U323" s="2790" t="str">
        <f t="shared" si="15"/>
        <v/>
      </c>
      <c r="V323" s="452"/>
      <c r="W323" s="2781" t="str">
        <f t="shared" si="17"/>
        <v/>
      </c>
      <c r="X323" s="2937"/>
      <c r="Y323" s="2772">
        <f t="shared" si="18"/>
        <v>0</v>
      </c>
      <c r="AV323" s="4253" t="s">
        <v>339</v>
      </c>
      <c r="AW323" s="3955">
        <f>MIN(AW309,AW317)</f>
        <v>0</v>
      </c>
      <c r="AX323" s="3955">
        <f>MIN(AX309,AX317)</f>
        <v>0</v>
      </c>
      <c r="AY323" s="3955">
        <f>MIN(AY309,AY317)</f>
        <v>0</v>
      </c>
      <c r="AZ323" s="3955">
        <f>MIN(AZ309,AZ317)</f>
        <v>0</v>
      </c>
      <c r="BN323" s="3479">
        <f t="shared" si="19"/>
        <v>0</v>
      </c>
      <c r="BO323" s="3479">
        <f t="shared" si="20"/>
        <v>0</v>
      </c>
      <c r="BP323" s="3479">
        <f t="shared" si="21"/>
        <v>0</v>
      </c>
      <c r="BQ323" s="3479">
        <f t="shared" si="22"/>
        <v>0</v>
      </c>
      <c r="BR323" s="3479">
        <f t="shared" si="23"/>
        <v>0</v>
      </c>
      <c r="BS323" s="3479">
        <f t="shared" si="24"/>
        <v>0</v>
      </c>
      <c r="BT323" s="3479">
        <f t="shared" si="25"/>
        <v>0</v>
      </c>
      <c r="BU323" s="3479">
        <f t="shared" si="26"/>
        <v>0</v>
      </c>
      <c r="BV323" s="3479">
        <f t="shared" si="27"/>
        <v>0</v>
      </c>
      <c r="BW323" s="3479">
        <f t="shared" si="28"/>
        <v>0</v>
      </c>
      <c r="BX323" s="3479">
        <f t="shared" si="29"/>
        <v>0</v>
      </c>
      <c r="BY323" s="3479">
        <f t="shared" si="30"/>
        <v>0</v>
      </c>
    </row>
    <row r="324" spans="15:77">
      <c r="O324" s="1588">
        <f>ROW(Q324)</f>
        <v>324</v>
      </c>
      <c r="P324" s="2935"/>
      <c r="Q324" s="2787"/>
      <c r="R324" s="452"/>
      <c r="S324" s="2784"/>
      <c r="T324" s="452"/>
      <c r="U324" s="2790" t="str">
        <f t="shared" si="15"/>
        <v/>
      </c>
      <c r="V324" s="452"/>
      <c r="W324" s="2781" t="str">
        <f t="shared" si="17"/>
        <v/>
      </c>
      <c r="X324" s="2937"/>
      <c r="Y324" s="2772">
        <f t="shared" si="18"/>
        <v>0</v>
      </c>
      <c r="AV324" s="4253" t="s">
        <v>498</v>
      </c>
      <c r="AW324" s="3955">
        <f>AW322</f>
        <v>0</v>
      </c>
      <c r="AX324" s="3955">
        <f>AX322</f>
        <v>0</v>
      </c>
      <c r="AY324" s="3955">
        <f>AY322</f>
        <v>0</v>
      </c>
      <c r="AZ324" s="3955">
        <f>AZ322</f>
        <v>0</v>
      </c>
      <c r="BN324" s="3479">
        <f t="shared" si="19"/>
        <v>0</v>
      </c>
      <c r="BO324" s="3479">
        <f t="shared" si="20"/>
        <v>0</v>
      </c>
      <c r="BP324" s="3479">
        <f t="shared" si="21"/>
        <v>0</v>
      </c>
      <c r="BQ324" s="3479">
        <f t="shared" si="22"/>
        <v>0</v>
      </c>
      <c r="BR324" s="3479">
        <f t="shared" si="23"/>
        <v>0</v>
      </c>
      <c r="BS324" s="3479">
        <f t="shared" si="24"/>
        <v>0</v>
      </c>
      <c r="BT324" s="3479">
        <f t="shared" si="25"/>
        <v>0</v>
      </c>
      <c r="BU324" s="3479">
        <f t="shared" si="26"/>
        <v>0</v>
      </c>
      <c r="BV324" s="3479">
        <f t="shared" si="27"/>
        <v>0</v>
      </c>
      <c r="BW324" s="3479">
        <f t="shared" si="28"/>
        <v>0</v>
      </c>
      <c r="BX324" s="3479">
        <f t="shared" si="29"/>
        <v>0</v>
      </c>
      <c r="BY324" s="3479">
        <f t="shared" si="30"/>
        <v>0</v>
      </c>
    </row>
    <row r="325" spans="15:77" ht="12.6" customHeight="1">
      <c r="O325" s="1588">
        <f t="shared" si="16"/>
        <v>325</v>
      </c>
      <c r="P325" s="2935"/>
      <c r="Q325" s="2787"/>
      <c r="R325" s="452"/>
      <c r="S325" s="2784"/>
      <c r="T325" s="452"/>
      <c r="U325" s="2790" t="str">
        <f t="shared" si="15"/>
        <v/>
      </c>
      <c r="V325" s="452"/>
      <c r="W325" s="2781" t="str">
        <f t="shared" si="17"/>
        <v/>
      </c>
      <c r="X325" s="2937"/>
      <c r="Y325" s="2772">
        <f t="shared" si="18"/>
        <v>0</v>
      </c>
      <c r="AV325" s="4253" t="s">
        <v>499</v>
      </c>
      <c r="AW325" s="3955">
        <f>SUM(AW323,-AW324)</f>
        <v>0</v>
      </c>
      <c r="AX325" s="3955">
        <f>SUM(AX323,-AX324)</f>
        <v>0</v>
      </c>
      <c r="AY325" s="3955">
        <f>SUM(AY323,-AY324)</f>
        <v>0</v>
      </c>
      <c r="AZ325" s="3955">
        <f>SUM(AZ323,-AZ324)</f>
        <v>0</v>
      </c>
      <c r="BN325" s="3479">
        <f t="shared" si="19"/>
        <v>0</v>
      </c>
      <c r="BO325" s="3479">
        <f t="shared" si="20"/>
        <v>0</v>
      </c>
      <c r="BP325" s="3479">
        <f t="shared" si="21"/>
        <v>0</v>
      </c>
      <c r="BQ325" s="3479">
        <f t="shared" si="22"/>
        <v>0</v>
      </c>
      <c r="BR325" s="3479">
        <f t="shared" si="23"/>
        <v>0</v>
      </c>
      <c r="BS325" s="3479">
        <f t="shared" si="24"/>
        <v>0</v>
      </c>
      <c r="BT325" s="3479">
        <f t="shared" si="25"/>
        <v>0</v>
      </c>
      <c r="BU325" s="3479">
        <f t="shared" si="26"/>
        <v>0</v>
      </c>
      <c r="BV325" s="3479">
        <f t="shared" si="27"/>
        <v>0</v>
      </c>
      <c r="BW325" s="3479">
        <f t="shared" si="28"/>
        <v>0</v>
      </c>
      <c r="BX325" s="3479">
        <f t="shared" si="29"/>
        <v>0</v>
      </c>
      <c r="BY325" s="3479">
        <f t="shared" si="30"/>
        <v>0</v>
      </c>
    </row>
    <row r="326" spans="15:77">
      <c r="O326" s="1588">
        <f t="shared" si="16"/>
        <v>326</v>
      </c>
      <c r="P326" s="2935"/>
      <c r="Q326" s="2787"/>
      <c r="R326" s="452"/>
      <c r="S326" s="2784"/>
      <c r="T326" s="452"/>
      <c r="U326" s="2790" t="str">
        <f t="shared" si="15"/>
        <v/>
      </c>
      <c r="V326" s="452"/>
      <c r="W326" s="2781" t="str">
        <f t="shared" si="17"/>
        <v/>
      </c>
      <c r="X326" s="2937"/>
      <c r="Y326" s="2772">
        <f t="shared" si="18"/>
        <v>0</v>
      </c>
      <c r="AV326" s="4253" t="s">
        <v>500</v>
      </c>
      <c r="AW326" s="46">
        <f>ROUND(AW254*$AC$213,0)</f>
        <v>0</v>
      </c>
      <c r="AX326" s="46">
        <f>ROUND(AX254*$AC$213,0)</f>
        <v>0</v>
      </c>
      <c r="AY326" s="46">
        <f>ROUND(AY254*$AC$213,0)</f>
        <v>0</v>
      </c>
      <c r="AZ326" s="46">
        <f>ROUND(AZ254*$AC$213,0)</f>
        <v>0</v>
      </c>
      <c r="BN326" s="3479">
        <f t="shared" si="19"/>
        <v>0</v>
      </c>
      <c r="BO326" s="3479">
        <f t="shared" si="20"/>
        <v>0</v>
      </c>
      <c r="BP326" s="3479">
        <f t="shared" si="21"/>
        <v>0</v>
      </c>
      <c r="BQ326" s="3479">
        <f t="shared" si="22"/>
        <v>0</v>
      </c>
      <c r="BR326" s="3479">
        <f t="shared" si="23"/>
        <v>0</v>
      </c>
      <c r="BS326" s="3479">
        <f t="shared" si="24"/>
        <v>0</v>
      </c>
      <c r="BT326" s="3479">
        <f t="shared" si="25"/>
        <v>0</v>
      </c>
      <c r="BU326" s="3479">
        <f t="shared" si="26"/>
        <v>0</v>
      </c>
      <c r="BV326" s="3479">
        <f t="shared" si="27"/>
        <v>0</v>
      </c>
      <c r="BW326" s="3479">
        <f t="shared" si="28"/>
        <v>0</v>
      </c>
      <c r="BX326" s="3479">
        <f t="shared" si="29"/>
        <v>0</v>
      </c>
      <c r="BY326" s="3479">
        <f t="shared" si="30"/>
        <v>0</v>
      </c>
    </row>
    <row r="327" spans="15:77">
      <c r="O327" s="1588">
        <f t="shared" si="16"/>
        <v>327</v>
      </c>
      <c r="P327" s="2935"/>
      <c r="Q327" s="2787"/>
      <c r="R327" s="452"/>
      <c r="S327" s="2784"/>
      <c r="T327" s="452"/>
      <c r="U327" s="2790" t="str">
        <f t="shared" si="15"/>
        <v/>
      </c>
      <c r="V327" s="452"/>
      <c r="W327" s="2781" t="str">
        <f t="shared" si="17"/>
        <v/>
      </c>
      <c r="X327" s="2937"/>
      <c r="Y327" s="2772">
        <f t="shared" si="18"/>
        <v>0</v>
      </c>
      <c r="AV327" s="4253" t="s">
        <v>215</v>
      </c>
      <c r="AW327" s="3955" t="str">
        <f>BT163</f>
        <v>Filing status?</v>
      </c>
      <c r="AX327" s="3955" t="str">
        <f>BT169</f>
        <v>Filing status?</v>
      </c>
      <c r="AY327" s="3955" t="str">
        <f>BT175</f>
        <v>Filing status?</v>
      </c>
      <c r="AZ327" s="3955" t="str">
        <f>BT181</f>
        <v>Filing status?</v>
      </c>
      <c r="BN327" s="3479">
        <f t="shared" si="19"/>
        <v>0</v>
      </c>
      <c r="BO327" s="3479">
        <f t="shared" si="20"/>
        <v>0</v>
      </c>
      <c r="BP327" s="3479">
        <f t="shared" si="21"/>
        <v>0</v>
      </c>
      <c r="BQ327" s="3479">
        <f t="shared" si="22"/>
        <v>0</v>
      </c>
      <c r="BR327" s="3479">
        <f t="shared" si="23"/>
        <v>0</v>
      </c>
      <c r="BS327" s="3479">
        <f t="shared" si="24"/>
        <v>0</v>
      </c>
      <c r="BT327" s="3479">
        <f t="shared" si="25"/>
        <v>0</v>
      </c>
      <c r="BU327" s="3479">
        <f t="shared" si="26"/>
        <v>0</v>
      </c>
      <c r="BV327" s="3479">
        <f t="shared" si="27"/>
        <v>0</v>
      </c>
      <c r="BW327" s="3479">
        <f t="shared" si="28"/>
        <v>0</v>
      </c>
      <c r="BX327" s="3479">
        <f t="shared" si="29"/>
        <v>0</v>
      </c>
      <c r="BY327" s="3479">
        <f t="shared" si="30"/>
        <v>0</v>
      </c>
    </row>
    <row r="328" spans="15:77">
      <c r="O328" s="1588">
        <f t="shared" si="16"/>
        <v>328</v>
      </c>
      <c r="P328" s="2935"/>
      <c r="Q328" s="2787"/>
      <c r="R328" s="452"/>
      <c r="S328" s="2784"/>
      <c r="T328" s="452"/>
      <c r="U328" s="2790" t="str">
        <f t="shared" si="15"/>
        <v/>
      </c>
      <c r="V328" s="452"/>
      <c r="W328" s="2781" t="str">
        <f t="shared" si="17"/>
        <v/>
      </c>
      <c r="X328" s="2937"/>
      <c r="Y328" s="2772">
        <f t="shared" si="18"/>
        <v>0</v>
      </c>
      <c r="AV328" s="4253" t="s">
        <v>559</v>
      </c>
      <c r="AW328" s="3955">
        <f>SUM(AW326,AW327)</f>
        <v>0</v>
      </c>
      <c r="AX328" s="3955">
        <f>SUM(AX326,AX327)</f>
        <v>0</v>
      </c>
      <c r="AY328" s="3955">
        <f>SUM(AY326,AY327)</f>
        <v>0</v>
      </c>
      <c r="AZ328" s="3955">
        <f>SUM(AZ326,AZ327)</f>
        <v>0</v>
      </c>
      <c r="BN328" s="3479">
        <f t="shared" si="19"/>
        <v>0</v>
      </c>
      <c r="BO328" s="3479">
        <f t="shared" si="20"/>
        <v>0</v>
      </c>
      <c r="BP328" s="3479">
        <f t="shared" si="21"/>
        <v>0</v>
      </c>
      <c r="BQ328" s="3479">
        <f t="shared" si="22"/>
        <v>0</v>
      </c>
      <c r="BR328" s="3479">
        <f t="shared" si="23"/>
        <v>0</v>
      </c>
      <c r="BS328" s="3479">
        <f t="shared" si="24"/>
        <v>0</v>
      </c>
      <c r="BT328" s="3479">
        <f t="shared" si="25"/>
        <v>0</v>
      </c>
      <c r="BU328" s="3479">
        <f t="shared" si="26"/>
        <v>0</v>
      </c>
      <c r="BV328" s="3479">
        <f t="shared" si="27"/>
        <v>0</v>
      </c>
      <c r="BW328" s="3479">
        <f t="shared" si="28"/>
        <v>0</v>
      </c>
      <c r="BX328" s="3479">
        <f t="shared" si="29"/>
        <v>0</v>
      </c>
      <c r="BY328" s="3479">
        <f t="shared" si="30"/>
        <v>0</v>
      </c>
    </row>
    <row r="329" spans="15:77">
      <c r="O329" s="1588">
        <f t="shared" si="16"/>
        <v>329</v>
      </c>
      <c r="P329" s="2935"/>
      <c r="Q329" s="2787"/>
      <c r="R329" s="452"/>
      <c r="S329" s="2784"/>
      <c r="T329" s="452"/>
      <c r="U329" s="2790" t="str">
        <f t="shared" si="15"/>
        <v/>
      </c>
      <c r="V329" s="452"/>
      <c r="W329" s="2781" t="str">
        <f t="shared" si="17"/>
        <v/>
      </c>
      <c r="X329" s="2937"/>
      <c r="Y329" s="2772">
        <f t="shared" si="18"/>
        <v>0</v>
      </c>
      <c r="AV329" s="4253" t="s">
        <v>560</v>
      </c>
      <c r="AW329" s="3955" t="str">
        <f>$BT$139</f>
        <v>Filing status?</v>
      </c>
      <c r="AX329" s="3955" t="str">
        <f>$BZ$139</f>
        <v>Filing status?</v>
      </c>
      <c r="AY329" s="3955" t="str">
        <f>$BT$145</f>
        <v>Filing status?</v>
      </c>
      <c r="AZ329" s="3955" t="str">
        <f>$BZ$145</f>
        <v>Filing status?</v>
      </c>
      <c r="BN329" s="3479">
        <f t="shared" si="19"/>
        <v>0</v>
      </c>
      <c r="BO329" s="3479">
        <f t="shared" si="20"/>
        <v>0</v>
      </c>
      <c r="BP329" s="3479">
        <f t="shared" si="21"/>
        <v>0</v>
      </c>
      <c r="BQ329" s="3479">
        <f t="shared" si="22"/>
        <v>0</v>
      </c>
      <c r="BR329" s="3479">
        <f t="shared" si="23"/>
        <v>0</v>
      </c>
      <c r="BS329" s="3479">
        <f t="shared" si="24"/>
        <v>0</v>
      </c>
      <c r="BT329" s="3479">
        <f t="shared" si="25"/>
        <v>0</v>
      </c>
      <c r="BU329" s="3479">
        <f t="shared" si="26"/>
        <v>0</v>
      </c>
      <c r="BV329" s="3479">
        <f t="shared" si="27"/>
        <v>0</v>
      </c>
      <c r="BW329" s="3479">
        <f t="shared" si="28"/>
        <v>0</v>
      </c>
      <c r="BX329" s="3479">
        <f t="shared" si="29"/>
        <v>0</v>
      </c>
      <c r="BY329" s="3479">
        <f t="shared" si="30"/>
        <v>0</v>
      </c>
    </row>
    <row r="330" spans="15:77">
      <c r="O330" s="1588">
        <f>ROW(Q330)</f>
        <v>330</v>
      </c>
      <c r="P330" s="2935"/>
      <c r="Q330" s="2787"/>
      <c r="R330" s="452"/>
      <c r="S330" s="2784"/>
      <c r="T330" s="452"/>
      <c r="U330" s="2790" t="str">
        <f t="shared" si="15"/>
        <v/>
      </c>
      <c r="V330" s="452"/>
      <c r="W330" s="2781" t="str">
        <f t="shared" si="17"/>
        <v/>
      </c>
      <c r="X330" s="2937"/>
      <c r="Y330" s="2772">
        <f t="shared" si="18"/>
        <v>0</v>
      </c>
      <c r="AV330" s="4253" t="s">
        <v>561</v>
      </c>
      <c r="AW330" s="3955">
        <f>MIN(AW328,AW329)</f>
        <v>0</v>
      </c>
      <c r="AX330" s="3955">
        <f>MIN(AX328,AX329)</f>
        <v>0</v>
      </c>
      <c r="AY330" s="3955">
        <f>MIN(AY328,AY329)</f>
        <v>0</v>
      </c>
      <c r="AZ330" s="3955">
        <f>MIN(AZ328,AZ329)</f>
        <v>0</v>
      </c>
      <c r="BN330" s="3479">
        <f t="shared" si="19"/>
        <v>0</v>
      </c>
      <c r="BO330" s="3479">
        <f t="shared" si="20"/>
        <v>0</v>
      </c>
      <c r="BP330" s="3479">
        <f t="shared" si="21"/>
        <v>0</v>
      </c>
      <c r="BQ330" s="3479">
        <f t="shared" si="22"/>
        <v>0</v>
      </c>
      <c r="BR330" s="3479">
        <f t="shared" si="23"/>
        <v>0</v>
      </c>
      <c r="BS330" s="3479">
        <f t="shared" si="24"/>
        <v>0</v>
      </c>
      <c r="BT330" s="3479">
        <f t="shared" si="25"/>
        <v>0</v>
      </c>
      <c r="BU330" s="3479">
        <f t="shared" si="26"/>
        <v>0</v>
      </c>
      <c r="BV330" s="3479">
        <f t="shared" si="27"/>
        <v>0</v>
      </c>
      <c r="BW330" s="3479">
        <f t="shared" si="28"/>
        <v>0</v>
      </c>
      <c r="BX330" s="3479">
        <f t="shared" si="29"/>
        <v>0</v>
      </c>
      <c r="BY330" s="3479">
        <f t="shared" si="30"/>
        <v>0</v>
      </c>
    </row>
    <row r="331" spans="15:77">
      <c r="O331" s="1588">
        <f t="shared" si="16"/>
        <v>331</v>
      </c>
      <c r="P331" s="2935"/>
      <c r="Q331" s="2787"/>
      <c r="R331" s="452"/>
      <c r="S331" s="2784"/>
      <c r="T331" s="452"/>
      <c r="U331" s="2790" t="str">
        <f t="shared" si="15"/>
        <v/>
      </c>
      <c r="V331" s="452"/>
      <c r="W331" s="2781" t="str">
        <f t="shared" si="17"/>
        <v/>
      </c>
      <c r="X331" s="2937"/>
      <c r="Y331" s="2772">
        <f t="shared" si="18"/>
        <v>0</v>
      </c>
      <c r="BN331" s="3479">
        <f t="shared" si="19"/>
        <v>0</v>
      </c>
      <c r="BO331" s="3479">
        <f t="shared" si="20"/>
        <v>0</v>
      </c>
      <c r="BP331" s="3479">
        <f t="shared" si="21"/>
        <v>0</v>
      </c>
      <c r="BQ331" s="3479">
        <f t="shared" si="22"/>
        <v>0</v>
      </c>
      <c r="BR331" s="3479">
        <f t="shared" si="23"/>
        <v>0</v>
      </c>
      <c r="BS331" s="3479">
        <f t="shared" si="24"/>
        <v>0</v>
      </c>
      <c r="BT331" s="3479">
        <f t="shared" si="25"/>
        <v>0</v>
      </c>
      <c r="BU331" s="3479">
        <f t="shared" si="26"/>
        <v>0</v>
      </c>
      <c r="BV331" s="3479">
        <f t="shared" si="27"/>
        <v>0</v>
      </c>
      <c r="BW331" s="3479">
        <f t="shared" si="28"/>
        <v>0</v>
      </c>
      <c r="BX331" s="3479">
        <f t="shared" si="29"/>
        <v>0</v>
      </c>
      <c r="BY331" s="3479">
        <f t="shared" si="30"/>
        <v>0</v>
      </c>
    </row>
    <row r="332" spans="15:77" ht="13.5" thickBot="1">
      <c r="O332" s="1588">
        <f t="shared" si="16"/>
        <v>332</v>
      </c>
      <c r="P332" s="2935"/>
      <c r="Q332" s="2788"/>
      <c r="R332" s="452"/>
      <c r="S332" s="2785"/>
      <c r="T332" s="452"/>
      <c r="U332" s="2791" t="str">
        <f t="shared" si="15"/>
        <v/>
      </c>
      <c r="V332" s="452"/>
      <c r="W332" s="2782" t="str">
        <f t="shared" si="17"/>
        <v/>
      </c>
      <c r="X332" s="2937"/>
      <c r="Y332" s="2772">
        <f t="shared" si="18"/>
        <v>0</v>
      </c>
      <c r="BN332" s="3479">
        <f t="shared" si="19"/>
        <v>0</v>
      </c>
      <c r="BO332" s="3479">
        <f t="shared" si="20"/>
        <v>0</v>
      </c>
      <c r="BP332" s="3479">
        <f t="shared" si="21"/>
        <v>0</v>
      </c>
      <c r="BQ332" s="3479">
        <f t="shared" si="22"/>
        <v>0</v>
      </c>
      <c r="BR332" s="3479">
        <f t="shared" si="23"/>
        <v>0</v>
      </c>
      <c r="BS332" s="3479">
        <f t="shared" si="24"/>
        <v>0</v>
      </c>
      <c r="BT332" s="3479">
        <f t="shared" si="25"/>
        <v>0</v>
      </c>
      <c r="BU332" s="3479">
        <f t="shared" si="26"/>
        <v>0</v>
      </c>
      <c r="BV332" s="3479">
        <f t="shared" si="27"/>
        <v>0</v>
      </c>
      <c r="BW332" s="3479">
        <f t="shared" si="28"/>
        <v>0</v>
      </c>
      <c r="BX332" s="3479">
        <f t="shared" si="29"/>
        <v>0</v>
      </c>
      <c r="BY332" s="3479">
        <f t="shared" si="30"/>
        <v>0</v>
      </c>
    </row>
    <row r="333" spans="15:77" ht="14.25" thickTop="1" thickBot="1">
      <c r="O333" s="1616"/>
      <c r="P333" s="2941"/>
      <c r="Q333" s="2942"/>
      <c r="R333" s="2942"/>
      <c r="S333" s="2942"/>
      <c r="T333" s="2942"/>
      <c r="U333" s="2942"/>
      <c r="V333" s="2942"/>
      <c r="W333" s="2942"/>
      <c r="X333" s="2943"/>
      <c r="Y333" s="2772"/>
      <c r="BN333" s="3480">
        <f t="shared" ref="BN333:BY333" si="31">ROUND(SUM(BN278:BN332),2)</f>
        <v>0</v>
      </c>
      <c r="BO333" s="3480">
        <f t="shared" si="31"/>
        <v>0</v>
      </c>
      <c r="BP333" s="3480">
        <f t="shared" si="31"/>
        <v>0</v>
      </c>
      <c r="BQ333" s="3480">
        <f t="shared" si="31"/>
        <v>0</v>
      </c>
      <c r="BR333" s="3480">
        <f t="shared" si="31"/>
        <v>0</v>
      </c>
      <c r="BS333" s="3480">
        <f t="shared" si="31"/>
        <v>0</v>
      </c>
      <c r="BT333" s="3480">
        <f t="shared" si="31"/>
        <v>0</v>
      </c>
      <c r="BU333" s="3480">
        <f t="shared" si="31"/>
        <v>0</v>
      </c>
      <c r="BV333" s="3480">
        <f t="shared" si="31"/>
        <v>0</v>
      </c>
      <c r="BW333" s="3480">
        <f t="shared" si="31"/>
        <v>0</v>
      </c>
      <c r="BX333" s="3480">
        <f t="shared" si="31"/>
        <v>0</v>
      </c>
      <c r="BY333" s="3480">
        <f t="shared" si="31"/>
        <v>0</v>
      </c>
    </row>
    <row r="334" spans="15:77" ht="13.5" thickTop="1">
      <c r="O334" s="2749"/>
      <c r="P334" s="1408"/>
      <c r="Q334" s="1408"/>
      <c r="R334" s="1408"/>
      <c r="S334" s="1408"/>
      <c r="T334" s="1408"/>
      <c r="U334" s="1408"/>
      <c r="V334" s="1408"/>
      <c r="W334" s="1408"/>
      <c r="X334" s="1408"/>
      <c r="Y334" s="1408"/>
    </row>
    <row r="336" spans="15:77">
      <c r="AF336" s="661"/>
      <c r="AG336" s="661"/>
      <c r="AH336" s="661"/>
      <c r="AI336" s="661"/>
      <c r="AJ336" s="661"/>
      <c r="AM336" s="661"/>
    </row>
    <row r="337" spans="2:53">
      <c r="AK337" s="661"/>
      <c r="AL337" s="661"/>
    </row>
    <row r="339" spans="2:53">
      <c r="B339" s="46"/>
      <c r="C339" s="46"/>
      <c r="D339" s="46"/>
      <c r="E339" s="46"/>
      <c r="L339" s="46"/>
      <c r="M339" s="46"/>
      <c r="N339" s="46"/>
      <c r="O339" s="46"/>
      <c r="P339" s="46"/>
      <c r="Q339" s="46"/>
      <c r="R339" s="46"/>
      <c r="S339" s="46"/>
      <c r="T339" s="46"/>
      <c r="U339" s="46"/>
      <c r="V339" s="46"/>
      <c r="W339" s="46"/>
      <c r="X339" s="46"/>
      <c r="Y339" s="242"/>
    </row>
    <row r="340" spans="2:53">
      <c r="B340" s="361"/>
      <c r="C340" s="361"/>
      <c r="D340" s="361"/>
      <c r="E340" s="361"/>
      <c r="L340" s="361"/>
      <c r="M340" s="361"/>
      <c r="N340" s="361"/>
      <c r="O340" s="361"/>
      <c r="P340" s="361"/>
      <c r="Q340" s="361"/>
      <c r="R340" s="361"/>
      <c r="S340" s="361"/>
      <c r="T340" s="361"/>
      <c r="U340" s="361"/>
      <c r="V340" s="361"/>
      <c r="W340" s="361"/>
      <c r="X340" s="361"/>
      <c r="Y340" s="2766"/>
      <c r="AV340"/>
      <c r="AX340" s="3169"/>
      <c r="AY340" s="3169"/>
      <c r="AZ340" s="3169"/>
      <c r="BA340" s="3169"/>
    </row>
    <row r="341" spans="2:53">
      <c r="B341" s="46"/>
      <c r="C341" s="46"/>
      <c r="D341" s="46"/>
      <c r="E341" s="46"/>
      <c r="L341" s="46"/>
      <c r="M341" s="46"/>
      <c r="N341" s="46"/>
      <c r="O341" s="46"/>
      <c r="P341" s="46"/>
      <c r="Q341" s="46"/>
      <c r="R341" s="46"/>
      <c r="S341" s="46"/>
      <c r="T341" s="46"/>
      <c r="U341" s="46"/>
      <c r="V341" s="46"/>
      <c r="W341" s="46"/>
      <c r="X341" s="46"/>
      <c r="Y341" s="242"/>
    </row>
    <row r="342" spans="2:53">
      <c r="B342" s="361"/>
      <c r="C342" s="361"/>
      <c r="D342" s="361"/>
      <c r="E342" s="361"/>
      <c r="L342" s="361"/>
      <c r="M342" s="361"/>
      <c r="N342" s="361"/>
      <c r="O342" s="361"/>
      <c r="P342" s="361"/>
      <c r="Q342" s="361"/>
      <c r="R342" s="361"/>
      <c r="S342" s="361"/>
      <c r="T342" s="361"/>
      <c r="U342" s="361"/>
      <c r="V342" s="361"/>
      <c r="W342" s="361"/>
      <c r="X342" s="361"/>
      <c r="Y342" s="2766"/>
    </row>
    <row r="346" spans="2:53">
      <c r="AF346" s="661"/>
      <c r="AG346" s="661"/>
      <c r="AH346" s="661"/>
      <c r="AI346" s="661"/>
      <c r="AJ346" s="661"/>
      <c r="AM346" s="661"/>
    </row>
    <row r="347" spans="2:53">
      <c r="AA347" s="661"/>
      <c r="AK347" s="661"/>
      <c r="AL347" s="661"/>
    </row>
    <row r="356" spans="27:39">
      <c r="AF356" s="661"/>
      <c r="AG356" s="661"/>
      <c r="AH356" s="661"/>
      <c r="AI356" s="661"/>
      <c r="AJ356" s="661"/>
      <c r="AM356" s="661"/>
    </row>
    <row r="357" spans="27:39">
      <c r="AA357" s="661"/>
      <c r="AK357" s="661"/>
      <c r="AL357" s="661"/>
    </row>
    <row r="367" spans="27:39">
      <c r="AA367" s="661"/>
    </row>
  </sheetData>
  <sheetProtection password="F07E" sheet="1" objects="1" scenarios="1"/>
  <mergeCells count="458">
    <mergeCell ref="AP158:AQ158"/>
    <mergeCell ref="AP159:AQ159"/>
    <mergeCell ref="AP243:AQ243"/>
    <mergeCell ref="AP244:AQ244"/>
    <mergeCell ref="P152:Q152"/>
    <mergeCell ref="P181:Q181"/>
    <mergeCell ref="V191:W191"/>
    <mergeCell ref="V182:W182"/>
    <mergeCell ref="V167:W167"/>
    <mergeCell ref="T166:U166"/>
    <mergeCell ref="V161:W161"/>
    <mergeCell ref="V187:W187"/>
    <mergeCell ref="V179:W179"/>
    <mergeCell ref="V183:W183"/>
    <mergeCell ref="V184:W184"/>
    <mergeCell ref="T179:U179"/>
    <mergeCell ref="T182:U182"/>
    <mergeCell ref="T183:U183"/>
    <mergeCell ref="R179:S179"/>
    <mergeCell ref="P188:Q188"/>
    <mergeCell ref="P167:Q167"/>
    <mergeCell ref="P189:Q189"/>
    <mergeCell ref="R172:S172"/>
    <mergeCell ref="R181:S181"/>
    <mergeCell ref="P179:Q179"/>
    <mergeCell ref="R189:S189"/>
    <mergeCell ref="P183:Q183"/>
    <mergeCell ref="V223:W223"/>
    <mergeCell ref="V217:W217"/>
    <mergeCell ref="V218:W218"/>
    <mergeCell ref="V203:W203"/>
    <mergeCell ref="V205:W205"/>
    <mergeCell ref="V206:W206"/>
    <mergeCell ref="T204:U204"/>
    <mergeCell ref="V215:W215"/>
    <mergeCell ref="V207:W207"/>
    <mergeCell ref="V219:W219"/>
    <mergeCell ref="V220:W220"/>
    <mergeCell ref="V204:W204"/>
    <mergeCell ref="P214:W214"/>
    <mergeCell ref="V192:W192"/>
    <mergeCell ref="V197:W197"/>
    <mergeCell ref="V194:W194"/>
    <mergeCell ref="T197:U197"/>
    <mergeCell ref="R188:S188"/>
    <mergeCell ref="R192:S192"/>
    <mergeCell ref="T201:U201"/>
    <mergeCell ref="R183:S183"/>
    <mergeCell ref="V265:W265"/>
    <mergeCell ref="V222:W222"/>
    <mergeCell ref="AL243:AM243"/>
    <mergeCell ref="AN243:AO243"/>
    <mergeCell ref="V178:W178"/>
    <mergeCell ref="V198:W198"/>
    <mergeCell ref="T184:U184"/>
    <mergeCell ref="V188:W188"/>
    <mergeCell ref="AJ244:AK244"/>
    <mergeCell ref="T202:U202"/>
    <mergeCell ref="V189:W189"/>
    <mergeCell ref="T188:U188"/>
    <mergeCell ref="V201:W201"/>
    <mergeCell ref="V202:W202"/>
    <mergeCell ref="T187:U187"/>
    <mergeCell ref="V181:W181"/>
    <mergeCell ref="AJ243:AK243"/>
    <mergeCell ref="T189:U189"/>
    <mergeCell ref="T198:U198"/>
    <mergeCell ref="T194:U194"/>
    <mergeCell ref="T191:U191"/>
    <mergeCell ref="T192:U192"/>
    <mergeCell ref="AL244:AM244"/>
    <mergeCell ref="AN244:AO244"/>
    <mergeCell ref="AJ159:AK159"/>
    <mergeCell ref="AJ158:AK158"/>
    <mergeCell ref="AL158:AM158"/>
    <mergeCell ref="AL159:AM159"/>
    <mergeCell ref="T205:U205"/>
    <mergeCell ref="T206:U206"/>
    <mergeCell ref="AN158:AO158"/>
    <mergeCell ref="AN159:AO159"/>
    <mergeCell ref="V221:W221"/>
    <mergeCell ref="T220:U220"/>
    <mergeCell ref="T219:U219"/>
    <mergeCell ref="T215:U215"/>
    <mergeCell ref="T217:U217"/>
    <mergeCell ref="V216:W216"/>
    <mergeCell ref="V175:W175"/>
    <mergeCell ref="T178:U178"/>
    <mergeCell ref="V174:W174"/>
    <mergeCell ref="T175:U175"/>
    <mergeCell ref="T181:U181"/>
    <mergeCell ref="V172:W172"/>
    <mergeCell ref="V169:W169"/>
    <mergeCell ref="T160:U160"/>
    <mergeCell ref="T169:U169"/>
    <mergeCell ref="T172:U172"/>
    <mergeCell ref="P255:Q255"/>
    <mergeCell ref="R255:S255"/>
    <mergeCell ref="T255:U255"/>
    <mergeCell ref="P259:Q259"/>
    <mergeCell ref="R259:S259"/>
    <mergeCell ref="T259:U259"/>
    <mergeCell ref="V256:W256"/>
    <mergeCell ref="V255:W255"/>
    <mergeCell ref="T263:U263"/>
    <mergeCell ref="R263:S263"/>
    <mergeCell ref="V259:W259"/>
    <mergeCell ref="V263:W263"/>
    <mergeCell ref="P246:Q246"/>
    <mergeCell ref="T246:U246"/>
    <mergeCell ref="P218:Q218"/>
    <mergeCell ref="R218:S218"/>
    <mergeCell ref="T218:U218"/>
    <mergeCell ref="P219:Q219"/>
    <mergeCell ref="R219:S219"/>
    <mergeCell ref="T222:U222"/>
    <mergeCell ref="R220:S220"/>
    <mergeCell ref="P220:Q220"/>
    <mergeCell ref="P223:Q223"/>
    <mergeCell ref="T243:U243"/>
    <mergeCell ref="P222:Q222"/>
    <mergeCell ref="R222:S222"/>
    <mergeCell ref="R235:S235"/>
    <mergeCell ref="P245:Q245"/>
    <mergeCell ref="R245:S245"/>
    <mergeCell ref="R233:S233"/>
    <mergeCell ref="T223:U223"/>
    <mergeCell ref="P229:Q229"/>
    <mergeCell ref="R229:S229"/>
    <mergeCell ref="P243:Q243"/>
    <mergeCell ref="R243:S243"/>
    <mergeCell ref="R223:S223"/>
    <mergeCell ref="K225:N225"/>
    <mergeCell ref="L252:N252"/>
    <mergeCell ref="P253:Q253"/>
    <mergeCell ref="R253:S253"/>
    <mergeCell ref="T253:U253"/>
    <mergeCell ref="P254:Q254"/>
    <mergeCell ref="R254:S254"/>
    <mergeCell ref="K256:N256"/>
    <mergeCell ref="T256:U256"/>
    <mergeCell ref="K255:N255"/>
    <mergeCell ref="T236:U236"/>
    <mergeCell ref="T235:U235"/>
    <mergeCell ref="T239:U239"/>
    <mergeCell ref="R226:S226"/>
    <mergeCell ref="R236:S236"/>
    <mergeCell ref="P226:Q226"/>
    <mergeCell ref="P239:Q239"/>
    <mergeCell ref="R239:S239"/>
    <mergeCell ref="K235:N235"/>
    <mergeCell ref="K245:N245"/>
    <mergeCell ref="P249:Q249"/>
    <mergeCell ref="R249:S249"/>
    <mergeCell ref="T249:U249"/>
    <mergeCell ref="T245:U245"/>
    <mergeCell ref="P192:Q192"/>
    <mergeCell ref="P184:Q184"/>
    <mergeCell ref="R187:S187"/>
    <mergeCell ref="P217:Q217"/>
    <mergeCell ref="R217:S217"/>
    <mergeCell ref="P201:Q201"/>
    <mergeCell ref="R206:S206"/>
    <mergeCell ref="P198:Q198"/>
    <mergeCell ref="R198:S198"/>
    <mergeCell ref="R194:S194"/>
    <mergeCell ref="R197:S197"/>
    <mergeCell ref="P215:Q215"/>
    <mergeCell ref="R215:S215"/>
    <mergeCell ref="P197:Q197"/>
    <mergeCell ref="P205:Q205"/>
    <mergeCell ref="P206:Q206"/>
    <mergeCell ref="R205:S205"/>
    <mergeCell ref="P168:Q168"/>
    <mergeCell ref="R168:S168"/>
    <mergeCell ref="T157:U157"/>
    <mergeCell ref="P172:Q172"/>
    <mergeCell ref="U108:W108"/>
    <mergeCell ref="U101:W101"/>
    <mergeCell ref="B214:N216"/>
    <mergeCell ref="P216:Q216"/>
    <mergeCell ref="R216:S216"/>
    <mergeCell ref="T216:U216"/>
    <mergeCell ref="P207:Q207"/>
    <mergeCell ref="R207:S207"/>
    <mergeCell ref="P203:Q203"/>
    <mergeCell ref="R203:S203"/>
    <mergeCell ref="T207:U207"/>
    <mergeCell ref="P204:Q204"/>
    <mergeCell ref="T203:U203"/>
    <mergeCell ref="R184:S184"/>
    <mergeCell ref="P194:Q194"/>
    <mergeCell ref="R191:S191"/>
    <mergeCell ref="R204:S204"/>
    <mergeCell ref="R201:S201"/>
    <mergeCell ref="P202:Q202"/>
    <mergeCell ref="R202:S202"/>
    <mergeCell ref="B52:C52"/>
    <mergeCell ref="P165:Q165"/>
    <mergeCell ref="T115:U115"/>
    <mergeCell ref="T116:U116"/>
    <mergeCell ref="V116:W116"/>
    <mergeCell ref="P116:Q116"/>
    <mergeCell ref="R116:S116"/>
    <mergeCell ref="P121:Q121"/>
    <mergeCell ref="P114:Q114"/>
    <mergeCell ref="R114:S114"/>
    <mergeCell ref="B58:D58"/>
    <mergeCell ref="P118:Q118"/>
    <mergeCell ref="R118:S118"/>
    <mergeCell ref="V118:W118"/>
    <mergeCell ref="P113:Q113"/>
    <mergeCell ref="R113:S113"/>
    <mergeCell ref="U104:W104"/>
    <mergeCell ref="P161:Q161"/>
    <mergeCell ref="R161:S161"/>
    <mergeCell ref="P155:Q155"/>
    <mergeCell ref="R155:S155"/>
    <mergeCell ref="T114:U114"/>
    <mergeCell ref="P138:Q138"/>
    <mergeCell ref="V141:W141"/>
    <mergeCell ref="P169:Q169"/>
    <mergeCell ref="R167:S167"/>
    <mergeCell ref="T170:U170"/>
    <mergeCell ref="P162:Q162"/>
    <mergeCell ref="B66:D66"/>
    <mergeCell ref="U87:W87"/>
    <mergeCell ref="U97:W97"/>
    <mergeCell ref="U98:W98"/>
    <mergeCell ref="L119:N119"/>
    <mergeCell ref="V113:W113"/>
    <mergeCell ref="B112:N114"/>
    <mergeCell ref="T168:U168"/>
    <mergeCell ref="V131:W131"/>
    <mergeCell ref="V151:W151"/>
    <mergeCell ref="V128:W128"/>
    <mergeCell ref="T128:U128"/>
    <mergeCell ref="T129:U129"/>
    <mergeCell ref="R128:S128"/>
    <mergeCell ref="V129:W129"/>
    <mergeCell ref="P133:Q133"/>
    <mergeCell ref="P124:Q124"/>
    <mergeCell ref="R124:S124"/>
    <mergeCell ref="V156:W156"/>
    <mergeCell ref="V157:W157"/>
    <mergeCell ref="P236:Q236"/>
    <mergeCell ref="P263:Q263"/>
    <mergeCell ref="P182:Q182"/>
    <mergeCell ref="R182:S182"/>
    <mergeCell ref="P141:Q141"/>
    <mergeCell ref="P170:Q170"/>
    <mergeCell ref="R170:S170"/>
    <mergeCell ref="P163:Q163"/>
    <mergeCell ref="P171:Q171"/>
    <mergeCell ref="P156:Q156"/>
    <mergeCell ref="P157:Q157"/>
    <mergeCell ref="P160:Q160"/>
    <mergeCell ref="P151:Q151"/>
    <mergeCell ref="P174:Q174"/>
    <mergeCell ref="R151:S151"/>
    <mergeCell ref="P166:Q166"/>
    <mergeCell ref="P178:Q178"/>
    <mergeCell ref="R178:S178"/>
    <mergeCell ref="P175:Q175"/>
    <mergeCell ref="R175:S175"/>
    <mergeCell ref="R156:S156"/>
    <mergeCell ref="R157:S157"/>
    <mergeCell ref="P173:Q173"/>
    <mergeCell ref="R173:S173"/>
    <mergeCell ref="F22:F23"/>
    <mergeCell ref="F27:F29"/>
    <mergeCell ref="F273:K273"/>
    <mergeCell ref="F275:K275"/>
    <mergeCell ref="L232:N232"/>
    <mergeCell ref="P234:Q234"/>
    <mergeCell ref="R234:S234"/>
    <mergeCell ref="P224:Q224"/>
    <mergeCell ref="R224:S224"/>
    <mergeCell ref="D218:N223"/>
    <mergeCell ref="P225:Q225"/>
    <mergeCell ref="R225:S225"/>
    <mergeCell ref="R246:S246"/>
    <mergeCell ref="R256:S256"/>
    <mergeCell ref="P256:Q256"/>
    <mergeCell ref="L242:N242"/>
    <mergeCell ref="P233:Q233"/>
    <mergeCell ref="R244:S244"/>
    <mergeCell ref="P244:Q244"/>
    <mergeCell ref="K236:N236"/>
    <mergeCell ref="P235:Q235"/>
    <mergeCell ref="K246:N246"/>
    <mergeCell ref="L262:N262"/>
    <mergeCell ref="K226:N226"/>
    <mergeCell ref="U40:W40"/>
    <mergeCell ref="T141:U141"/>
    <mergeCell ref="V133:W133"/>
    <mergeCell ref="P112:W112"/>
    <mergeCell ref="P115:Q115"/>
    <mergeCell ref="U46:W46"/>
    <mergeCell ref="P117:Q117"/>
    <mergeCell ref="T152:U152"/>
    <mergeCell ref="V150:W150"/>
    <mergeCell ref="V152:W152"/>
    <mergeCell ref="R141:S141"/>
    <mergeCell ref="R152:S152"/>
    <mergeCell ref="P150:Q150"/>
    <mergeCell ref="R150:S150"/>
    <mergeCell ref="U146:W146"/>
    <mergeCell ref="V138:W138"/>
    <mergeCell ref="R138:S138"/>
    <mergeCell ref="T113:U113"/>
    <mergeCell ref="U103:W103"/>
    <mergeCell ref="U102:W102"/>
    <mergeCell ref="O104:P104"/>
    <mergeCell ref="R115:S115"/>
    <mergeCell ref="U100:W100"/>
    <mergeCell ref="R133:S133"/>
    <mergeCell ref="U41:W41"/>
    <mergeCell ref="T131:U131"/>
    <mergeCell ref="R135:S135"/>
    <mergeCell ref="R131:S131"/>
    <mergeCell ref="Z91:Z92"/>
    <mergeCell ref="U93:W93"/>
    <mergeCell ref="U96:W96"/>
    <mergeCell ref="V124:W124"/>
    <mergeCell ref="U43:W43"/>
    <mergeCell ref="V114:W114"/>
    <mergeCell ref="V115:W115"/>
    <mergeCell ref="T118:U118"/>
    <mergeCell ref="T124:U124"/>
    <mergeCell ref="R129:S129"/>
    <mergeCell ref="T133:U133"/>
    <mergeCell ref="T135:U135"/>
    <mergeCell ref="Z57:Z64"/>
    <mergeCell ref="U45:W45"/>
    <mergeCell ref="U44:W44"/>
    <mergeCell ref="T138:U138"/>
    <mergeCell ref="R160:S160"/>
    <mergeCell ref="V160:W160"/>
    <mergeCell ref="T161:U161"/>
    <mergeCell ref="T174:U174"/>
    <mergeCell ref="R174:S174"/>
    <mergeCell ref="R166:S166"/>
    <mergeCell ref="R162:S162"/>
    <mergeCell ref="V162:W162"/>
    <mergeCell ref="V170:W170"/>
    <mergeCell ref="V166:W166"/>
    <mergeCell ref="V173:W173"/>
    <mergeCell ref="T173:U173"/>
    <mergeCell ref="V168:W168"/>
    <mergeCell ref="R169:S169"/>
    <mergeCell ref="T150:U150"/>
    <mergeCell ref="T155:U155"/>
    <mergeCell ref="T167:U167"/>
    <mergeCell ref="T162:U162"/>
    <mergeCell ref="T156:U156"/>
    <mergeCell ref="T151:U151"/>
    <mergeCell ref="V155:W155"/>
    <mergeCell ref="AH96:AN97"/>
    <mergeCell ref="AI54:AP54"/>
    <mergeCell ref="AI55:AP56"/>
    <mergeCell ref="AI57:AP58"/>
    <mergeCell ref="AH31:AP31"/>
    <mergeCell ref="AH32:AP33"/>
    <mergeCell ref="AH88:AP88"/>
    <mergeCell ref="AH92:AP92"/>
    <mergeCell ref="AH87:AP87"/>
    <mergeCell ref="AH81:AP82"/>
    <mergeCell ref="AI59:AP59"/>
    <mergeCell ref="AI60:AP64"/>
    <mergeCell ref="AH46:AP47"/>
    <mergeCell ref="AI52:AP53"/>
    <mergeCell ref="AH44:AP45"/>
    <mergeCell ref="AC14:AE15"/>
    <mergeCell ref="AB12:AE13"/>
    <mergeCell ref="AA17:AB17"/>
    <mergeCell ref="AA19:AB19"/>
    <mergeCell ref="AH89:AP90"/>
    <mergeCell ref="AH91:AP91"/>
    <mergeCell ref="AH94:AP95"/>
    <mergeCell ref="AC23:AE23"/>
    <mergeCell ref="AH93:AN93"/>
    <mergeCell ref="AE69:AF74"/>
    <mergeCell ref="AE75:AF80"/>
    <mergeCell ref="AA43:AF43"/>
    <mergeCell ref="AA44:AF44"/>
    <mergeCell ref="AB6:AE6"/>
    <mergeCell ref="AC19:AE19"/>
    <mergeCell ref="AC20:AE22"/>
    <mergeCell ref="AB28:AE28"/>
    <mergeCell ref="AB25:AE27"/>
    <mergeCell ref="AC8:AE9"/>
    <mergeCell ref="AA38:AF41"/>
    <mergeCell ref="AC37:AE37"/>
    <mergeCell ref="C14:K15"/>
    <mergeCell ref="S10:W10"/>
    <mergeCell ref="F16:F17"/>
    <mergeCell ref="G6:S7"/>
    <mergeCell ref="G8:S8"/>
    <mergeCell ref="G9:S9"/>
    <mergeCell ref="Z12:Z15"/>
    <mergeCell ref="Z30:Z31"/>
    <mergeCell ref="AB11:AE11"/>
    <mergeCell ref="AB10:AE10"/>
    <mergeCell ref="AC7:AE7"/>
    <mergeCell ref="AA14:AB14"/>
    <mergeCell ref="U39:W39"/>
    <mergeCell ref="S11:W11"/>
    <mergeCell ref="B12:W12"/>
    <mergeCell ref="O14:V15"/>
    <mergeCell ref="T8:W8"/>
    <mergeCell ref="T9:W9"/>
    <mergeCell ref="C9:F9"/>
    <mergeCell ref="L14:N14"/>
    <mergeCell ref="T6:W6"/>
    <mergeCell ref="T7:W7"/>
    <mergeCell ref="B6:D6"/>
    <mergeCell ref="E6:F7"/>
    <mergeCell ref="U38:W38"/>
    <mergeCell ref="U36:W36"/>
    <mergeCell ref="U37:W37"/>
    <mergeCell ref="C7:D7"/>
    <mergeCell ref="C30:K33"/>
    <mergeCell ref="B11:R11"/>
    <mergeCell ref="N30:V33"/>
    <mergeCell ref="C18:K21"/>
    <mergeCell ref="L19:N19"/>
    <mergeCell ref="C24:K26"/>
    <mergeCell ref="L24:N25"/>
    <mergeCell ref="O18:V21"/>
    <mergeCell ref="O24:V26"/>
    <mergeCell ref="S28:V28"/>
    <mergeCell ref="P27:P28"/>
    <mergeCell ref="Q27:R28"/>
    <mergeCell ref="B51:C51"/>
    <mergeCell ref="AB271:AS282"/>
    <mergeCell ref="B125:C125"/>
    <mergeCell ref="D126:N126"/>
    <mergeCell ref="AH48:AP51"/>
    <mergeCell ref="AH43:AP43"/>
    <mergeCell ref="AH65:AP67"/>
    <mergeCell ref="AH8:AP29"/>
    <mergeCell ref="AH7:AP7"/>
    <mergeCell ref="AH76:AP77"/>
    <mergeCell ref="AH68:AP70"/>
    <mergeCell ref="AA67:AF68"/>
    <mergeCell ref="AB71:AC71"/>
    <mergeCell ref="AB76:AC77"/>
    <mergeCell ref="AB69:AC69"/>
    <mergeCell ref="AA59:AD63"/>
    <mergeCell ref="AA64:AD65"/>
    <mergeCell ref="Z20:Z23"/>
    <mergeCell ref="AA45:AF45"/>
    <mergeCell ref="AA46:AF46"/>
    <mergeCell ref="AA47:AF47"/>
    <mergeCell ref="AA49:AD51"/>
    <mergeCell ref="AA53:AD54"/>
    <mergeCell ref="AA55:AC58"/>
  </mergeCells>
  <conditionalFormatting sqref="B34:W34">
    <cfRule type="expression" dxfId="1042" priority="525" stopIfTrue="1">
      <formula>IF(TaxYear&gt;1996,1,0)</formula>
    </cfRule>
  </conditionalFormatting>
  <conditionalFormatting sqref="U105:W107">
    <cfRule type="expression" dxfId="1041" priority="528" stopIfTrue="1">
      <formula>IF($U$100&gt;0,1,0)</formula>
    </cfRule>
    <cfRule type="expression" dxfId="1040" priority="529" stopIfTrue="1">
      <formula>IF($U$100&lt;=0,1,0)</formula>
    </cfRule>
  </conditionalFormatting>
  <conditionalFormatting sqref="U36:W36 U38:W38">
    <cfRule type="expression" dxfId="1039" priority="530" stopIfTrue="1">
      <formula>IF($P$31&lt;&gt;"",1,0)</formula>
    </cfRule>
  </conditionalFormatting>
  <conditionalFormatting sqref="B11 P118:T118 R131:T131 R133:T133 R135:S135 P138:T138 P141:S141 R187:T187 P197:T198 T183 T203 T205 V118:W118 R128:T129 V129:W129 V133:W133 V138:W138 V155:W155 V160:W160 V197:W197 V141:W141 P155:T156 P160:S160 P161:T161 P178:T178 V178:W178 V187:W187 R191:S191 P157:W157 P179:W179 P184:W184 P188:W189 P204:W204 P206:W207 P192:W192 P124:Q124 P201:W202 P182:W182 P166:W167 P170:W170 R168 T168 V168 P168:P169 P172:W175 P162:W162">
    <cfRule type="expression" dxfId="1038" priority="518">
      <formula>IF(NoColor,1,0)</formula>
    </cfRule>
  </conditionalFormatting>
  <conditionalFormatting sqref="S11">
    <cfRule type="expression" dxfId="1037" priority="517">
      <formula>IF(NoColor,1,0)</formula>
    </cfRule>
  </conditionalFormatting>
  <conditionalFormatting sqref="U36:W36">
    <cfRule type="expression" dxfId="1036" priority="513">
      <formula>IF(NoColor,1,0)</formula>
    </cfRule>
  </conditionalFormatting>
  <conditionalFormatting sqref="U45:W45">
    <cfRule type="expression" dxfId="1035" priority="509">
      <formula>IF(NoColor,1,0)</formula>
    </cfRule>
  </conditionalFormatting>
  <conditionalFormatting sqref="U38:W38">
    <cfRule type="expression" dxfId="1034" priority="512">
      <formula>IF(NoColor,1,0)</formula>
    </cfRule>
  </conditionalFormatting>
  <conditionalFormatting sqref="U45:W45 U102:U103">
    <cfRule type="expression" dxfId="1033" priority="510" stopIfTrue="1">
      <formula>IF($P$31&lt;&gt;"",1,0)</formula>
    </cfRule>
  </conditionalFormatting>
  <conditionalFormatting sqref="U98:W98">
    <cfRule type="expression" dxfId="1032" priority="487">
      <formula>IF(NoColor,1,0)</formula>
    </cfRule>
  </conditionalFormatting>
  <conditionalFormatting sqref="U46:W46">
    <cfRule type="expression" dxfId="1031" priority="467">
      <formula>IF(NoColor,1,0)</formula>
    </cfRule>
  </conditionalFormatting>
  <conditionalFormatting sqref="U46:W46">
    <cfRule type="expression" dxfId="1030" priority="468" stopIfTrue="1">
      <formula>IF($P$31&lt;&gt;"",1,0)</formula>
    </cfRule>
  </conditionalFormatting>
  <conditionalFormatting sqref="U41:W41">
    <cfRule type="expression" dxfId="1029" priority="471">
      <formula>IF(NoColor,1,0)</formula>
    </cfRule>
  </conditionalFormatting>
  <conditionalFormatting sqref="U44:W44">
    <cfRule type="expression" dxfId="1028" priority="469">
      <formula>IF(NoColor,1,0)</formula>
    </cfRule>
  </conditionalFormatting>
  <conditionalFormatting sqref="D48">
    <cfRule type="expression" dxfId="1027" priority="464">
      <formula>IF(NoColor,1,0)</formula>
    </cfRule>
  </conditionalFormatting>
  <conditionalFormatting sqref="D57">
    <cfRule type="expression" dxfId="1026" priority="463">
      <formula>IF(NoColor,1,0)</formula>
    </cfRule>
  </conditionalFormatting>
  <conditionalFormatting sqref="D61">
    <cfRule type="expression" dxfId="1025" priority="457">
      <formula>IF(NoColor,1,0)</formula>
    </cfRule>
  </conditionalFormatting>
  <conditionalFormatting sqref="D59">
    <cfRule type="expression" dxfId="1024" priority="458">
      <formula>IF(NoColor,1,0)</formula>
    </cfRule>
  </conditionalFormatting>
  <conditionalFormatting sqref="D63">
    <cfRule type="expression" dxfId="1023" priority="456">
      <formula>IF(NoColor,1,0)</formula>
    </cfRule>
  </conditionalFormatting>
  <conditionalFormatting sqref="D65">
    <cfRule type="expression" dxfId="1022" priority="455">
      <formula>IF(NoColor,1,0)</formula>
    </cfRule>
  </conditionalFormatting>
  <conditionalFormatting sqref="U87:W87">
    <cfRule type="expression" dxfId="1021" priority="453">
      <formula>IF(NoColor,1,0)</formula>
    </cfRule>
  </conditionalFormatting>
  <conditionalFormatting sqref="S89">
    <cfRule type="expression" dxfId="1020" priority="452">
      <formula>IF(NoColor,1,0)</formula>
    </cfRule>
  </conditionalFormatting>
  <conditionalFormatting sqref="S91">
    <cfRule type="expression" dxfId="1019" priority="451">
      <formula>IF(NoColor,1,0)</formula>
    </cfRule>
  </conditionalFormatting>
  <conditionalFormatting sqref="U93:W93">
    <cfRule type="expression" dxfId="1018" priority="450">
      <formula>IF(NoColor,1,0)</formula>
    </cfRule>
  </conditionalFormatting>
  <conditionalFormatting sqref="U96:W96">
    <cfRule type="expression" dxfId="1017" priority="171">
      <formula>IF($W$80,1,0)</formula>
    </cfRule>
    <cfRule type="expression" dxfId="1016" priority="449">
      <formula>IF(NoColor,1,0)</formula>
    </cfRule>
  </conditionalFormatting>
  <conditionalFormatting sqref="U101:W101 U102:U103">
    <cfRule type="expression" dxfId="1015" priority="447">
      <formula>IF(NoColor,1,0)</formula>
    </cfRule>
  </conditionalFormatting>
  <conditionalFormatting sqref="U101:W101">
    <cfRule type="expression" dxfId="1014" priority="448" stopIfTrue="1">
      <formula>IF($P$31&lt;&gt;"",1,0)</formula>
    </cfRule>
  </conditionalFormatting>
  <conditionalFormatting sqref="U104:W104">
    <cfRule type="expression" dxfId="1013" priority="446">
      <formula>IF(NoColor,1,0)</formula>
    </cfRule>
  </conditionalFormatting>
  <conditionalFormatting sqref="U108:W108">
    <cfRule type="expression" dxfId="1012" priority="445">
      <formula>IF(NoColor,1,0)</formula>
    </cfRule>
  </conditionalFormatting>
  <conditionalFormatting sqref="P133:Q133">
    <cfRule type="expression" dxfId="1011" priority="437">
      <formula>IF(NoColor,1,0)</formula>
    </cfRule>
  </conditionalFormatting>
  <conditionalFormatting sqref="U146:W146">
    <cfRule type="expression" dxfId="1010" priority="433">
      <formula>IF(NoColor,1,0)</formula>
    </cfRule>
  </conditionalFormatting>
  <conditionalFormatting sqref="U146:W146">
    <cfRule type="expression" dxfId="1009" priority="434" stopIfTrue="1">
      <formula>IF($P$31&lt;&gt;"",1,0)</formula>
    </cfRule>
  </conditionalFormatting>
  <conditionalFormatting sqref="D108">
    <cfRule type="expression" dxfId="1008" priority="432">
      <formula>IF(AND(NOT(NoColor),NOT(B66)),1,0)</formula>
    </cfRule>
  </conditionalFormatting>
  <conditionalFormatting sqref="V161:W161">
    <cfRule type="expression" dxfId="1007" priority="408">
      <formula>IF(NoColor,1,0)</formula>
    </cfRule>
  </conditionalFormatting>
  <conditionalFormatting sqref="P151">
    <cfRule type="expression" dxfId="1006" priority="418">
      <formula>IF(NoColor,1,0)</formula>
    </cfRule>
  </conditionalFormatting>
  <conditionalFormatting sqref="P194:W194">
    <cfRule type="expression" dxfId="1005" priority="371">
      <formula>IF(NoColor,1,0)</formula>
    </cfRule>
  </conditionalFormatting>
  <conditionalFormatting sqref="V198:W198">
    <cfRule type="expression" dxfId="1004" priority="367">
      <formula>IF(NoColor,1,0)</formula>
    </cfRule>
  </conditionalFormatting>
  <conditionalFormatting sqref="V156:W156">
    <cfRule type="expression" dxfId="1003" priority="357">
      <formula>IF(NoColor,1,0)</formula>
    </cfRule>
  </conditionalFormatting>
  <conditionalFormatting sqref="P183:Q183">
    <cfRule type="expression" dxfId="1002" priority="356">
      <formula>IF(NoColor,1,0)</formula>
    </cfRule>
  </conditionalFormatting>
  <conditionalFormatting sqref="R183:S183">
    <cfRule type="expression" dxfId="1001" priority="355">
      <formula>IF(NoColor,1,0)</formula>
    </cfRule>
  </conditionalFormatting>
  <conditionalFormatting sqref="V183:W183">
    <cfRule type="expression" dxfId="1000" priority="353">
      <formula>IF(NoColor,1,0)</formula>
    </cfRule>
  </conditionalFormatting>
  <conditionalFormatting sqref="P203:Q203">
    <cfRule type="expression" dxfId="999" priority="352">
      <formula>IF(NoColor,1,0)</formula>
    </cfRule>
  </conditionalFormatting>
  <conditionalFormatting sqref="V203:W203">
    <cfRule type="expression" dxfId="998" priority="349">
      <formula>IF(NoColor,1,0)</formula>
    </cfRule>
  </conditionalFormatting>
  <conditionalFormatting sqref="R203:S203">
    <cfRule type="expression" dxfId="997" priority="348">
      <formula>IF(NoColor,1,0)</formula>
    </cfRule>
  </conditionalFormatting>
  <conditionalFormatting sqref="P205:Q205">
    <cfRule type="expression" dxfId="996" priority="347">
      <formula>IF(NoColor,1,0)</formula>
    </cfRule>
  </conditionalFormatting>
  <conditionalFormatting sqref="V205:W205">
    <cfRule type="expression" dxfId="995" priority="345">
      <formula>IF(NoColor,1,0)</formula>
    </cfRule>
  </conditionalFormatting>
  <conditionalFormatting sqref="R205:S205">
    <cfRule type="expression" dxfId="994" priority="344">
      <formula>IF(NoColor,1,0)</formula>
    </cfRule>
  </conditionalFormatting>
  <conditionalFormatting sqref="U43:W43">
    <cfRule type="expression" dxfId="993" priority="342">
      <formula>IF(NoColor,1,0)</formula>
    </cfRule>
  </conditionalFormatting>
  <conditionalFormatting sqref="U43:W43">
    <cfRule type="expression" dxfId="992" priority="343" stopIfTrue="1">
      <formula>IF($P$31&lt;&gt;"",1,0)</formula>
    </cfRule>
  </conditionalFormatting>
  <conditionalFormatting sqref="S44">
    <cfRule type="expression" dxfId="991" priority="341">
      <formula>IF(AND($U$47,NOT(NoColor)),1,0)</formula>
    </cfRule>
  </conditionalFormatting>
  <conditionalFormatting sqref="J40">
    <cfRule type="expression" dxfId="990" priority="340">
      <formula>IF(AND($U$41&lt;$W$42,NOT(NoColor)),1,0)</formula>
    </cfRule>
  </conditionalFormatting>
  <conditionalFormatting sqref="D41">
    <cfRule type="expression" dxfId="989" priority="339">
      <formula>IF(AND($U$41&lt;$W$42,NOT(NoColor)),1,0)</formula>
    </cfRule>
  </conditionalFormatting>
  <conditionalFormatting sqref="N95">
    <cfRule type="expression" dxfId="988" priority="334">
      <formula>IF(AND(NOT(NoColor),NOT($W$80),$U$96&lt;=0),1,0)</formula>
    </cfRule>
  </conditionalFormatting>
  <conditionalFormatting sqref="D96">
    <cfRule type="expression" dxfId="987" priority="333">
      <formula>IF(AND(NOT(NoColor),NOT($W$80),$U$96&lt;=0),1,0)</formula>
    </cfRule>
  </conditionalFormatting>
  <conditionalFormatting sqref="I44">
    <cfRule type="expression" dxfId="986" priority="1888" stopIfTrue="1">
      <formula>IF(AND($C$31&lt;&gt;"",OR($U$38="",$U$38=0),$U$45&lt;$U$44),1,0)</formula>
    </cfRule>
  </conditionalFormatting>
  <conditionalFormatting sqref="L55">
    <cfRule type="expression" dxfId="985" priority="1907">
      <formula>IF(AND(NOT(NoColor),$V$42,NOT($B$66)),1,0)</formula>
    </cfRule>
  </conditionalFormatting>
  <conditionalFormatting sqref="G123 D146 D124">
    <cfRule type="expression" dxfId="984" priority="1908">
      <formula>IF(AND(NOT(NoColor),NOT($B$66),$W$80),1,0)</formula>
    </cfRule>
  </conditionalFormatting>
  <conditionalFormatting sqref="I48">
    <cfRule type="expression" dxfId="983" priority="1975">
      <formula>IF(AND(NOT(NoColor),$V$42,D48&lt;&gt;"",NOT($B$66)),1,0)</formula>
    </cfRule>
  </conditionalFormatting>
  <conditionalFormatting sqref="I122">
    <cfRule type="expression" dxfId="982" priority="1977">
      <formula>IF(AND(NOT(NoColor),$B$66,$W$80,$L$121),1,0)</formula>
    </cfRule>
  </conditionalFormatting>
  <conditionalFormatting sqref="D125:D126">
    <cfRule type="expression" dxfId="981" priority="1978">
      <formula>AND($B$66,$W$80,$L$126)</formula>
    </cfRule>
  </conditionalFormatting>
  <conditionalFormatting sqref="T135:U135">
    <cfRule type="expression" dxfId="980" priority="323">
      <formula>IF(NoColor,1,0)</formula>
    </cfRule>
  </conditionalFormatting>
  <conditionalFormatting sqref="T160:U160">
    <cfRule type="expression" dxfId="979" priority="322">
      <formula>IF(NoColor,1,0)</formula>
    </cfRule>
  </conditionalFormatting>
  <conditionalFormatting sqref="V128">
    <cfRule type="expression" dxfId="978" priority="321">
      <formula>IF(NoColor,1,0)</formula>
    </cfRule>
  </conditionalFormatting>
  <conditionalFormatting sqref="S42">
    <cfRule type="expression" dxfId="977" priority="318">
      <formula>IF(NoColor,1,0)</formula>
    </cfRule>
  </conditionalFormatting>
  <conditionalFormatting sqref="T141:U141">
    <cfRule type="expression" dxfId="976" priority="317">
      <formula>IF(NoColor,1,0)</formula>
    </cfRule>
  </conditionalFormatting>
  <conditionalFormatting sqref="R151">
    <cfRule type="expression" dxfId="975" priority="278">
      <formula>IF(NoColor,1,0)</formula>
    </cfRule>
  </conditionalFormatting>
  <conditionalFormatting sqref="T151">
    <cfRule type="expression" dxfId="974" priority="277">
      <formula>IF(NoColor,1,0)</formula>
    </cfRule>
  </conditionalFormatting>
  <conditionalFormatting sqref="V151">
    <cfRule type="expression" dxfId="973" priority="276">
      <formula>IF(NoColor,1,0)</formula>
    </cfRule>
  </conditionalFormatting>
  <conditionalFormatting sqref="AK192">
    <cfRule type="expression" dxfId="972" priority="262">
      <formula>IF(NOT(AK$168),1,0)</formula>
    </cfRule>
  </conditionalFormatting>
  <conditionalFormatting sqref="AJ159">
    <cfRule type="expression" dxfId="971" priority="199">
      <formula>IF(NoColor,1,0)</formula>
    </cfRule>
  </conditionalFormatting>
  <conditionalFormatting sqref="AL159">
    <cfRule type="expression" dxfId="970" priority="198">
      <formula>IF(NoColor,1,0)</formula>
    </cfRule>
  </conditionalFormatting>
  <conditionalFormatting sqref="AN159">
    <cfRule type="expression" dxfId="969" priority="197">
      <formula>IF(NoColor,1,0)</formula>
    </cfRule>
  </conditionalFormatting>
  <conditionalFormatting sqref="AP159">
    <cfRule type="expression" dxfId="968" priority="196">
      <formula>IF(NoColor,1,0)</formula>
    </cfRule>
  </conditionalFormatting>
  <conditionalFormatting sqref="AM192">
    <cfRule type="expression" dxfId="967" priority="189">
      <formula>IF(NOT(AM$168),1,0)</formula>
    </cfRule>
  </conditionalFormatting>
  <conditionalFormatting sqref="AO192">
    <cfRule type="expression" dxfId="966" priority="188">
      <formula>IF(NOT(AO$168),1,0)</formula>
    </cfRule>
  </conditionalFormatting>
  <conditionalFormatting sqref="AQ192">
    <cfRule type="expression" dxfId="965" priority="187">
      <formula>IF(NOT(AQ$168),1,0)</formula>
    </cfRule>
  </conditionalFormatting>
  <conditionalFormatting sqref="V131">
    <cfRule type="expression" dxfId="964" priority="170">
      <formula>IF(NoColor,1,0)</formula>
    </cfRule>
  </conditionalFormatting>
  <conditionalFormatting sqref="P217:Q217">
    <cfRule type="expression" dxfId="963" priority="169">
      <formula>IF(NoColor,1,0)</formula>
    </cfRule>
  </conditionalFormatting>
  <conditionalFormatting sqref="R217:S217">
    <cfRule type="expression" dxfId="962" priority="168">
      <formula>IF(NoColor,1,0)</formula>
    </cfRule>
  </conditionalFormatting>
  <conditionalFormatting sqref="T217:U217">
    <cfRule type="expression" dxfId="961" priority="167">
      <formula>IF(NoColor,1,0)</formula>
    </cfRule>
  </conditionalFormatting>
  <conditionalFormatting sqref="V217:W217">
    <cfRule type="expression" dxfId="960" priority="166">
      <formula>IF(NoColor,1,0)</formula>
    </cfRule>
  </conditionalFormatting>
  <conditionalFormatting sqref="T191:U191">
    <cfRule type="expression" dxfId="959" priority="151">
      <formula>IF(NoColor,1,0)</formula>
    </cfRule>
  </conditionalFormatting>
  <conditionalFormatting sqref="V191:W191">
    <cfRule type="expression" dxfId="958" priority="150">
      <formula>IF(NoColor,1,0)</formula>
    </cfRule>
  </conditionalFormatting>
  <conditionalFormatting sqref="W65">
    <cfRule type="expression" dxfId="957" priority="149">
      <formula>IF(AND(D65&lt;&gt;"",$U$45&gt;$Q$42),TRUE,FALSE)</formula>
    </cfRule>
  </conditionalFormatting>
  <conditionalFormatting sqref="Q272:W274">
    <cfRule type="expression" dxfId="956" priority="134">
      <formula>IF($Y$278&gt;0,1,0)</formula>
    </cfRule>
  </conditionalFormatting>
  <conditionalFormatting sqref="Q278:Q331">
    <cfRule type="expression" dxfId="955" priority="132">
      <formula>IF($X278=1,1,0)</formula>
    </cfRule>
  </conditionalFormatting>
  <conditionalFormatting sqref="Q326:Q332">
    <cfRule type="expression" dxfId="954" priority="131">
      <formula>IF($X326=1,1,0)</formula>
    </cfRule>
  </conditionalFormatting>
  <conditionalFormatting sqref="D50">
    <cfRule type="expression" dxfId="953" priority="130">
      <formula>IF(NoColor,1,0)</formula>
    </cfRule>
  </conditionalFormatting>
  <conditionalFormatting sqref="O48">
    <cfRule type="expression" dxfId="952" priority="129">
      <formula>IF(B65,1,0)</formula>
    </cfRule>
  </conditionalFormatting>
  <conditionalFormatting sqref="T124:U124">
    <cfRule type="expression" dxfId="951" priority="126">
      <formula>IF(NoColor,1,0)</formula>
    </cfRule>
  </conditionalFormatting>
  <conditionalFormatting sqref="R124:S124">
    <cfRule type="expression" dxfId="950" priority="125">
      <formula>IF(NoColor,1,0)</formula>
    </cfRule>
  </conditionalFormatting>
  <conditionalFormatting sqref="V124:W124">
    <cfRule type="expression" dxfId="949" priority="124">
      <formula>IF(NoColor,1,0)</formula>
    </cfRule>
  </conditionalFormatting>
  <conditionalFormatting sqref="H72">
    <cfRule type="expression" dxfId="948" priority="120">
      <formula>IF(NoColor,1,0)</formula>
    </cfRule>
  </conditionalFormatting>
  <conditionalFormatting sqref="H74">
    <cfRule type="expression" dxfId="947" priority="119">
      <formula>IF(NoColor,1,0)</formula>
    </cfRule>
  </conditionalFormatting>
  <conditionalFormatting sqref="H79">
    <cfRule type="expression" dxfId="946" priority="118">
      <formula>IF(NoColor,1,0)</formula>
    </cfRule>
  </conditionalFormatting>
  <conditionalFormatting sqref="H81">
    <cfRule type="expression" dxfId="945" priority="117">
      <formula>IF(NoColor,1,0)</formula>
    </cfRule>
  </conditionalFormatting>
  <conditionalFormatting sqref="H80">
    <cfRule type="expression" dxfId="944" priority="116">
      <formula>IF(NoColor,1,0)</formula>
    </cfRule>
  </conditionalFormatting>
  <conditionalFormatting sqref="Q278:Q332">
    <cfRule type="expression" dxfId="943" priority="115">
      <formula>IF(NoColor,1,0)</formula>
    </cfRule>
  </conditionalFormatting>
  <conditionalFormatting sqref="S278:S332">
    <cfRule type="expression" dxfId="942" priority="114">
      <formula>IF(NoColor,1,0)</formula>
    </cfRule>
  </conditionalFormatting>
  <conditionalFormatting sqref="U278:U332">
    <cfRule type="expression" dxfId="941" priority="113">
      <formula>IF(NoColor,1,0)</formula>
    </cfRule>
  </conditionalFormatting>
  <conditionalFormatting sqref="W278:W332">
    <cfRule type="expression" dxfId="940" priority="111">
      <formula>IF(NoColor,1,0)</formula>
    </cfRule>
    <cfRule type="expression" priority="112">
      <formula>IF(NoColor,1,0)</formula>
    </cfRule>
  </conditionalFormatting>
  <conditionalFormatting sqref="U100:W100">
    <cfRule type="expression" dxfId="939" priority="109">
      <formula>IF(NoColor,1,0)</formula>
    </cfRule>
  </conditionalFormatting>
  <conditionalFormatting sqref="U100:W100">
    <cfRule type="expression" dxfId="938" priority="110" stopIfTrue="1">
      <formula>IF($P$31&lt;&gt;"",1,0)</formula>
    </cfRule>
  </conditionalFormatting>
  <conditionalFormatting sqref="D125">
    <cfRule type="expression" dxfId="937" priority="108">
      <formula>IF($L$119,TRUE,FALSE)</formula>
    </cfRule>
  </conditionalFormatting>
  <conditionalFormatting sqref="D126">
    <cfRule type="expression" dxfId="936" priority="107">
      <formula>IF($L$119,TRUE,FALSE)</formula>
    </cfRule>
  </conditionalFormatting>
  <conditionalFormatting sqref="Z7">
    <cfRule type="expression" dxfId="935" priority="104">
      <formula>IF($AC$8="",TRUE,FALSE)</formula>
    </cfRule>
  </conditionalFormatting>
  <conditionalFormatting sqref="Z8">
    <cfRule type="expression" dxfId="934" priority="103">
      <formula>IF($AC$8="",TRUE,FALSE)</formula>
    </cfRule>
  </conditionalFormatting>
  <conditionalFormatting sqref="Z9">
    <cfRule type="expression" dxfId="933" priority="102">
      <formula>IF($AC$8="",TRUE,FALSE)</formula>
    </cfRule>
  </conditionalFormatting>
  <conditionalFormatting sqref="O40">
    <cfRule type="expression" dxfId="932" priority="95">
      <formula>IF(AND($U$41&lt;$W$42,NOT(NoColor)),1,0)</formula>
    </cfRule>
  </conditionalFormatting>
  <conditionalFormatting sqref="N40">
    <cfRule type="expression" dxfId="931" priority="94">
      <formula>IF(AND($U$41&lt;$W$42,NOT(NoColor)),1,0)</formula>
    </cfRule>
  </conditionalFormatting>
  <conditionalFormatting sqref="K44">
    <cfRule type="expression" dxfId="930" priority="93">
      <formula>IF(AND($U$47,NOT(NoColor)),1,0)</formula>
    </cfRule>
  </conditionalFormatting>
  <conditionalFormatting sqref="J44">
    <cfRule type="expression" dxfId="929" priority="92">
      <formula>IF(AND($U$47,NOT(NoColor)),1,0)</formula>
    </cfRule>
  </conditionalFormatting>
  <conditionalFormatting sqref="S39">
    <cfRule type="expression" dxfId="928" priority="91">
      <formula>IF(U39&gt;1,1,0)</formula>
    </cfRule>
  </conditionalFormatting>
  <conditionalFormatting sqref="U39:W39">
    <cfRule type="expression" dxfId="927" priority="90" stopIfTrue="1">
      <formula>IF($P$31&lt;&gt;"",1,0)</formula>
    </cfRule>
  </conditionalFormatting>
  <conditionalFormatting sqref="U39:W39">
    <cfRule type="expression" dxfId="926" priority="89">
      <formula>IF(NoColor,1,0)</formula>
    </cfRule>
  </conditionalFormatting>
  <conditionalFormatting sqref="Y148">
    <cfRule type="expression" dxfId="925" priority="88">
      <formula>IF(AND(NOT(ShortMethod),NOT($B$61),$W$80),TRUE,FALSE)</formula>
    </cfRule>
  </conditionalFormatting>
  <conditionalFormatting sqref="Z140">
    <cfRule type="expression" dxfId="924" priority="87">
      <formula>IF(AND(NOT(ShortMethod),NOT($B$61),$W$80),TRUE,FALSE)</formula>
    </cfRule>
  </conditionalFormatting>
  <conditionalFormatting sqref="Z30">
    <cfRule type="expression" dxfId="923" priority="79">
      <formula>IF($Y$78&lt;&gt;1,1,0)</formula>
    </cfRule>
  </conditionalFormatting>
  <conditionalFormatting sqref="P181:T181 V181:W181">
    <cfRule type="expression" dxfId="922" priority="71">
      <formula>IF(NoColor,1,0)</formula>
    </cfRule>
  </conditionalFormatting>
  <conditionalFormatting sqref="AJ244">
    <cfRule type="expression" dxfId="921" priority="24">
      <formula>IF(NoColor,1,0)</formula>
    </cfRule>
  </conditionalFormatting>
  <conditionalFormatting sqref="AL244">
    <cfRule type="expression" dxfId="920" priority="23">
      <formula>IF(NoColor,1,0)</formula>
    </cfRule>
  </conditionalFormatting>
  <conditionalFormatting sqref="AN244">
    <cfRule type="expression" dxfId="919" priority="22">
      <formula>IF(NoColor,1,0)</formula>
    </cfRule>
  </conditionalFormatting>
  <conditionalFormatting sqref="AP244">
    <cfRule type="expression" dxfId="918" priority="21">
      <formula>IF(NoColor,1,0)</formula>
    </cfRule>
  </conditionalFormatting>
  <conditionalFormatting sqref="AF241:AG241">
    <cfRule type="expression" dxfId="917" priority="20">
      <formula>$AI$242</formula>
    </cfRule>
  </conditionalFormatting>
  <conditionalFormatting sqref="R169">
    <cfRule type="expression" dxfId="916" priority="14">
      <formula>IF(NoColor,1,0)</formula>
    </cfRule>
  </conditionalFormatting>
  <conditionalFormatting sqref="T169">
    <cfRule type="expression" dxfId="915" priority="13">
      <formula>IF(NoColor,1,0)</formula>
    </cfRule>
  </conditionalFormatting>
  <conditionalFormatting sqref="V169">
    <cfRule type="expression" dxfId="914" priority="12">
      <formula>IF(NoColor,1,0)</formula>
    </cfRule>
  </conditionalFormatting>
  <conditionalFormatting sqref="H123">
    <cfRule type="expression" dxfId="913" priority="10">
      <formula>IF(AND(NOT(NoColor),NOT($B$66),$W$80),1,0)</formula>
    </cfRule>
  </conditionalFormatting>
  <conditionalFormatting sqref="N123">
    <cfRule type="expression" dxfId="912" priority="9">
      <formula>IF(AND(NOT(NoColor),NOT($B$66),$W$80),1,0)</formula>
    </cfRule>
  </conditionalFormatting>
  <conditionalFormatting sqref="Z94:Z95">
    <cfRule type="expression" dxfId="911" priority="2608">
      <formula>$AE$100</formula>
    </cfRule>
  </conditionalFormatting>
  <conditionalFormatting sqref="Z20">
    <cfRule type="expression" dxfId="910" priority="5">
      <formula>IF($AC$23="",TRUE,FALSE)</formula>
    </cfRule>
  </conditionalFormatting>
  <conditionalFormatting sqref="Z12">
    <cfRule type="expression" dxfId="909" priority="4">
      <formula>IF($AC$14="",TRUE,FALSE)</formula>
    </cfRule>
  </conditionalFormatting>
  <conditionalFormatting sqref="AB71:AC71">
    <cfRule type="expression" dxfId="908" priority="3">
      <formula>AND($AE$48,$AB$69)</formula>
    </cfRule>
  </conditionalFormatting>
  <conditionalFormatting sqref="AB76:AC77">
    <cfRule type="expression" dxfId="907" priority="2">
      <formula>AND($AE$48,NOT($AB$69))</formula>
    </cfRule>
  </conditionalFormatting>
  <conditionalFormatting sqref="Z57">
    <cfRule type="expression" dxfId="906" priority="1">
      <formula>NOT($B$66)</formula>
    </cfRule>
  </conditionalFormatting>
  <hyperlinks>
    <hyperlink ref="F273:I273" r:id="rId1" display="Download Form 1040 Schedule SE"/>
    <hyperlink ref="F275:I275" r:id="rId2" display="Download Form 1040 Schedule SE Instructions"/>
    <hyperlink ref="F273:K273" r:id="rId3" display="Download Form 2210"/>
    <hyperlink ref="F275:K275" r:id="rId4" display="Download Form 2210 Instructions"/>
  </hyperlinks>
  <printOptions horizontalCentered="1"/>
  <pageMargins left="0.3" right="0.15" top="0.65" bottom="0" header="0.42" footer="0.35"/>
  <pageSetup scale="84" fitToHeight="2" orientation="portrait" r:id="rId5"/>
  <headerFooter alignWithMargins="0"/>
  <rowBreaks count="4" manualBreakCount="4">
    <brk id="67" min="1" max="22" man="1"/>
    <brk id="109" min="1" max="22" man="1"/>
    <brk id="148" max="16383" man="1"/>
    <brk id="208" min="1" max="22" man="1"/>
  </rowBreaks>
  <drawing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63"/>
  <sheetViews>
    <sheetView zoomScaleNormal="100" zoomScaleSheetLayoutView="100" workbookViewId="0">
      <selection activeCell="N9" sqref="N9:P9"/>
    </sheetView>
  </sheetViews>
  <sheetFormatPr defaultRowHeight="12.75"/>
  <cols>
    <col min="1" max="1" width="2" style="46" customWidth="1"/>
    <col min="2" max="2" width="8.42578125" customWidth="1"/>
    <col min="3" max="3" width="3.140625" customWidth="1"/>
    <col min="4" max="4" width="7.7109375" customWidth="1"/>
    <col min="5" max="5" width="4.7109375" customWidth="1"/>
    <col min="6" max="6" width="8.7109375" customWidth="1"/>
    <col min="7" max="7" width="8" customWidth="1"/>
    <col min="8" max="8" width="4.28515625" customWidth="1"/>
    <col min="9" max="9" width="8.7109375" customWidth="1"/>
    <col min="10" max="10" width="11.140625" customWidth="1"/>
    <col min="11" max="11" width="9.42578125" customWidth="1"/>
    <col min="12" max="12" width="3.85546875" customWidth="1"/>
    <col min="13" max="13" width="16.28515625" customWidth="1"/>
    <col min="14" max="14" width="5.5703125" customWidth="1"/>
    <col min="15" max="15" width="16.28515625" customWidth="1"/>
    <col min="16" max="16" width="3.5703125" customWidth="1"/>
    <col min="17" max="17" width="6.140625" customWidth="1"/>
    <col min="18" max="18" width="16.28515625" customWidth="1"/>
    <col min="20" max="20" width="2.42578125" customWidth="1"/>
    <col min="21" max="21" width="3.85546875" customWidth="1"/>
    <col min="22" max="22" width="16.85546875" customWidth="1"/>
    <col min="23" max="23" width="11.7109375" customWidth="1"/>
    <col min="24" max="24" width="21.28515625" customWidth="1"/>
    <col min="25" max="25" width="10.85546875" customWidth="1"/>
    <col min="26" max="26" width="7.85546875" customWidth="1"/>
    <col min="27" max="27" width="4.140625" customWidth="1"/>
    <col min="28" max="28" width="5.42578125" customWidth="1"/>
    <col min="29" max="37" width="10.7109375" style="3169" customWidth="1"/>
    <col min="262" max="262" width="2" customWidth="1"/>
    <col min="263" max="263" width="8.28515625" customWidth="1"/>
    <col min="264" max="264" width="15.42578125" customWidth="1"/>
    <col min="265" max="265" width="8.7109375" customWidth="1"/>
    <col min="266" max="266" width="8" customWidth="1"/>
    <col min="267" max="267" width="6" customWidth="1"/>
    <col min="268" max="268" width="6.5703125" customWidth="1"/>
    <col min="269" max="269" width="9.5703125" customWidth="1"/>
    <col min="270" max="270" width="11.5703125" customWidth="1"/>
    <col min="271" max="271" width="3.5703125" customWidth="1"/>
    <col min="272" max="272" width="13.85546875" customWidth="1"/>
    <col min="273" max="273" width="5.5703125" customWidth="1"/>
    <col min="274" max="274" width="19.7109375" customWidth="1"/>
    <col min="275" max="275" width="2.140625" customWidth="1"/>
    <col min="276" max="276" width="13.5703125" customWidth="1"/>
    <col min="518" max="518" width="2" customWidth="1"/>
    <col min="519" max="519" width="8.28515625" customWidth="1"/>
    <col min="520" max="520" width="15.42578125" customWidth="1"/>
    <col min="521" max="521" width="8.7109375" customWidth="1"/>
    <col min="522" max="522" width="8" customWidth="1"/>
    <col min="523" max="523" width="6" customWidth="1"/>
    <col min="524" max="524" width="6.5703125" customWidth="1"/>
    <col min="525" max="525" width="9.5703125" customWidth="1"/>
    <col min="526" max="526" width="11.5703125" customWidth="1"/>
    <col min="527" max="527" width="3.5703125" customWidth="1"/>
    <col min="528" max="528" width="13.85546875" customWidth="1"/>
    <col min="529" max="529" width="5.5703125" customWidth="1"/>
    <col min="530" max="530" width="19.7109375" customWidth="1"/>
    <col min="531" max="531" width="2.140625" customWidth="1"/>
    <col min="532" max="532" width="13.5703125" customWidth="1"/>
    <col min="774" max="774" width="2" customWidth="1"/>
    <col min="775" max="775" width="8.28515625" customWidth="1"/>
    <col min="776" max="776" width="15.42578125" customWidth="1"/>
    <col min="777" max="777" width="8.7109375" customWidth="1"/>
    <col min="778" max="778" width="8" customWidth="1"/>
    <col min="779" max="779" width="6" customWidth="1"/>
    <col min="780" max="780" width="6.5703125" customWidth="1"/>
    <col min="781" max="781" width="9.5703125" customWidth="1"/>
    <col min="782" max="782" width="11.5703125" customWidth="1"/>
    <col min="783" max="783" width="3.5703125" customWidth="1"/>
    <col min="784" max="784" width="13.85546875" customWidth="1"/>
    <col min="785" max="785" width="5.5703125" customWidth="1"/>
    <col min="786" max="786" width="19.7109375" customWidth="1"/>
    <col min="787" max="787" width="2.140625" customWidth="1"/>
    <col min="788" max="788" width="13.5703125" customWidth="1"/>
    <col min="1030" max="1030" width="2" customWidth="1"/>
    <col min="1031" max="1031" width="8.28515625" customWidth="1"/>
    <col min="1032" max="1032" width="15.42578125" customWidth="1"/>
    <col min="1033" max="1033" width="8.7109375" customWidth="1"/>
    <col min="1034" max="1034" width="8" customWidth="1"/>
    <col min="1035" max="1035" width="6" customWidth="1"/>
    <col min="1036" max="1036" width="6.5703125" customWidth="1"/>
    <col min="1037" max="1037" width="9.5703125" customWidth="1"/>
    <col min="1038" max="1038" width="11.5703125" customWidth="1"/>
    <col min="1039" max="1039" width="3.5703125" customWidth="1"/>
    <col min="1040" max="1040" width="13.85546875" customWidth="1"/>
    <col min="1041" max="1041" width="5.5703125" customWidth="1"/>
    <col min="1042" max="1042" width="19.7109375" customWidth="1"/>
    <col min="1043" max="1043" width="2.140625" customWidth="1"/>
    <col min="1044" max="1044" width="13.5703125" customWidth="1"/>
    <col min="1286" max="1286" width="2" customWidth="1"/>
    <col min="1287" max="1287" width="8.28515625" customWidth="1"/>
    <col min="1288" max="1288" width="15.42578125" customWidth="1"/>
    <col min="1289" max="1289" width="8.7109375" customWidth="1"/>
    <col min="1290" max="1290" width="8" customWidth="1"/>
    <col min="1291" max="1291" width="6" customWidth="1"/>
    <col min="1292" max="1292" width="6.5703125" customWidth="1"/>
    <col min="1293" max="1293" width="9.5703125" customWidth="1"/>
    <col min="1294" max="1294" width="11.5703125" customWidth="1"/>
    <col min="1295" max="1295" width="3.5703125" customWidth="1"/>
    <col min="1296" max="1296" width="13.85546875" customWidth="1"/>
    <col min="1297" max="1297" width="5.5703125" customWidth="1"/>
    <col min="1298" max="1298" width="19.7109375" customWidth="1"/>
    <col min="1299" max="1299" width="2.140625" customWidth="1"/>
    <col min="1300" max="1300" width="13.5703125" customWidth="1"/>
    <col min="1542" max="1542" width="2" customWidth="1"/>
    <col min="1543" max="1543" width="8.28515625" customWidth="1"/>
    <col min="1544" max="1544" width="15.42578125" customWidth="1"/>
    <col min="1545" max="1545" width="8.7109375" customWidth="1"/>
    <col min="1546" max="1546" width="8" customWidth="1"/>
    <col min="1547" max="1547" width="6" customWidth="1"/>
    <col min="1548" max="1548" width="6.5703125" customWidth="1"/>
    <col min="1549" max="1549" width="9.5703125" customWidth="1"/>
    <col min="1550" max="1550" width="11.5703125" customWidth="1"/>
    <col min="1551" max="1551" width="3.5703125" customWidth="1"/>
    <col min="1552" max="1552" width="13.85546875" customWidth="1"/>
    <col min="1553" max="1553" width="5.5703125" customWidth="1"/>
    <col min="1554" max="1554" width="19.7109375" customWidth="1"/>
    <col min="1555" max="1555" width="2.140625" customWidth="1"/>
    <col min="1556" max="1556" width="13.5703125" customWidth="1"/>
    <col min="1798" max="1798" width="2" customWidth="1"/>
    <col min="1799" max="1799" width="8.28515625" customWidth="1"/>
    <col min="1800" max="1800" width="15.42578125" customWidth="1"/>
    <col min="1801" max="1801" width="8.7109375" customWidth="1"/>
    <col min="1802" max="1802" width="8" customWidth="1"/>
    <col min="1803" max="1803" width="6" customWidth="1"/>
    <col min="1804" max="1804" width="6.5703125" customWidth="1"/>
    <col min="1805" max="1805" width="9.5703125" customWidth="1"/>
    <col min="1806" max="1806" width="11.5703125" customWidth="1"/>
    <col min="1807" max="1807" width="3.5703125" customWidth="1"/>
    <col min="1808" max="1808" width="13.85546875" customWidth="1"/>
    <col min="1809" max="1809" width="5.5703125" customWidth="1"/>
    <col min="1810" max="1810" width="19.7109375" customWidth="1"/>
    <col min="1811" max="1811" width="2.140625" customWidth="1"/>
    <col min="1812" max="1812" width="13.5703125" customWidth="1"/>
    <col min="2054" max="2054" width="2" customWidth="1"/>
    <col min="2055" max="2055" width="8.28515625" customWidth="1"/>
    <col min="2056" max="2056" width="15.42578125" customWidth="1"/>
    <col min="2057" max="2057" width="8.7109375" customWidth="1"/>
    <col min="2058" max="2058" width="8" customWidth="1"/>
    <col min="2059" max="2059" width="6" customWidth="1"/>
    <col min="2060" max="2060" width="6.5703125" customWidth="1"/>
    <col min="2061" max="2061" width="9.5703125" customWidth="1"/>
    <col min="2062" max="2062" width="11.5703125" customWidth="1"/>
    <col min="2063" max="2063" width="3.5703125" customWidth="1"/>
    <col min="2064" max="2064" width="13.85546875" customWidth="1"/>
    <col min="2065" max="2065" width="5.5703125" customWidth="1"/>
    <col min="2066" max="2066" width="19.7109375" customWidth="1"/>
    <col min="2067" max="2067" width="2.140625" customWidth="1"/>
    <col min="2068" max="2068" width="13.5703125" customWidth="1"/>
    <col min="2310" max="2310" width="2" customWidth="1"/>
    <col min="2311" max="2311" width="8.28515625" customWidth="1"/>
    <col min="2312" max="2312" width="15.42578125" customWidth="1"/>
    <col min="2313" max="2313" width="8.7109375" customWidth="1"/>
    <col min="2314" max="2314" width="8" customWidth="1"/>
    <col min="2315" max="2315" width="6" customWidth="1"/>
    <col min="2316" max="2316" width="6.5703125" customWidth="1"/>
    <col min="2317" max="2317" width="9.5703125" customWidth="1"/>
    <col min="2318" max="2318" width="11.5703125" customWidth="1"/>
    <col min="2319" max="2319" width="3.5703125" customWidth="1"/>
    <col min="2320" max="2320" width="13.85546875" customWidth="1"/>
    <col min="2321" max="2321" width="5.5703125" customWidth="1"/>
    <col min="2322" max="2322" width="19.7109375" customWidth="1"/>
    <col min="2323" max="2323" width="2.140625" customWidth="1"/>
    <col min="2324" max="2324" width="13.5703125" customWidth="1"/>
    <col min="2566" max="2566" width="2" customWidth="1"/>
    <col min="2567" max="2567" width="8.28515625" customWidth="1"/>
    <col min="2568" max="2568" width="15.42578125" customWidth="1"/>
    <col min="2569" max="2569" width="8.7109375" customWidth="1"/>
    <col min="2570" max="2570" width="8" customWidth="1"/>
    <col min="2571" max="2571" width="6" customWidth="1"/>
    <col min="2572" max="2572" width="6.5703125" customWidth="1"/>
    <col min="2573" max="2573" width="9.5703125" customWidth="1"/>
    <col min="2574" max="2574" width="11.5703125" customWidth="1"/>
    <col min="2575" max="2575" width="3.5703125" customWidth="1"/>
    <col min="2576" max="2576" width="13.85546875" customWidth="1"/>
    <col min="2577" max="2577" width="5.5703125" customWidth="1"/>
    <col min="2578" max="2578" width="19.7109375" customWidth="1"/>
    <col min="2579" max="2579" width="2.140625" customWidth="1"/>
    <col min="2580" max="2580" width="13.5703125" customWidth="1"/>
    <col min="2822" max="2822" width="2" customWidth="1"/>
    <col min="2823" max="2823" width="8.28515625" customWidth="1"/>
    <col min="2824" max="2824" width="15.42578125" customWidth="1"/>
    <col min="2825" max="2825" width="8.7109375" customWidth="1"/>
    <col min="2826" max="2826" width="8" customWidth="1"/>
    <col min="2827" max="2827" width="6" customWidth="1"/>
    <col min="2828" max="2828" width="6.5703125" customWidth="1"/>
    <col min="2829" max="2829" width="9.5703125" customWidth="1"/>
    <col min="2830" max="2830" width="11.5703125" customWidth="1"/>
    <col min="2831" max="2831" width="3.5703125" customWidth="1"/>
    <col min="2832" max="2832" width="13.85546875" customWidth="1"/>
    <col min="2833" max="2833" width="5.5703125" customWidth="1"/>
    <col min="2834" max="2834" width="19.7109375" customWidth="1"/>
    <col min="2835" max="2835" width="2.140625" customWidth="1"/>
    <col min="2836" max="2836" width="13.5703125" customWidth="1"/>
    <col min="3078" max="3078" width="2" customWidth="1"/>
    <col min="3079" max="3079" width="8.28515625" customWidth="1"/>
    <col min="3080" max="3080" width="15.42578125" customWidth="1"/>
    <col min="3081" max="3081" width="8.7109375" customWidth="1"/>
    <col min="3082" max="3082" width="8" customWidth="1"/>
    <col min="3083" max="3083" width="6" customWidth="1"/>
    <col min="3084" max="3084" width="6.5703125" customWidth="1"/>
    <col min="3085" max="3085" width="9.5703125" customWidth="1"/>
    <col min="3086" max="3086" width="11.5703125" customWidth="1"/>
    <col min="3087" max="3087" width="3.5703125" customWidth="1"/>
    <col min="3088" max="3088" width="13.85546875" customWidth="1"/>
    <col min="3089" max="3089" width="5.5703125" customWidth="1"/>
    <col min="3090" max="3090" width="19.7109375" customWidth="1"/>
    <col min="3091" max="3091" width="2.140625" customWidth="1"/>
    <col min="3092" max="3092" width="13.5703125" customWidth="1"/>
    <col min="3334" max="3334" width="2" customWidth="1"/>
    <col min="3335" max="3335" width="8.28515625" customWidth="1"/>
    <col min="3336" max="3336" width="15.42578125" customWidth="1"/>
    <col min="3337" max="3337" width="8.7109375" customWidth="1"/>
    <col min="3338" max="3338" width="8" customWidth="1"/>
    <col min="3339" max="3339" width="6" customWidth="1"/>
    <col min="3340" max="3340" width="6.5703125" customWidth="1"/>
    <col min="3341" max="3341" width="9.5703125" customWidth="1"/>
    <col min="3342" max="3342" width="11.5703125" customWidth="1"/>
    <col min="3343" max="3343" width="3.5703125" customWidth="1"/>
    <col min="3344" max="3344" width="13.85546875" customWidth="1"/>
    <col min="3345" max="3345" width="5.5703125" customWidth="1"/>
    <col min="3346" max="3346" width="19.7109375" customWidth="1"/>
    <col min="3347" max="3347" width="2.140625" customWidth="1"/>
    <col min="3348" max="3348" width="13.5703125" customWidth="1"/>
    <col min="3590" max="3590" width="2" customWidth="1"/>
    <col min="3591" max="3591" width="8.28515625" customWidth="1"/>
    <col min="3592" max="3592" width="15.42578125" customWidth="1"/>
    <col min="3593" max="3593" width="8.7109375" customWidth="1"/>
    <col min="3594" max="3594" width="8" customWidth="1"/>
    <col min="3595" max="3595" width="6" customWidth="1"/>
    <col min="3596" max="3596" width="6.5703125" customWidth="1"/>
    <col min="3597" max="3597" width="9.5703125" customWidth="1"/>
    <col min="3598" max="3598" width="11.5703125" customWidth="1"/>
    <col min="3599" max="3599" width="3.5703125" customWidth="1"/>
    <col min="3600" max="3600" width="13.85546875" customWidth="1"/>
    <col min="3601" max="3601" width="5.5703125" customWidth="1"/>
    <col min="3602" max="3602" width="19.7109375" customWidth="1"/>
    <col min="3603" max="3603" width="2.140625" customWidth="1"/>
    <col min="3604" max="3604" width="13.5703125" customWidth="1"/>
    <col min="3846" max="3846" width="2" customWidth="1"/>
    <col min="3847" max="3847" width="8.28515625" customWidth="1"/>
    <col min="3848" max="3848" width="15.42578125" customWidth="1"/>
    <col min="3849" max="3849" width="8.7109375" customWidth="1"/>
    <col min="3850" max="3850" width="8" customWidth="1"/>
    <col min="3851" max="3851" width="6" customWidth="1"/>
    <col min="3852" max="3852" width="6.5703125" customWidth="1"/>
    <col min="3853" max="3853" width="9.5703125" customWidth="1"/>
    <col min="3854" max="3854" width="11.5703125" customWidth="1"/>
    <col min="3855" max="3855" width="3.5703125" customWidth="1"/>
    <col min="3856" max="3856" width="13.85546875" customWidth="1"/>
    <col min="3857" max="3857" width="5.5703125" customWidth="1"/>
    <col min="3858" max="3858" width="19.7109375" customWidth="1"/>
    <col min="3859" max="3859" width="2.140625" customWidth="1"/>
    <col min="3860" max="3860" width="13.5703125" customWidth="1"/>
    <col min="4102" max="4102" width="2" customWidth="1"/>
    <col min="4103" max="4103" width="8.28515625" customWidth="1"/>
    <col min="4104" max="4104" width="15.42578125" customWidth="1"/>
    <col min="4105" max="4105" width="8.7109375" customWidth="1"/>
    <col min="4106" max="4106" width="8" customWidth="1"/>
    <col min="4107" max="4107" width="6" customWidth="1"/>
    <col min="4108" max="4108" width="6.5703125" customWidth="1"/>
    <col min="4109" max="4109" width="9.5703125" customWidth="1"/>
    <col min="4110" max="4110" width="11.5703125" customWidth="1"/>
    <col min="4111" max="4111" width="3.5703125" customWidth="1"/>
    <col min="4112" max="4112" width="13.85546875" customWidth="1"/>
    <col min="4113" max="4113" width="5.5703125" customWidth="1"/>
    <col min="4114" max="4114" width="19.7109375" customWidth="1"/>
    <col min="4115" max="4115" width="2.140625" customWidth="1"/>
    <col min="4116" max="4116" width="13.5703125" customWidth="1"/>
    <col min="4358" max="4358" width="2" customWidth="1"/>
    <col min="4359" max="4359" width="8.28515625" customWidth="1"/>
    <col min="4360" max="4360" width="15.42578125" customWidth="1"/>
    <col min="4361" max="4361" width="8.7109375" customWidth="1"/>
    <col min="4362" max="4362" width="8" customWidth="1"/>
    <col min="4363" max="4363" width="6" customWidth="1"/>
    <col min="4364" max="4364" width="6.5703125" customWidth="1"/>
    <col min="4365" max="4365" width="9.5703125" customWidth="1"/>
    <col min="4366" max="4366" width="11.5703125" customWidth="1"/>
    <col min="4367" max="4367" width="3.5703125" customWidth="1"/>
    <col min="4368" max="4368" width="13.85546875" customWidth="1"/>
    <col min="4369" max="4369" width="5.5703125" customWidth="1"/>
    <col min="4370" max="4370" width="19.7109375" customWidth="1"/>
    <col min="4371" max="4371" width="2.140625" customWidth="1"/>
    <col min="4372" max="4372" width="13.5703125" customWidth="1"/>
    <col min="4614" max="4614" width="2" customWidth="1"/>
    <col min="4615" max="4615" width="8.28515625" customWidth="1"/>
    <col min="4616" max="4616" width="15.42578125" customWidth="1"/>
    <col min="4617" max="4617" width="8.7109375" customWidth="1"/>
    <col min="4618" max="4618" width="8" customWidth="1"/>
    <col min="4619" max="4619" width="6" customWidth="1"/>
    <col min="4620" max="4620" width="6.5703125" customWidth="1"/>
    <col min="4621" max="4621" width="9.5703125" customWidth="1"/>
    <col min="4622" max="4622" width="11.5703125" customWidth="1"/>
    <col min="4623" max="4623" width="3.5703125" customWidth="1"/>
    <col min="4624" max="4624" width="13.85546875" customWidth="1"/>
    <col min="4625" max="4625" width="5.5703125" customWidth="1"/>
    <col min="4626" max="4626" width="19.7109375" customWidth="1"/>
    <col min="4627" max="4627" width="2.140625" customWidth="1"/>
    <col min="4628" max="4628" width="13.5703125" customWidth="1"/>
    <col min="4870" max="4870" width="2" customWidth="1"/>
    <col min="4871" max="4871" width="8.28515625" customWidth="1"/>
    <col min="4872" max="4872" width="15.42578125" customWidth="1"/>
    <col min="4873" max="4873" width="8.7109375" customWidth="1"/>
    <col min="4874" max="4874" width="8" customWidth="1"/>
    <col min="4875" max="4875" width="6" customWidth="1"/>
    <col min="4876" max="4876" width="6.5703125" customWidth="1"/>
    <col min="4877" max="4877" width="9.5703125" customWidth="1"/>
    <col min="4878" max="4878" width="11.5703125" customWidth="1"/>
    <col min="4879" max="4879" width="3.5703125" customWidth="1"/>
    <col min="4880" max="4880" width="13.85546875" customWidth="1"/>
    <col min="4881" max="4881" width="5.5703125" customWidth="1"/>
    <col min="4882" max="4882" width="19.7109375" customWidth="1"/>
    <col min="4883" max="4883" width="2.140625" customWidth="1"/>
    <col min="4884" max="4884" width="13.5703125" customWidth="1"/>
    <col min="5126" max="5126" width="2" customWidth="1"/>
    <col min="5127" max="5127" width="8.28515625" customWidth="1"/>
    <col min="5128" max="5128" width="15.42578125" customWidth="1"/>
    <col min="5129" max="5129" width="8.7109375" customWidth="1"/>
    <col min="5130" max="5130" width="8" customWidth="1"/>
    <col min="5131" max="5131" width="6" customWidth="1"/>
    <col min="5132" max="5132" width="6.5703125" customWidth="1"/>
    <col min="5133" max="5133" width="9.5703125" customWidth="1"/>
    <col min="5134" max="5134" width="11.5703125" customWidth="1"/>
    <col min="5135" max="5135" width="3.5703125" customWidth="1"/>
    <col min="5136" max="5136" width="13.85546875" customWidth="1"/>
    <col min="5137" max="5137" width="5.5703125" customWidth="1"/>
    <col min="5138" max="5138" width="19.7109375" customWidth="1"/>
    <col min="5139" max="5139" width="2.140625" customWidth="1"/>
    <col min="5140" max="5140" width="13.5703125" customWidth="1"/>
    <col min="5382" max="5382" width="2" customWidth="1"/>
    <col min="5383" max="5383" width="8.28515625" customWidth="1"/>
    <col min="5384" max="5384" width="15.42578125" customWidth="1"/>
    <col min="5385" max="5385" width="8.7109375" customWidth="1"/>
    <col min="5386" max="5386" width="8" customWidth="1"/>
    <col min="5387" max="5387" width="6" customWidth="1"/>
    <col min="5388" max="5388" width="6.5703125" customWidth="1"/>
    <col min="5389" max="5389" width="9.5703125" customWidth="1"/>
    <col min="5390" max="5390" width="11.5703125" customWidth="1"/>
    <col min="5391" max="5391" width="3.5703125" customWidth="1"/>
    <col min="5392" max="5392" width="13.85546875" customWidth="1"/>
    <col min="5393" max="5393" width="5.5703125" customWidth="1"/>
    <col min="5394" max="5394" width="19.7109375" customWidth="1"/>
    <col min="5395" max="5395" width="2.140625" customWidth="1"/>
    <col min="5396" max="5396" width="13.5703125" customWidth="1"/>
    <col min="5638" max="5638" width="2" customWidth="1"/>
    <col min="5639" max="5639" width="8.28515625" customWidth="1"/>
    <col min="5640" max="5640" width="15.42578125" customWidth="1"/>
    <col min="5641" max="5641" width="8.7109375" customWidth="1"/>
    <col min="5642" max="5642" width="8" customWidth="1"/>
    <col min="5643" max="5643" width="6" customWidth="1"/>
    <col min="5644" max="5644" width="6.5703125" customWidth="1"/>
    <col min="5645" max="5645" width="9.5703125" customWidth="1"/>
    <col min="5646" max="5646" width="11.5703125" customWidth="1"/>
    <col min="5647" max="5647" width="3.5703125" customWidth="1"/>
    <col min="5648" max="5648" width="13.85546875" customWidth="1"/>
    <col min="5649" max="5649" width="5.5703125" customWidth="1"/>
    <col min="5650" max="5650" width="19.7109375" customWidth="1"/>
    <col min="5651" max="5651" width="2.140625" customWidth="1"/>
    <col min="5652" max="5652" width="13.5703125" customWidth="1"/>
    <col min="5894" max="5894" width="2" customWidth="1"/>
    <col min="5895" max="5895" width="8.28515625" customWidth="1"/>
    <col min="5896" max="5896" width="15.42578125" customWidth="1"/>
    <col min="5897" max="5897" width="8.7109375" customWidth="1"/>
    <col min="5898" max="5898" width="8" customWidth="1"/>
    <col min="5899" max="5899" width="6" customWidth="1"/>
    <col min="5900" max="5900" width="6.5703125" customWidth="1"/>
    <col min="5901" max="5901" width="9.5703125" customWidth="1"/>
    <col min="5902" max="5902" width="11.5703125" customWidth="1"/>
    <col min="5903" max="5903" width="3.5703125" customWidth="1"/>
    <col min="5904" max="5904" width="13.85546875" customWidth="1"/>
    <col min="5905" max="5905" width="5.5703125" customWidth="1"/>
    <col min="5906" max="5906" width="19.7109375" customWidth="1"/>
    <col min="5907" max="5907" width="2.140625" customWidth="1"/>
    <col min="5908" max="5908" width="13.5703125" customWidth="1"/>
    <col min="6150" max="6150" width="2" customWidth="1"/>
    <col min="6151" max="6151" width="8.28515625" customWidth="1"/>
    <col min="6152" max="6152" width="15.42578125" customWidth="1"/>
    <col min="6153" max="6153" width="8.7109375" customWidth="1"/>
    <col min="6154" max="6154" width="8" customWidth="1"/>
    <col min="6155" max="6155" width="6" customWidth="1"/>
    <col min="6156" max="6156" width="6.5703125" customWidth="1"/>
    <col min="6157" max="6157" width="9.5703125" customWidth="1"/>
    <col min="6158" max="6158" width="11.5703125" customWidth="1"/>
    <col min="6159" max="6159" width="3.5703125" customWidth="1"/>
    <col min="6160" max="6160" width="13.85546875" customWidth="1"/>
    <col min="6161" max="6161" width="5.5703125" customWidth="1"/>
    <col min="6162" max="6162" width="19.7109375" customWidth="1"/>
    <col min="6163" max="6163" width="2.140625" customWidth="1"/>
    <col min="6164" max="6164" width="13.5703125" customWidth="1"/>
    <col min="6406" max="6406" width="2" customWidth="1"/>
    <col min="6407" max="6407" width="8.28515625" customWidth="1"/>
    <col min="6408" max="6408" width="15.42578125" customWidth="1"/>
    <col min="6409" max="6409" width="8.7109375" customWidth="1"/>
    <col min="6410" max="6410" width="8" customWidth="1"/>
    <col min="6411" max="6411" width="6" customWidth="1"/>
    <col min="6412" max="6412" width="6.5703125" customWidth="1"/>
    <col min="6413" max="6413" width="9.5703125" customWidth="1"/>
    <col min="6414" max="6414" width="11.5703125" customWidth="1"/>
    <col min="6415" max="6415" width="3.5703125" customWidth="1"/>
    <col min="6416" max="6416" width="13.85546875" customWidth="1"/>
    <col min="6417" max="6417" width="5.5703125" customWidth="1"/>
    <col min="6418" max="6418" width="19.7109375" customWidth="1"/>
    <col min="6419" max="6419" width="2.140625" customWidth="1"/>
    <col min="6420" max="6420" width="13.5703125" customWidth="1"/>
    <col min="6662" max="6662" width="2" customWidth="1"/>
    <col min="6663" max="6663" width="8.28515625" customWidth="1"/>
    <col min="6664" max="6664" width="15.42578125" customWidth="1"/>
    <col min="6665" max="6665" width="8.7109375" customWidth="1"/>
    <col min="6666" max="6666" width="8" customWidth="1"/>
    <col min="6667" max="6667" width="6" customWidth="1"/>
    <col min="6668" max="6668" width="6.5703125" customWidth="1"/>
    <col min="6669" max="6669" width="9.5703125" customWidth="1"/>
    <col min="6670" max="6670" width="11.5703125" customWidth="1"/>
    <col min="6671" max="6671" width="3.5703125" customWidth="1"/>
    <col min="6672" max="6672" width="13.85546875" customWidth="1"/>
    <col min="6673" max="6673" width="5.5703125" customWidth="1"/>
    <col min="6674" max="6674" width="19.7109375" customWidth="1"/>
    <col min="6675" max="6675" width="2.140625" customWidth="1"/>
    <col min="6676" max="6676" width="13.5703125" customWidth="1"/>
    <col min="6918" max="6918" width="2" customWidth="1"/>
    <col min="6919" max="6919" width="8.28515625" customWidth="1"/>
    <col min="6920" max="6920" width="15.42578125" customWidth="1"/>
    <col min="6921" max="6921" width="8.7109375" customWidth="1"/>
    <col min="6922" max="6922" width="8" customWidth="1"/>
    <col min="6923" max="6923" width="6" customWidth="1"/>
    <col min="6924" max="6924" width="6.5703125" customWidth="1"/>
    <col min="6925" max="6925" width="9.5703125" customWidth="1"/>
    <col min="6926" max="6926" width="11.5703125" customWidth="1"/>
    <col min="6927" max="6927" width="3.5703125" customWidth="1"/>
    <col min="6928" max="6928" width="13.85546875" customWidth="1"/>
    <col min="6929" max="6929" width="5.5703125" customWidth="1"/>
    <col min="6930" max="6930" width="19.7109375" customWidth="1"/>
    <col min="6931" max="6931" width="2.140625" customWidth="1"/>
    <col min="6932" max="6932" width="13.5703125" customWidth="1"/>
    <col min="7174" max="7174" width="2" customWidth="1"/>
    <col min="7175" max="7175" width="8.28515625" customWidth="1"/>
    <col min="7176" max="7176" width="15.42578125" customWidth="1"/>
    <col min="7177" max="7177" width="8.7109375" customWidth="1"/>
    <col min="7178" max="7178" width="8" customWidth="1"/>
    <col min="7179" max="7179" width="6" customWidth="1"/>
    <col min="7180" max="7180" width="6.5703125" customWidth="1"/>
    <col min="7181" max="7181" width="9.5703125" customWidth="1"/>
    <col min="7182" max="7182" width="11.5703125" customWidth="1"/>
    <col min="7183" max="7183" width="3.5703125" customWidth="1"/>
    <col min="7184" max="7184" width="13.85546875" customWidth="1"/>
    <col min="7185" max="7185" width="5.5703125" customWidth="1"/>
    <col min="7186" max="7186" width="19.7109375" customWidth="1"/>
    <col min="7187" max="7187" width="2.140625" customWidth="1"/>
    <col min="7188" max="7188" width="13.5703125" customWidth="1"/>
    <col min="7430" max="7430" width="2" customWidth="1"/>
    <col min="7431" max="7431" width="8.28515625" customWidth="1"/>
    <col min="7432" max="7432" width="15.42578125" customWidth="1"/>
    <col min="7433" max="7433" width="8.7109375" customWidth="1"/>
    <col min="7434" max="7434" width="8" customWidth="1"/>
    <col min="7435" max="7435" width="6" customWidth="1"/>
    <col min="7436" max="7436" width="6.5703125" customWidth="1"/>
    <col min="7437" max="7437" width="9.5703125" customWidth="1"/>
    <col min="7438" max="7438" width="11.5703125" customWidth="1"/>
    <col min="7439" max="7439" width="3.5703125" customWidth="1"/>
    <col min="7440" max="7440" width="13.85546875" customWidth="1"/>
    <col min="7441" max="7441" width="5.5703125" customWidth="1"/>
    <col min="7442" max="7442" width="19.7109375" customWidth="1"/>
    <col min="7443" max="7443" width="2.140625" customWidth="1"/>
    <col min="7444" max="7444" width="13.5703125" customWidth="1"/>
    <col min="7686" max="7686" width="2" customWidth="1"/>
    <col min="7687" max="7687" width="8.28515625" customWidth="1"/>
    <col min="7688" max="7688" width="15.42578125" customWidth="1"/>
    <col min="7689" max="7689" width="8.7109375" customWidth="1"/>
    <col min="7690" max="7690" width="8" customWidth="1"/>
    <col min="7691" max="7691" width="6" customWidth="1"/>
    <col min="7692" max="7692" width="6.5703125" customWidth="1"/>
    <col min="7693" max="7693" width="9.5703125" customWidth="1"/>
    <col min="7694" max="7694" width="11.5703125" customWidth="1"/>
    <col min="7695" max="7695" width="3.5703125" customWidth="1"/>
    <col min="7696" max="7696" width="13.85546875" customWidth="1"/>
    <col min="7697" max="7697" width="5.5703125" customWidth="1"/>
    <col min="7698" max="7698" width="19.7109375" customWidth="1"/>
    <col min="7699" max="7699" width="2.140625" customWidth="1"/>
    <col min="7700" max="7700" width="13.5703125" customWidth="1"/>
    <col min="7942" max="7942" width="2" customWidth="1"/>
    <col min="7943" max="7943" width="8.28515625" customWidth="1"/>
    <col min="7944" max="7944" width="15.42578125" customWidth="1"/>
    <col min="7945" max="7945" width="8.7109375" customWidth="1"/>
    <col min="7946" max="7946" width="8" customWidth="1"/>
    <col min="7947" max="7947" width="6" customWidth="1"/>
    <col min="7948" max="7948" width="6.5703125" customWidth="1"/>
    <col min="7949" max="7949" width="9.5703125" customWidth="1"/>
    <col min="7950" max="7950" width="11.5703125" customWidth="1"/>
    <col min="7951" max="7951" width="3.5703125" customWidth="1"/>
    <col min="7952" max="7952" width="13.85546875" customWidth="1"/>
    <col min="7953" max="7953" width="5.5703125" customWidth="1"/>
    <col min="7954" max="7954" width="19.7109375" customWidth="1"/>
    <col min="7955" max="7955" width="2.140625" customWidth="1"/>
    <col min="7956" max="7956" width="13.5703125" customWidth="1"/>
    <col min="8198" max="8198" width="2" customWidth="1"/>
    <col min="8199" max="8199" width="8.28515625" customWidth="1"/>
    <col min="8200" max="8200" width="15.42578125" customWidth="1"/>
    <col min="8201" max="8201" width="8.7109375" customWidth="1"/>
    <col min="8202" max="8202" width="8" customWidth="1"/>
    <col min="8203" max="8203" width="6" customWidth="1"/>
    <col min="8204" max="8204" width="6.5703125" customWidth="1"/>
    <col min="8205" max="8205" width="9.5703125" customWidth="1"/>
    <col min="8206" max="8206" width="11.5703125" customWidth="1"/>
    <col min="8207" max="8207" width="3.5703125" customWidth="1"/>
    <col min="8208" max="8208" width="13.85546875" customWidth="1"/>
    <col min="8209" max="8209" width="5.5703125" customWidth="1"/>
    <col min="8210" max="8210" width="19.7109375" customWidth="1"/>
    <col min="8211" max="8211" width="2.140625" customWidth="1"/>
    <col min="8212" max="8212" width="13.5703125" customWidth="1"/>
    <col min="8454" max="8454" width="2" customWidth="1"/>
    <col min="8455" max="8455" width="8.28515625" customWidth="1"/>
    <col min="8456" max="8456" width="15.42578125" customWidth="1"/>
    <col min="8457" max="8457" width="8.7109375" customWidth="1"/>
    <col min="8458" max="8458" width="8" customWidth="1"/>
    <col min="8459" max="8459" width="6" customWidth="1"/>
    <col min="8460" max="8460" width="6.5703125" customWidth="1"/>
    <col min="8461" max="8461" width="9.5703125" customWidth="1"/>
    <col min="8462" max="8462" width="11.5703125" customWidth="1"/>
    <col min="8463" max="8463" width="3.5703125" customWidth="1"/>
    <col min="8464" max="8464" width="13.85546875" customWidth="1"/>
    <col min="8465" max="8465" width="5.5703125" customWidth="1"/>
    <col min="8466" max="8466" width="19.7109375" customWidth="1"/>
    <col min="8467" max="8467" width="2.140625" customWidth="1"/>
    <col min="8468" max="8468" width="13.5703125" customWidth="1"/>
    <col min="8710" max="8710" width="2" customWidth="1"/>
    <col min="8711" max="8711" width="8.28515625" customWidth="1"/>
    <col min="8712" max="8712" width="15.42578125" customWidth="1"/>
    <col min="8713" max="8713" width="8.7109375" customWidth="1"/>
    <col min="8714" max="8714" width="8" customWidth="1"/>
    <col min="8715" max="8715" width="6" customWidth="1"/>
    <col min="8716" max="8716" width="6.5703125" customWidth="1"/>
    <col min="8717" max="8717" width="9.5703125" customWidth="1"/>
    <col min="8718" max="8718" width="11.5703125" customWidth="1"/>
    <col min="8719" max="8719" width="3.5703125" customWidth="1"/>
    <col min="8720" max="8720" width="13.85546875" customWidth="1"/>
    <col min="8721" max="8721" width="5.5703125" customWidth="1"/>
    <col min="8722" max="8722" width="19.7109375" customWidth="1"/>
    <col min="8723" max="8723" width="2.140625" customWidth="1"/>
    <col min="8724" max="8724" width="13.5703125" customWidth="1"/>
    <col min="8966" max="8966" width="2" customWidth="1"/>
    <col min="8967" max="8967" width="8.28515625" customWidth="1"/>
    <col min="8968" max="8968" width="15.42578125" customWidth="1"/>
    <col min="8969" max="8969" width="8.7109375" customWidth="1"/>
    <col min="8970" max="8970" width="8" customWidth="1"/>
    <col min="8971" max="8971" width="6" customWidth="1"/>
    <col min="8972" max="8972" width="6.5703125" customWidth="1"/>
    <col min="8973" max="8973" width="9.5703125" customWidth="1"/>
    <col min="8974" max="8974" width="11.5703125" customWidth="1"/>
    <col min="8975" max="8975" width="3.5703125" customWidth="1"/>
    <col min="8976" max="8976" width="13.85546875" customWidth="1"/>
    <col min="8977" max="8977" width="5.5703125" customWidth="1"/>
    <col min="8978" max="8978" width="19.7109375" customWidth="1"/>
    <col min="8979" max="8979" width="2.140625" customWidth="1"/>
    <col min="8980" max="8980" width="13.5703125" customWidth="1"/>
    <col min="9222" max="9222" width="2" customWidth="1"/>
    <col min="9223" max="9223" width="8.28515625" customWidth="1"/>
    <col min="9224" max="9224" width="15.42578125" customWidth="1"/>
    <col min="9225" max="9225" width="8.7109375" customWidth="1"/>
    <col min="9226" max="9226" width="8" customWidth="1"/>
    <col min="9227" max="9227" width="6" customWidth="1"/>
    <col min="9228" max="9228" width="6.5703125" customWidth="1"/>
    <col min="9229" max="9229" width="9.5703125" customWidth="1"/>
    <col min="9230" max="9230" width="11.5703125" customWidth="1"/>
    <col min="9231" max="9231" width="3.5703125" customWidth="1"/>
    <col min="9232" max="9232" width="13.85546875" customWidth="1"/>
    <col min="9233" max="9233" width="5.5703125" customWidth="1"/>
    <col min="9234" max="9234" width="19.7109375" customWidth="1"/>
    <col min="9235" max="9235" width="2.140625" customWidth="1"/>
    <col min="9236" max="9236" width="13.5703125" customWidth="1"/>
    <col min="9478" max="9478" width="2" customWidth="1"/>
    <col min="9479" max="9479" width="8.28515625" customWidth="1"/>
    <col min="9480" max="9480" width="15.42578125" customWidth="1"/>
    <col min="9481" max="9481" width="8.7109375" customWidth="1"/>
    <col min="9482" max="9482" width="8" customWidth="1"/>
    <col min="9483" max="9483" width="6" customWidth="1"/>
    <col min="9484" max="9484" width="6.5703125" customWidth="1"/>
    <col min="9485" max="9485" width="9.5703125" customWidth="1"/>
    <col min="9486" max="9486" width="11.5703125" customWidth="1"/>
    <col min="9487" max="9487" width="3.5703125" customWidth="1"/>
    <col min="9488" max="9488" width="13.85546875" customWidth="1"/>
    <col min="9489" max="9489" width="5.5703125" customWidth="1"/>
    <col min="9490" max="9490" width="19.7109375" customWidth="1"/>
    <col min="9491" max="9491" width="2.140625" customWidth="1"/>
    <col min="9492" max="9492" width="13.5703125" customWidth="1"/>
    <col min="9734" max="9734" width="2" customWidth="1"/>
    <col min="9735" max="9735" width="8.28515625" customWidth="1"/>
    <col min="9736" max="9736" width="15.42578125" customWidth="1"/>
    <col min="9737" max="9737" width="8.7109375" customWidth="1"/>
    <col min="9738" max="9738" width="8" customWidth="1"/>
    <col min="9739" max="9739" width="6" customWidth="1"/>
    <col min="9740" max="9740" width="6.5703125" customWidth="1"/>
    <col min="9741" max="9741" width="9.5703125" customWidth="1"/>
    <col min="9742" max="9742" width="11.5703125" customWidth="1"/>
    <col min="9743" max="9743" width="3.5703125" customWidth="1"/>
    <col min="9744" max="9744" width="13.85546875" customWidth="1"/>
    <col min="9745" max="9745" width="5.5703125" customWidth="1"/>
    <col min="9746" max="9746" width="19.7109375" customWidth="1"/>
    <col min="9747" max="9747" width="2.140625" customWidth="1"/>
    <col min="9748" max="9748" width="13.5703125" customWidth="1"/>
    <col min="9990" max="9990" width="2" customWidth="1"/>
    <col min="9991" max="9991" width="8.28515625" customWidth="1"/>
    <col min="9992" max="9992" width="15.42578125" customWidth="1"/>
    <col min="9993" max="9993" width="8.7109375" customWidth="1"/>
    <col min="9994" max="9994" width="8" customWidth="1"/>
    <col min="9995" max="9995" width="6" customWidth="1"/>
    <col min="9996" max="9996" width="6.5703125" customWidth="1"/>
    <col min="9997" max="9997" width="9.5703125" customWidth="1"/>
    <col min="9998" max="9998" width="11.5703125" customWidth="1"/>
    <col min="9999" max="9999" width="3.5703125" customWidth="1"/>
    <col min="10000" max="10000" width="13.85546875" customWidth="1"/>
    <col min="10001" max="10001" width="5.5703125" customWidth="1"/>
    <col min="10002" max="10002" width="19.7109375" customWidth="1"/>
    <col min="10003" max="10003" width="2.140625" customWidth="1"/>
    <col min="10004" max="10004" width="13.5703125" customWidth="1"/>
    <col min="10246" max="10246" width="2" customWidth="1"/>
    <col min="10247" max="10247" width="8.28515625" customWidth="1"/>
    <col min="10248" max="10248" width="15.42578125" customWidth="1"/>
    <col min="10249" max="10249" width="8.7109375" customWidth="1"/>
    <col min="10250" max="10250" width="8" customWidth="1"/>
    <col min="10251" max="10251" width="6" customWidth="1"/>
    <col min="10252" max="10252" width="6.5703125" customWidth="1"/>
    <col min="10253" max="10253" width="9.5703125" customWidth="1"/>
    <col min="10254" max="10254" width="11.5703125" customWidth="1"/>
    <col min="10255" max="10255" width="3.5703125" customWidth="1"/>
    <col min="10256" max="10256" width="13.85546875" customWidth="1"/>
    <col min="10257" max="10257" width="5.5703125" customWidth="1"/>
    <col min="10258" max="10258" width="19.7109375" customWidth="1"/>
    <col min="10259" max="10259" width="2.140625" customWidth="1"/>
    <col min="10260" max="10260" width="13.5703125" customWidth="1"/>
    <col min="10502" max="10502" width="2" customWidth="1"/>
    <col min="10503" max="10503" width="8.28515625" customWidth="1"/>
    <col min="10504" max="10504" width="15.42578125" customWidth="1"/>
    <col min="10505" max="10505" width="8.7109375" customWidth="1"/>
    <col min="10506" max="10506" width="8" customWidth="1"/>
    <col min="10507" max="10507" width="6" customWidth="1"/>
    <col min="10508" max="10508" width="6.5703125" customWidth="1"/>
    <col min="10509" max="10509" width="9.5703125" customWidth="1"/>
    <col min="10510" max="10510" width="11.5703125" customWidth="1"/>
    <col min="10511" max="10511" width="3.5703125" customWidth="1"/>
    <col min="10512" max="10512" width="13.85546875" customWidth="1"/>
    <col min="10513" max="10513" width="5.5703125" customWidth="1"/>
    <col min="10514" max="10514" width="19.7109375" customWidth="1"/>
    <col min="10515" max="10515" width="2.140625" customWidth="1"/>
    <col min="10516" max="10516" width="13.5703125" customWidth="1"/>
    <col min="10758" max="10758" width="2" customWidth="1"/>
    <col min="10759" max="10759" width="8.28515625" customWidth="1"/>
    <col min="10760" max="10760" width="15.42578125" customWidth="1"/>
    <col min="10761" max="10761" width="8.7109375" customWidth="1"/>
    <col min="10762" max="10762" width="8" customWidth="1"/>
    <col min="10763" max="10763" width="6" customWidth="1"/>
    <col min="10764" max="10764" width="6.5703125" customWidth="1"/>
    <col min="10765" max="10765" width="9.5703125" customWidth="1"/>
    <col min="10766" max="10766" width="11.5703125" customWidth="1"/>
    <col min="10767" max="10767" width="3.5703125" customWidth="1"/>
    <col min="10768" max="10768" width="13.85546875" customWidth="1"/>
    <col min="10769" max="10769" width="5.5703125" customWidth="1"/>
    <col min="10770" max="10770" width="19.7109375" customWidth="1"/>
    <col min="10771" max="10771" width="2.140625" customWidth="1"/>
    <col min="10772" max="10772" width="13.5703125" customWidth="1"/>
    <col min="11014" max="11014" width="2" customWidth="1"/>
    <col min="11015" max="11015" width="8.28515625" customWidth="1"/>
    <col min="11016" max="11016" width="15.42578125" customWidth="1"/>
    <col min="11017" max="11017" width="8.7109375" customWidth="1"/>
    <col min="11018" max="11018" width="8" customWidth="1"/>
    <col min="11019" max="11019" width="6" customWidth="1"/>
    <col min="11020" max="11020" width="6.5703125" customWidth="1"/>
    <col min="11021" max="11021" width="9.5703125" customWidth="1"/>
    <col min="11022" max="11022" width="11.5703125" customWidth="1"/>
    <col min="11023" max="11023" width="3.5703125" customWidth="1"/>
    <col min="11024" max="11024" width="13.85546875" customWidth="1"/>
    <col min="11025" max="11025" width="5.5703125" customWidth="1"/>
    <col min="11026" max="11026" width="19.7109375" customWidth="1"/>
    <col min="11027" max="11027" width="2.140625" customWidth="1"/>
    <col min="11028" max="11028" width="13.5703125" customWidth="1"/>
    <col min="11270" max="11270" width="2" customWidth="1"/>
    <col min="11271" max="11271" width="8.28515625" customWidth="1"/>
    <col min="11272" max="11272" width="15.42578125" customWidth="1"/>
    <col min="11273" max="11273" width="8.7109375" customWidth="1"/>
    <col min="11274" max="11274" width="8" customWidth="1"/>
    <col min="11275" max="11275" width="6" customWidth="1"/>
    <col min="11276" max="11276" width="6.5703125" customWidth="1"/>
    <col min="11277" max="11277" width="9.5703125" customWidth="1"/>
    <col min="11278" max="11278" width="11.5703125" customWidth="1"/>
    <col min="11279" max="11279" width="3.5703125" customWidth="1"/>
    <col min="11280" max="11280" width="13.85546875" customWidth="1"/>
    <col min="11281" max="11281" width="5.5703125" customWidth="1"/>
    <col min="11282" max="11282" width="19.7109375" customWidth="1"/>
    <col min="11283" max="11283" width="2.140625" customWidth="1"/>
    <col min="11284" max="11284" width="13.5703125" customWidth="1"/>
    <col min="11526" max="11526" width="2" customWidth="1"/>
    <col min="11527" max="11527" width="8.28515625" customWidth="1"/>
    <col min="11528" max="11528" width="15.42578125" customWidth="1"/>
    <col min="11529" max="11529" width="8.7109375" customWidth="1"/>
    <col min="11530" max="11530" width="8" customWidth="1"/>
    <col min="11531" max="11531" width="6" customWidth="1"/>
    <col min="11532" max="11532" width="6.5703125" customWidth="1"/>
    <col min="11533" max="11533" width="9.5703125" customWidth="1"/>
    <col min="11534" max="11534" width="11.5703125" customWidth="1"/>
    <col min="11535" max="11535" width="3.5703125" customWidth="1"/>
    <col min="11536" max="11536" width="13.85546875" customWidth="1"/>
    <col min="11537" max="11537" width="5.5703125" customWidth="1"/>
    <col min="11538" max="11538" width="19.7109375" customWidth="1"/>
    <col min="11539" max="11539" width="2.140625" customWidth="1"/>
    <col min="11540" max="11540" width="13.5703125" customWidth="1"/>
    <col min="11782" max="11782" width="2" customWidth="1"/>
    <col min="11783" max="11783" width="8.28515625" customWidth="1"/>
    <col min="11784" max="11784" width="15.42578125" customWidth="1"/>
    <col min="11785" max="11785" width="8.7109375" customWidth="1"/>
    <col min="11786" max="11786" width="8" customWidth="1"/>
    <col min="11787" max="11787" width="6" customWidth="1"/>
    <col min="11788" max="11788" width="6.5703125" customWidth="1"/>
    <col min="11789" max="11789" width="9.5703125" customWidth="1"/>
    <col min="11790" max="11790" width="11.5703125" customWidth="1"/>
    <col min="11791" max="11791" width="3.5703125" customWidth="1"/>
    <col min="11792" max="11792" width="13.85546875" customWidth="1"/>
    <col min="11793" max="11793" width="5.5703125" customWidth="1"/>
    <col min="11794" max="11794" width="19.7109375" customWidth="1"/>
    <col min="11795" max="11795" width="2.140625" customWidth="1"/>
    <col min="11796" max="11796" width="13.5703125" customWidth="1"/>
    <col min="12038" max="12038" width="2" customWidth="1"/>
    <col min="12039" max="12039" width="8.28515625" customWidth="1"/>
    <col min="12040" max="12040" width="15.42578125" customWidth="1"/>
    <col min="12041" max="12041" width="8.7109375" customWidth="1"/>
    <col min="12042" max="12042" width="8" customWidth="1"/>
    <col min="12043" max="12043" width="6" customWidth="1"/>
    <col min="12044" max="12044" width="6.5703125" customWidth="1"/>
    <col min="12045" max="12045" width="9.5703125" customWidth="1"/>
    <col min="12046" max="12046" width="11.5703125" customWidth="1"/>
    <col min="12047" max="12047" width="3.5703125" customWidth="1"/>
    <col min="12048" max="12048" width="13.85546875" customWidth="1"/>
    <col min="12049" max="12049" width="5.5703125" customWidth="1"/>
    <col min="12050" max="12050" width="19.7109375" customWidth="1"/>
    <col min="12051" max="12051" width="2.140625" customWidth="1"/>
    <col min="12052" max="12052" width="13.5703125" customWidth="1"/>
    <col min="12294" max="12294" width="2" customWidth="1"/>
    <col min="12295" max="12295" width="8.28515625" customWidth="1"/>
    <col min="12296" max="12296" width="15.42578125" customWidth="1"/>
    <col min="12297" max="12297" width="8.7109375" customWidth="1"/>
    <col min="12298" max="12298" width="8" customWidth="1"/>
    <col min="12299" max="12299" width="6" customWidth="1"/>
    <col min="12300" max="12300" width="6.5703125" customWidth="1"/>
    <col min="12301" max="12301" width="9.5703125" customWidth="1"/>
    <col min="12302" max="12302" width="11.5703125" customWidth="1"/>
    <col min="12303" max="12303" width="3.5703125" customWidth="1"/>
    <col min="12304" max="12304" width="13.85546875" customWidth="1"/>
    <col min="12305" max="12305" width="5.5703125" customWidth="1"/>
    <col min="12306" max="12306" width="19.7109375" customWidth="1"/>
    <col min="12307" max="12307" width="2.140625" customWidth="1"/>
    <col min="12308" max="12308" width="13.5703125" customWidth="1"/>
    <col min="12550" max="12550" width="2" customWidth="1"/>
    <col min="12551" max="12551" width="8.28515625" customWidth="1"/>
    <col min="12552" max="12552" width="15.42578125" customWidth="1"/>
    <col min="12553" max="12553" width="8.7109375" customWidth="1"/>
    <col min="12554" max="12554" width="8" customWidth="1"/>
    <col min="12555" max="12555" width="6" customWidth="1"/>
    <col min="12556" max="12556" width="6.5703125" customWidth="1"/>
    <col min="12557" max="12557" width="9.5703125" customWidth="1"/>
    <col min="12558" max="12558" width="11.5703125" customWidth="1"/>
    <col min="12559" max="12559" width="3.5703125" customWidth="1"/>
    <col min="12560" max="12560" width="13.85546875" customWidth="1"/>
    <col min="12561" max="12561" width="5.5703125" customWidth="1"/>
    <col min="12562" max="12562" width="19.7109375" customWidth="1"/>
    <col min="12563" max="12563" width="2.140625" customWidth="1"/>
    <col min="12564" max="12564" width="13.5703125" customWidth="1"/>
    <col min="12806" max="12806" width="2" customWidth="1"/>
    <col min="12807" max="12807" width="8.28515625" customWidth="1"/>
    <col min="12808" max="12808" width="15.42578125" customWidth="1"/>
    <col min="12809" max="12809" width="8.7109375" customWidth="1"/>
    <col min="12810" max="12810" width="8" customWidth="1"/>
    <col min="12811" max="12811" width="6" customWidth="1"/>
    <col min="12812" max="12812" width="6.5703125" customWidth="1"/>
    <col min="12813" max="12813" width="9.5703125" customWidth="1"/>
    <col min="12814" max="12814" width="11.5703125" customWidth="1"/>
    <col min="12815" max="12815" width="3.5703125" customWidth="1"/>
    <col min="12816" max="12816" width="13.85546875" customWidth="1"/>
    <col min="12817" max="12817" width="5.5703125" customWidth="1"/>
    <col min="12818" max="12818" width="19.7109375" customWidth="1"/>
    <col min="12819" max="12819" width="2.140625" customWidth="1"/>
    <col min="12820" max="12820" width="13.5703125" customWidth="1"/>
    <col min="13062" max="13062" width="2" customWidth="1"/>
    <col min="13063" max="13063" width="8.28515625" customWidth="1"/>
    <col min="13064" max="13064" width="15.42578125" customWidth="1"/>
    <col min="13065" max="13065" width="8.7109375" customWidth="1"/>
    <col min="13066" max="13066" width="8" customWidth="1"/>
    <col min="13067" max="13067" width="6" customWidth="1"/>
    <col min="13068" max="13068" width="6.5703125" customWidth="1"/>
    <col min="13069" max="13069" width="9.5703125" customWidth="1"/>
    <col min="13070" max="13070" width="11.5703125" customWidth="1"/>
    <col min="13071" max="13071" width="3.5703125" customWidth="1"/>
    <col min="13072" max="13072" width="13.85546875" customWidth="1"/>
    <col min="13073" max="13073" width="5.5703125" customWidth="1"/>
    <col min="13074" max="13074" width="19.7109375" customWidth="1"/>
    <col min="13075" max="13075" width="2.140625" customWidth="1"/>
    <col min="13076" max="13076" width="13.5703125" customWidth="1"/>
    <col min="13318" max="13318" width="2" customWidth="1"/>
    <col min="13319" max="13319" width="8.28515625" customWidth="1"/>
    <col min="13320" max="13320" width="15.42578125" customWidth="1"/>
    <col min="13321" max="13321" width="8.7109375" customWidth="1"/>
    <col min="13322" max="13322" width="8" customWidth="1"/>
    <col min="13323" max="13323" width="6" customWidth="1"/>
    <col min="13324" max="13324" width="6.5703125" customWidth="1"/>
    <col min="13325" max="13325" width="9.5703125" customWidth="1"/>
    <col min="13326" max="13326" width="11.5703125" customWidth="1"/>
    <col min="13327" max="13327" width="3.5703125" customWidth="1"/>
    <col min="13328" max="13328" width="13.85546875" customWidth="1"/>
    <col min="13329" max="13329" width="5.5703125" customWidth="1"/>
    <col min="13330" max="13330" width="19.7109375" customWidth="1"/>
    <col min="13331" max="13331" width="2.140625" customWidth="1"/>
    <col min="13332" max="13332" width="13.5703125" customWidth="1"/>
    <col min="13574" max="13574" width="2" customWidth="1"/>
    <col min="13575" max="13575" width="8.28515625" customWidth="1"/>
    <col min="13576" max="13576" width="15.42578125" customWidth="1"/>
    <col min="13577" max="13577" width="8.7109375" customWidth="1"/>
    <col min="13578" max="13578" width="8" customWidth="1"/>
    <col min="13579" max="13579" width="6" customWidth="1"/>
    <col min="13580" max="13580" width="6.5703125" customWidth="1"/>
    <col min="13581" max="13581" width="9.5703125" customWidth="1"/>
    <col min="13582" max="13582" width="11.5703125" customWidth="1"/>
    <col min="13583" max="13583" width="3.5703125" customWidth="1"/>
    <col min="13584" max="13584" width="13.85546875" customWidth="1"/>
    <col min="13585" max="13585" width="5.5703125" customWidth="1"/>
    <col min="13586" max="13586" width="19.7109375" customWidth="1"/>
    <col min="13587" max="13587" width="2.140625" customWidth="1"/>
    <col min="13588" max="13588" width="13.5703125" customWidth="1"/>
    <col min="13830" max="13830" width="2" customWidth="1"/>
    <col min="13831" max="13831" width="8.28515625" customWidth="1"/>
    <col min="13832" max="13832" width="15.42578125" customWidth="1"/>
    <col min="13833" max="13833" width="8.7109375" customWidth="1"/>
    <col min="13834" max="13834" width="8" customWidth="1"/>
    <col min="13835" max="13835" width="6" customWidth="1"/>
    <col min="13836" max="13836" width="6.5703125" customWidth="1"/>
    <col min="13837" max="13837" width="9.5703125" customWidth="1"/>
    <col min="13838" max="13838" width="11.5703125" customWidth="1"/>
    <col min="13839" max="13839" width="3.5703125" customWidth="1"/>
    <col min="13840" max="13840" width="13.85546875" customWidth="1"/>
    <col min="13841" max="13841" width="5.5703125" customWidth="1"/>
    <col min="13842" max="13842" width="19.7109375" customWidth="1"/>
    <col min="13843" max="13843" width="2.140625" customWidth="1"/>
    <col min="13844" max="13844" width="13.5703125" customWidth="1"/>
    <col min="14086" max="14086" width="2" customWidth="1"/>
    <col min="14087" max="14087" width="8.28515625" customWidth="1"/>
    <col min="14088" max="14088" width="15.42578125" customWidth="1"/>
    <col min="14089" max="14089" width="8.7109375" customWidth="1"/>
    <col min="14090" max="14090" width="8" customWidth="1"/>
    <col min="14091" max="14091" width="6" customWidth="1"/>
    <col min="14092" max="14092" width="6.5703125" customWidth="1"/>
    <col min="14093" max="14093" width="9.5703125" customWidth="1"/>
    <col min="14094" max="14094" width="11.5703125" customWidth="1"/>
    <col min="14095" max="14095" width="3.5703125" customWidth="1"/>
    <col min="14096" max="14096" width="13.85546875" customWidth="1"/>
    <col min="14097" max="14097" width="5.5703125" customWidth="1"/>
    <col min="14098" max="14098" width="19.7109375" customWidth="1"/>
    <col min="14099" max="14099" width="2.140625" customWidth="1"/>
    <col min="14100" max="14100" width="13.5703125" customWidth="1"/>
    <col min="14342" max="14342" width="2" customWidth="1"/>
    <col min="14343" max="14343" width="8.28515625" customWidth="1"/>
    <col min="14344" max="14344" width="15.42578125" customWidth="1"/>
    <col min="14345" max="14345" width="8.7109375" customWidth="1"/>
    <col min="14346" max="14346" width="8" customWidth="1"/>
    <col min="14347" max="14347" width="6" customWidth="1"/>
    <col min="14348" max="14348" width="6.5703125" customWidth="1"/>
    <col min="14349" max="14349" width="9.5703125" customWidth="1"/>
    <col min="14350" max="14350" width="11.5703125" customWidth="1"/>
    <col min="14351" max="14351" width="3.5703125" customWidth="1"/>
    <col min="14352" max="14352" width="13.85546875" customWidth="1"/>
    <col min="14353" max="14353" width="5.5703125" customWidth="1"/>
    <col min="14354" max="14354" width="19.7109375" customWidth="1"/>
    <col min="14355" max="14355" width="2.140625" customWidth="1"/>
    <col min="14356" max="14356" width="13.5703125" customWidth="1"/>
    <col min="14598" max="14598" width="2" customWidth="1"/>
    <col min="14599" max="14599" width="8.28515625" customWidth="1"/>
    <col min="14600" max="14600" width="15.42578125" customWidth="1"/>
    <col min="14601" max="14601" width="8.7109375" customWidth="1"/>
    <col min="14602" max="14602" width="8" customWidth="1"/>
    <col min="14603" max="14603" width="6" customWidth="1"/>
    <col min="14604" max="14604" width="6.5703125" customWidth="1"/>
    <col min="14605" max="14605" width="9.5703125" customWidth="1"/>
    <col min="14606" max="14606" width="11.5703125" customWidth="1"/>
    <col min="14607" max="14607" width="3.5703125" customWidth="1"/>
    <col min="14608" max="14608" width="13.85546875" customWidth="1"/>
    <col min="14609" max="14609" width="5.5703125" customWidth="1"/>
    <col min="14610" max="14610" width="19.7109375" customWidth="1"/>
    <col min="14611" max="14611" width="2.140625" customWidth="1"/>
    <col min="14612" max="14612" width="13.5703125" customWidth="1"/>
    <col min="14854" max="14854" width="2" customWidth="1"/>
    <col min="14855" max="14855" width="8.28515625" customWidth="1"/>
    <col min="14856" max="14856" width="15.42578125" customWidth="1"/>
    <col min="14857" max="14857" width="8.7109375" customWidth="1"/>
    <col min="14858" max="14858" width="8" customWidth="1"/>
    <col min="14859" max="14859" width="6" customWidth="1"/>
    <col min="14860" max="14860" width="6.5703125" customWidth="1"/>
    <col min="14861" max="14861" width="9.5703125" customWidth="1"/>
    <col min="14862" max="14862" width="11.5703125" customWidth="1"/>
    <col min="14863" max="14863" width="3.5703125" customWidth="1"/>
    <col min="14864" max="14864" width="13.85546875" customWidth="1"/>
    <col min="14865" max="14865" width="5.5703125" customWidth="1"/>
    <col min="14866" max="14866" width="19.7109375" customWidth="1"/>
    <col min="14867" max="14867" width="2.140625" customWidth="1"/>
    <col min="14868" max="14868" width="13.5703125" customWidth="1"/>
    <col min="15110" max="15110" width="2" customWidth="1"/>
    <col min="15111" max="15111" width="8.28515625" customWidth="1"/>
    <col min="15112" max="15112" width="15.42578125" customWidth="1"/>
    <col min="15113" max="15113" width="8.7109375" customWidth="1"/>
    <col min="15114" max="15114" width="8" customWidth="1"/>
    <col min="15115" max="15115" width="6" customWidth="1"/>
    <col min="15116" max="15116" width="6.5703125" customWidth="1"/>
    <col min="15117" max="15117" width="9.5703125" customWidth="1"/>
    <col min="15118" max="15118" width="11.5703125" customWidth="1"/>
    <col min="15119" max="15119" width="3.5703125" customWidth="1"/>
    <col min="15120" max="15120" width="13.85546875" customWidth="1"/>
    <col min="15121" max="15121" width="5.5703125" customWidth="1"/>
    <col min="15122" max="15122" width="19.7109375" customWidth="1"/>
    <col min="15123" max="15123" width="2.140625" customWidth="1"/>
    <col min="15124" max="15124" width="13.5703125" customWidth="1"/>
    <col min="15366" max="15366" width="2" customWidth="1"/>
    <col min="15367" max="15367" width="8.28515625" customWidth="1"/>
    <col min="15368" max="15368" width="15.42578125" customWidth="1"/>
    <col min="15369" max="15369" width="8.7109375" customWidth="1"/>
    <col min="15370" max="15370" width="8" customWidth="1"/>
    <col min="15371" max="15371" width="6" customWidth="1"/>
    <col min="15372" max="15372" width="6.5703125" customWidth="1"/>
    <col min="15373" max="15373" width="9.5703125" customWidth="1"/>
    <col min="15374" max="15374" width="11.5703125" customWidth="1"/>
    <col min="15375" max="15375" width="3.5703125" customWidth="1"/>
    <col min="15376" max="15376" width="13.85546875" customWidth="1"/>
    <col min="15377" max="15377" width="5.5703125" customWidth="1"/>
    <col min="15378" max="15378" width="19.7109375" customWidth="1"/>
    <col min="15379" max="15379" width="2.140625" customWidth="1"/>
    <col min="15380" max="15380" width="13.5703125" customWidth="1"/>
    <col min="15622" max="15622" width="2" customWidth="1"/>
    <col min="15623" max="15623" width="8.28515625" customWidth="1"/>
    <col min="15624" max="15624" width="15.42578125" customWidth="1"/>
    <col min="15625" max="15625" width="8.7109375" customWidth="1"/>
    <col min="15626" max="15626" width="8" customWidth="1"/>
    <col min="15627" max="15627" width="6" customWidth="1"/>
    <col min="15628" max="15628" width="6.5703125" customWidth="1"/>
    <col min="15629" max="15629" width="9.5703125" customWidth="1"/>
    <col min="15630" max="15630" width="11.5703125" customWidth="1"/>
    <col min="15631" max="15631" width="3.5703125" customWidth="1"/>
    <col min="15632" max="15632" width="13.85546875" customWidth="1"/>
    <col min="15633" max="15633" width="5.5703125" customWidth="1"/>
    <col min="15634" max="15634" width="19.7109375" customWidth="1"/>
    <col min="15635" max="15635" width="2.140625" customWidth="1"/>
    <col min="15636" max="15636" width="13.5703125" customWidth="1"/>
    <col min="15878" max="15878" width="2" customWidth="1"/>
    <col min="15879" max="15879" width="8.28515625" customWidth="1"/>
    <col min="15880" max="15880" width="15.42578125" customWidth="1"/>
    <col min="15881" max="15881" width="8.7109375" customWidth="1"/>
    <col min="15882" max="15882" width="8" customWidth="1"/>
    <col min="15883" max="15883" width="6" customWidth="1"/>
    <col min="15884" max="15884" width="6.5703125" customWidth="1"/>
    <col min="15885" max="15885" width="9.5703125" customWidth="1"/>
    <col min="15886" max="15886" width="11.5703125" customWidth="1"/>
    <col min="15887" max="15887" width="3.5703125" customWidth="1"/>
    <col min="15888" max="15888" width="13.85546875" customWidth="1"/>
    <col min="15889" max="15889" width="5.5703125" customWidth="1"/>
    <col min="15890" max="15890" width="19.7109375" customWidth="1"/>
    <col min="15891" max="15891" width="2.140625" customWidth="1"/>
    <col min="15892" max="15892" width="13.5703125" customWidth="1"/>
    <col min="16134" max="16134" width="2" customWidth="1"/>
    <col min="16135" max="16135" width="8.28515625" customWidth="1"/>
    <col min="16136" max="16136" width="15.42578125" customWidth="1"/>
    <col min="16137" max="16137" width="8.7109375" customWidth="1"/>
    <col min="16138" max="16138" width="8" customWidth="1"/>
    <col min="16139" max="16139" width="6" customWidth="1"/>
    <col min="16140" max="16140" width="6.5703125" customWidth="1"/>
    <col min="16141" max="16141" width="9.5703125" customWidth="1"/>
    <col min="16142" max="16142" width="11.5703125" customWidth="1"/>
    <col min="16143" max="16143" width="3.5703125" customWidth="1"/>
    <col min="16144" max="16144" width="13.85546875" customWidth="1"/>
    <col min="16145" max="16145" width="5.5703125" customWidth="1"/>
    <col min="16146" max="16146" width="19.7109375" customWidth="1"/>
    <col min="16147" max="16147" width="2.140625" customWidth="1"/>
    <col min="16148" max="16148" width="13.5703125" customWidth="1"/>
  </cols>
  <sheetData>
    <row r="1" spans="1:37" ht="9" customHeight="1">
      <c r="A1" s="82"/>
      <c r="B1" s="82"/>
      <c r="C1" s="82"/>
      <c r="D1" s="82"/>
      <c r="E1" s="82"/>
      <c r="F1" s="82"/>
      <c r="G1" s="82"/>
      <c r="H1" s="82"/>
      <c r="I1" s="82"/>
      <c r="J1" s="82"/>
      <c r="K1" s="82"/>
      <c r="L1" s="82"/>
      <c r="M1" s="82"/>
      <c r="N1" s="82"/>
      <c r="O1" s="82"/>
      <c r="P1" s="82"/>
      <c r="Q1" s="712"/>
      <c r="T1" s="2867"/>
      <c r="U1" s="2867"/>
      <c r="V1" s="2867"/>
      <c r="W1" s="2867"/>
      <c r="X1" s="2867"/>
      <c r="Y1" s="2867"/>
      <c r="Z1" s="2867"/>
      <c r="AA1" s="2867"/>
      <c r="AB1" s="1701"/>
      <c r="AC1" s="3168"/>
      <c r="AD1" s="3168"/>
      <c r="AE1" s="3168"/>
      <c r="AF1" s="3168"/>
      <c r="AG1" s="3168"/>
      <c r="AH1" s="3168"/>
      <c r="AI1" s="3168"/>
      <c r="AJ1" s="3168"/>
      <c r="AK1" s="3168"/>
    </row>
    <row r="2" spans="1:37" ht="9" customHeight="1">
      <c r="A2" s="82"/>
      <c r="B2" s="82"/>
      <c r="C2" s="82"/>
      <c r="D2" s="82"/>
      <c r="E2" s="82"/>
      <c r="F2" s="82"/>
      <c r="G2" s="82"/>
      <c r="H2" s="82"/>
      <c r="I2" s="82"/>
      <c r="J2" s="82"/>
      <c r="K2" s="82"/>
      <c r="L2" s="82"/>
      <c r="M2" s="82"/>
      <c r="N2" s="82"/>
      <c r="O2" s="82"/>
      <c r="P2" s="82"/>
      <c r="Q2" s="712"/>
      <c r="T2" s="2115"/>
      <c r="U2" s="2868"/>
      <c r="V2" s="2868"/>
      <c r="W2" s="2868"/>
      <c r="X2" s="2868"/>
      <c r="Y2" s="2868"/>
      <c r="Z2" s="2868"/>
      <c r="AA2" s="2869"/>
      <c r="AB2" s="1766"/>
    </row>
    <row r="3" spans="1:37" ht="12.75" customHeight="1">
      <c r="A3" s="82"/>
      <c r="B3" s="4333"/>
      <c r="C3" s="290"/>
      <c r="D3" s="290"/>
      <c r="E3" s="303"/>
      <c r="F3" s="6500" t="s">
        <v>1431</v>
      </c>
      <c r="G3" s="5601"/>
      <c r="H3" s="5601"/>
      <c r="I3" s="5601"/>
      <c r="J3" s="5601"/>
      <c r="K3" s="5601"/>
      <c r="L3" s="5601"/>
      <c r="M3" s="7447"/>
      <c r="N3" s="7448"/>
      <c r="O3" s="7459" t="s">
        <v>169</v>
      </c>
      <c r="P3" s="7460"/>
      <c r="Q3" s="1985"/>
      <c r="T3" s="2870"/>
      <c r="U3" s="1772" t="s">
        <v>2377</v>
      </c>
      <c r="V3" s="1766"/>
      <c r="W3" s="1766"/>
      <c r="X3" s="1766"/>
      <c r="Y3" s="1766"/>
      <c r="Z3" s="1766"/>
      <c r="AA3" s="2871"/>
      <c r="AB3" s="1766"/>
    </row>
    <row r="4" spans="1:37" ht="22.5" customHeight="1">
      <c r="A4" s="82"/>
      <c r="B4" s="7432" t="s">
        <v>331</v>
      </c>
      <c r="C4" s="7456">
        <v>2441</v>
      </c>
      <c r="D4" s="7457"/>
      <c r="E4" s="7458"/>
      <c r="F4" s="7443"/>
      <c r="G4" s="5601"/>
      <c r="H4" s="5601"/>
      <c r="I4" s="5601"/>
      <c r="J4" s="5601"/>
      <c r="K4" s="5601"/>
      <c r="L4" s="5601"/>
      <c r="M4" s="7447"/>
      <c r="N4" s="7448"/>
      <c r="O4" s="7461">
        <f>TaxYear</f>
        <v>2018</v>
      </c>
      <c r="P4" s="7462"/>
      <c r="Q4" s="1985"/>
      <c r="T4" s="2870"/>
      <c r="U4" s="1766" t="s">
        <v>2338</v>
      </c>
      <c r="V4" s="1766"/>
      <c r="W4" s="1766"/>
      <c r="X4" s="1766"/>
      <c r="Y4" s="1766"/>
      <c r="Z4" s="1766"/>
      <c r="AA4" s="2871"/>
      <c r="AB4" s="1766"/>
      <c r="AC4" s="3168" t="s">
        <v>2552</v>
      </c>
      <c r="AD4" s="3168"/>
      <c r="AE4" s="3168"/>
      <c r="AF4" s="3168"/>
      <c r="AG4" s="3168"/>
      <c r="AH4" s="3168"/>
      <c r="AI4" s="3168"/>
      <c r="AJ4" s="3168"/>
      <c r="AK4" s="3168"/>
    </row>
    <row r="5" spans="1:37" ht="12.75" customHeight="1">
      <c r="A5" s="82"/>
      <c r="B5" s="7433"/>
      <c r="C5" s="7457"/>
      <c r="D5" s="7457"/>
      <c r="E5" s="7458"/>
      <c r="F5" s="7444" t="s">
        <v>4555</v>
      </c>
      <c r="G5" s="6095"/>
      <c r="H5" s="6095"/>
      <c r="I5" s="6095"/>
      <c r="J5" s="6095"/>
      <c r="K5" s="6095"/>
      <c r="L5" s="6095"/>
      <c r="M5" s="7447"/>
      <c r="N5" s="7448"/>
      <c r="O5" s="7461"/>
      <c r="P5" s="7462"/>
      <c r="Q5" s="1985"/>
      <c r="T5" s="2870"/>
      <c r="U5" s="1766" t="s">
        <v>2339</v>
      </c>
      <c r="V5" s="1766"/>
      <c r="W5" s="1766"/>
      <c r="X5" s="1766"/>
      <c r="Y5" s="1766"/>
      <c r="Z5" s="1766"/>
      <c r="AA5" s="2871"/>
      <c r="AB5" s="1766"/>
    </row>
    <row r="6" spans="1:37" ht="12.75" customHeight="1">
      <c r="A6" s="82"/>
      <c r="B6" s="237" t="s">
        <v>1432</v>
      </c>
      <c r="C6" s="237"/>
      <c r="D6" s="237"/>
      <c r="E6" s="2079"/>
      <c r="F6" s="7444" t="s">
        <v>2555</v>
      </c>
      <c r="G6" s="6095"/>
      <c r="H6" s="6095"/>
      <c r="I6" s="6095"/>
      <c r="J6" s="6095"/>
      <c r="K6" s="6095"/>
      <c r="L6" s="6095"/>
      <c r="M6" s="7447"/>
      <c r="N6" s="7448"/>
      <c r="O6" s="7463" t="s">
        <v>1433</v>
      </c>
      <c r="P6" s="7464"/>
      <c r="Q6" s="1985"/>
      <c r="T6" s="2870"/>
      <c r="U6" s="1766" t="s">
        <v>2340</v>
      </c>
      <c r="V6" s="1766"/>
      <c r="W6" s="1766"/>
      <c r="X6" s="1766"/>
      <c r="Y6" s="1766"/>
      <c r="Z6" s="1766"/>
      <c r="AA6" s="2871"/>
      <c r="AB6" s="1766"/>
    </row>
    <row r="7" spans="1:37" ht="16.5" thickBot="1">
      <c r="A7" s="82"/>
      <c r="B7" s="4851" t="s">
        <v>1434</v>
      </c>
      <c r="C7" s="4851"/>
      <c r="D7" s="4851"/>
      <c r="E7" s="4852"/>
      <c r="F7" s="7445" t="s">
        <v>2554</v>
      </c>
      <c r="G7" s="7446"/>
      <c r="H7" s="7446"/>
      <c r="I7" s="7446"/>
      <c r="J7" s="7446"/>
      <c r="K7" s="7446"/>
      <c r="L7" s="7446"/>
      <c r="M7" s="7447"/>
      <c r="N7" s="7448"/>
      <c r="O7" s="7465" t="s">
        <v>3772</v>
      </c>
      <c r="P7" s="7423"/>
      <c r="Q7" s="1985"/>
      <c r="R7" s="7341" t="s">
        <v>3780</v>
      </c>
      <c r="S7" s="7342"/>
      <c r="T7" s="2870"/>
      <c r="U7" s="1772" t="str">
        <f>"o You lived apart from your spouse during the last 6 months of "&amp;TaxYear&amp;"."</f>
        <v>o You lived apart from your spouse during the last 6 months of 2018.</v>
      </c>
      <c r="V7" s="1766"/>
      <c r="W7" s="1766"/>
      <c r="X7" s="1766"/>
      <c r="Y7" s="1766"/>
      <c r="Z7" s="1766"/>
      <c r="AA7" s="2871"/>
      <c r="AB7" s="1766"/>
    </row>
    <row r="8" spans="1:37" ht="11.25" customHeight="1" thickTop="1">
      <c r="A8" s="82"/>
      <c r="B8" s="4853" t="s">
        <v>63</v>
      </c>
      <c r="C8" s="4854"/>
      <c r="D8" s="4854"/>
      <c r="E8" s="4854"/>
      <c r="F8" s="62"/>
      <c r="G8" s="61"/>
      <c r="H8" s="61"/>
      <c r="I8" s="61"/>
      <c r="J8" s="61"/>
      <c r="K8" s="4855"/>
      <c r="L8" s="4856"/>
      <c r="M8" s="4857"/>
      <c r="N8" s="7466" t="s">
        <v>99</v>
      </c>
      <c r="O8" s="7467"/>
      <c r="P8" s="7467"/>
      <c r="Q8" s="1986"/>
      <c r="R8" s="7341" t="s">
        <v>3781</v>
      </c>
      <c r="S8" s="7342"/>
      <c r="T8" s="2870"/>
      <c r="U8" s="1772" t="str">
        <f>"o Your home was the qualifying person's main home for more than half of "&amp;TaxYear&amp;"."</f>
        <v>o Your home was the qualifying person's main home for more than half of 2018.</v>
      </c>
      <c r="V8" s="1766"/>
      <c r="W8" s="1766"/>
      <c r="X8" s="1766"/>
      <c r="Y8" s="1766"/>
      <c r="Z8" s="1766"/>
      <c r="AA8" s="2871"/>
      <c r="AB8" s="1766"/>
    </row>
    <row r="9" spans="1:37" ht="14.25" customHeight="1" thickBot="1">
      <c r="A9" s="82"/>
      <c r="B9" s="7453" t="str">
        <f>Names</f>
        <v/>
      </c>
      <c r="C9" s="7454"/>
      <c r="D9" s="7454"/>
      <c r="E9" s="7454"/>
      <c r="F9" s="7454"/>
      <c r="G9" s="7454"/>
      <c r="H9" s="7454"/>
      <c r="I9" s="7454"/>
      <c r="J9" s="7454"/>
      <c r="K9" s="7454"/>
      <c r="L9" s="7454"/>
      <c r="M9" s="7455"/>
      <c r="N9" s="7398">
        <f>IF(NoSSN,"",SS_Yours)</f>
        <v>0</v>
      </c>
      <c r="O9" s="7399"/>
      <c r="P9" s="7399"/>
      <c r="Q9" s="1986"/>
      <c r="R9" s="7341" t="s">
        <v>2341</v>
      </c>
      <c r="S9" s="7342"/>
      <c r="T9" s="2870"/>
      <c r="U9" s="1772" t="str">
        <f>"o You paid more than half of the cost of keeping up that home for "&amp;TaxYear&amp;"."</f>
        <v>o You paid more than half of the cost of keeping up that home for 2018.</v>
      </c>
      <c r="V9" s="1766"/>
      <c r="W9" s="1766"/>
      <c r="X9" s="1766"/>
      <c r="Y9" s="1766"/>
      <c r="Z9" s="1766"/>
      <c r="AA9" s="2871"/>
      <c r="AB9" s="1766"/>
    </row>
    <row r="10" spans="1:37" ht="12.75" customHeight="1">
      <c r="A10" s="82"/>
      <c r="B10" s="1083" t="s">
        <v>3773</v>
      </c>
      <c r="C10" s="141"/>
      <c r="D10" s="141"/>
      <c r="E10" s="141"/>
      <c r="F10" s="141"/>
      <c r="G10" s="141"/>
      <c r="H10" s="141"/>
      <c r="I10" s="1988"/>
      <c r="J10" s="1988"/>
      <c r="K10" s="141"/>
      <c r="L10" s="1989"/>
      <c r="M10" s="141"/>
      <c r="N10" s="141"/>
      <c r="O10" s="1990"/>
      <c r="P10" s="1990"/>
      <c r="Q10" s="1985"/>
      <c r="R10" s="7341" t="s">
        <v>2342</v>
      </c>
      <c r="S10" s="7342"/>
      <c r="T10" s="2870"/>
      <c r="U10" s="1766"/>
      <c r="V10" s="1766"/>
      <c r="W10" s="1766"/>
      <c r="X10" s="1766"/>
      <c r="Y10" s="1766"/>
      <c r="Z10" s="1766"/>
      <c r="AA10" s="2871"/>
      <c r="AB10" s="1766"/>
    </row>
    <row r="11" spans="1:37" ht="12.75" customHeight="1">
      <c r="A11" s="82"/>
      <c r="B11" s="1083" t="s">
        <v>3775</v>
      </c>
      <c r="C11" s="17"/>
      <c r="D11" s="17"/>
      <c r="E11" s="17"/>
      <c r="F11" s="17"/>
      <c r="G11" s="17"/>
      <c r="H11" s="17"/>
      <c r="I11" s="4344"/>
      <c r="J11" s="4344"/>
      <c r="K11" s="17"/>
      <c r="L11" s="4345"/>
      <c r="M11" s="17"/>
      <c r="N11" s="17"/>
      <c r="O11" s="4350" t="str">
        <f>IF(S18,"Check 'Yes' or 'No' box at the right.    ","If you meet these requirements, check this box.   ")</f>
        <v xml:space="preserve">If you meet these requirements, check this box.   </v>
      </c>
      <c r="P11" s="4349" t="str">
        <f>IF(U18&lt;&gt;"","X","")</f>
        <v/>
      </c>
      <c r="Q11" s="1985"/>
      <c r="R11" s="7341" t="s">
        <v>3777</v>
      </c>
      <c r="S11" s="7342"/>
      <c r="T11" s="2870"/>
      <c r="U11" s="1766"/>
      <c r="V11" s="1766"/>
      <c r="W11" s="1766"/>
      <c r="X11" s="1766"/>
      <c r="Y11" s="1766"/>
      <c r="Z11" s="1766"/>
      <c r="AA11" s="2871"/>
      <c r="AB11" s="1766"/>
    </row>
    <row r="12" spans="1:37" ht="15" customHeight="1">
      <c r="A12" s="82"/>
      <c r="B12" s="1991" t="s">
        <v>58</v>
      </c>
      <c r="C12" s="1992" t="s">
        <v>1435</v>
      </c>
      <c r="D12" s="1992"/>
      <c r="E12" s="1992"/>
      <c r="F12" s="141"/>
      <c r="G12" s="141"/>
      <c r="H12" s="141"/>
      <c r="I12" s="141"/>
      <c r="J12" s="141"/>
      <c r="K12" s="141"/>
      <c r="L12" s="141"/>
      <c r="M12" s="141"/>
      <c r="N12" s="141"/>
      <c r="O12" s="4332"/>
      <c r="P12" s="4332"/>
      <c r="Q12" s="1985"/>
      <c r="R12" s="7341" t="s">
        <v>3778</v>
      </c>
      <c r="S12" s="7342"/>
      <c r="T12" s="2870"/>
      <c r="U12" s="1766" t="s">
        <v>2381</v>
      </c>
      <c r="V12" s="1766"/>
      <c r="W12" s="1766"/>
      <c r="X12" s="1766"/>
      <c r="Y12" s="1766"/>
      <c r="Z12" s="1766"/>
      <c r="AA12" s="2871"/>
      <c r="AB12" s="1766"/>
    </row>
    <row r="13" spans="1:37">
      <c r="A13" s="82"/>
      <c r="B13" s="17"/>
      <c r="C13" s="2010" t="s">
        <v>1486</v>
      </c>
      <c r="D13" s="17"/>
      <c r="E13" s="17"/>
      <c r="F13" s="17"/>
      <c r="G13" s="17"/>
      <c r="H13" s="17"/>
      <c r="I13" s="17"/>
      <c r="J13" s="17"/>
      <c r="K13" s="17"/>
      <c r="L13" s="17"/>
      <c r="M13" s="17"/>
      <c r="N13" s="17"/>
      <c r="O13" s="141"/>
      <c r="P13" s="141"/>
      <c r="Q13" s="1985"/>
      <c r="R13" s="7351" t="s">
        <v>3779</v>
      </c>
      <c r="S13" s="7342"/>
      <c r="T13" s="2870"/>
      <c r="U13" s="1766"/>
      <c r="V13" s="1766"/>
      <c r="W13" s="1766"/>
      <c r="X13" s="1766"/>
      <c r="Y13" s="1766"/>
      <c r="Z13" s="1766"/>
      <c r="AA13" s="2871"/>
      <c r="AB13" s="1766"/>
    </row>
    <row r="14" spans="1:37" ht="15">
      <c r="A14" s="82"/>
      <c r="B14" s="1152" t="s">
        <v>3774</v>
      </c>
      <c r="C14" s="21" t="s">
        <v>1437</v>
      </c>
      <c r="D14" s="21"/>
      <c r="E14" s="21"/>
      <c r="F14" s="1994"/>
      <c r="G14" s="1995"/>
      <c r="H14" s="141"/>
      <c r="I14" s="1996" t="s">
        <v>1438</v>
      </c>
      <c r="J14" s="141"/>
      <c r="K14" s="141"/>
      <c r="L14" s="1995"/>
      <c r="M14" s="1997" t="s">
        <v>1439</v>
      </c>
      <c r="N14" s="141"/>
      <c r="O14" s="7400" t="s">
        <v>1440</v>
      </c>
      <c r="P14" s="7401"/>
      <c r="Q14" s="1985"/>
      <c r="R14" s="7341" t="s">
        <v>1491</v>
      </c>
      <c r="S14" s="7342"/>
      <c r="T14" s="2870"/>
      <c r="U14" s="1766" t="s">
        <v>2378</v>
      </c>
      <c r="V14" s="1766"/>
      <c r="W14" s="1766"/>
      <c r="X14" s="1766"/>
      <c r="Y14" s="1766"/>
      <c r="Z14" s="1766"/>
      <c r="AA14" s="2871"/>
      <c r="AB14" s="1766"/>
    </row>
    <row r="15" spans="1:37">
      <c r="A15" s="82"/>
      <c r="B15" s="1999"/>
      <c r="C15" s="4348" t="s">
        <v>1487</v>
      </c>
      <c r="D15" s="2000"/>
      <c r="E15" s="2000"/>
      <c r="F15" s="2001"/>
      <c r="G15" s="4346" t="s">
        <v>1442</v>
      </c>
      <c r="H15" s="150"/>
      <c r="I15" s="17"/>
      <c r="J15" s="17"/>
      <c r="K15" s="17"/>
      <c r="L15" s="2003"/>
      <c r="M15" s="4347" t="s">
        <v>1443</v>
      </c>
      <c r="N15" s="17"/>
      <c r="O15" s="4346" t="s">
        <v>1444</v>
      </c>
      <c r="P15" s="150"/>
      <c r="Q15" s="1985"/>
      <c r="R15" s="7341" t="s">
        <v>1492</v>
      </c>
      <c r="S15" s="7342"/>
      <c r="T15" s="2870"/>
      <c r="U15" s="1766" t="s">
        <v>2380</v>
      </c>
      <c r="V15" s="1766"/>
      <c r="W15" s="1766"/>
      <c r="X15" s="1766"/>
      <c r="Y15" s="1766"/>
      <c r="Z15" s="1766"/>
      <c r="AA15" s="2871"/>
      <c r="AB15" s="1766"/>
    </row>
    <row r="16" spans="1:37">
      <c r="A16" s="82"/>
      <c r="B16" s="7380"/>
      <c r="C16" s="7381"/>
      <c r="D16" s="7381"/>
      <c r="E16" s="7381"/>
      <c r="F16" s="7382"/>
      <c r="G16" s="7385"/>
      <c r="H16" s="7386"/>
      <c r="I16" s="7387"/>
      <c r="J16" s="7387"/>
      <c r="K16" s="7388"/>
      <c r="L16" s="7389"/>
      <c r="M16" s="7390"/>
      <c r="N16" s="7391"/>
      <c r="O16" s="7359"/>
      <c r="P16" s="7360"/>
      <c r="Q16" s="1985"/>
      <c r="R16" s="7341" t="s">
        <v>1493</v>
      </c>
      <c r="S16" s="7342"/>
      <c r="T16" s="2870"/>
      <c r="U16" s="1766" t="s">
        <v>2379</v>
      </c>
      <c r="V16" s="1766"/>
      <c r="W16" s="1766"/>
      <c r="X16" s="1766"/>
      <c r="Y16" s="1766"/>
      <c r="Z16" s="1766"/>
      <c r="AA16" s="2871"/>
      <c r="AB16" s="1766"/>
    </row>
    <row r="17" spans="1:28">
      <c r="A17" s="82"/>
      <c r="B17" s="7383"/>
      <c r="C17" s="7383"/>
      <c r="D17" s="7383"/>
      <c r="E17" s="7383"/>
      <c r="F17" s="7384"/>
      <c r="G17" s="7395"/>
      <c r="H17" s="5895"/>
      <c r="I17" s="7396"/>
      <c r="J17" s="7396"/>
      <c r="K17" s="7397"/>
      <c r="L17" s="7392"/>
      <c r="M17" s="7393"/>
      <c r="N17" s="7394"/>
      <c r="O17" s="7361"/>
      <c r="P17" s="7362"/>
      <c r="Q17" s="1985"/>
      <c r="R17" s="7341"/>
      <c r="S17" s="7342"/>
      <c r="T17" s="2870"/>
      <c r="U17" s="1766"/>
      <c r="V17" s="1766"/>
      <c r="W17" s="1766"/>
      <c r="X17" s="1766"/>
      <c r="Y17" s="1766"/>
      <c r="Z17" s="1766"/>
      <c r="AA17" s="2871"/>
      <c r="AB17" s="1766"/>
    </row>
    <row r="18" spans="1:28">
      <c r="A18" s="82"/>
      <c r="B18" s="7380"/>
      <c r="C18" s="7381"/>
      <c r="D18" s="7381"/>
      <c r="E18" s="7381"/>
      <c r="F18" s="7382"/>
      <c r="G18" s="7385"/>
      <c r="H18" s="7386"/>
      <c r="I18" s="7387"/>
      <c r="J18" s="7387"/>
      <c r="K18" s="7388"/>
      <c r="L18" s="7389"/>
      <c r="M18" s="7390"/>
      <c r="N18" s="7391"/>
      <c r="O18" s="7359"/>
      <c r="P18" s="7360"/>
      <c r="Q18" s="1985"/>
      <c r="S18" s="1601" t="b">
        <f>AND($U$18="",$U$19="",File_Marr_Sep&lt;&gt;"")</f>
        <v>0</v>
      </c>
      <c r="T18" s="2866"/>
      <c r="U18" s="1555"/>
      <c r="V18" s="1766" t="s">
        <v>2878</v>
      </c>
      <c r="W18" s="1766"/>
      <c r="X18" s="1766"/>
      <c r="Y18" s="1766"/>
      <c r="Z18" s="1766"/>
      <c r="AA18" s="2871"/>
      <c r="AB18" s="1766"/>
    </row>
    <row r="19" spans="1:28">
      <c r="A19" s="82"/>
      <c r="B19" s="7383"/>
      <c r="C19" s="7383"/>
      <c r="D19" s="7383"/>
      <c r="E19" s="7383"/>
      <c r="F19" s="7384"/>
      <c r="G19" s="7395"/>
      <c r="H19" s="5895"/>
      <c r="I19" s="7396"/>
      <c r="J19" s="7396"/>
      <c r="K19" s="7397"/>
      <c r="L19" s="7392"/>
      <c r="M19" s="7393"/>
      <c r="N19" s="7394"/>
      <c r="O19" s="7361"/>
      <c r="P19" s="7362"/>
      <c r="Q19" s="1985"/>
      <c r="S19" s="1601" t="b">
        <f>OR(AND(File_Marr_Sep&lt;&gt;"",U18="",U19=""),AND(File_Marr_Sep&lt;&gt;"",U19&lt;&gt;""))</f>
        <v>0</v>
      </c>
      <c r="T19" s="2866"/>
      <c r="U19" s="1555"/>
      <c r="V19" s="1766" t="s">
        <v>3776</v>
      </c>
      <c r="W19" s="1766"/>
      <c r="X19" s="1766"/>
      <c r="Y19" s="1766"/>
      <c r="Z19" s="1766"/>
      <c r="AA19" s="2871"/>
      <c r="AB19" s="1766"/>
    </row>
    <row r="20" spans="1:28" ht="4.5" customHeight="1" thickBot="1">
      <c r="A20" s="82"/>
      <c r="B20" s="141"/>
      <c r="C20" s="141"/>
      <c r="D20" s="141"/>
      <c r="E20" s="141"/>
      <c r="F20" s="141"/>
      <c r="G20" s="141"/>
      <c r="H20" s="141"/>
      <c r="I20" s="141"/>
      <c r="J20" s="141"/>
      <c r="K20" s="141"/>
      <c r="L20" s="141"/>
      <c r="M20" s="141"/>
      <c r="N20" s="141"/>
      <c r="O20" s="141"/>
      <c r="P20" s="141"/>
      <c r="Q20" s="1985"/>
      <c r="T20" s="2870"/>
      <c r="U20" s="1766"/>
      <c r="V20" s="1766"/>
      <c r="W20" s="1766"/>
      <c r="X20" s="1766"/>
      <c r="Y20" s="1766"/>
      <c r="Z20" s="1766"/>
      <c r="AA20" s="2871"/>
      <c r="AB20" s="1766"/>
    </row>
    <row r="21" spans="1:28" ht="13.5" customHeight="1" thickTop="1" thickBot="1">
      <c r="A21" s="82"/>
      <c r="B21" s="141"/>
      <c r="C21" s="141"/>
      <c r="D21" s="141"/>
      <c r="E21" s="141"/>
      <c r="F21" s="7368" t="s">
        <v>1446</v>
      </c>
      <c r="G21" s="7369"/>
      <c r="H21" s="7369"/>
      <c r="I21" s="7370"/>
      <c r="J21" s="141"/>
      <c r="K21" s="2004" t="s">
        <v>308</v>
      </c>
      <c r="L21" s="1500" t="s">
        <v>1584</v>
      </c>
      <c r="M21" s="141" t="s">
        <v>1445</v>
      </c>
      <c r="N21" s="141"/>
      <c r="O21" s="141"/>
      <c r="P21" s="141"/>
      <c r="Q21" s="1985"/>
      <c r="T21" s="2872"/>
      <c r="U21" s="2873"/>
      <c r="V21" s="2873"/>
      <c r="W21" s="2873"/>
      <c r="X21" s="2873"/>
      <c r="Y21" s="2873"/>
      <c r="Z21" s="2873"/>
      <c r="AA21" s="2874"/>
      <c r="AB21" s="1766"/>
    </row>
    <row r="22" spans="1:28" ht="6.75" customHeight="1" thickBot="1">
      <c r="A22" s="82"/>
      <c r="B22" s="141"/>
      <c r="C22" s="141"/>
      <c r="D22" s="141"/>
      <c r="E22" s="141"/>
      <c r="F22" s="7371"/>
      <c r="G22" s="5601"/>
      <c r="H22" s="5601"/>
      <c r="I22" s="7372"/>
      <c r="J22" s="2005"/>
      <c r="K22" s="2006"/>
      <c r="L22" s="499"/>
      <c r="M22" s="141"/>
      <c r="N22" s="141"/>
      <c r="O22" s="141"/>
      <c r="P22" s="141"/>
      <c r="Q22" s="1985"/>
    </row>
    <row r="23" spans="1:28" ht="12.75" customHeight="1" thickBot="1">
      <c r="A23" s="82"/>
      <c r="B23" s="141"/>
      <c r="C23" s="141"/>
      <c r="D23" s="141"/>
      <c r="E23" s="141"/>
      <c r="F23" s="7468" t="s">
        <v>1447</v>
      </c>
      <c r="G23" s="5527"/>
      <c r="H23" s="5527"/>
      <c r="I23" s="7469"/>
      <c r="J23" s="141"/>
      <c r="K23" s="2004" t="s">
        <v>307</v>
      </c>
      <c r="L23" s="3209"/>
      <c r="M23" s="141" t="s">
        <v>1448</v>
      </c>
      <c r="N23" s="141"/>
      <c r="O23" s="141"/>
      <c r="P23" s="141"/>
      <c r="Q23" s="1985"/>
      <c r="V23" s="2114" t="s">
        <v>1546</v>
      </c>
    </row>
    <row r="24" spans="1:28" ht="6.75" customHeight="1" thickBot="1">
      <c r="A24" s="82"/>
      <c r="B24" s="141"/>
      <c r="C24" s="141"/>
      <c r="D24" s="141"/>
      <c r="E24" s="141"/>
      <c r="F24" s="2007"/>
      <c r="G24" s="1403"/>
      <c r="H24" s="1403"/>
      <c r="I24" s="2008"/>
      <c r="J24" s="7449" t="str">
        <f>IF(AND(L21="",L23=""),"Check one.",IF(AND(L21&lt;&gt;"",L23&lt;&gt;""),"Check only one.",""))</f>
        <v/>
      </c>
      <c r="K24" s="7433"/>
      <c r="L24" s="141"/>
      <c r="M24" s="2009"/>
      <c r="N24" s="141"/>
      <c r="O24" s="141"/>
      <c r="P24" s="141"/>
      <c r="Q24" s="1985"/>
    </row>
    <row r="25" spans="1:28" ht="6.75" customHeight="1" thickTop="1">
      <c r="A25" s="82"/>
      <c r="B25" s="141"/>
      <c r="C25" s="141"/>
      <c r="D25" s="141"/>
      <c r="E25" s="141"/>
      <c r="F25" s="141"/>
      <c r="G25" s="141"/>
      <c r="H25" s="141"/>
      <c r="I25" s="141"/>
      <c r="J25" s="7433"/>
      <c r="K25" s="7433"/>
      <c r="L25" s="141"/>
      <c r="M25" s="141"/>
      <c r="N25" s="141"/>
      <c r="O25" s="141"/>
      <c r="P25" s="141"/>
      <c r="Q25" s="1985"/>
    </row>
    <row r="26" spans="1:28">
      <c r="A26" s="82"/>
      <c r="B26" s="225" t="s">
        <v>1449</v>
      </c>
      <c r="C26" s="1115" t="s">
        <v>3782</v>
      </c>
      <c r="D26" s="1115"/>
      <c r="E26" s="1115"/>
      <c r="F26" s="1115"/>
      <c r="G26" s="141"/>
      <c r="H26" s="141"/>
      <c r="I26" s="141"/>
      <c r="J26" s="141"/>
      <c r="K26" s="141"/>
      <c r="L26" s="141"/>
      <c r="M26" s="141"/>
      <c r="N26" s="141"/>
      <c r="O26" s="141"/>
      <c r="P26" s="141"/>
      <c r="Q26" s="1985"/>
      <c r="V26" s="2103" t="s">
        <v>1504</v>
      </c>
      <c r="W26" s="2104"/>
      <c r="X26" s="2104"/>
      <c r="Y26" s="2663"/>
    </row>
    <row r="27" spans="1:28">
      <c r="A27" s="82"/>
      <c r="B27" s="2080" t="s">
        <v>3783</v>
      </c>
      <c r="C27" s="2010"/>
      <c r="D27" s="2010"/>
      <c r="E27" s="2010"/>
      <c r="F27" s="2010"/>
      <c r="G27" s="17"/>
      <c r="H27" s="17"/>
      <c r="I27" s="17"/>
      <c r="J27" s="17"/>
      <c r="K27" s="17"/>
      <c r="L27" s="17"/>
      <c r="M27" s="17"/>
      <c r="N27" s="17"/>
      <c r="O27" s="17"/>
      <c r="P27" s="141"/>
      <c r="Q27" s="1985"/>
      <c r="V27" s="2106" t="s">
        <v>1505</v>
      </c>
      <c r="W27" s="1408"/>
      <c r="X27" s="1408"/>
      <c r="Y27" s="2663"/>
    </row>
    <row r="28" spans="1:28" ht="17.25" customHeight="1">
      <c r="A28" s="82"/>
      <c r="B28" s="4858" t="s">
        <v>130</v>
      </c>
      <c r="C28" s="2078" t="s">
        <v>1450</v>
      </c>
      <c r="D28" s="2012"/>
      <c r="E28" s="2012"/>
      <c r="F28" s="2013"/>
      <c r="G28" s="2013"/>
      <c r="H28" s="2013"/>
      <c r="I28" s="2013"/>
      <c r="J28" s="2013"/>
      <c r="K28" s="2793" t="str">
        <f>IF(AND(File_Marr_Sep&lt;&gt;"",$U18="",$U$19=""),"Indicate eligibility above and right.",IF(AND(File_Marr_Sep&lt;&gt;"",$U$19&lt;&gt;"",Q28=""),"You cannot take the credit.",""))</f>
        <v/>
      </c>
      <c r="L28" s="2013"/>
      <c r="M28" s="2013"/>
      <c r="N28" s="2013"/>
      <c r="O28" s="2013"/>
      <c r="P28" s="2013"/>
      <c r="Q28" s="3542"/>
      <c r="R28" s="3541" t="str">
        <f>IF(AND(File_Marr_Sep&lt;&gt;"",$U$19&lt;&gt;""),"Hide note.","")</f>
        <v/>
      </c>
      <c r="V28" s="2115" t="s">
        <v>1547</v>
      </c>
      <c r="W28" s="2104"/>
      <c r="X28" s="2104"/>
      <c r="Y28" s="2663"/>
    </row>
    <row r="29" spans="1:28">
      <c r="A29" s="82"/>
      <c r="B29" s="4871">
        <v>2</v>
      </c>
      <c r="C29" s="17" t="s">
        <v>1451</v>
      </c>
      <c r="D29" s="17"/>
      <c r="E29" s="17"/>
      <c r="F29" s="17"/>
      <c r="G29" s="17"/>
      <c r="H29" s="17"/>
      <c r="I29" s="17"/>
      <c r="J29" s="17"/>
      <c r="K29" s="17"/>
      <c r="L29" s="17"/>
      <c r="M29" s="17"/>
      <c r="N29" s="17"/>
      <c r="O29" s="17"/>
      <c r="P29" s="17"/>
      <c r="Q29" s="1985"/>
      <c r="R29" s="277"/>
      <c r="V29" s="2106" t="s">
        <v>1506</v>
      </c>
      <c r="W29" s="1408"/>
      <c r="X29" s="1408"/>
      <c r="Y29" s="2663"/>
    </row>
    <row r="30" spans="1:28" ht="12.75" customHeight="1">
      <c r="A30" s="82"/>
      <c r="B30" s="141"/>
      <c r="C30" s="141"/>
      <c r="D30" s="141"/>
      <c r="E30" s="141"/>
      <c r="F30" s="147" t="s">
        <v>1452</v>
      </c>
      <c r="G30" s="141"/>
      <c r="H30" s="141"/>
      <c r="I30" s="141"/>
      <c r="J30" s="141"/>
      <c r="K30" s="141"/>
      <c r="L30" s="6148" t="s">
        <v>1488</v>
      </c>
      <c r="M30" s="7373"/>
      <c r="N30" s="7374"/>
      <c r="O30" s="7337" t="s">
        <v>1453</v>
      </c>
      <c r="P30" s="7346"/>
      <c r="Q30" s="1985"/>
      <c r="R30" s="277"/>
      <c r="V30" s="2106" t="s">
        <v>1507</v>
      </c>
      <c r="W30" s="1408"/>
      <c r="X30" s="1408"/>
      <c r="Y30" s="2663"/>
    </row>
    <row r="31" spans="1:28" ht="9.75" customHeight="1">
      <c r="A31" s="82"/>
      <c r="B31" s="141"/>
      <c r="C31" s="2014"/>
      <c r="D31" s="2014"/>
      <c r="E31" s="2014"/>
      <c r="F31" s="147"/>
      <c r="G31" s="141"/>
      <c r="H31" s="141"/>
      <c r="I31" s="21"/>
      <c r="J31" s="21"/>
      <c r="K31" s="141"/>
      <c r="L31" s="7375"/>
      <c r="M31" s="6052"/>
      <c r="N31" s="7376"/>
      <c r="O31" s="7347" t="str">
        <f>"incurred and paid in "&amp;TaxYear&amp;" for"</f>
        <v>incurred and paid in 2018 for</v>
      </c>
      <c r="P31" s="7348"/>
      <c r="Q31" s="1985"/>
      <c r="V31" s="2106" t="s">
        <v>1508</v>
      </c>
      <c r="W31" s="1408"/>
      <c r="X31" s="1408"/>
      <c r="Y31" s="2663"/>
    </row>
    <row r="32" spans="1:28" ht="10.5" customHeight="1">
      <c r="A32" s="82"/>
      <c r="B32" s="17"/>
      <c r="C32" s="2000" t="s">
        <v>1454</v>
      </c>
      <c r="D32" s="2000"/>
      <c r="E32" s="2000"/>
      <c r="F32" s="17"/>
      <c r="G32" s="17"/>
      <c r="H32" s="17"/>
      <c r="I32" s="150" t="s">
        <v>1455</v>
      </c>
      <c r="J32" s="150"/>
      <c r="K32" s="17"/>
      <c r="L32" s="7377"/>
      <c r="M32" s="7378"/>
      <c r="N32" s="7379"/>
      <c r="O32" s="7349" t="s">
        <v>1456</v>
      </c>
      <c r="P32" s="7350"/>
      <c r="Q32" s="1985"/>
      <c r="V32" s="2106" t="s">
        <v>1509</v>
      </c>
      <c r="W32" s="1408"/>
      <c r="X32" s="1408"/>
      <c r="Y32" s="2663"/>
    </row>
    <row r="33" spans="1:25" ht="21.75" customHeight="1">
      <c r="A33" s="82"/>
      <c r="B33" s="7450"/>
      <c r="C33" s="7451"/>
      <c r="D33" s="7451"/>
      <c r="E33" s="7451"/>
      <c r="F33" s="7452"/>
      <c r="G33" s="7450"/>
      <c r="H33" s="7451"/>
      <c r="I33" s="7451"/>
      <c r="J33" s="7451"/>
      <c r="K33" s="7452"/>
      <c r="L33" s="7365"/>
      <c r="M33" s="7366"/>
      <c r="N33" s="7367"/>
      <c r="O33" s="7335"/>
      <c r="P33" s="7336"/>
      <c r="Q33" s="1985">
        <f>IF(O33&lt;&gt;"",1,0)</f>
        <v>0</v>
      </c>
      <c r="R33" s="2620"/>
      <c r="V33" s="2106" t="s">
        <v>1510</v>
      </c>
      <c r="W33" s="1408"/>
      <c r="X33" s="1408"/>
      <c r="Y33" s="2663"/>
    </row>
    <row r="34" spans="1:25" ht="21.75" customHeight="1">
      <c r="A34" s="82"/>
      <c r="B34" s="7450"/>
      <c r="C34" s="7451"/>
      <c r="D34" s="7451"/>
      <c r="E34" s="7451"/>
      <c r="F34" s="7452"/>
      <c r="G34" s="7450"/>
      <c r="H34" s="7451"/>
      <c r="I34" s="7451"/>
      <c r="J34" s="7451"/>
      <c r="K34" s="7452"/>
      <c r="L34" s="7365"/>
      <c r="M34" s="7366"/>
      <c r="N34" s="7367"/>
      <c r="O34" s="7335"/>
      <c r="P34" s="7336"/>
      <c r="Q34" s="1985">
        <f>IF(O34&lt;&gt;"",1,0)</f>
        <v>0</v>
      </c>
      <c r="R34" s="860"/>
      <c r="V34" s="2106" t="s">
        <v>1511</v>
      </c>
      <c r="W34" s="1408"/>
      <c r="X34" s="1408"/>
      <c r="Y34" s="2663"/>
    </row>
    <row r="35" spans="1:25">
      <c r="A35" s="82"/>
      <c r="B35" s="4904">
        <v>3</v>
      </c>
      <c r="C35" s="1115" t="str">
        <f>"Add  the  amounts  in  column  (c)  of  line  "&amp;B29&amp;"."</f>
        <v>Add  the  amounts  in  column  (c)  of  line  2.</v>
      </c>
      <c r="D35" s="1115"/>
      <c r="E35" s="1115"/>
      <c r="F35" s="141"/>
      <c r="G35" s="141"/>
      <c r="H35" s="141"/>
      <c r="I35" s="161" t="s">
        <v>2556</v>
      </c>
      <c r="J35" s="1115" t="str">
        <f>"enter more than "&amp;TEXT(S35,"$0,000")&amp;" for one qualifying"</f>
        <v>enter more than $3,000 for one qualifying</v>
      </c>
      <c r="K35" s="141"/>
      <c r="L35" s="141"/>
      <c r="M35" s="141"/>
      <c r="N35" s="2016"/>
      <c r="O35" s="2017">
        <f>ROUND(SUM(O33,O34,O147:O154),0)</f>
        <v>0</v>
      </c>
      <c r="P35" s="4334"/>
      <c r="Q35" s="1985"/>
      <c r="R35" s="4880"/>
      <c r="S35" s="1601">
        <v>3000</v>
      </c>
      <c r="V35" s="2106" t="s">
        <v>1512</v>
      </c>
      <c r="W35" s="1408"/>
      <c r="X35" s="1408"/>
      <c r="Y35" s="2663"/>
    </row>
    <row r="36" spans="1:25" ht="13.5" thickBot="1">
      <c r="A36" s="82"/>
      <c r="B36" s="4906"/>
      <c r="C36" s="1115" t="str">
        <f>"person or "&amp;TEXT(S36,"$0,000")&amp;" for two or more persons.  If you completed Part III, enter the amount"</f>
        <v>person or $6,000 for two or more persons.  If you completed Part III, enter the amount</v>
      </c>
      <c r="D36" s="1115"/>
      <c r="E36" s="1115"/>
      <c r="F36" s="141"/>
      <c r="G36" s="141"/>
      <c r="H36" s="141"/>
      <c r="I36" s="141"/>
      <c r="J36" s="141"/>
      <c r="K36" s="141"/>
      <c r="L36" s="141"/>
      <c r="M36" s="141"/>
      <c r="N36" s="2018"/>
      <c r="O36" s="2017">
        <f>IF(Q36&gt;1,S36,S35)</f>
        <v>3000</v>
      </c>
      <c r="P36" s="4334"/>
      <c r="Q36" s="1985">
        <f>SUM(Q33:Q34,Q147:Q154)</f>
        <v>0</v>
      </c>
      <c r="R36" s="860" t="s">
        <v>101</v>
      </c>
      <c r="S36" s="1601">
        <v>6000</v>
      </c>
      <c r="V36" s="2106" t="s">
        <v>1513</v>
      </c>
      <c r="W36" s="1408"/>
      <c r="X36" s="1408"/>
      <c r="Y36" s="2663"/>
    </row>
    <row r="37" spans="1:25" ht="15.75" customHeight="1" thickBot="1">
      <c r="A37" s="82"/>
      <c r="B37" s="4906"/>
      <c r="C37" s="1115" t="str">
        <f>"from line "&amp;B111</f>
        <v>from line 31</v>
      </c>
      <c r="D37" s="1115"/>
      <c r="E37" s="1115"/>
      <c r="F37" s="141"/>
      <c r="G37" s="141"/>
      <c r="H37" s="141"/>
      <c r="I37" s="141"/>
      <c r="J37" s="141"/>
      <c r="K37" s="141"/>
      <c r="L37" s="141"/>
      <c r="M37" s="2019" t="str">
        <f>IF(SUM(O147:O154)&gt;0,".   .   .   .   .   .   .   .   .   .   .   .   .   .   .   .   .   .   .   .   .   .   .   .   .   .  See Attached ","      .   .   .   .   .   .   .   .   .   .   .   .   .   .   .   .   .   .   .   .   .   .   .   .   .   .   .   .   .   .   .   .   . ")</f>
        <v xml:space="preserve">      .   .   .   .   .   .   .   .   .   .   .   .   .   .   .   .   .   .   .   .   .   .   .   .   .   .   .   .   .   .   .   .   . </v>
      </c>
      <c r="N37" s="2020">
        <f>B35</f>
        <v>3</v>
      </c>
      <c r="O37" s="7326">
        <f>IF(R37&lt;&gt;"",ROUND(R37,0),IF(OR(S19,J24&lt;&gt;""),"",IF(AND(L21&lt;&gt;"",L23=""),MIN(O35,O36),O112)))</f>
        <v>0</v>
      </c>
      <c r="P37" s="7343"/>
      <c r="Q37" s="1985"/>
      <c r="R37" s="2266"/>
      <c r="V37" s="2106" t="s">
        <v>1514</v>
      </c>
      <c r="W37" s="1408"/>
      <c r="X37" s="1408"/>
      <c r="Y37" s="2663"/>
    </row>
    <row r="38" spans="1:25" ht="15" customHeight="1" thickBot="1">
      <c r="A38" s="82"/>
      <c r="B38" s="4904">
        <v>4</v>
      </c>
      <c r="C38" s="1115" t="s">
        <v>4556</v>
      </c>
      <c r="D38" s="1115"/>
      <c r="E38" s="1115"/>
      <c r="F38" s="141"/>
      <c r="G38" s="141"/>
      <c r="H38" s="141"/>
      <c r="I38" s="141"/>
      <c r="J38" s="141"/>
      <c r="K38" s="141"/>
      <c r="L38" s="141"/>
      <c r="M38" s="2019" t="s">
        <v>104</v>
      </c>
      <c r="N38" s="2020">
        <f>B38</f>
        <v>4</v>
      </c>
      <c r="O38" s="7326">
        <f>IF(OR(S19,AND(L21="",L23="")),"",IF(R38&lt;&gt;"",ROUND(R38,0),SUM('W-2s'!I3,R42)))</f>
        <v>0</v>
      </c>
      <c r="P38" s="7343"/>
      <c r="Q38" s="1985"/>
      <c r="R38" s="2266"/>
      <c r="V38" s="2106" t="s">
        <v>1515</v>
      </c>
      <c r="W38" s="1408"/>
      <c r="X38" s="1408"/>
      <c r="Y38" s="2663"/>
    </row>
    <row r="39" spans="1:25" ht="14.25" customHeight="1" thickBot="1">
      <c r="A39" s="82"/>
      <c r="B39" s="4904">
        <v>5</v>
      </c>
      <c r="C39" s="1115" t="s">
        <v>3784</v>
      </c>
      <c r="D39" s="1115"/>
      <c r="E39" s="1115"/>
      <c r="F39" s="141"/>
      <c r="G39" s="141"/>
      <c r="H39" s="141"/>
      <c r="I39" s="141"/>
      <c r="J39" s="141"/>
      <c r="K39" s="141"/>
      <c r="L39" s="141"/>
      <c r="M39" s="141"/>
      <c r="N39" s="1995"/>
      <c r="O39" s="2021"/>
      <c r="P39" s="2046"/>
      <c r="Q39" s="1985"/>
      <c r="R39" s="4880"/>
      <c r="V39" s="2106" t="s">
        <v>1516</v>
      </c>
      <c r="W39" s="1408"/>
      <c r="X39" s="1408"/>
      <c r="Y39" s="2663"/>
    </row>
    <row r="40" spans="1:25" ht="14.25" customHeight="1" thickBot="1">
      <c r="A40" s="82"/>
      <c r="B40" s="4906"/>
      <c r="C40" s="1083" t="s">
        <v>4919</v>
      </c>
      <c r="D40" s="2022"/>
      <c r="E40" s="2022"/>
      <c r="F40" s="141"/>
      <c r="G40" s="141"/>
      <c r="H40" s="141"/>
      <c r="I40" s="141"/>
      <c r="J40" s="141"/>
      <c r="K40" s="141"/>
      <c r="L40" s="141"/>
      <c r="M40" s="161"/>
      <c r="N40" s="2020">
        <f>B39</f>
        <v>5</v>
      </c>
      <c r="O40" s="7326">
        <f>IF(R40&lt;&gt;"",ROUND(R40,0),IF(J24&lt;&gt;"","",IF(File_Marr_Joint&lt;&gt;"",SUM(ROUND('W-2s'!I33,0),O43,SchC_Sp_StatEmp_Inc),O38)))</f>
        <v>0</v>
      </c>
      <c r="P40" s="7343"/>
      <c r="Q40" s="1985"/>
      <c r="R40" s="2266"/>
      <c r="V40" s="2106" t="s">
        <v>1517</v>
      </c>
      <c r="W40" s="1408"/>
      <c r="X40" s="1408"/>
      <c r="Y40" s="2663"/>
    </row>
    <row r="41" spans="1:25" ht="19.5" customHeight="1" thickBot="1">
      <c r="A41" s="82"/>
      <c r="B41" s="4904">
        <v>6</v>
      </c>
      <c r="C41" s="1115" t="s">
        <v>1981</v>
      </c>
      <c r="D41" s="171"/>
      <c r="E41" s="171"/>
      <c r="F41" s="141"/>
      <c r="G41" s="141"/>
      <c r="H41" s="141"/>
      <c r="I41" s="141"/>
      <c r="J41" s="141"/>
      <c r="K41" s="141"/>
      <c r="L41" s="141"/>
      <c r="M41" s="2019" t="s">
        <v>104</v>
      </c>
      <c r="N41" s="2020">
        <f>B41</f>
        <v>6</v>
      </c>
      <c r="O41" s="7326">
        <f>IF(R41&lt;&gt;"",ROUND(R41,0),IF(OR(S19,J24&lt;&gt;""),"",MIN(O37,O38,O40)))</f>
        <v>0</v>
      </c>
      <c r="P41" s="7343"/>
      <c r="Q41" s="1985"/>
      <c r="R41" s="2266"/>
      <c r="V41" s="2106" t="s">
        <v>1518</v>
      </c>
      <c r="W41" s="1408"/>
      <c r="X41" s="1408"/>
      <c r="Y41" s="2663"/>
    </row>
    <row r="42" spans="1:25" ht="14.25" customHeight="1" thickBot="1">
      <c r="A42" s="82"/>
      <c r="B42" s="4904">
        <v>7</v>
      </c>
      <c r="C42" s="1115" t="s">
        <v>3785</v>
      </c>
      <c r="D42" s="141"/>
      <c r="E42" s="141"/>
      <c r="F42" s="141"/>
      <c r="G42" s="141"/>
      <c r="H42" s="141"/>
      <c r="I42" s="141"/>
      <c r="J42" s="141"/>
      <c r="K42" s="161" t="s">
        <v>4557</v>
      </c>
      <c r="L42" s="2020">
        <f>B42</f>
        <v>7</v>
      </c>
      <c r="M42" s="3207">
        <f>IF(R42&lt;&gt;"",ROUND(R42,0),IF(OR(S19,AND(L21="",L23="")),"",Adj_Gross_Inc))</f>
        <v>0</v>
      </c>
      <c r="N42" s="2018"/>
      <c r="O42" s="1153"/>
      <c r="P42" s="142"/>
      <c r="Q42" s="1985"/>
      <c r="R42" s="2266"/>
      <c r="V42" s="2111" t="s">
        <v>1519</v>
      </c>
      <c r="W42" s="2112"/>
      <c r="X42" s="2112"/>
      <c r="Y42" s="2663"/>
    </row>
    <row r="43" spans="1:25">
      <c r="A43" s="82"/>
      <c r="B43" s="4904">
        <v>8</v>
      </c>
      <c r="C43" s="141" t="s">
        <v>1457</v>
      </c>
      <c r="D43" s="141"/>
      <c r="E43" s="141"/>
      <c r="F43" s="141"/>
      <c r="G43" s="141"/>
      <c r="H43" s="141"/>
      <c r="I43" s="141"/>
      <c r="J43" s="141"/>
      <c r="K43" s="141"/>
      <c r="L43" s="141"/>
      <c r="M43" s="141"/>
      <c r="N43" s="2018"/>
      <c r="O43" s="7363">
        <f>IF(AND('Sch. SE'!AB7&lt;&gt;"",'Sch. SE'!C34&lt;&gt;"",'Sch. SE'!P34=""),SUM('Sch. SE'!V48,-SE_Deduct),IF(AND('Sch. SE'!AB7&lt;&gt;"",'Sch. SE'!P34&lt;&gt;"",'Sch. SE'!C34=""),SUM('Sch. SE'!V80,-SE_Deduct),0))</f>
        <v>0</v>
      </c>
      <c r="P43" s="7364"/>
      <c r="Q43" s="1985"/>
      <c r="R43" s="4880"/>
      <c r="V43" s="2115" t="s">
        <v>1548</v>
      </c>
      <c r="W43" s="2104"/>
      <c r="X43" s="2104"/>
      <c r="Y43" s="2663"/>
    </row>
    <row r="44" spans="1:25">
      <c r="A44" s="82"/>
      <c r="B44" s="1115"/>
      <c r="C44" s="141"/>
      <c r="D44" s="141"/>
      <c r="E44" s="141"/>
      <c r="F44" s="147" t="s">
        <v>1458</v>
      </c>
      <c r="G44" s="141"/>
      <c r="H44" s="141"/>
      <c r="I44" s="141"/>
      <c r="J44" s="1996" t="s">
        <v>1458</v>
      </c>
      <c r="K44" s="141"/>
      <c r="L44" s="141"/>
      <c r="M44" s="141"/>
      <c r="N44" s="2018"/>
      <c r="O44" s="1153"/>
      <c r="P44" s="142"/>
      <c r="Q44" s="1985"/>
      <c r="R44" s="4880"/>
      <c r="V44" s="2106" t="s">
        <v>1520</v>
      </c>
      <c r="W44" s="1408"/>
      <c r="X44" s="1408"/>
      <c r="Y44" s="2663"/>
    </row>
    <row r="45" spans="1:25" ht="11.25" customHeight="1">
      <c r="A45" s="82"/>
      <c r="B45" s="1115"/>
      <c r="C45" s="141"/>
      <c r="D45" s="141"/>
      <c r="E45" s="141"/>
      <c r="F45" s="141"/>
      <c r="G45" s="1993" t="s">
        <v>1459</v>
      </c>
      <c r="H45" s="1997"/>
      <c r="I45" s="4864" t="s">
        <v>1460</v>
      </c>
      <c r="J45" s="141"/>
      <c r="K45" s="4860" t="s">
        <v>1459</v>
      </c>
      <c r="L45" s="4865" t="s">
        <v>1460</v>
      </c>
      <c r="M45" s="141"/>
      <c r="N45" s="2018"/>
      <c r="O45" s="1153"/>
      <c r="P45" s="142"/>
      <c r="Q45" s="1985"/>
      <c r="R45" s="4880"/>
      <c r="V45" s="2106" t="s">
        <v>1521</v>
      </c>
      <c r="W45" s="1408"/>
      <c r="X45" s="1408"/>
      <c r="Y45" s="2663"/>
    </row>
    <row r="46" spans="1:25" ht="9.75" customHeight="1" thickBot="1">
      <c r="A46" s="82"/>
      <c r="B46" s="1115"/>
      <c r="C46" s="164"/>
      <c r="D46" s="164"/>
      <c r="E46" s="164"/>
      <c r="F46" s="2025" t="s">
        <v>971</v>
      </c>
      <c r="G46" s="2023" t="s">
        <v>1461</v>
      </c>
      <c r="H46" s="2024"/>
      <c r="I46" s="2024" t="s">
        <v>1462</v>
      </c>
      <c r="J46" s="4859" t="s">
        <v>971</v>
      </c>
      <c r="K46" s="4861" t="s">
        <v>1461</v>
      </c>
      <c r="L46" s="4866" t="s">
        <v>1462</v>
      </c>
      <c r="M46" s="2026"/>
      <c r="N46" s="2018"/>
      <c r="O46" s="1153"/>
      <c r="P46" s="142"/>
      <c r="Q46" s="1985"/>
      <c r="R46" s="4880"/>
      <c r="V46" s="2106" t="s">
        <v>1522</v>
      </c>
      <c r="W46" s="1408"/>
      <c r="X46" s="1408"/>
      <c r="Y46" s="2663"/>
    </row>
    <row r="47" spans="1:25">
      <c r="A47" s="82"/>
      <c r="B47" s="1115"/>
      <c r="C47" s="141"/>
      <c r="D47" s="141"/>
      <c r="E47" s="141"/>
      <c r="F47" s="2027">
        <v>0</v>
      </c>
      <c r="G47" s="2028" t="str">
        <f>"--  "&amp;TEXT(F48,"0,000")</f>
        <v>--  15,000</v>
      </c>
      <c r="H47" s="2028"/>
      <c r="I47" s="2029">
        <v>0.35</v>
      </c>
      <c r="J47" s="2030">
        <f>F54+2000</f>
        <v>29000</v>
      </c>
      <c r="K47" s="2031" t="str">
        <f>" --  "&amp;TEXT(J47+2000,"0,000")</f>
        <v xml:space="preserve"> --  31,000</v>
      </c>
      <c r="L47" s="2032"/>
      <c r="M47" s="2029">
        <v>0.27</v>
      </c>
      <c r="N47" s="2018"/>
      <c r="O47" s="1153"/>
      <c r="P47" s="142"/>
      <c r="Q47" s="1985"/>
      <c r="R47" s="4880"/>
      <c r="V47" s="2106" t="s">
        <v>1523</v>
      </c>
      <c r="W47" s="1408"/>
      <c r="X47" s="1408"/>
      <c r="Y47" s="2663"/>
    </row>
    <row r="48" spans="1:25">
      <c r="A48" s="82"/>
      <c r="B48" s="1115"/>
      <c r="C48" s="141"/>
      <c r="D48" s="141"/>
      <c r="E48" s="141"/>
      <c r="F48" s="2033">
        <v>15000</v>
      </c>
      <c r="G48" s="2031" t="str">
        <f>"--  "&amp;TEXT(F48+2000,"0,000")</f>
        <v>--  17,000</v>
      </c>
      <c r="H48" s="2031"/>
      <c r="I48" s="2029">
        <v>0.34</v>
      </c>
      <c r="J48" s="2034">
        <f>J47+2000</f>
        <v>31000</v>
      </c>
      <c r="K48" s="2031" t="str">
        <f t="shared" ref="K48:K53" si="0">" --  "&amp;TEXT(J48+2000,"0,000")</f>
        <v xml:space="preserve"> --  33,000</v>
      </c>
      <c r="L48" s="2032"/>
      <c r="M48" s="2029">
        <v>0.26</v>
      </c>
      <c r="N48" s="2018"/>
      <c r="O48" s="1153"/>
      <c r="P48" s="142"/>
      <c r="Q48" s="1985"/>
      <c r="R48" s="4880"/>
      <c r="V48" s="2106" t="s">
        <v>1524</v>
      </c>
      <c r="W48" s="1408"/>
      <c r="X48" s="1408"/>
      <c r="Y48" s="2663"/>
    </row>
    <row r="49" spans="1:37">
      <c r="A49" s="82"/>
      <c r="B49" s="1115"/>
      <c r="C49" s="141"/>
      <c r="D49" s="141"/>
      <c r="E49" s="141"/>
      <c r="F49" s="2033">
        <f t="shared" ref="F49:F54" si="1">F48+2000</f>
        <v>17000</v>
      </c>
      <c r="G49" s="2031" t="str">
        <f t="shared" ref="G49:G54" si="2">"--  "&amp;TEXT(F49+2000,"0,000")</f>
        <v>--  19,000</v>
      </c>
      <c r="H49" s="2031"/>
      <c r="I49" s="2029">
        <v>0.33</v>
      </c>
      <c r="J49" s="2034">
        <f t="shared" ref="J49:J54" si="3">J48+2000</f>
        <v>33000</v>
      </c>
      <c r="K49" s="2031" t="str">
        <f t="shared" si="0"/>
        <v xml:space="preserve"> --  35,000</v>
      </c>
      <c r="L49" s="2032"/>
      <c r="M49" s="2029">
        <v>0.25</v>
      </c>
      <c r="N49" s="2018"/>
      <c r="O49" s="1153"/>
      <c r="P49" s="142"/>
      <c r="Q49" s="1985"/>
      <c r="R49" s="4880"/>
      <c r="V49" s="2106" t="s">
        <v>1525</v>
      </c>
      <c r="W49" s="1408"/>
      <c r="X49" s="1408"/>
      <c r="Y49" s="2663"/>
    </row>
    <row r="50" spans="1:37" ht="13.5" thickBot="1">
      <c r="A50" s="82"/>
      <c r="B50" s="1115"/>
      <c r="C50" s="141"/>
      <c r="D50" s="141"/>
      <c r="E50" s="141"/>
      <c r="F50" s="2033">
        <f t="shared" si="1"/>
        <v>19000</v>
      </c>
      <c r="G50" s="2031" t="str">
        <f t="shared" si="2"/>
        <v>--  21,000</v>
      </c>
      <c r="H50" s="2031"/>
      <c r="I50" s="2029">
        <v>0.32</v>
      </c>
      <c r="J50" s="2034">
        <f t="shared" si="3"/>
        <v>35000</v>
      </c>
      <c r="K50" s="2031" t="str">
        <f t="shared" si="0"/>
        <v xml:space="preserve"> --  37,000</v>
      </c>
      <c r="L50" s="2032"/>
      <c r="M50" s="2029">
        <v>0.24</v>
      </c>
      <c r="N50" s="2018"/>
      <c r="O50" s="1153"/>
      <c r="P50" s="142"/>
      <c r="Q50" s="1985"/>
      <c r="R50" s="4880"/>
      <c r="V50" s="2106" t="s">
        <v>1526</v>
      </c>
      <c r="W50" s="1408"/>
      <c r="X50" s="1408"/>
      <c r="Y50" s="2663"/>
    </row>
    <row r="51" spans="1:37" ht="13.5" thickBot="1">
      <c r="A51" s="82"/>
      <c r="B51" s="1115"/>
      <c r="C51" s="141"/>
      <c r="D51" s="141"/>
      <c r="E51" s="141"/>
      <c r="F51" s="2033">
        <f t="shared" si="1"/>
        <v>21000</v>
      </c>
      <c r="G51" s="2031" t="str">
        <f t="shared" si="2"/>
        <v>--  23,000</v>
      </c>
      <c r="H51" s="2031"/>
      <c r="I51" s="2029">
        <v>0.31</v>
      </c>
      <c r="J51" s="2034">
        <f t="shared" si="3"/>
        <v>37000</v>
      </c>
      <c r="K51" s="2031" t="str">
        <f t="shared" si="0"/>
        <v xml:space="preserve"> --  39,000</v>
      </c>
      <c r="L51" s="2032"/>
      <c r="M51" s="2029">
        <v>0.23</v>
      </c>
      <c r="N51" s="2020">
        <f>B43</f>
        <v>8</v>
      </c>
      <c r="O51" s="7326" t="str">
        <f>IF(AND(R51&lt;&gt;"",R51&lt;1),CONCATENATE("X   ",TEXT(R51,"0.00")),IF(OR(S19,J24&lt;&gt;""),"",CONCATENATE("X   ",TEXT(Q51,"0.00"))))</f>
        <v>X   0.35</v>
      </c>
      <c r="P51" s="7343"/>
      <c r="Q51" s="712">
        <f>IF(AND(R51&lt;&gt;"",R51&lt;1),ROUND(R51,2),IF(M42=0,I47,IF((M42-1)&lt;J47,LOOKUP((M42-1),F47:F54,I47:I54),LOOKUP((M42-1),J47:J54,M47:M54))))</f>
        <v>0.35</v>
      </c>
      <c r="R51" s="3540"/>
      <c r="V51" s="2106" t="s">
        <v>1527</v>
      </c>
      <c r="W51" s="1408"/>
      <c r="X51" s="1408"/>
      <c r="Y51" s="2663"/>
    </row>
    <row r="52" spans="1:37">
      <c r="A52" s="82"/>
      <c r="B52" s="1115"/>
      <c r="C52" s="141"/>
      <c r="D52" s="141"/>
      <c r="E52" s="141"/>
      <c r="F52" s="2033">
        <f t="shared" si="1"/>
        <v>23000</v>
      </c>
      <c r="G52" s="2031" t="str">
        <f t="shared" si="2"/>
        <v>--  25,000</v>
      </c>
      <c r="H52" s="2031"/>
      <c r="I52" s="2029">
        <v>0.3</v>
      </c>
      <c r="J52" s="2034">
        <f t="shared" si="3"/>
        <v>39000</v>
      </c>
      <c r="K52" s="2031" t="str">
        <f t="shared" si="0"/>
        <v xml:space="preserve"> --  41,000</v>
      </c>
      <c r="L52" s="2032"/>
      <c r="M52" s="2029">
        <v>0.22</v>
      </c>
      <c r="N52" s="2018"/>
      <c r="O52" s="2021"/>
      <c r="P52" s="2046"/>
      <c r="Q52" s="1985"/>
      <c r="R52" s="4880"/>
      <c r="V52" s="2106" t="s">
        <v>1528</v>
      </c>
      <c r="W52" s="1408"/>
      <c r="X52" s="1408"/>
      <c r="Y52" s="2663"/>
    </row>
    <row r="53" spans="1:37">
      <c r="A53" s="82"/>
      <c r="B53" s="1115"/>
      <c r="C53" s="141"/>
      <c r="D53" s="141"/>
      <c r="E53" s="141"/>
      <c r="F53" s="2033">
        <f t="shared" si="1"/>
        <v>25000</v>
      </c>
      <c r="G53" s="2031" t="str">
        <f t="shared" si="2"/>
        <v>--  27,000</v>
      </c>
      <c r="H53" s="2031"/>
      <c r="I53" s="2029">
        <v>0.28999999999999998</v>
      </c>
      <c r="J53" s="2034">
        <f t="shared" si="3"/>
        <v>41000</v>
      </c>
      <c r="K53" s="2031" t="str">
        <f t="shared" si="0"/>
        <v xml:space="preserve"> --  43,000</v>
      </c>
      <c r="L53" s="2032"/>
      <c r="M53" s="2029">
        <v>0.21</v>
      </c>
      <c r="N53" s="2018"/>
      <c r="O53" s="2021"/>
      <c r="P53" s="2046"/>
      <c r="Q53" s="1985"/>
      <c r="R53" s="4880"/>
      <c r="V53" s="2106" t="s">
        <v>1529</v>
      </c>
      <c r="W53" s="1408"/>
      <c r="X53" s="1408"/>
      <c r="Y53" s="2663"/>
    </row>
    <row r="54" spans="1:37">
      <c r="A54" s="82"/>
      <c r="B54" s="1115"/>
      <c r="C54" s="141"/>
      <c r="D54" s="141"/>
      <c r="E54" s="141"/>
      <c r="F54" s="2033">
        <f t="shared" si="1"/>
        <v>27000</v>
      </c>
      <c r="G54" s="2031" t="str">
        <f t="shared" si="2"/>
        <v>--  29,000</v>
      </c>
      <c r="H54" s="2031"/>
      <c r="I54" s="2029">
        <v>0.28000000000000003</v>
      </c>
      <c r="J54" s="2034">
        <f t="shared" si="3"/>
        <v>43000</v>
      </c>
      <c r="K54" s="2031" t="str">
        <f>" --  No limit"</f>
        <v xml:space="preserve"> --  No limit</v>
      </c>
      <c r="L54" s="2032"/>
      <c r="M54" s="2029">
        <v>0.2</v>
      </c>
      <c r="N54" s="2018"/>
      <c r="O54" s="2021"/>
      <c r="P54" s="2046"/>
      <c r="Q54" s="1985"/>
      <c r="R54" s="4880"/>
      <c r="V54" s="2111" t="s">
        <v>1530</v>
      </c>
      <c r="W54" s="2112"/>
      <c r="X54" s="2112"/>
      <c r="Y54" s="2663"/>
    </row>
    <row r="55" spans="1:37">
      <c r="A55" s="82"/>
      <c r="B55" s="1115"/>
      <c r="C55" s="141"/>
      <c r="D55" s="141"/>
      <c r="E55" s="141"/>
      <c r="F55" s="2033"/>
      <c r="G55" s="2033"/>
      <c r="H55" s="2033"/>
      <c r="I55" s="2032"/>
      <c r="J55" s="2033"/>
      <c r="K55" s="2031"/>
      <c r="L55" s="2032"/>
      <c r="M55" s="141"/>
      <c r="N55" s="2018"/>
      <c r="O55" s="2021"/>
      <c r="P55" s="2046"/>
      <c r="Q55" s="1985"/>
      <c r="R55" s="4880"/>
      <c r="V55" s="2115" t="s">
        <v>1549</v>
      </c>
      <c r="W55" s="2104"/>
      <c r="X55" s="2104"/>
      <c r="Y55" s="2663"/>
    </row>
    <row r="56" spans="1:37" ht="15" thickBot="1">
      <c r="A56" s="82"/>
      <c r="B56" s="253">
        <v>9</v>
      </c>
      <c r="C56" s="336" t="str">
        <f>"Multiply line 6 by the decimal amount on line 8.  If you paid "&amp;TaxYear-1&amp;" expenses in "&amp;TaxYear&amp;", see"</f>
        <v>Multiply line 6 by the decimal amount on line 8.  If you paid 2017 expenses in 2018, see</v>
      </c>
      <c r="D56" s="1115"/>
      <c r="E56" s="1115"/>
      <c r="F56" s="141"/>
      <c r="G56" s="141"/>
      <c r="H56" s="141"/>
      <c r="I56" s="141"/>
      <c r="J56" s="141"/>
      <c r="K56" s="141"/>
      <c r="L56" s="141"/>
      <c r="M56" s="141"/>
      <c r="N56" s="2018"/>
      <c r="O56" s="2035"/>
      <c r="P56" s="4335"/>
      <c r="Q56" s="1985"/>
      <c r="R56" s="860" t="s">
        <v>101</v>
      </c>
      <c r="V56" s="2106" t="s">
        <v>1531</v>
      </c>
      <c r="W56" s="1408"/>
      <c r="X56" s="1408"/>
      <c r="Y56" s="2663"/>
    </row>
    <row r="57" spans="1:37" ht="15" thickBot="1">
      <c r="A57" s="82"/>
      <c r="B57" s="1115"/>
      <c r="C57" s="336" t="s">
        <v>1463</v>
      </c>
      <c r="D57" s="1115"/>
      <c r="E57" s="1115"/>
      <c r="F57" s="141"/>
      <c r="G57" s="141"/>
      <c r="H57" s="141"/>
      <c r="I57" s="141"/>
      <c r="J57" s="141"/>
      <c r="K57" s="141"/>
      <c r="L57" s="168"/>
      <c r="M57" s="1689" t="s">
        <v>635</v>
      </c>
      <c r="N57" s="2020">
        <f>B56</f>
        <v>9</v>
      </c>
      <c r="O57" s="7326">
        <f>IF(R57&lt;&gt;"",ROUND(R57,0),IF(OR(S19,J24&lt;&gt;""),"",ROUND((O41)*(Q51),0)))</f>
        <v>0</v>
      </c>
      <c r="P57" s="7343"/>
      <c r="Q57" s="712">
        <f>IF(AND(L21&lt;&gt;"",K21=""),ROUND((O41)*(Q51),0),0)</f>
        <v>0</v>
      </c>
      <c r="R57" s="2266"/>
      <c r="V57" s="2111" t="s">
        <v>1532</v>
      </c>
      <c r="W57" s="2112"/>
      <c r="X57" s="2112"/>
      <c r="Y57" s="2663"/>
    </row>
    <row r="58" spans="1:37" ht="15.75" thickBot="1">
      <c r="A58" s="82"/>
      <c r="B58" s="253">
        <v>10</v>
      </c>
      <c r="C58" s="4888" t="s">
        <v>1478</v>
      </c>
      <c r="D58" s="141"/>
      <c r="E58" s="141"/>
      <c r="F58" s="141"/>
      <c r="G58" s="141"/>
      <c r="H58" s="141"/>
      <c r="I58" s="141"/>
      <c r="J58" s="141"/>
      <c r="K58" s="141"/>
      <c r="L58" s="141"/>
      <c r="M58" s="4197" t="str">
        <f>IF(M59&lt;=0,"Stop.  You cannot take this credit.","")</f>
        <v>Stop.  You cannot take this credit.</v>
      </c>
      <c r="N58" s="2018"/>
      <c r="O58" s="1153"/>
      <c r="P58" s="142"/>
      <c r="Q58" s="1985"/>
      <c r="R58" s="4880"/>
      <c r="S58" s="1056"/>
      <c r="V58" s="2103" t="s">
        <v>1533</v>
      </c>
      <c r="W58" s="2104"/>
      <c r="X58" s="2104"/>
      <c r="Y58" s="2663"/>
    </row>
    <row r="59" spans="1:37" ht="14.25" customHeight="1" thickBot="1">
      <c r="A59" s="82"/>
      <c r="B59" s="253"/>
      <c r="C59" s="336" t="s">
        <v>1479</v>
      </c>
      <c r="D59" s="141"/>
      <c r="E59" s="141"/>
      <c r="F59" s="141"/>
      <c r="G59" s="141"/>
      <c r="H59" s="141"/>
      <c r="I59" s="141"/>
      <c r="J59" s="141"/>
      <c r="K59" s="1689" t="s">
        <v>312</v>
      </c>
      <c r="L59" s="2020">
        <v>10</v>
      </c>
      <c r="M59" s="3207">
        <f>IF(R59&lt;&gt;"",ROUND(R59,0),IF(OR(S19,AND(L21="",L23="")),"",Y79))</f>
        <v>0</v>
      </c>
      <c r="N59" s="2018"/>
      <c r="O59" s="2098"/>
      <c r="P59" s="2098"/>
      <c r="Q59" s="1985"/>
      <c r="R59" s="2266"/>
      <c r="S59" s="2069"/>
      <c r="V59" s="2106" t="s">
        <v>1534</v>
      </c>
      <c r="W59" s="1408"/>
      <c r="X59" s="1408"/>
      <c r="Y59" s="2663"/>
    </row>
    <row r="60" spans="1:37" ht="12.75" customHeight="1" thickBot="1">
      <c r="A60" s="82"/>
      <c r="B60" s="253">
        <v>11</v>
      </c>
      <c r="C60" s="3990" t="s">
        <v>3786</v>
      </c>
      <c r="D60" s="23"/>
      <c r="E60" s="23"/>
      <c r="F60" s="141"/>
      <c r="G60" s="141"/>
      <c r="H60" s="141"/>
      <c r="I60" s="141"/>
      <c r="J60" s="141"/>
      <c r="K60" s="141"/>
      <c r="L60" s="141"/>
      <c r="M60" s="141"/>
      <c r="N60" s="1995"/>
      <c r="O60" s="3208" t="b">
        <f>(M59&lt;=0)</f>
        <v>1</v>
      </c>
      <c r="P60" s="4336"/>
      <c r="Q60" s="1985"/>
      <c r="R60" s="4880"/>
      <c r="V60" s="2106" t="s">
        <v>1535</v>
      </c>
      <c r="W60" s="1408"/>
      <c r="X60" s="1408"/>
      <c r="Y60" s="2663"/>
    </row>
    <row r="61" spans="1:37" ht="14.25" customHeight="1" thickBot="1">
      <c r="A61" s="82"/>
      <c r="B61" s="4907"/>
      <c r="C61" s="4867" t="s">
        <v>3787</v>
      </c>
      <c r="D61" s="1863"/>
      <c r="E61" s="1863"/>
      <c r="F61" s="164"/>
      <c r="G61" s="164"/>
      <c r="H61" s="164"/>
      <c r="I61" s="164"/>
      <c r="J61" s="164"/>
      <c r="K61" s="164"/>
      <c r="L61" s="164"/>
      <c r="M61" s="1689" t="s">
        <v>681</v>
      </c>
      <c r="N61" s="2036">
        <f>B60</f>
        <v>11</v>
      </c>
      <c r="O61" s="7327">
        <f>IF(R61&lt;&gt;"",ROUND(R61,0),IF(OR(O60,J24&lt;&gt;"",S19),0,MIN(O57,M59)))</f>
        <v>0</v>
      </c>
      <c r="P61" s="7356"/>
      <c r="Q61" s="1985"/>
      <c r="R61" s="2266"/>
      <c r="V61" s="2106" t="s">
        <v>1536</v>
      </c>
      <c r="W61" s="1408"/>
      <c r="X61" s="1408"/>
      <c r="Y61" s="2663"/>
    </row>
    <row r="62" spans="1:37" s="661" customFormat="1" ht="16.5" customHeight="1">
      <c r="A62" s="704"/>
      <c r="B62" s="2350" t="s">
        <v>564</v>
      </c>
      <c r="C62" s="2037"/>
      <c r="D62" s="2037"/>
      <c r="E62" s="2037"/>
      <c r="F62" s="2037"/>
      <c r="G62" s="2037"/>
      <c r="H62" s="2037"/>
      <c r="I62" s="2037"/>
      <c r="J62" s="2037"/>
      <c r="K62" s="2037"/>
      <c r="L62" s="2037"/>
      <c r="M62" s="2038" t="s">
        <v>1464</v>
      </c>
      <c r="N62" s="2037"/>
      <c r="O62" s="4337" t="str">
        <f>"Form 2441  ("&amp;TaxYear&amp;")"</f>
        <v>Form 2441  (2018)</v>
      </c>
      <c r="P62" s="4337"/>
      <c r="Q62" s="1987"/>
      <c r="R62" s="4880"/>
      <c r="V62" s="2108" t="s">
        <v>1537</v>
      </c>
      <c r="W62" s="2109"/>
      <c r="X62" s="2109"/>
      <c r="Y62" s="4203"/>
      <c r="AC62" s="3169"/>
      <c r="AD62" s="3169"/>
      <c r="AE62" s="3169"/>
      <c r="AF62" s="3169"/>
      <c r="AG62" s="3169"/>
      <c r="AH62" s="3169"/>
      <c r="AI62" s="3169"/>
      <c r="AJ62" s="3169"/>
      <c r="AK62" s="3169"/>
    </row>
    <row r="63" spans="1:37" ht="15.75" customHeight="1" thickBot="1">
      <c r="A63" s="82"/>
      <c r="B63" s="165" t="str">
        <f>"Form 2441 ("&amp;TaxYear&amp;")"</f>
        <v>Form 2441 (2018)</v>
      </c>
      <c r="C63" s="164"/>
      <c r="D63" s="164"/>
      <c r="E63" s="164"/>
      <c r="F63" s="164"/>
      <c r="G63" s="164"/>
      <c r="H63" s="164"/>
      <c r="I63" s="164"/>
      <c r="J63" s="164"/>
      <c r="K63" s="164"/>
      <c r="L63" s="164"/>
      <c r="M63" s="164"/>
      <c r="N63" s="164"/>
      <c r="O63" s="2039" t="s">
        <v>1465</v>
      </c>
      <c r="P63" s="2039"/>
      <c r="Q63" s="1985"/>
      <c r="R63" s="4880"/>
      <c r="V63" s="2106" t="s">
        <v>1538</v>
      </c>
      <c r="W63" s="1408"/>
      <c r="X63" s="1408"/>
      <c r="Y63" s="2663"/>
    </row>
    <row r="64" spans="1:37" ht="19.5" customHeight="1">
      <c r="A64" s="82"/>
      <c r="B64" s="4868" t="s">
        <v>363</v>
      </c>
      <c r="C64" s="2040" t="s">
        <v>1466</v>
      </c>
      <c r="D64" s="2040"/>
      <c r="E64" s="2040"/>
      <c r="F64" s="145"/>
      <c r="G64" s="145"/>
      <c r="H64" s="145"/>
      <c r="I64" s="145"/>
      <c r="J64" s="145"/>
      <c r="K64" s="2793"/>
      <c r="L64" s="145"/>
      <c r="M64" s="145"/>
      <c r="N64" s="145"/>
      <c r="O64" s="145"/>
      <c r="P64" s="4342"/>
      <c r="Q64" s="1987"/>
      <c r="R64" s="4880"/>
      <c r="V64" s="2106" t="s">
        <v>1539</v>
      </c>
      <c r="W64" s="1408"/>
      <c r="X64" s="1408"/>
      <c r="Y64" s="2663"/>
    </row>
    <row r="65" spans="1:37" ht="15">
      <c r="A65" s="82"/>
      <c r="B65" s="4869">
        <v>12</v>
      </c>
      <c r="C65" s="336" t="s">
        <v>4559</v>
      </c>
      <c r="D65" s="1115"/>
      <c r="E65" s="1115"/>
      <c r="F65" s="141"/>
      <c r="G65" s="141"/>
      <c r="H65" s="141"/>
      <c r="I65" s="141"/>
      <c r="J65" s="336" t="str">
        <f>"received  for  "&amp;TaxYear&amp;".   Amounts  you "</f>
        <v xml:space="preserve">received  for  2018.   Amounts  you </v>
      </c>
      <c r="K65" s="141"/>
      <c r="L65" s="141"/>
      <c r="M65" s="141"/>
      <c r="N65" s="2041"/>
      <c r="O65" s="2042"/>
      <c r="P65" s="142"/>
      <c r="Q65" s="1985"/>
      <c r="R65" s="4880"/>
      <c r="V65" s="2106" t="s">
        <v>1540</v>
      </c>
      <c r="W65" s="1408"/>
      <c r="X65" s="1408"/>
      <c r="Y65" s="2663"/>
    </row>
    <row r="66" spans="1:37" ht="15">
      <c r="A66" s="82"/>
      <c r="B66" s="4870"/>
      <c r="C66" s="336" t="s">
        <v>4558</v>
      </c>
      <c r="D66" s="1115"/>
      <c r="E66" s="1115"/>
      <c r="F66" s="141"/>
      <c r="G66" s="141"/>
      <c r="H66" s="141"/>
      <c r="I66" s="141"/>
      <c r="J66" s="141"/>
      <c r="K66" s="141"/>
      <c r="L66" s="141"/>
      <c r="M66" s="141"/>
      <c r="N66" s="1995"/>
      <c r="O66" s="1153"/>
      <c r="P66" s="142"/>
      <c r="Q66" s="1985"/>
      <c r="R66" s="4880"/>
      <c r="V66" s="2106" t="s">
        <v>1541</v>
      </c>
      <c r="W66" s="1408"/>
      <c r="X66" s="1408"/>
      <c r="Y66" s="2663"/>
    </row>
    <row r="67" spans="1:37" ht="14.25">
      <c r="A67" s="82"/>
      <c r="B67" s="4870"/>
      <c r="C67" s="336" t="s">
        <v>3788</v>
      </c>
      <c r="D67" s="1115"/>
      <c r="E67" s="1115"/>
      <c r="F67" s="141"/>
      <c r="G67" s="141"/>
      <c r="H67" s="141"/>
      <c r="I67" s="141"/>
      <c r="J67" s="141"/>
      <c r="K67" s="141"/>
      <c r="L67" s="141"/>
      <c r="M67" s="141"/>
      <c r="N67" s="1995"/>
      <c r="O67" s="1153"/>
      <c r="P67" s="142"/>
      <c r="Q67" s="1985"/>
      <c r="R67" s="4880"/>
      <c r="V67" s="2106" t="s">
        <v>1542</v>
      </c>
      <c r="W67" s="1408"/>
      <c r="X67" s="1408"/>
      <c r="Y67" s="2663"/>
    </row>
    <row r="68" spans="1:37" ht="12.75" customHeight="1" thickBot="1">
      <c r="A68" s="82"/>
      <c r="B68" s="4870"/>
      <c r="C68" s="336" t="s">
        <v>3789</v>
      </c>
      <c r="D68" s="1115"/>
      <c r="E68" s="1115"/>
      <c r="F68" s="141"/>
      <c r="G68" s="141"/>
      <c r="H68" s="141"/>
      <c r="I68" s="141"/>
      <c r="J68" s="141"/>
      <c r="K68" s="141"/>
      <c r="L68" s="141"/>
      <c r="M68" s="141"/>
      <c r="N68" s="1995"/>
      <c r="O68" s="1153"/>
      <c r="P68" s="142"/>
      <c r="Q68" s="1985"/>
      <c r="R68" s="860" t="s">
        <v>101</v>
      </c>
      <c r="V68" s="2106" t="s">
        <v>1543</v>
      </c>
      <c r="W68" s="1408"/>
      <c r="X68" s="1408"/>
      <c r="Y68" s="2663"/>
    </row>
    <row r="69" spans="1:37" ht="13.5" customHeight="1" thickBot="1">
      <c r="A69" s="82"/>
      <c r="B69" s="4870"/>
      <c r="C69" s="336" t="s">
        <v>3790</v>
      </c>
      <c r="D69" s="1115"/>
      <c r="E69" s="1115"/>
      <c r="F69" s="141"/>
      <c r="G69" s="141"/>
      <c r="H69" s="141"/>
      <c r="I69" s="141"/>
      <c r="J69" s="141"/>
      <c r="K69" s="141"/>
      <c r="L69" s="141"/>
      <c r="M69" s="161" t="s">
        <v>2680</v>
      </c>
      <c r="N69" s="1170">
        <f>B65</f>
        <v>12</v>
      </c>
      <c r="O69" s="7326">
        <f>IF(R69&lt;&gt;"",ROUND(R69,0),'W-2s'!D71)</f>
        <v>0</v>
      </c>
      <c r="P69" s="7343"/>
      <c r="Q69" s="1985"/>
      <c r="R69" s="2266"/>
      <c r="V69" s="2106" t="s">
        <v>1544</v>
      </c>
      <c r="W69" s="1408"/>
      <c r="X69" s="1408"/>
      <c r="Y69" s="2663"/>
    </row>
    <row r="70" spans="1:37" ht="14.25">
      <c r="A70" s="82"/>
      <c r="B70" s="4869">
        <v>13</v>
      </c>
      <c r="C70" s="336" t="str">
        <f>"Enter the amount, if any, you carried over from "&amp;TaxYear-1&amp;" and used in "&amp;TaxYear&amp;" during the grace"</f>
        <v>Enter the amount, if any, you carried over from 2017 and used in 2018 during the grace</v>
      </c>
      <c r="D70" s="1115"/>
      <c r="E70" s="1115"/>
      <c r="F70" s="141"/>
      <c r="G70" s="141"/>
      <c r="H70" s="141"/>
      <c r="I70" s="141"/>
      <c r="J70" s="141"/>
      <c r="K70" s="141"/>
      <c r="L70" s="141"/>
      <c r="M70" s="161"/>
      <c r="N70" s="4839"/>
      <c r="O70" s="2048"/>
      <c r="P70" s="4338"/>
      <c r="Q70" s="1985"/>
      <c r="R70" s="4880"/>
      <c r="V70" s="2111" t="s">
        <v>1545</v>
      </c>
      <c r="W70" s="2112"/>
      <c r="X70" s="2112"/>
      <c r="Y70" s="2663"/>
    </row>
    <row r="71" spans="1:37" ht="12.75" customHeight="1">
      <c r="A71" s="82"/>
      <c r="B71" s="4869"/>
      <c r="C71" s="336" t="s">
        <v>3791</v>
      </c>
      <c r="D71" s="1115"/>
      <c r="E71" s="1115"/>
      <c r="F71" s="141"/>
      <c r="G71" s="141"/>
      <c r="H71" s="141"/>
      <c r="I71" s="141"/>
      <c r="J71" s="141"/>
      <c r="K71" s="141"/>
      <c r="L71" s="141"/>
      <c r="M71" s="161" t="s">
        <v>763</v>
      </c>
      <c r="N71" s="1172">
        <f>B70</f>
        <v>13</v>
      </c>
      <c r="O71" s="7357"/>
      <c r="P71" s="7358"/>
      <c r="Q71" s="1985"/>
      <c r="R71" s="4881" t="str">
        <f>IF($O$72&gt;0,"Please enter the","")</f>
        <v/>
      </c>
      <c r="S71" s="1701"/>
      <c r="T71" s="1701"/>
      <c r="V71" s="1408"/>
      <c r="W71" s="1408"/>
      <c r="X71" s="1408"/>
      <c r="Y71" s="1408"/>
      <c r="Z71" s="1408"/>
    </row>
    <row r="72" spans="1:37" ht="16.5" customHeight="1">
      <c r="A72" s="82"/>
      <c r="B72" s="4869">
        <v>14</v>
      </c>
      <c r="C72" s="336" t="str">
        <f>"Enter the amount, if any, you forfeited or carried forward to "&amp;TaxYear+1&amp;"."</f>
        <v>Enter the amount, if any, you forfeited or carried forward to 2019.</v>
      </c>
      <c r="D72" s="141"/>
      <c r="E72" s="141"/>
      <c r="F72" s="141"/>
      <c r="G72" s="141"/>
      <c r="H72" s="141"/>
      <c r="I72" s="141"/>
      <c r="J72" s="141"/>
      <c r="K72" s="141"/>
      <c r="L72" s="141"/>
      <c r="M72" s="4887" t="s">
        <v>4574</v>
      </c>
      <c r="N72" s="1172">
        <f>B72</f>
        <v>14</v>
      </c>
      <c r="O72" s="7357"/>
      <c r="P72" s="7358"/>
      <c r="Q72" s="1985"/>
      <c r="R72" s="4885" t="str">
        <f>IF($O$72&gt;0,"amount on line 14","")</f>
        <v/>
      </c>
      <c r="S72" s="1701"/>
      <c r="T72" s="2115"/>
      <c r="U72" s="2868"/>
      <c r="V72" s="2868"/>
      <c r="W72" s="2868"/>
      <c r="X72" s="2868"/>
      <c r="Y72" s="2868"/>
      <c r="Z72" s="2869"/>
    </row>
    <row r="73" spans="1:37" ht="16.5" customHeight="1">
      <c r="A73" s="82"/>
      <c r="B73" s="4869">
        <v>15</v>
      </c>
      <c r="C73" s="336" t="s">
        <v>4560</v>
      </c>
      <c r="D73" s="1115"/>
      <c r="E73" s="1115"/>
      <c r="F73" s="141"/>
      <c r="G73" s="141"/>
      <c r="H73" s="141"/>
      <c r="I73" s="141"/>
      <c r="J73" s="141"/>
      <c r="K73" s="141"/>
      <c r="L73" s="141"/>
      <c r="M73" s="161" t="s">
        <v>422</v>
      </c>
      <c r="N73" s="1172">
        <f>B73</f>
        <v>15</v>
      </c>
      <c r="O73" s="7326" t="str">
        <f>IF(OR(L21&lt;&gt;"",L23=""),"",ROUND(SUM(O69,O71,O72),0))</f>
        <v/>
      </c>
      <c r="P73" s="7343"/>
      <c r="Q73" s="1985"/>
      <c r="R73" s="4886" t="str">
        <f>IF($O$72&gt;0,"as a negative value.","")</f>
        <v/>
      </c>
      <c r="S73" s="1701"/>
      <c r="T73" s="4198"/>
      <c r="U73" s="1766"/>
      <c r="V73" s="1762" t="s">
        <v>3484</v>
      </c>
      <c r="W73" s="1766"/>
      <c r="X73" s="1766"/>
      <c r="Y73" s="1766"/>
      <c r="Z73" s="2871"/>
    </row>
    <row r="74" spans="1:37" ht="15.75" customHeight="1">
      <c r="A74" s="82"/>
      <c r="B74" s="4869">
        <v>16</v>
      </c>
      <c r="C74" s="336" t="s">
        <v>4561</v>
      </c>
      <c r="D74" s="141"/>
      <c r="E74" s="141"/>
      <c r="F74" s="141"/>
      <c r="G74" s="141"/>
      <c r="H74" s="141"/>
      <c r="I74" s="141"/>
      <c r="J74" s="141"/>
      <c r="K74" s="141"/>
      <c r="L74" s="141"/>
      <c r="M74" s="175"/>
      <c r="N74" s="2018"/>
      <c r="O74" s="142"/>
      <c r="P74" s="142"/>
      <c r="Q74" s="1985"/>
      <c r="R74" s="4880"/>
      <c r="S74" s="1701"/>
      <c r="T74" s="4198"/>
      <c r="U74" s="4199" t="s">
        <v>336</v>
      </c>
      <c r="V74" s="2753" t="s">
        <v>3491</v>
      </c>
      <c r="W74" s="3618"/>
      <c r="X74" s="3618"/>
      <c r="Y74" s="4200">
        <f>Tax</f>
        <v>0</v>
      </c>
      <c r="Z74" s="2871"/>
    </row>
    <row r="75" spans="1:37" ht="14.25" customHeight="1" thickBot="1">
      <c r="A75" s="82"/>
      <c r="B75" s="4891"/>
      <c r="C75" s="658" t="str">
        <f>"in   "&amp;TaxYear&amp;"  for  care of the"</f>
        <v>in   2018  for  care of the</v>
      </c>
      <c r="D75" s="2060"/>
      <c r="E75" s="2060"/>
      <c r="F75" s="2060"/>
      <c r="G75" s="638" t="s">
        <v>4562</v>
      </c>
      <c r="H75" s="3990"/>
      <c r="I75" s="2060"/>
      <c r="J75" s="2060"/>
      <c r="K75" s="4337" t="s">
        <v>747</v>
      </c>
      <c r="L75" s="4862">
        <f>B74</f>
        <v>16</v>
      </c>
      <c r="M75" s="4343"/>
      <c r="N75" s="2044"/>
      <c r="O75" s="142"/>
      <c r="P75" s="142"/>
      <c r="Q75" s="1985"/>
      <c r="R75" s="860" t="s">
        <v>101</v>
      </c>
      <c r="S75" s="1701"/>
      <c r="T75" s="4198"/>
      <c r="U75" s="3481" t="s">
        <v>0</v>
      </c>
      <c r="V75" s="2753" t="s">
        <v>3485</v>
      </c>
      <c r="W75" s="3618"/>
      <c r="X75" s="3618"/>
      <c r="Y75" s="1766"/>
      <c r="Z75" s="2871"/>
    </row>
    <row r="76" spans="1:37" ht="16.5" customHeight="1" thickBot="1">
      <c r="A76" s="82"/>
      <c r="B76" s="4869">
        <v>17</v>
      </c>
      <c r="C76" s="4888" t="s">
        <v>4575</v>
      </c>
      <c r="D76" s="1115"/>
      <c r="E76" s="1115"/>
      <c r="F76" s="141"/>
      <c r="G76" s="141"/>
      <c r="H76" s="141"/>
      <c r="I76" s="141"/>
      <c r="J76" s="141"/>
      <c r="K76" s="161" t="s">
        <v>680</v>
      </c>
      <c r="L76" s="4862">
        <f>B76</f>
        <v>17</v>
      </c>
      <c r="M76" s="3207" t="str">
        <f>IF(R76&lt;&gt;"",R76,IF(OR(L21&lt;&gt;"",L23=""),"",MIN(O73,M75)))</f>
        <v/>
      </c>
      <c r="N76" s="2018"/>
      <c r="O76" s="7352" t="s">
        <v>2557</v>
      </c>
      <c r="P76" s="7353"/>
      <c r="Q76" s="1985"/>
      <c r="R76" s="2266"/>
      <c r="S76" s="1701"/>
      <c r="T76" s="4198"/>
      <c r="U76" s="4199"/>
      <c r="V76" s="2753" t="s">
        <v>3490</v>
      </c>
      <c r="W76" s="3618"/>
      <c r="X76" s="161" t="s">
        <v>667</v>
      </c>
      <c r="Y76" s="4200">
        <f>Foreign_Tax_Credit</f>
        <v>0</v>
      </c>
      <c r="Z76" s="2871"/>
    </row>
    <row r="77" spans="1:37" ht="15" customHeight="1" thickBot="1">
      <c r="A77" s="82"/>
      <c r="B77" s="4869">
        <v>18</v>
      </c>
      <c r="C77" s="4888" t="s">
        <v>4576</v>
      </c>
      <c r="D77" s="141"/>
      <c r="E77" s="141"/>
      <c r="F77" s="141"/>
      <c r="G77" s="141"/>
      <c r="H77" s="141"/>
      <c r="I77" s="141"/>
      <c r="J77" s="141"/>
      <c r="K77" s="161" t="s">
        <v>625</v>
      </c>
      <c r="L77" s="4862">
        <f>B77</f>
        <v>18</v>
      </c>
      <c r="M77" s="3207" t="str">
        <f>IF(R77&lt;&gt;"",ROUND(R77,0),IF(OR(L21&lt;&gt;"",L23=""),"",SUM(R42,'W-2s'!I3)))</f>
        <v/>
      </c>
      <c r="N77" s="2018"/>
      <c r="O77" s="7352" t="s">
        <v>2558</v>
      </c>
      <c r="P77" s="7353"/>
      <c r="Q77" s="1985"/>
      <c r="R77" s="2266"/>
      <c r="S77" s="1701"/>
      <c r="T77" s="4198"/>
      <c r="U77" s="3481" t="s">
        <v>1</v>
      </c>
      <c r="V77" s="2753" t="s">
        <v>3486</v>
      </c>
      <c r="W77" s="3618"/>
      <c r="X77" s="3618"/>
      <c r="Y77" s="4202"/>
      <c r="Z77" s="2871"/>
    </row>
    <row r="78" spans="1:37" ht="14.25" customHeight="1">
      <c r="A78" s="82"/>
      <c r="B78" s="4869">
        <v>19</v>
      </c>
      <c r="C78" s="4888" t="s">
        <v>1467</v>
      </c>
      <c r="D78" s="141"/>
      <c r="E78" s="141"/>
      <c r="F78" s="141"/>
      <c r="G78" s="141"/>
      <c r="H78" s="141"/>
      <c r="I78" s="141"/>
      <c r="J78" s="141"/>
      <c r="K78" s="141"/>
      <c r="L78" s="4863"/>
      <c r="M78" s="2045"/>
      <c r="N78" s="2018"/>
      <c r="O78" s="7352" t="s">
        <v>1494</v>
      </c>
      <c r="P78" s="7353"/>
      <c r="Q78" s="1985"/>
      <c r="R78" s="4880"/>
      <c r="S78" s="1701"/>
      <c r="T78" s="4198"/>
      <c r="U78" s="4199"/>
      <c r="V78" s="3618" t="s">
        <v>3488</v>
      </c>
      <c r="W78" s="3618" t="s">
        <v>3489</v>
      </c>
      <c r="X78" s="3618"/>
      <c r="Y78" s="1766"/>
      <c r="Z78" s="2871"/>
    </row>
    <row r="79" spans="1:37" ht="15">
      <c r="A79" s="82"/>
      <c r="B79" s="4869"/>
      <c r="C79" s="4888" t="s">
        <v>1468</v>
      </c>
      <c r="D79" s="141"/>
      <c r="E79" s="141"/>
      <c r="F79" s="141"/>
      <c r="G79" s="141"/>
      <c r="H79" s="141"/>
      <c r="I79" s="141"/>
      <c r="J79" s="141"/>
      <c r="K79" s="141"/>
      <c r="L79" s="4863"/>
      <c r="M79" s="2045"/>
      <c r="N79" s="2018"/>
      <c r="O79" s="7352" t="s">
        <v>1495</v>
      </c>
      <c r="P79" s="7353"/>
      <c r="Q79" s="1985"/>
      <c r="R79" s="4880"/>
      <c r="S79" s="1701"/>
      <c r="T79" s="4198"/>
      <c r="U79" s="4199"/>
      <c r="V79" s="3618" t="s">
        <v>3487</v>
      </c>
      <c r="W79" s="3618"/>
      <c r="X79" s="161" t="s">
        <v>981</v>
      </c>
      <c r="Y79" s="4200">
        <f>SUM(Y74,-Y76)</f>
        <v>0</v>
      </c>
      <c r="Z79" s="2871"/>
    </row>
    <row r="80" spans="1:37" s="661" customFormat="1" ht="16.5">
      <c r="A80" s="704"/>
      <c r="B80" s="4892"/>
      <c r="C80" s="4889" t="s">
        <v>4577</v>
      </c>
      <c r="D80" s="4902"/>
      <c r="E80" s="4893"/>
      <c r="F80" s="4893"/>
      <c r="G80" s="2060"/>
      <c r="H80" s="2060"/>
      <c r="I80" s="2060"/>
      <c r="J80" s="2060"/>
      <c r="K80" s="2060"/>
      <c r="L80" s="4894"/>
      <c r="M80" s="4895"/>
      <c r="N80" s="4896"/>
      <c r="O80" s="7354" t="s">
        <v>1489</v>
      </c>
      <c r="P80" s="7355"/>
      <c r="Q80" s="1987"/>
      <c r="R80" s="4897"/>
      <c r="S80" s="4898"/>
      <c r="T80" s="4899"/>
      <c r="U80" s="4201"/>
      <c r="V80" s="2723"/>
      <c r="W80" s="2723"/>
      <c r="X80" s="2723"/>
      <c r="Y80" s="4900"/>
      <c r="Z80" s="4901"/>
      <c r="AC80" s="3176"/>
      <c r="AD80" s="3176"/>
      <c r="AE80" s="3176"/>
      <c r="AF80" s="3176"/>
      <c r="AG80" s="3176"/>
      <c r="AH80" s="3176"/>
      <c r="AI80" s="3176"/>
      <c r="AJ80" s="3176"/>
      <c r="AK80" s="3176"/>
    </row>
    <row r="81" spans="1:26" ht="12.75" customHeight="1">
      <c r="A81" s="82"/>
      <c r="B81" s="4870"/>
      <c r="C81" s="4888" t="s">
        <v>1469</v>
      </c>
      <c r="D81" s="141"/>
      <c r="E81" s="141"/>
      <c r="F81" s="141"/>
      <c r="G81" s="141"/>
      <c r="H81" s="141"/>
      <c r="I81" s="141"/>
      <c r="J81" s="141"/>
      <c r="K81" s="141"/>
      <c r="L81" s="4863"/>
      <c r="M81" s="2045"/>
      <c r="N81" s="2018"/>
      <c r="O81" s="7352" t="s">
        <v>1490</v>
      </c>
      <c r="P81" s="7353"/>
      <c r="Q81" s="1985"/>
      <c r="R81" s="4880"/>
      <c r="S81" s="1701"/>
      <c r="T81" s="4196"/>
      <c r="U81" s="4195"/>
      <c r="V81" s="4196"/>
      <c r="W81" s="4196"/>
      <c r="X81" s="4196"/>
      <c r="Y81" s="1701"/>
      <c r="Z81" s="1701"/>
    </row>
    <row r="82" spans="1:26" ht="12.75" customHeight="1" thickBot="1">
      <c r="A82" s="82"/>
      <c r="B82" s="4870"/>
      <c r="C82" s="4888" t="s">
        <v>1470</v>
      </c>
      <c r="D82" s="141"/>
      <c r="E82" s="141"/>
      <c r="F82" s="141"/>
      <c r="G82" s="141"/>
      <c r="H82" s="141"/>
      <c r="I82" s="141"/>
      <c r="J82" s="141"/>
      <c r="K82" s="141"/>
      <c r="L82" s="4863"/>
      <c r="M82" s="2081" t="str">
        <f>IF(AND(File_Marr_Sep&lt;&gt;"",U19&lt;&gt;""),ROUND('W-2s'!I33,0),M77)</f>
        <v/>
      </c>
      <c r="N82" s="2018"/>
      <c r="O82" s="7352" t="str">
        <f>"'unmarried' for"</f>
        <v>'unmarried' for</v>
      </c>
      <c r="P82" s="7353"/>
      <c r="Q82" s="1985"/>
      <c r="R82" s="860" t="s">
        <v>101</v>
      </c>
      <c r="S82" s="1701"/>
      <c r="T82" s="4196"/>
      <c r="U82" s="4195"/>
      <c r="V82" s="4196"/>
      <c r="W82" s="4196"/>
      <c r="X82" s="4196"/>
      <c r="Y82" s="1701"/>
      <c r="Z82" s="1701"/>
    </row>
    <row r="83" spans="1:26" ht="12.75" customHeight="1" thickBot="1">
      <c r="A83" s="82"/>
      <c r="B83" s="4870"/>
      <c r="C83" s="4888" t="s">
        <v>1471</v>
      </c>
      <c r="D83" s="141"/>
      <c r="E83" s="141"/>
      <c r="F83" s="141"/>
      <c r="G83" s="141"/>
      <c r="H83" s="141"/>
      <c r="I83" s="141"/>
      <c r="J83" s="23"/>
      <c r="K83" s="161" t="s">
        <v>625</v>
      </c>
      <c r="L83" s="4862">
        <f>B78</f>
        <v>19</v>
      </c>
      <c r="M83" s="3207" t="str">
        <f>IF(R83&lt;&gt;"",ROUND(R83,0),IF(OR(L21&lt;&gt;"",L23=""),"",IF(File_Marr_Joint&lt;&gt;"",SUM(O43,ROUND('W-2s'!I33,0)),IF(AND(File_Marr_Sep&lt;&gt;"",U19&lt;&gt;""),M82,M77))))</f>
        <v/>
      </c>
      <c r="N83" s="2018"/>
      <c r="O83" s="7352" t="s">
        <v>1491</v>
      </c>
      <c r="P83" s="7353"/>
      <c r="Q83" s="1985"/>
      <c r="R83" s="2266"/>
      <c r="S83" s="1701"/>
      <c r="T83" s="4196"/>
      <c r="U83" s="4196"/>
      <c r="V83" s="4196"/>
      <c r="W83" s="4196"/>
      <c r="X83" s="4196"/>
      <c r="Y83" s="1701"/>
      <c r="Z83" s="1701"/>
    </row>
    <row r="84" spans="1:26" ht="16.5">
      <c r="A84" s="82"/>
      <c r="B84" s="4870"/>
      <c r="C84" s="4889" t="s">
        <v>4578</v>
      </c>
      <c r="D84" s="259"/>
      <c r="E84" s="259"/>
      <c r="F84" s="141"/>
      <c r="G84" s="141"/>
      <c r="H84" s="141"/>
      <c r="I84" s="141"/>
      <c r="J84" s="141"/>
      <c r="K84" s="141"/>
      <c r="L84" s="4863"/>
      <c r="M84" s="2045"/>
      <c r="N84" s="2018"/>
      <c r="O84" s="7352" t="s">
        <v>1492</v>
      </c>
      <c r="P84" s="7353"/>
      <c r="Q84" s="1985"/>
      <c r="R84" s="4880"/>
      <c r="S84" s="1701"/>
      <c r="T84" s="4196"/>
      <c r="U84" s="4196"/>
      <c r="V84" s="4196"/>
      <c r="W84" s="4196"/>
      <c r="X84" s="4196"/>
      <c r="Y84" s="1701"/>
      <c r="Z84" s="1701"/>
    </row>
    <row r="85" spans="1:26" ht="12.75" customHeight="1">
      <c r="A85" s="82"/>
      <c r="B85" s="4870"/>
      <c r="C85" s="4888" t="s">
        <v>3792</v>
      </c>
      <c r="D85" s="141"/>
      <c r="E85" s="141"/>
      <c r="F85" s="141"/>
      <c r="G85" s="141"/>
      <c r="H85" s="141"/>
      <c r="I85" s="141"/>
      <c r="J85" s="141"/>
      <c r="K85" s="141"/>
      <c r="L85" s="4863"/>
      <c r="M85" s="2045"/>
      <c r="N85" s="2018"/>
      <c r="O85" s="7352" t="s">
        <v>1493</v>
      </c>
      <c r="P85" s="7353"/>
      <c r="Q85" s="1985"/>
      <c r="R85" s="4880"/>
      <c r="T85" s="2792"/>
      <c r="U85" s="4196"/>
      <c r="V85" s="4196"/>
      <c r="W85" s="4196"/>
      <c r="X85" s="4196"/>
      <c r="Y85" s="1701"/>
      <c r="Z85" s="1701"/>
    </row>
    <row r="86" spans="1:26" ht="16.5">
      <c r="A86" s="82"/>
      <c r="B86" s="4870"/>
      <c r="C86" s="4889" t="s">
        <v>4579</v>
      </c>
      <c r="D86" s="259"/>
      <c r="E86" s="259"/>
      <c r="F86" s="23"/>
      <c r="G86" s="141"/>
      <c r="H86" s="141"/>
      <c r="I86" s="141"/>
      <c r="J86" s="141"/>
      <c r="K86" s="141"/>
      <c r="L86" s="4863"/>
      <c r="M86" s="2047"/>
      <c r="N86" s="2018"/>
      <c r="O86" s="2046"/>
      <c r="P86" s="2046"/>
      <c r="Q86" s="1985"/>
      <c r="R86" s="4880"/>
      <c r="T86" s="2792"/>
      <c r="U86" s="2792"/>
      <c r="V86" s="2792"/>
      <c r="W86" s="2792"/>
      <c r="X86" s="2792"/>
    </row>
    <row r="87" spans="1:26" ht="16.5" customHeight="1">
      <c r="A87" s="82"/>
      <c r="B87" s="4869">
        <v>20</v>
      </c>
      <c r="C87" s="4888" t="s">
        <v>4580</v>
      </c>
      <c r="D87" s="1115"/>
      <c r="E87" s="1115"/>
      <c r="F87" s="141"/>
      <c r="G87" s="141"/>
      <c r="H87" s="141"/>
      <c r="I87" s="141"/>
      <c r="J87" s="141"/>
      <c r="K87" s="161" t="s">
        <v>667</v>
      </c>
      <c r="L87" s="4862">
        <f>B87</f>
        <v>20</v>
      </c>
      <c r="M87" s="3207" t="str">
        <f>IF(OR(L21&lt;&gt;"",L23=""),"",MIN(M76,M77,M83))</f>
        <v/>
      </c>
      <c r="N87" s="2018"/>
      <c r="O87" s="2046"/>
      <c r="P87" s="2046"/>
      <c r="Q87" s="1985"/>
      <c r="R87" s="4880"/>
      <c r="T87" s="2792"/>
      <c r="U87" s="2792"/>
      <c r="V87" s="2792"/>
      <c r="W87" s="2792"/>
      <c r="X87" s="2792"/>
    </row>
    <row r="88" spans="1:26" ht="15.75" customHeight="1" thickBot="1">
      <c r="A88" s="82"/>
      <c r="B88" s="4869">
        <v>21</v>
      </c>
      <c r="C88" s="4888" t="s">
        <v>1481</v>
      </c>
      <c r="D88" s="1115"/>
      <c r="E88" s="1115"/>
      <c r="F88" s="141"/>
      <c r="G88" s="141"/>
      <c r="H88" s="141"/>
      <c r="I88" s="141"/>
      <c r="J88" s="141"/>
      <c r="K88" s="141"/>
      <c r="L88" s="4863"/>
      <c r="M88" s="161"/>
      <c r="N88" s="2018"/>
      <c r="O88" s="2082">
        <v>5000</v>
      </c>
      <c r="P88" s="4339"/>
      <c r="Q88" s="1985"/>
      <c r="R88" s="860" t="s">
        <v>101</v>
      </c>
      <c r="T88" s="2792"/>
      <c r="U88" s="2792"/>
      <c r="V88" s="2792"/>
      <c r="W88" s="2792"/>
      <c r="X88" s="2792"/>
    </row>
    <row r="89" spans="1:26" ht="15" thickBot="1">
      <c r="A89" s="82"/>
      <c r="B89" s="4869"/>
      <c r="C89" s="336" t="s">
        <v>1482</v>
      </c>
      <c r="D89" s="1115"/>
      <c r="E89" s="1115"/>
      <c r="F89" s="141"/>
      <c r="G89" s="141"/>
      <c r="H89" s="141"/>
      <c r="I89" s="141"/>
      <c r="J89" s="141"/>
      <c r="K89" s="161"/>
      <c r="L89" s="4862">
        <f>B88</f>
        <v>21</v>
      </c>
      <c r="M89" s="3207" t="str">
        <f>IF(OR(L21&lt;&gt;"",L23=""),"",IF(AND(File_Marr_Sep&lt;&gt;"",U19&lt;&gt;""),O89,O88))</f>
        <v/>
      </c>
      <c r="N89" s="2018"/>
      <c r="O89" s="2082">
        <v>2500</v>
      </c>
      <c r="P89" s="4339"/>
      <c r="Q89" s="1985"/>
      <c r="R89" s="2266"/>
      <c r="T89" s="2792"/>
      <c r="U89" s="2792"/>
      <c r="V89" s="2792"/>
      <c r="W89" s="2792"/>
      <c r="X89" s="2792"/>
    </row>
    <row r="90" spans="1:26" ht="15.75" thickBot="1">
      <c r="A90" s="82"/>
      <c r="B90" s="4869">
        <v>22</v>
      </c>
      <c r="C90" s="4888" t="s">
        <v>1484</v>
      </c>
      <c r="D90" s="1115"/>
      <c r="E90" s="1115"/>
      <c r="F90" s="141"/>
      <c r="G90" s="141"/>
      <c r="H90" s="141"/>
      <c r="I90" s="141"/>
      <c r="J90" s="141"/>
      <c r="K90" s="141"/>
      <c r="L90" s="141"/>
      <c r="M90" s="141"/>
      <c r="N90" s="2018"/>
      <c r="O90" s="142"/>
      <c r="P90" s="142"/>
      <c r="Q90" s="1985"/>
      <c r="R90" s="4881" t="str">
        <f>IF(AND($C$92&lt;&gt;"",File_Marr_Joint&lt;&gt;""),"Enter amount from","")</f>
        <v/>
      </c>
      <c r="T90" s="2792"/>
      <c r="U90" s="2792"/>
      <c r="V90" s="2792"/>
      <c r="W90" s="2792"/>
      <c r="X90" s="2792"/>
    </row>
    <row r="91" spans="1:26" ht="16.5" thickBot="1">
      <c r="A91" s="82"/>
      <c r="B91" s="4869"/>
      <c r="C91" s="4903" t="str">
        <f>IF(C92="","X","")</f>
        <v>X</v>
      </c>
      <c r="D91" s="4890" t="s">
        <v>4581</v>
      </c>
      <c r="E91" s="1115"/>
      <c r="F91" s="2083"/>
      <c r="G91" s="2083"/>
      <c r="H91" s="141"/>
      <c r="I91" s="141"/>
      <c r="J91" s="141"/>
      <c r="K91" s="141"/>
      <c r="L91" s="141"/>
      <c r="M91" s="161"/>
      <c r="N91" s="2018"/>
      <c r="O91" s="2084"/>
      <c r="P91" s="4340"/>
      <c r="Q91" s="1985"/>
      <c r="R91" s="4881" t="str">
        <f>IF(AND($C$92&lt;&gt;"",File_Marr_Joint&lt;&gt;""),"sole proprietorship.","")</f>
        <v/>
      </c>
      <c r="T91" s="2792"/>
      <c r="U91" s="2792"/>
      <c r="V91" s="2792"/>
      <c r="W91" s="2792"/>
      <c r="X91" s="2792"/>
    </row>
    <row r="92" spans="1:26" ht="16.5" thickBot="1">
      <c r="A92" s="82"/>
      <c r="B92" s="4870"/>
      <c r="C92" s="1500"/>
      <c r="D92" s="4890" t="s">
        <v>4582</v>
      </c>
      <c r="E92" s="1115"/>
      <c r="F92" s="141"/>
      <c r="G92" s="141"/>
      <c r="H92" s="141"/>
      <c r="I92" s="141"/>
      <c r="J92" s="141"/>
      <c r="K92" s="141"/>
      <c r="L92" s="141"/>
      <c r="M92" s="4337" t="s">
        <v>104</v>
      </c>
      <c r="N92" s="1172">
        <f>B90</f>
        <v>22</v>
      </c>
      <c r="O92" s="7326" t="str">
        <f>IF(OR(L21&lt;&gt;"",L23=""),"",IF(C91&lt;&gt;"",0,ROUND(R92,0)))</f>
        <v/>
      </c>
      <c r="P92" s="6137"/>
      <c r="Q92" s="1985"/>
      <c r="R92" s="4882"/>
      <c r="T92" s="2792"/>
      <c r="U92" s="2792"/>
      <c r="V92" s="2792"/>
      <c r="W92" s="2792"/>
      <c r="X92" s="2792"/>
    </row>
    <row r="93" spans="1:26" ht="15" customHeight="1">
      <c r="A93" s="82"/>
      <c r="B93" s="4869">
        <v>23</v>
      </c>
      <c r="C93" s="4888" t="s">
        <v>1483</v>
      </c>
      <c r="D93" s="1115"/>
      <c r="E93" s="1115"/>
      <c r="F93" s="141"/>
      <c r="G93" s="141"/>
      <c r="H93" s="141"/>
      <c r="I93" s="141"/>
      <c r="J93" s="141"/>
      <c r="K93" s="161" t="s">
        <v>677</v>
      </c>
      <c r="L93" s="4862">
        <f>B93</f>
        <v>23</v>
      </c>
      <c r="M93" s="3207" t="str">
        <f>IF(OR(L21&lt;&gt;"",L23=""),"",SUM(O73,-O92))</f>
        <v/>
      </c>
      <c r="N93" s="2018"/>
      <c r="O93" s="142"/>
      <c r="P93" s="142"/>
      <c r="Q93" s="1985"/>
      <c r="R93" s="4880"/>
      <c r="T93" s="2792"/>
      <c r="U93" s="2792"/>
      <c r="V93" s="2792"/>
      <c r="W93" s="2792"/>
      <c r="X93" s="2792"/>
    </row>
    <row r="94" spans="1:26" ht="16.5" customHeight="1">
      <c r="A94" s="82"/>
      <c r="B94" s="4869">
        <v>24</v>
      </c>
      <c r="C94" s="344" t="s">
        <v>4563</v>
      </c>
      <c r="D94" s="23"/>
      <c r="E94" s="23"/>
      <c r="F94" s="141"/>
      <c r="G94" s="141"/>
      <c r="H94" s="141"/>
      <c r="I94" s="141"/>
      <c r="J94" s="141"/>
      <c r="K94" s="141"/>
      <c r="L94" s="141"/>
      <c r="M94" s="161"/>
      <c r="N94" s="2018"/>
      <c r="O94" s="2049"/>
      <c r="P94" s="4341"/>
      <c r="Q94" s="1985"/>
      <c r="R94" s="4880"/>
      <c r="T94" s="2792"/>
      <c r="U94" s="2792"/>
      <c r="V94" s="2792"/>
      <c r="W94" s="2792"/>
      <c r="X94" s="2792"/>
    </row>
    <row r="95" spans="1:26" ht="13.5" customHeight="1">
      <c r="A95" s="82"/>
      <c r="B95" s="4870"/>
      <c r="C95" s="4888" t="s">
        <v>4564</v>
      </c>
      <c r="D95" s="1115"/>
      <c r="E95" s="1115"/>
      <c r="F95" s="141"/>
      <c r="G95" s="141"/>
      <c r="H95" s="141"/>
      <c r="I95" s="141"/>
      <c r="J95" s="141"/>
      <c r="K95" s="141"/>
      <c r="L95" s="141"/>
      <c r="M95" s="161" t="s">
        <v>680</v>
      </c>
      <c r="N95" s="1172">
        <f>B94</f>
        <v>24</v>
      </c>
      <c r="O95" s="7326" t="str">
        <f>IF(OR(L21&lt;&gt;"",L23=""),"",MIN(M87,M89,O92))</f>
        <v/>
      </c>
      <c r="P95" s="6137"/>
      <c r="Q95" s="1985"/>
      <c r="R95" s="4880"/>
      <c r="T95" s="2792"/>
      <c r="U95" s="2792"/>
      <c r="V95" s="2792"/>
      <c r="W95" s="2792"/>
      <c r="X95" s="2792"/>
    </row>
    <row r="96" spans="1:26" ht="13.5" customHeight="1" thickBot="1">
      <c r="A96" s="82"/>
      <c r="B96" s="4869">
        <v>25</v>
      </c>
      <c r="C96" s="658" t="s">
        <v>4565</v>
      </c>
      <c r="D96" s="141"/>
      <c r="E96" s="141"/>
      <c r="F96" s="141"/>
      <c r="G96" s="141"/>
      <c r="H96" s="141"/>
      <c r="I96" s="141"/>
      <c r="J96" s="141"/>
      <c r="K96" s="161"/>
      <c r="L96" s="141"/>
      <c r="M96" s="141"/>
      <c r="N96" s="4884"/>
      <c r="O96" s="142"/>
      <c r="P96" s="142"/>
      <c r="Q96" s="1985"/>
      <c r="R96" s="860" t="s">
        <v>101</v>
      </c>
      <c r="U96" s="2792"/>
      <c r="V96" s="2792"/>
      <c r="W96" s="2792"/>
      <c r="X96" s="2792"/>
    </row>
    <row r="97" spans="1:25" ht="15" thickBot="1">
      <c r="A97" s="82"/>
      <c r="B97" s="4869"/>
      <c r="C97" s="658" t="s">
        <v>3793</v>
      </c>
      <c r="D97" s="23"/>
      <c r="E97" s="23"/>
      <c r="F97" s="141"/>
      <c r="G97" s="141"/>
      <c r="H97" s="141"/>
      <c r="I97" s="141"/>
      <c r="J97" s="141"/>
      <c r="K97" s="141"/>
      <c r="L97" s="141"/>
      <c r="M97" s="141"/>
      <c r="N97" s="1172">
        <f>B96</f>
        <v>25</v>
      </c>
      <c r="O97" s="7326" t="str">
        <f>IF(R97&lt;&gt;"",R97,IF(OR(L21&lt;&gt;"",L23=""),"",IF(AND(C91="",C92=""),"",IF(C91&lt;&gt;"",MIN(M87,M89),IF(SUM(MIN(M87,M89),-O95)&lt;0,0,SUM(MIN(M87,M89),-O95))))))</f>
        <v/>
      </c>
      <c r="P97" s="7343"/>
      <c r="Q97" s="1985"/>
      <c r="R97" s="2266"/>
    </row>
    <row r="98" spans="1:25" ht="13.5" customHeight="1">
      <c r="A98" s="82"/>
      <c r="B98" s="4869">
        <v>26</v>
      </c>
      <c r="C98" s="4872" t="s">
        <v>4566</v>
      </c>
      <c r="D98" s="168"/>
      <c r="E98" s="168"/>
      <c r="F98" s="141"/>
      <c r="G98" s="141"/>
      <c r="H98" s="141"/>
      <c r="I98" s="141"/>
      <c r="J98" s="141"/>
      <c r="K98" s="141"/>
      <c r="L98" s="141"/>
      <c r="M98" s="141"/>
      <c r="N98" s="2018"/>
      <c r="O98" s="2046"/>
      <c r="P98" s="2046"/>
      <c r="Q98" s="1985"/>
      <c r="R98" s="4880"/>
    </row>
    <row r="99" spans="1:25" ht="13.5" customHeight="1" thickBot="1">
      <c r="A99" s="82"/>
      <c r="B99" s="2015"/>
      <c r="C99" s="336" t="s">
        <v>3794</v>
      </c>
      <c r="D99" s="168"/>
      <c r="E99" s="168"/>
      <c r="F99" s="141"/>
      <c r="G99" s="141"/>
      <c r="H99" s="141"/>
      <c r="I99" s="141"/>
      <c r="J99" s="141"/>
      <c r="K99" s="141"/>
      <c r="L99" s="141"/>
      <c r="M99" s="141"/>
      <c r="N99" s="2018"/>
      <c r="O99" s="2046"/>
      <c r="P99" s="2046"/>
      <c r="Q99" s="1985"/>
      <c r="R99" s="860" t="s">
        <v>101</v>
      </c>
    </row>
    <row r="100" spans="1:25" ht="15" thickBot="1">
      <c r="A100" s="82"/>
      <c r="B100" s="2050"/>
      <c r="C100" s="337" t="s">
        <v>3795</v>
      </c>
      <c r="D100" s="2010"/>
      <c r="E100" s="2010"/>
      <c r="F100" s="17"/>
      <c r="G100" s="17"/>
      <c r="H100" s="17"/>
      <c r="I100" s="17"/>
      <c r="J100" s="17"/>
      <c r="K100" s="17"/>
      <c r="L100" s="17"/>
      <c r="M100" s="2051" t="s">
        <v>776</v>
      </c>
      <c r="N100" s="4862">
        <f>B98</f>
        <v>26</v>
      </c>
      <c r="O100" s="7326" t="str">
        <f>IF(R100&lt;&gt;"",ROUND(R100,0),IF(OR(AND(File_Marr_Sep&lt;&gt;"",$U$19&lt;&gt;""),AND(C91="",C92="")),"",IF(OR(L21&lt;&gt;"",L23=""),"",IF(SUM(M93,-O97)&lt;0,0,SUM(M93,-O97)))))</f>
        <v/>
      </c>
      <c r="P100" s="6137"/>
      <c r="Q100" s="1985"/>
      <c r="R100" s="2266"/>
    </row>
    <row r="101" spans="1:25">
      <c r="A101" s="82"/>
      <c r="B101" s="141"/>
      <c r="C101" s="141"/>
      <c r="D101" s="141"/>
      <c r="E101" s="141"/>
      <c r="F101" s="141"/>
      <c r="G101" s="141"/>
      <c r="H101" s="141"/>
      <c r="I101" s="141"/>
      <c r="J101" s="141"/>
      <c r="K101" s="141"/>
      <c r="L101" s="141"/>
      <c r="M101" s="141"/>
      <c r="N101" s="141"/>
      <c r="O101" s="142"/>
      <c r="P101" s="142"/>
      <c r="Q101" s="1985"/>
      <c r="R101" s="4880"/>
    </row>
    <row r="102" spans="1:25" ht="14.25">
      <c r="A102" s="82"/>
      <c r="B102" s="141" t="s">
        <v>442</v>
      </c>
      <c r="C102" s="141"/>
      <c r="D102" s="141"/>
      <c r="E102" s="141"/>
      <c r="F102" s="141"/>
      <c r="G102" s="141"/>
      <c r="H102" s="141"/>
      <c r="I102" s="336" t="s">
        <v>1472</v>
      </c>
      <c r="J102" s="141"/>
      <c r="K102" s="141"/>
      <c r="L102" s="141"/>
      <c r="M102" s="141"/>
      <c r="N102" s="141"/>
      <c r="O102" s="142"/>
      <c r="P102" s="142"/>
      <c r="Q102" s="1985"/>
      <c r="R102" s="4880"/>
    </row>
    <row r="103" spans="1:25" ht="14.25">
      <c r="A103" s="82"/>
      <c r="B103" s="1115"/>
      <c r="C103" s="141"/>
      <c r="D103" s="141"/>
      <c r="E103" s="141"/>
      <c r="F103" s="141"/>
      <c r="G103" s="141"/>
      <c r="H103" s="141"/>
      <c r="I103" s="336" t="s">
        <v>3796</v>
      </c>
      <c r="J103" s="141"/>
      <c r="K103" s="141"/>
      <c r="L103" s="141"/>
      <c r="M103" s="141"/>
      <c r="N103" s="141"/>
      <c r="O103" s="142"/>
      <c r="P103" s="142"/>
      <c r="Q103" s="1985"/>
      <c r="R103" s="4880"/>
    </row>
    <row r="104" spans="1:25" ht="13.5" thickBot="1">
      <c r="A104" s="82"/>
      <c r="B104" s="17"/>
      <c r="C104" s="17"/>
      <c r="D104" s="17"/>
      <c r="E104" s="17"/>
      <c r="F104" s="17"/>
      <c r="G104" s="17"/>
      <c r="H104" s="17"/>
      <c r="I104" s="17"/>
      <c r="J104" s="17"/>
      <c r="K104" s="17"/>
      <c r="L104" s="17"/>
      <c r="M104" s="17"/>
      <c r="N104" s="17"/>
      <c r="O104" s="142"/>
      <c r="P104" s="142"/>
      <c r="Q104" s="1985"/>
      <c r="R104" s="860" t="s">
        <v>101</v>
      </c>
    </row>
    <row r="105" spans="1:25" ht="16.5" customHeight="1" thickBot="1">
      <c r="A105" s="82"/>
      <c r="B105" s="4904">
        <v>27</v>
      </c>
      <c r="C105" s="336" t="str">
        <f>"Enter "&amp;TEXT(S35,"$0,000")&amp;" ("&amp;TEXT(S36,"$0,000")&amp;" if two or more qualifying persons)"</f>
        <v>Enter $3,000 ($6,000 if two or more qualifying persons)</v>
      </c>
      <c r="D105" s="141"/>
      <c r="E105" s="141"/>
      <c r="F105" s="141"/>
      <c r="G105" s="141"/>
      <c r="H105" s="141"/>
      <c r="I105" s="141"/>
      <c r="J105" s="141"/>
      <c r="K105" s="141"/>
      <c r="L105" s="141"/>
      <c r="M105" s="161" t="s">
        <v>312</v>
      </c>
      <c r="N105" s="2043">
        <f>B105</f>
        <v>27</v>
      </c>
      <c r="O105" s="7344" t="str">
        <f>IF(R105&lt;&gt;"",R105,IF(OR(L21&lt;&gt;"",L23=""),"",IF(Q36&gt;1,S36,S35)))</f>
        <v/>
      </c>
      <c r="P105" s="7345"/>
      <c r="Q105" s="1985"/>
      <c r="R105" s="2266"/>
    </row>
    <row r="106" spans="1:25" ht="16.5" customHeight="1">
      <c r="A106" s="82"/>
      <c r="B106" s="4904">
        <v>28</v>
      </c>
      <c r="C106" s="336" t="s">
        <v>4567</v>
      </c>
      <c r="D106" s="141"/>
      <c r="E106" s="141"/>
      <c r="F106" s="141"/>
      <c r="G106" s="141"/>
      <c r="H106" s="141"/>
      <c r="I106" s="141"/>
      <c r="J106" s="141"/>
      <c r="K106" s="141"/>
      <c r="L106" s="141"/>
      <c r="M106" s="161" t="s">
        <v>1953</v>
      </c>
      <c r="N106" s="2043">
        <f>B106</f>
        <v>28</v>
      </c>
      <c r="O106" s="7344" t="str">
        <f>IF(OR(L21&lt;&gt;"",L23=""),"",SUM(O95,O97))</f>
        <v/>
      </c>
      <c r="P106" s="7345"/>
      <c r="Q106" s="1985"/>
      <c r="R106" s="4880"/>
      <c r="U106" s="7437" t="s">
        <v>1496</v>
      </c>
      <c r="V106" s="6851"/>
      <c r="W106" s="6851"/>
      <c r="X106" s="6851"/>
      <c r="Y106" s="7438"/>
    </row>
    <row r="107" spans="1:25" ht="15.75" customHeight="1" thickBot="1">
      <c r="A107" s="82"/>
      <c r="B107" s="4904">
        <v>29</v>
      </c>
      <c r="C107" s="4873" t="s">
        <v>4568</v>
      </c>
      <c r="D107" s="141"/>
      <c r="E107" s="141"/>
      <c r="F107" s="141"/>
      <c r="G107" s="141"/>
      <c r="H107" s="658" t="s">
        <v>4573</v>
      </c>
      <c r="I107" s="658"/>
      <c r="J107" s="141"/>
      <c r="K107" s="141"/>
      <c r="L107" s="141"/>
      <c r="M107" s="141"/>
      <c r="N107" s="4883"/>
      <c r="O107" s="2046"/>
      <c r="P107" s="2046"/>
      <c r="Q107" s="1985"/>
      <c r="R107" s="4880"/>
      <c r="U107" s="7439"/>
      <c r="V107" s="7149"/>
      <c r="W107" s="7149"/>
      <c r="X107" s="7149"/>
      <c r="Y107" s="7440"/>
    </row>
    <row r="108" spans="1:25" ht="15.75" thickBot="1">
      <c r="A108" s="82"/>
      <c r="B108" s="4337"/>
      <c r="C108" s="638" t="s">
        <v>4569</v>
      </c>
      <c r="D108" s="4874"/>
      <c r="E108" s="658" t="str">
        <f>" If you paid "&amp;TaxYear-1&amp;" expenses in "&amp;TaxYear&amp;", see the instruction for line 9."</f>
        <v xml:space="preserve"> If you paid 2017 expenses in 2018, see the instruction for line 9.</v>
      </c>
      <c r="F108" s="2060"/>
      <c r="G108" s="2060"/>
      <c r="H108" s="2060"/>
      <c r="I108" s="2060"/>
      <c r="J108" s="2060"/>
      <c r="K108" s="2060"/>
      <c r="L108" s="141"/>
      <c r="M108" s="161"/>
      <c r="N108" s="2043">
        <f>B107</f>
        <v>29</v>
      </c>
      <c r="O108" s="7326" t="str">
        <f>IF(R108&lt;&gt;"",ROUND(R108,0),IF(OR(L21&lt;&gt;"",L23=""),"",IF(SUM(O105,-O106)&gt;=0,SUM(O105,-O106),"STOP")))</f>
        <v/>
      </c>
      <c r="P108" s="6137"/>
      <c r="Q108" s="1985"/>
      <c r="R108" s="2266"/>
      <c r="U108" s="7439"/>
      <c r="V108" s="7149"/>
      <c r="W108" s="7149"/>
      <c r="X108" s="7149"/>
      <c r="Y108" s="7440"/>
    </row>
    <row r="109" spans="1:25" ht="15.75" thickBot="1">
      <c r="A109" s="82"/>
      <c r="B109" s="4904">
        <v>30</v>
      </c>
      <c r="C109" s="658" t="s">
        <v>4570</v>
      </c>
      <c r="D109" s="171"/>
      <c r="E109" s="171"/>
      <c r="F109" s="141"/>
      <c r="G109" s="141"/>
      <c r="H109" s="141"/>
      <c r="I109" s="141"/>
      <c r="J109" s="141"/>
      <c r="K109" s="141"/>
      <c r="L109" s="141"/>
      <c r="M109" s="141"/>
      <c r="N109" s="4883"/>
      <c r="O109" s="2046"/>
      <c r="P109" s="2046"/>
      <c r="Q109" s="1985"/>
      <c r="R109" s="4880"/>
      <c r="U109" s="7439"/>
      <c r="V109" s="7149"/>
      <c r="W109" s="7149"/>
      <c r="X109" s="7149"/>
      <c r="Y109" s="7440"/>
    </row>
    <row r="110" spans="1:25" ht="15" thickBot="1">
      <c r="A110" s="82"/>
      <c r="B110" s="4904"/>
      <c r="C110" s="336" t="s">
        <v>4571</v>
      </c>
      <c r="D110" s="171"/>
      <c r="E110" s="171"/>
      <c r="F110" s="141"/>
      <c r="G110" s="141"/>
      <c r="H110" s="141"/>
      <c r="I110" s="141"/>
      <c r="J110" s="141"/>
      <c r="K110" s="141"/>
      <c r="L110" s="141"/>
      <c r="M110" s="161"/>
      <c r="N110" s="2043">
        <f>B109</f>
        <v>30</v>
      </c>
      <c r="O110" s="7326" t="str">
        <f>IF(R110&lt;&gt;"",R110,IF(OR(L21&lt;&gt;"",L23=""),"",O35))</f>
        <v/>
      </c>
      <c r="P110" s="6137"/>
      <c r="Q110" s="1985"/>
      <c r="R110" s="2266"/>
      <c r="U110" s="7441"/>
      <c r="V110" s="7151"/>
      <c r="W110" s="7151"/>
      <c r="X110" s="7151"/>
      <c r="Y110" s="7442"/>
    </row>
    <row r="111" spans="1:25" ht="15.75" thickBot="1">
      <c r="A111" s="82"/>
      <c r="B111" s="4904">
        <v>31</v>
      </c>
      <c r="C111" s="336" t="s">
        <v>4572</v>
      </c>
      <c r="D111" s="141"/>
      <c r="E111" s="141"/>
      <c r="F111" s="141"/>
      <c r="G111" s="141"/>
      <c r="H111" s="141"/>
      <c r="I111" s="141"/>
      <c r="J111" s="141"/>
      <c r="K111" s="141"/>
      <c r="L111" s="141"/>
      <c r="M111" s="141"/>
      <c r="N111" s="4883"/>
      <c r="O111" s="2046"/>
      <c r="P111" s="2046"/>
      <c r="Q111" s="1985"/>
      <c r="R111" s="4880"/>
    </row>
    <row r="112" spans="1:25" ht="15" thickBot="1">
      <c r="A112" s="82"/>
      <c r="B112" s="4905"/>
      <c r="C112" s="4875" t="str">
        <f>"form and complete lines "&amp;B38&amp;" through "&amp;B60</f>
        <v>form and complete lines 4 through 11</v>
      </c>
      <c r="D112" s="164"/>
      <c r="E112" s="164"/>
      <c r="F112" s="164"/>
      <c r="G112" s="164"/>
      <c r="H112" s="164"/>
      <c r="I112" s="164"/>
      <c r="J112" s="164"/>
      <c r="K112" s="164"/>
      <c r="L112" s="164"/>
      <c r="M112" s="2052" t="s">
        <v>1485</v>
      </c>
      <c r="N112" s="2053">
        <f>B111</f>
        <v>31</v>
      </c>
      <c r="O112" s="7327" t="str">
        <f>IF(R112&lt;&gt;"",R112,IF(OR(L21&lt;&gt;"",L23="",U19&lt;&gt;""),"",IF(O108="STOP",0,MIN(O108,O110))))</f>
        <v/>
      </c>
      <c r="P112" s="7328"/>
      <c r="Q112" s="1985"/>
      <c r="R112" s="2266"/>
    </row>
    <row r="113" spans="1:18" ht="17.25" customHeight="1">
      <c r="A113" s="82"/>
      <c r="B113" s="2054"/>
      <c r="C113" s="251"/>
      <c r="D113" s="251"/>
      <c r="E113" s="251"/>
      <c r="F113" s="251"/>
      <c r="G113" s="251"/>
      <c r="H113" s="251"/>
      <c r="I113" s="251"/>
      <c r="J113" s="251"/>
      <c r="K113" s="251"/>
      <c r="L113" s="251"/>
      <c r="M113" s="335"/>
      <c r="N113" s="251"/>
      <c r="O113" s="161" t="str">
        <f>"Form 2441  ("&amp;TaxYear&amp;")"</f>
        <v>Form 2441  (2018)</v>
      </c>
      <c r="P113" s="161"/>
      <c r="Q113" s="1985"/>
      <c r="R113" s="4880"/>
    </row>
    <row r="114" spans="1:18" ht="36" customHeight="1" thickBot="1">
      <c r="A114" s="82"/>
      <c r="B114" s="1988"/>
      <c r="C114" s="141"/>
      <c r="D114" s="141"/>
      <c r="E114" s="141"/>
      <c r="F114" s="141"/>
      <c r="G114" s="141"/>
      <c r="H114" s="141"/>
      <c r="I114" s="1988"/>
      <c r="J114" s="1988"/>
      <c r="K114" s="141"/>
      <c r="L114" s="1989"/>
      <c r="M114" s="141"/>
      <c r="N114" s="141"/>
      <c r="O114" s="1990"/>
      <c r="P114" s="1990"/>
      <c r="Q114" s="1985"/>
    </row>
    <row r="115" spans="1:18" ht="17.25" customHeight="1">
      <c r="A115" s="82"/>
      <c r="B115" s="2055"/>
      <c r="C115" s="7402">
        <v>2441</v>
      </c>
      <c r="D115" s="7403"/>
      <c r="E115" s="7403"/>
      <c r="F115" s="252"/>
      <c r="G115" s="7416" t="s">
        <v>1473</v>
      </c>
      <c r="H115" s="7417"/>
      <c r="I115" s="7418"/>
      <c r="J115" s="7418"/>
      <c r="K115" s="7418"/>
      <c r="L115" s="7418"/>
      <c r="M115" s="7418"/>
      <c r="N115" s="7419"/>
      <c r="O115" s="7329">
        <f>TaxYear</f>
        <v>2018</v>
      </c>
      <c r="P115" s="7330"/>
      <c r="Q115" s="1985"/>
    </row>
    <row r="116" spans="1:18" ht="21" customHeight="1" thickBot="1">
      <c r="A116" s="82"/>
      <c r="B116" s="2056" t="s">
        <v>331</v>
      </c>
      <c r="C116" s="7404"/>
      <c r="D116" s="7404"/>
      <c r="E116" s="7404"/>
      <c r="F116" s="2057"/>
      <c r="G116" s="7420" t="s">
        <v>1431</v>
      </c>
      <c r="H116" s="7421"/>
      <c r="I116" s="5730"/>
      <c r="J116" s="5730"/>
      <c r="K116" s="5730"/>
      <c r="L116" s="5730"/>
      <c r="M116" s="5730"/>
      <c r="N116" s="6652"/>
      <c r="O116" s="7331"/>
      <c r="P116" s="7332"/>
      <c r="Q116" s="1987"/>
      <c r="R116" s="661"/>
    </row>
    <row r="117" spans="1:18" ht="6" customHeight="1">
      <c r="A117" s="82"/>
      <c r="B117" s="2058"/>
      <c r="C117" s="2059"/>
      <c r="D117" s="2059"/>
      <c r="E117" s="2059"/>
      <c r="F117" s="2060"/>
      <c r="G117" s="2061"/>
      <c r="H117" s="2061"/>
      <c r="I117" s="2061"/>
      <c r="J117" s="2060"/>
      <c r="K117" s="2060"/>
      <c r="L117" s="2060"/>
      <c r="M117" s="2060"/>
      <c r="N117" s="2060"/>
      <c r="O117" s="2062"/>
      <c r="P117" s="2062"/>
      <c r="Q117" s="1987"/>
      <c r="R117" s="661"/>
    </row>
    <row r="118" spans="1:18" ht="11.25" customHeight="1">
      <c r="A118" s="82"/>
      <c r="B118" s="2063" t="s">
        <v>98</v>
      </c>
      <c r="C118" s="2064"/>
      <c r="D118" s="2064"/>
      <c r="E118" s="2064"/>
      <c r="F118" s="1805"/>
      <c r="G118" s="160"/>
      <c r="H118" s="160"/>
      <c r="I118" s="160"/>
      <c r="J118" s="160"/>
      <c r="K118" s="2065"/>
      <c r="L118" s="2066"/>
      <c r="M118" s="2067"/>
      <c r="N118" s="7333" t="s">
        <v>99</v>
      </c>
      <c r="O118" s="7334"/>
      <c r="P118" s="7334"/>
      <c r="Q118" s="1986"/>
    </row>
    <row r="119" spans="1:18" ht="14.25" customHeight="1">
      <c r="A119" s="82"/>
      <c r="B119" s="4876" t="str">
        <f>Names</f>
        <v/>
      </c>
      <c r="C119" s="1657"/>
      <c r="D119" s="1657"/>
      <c r="E119" s="1657"/>
      <c r="F119" s="1658"/>
      <c r="G119" s="1659"/>
      <c r="H119" s="1659"/>
      <c r="I119" s="1659"/>
      <c r="J119" s="1659"/>
      <c r="K119" s="4877"/>
      <c r="L119" s="4878"/>
      <c r="M119" s="4879"/>
      <c r="N119" s="7412">
        <f>IF(NoSSN,"",SS_Yours)</f>
        <v>0</v>
      </c>
      <c r="O119" s="7413"/>
      <c r="P119" s="7413"/>
      <c r="Q119" s="1986"/>
    </row>
    <row r="120" spans="1:18" ht="12" customHeight="1">
      <c r="A120" s="82"/>
      <c r="B120" s="1988"/>
      <c r="C120" s="141"/>
      <c r="D120" s="141"/>
      <c r="E120" s="141"/>
      <c r="F120" s="141"/>
      <c r="G120" s="141"/>
      <c r="H120" s="141"/>
      <c r="I120" s="1988"/>
      <c r="J120" s="1988"/>
      <c r="K120" s="141"/>
      <c r="L120" s="1989"/>
      <c r="M120" s="141"/>
      <c r="N120" s="141"/>
      <c r="O120" s="1990"/>
      <c r="P120" s="1990"/>
      <c r="Q120" s="1985"/>
    </row>
    <row r="121" spans="1:18" ht="15" customHeight="1">
      <c r="A121" s="82"/>
      <c r="B121" s="1991" t="s">
        <v>58</v>
      </c>
      <c r="C121" s="1988" t="s">
        <v>1474</v>
      </c>
      <c r="D121" s="1988"/>
      <c r="E121" s="1988"/>
      <c r="F121" s="141"/>
      <c r="G121" s="141"/>
      <c r="H121" s="141"/>
      <c r="I121" s="141"/>
      <c r="J121" s="141"/>
      <c r="K121" s="141"/>
      <c r="L121" s="141"/>
      <c r="M121" s="141"/>
      <c r="N121" s="141"/>
      <c r="O121" s="141"/>
      <c r="P121" s="141"/>
      <c r="Q121" s="1985"/>
    </row>
    <row r="122" spans="1:18" ht="6.75" customHeight="1">
      <c r="A122" s="82"/>
      <c r="B122" s="17"/>
      <c r="C122" s="17"/>
      <c r="D122" s="17"/>
      <c r="E122" s="17"/>
      <c r="F122" s="17"/>
      <c r="G122" s="17"/>
      <c r="H122" s="17"/>
      <c r="I122" s="17"/>
      <c r="J122" s="17"/>
      <c r="K122" s="17"/>
      <c r="L122" s="17"/>
      <c r="M122" s="17"/>
      <c r="N122" s="17"/>
      <c r="O122" s="141"/>
      <c r="P122" s="141"/>
      <c r="Q122" s="1985"/>
    </row>
    <row r="123" spans="1:18">
      <c r="A123" s="82"/>
      <c r="B123" s="1993" t="s">
        <v>1436</v>
      </c>
      <c r="C123" s="21" t="s">
        <v>1437</v>
      </c>
      <c r="D123" s="21"/>
      <c r="E123" s="21"/>
      <c r="F123" s="1994"/>
      <c r="G123" s="1995"/>
      <c r="H123" s="141"/>
      <c r="I123" s="1996" t="s">
        <v>1438</v>
      </c>
      <c r="J123" s="141"/>
      <c r="K123" s="141"/>
      <c r="L123" s="1995"/>
      <c r="M123" s="1997" t="s">
        <v>1439</v>
      </c>
      <c r="N123" s="141"/>
      <c r="O123" s="7400" t="s">
        <v>1440</v>
      </c>
      <c r="P123" s="7401"/>
      <c r="Q123" s="1985"/>
    </row>
    <row r="124" spans="1:18">
      <c r="A124" s="82"/>
      <c r="B124" s="1999" t="str">
        <f>"   1"</f>
        <v xml:space="preserve">   1</v>
      </c>
      <c r="C124" s="341" t="s">
        <v>1441</v>
      </c>
      <c r="D124" s="2000"/>
      <c r="E124" s="2000"/>
      <c r="F124" s="2001"/>
      <c r="G124" s="2002" t="s">
        <v>1442</v>
      </c>
      <c r="H124" s="150"/>
      <c r="I124" s="17"/>
      <c r="J124" s="17"/>
      <c r="K124" s="17"/>
      <c r="L124" s="2003"/>
      <c r="M124" s="150" t="s">
        <v>1443</v>
      </c>
      <c r="N124" s="17"/>
      <c r="O124" s="7414" t="s">
        <v>1444</v>
      </c>
      <c r="P124" s="7415"/>
      <c r="Q124" s="1985"/>
    </row>
    <row r="125" spans="1:18">
      <c r="A125" s="82"/>
      <c r="B125" s="7405"/>
      <c r="C125" s="7406"/>
      <c r="D125" s="7406"/>
      <c r="E125" s="7406"/>
      <c r="F125" s="7407"/>
      <c r="G125" s="7385"/>
      <c r="H125" s="7386"/>
      <c r="I125" s="6006"/>
      <c r="J125" s="6006"/>
      <c r="K125" s="7410"/>
      <c r="L125" s="7389"/>
      <c r="M125" s="7390"/>
      <c r="N125" s="7391"/>
      <c r="O125" s="7322"/>
      <c r="P125" s="7323"/>
      <c r="Q125" s="1985"/>
    </row>
    <row r="126" spans="1:18">
      <c r="A126" s="82"/>
      <c r="B126" s="7408"/>
      <c r="C126" s="7408"/>
      <c r="D126" s="7408"/>
      <c r="E126" s="7408"/>
      <c r="F126" s="7409"/>
      <c r="G126" s="7395"/>
      <c r="H126" s="5895"/>
      <c r="I126" s="6008"/>
      <c r="J126" s="6008"/>
      <c r="K126" s="7411"/>
      <c r="L126" s="7392"/>
      <c r="M126" s="7393"/>
      <c r="N126" s="7394"/>
      <c r="O126" s="7324"/>
      <c r="P126" s="7325"/>
      <c r="Q126" s="1985"/>
    </row>
    <row r="127" spans="1:18">
      <c r="A127" s="82"/>
      <c r="B127" s="7405"/>
      <c r="C127" s="7406"/>
      <c r="D127" s="7406"/>
      <c r="E127" s="7406"/>
      <c r="F127" s="7407"/>
      <c r="G127" s="7385"/>
      <c r="H127" s="7386"/>
      <c r="I127" s="6006"/>
      <c r="J127" s="6006"/>
      <c r="K127" s="7410"/>
      <c r="L127" s="7389"/>
      <c r="M127" s="7390"/>
      <c r="N127" s="7391"/>
      <c r="O127" s="7322"/>
      <c r="P127" s="7323"/>
      <c r="Q127" s="1985"/>
    </row>
    <row r="128" spans="1:18">
      <c r="A128" s="82"/>
      <c r="B128" s="7408"/>
      <c r="C128" s="7408"/>
      <c r="D128" s="7408"/>
      <c r="E128" s="7408"/>
      <c r="F128" s="7409"/>
      <c r="G128" s="7395"/>
      <c r="H128" s="5895"/>
      <c r="I128" s="6008"/>
      <c r="J128" s="6008"/>
      <c r="K128" s="7411"/>
      <c r="L128" s="7392"/>
      <c r="M128" s="7393"/>
      <c r="N128" s="7394"/>
      <c r="O128" s="7324"/>
      <c r="P128" s="7325"/>
      <c r="Q128" s="1985"/>
    </row>
    <row r="129" spans="1:17">
      <c r="A129" s="82"/>
      <c r="B129" s="7405"/>
      <c r="C129" s="7406"/>
      <c r="D129" s="7406"/>
      <c r="E129" s="7406"/>
      <c r="F129" s="7407"/>
      <c r="G129" s="7385"/>
      <c r="H129" s="7386"/>
      <c r="I129" s="6006"/>
      <c r="J129" s="6006"/>
      <c r="K129" s="7410"/>
      <c r="L129" s="7389"/>
      <c r="M129" s="7390"/>
      <c r="N129" s="7391"/>
      <c r="O129" s="7322"/>
      <c r="P129" s="7323"/>
      <c r="Q129" s="1985"/>
    </row>
    <row r="130" spans="1:17">
      <c r="A130" s="82"/>
      <c r="B130" s="7408"/>
      <c r="C130" s="7408"/>
      <c r="D130" s="7408"/>
      <c r="E130" s="7408"/>
      <c r="F130" s="7409"/>
      <c r="G130" s="7395"/>
      <c r="H130" s="5895"/>
      <c r="I130" s="6008"/>
      <c r="J130" s="6008"/>
      <c r="K130" s="7411"/>
      <c r="L130" s="7392"/>
      <c r="M130" s="7393"/>
      <c r="N130" s="7394"/>
      <c r="O130" s="7324"/>
      <c r="P130" s="7325"/>
      <c r="Q130" s="1985"/>
    </row>
    <row r="131" spans="1:17">
      <c r="A131" s="82"/>
      <c r="B131" s="7405"/>
      <c r="C131" s="7406"/>
      <c r="D131" s="7406"/>
      <c r="E131" s="7406"/>
      <c r="F131" s="7407"/>
      <c r="G131" s="7385"/>
      <c r="H131" s="7386"/>
      <c r="I131" s="6006"/>
      <c r="J131" s="6006"/>
      <c r="K131" s="7410"/>
      <c r="L131" s="7389"/>
      <c r="M131" s="7390"/>
      <c r="N131" s="7391"/>
      <c r="O131" s="7322"/>
      <c r="P131" s="7323"/>
      <c r="Q131" s="1985"/>
    </row>
    <row r="132" spans="1:17">
      <c r="A132" s="82"/>
      <c r="B132" s="7408"/>
      <c r="C132" s="7408"/>
      <c r="D132" s="7408"/>
      <c r="E132" s="7408"/>
      <c r="F132" s="7409"/>
      <c r="G132" s="7395"/>
      <c r="H132" s="5895"/>
      <c r="I132" s="6008"/>
      <c r="J132" s="6008"/>
      <c r="K132" s="7411"/>
      <c r="L132" s="7392"/>
      <c r="M132" s="7393"/>
      <c r="N132" s="7394"/>
      <c r="O132" s="7324"/>
      <c r="P132" s="7325"/>
      <c r="Q132" s="1985"/>
    </row>
    <row r="133" spans="1:17">
      <c r="A133" s="82"/>
      <c r="B133" s="7405"/>
      <c r="C133" s="7406"/>
      <c r="D133" s="7406"/>
      <c r="E133" s="7406"/>
      <c r="F133" s="7407"/>
      <c r="G133" s="7385"/>
      <c r="H133" s="7386"/>
      <c r="I133" s="6006"/>
      <c r="J133" s="6006"/>
      <c r="K133" s="7410"/>
      <c r="L133" s="7389"/>
      <c r="M133" s="7390"/>
      <c r="N133" s="7391"/>
      <c r="O133" s="7322"/>
      <c r="P133" s="7323"/>
      <c r="Q133" s="1985"/>
    </row>
    <row r="134" spans="1:17">
      <c r="A134" s="82"/>
      <c r="B134" s="7408"/>
      <c r="C134" s="7408"/>
      <c r="D134" s="7408"/>
      <c r="E134" s="7408"/>
      <c r="F134" s="7409"/>
      <c r="G134" s="7395"/>
      <c r="H134" s="5895"/>
      <c r="I134" s="6008"/>
      <c r="J134" s="6008"/>
      <c r="K134" s="7411"/>
      <c r="L134" s="7392"/>
      <c r="M134" s="7393"/>
      <c r="N134" s="7394"/>
      <c r="O134" s="7324"/>
      <c r="P134" s="7325"/>
      <c r="Q134" s="1985"/>
    </row>
    <row r="135" spans="1:17">
      <c r="A135" s="82"/>
      <c r="B135" s="7405"/>
      <c r="C135" s="7406"/>
      <c r="D135" s="7406"/>
      <c r="E135" s="7406"/>
      <c r="F135" s="7407"/>
      <c r="G135" s="7385"/>
      <c r="H135" s="7386"/>
      <c r="I135" s="6006"/>
      <c r="J135" s="6006"/>
      <c r="K135" s="7410"/>
      <c r="L135" s="7389"/>
      <c r="M135" s="7390"/>
      <c r="N135" s="7391"/>
      <c r="O135" s="7322"/>
      <c r="P135" s="7323"/>
      <c r="Q135" s="1985"/>
    </row>
    <row r="136" spans="1:17">
      <c r="A136" s="82"/>
      <c r="B136" s="7408"/>
      <c r="C136" s="7408"/>
      <c r="D136" s="7408"/>
      <c r="E136" s="7408"/>
      <c r="F136" s="7409"/>
      <c r="G136" s="7395"/>
      <c r="H136" s="5895"/>
      <c r="I136" s="6008"/>
      <c r="J136" s="6008"/>
      <c r="K136" s="7411"/>
      <c r="L136" s="7392"/>
      <c r="M136" s="7393"/>
      <c r="N136" s="7394"/>
      <c r="O136" s="7324"/>
      <c r="P136" s="7325"/>
      <c r="Q136" s="1985"/>
    </row>
    <row r="137" spans="1:17">
      <c r="A137" s="82"/>
      <c r="B137" s="7405"/>
      <c r="C137" s="7406"/>
      <c r="D137" s="7406"/>
      <c r="E137" s="7406"/>
      <c r="F137" s="7407"/>
      <c r="G137" s="7385"/>
      <c r="H137" s="7386"/>
      <c r="I137" s="6006"/>
      <c r="J137" s="6006"/>
      <c r="K137" s="7410"/>
      <c r="L137" s="7389"/>
      <c r="M137" s="7390"/>
      <c r="N137" s="7391"/>
      <c r="O137" s="7322"/>
      <c r="P137" s="7323"/>
      <c r="Q137" s="1985"/>
    </row>
    <row r="138" spans="1:17">
      <c r="A138" s="82"/>
      <c r="B138" s="7408"/>
      <c r="C138" s="7408"/>
      <c r="D138" s="7408"/>
      <c r="E138" s="7408"/>
      <c r="F138" s="7409"/>
      <c r="G138" s="7395"/>
      <c r="H138" s="5895"/>
      <c r="I138" s="6008"/>
      <c r="J138" s="6008"/>
      <c r="K138" s="7411"/>
      <c r="L138" s="7392"/>
      <c r="M138" s="7393"/>
      <c r="N138" s="7394"/>
      <c r="O138" s="7324"/>
      <c r="P138" s="7325"/>
      <c r="Q138" s="1985"/>
    </row>
    <row r="139" spans="1:17">
      <c r="A139" s="82"/>
      <c r="B139" s="7405"/>
      <c r="C139" s="7406"/>
      <c r="D139" s="7406"/>
      <c r="E139" s="7406"/>
      <c r="F139" s="7407"/>
      <c r="G139" s="7385"/>
      <c r="H139" s="7386"/>
      <c r="I139" s="6006"/>
      <c r="J139" s="6006"/>
      <c r="K139" s="7410"/>
      <c r="L139" s="7389"/>
      <c r="M139" s="7390"/>
      <c r="N139" s="7391"/>
      <c r="O139" s="7322"/>
      <c r="P139" s="7323"/>
      <c r="Q139" s="1985"/>
    </row>
    <row r="140" spans="1:17">
      <c r="A140" s="82"/>
      <c r="B140" s="7408"/>
      <c r="C140" s="7408"/>
      <c r="D140" s="7408"/>
      <c r="E140" s="7408"/>
      <c r="F140" s="7409"/>
      <c r="G140" s="7395"/>
      <c r="H140" s="5895"/>
      <c r="I140" s="6008"/>
      <c r="J140" s="6008"/>
      <c r="K140" s="7411"/>
      <c r="L140" s="7392"/>
      <c r="M140" s="7393"/>
      <c r="N140" s="7394"/>
      <c r="O140" s="7324"/>
      <c r="P140" s="7325"/>
      <c r="Q140" s="1985"/>
    </row>
    <row r="141" spans="1:17" ht="39" customHeight="1">
      <c r="A141" s="82"/>
      <c r="B141" s="141"/>
      <c r="C141" s="141"/>
      <c r="D141" s="141"/>
      <c r="E141" s="141"/>
      <c r="F141" s="141"/>
      <c r="G141" s="141"/>
      <c r="H141" s="141"/>
      <c r="I141" s="141"/>
      <c r="J141" s="141"/>
      <c r="K141" s="141"/>
      <c r="L141" s="141"/>
      <c r="M141" s="141"/>
      <c r="N141" s="141"/>
      <c r="O141" s="141"/>
      <c r="P141" s="141"/>
      <c r="Q141" s="1985"/>
    </row>
    <row r="142" spans="1:17" ht="15" customHeight="1">
      <c r="A142" s="82"/>
      <c r="B142" s="2011" t="s">
        <v>130</v>
      </c>
      <c r="C142" s="2012" t="s">
        <v>1475</v>
      </c>
      <c r="D142" s="2012"/>
      <c r="E142" s="2012"/>
      <c r="F142" s="2013"/>
      <c r="G142" s="2013"/>
      <c r="H142" s="2013"/>
      <c r="I142" s="2013"/>
      <c r="J142" s="2013"/>
      <c r="K142" s="2013"/>
      <c r="L142" s="2013"/>
      <c r="M142" s="2013"/>
      <c r="N142" s="2013"/>
      <c r="O142" s="2013"/>
      <c r="P142" s="2013"/>
      <c r="Q142" s="1985"/>
    </row>
    <row r="143" spans="1:17">
      <c r="A143" s="82"/>
      <c r="B143" s="1999" t="str">
        <f>"   2"</f>
        <v xml:space="preserve">   2</v>
      </c>
      <c r="C143" s="17" t="s">
        <v>1451</v>
      </c>
      <c r="D143" s="17"/>
      <c r="E143" s="17"/>
      <c r="F143" s="17"/>
      <c r="G143" s="17"/>
      <c r="H143" s="17"/>
      <c r="I143" s="17"/>
      <c r="J143" s="17"/>
      <c r="K143" s="17"/>
      <c r="L143" s="17"/>
      <c r="M143" s="17"/>
      <c r="N143" s="17"/>
      <c r="O143" s="141"/>
      <c r="P143" s="141"/>
      <c r="Q143" s="1985"/>
    </row>
    <row r="144" spans="1:17" ht="12.75" customHeight="1">
      <c r="A144" s="82"/>
      <c r="B144" s="141"/>
      <c r="C144" s="141"/>
      <c r="D144" s="141"/>
      <c r="E144" s="141"/>
      <c r="F144" s="147" t="s">
        <v>1452</v>
      </c>
      <c r="G144" s="141"/>
      <c r="H144" s="141"/>
      <c r="I144" s="141"/>
      <c r="J144" s="141"/>
      <c r="K144" s="141"/>
      <c r="L144" s="1998"/>
      <c r="M144" s="141"/>
      <c r="N144" s="141"/>
      <c r="O144" s="7337" t="s">
        <v>1453</v>
      </c>
      <c r="P144" s="6421"/>
      <c r="Q144" s="1985"/>
    </row>
    <row r="145" spans="1:17" ht="10.5" customHeight="1">
      <c r="A145" s="82"/>
      <c r="B145" s="141"/>
      <c r="C145" s="2014"/>
      <c r="D145" s="2014"/>
      <c r="E145" s="2014"/>
      <c r="F145" s="147"/>
      <c r="G145" s="141"/>
      <c r="H145" s="141"/>
      <c r="I145" s="21"/>
      <c r="J145" s="21"/>
      <c r="K145" s="141"/>
      <c r="L145" s="7422" t="s">
        <v>3797</v>
      </c>
      <c r="M145" s="7423"/>
      <c r="N145" s="7424"/>
      <c r="O145" s="7338" t="str">
        <f>"incurred and paid in "&amp;$O$4&amp;" for"</f>
        <v>incurred and paid in 2018 for</v>
      </c>
      <c r="P145" s="5527"/>
      <c r="Q145" s="1985"/>
    </row>
    <row r="146" spans="1:17" ht="10.5" customHeight="1">
      <c r="A146" s="82"/>
      <c r="B146" s="17"/>
      <c r="C146" s="2000" t="s">
        <v>1454</v>
      </c>
      <c r="D146" s="2000"/>
      <c r="E146" s="2000"/>
      <c r="F146" s="17"/>
      <c r="G146" s="17"/>
      <c r="H146" s="17"/>
      <c r="I146" s="150" t="s">
        <v>1455</v>
      </c>
      <c r="J146" s="150"/>
      <c r="K146" s="17"/>
      <c r="L146" s="2003"/>
      <c r="M146" s="17"/>
      <c r="N146" s="17"/>
      <c r="O146" s="7339" t="s">
        <v>1456</v>
      </c>
      <c r="P146" s="7340"/>
      <c r="Q146" s="1985"/>
    </row>
    <row r="147" spans="1:17" ht="25.5" customHeight="1">
      <c r="A147" s="82"/>
      <c r="B147" s="7425"/>
      <c r="C147" s="7426"/>
      <c r="D147" s="7426"/>
      <c r="E147" s="7426"/>
      <c r="F147" s="7427"/>
      <c r="G147" s="7428"/>
      <c r="H147" s="7425"/>
      <c r="I147" s="7426"/>
      <c r="J147" s="7426"/>
      <c r="K147" s="7427"/>
      <c r="L147" s="7429"/>
      <c r="M147" s="7430"/>
      <c r="N147" s="7431"/>
      <c r="O147" s="7335"/>
      <c r="P147" s="7336"/>
      <c r="Q147" s="1985">
        <f t="shared" ref="Q147:Q154" si="4">IF(O147&gt;0,1,0)</f>
        <v>0</v>
      </c>
    </row>
    <row r="148" spans="1:17" ht="25.5" customHeight="1">
      <c r="A148" s="82"/>
      <c r="B148" s="7425"/>
      <c r="C148" s="7426"/>
      <c r="D148" s="7426"/>
      <c r="E148" s="7426"/>
      <c r="F148" s="7427"/>
      <c r="G148" s="7428"/>
      <c r="H148" s="7425"/>
      <c r="I148" s="7426"/>
      <c r="J148" s="7426"/>
      <c r="K148" s="7427"/>
      <c r="L148" s="7429"/>
      <c r="M148" s="7430"/>
      <c r="N148" s="7431"/>
      <c r="O148" s="7335"/>
      <c r="P148" s="7336"/>
      <c r="Q148" s="1985">
        <f t="shared" si="4"/>
        <v>0</v>
      </c>
    </row>
    <row r="149" spans="1:17" ht="25.5" customHeight="1">
      <c r="A149" s="82"/>
      <c r="B149" s="7425"/>
      <c r="C149" s="7426"/>
      <c r="D149" s="7426"/>
      <c r="E149" s="7426"/>
      <c r="F149" s="7427"/>
      <c r="G149" s="7428"/>
      <c r="H149" s="7425"/>
      <c r="I149" s="7426"/>
      <c r="J149" s="7426"/>
      <c r="K149" s="7427"/>
      <c r="L149" s="7429"/>
      <c r="M149" s="7430"/>
      <c r="N149" s="7431"/>
      <c r="O149" s="7335"/>
      <c r="P149" s="7336"/>
      <c r="Q149" s="1985">
        <f t="shared" si="4"/>
        <v>0</v>
      </c>
    </row>
    <row r="150" spans="1:17" ht="25.5" customHeight="1">
      <c r="A150" s="82"/>
      <c r="B150" s="7425"/>
      <c r="C150" s="7426"/>
      <c r="D150" s="7426"/>
      <c r="E150" s="7426"/>
      <c r="F150" s="7427"/>
      <c r="G150" s="7428"/>
      <c r="H150" s="7425"/>
      <c r="I150" s="7426"/>
      <c r="J150" s="7426"/>
      <c r="K150" s="7427"/>
      <c r="L150" s="7429"/>
      <c r="M150" s="7430"/>
      <c r="N150" s="7431"/>
      <c r="O150" s="7335"/>
      <c r="P150" s="7336"/>
      <c r="Q150" s="1985">
        <f t="shared" si="4"/>
        <v>0</v>
      </c>
    </row>
    <row r="151" spans="1:17" ht="25.5" customHeight="1">
      <c r="A151" s="82"/>
      <c r="B151" s="7425"/>
      <c r="C151" s="7426"/>
      <c r="D151" s="7426"/>
      <c r="E151" s="7426"/>
      <c r="F151" s="7427"/>
      <c r="G151" s="7428"/>
      <c r="H151" s="7425"/>
      <c r="I151" s="7426"/>
      <c r="J151" s="7426"/>
      <c r="K151" s="7427"/>
      <c r="L151" s="7429"/>
      <c r="M151" s="7430"/>
      <c r="N151" s="7431"/>
      <c r="O151" s="7335"/>
      <c r="P151" s="7336"/>
      <c r="Q151" s="1985">
        <f t="shared" si="4"/>
        <v>0</v>
      </c>
    </row>
    <row r="152" spans="1:17" ht="25.5" customHeight="1">
      <c r="A152" s="82"/>
      <c r="B152" s="7425"/>
      <c r="C152" s="7426"/>
      <c r="D152" s="7426"/>
      <c r="E152" s="7426"/>
      <c r="F152" s="7427"/>
      <c r="G152" s="7428"/>
      <c r="H152" s="7425"/>
      <c r="I152" s="7426"/>
      <c r="J152" s="7426"/>
      <c r="K152" s="7427"/>
      <c r="L152" s="7429"/>
      <c r="M152" s="7430"/>
      <c r="N152" s="7431"/>
      <c r="O152" s="7335"/>
      <c r="P152" s="7336"/>
      <c r="Q152" s="1985">
        <f t="shared" si="4"/>
        <v>0</v>
      </c>
    </row>
    <row r="153" spans="1:17" ht="25.5" customHeight="1">
      <c r="A153" s="82"/>
      <c r="B153" s="7425"/>
      <c r="C153" s="7426"/>
      <c r="D153" s="7426"/>
      <c r="E153" s="7426"/>
      <c r="F153" s="7427"/>
      <c r="G153" s="7428"/>
      <c r="H153" s="7425"/>
      <c r="I153" s="7426"/>
      <c r="J153" s="7426"/>
      <c r="K153" s="7427"/>
      <c r="L153" s="7429"/>
      <c r="M153" s="7430"/>
      <c r="N153" s="7431"/>
      <c r="O153" s="7335"/>
      <c r="P153" s="7336"/>
      <c r="Q153" s="1985">
        <f t="shared" si="4"/>
        <v>0</v>
      </c>
    </row>
    <row r="154" spans="1:17" ht="25.5" customHeight="1">
      <c r="A154" s="82"/>
      <c r="B154" s="7425"/>
      <c r="C154" s="7426"/>
      <c r="D154" s="7426"/>
      <c r="E154" s="7426"/>
      <c r="F154" s="7427"/>
      <c r="G154" s="7428"/>
      <c r="H154" s="7425"/>
      <c r="I154" s="7426"/>
      <c r="J154" s="7426"/>
      <c r="K154" s="7427"/>
      <c r="L154" s="7429"/>
      <c r="M154" s="7430"/>
      <c r="N154" s="7431"/>
      <c r="O154" s="7335"/>
      <c r="P154" s="7336"/>
      <c r="Q154" s="1985">
        <f t="shared" si="4"/>
        <v>0</v>
      </c>
    </row>
    <row r="155" spans="1:17" ht="12.75" customHeight="1">
      <c r="A155" s="82"/>
      <c r="B155" s="711"/>
      <c r="C155" s="711"/>
      <c r="D155" s="711"/>
      <c r="E155" s="711"/>
      <c r="F155" s="711"/>
      <c r="G155" s="711"/>
      <c r="H155" s="711"/>
      <c r="I155" s="711"/>
      <c r="J155" s="711"/>
      <c r="K155" s="711"/>
      <c r="L155" s="711"/>
      <c r="M155" s="711"/>
      <c r="N155" s="711"/>
      <c r="O155" s="711"/>
      <c r="P155" s="711"/>
      <c r="Q155" s="1985"/>
    </row>
    <row r="156" spans="1:17">
      <c r="B156" s="2068"/>
      <c r="C156" s="2068"/>
      <c r="D156" s="2068"/>
      <c r="E156" s="2068"/>
      <c r="F156" s="2068"/>
      <c r="G156" s="2068"/>
      <c r="H156" s="2068"/>
      <c r="I156" s="2068"/>
      <c r="J156" s="2068"/>
      <c r="K156" s="2068"/>
      <c r="L156" s="2068"/>
      <c r="M156" s="2068"/>
      <c r="N156" s="2068"/>
      <c r="O156" s="2068"/>
      <c r="P156" s="2068"/>
    </row>
    <row r="157" spans="1:17">
      <c r="B157" s="2068"/>
      <c r="C157" s="2068"/>
      <c r="D157" s="2068"/>
      <c r="E157" s="2068"/>
      <c r="F157" s="2068"/>
      <c r="G157" s="2068"/>
      <c r="H157" s="2068"/>
      <c r="I157" s="2068"/>
      <c r="J157" s="2068"/>
      <c r="K157" s="2068"/>
      <c r="L157" s="2068"/>
      <c r="M157" s="2068"/>
      <c r="N157" s="2068"/>
      <c r="O157" s="2068"/>
      <c r="P157" s="2068"/>
    </row>
    <row r="158" spans="1:17">
      <c r="B158" s="2068"/>
      <c r="C158" s="2068"/>
      <c r="D158" s="2068"/>
      <c r="E158" s="2068"/>
      <c r="F158" s="2068"/>
      <c r="G158" s="2068"/>
      <c r="H158" s="2068"/>
      <c r="I158" s="2068"/>
      <c r="J158" s="2068"/>
      <c r="K158" s="2068"/>
      <c r="L158" s="2068"/>
      <c r="M158" s="2068"/>
      <c r="N158" s="2068"/>
      <c r="O158" s="2068"/>
      <c r="P158" s="2068"/>
    </row>
    <row r="159" spans="1:17" ht="13.5" thickBot="1">
      <c r="B159" s="2068"/>
      <c r="C159" s="2068"/>
      <c r="D159" s="2068"/>
      <c r="E159" s="2068"/>
      <c r="F159" s="2068"/>
      <c r="G159" s="2068"/>
      <c r="H159" s="2068"/>
      <c r="I159" s="2068"/>
      <c r="J159" s="2068"/>
      <c r="K159" s="2068"/>
      <c r="L159" s="2068"/>
      <c r="M159" s="2068"/>
      <c r="N159" s="2068"/>
      <c r="O159" s="2068"/>
      <c r="P159" s="2068"/>
    </row>
    <row r="160" spans="1:17" ht="14.25" thickTop="1" thickBot="1">
      <c r="B160" s="2068"/>
      <c r="C160" s="7434" t="s">
        <v>1476</v>
      </c>
      <c r="D160" s="7435"/>
      <c r="E160" s="7435"/>
      <c r="F160" s="7435"/>
      <c r="G160" s="7435"/>
      <c r="H160" s="7435"/>
      <c r="I160" s="7436"/>
      <c r="J160" s="2068"/>
      <c r="K160" s="2068"/>
      <c r="L160" s="2068"/>
      <c r="M160" s="2068"/>
      <c r="N160" s="2068"/>
      <c r="O160" s="2068"/>
      <c r="P160" s="2068"/>
    </row>
    <row r="161" spans="2:16" ht="14.25" thickTop="1" thickBot="1">
      <c r="B161" s="2068"/>
      <c r="C161" s="2068"/>
      <c r="D161" s="2068"/>
      <c r="E161" s="2068"/>
      <c r="F161" s="2068"/>
      <c r="G161" s="2068"/>
      <c r="H161" s="2068"/>
      <c r="I161" s="2068"/>
      <c r="J161" s="2068"/>
      <c r="K161" s="2068"/>
      <c r="L161" s="2068"/>
      <c r="M161" s="2068"/>
      <c r="N161" s="2068"/>
      <c r="O161" s="2068"/>
      <c r="P161" s="2068"/>
    </row>
    <row r="162" spans="2:16" ht="14.25" thickTop="1" thickBot="1">
      <c r="B162" s="2068"/>
      <c r="C162" s="7434" t="s">
        <v>1477</v>
      </c>
      <c r="D162" s="7435"/>
      <c r="E162" s="7435"/>
      <c r="F162" s="7435"/>
      <c r="G162" s="7435"/>
      <c r="H162" s="7435"/>
      <c r="I162" s="7436"/>
      <c r="J162" s="2068"/>
      <c r="K162" s="2068"/>
      <c r="L162" s="2068"/>
      <c r="M162" s="2068"/>
      <c r="N162" s="2068"/>
      <c r="O162" s="2068"/>
      <c r="P162" s="2068"/>
    </row>
    <row r="163" spans="2:16" ht="13.5" thickTop="1"/>
  </sheetData>
  <sheetProtection password="F07E" sheet="1" objects="1" scenarios="1"/>
  <mergeCells count="169">
    <mergeCell ref="U106:Y110"/>
    <mergeCell ref="F3:L4"/>
    <mergeCell ref="F5:L5"/>
    <mergeCell ref="F6:L6"/>
    <mergeCell ref="F7:L7"/>
    <mergeCell ref="M3:N7"/>
    <mergeCell ref="J24:K25"/>
    <mergeCell ref="B18:F19"/>
    <mergeCell ref="G18:K18"/>
    <mergeCell ref="L18:N19"/>
    <mergeCell ref="B34:F34"/>
    <mergeCell ref="G34:K34"/>
    <mergeCell ref="L34:N34"/>
    <mergeCell ref="B9:M9"/>
    <mergeCell ref="C4:E5"/>
    <mergeCell ref="O3:P3"/>
    <mergeCell ref="O4:P5"/>
    <mergeCell ref="O6:P6"/>
    <mergeCell ref="O7:P7"/>
    <mergeCell ref="N8:P8"/>
    <mergeCell ref="G19:K19"/>
    <mergeCell ref="F23:I23"/>
    <mergeCell ref="B33:F33"/>
    <mergeCell ref="G33:K33"/>
    <mergeCell ref="B150:F150"/>
    <mergeCell ref="G150:K150"/>
    <mergeCell ref="L150:N150"/>
    <mergeCell ref="B4:B5"/>
    <mergeCell ref="C160:I160"/>
    <mergeCell ref="C162:I162"/>
    <mergeCell ref="B153:F153"/>
    <mergeCell ref="G153:K153"/>
    <mergeCell ref="L153:N153"/>
    <mergeCell ref="B154:F154"/>
    <mergeCell ref="G154:K154"/>
    <mergeCell ref="L154:N154"/>
    <mergeCell ref="B151:F151"/>
    <mergeCell ref="G151:K151"/>
    <mergeCell ref="L151:N151"/>
    <mergeCell ref="B152:F152"/>
    <mergeCell ref="G152:K152"/>
    <mergeCell ref="L152:N152"/>
    <mergeCell ref="B148:F148"/>
    <mergeCell ref="G148:K148"/>
    <mergeCell ref="L148:N148"/>
    <mergeCell ref="B147:F147"/>
    <mergeCell ref="G147:K147"/>
    <mergeCell ref="L147:N147"/>
    <mergeCell ref="L145:N145"/>
    <mergeCell ref="B149:F149"/>
    <mergeCell ref="G149:K149"/>
    <mergeCell ref="L149:N149"/>
    <mergeCell ref="B137:F138"/>
    <mergeCell ref="G137:K137"/>
    <mergeCell ref="L137:N138"/>
    <mergeCell ref="G138:K138"/>
    <mergeCell ref="B135:F136"/>
    <mergeCell ref="G135:K135"/>
    <mergeCell ref="L135:N136"/>
    <mergeCell ref="B139:F140"/>
    <mergeCell ref="G139:K139"/>
    <mergeCell ref="L139:N140"/>
    <mergeCell ref="G140:K140"/>
    <mergeCell ref="G136:K136"/>
    <mergeCell ref="B129:F130"/>
    <mergeCell ref="G129:K129"/>
    <mergeCell ref="L129:N130"/>
    <mergeCell ref="G130:K130"/>
    <mergeCell ref="B127:F128"/>
    <mergeCell ref="G127:K127"/>
    <mergeCell ref="L127:N128"/>
    <mergeCell ref="G128:K128"/>
    <mergeCell ref="B133:F134"/>
    <mergeCell ref="G133:K133"/>
    <mergeCell ref="L133:N134"/>
    <mergeCell ref="G134:K134"/>
    <mergeCell ref="B131:F132"/>
    <mergeCell ref="G131:K131"/>
    <mergeCell ref="L131:N132"/>
    <mergeCell ref="G132:K132"/>
    <mergeCell ref="C115:E116"/>
    <mergeCell ref="B125:F126"/>
    <mergeCell ref="G125:K125"/>
    <mergeCell ref="L125:N126"/>
    <mergeCell ref="G126:K126"/>
    <mergeCell ref="N119:P119"/>
    <mergeCell ref="O123:P123"/>
    <mergeCell ref="O124:P124"/>
    <mergeCell ref="O125:P126"/>
    <mergeCell ref="G115:N115"/>
    <mergeCell ref="G116:N116"/>
    <mergeCell ref="L33:N33"/>
    <mergeCell ref="F21:I22"/>
    <mergeCell ref="L30:N32"/>
    <mergeCell ref="B16:F17"/>
    <mergeCell ref="G16:K16"/>
    <mergeCell ref="L16:N17"/>
    <mergeCell ref="G17:K17"/>
    <mergeCell ref="N9:P9"/>
    <mergeCell ref="O14:P14"/>
    <mergeCell ref="O16:P17"/>
    <mergeCell ref="O40:P40"/>
    <mergeCell ref="O41:P41"/>
    <mergeCell ref="O51:P51"/>
    <mergeCell ref="O57:P57"/>
    <mergeCell ref="O18:P19"/>
    <mergeCell ref="O33:P33"/>
    <mergeCell ref="O34:P34"/>
    <mergeCell ref="O37:P37"/>
    <mergeCell ref="O38:P38"/>
    <mergeCell ref="O43:P43"/>
    <mergeCell ref="O85:P85"/>
    <mergeCell ref="O76:P76"/>
    <mergeCell ref="O77:P77"/>
    <mergeCell ref="O78:P78"/>
    <mergeCell ref="O79:P79"/>
    <mergeCell ref="O80:P80"/>
    <mergeCell ref="O61:P61"/>
    <mergeCell ref="O69:P69"/>
    <mergeCell ref="O71:P71"/>
    <mergeCell ref="O72:P72"/>
    <mergeCell ref="O73:P73"/>
    <mergeCell ref="R7:S7"/>
    <mergeCell ref="O97:P97"/>
    <mergeCell ref="O100:P100"/>
    <mergeCell ref="O105:P105"/>
    <mergeCell ref="O106:P106"/>
    <mergeCell ref="O92:P92"/>
    <mergeCell ref="O30:P30"/>
    <mergeCell ref="O31:P31"/>
    <mergeCell ref="O32:P32"/>
    <mergeCell ref="R8:S8"/>
    <mergeCell ref="R9:S9"/>
    <mergeCell ref="R10:S10"/>
    <mergeCell ref="R11:S11"/>
    <mergeCell ref="R12:S12"/>
    <mergeCell ref="R13:S13"/>
    <mergeCell ref="R14:S14"/>
    <mergeCell ref="R15:S15"/>
    <mergeCell ref="R16:S16"/>
    <mergeCell ref="R17:S17"/>
    <mergeCell ref="O81:P81"/>
    <mergeCell ref="O82:P82"/>
    <mergeCell ref="O95:P95"/>
    <mergeCell ref="O83:P83"/>
    <mergeCell ref="O84:P84"/>
    <mergeCell ref="O151:P151"/>
    <mergeCell ref="O152:P152"/>
    <mergeCell ref="O153:P153"/>
    <mergeCell ref="O154:P154"/>
    <mergeCell ref="O144:P144"/>
    <mergeCell ref="O145:P145"/>
    <mergeCell ref="O146:P146"/>
    <mergeCell ref="O139:P140"/>
    <mergeCell ref="O147:P147"/>
    <mergeCell ref="O148:P148"/>
    <mergeCell ref="O149:P149"/>
    <mergeCell ref="O150:P150"/>
    <mergeCell ref="O127:P128"/>
    <mergeCell ref="O129:P130"/>
    <mergeCell ref="O131:P132"/>
    <mergeCell ref="O133:P134"/>
    <mergeCell ref="O135:P136"/>
    <mergeCell ref="O137:P138"/>
    <mergeCell ref="O108:P108"/>
    <mergeCell ref="O110:P110"/>
    <mergeCell ref="O112:P112"/>
    <mergeCell ref="O115:P116"/>
    <mergeCell ref="N118:P118"/>
  </mergeCells>
  <conditionalFormatting sqref="B9:M9">
    <cfRule type="expression" dxfId="905" priority="169">
      <formula>IF(NoColor,1,0)</formula>
    </cfRule>
  </conditionalFormatting>
  <conditionalFormatting sqref="N9">
    <cfRule type="expression" dxfId="904" priority="168">
      <formula>IF(NoColor,1,0)</formula>
    </cfRule>
  </conditionalFormatting>
  <conditionalFormatting sqref="B16:O16 B17:N19">
    <cfRule type="expression" dxfId="903" priority="167">
      <formula>IF(NoColor,1,0)</formula>
    </cfRule>
  </conditionalFormatting>
  <conditionalFormatting sqref="L21">
    <cfRule type="expression" dxfId="902" priority="166">
      <formula>IF(NoColor,1,0)</formula>
    </cfRule>
  </conditionalFormatting>
  <conditionalFormatting sqref="B34:N34 B33:O33">
    <cfRule type="expression" dxfId="901" priority="165">
      <formula>IF(NoColor,1,0)</formula>
    </cfRule>
  </conditionalFormatting>
  <conditionalFormatting sqref="O37">
    <cfRule type="expression" dxfId="900" priority="164">
      <formula>IF(NoColor,1,0)</formula>
    </cfRule>
  </conditionalFormatting>
  <conditionalFormatting sqref="M42">
    <cfRule type="expression" dxfId="899" priority="156">
      <formula>IF(NoColor,1,0)</formula>
    </cfRule>
  </conditionalFormatting>
  <conditionalFormatting sqref="R39">
    <cfRule type="expression" dxfId="898" priority="157">
      <formula>IF(File_Marr_Joint&lt;&gt;"",1,0)</formula>
    </cfRule>
  </conditionalFormatting>
  <conditionalFormatting sqref="M59">
    <cfRule type="expression" dxfId="897" priority="92">
      <formula>IF(M59="Stop.",1,0)</formula>
    </cfRule>
    <cfRule type="expression" dxfId="896" priority="154">
      <formula>IF(NoColor,1,0)</formula>
    </cfRule>
  </conditionalFormatting>
  <conditionalFormatting sqref="L23">
    <cfRule type="expression" dxfId="895" priority="152">
      <formula>IF(NoColor,1,0)</formula>
    </cfRule>
  </conditionalFormatting>
  <conditionalFormatting sqref="O125">
    <cfRule type="expression" dxfId="894" priority="146">
      <formula>IF(NoColor,1,0)</formula>
    </cfRule>
  </conditionalFormatting>
  <conditionalFormatting sqref="M76">
    <cfRule type="expression" dxfId="893" priority="144">
      <formula>IF(NoColor,1,0)</formula>
    </cfRule>
  </conditionalFormatting>
  <conditionalFormatting sqref="M77">
    <cfRule type="expression" dxfId="892" priority="143">
      <formula>IF(NoColor,1,0)</formula>
    </cfRule>
  </conditionalFormatting>
  <conditionalFormatting sqref="M83">
    <cfRule type="expression" dxfId="891" priority="142">
      <formula>IF(NoColor,1,0)</formula>
    </cfRule>
  </conditionalFormatting>
  <conditionalFormatting sqref="M87">
    <cfRule type="expression" dxfId="890" priority="138">
      <formula>IF(NoColor,1,0)</formula>
    </cfRule>
  </conditionalFormatting>
  <conditionalFormatting sqref="M89">
    <cfRule type="expression" dxfId="889" priority="137">
      <formula>IF(NoColor,1,0)</formula>
    </cfRule>
  </conditionalFormatting>
  <conditionalFormatting sqref="C91">
    <cfRule type="expression" dxfId="888" priority="136">
      <formula>IF(NoColor,1,0)</formula>
    </cfRule>
  </conditionalFormatting>
  <conditionalFormatting sqref="C92">
    <cfRule type="expression" dxfId="887" priority="135">
      <formula>IF(NoColor,1,0)</formula>
    </cfRule>
  </conditionalFormatting>
  <conditionalFormatting sqref="O92">
    <cfRule type="expression" dxfId="886" priority="134">
      <formula>IF(NoColor,1,0)</formula>
    </cfRule>
  </conditionalFormatting>
  <conditionalFormatting sqref="M93">
    <cfRule type="expression" dxfId="885" priority="130">
      <formula>IF(NoColor,1,0)</formula>
    </cfRule>
  </conditionalFormatting>
  <conditionalFormatting sqref="O95">
    <cfRule type="expression" dxfId="884" priority="129">
      <formula>IF(NoColor,1,0)</formula>
    </cfRule>
  </conditionalFormatting>
  <conditionalFormatting sqref="O97">
    <cfRule type="expression" dxfId="883" priority="128">
      <formula>IF(NoColor,1,0)</formula>
    </cfRule>
  </conditionalFormatting>
  <conditionalFormatting sqref="O100">
    <cfRule type="expression" dxfId="882" priority="127">
      <formula>IF(NoColor,1,0)</formula>
    </cfRule>
  </conditionalFormatting>
  <conditionalFormatting sqref="O71">
    <cfRule type="expression" dxfId="881" priority="126">
      <formula>IF(NoColor,1,0)</formula>
    </cfRule>
  </conditionalFormatting>
  <conditionalFormatting sqref="O105">
    <cfRule type="expression" dxfId="880" priority="124">
      <formula>IF(NoColor,1,0)</formula>
    </cfRule>
  </conditionalFormatting>
  <conditionalFormatting sqref="O76:O85">
    <cfRule type="expression" dxfId="879" priority="120">
      <formula>IF(AND($L$21="",$L$23&lt;&gt;"",$U$18="",$U$19="",File_Marr_Sep&lt;&gt;""),1,0)</formula>
    </cfRule>
  </conditionalFormatting>
  <conditionalFormatting sqref="O112">
    <cfRule type="expression" dxfId="878" priority="118">
      <formula>IF(NoColor,1,0)</formula>
    </cfRule>
  </conditionalFormatting>
  <conditionalFormatting sqref="M75">
    <cfRule type="expression" dxfId="877" priority="115">
      <formula>IF(NoColor,1,0)</formula>
    </cfRule>
  </conditionalFormatting>
  <conditionalFormatting sqref="O69">
    <cfRule type="expression" dxfId="876" priority="114">
      <formula>IF(NoColor,1,0)</formula>
    </cfRule>
  </conditionalFormatting>
  <conditionalFormatting sqref="R8:R17">
    <cfRule type="expression" dxfId="875" priority="103">
      <formula>AND($U$18="",$U$19="",File_Marr_Sep&lt;&gt;"")</formula>
    </cfRule>
  </conditionalFormatting>
  <conditionalFormatting sqref="T2:AB21">
    <cfRule type="expression" dxfId="874" priority="93">
      <formula>IF(File_Marr_Sep="",1,0)</formula>
    </cfRule>
  </conditionalFormatting>
  <conditionalFormatting sqref="Q28">
    <cfRule type="expression" dxfId="873" priority="88">
      <formula>AND(File_Marr_Sep&lt;&gt;"",$U$19&lt;&gt;"")</formula>
    </cfRule>
  </conditionalFormatting>
  <conditionalFormatting sqref="W78">
    <cfRule type="expression" dxfId="872" priority="87">
      <formula>($Y$79&lt;=0)</formula>
    </cfRule>
  </conditionalFormatting>
  <conditionalFormatting sqref="V79">
    <cfRule type="expression" dxfId="871" priority="86">
      <formula>($Y$79&lt;=0)</formula>
    </cfRule>
  </conditionalFormatting>
  <conditionalFormatting sqref="O18">
    <cfRule type="expression" dxfId="870" priority="85">
      <formula>IF(NoColor,1,0)</formula>
    </cfRule>
  </conditionalFormatting>
  <conditionalFormatting sqref="O34">
    <cfRule type="expression" dxfId="869" priority="84">
      <formula>IF(NoColor,1,0)</formula>
    </cfRule>
  </conditionalFormatting>
  <conditionalFormatting sqref="O72">
    <cfRule type="expression" dxfId="868" priority="75">
      <formula>IF(NoColor,1,0)</formula>
    </cfRule>
  </conditionalFormatting>
  <conditionalFormatting sqref="O38">
    <cfRule type="expression" dxfId="867" priority="81">
      <formula>IF(NoColor,1,0)</formula>
    </cfRule>
  </conditionalFormatting>
  <conditionalFormatting sqref="O40">
    <cfRule type="expression" dxfId="866" priority="80">
      <formula>IF(NoColor,1,0)</formula>
    </cfRule>
  </conditionalFormatting>
  <conditionalFormatting sqref="O41">
    <cfRule type="expression" dxfId="865" priority="79">
      <formula>IF(NoColor,1,0)</formula>
    </cfRule>
  </conditionalFormatting>
  <conditionalFormatting sqref="O73">
    <cfRule type="expression" dxfId="864" priority="74">
      <formula>IF(NoColor,1,0)</formula>
    </cfRule>
  </conditionalFormatting>
  <conditionalFormatting sqref="O51">
    <cfRule type="expression" dxfId="863" priority="78">
      <formula>IF(NoColor,1,0)</formula>
    </cfRule>
  </conditionalFormatting>
  <conditionalFormatting sqref="O57">
    <cfRule type="expression" dxfId="862" priority="77">
      <formula>IF(NoColor,1,0)</formula>
    </cfRule>
  </conditionalFormatting>
  <conditionalFormatting sqref="O61">
    <cfRule type="expression" dxfId="861" priority="76">
      <formula>IF(NoColor,1,0)</formula>
    </cfRule>
  </conditionalFormatting>
  <conditionalFormatting sqref="P11">
    <cfRule type="expression" dxfId="860" priority="73">
      <formula>NoColor</formula>
    </cfRule>
  </conditionalFormatting>
  <conditionalFormatting sqref="B10">
    <cfRule type="expression" dxfId="859" priority="72">
      <formula>$S$18</formula>
    </cfRule>
  </conditionalFormatting>
  <conditionalFormatting sqref="B11">
    <cfRule type="expression" dxfId="858" priority="71">
      <formula>$S$18</formula>
    </cfRule>
  </conditionalFormatting>
  <conditionalFormatting sqref="O11">
    <cfRule type="expression" dxfId="857" priority="70">
      <formula>$S$18</formula>
    </cfRule>
  </conditionalFormatting>
  <conditionalFormatting sqref="R7">
    <cfRule type="expression" dxfId="856" priority="69">
      <formula>AND($U$18="",$U$19="",File_Marr_Sep&lt;&gt;"")</formula>
    </cfRule>
  </conditionalFormatting>
  <conditionalFormatting sqref="O106">
    <cfRule type="expression" dxfId="855" priority="68">
      <formula>IF(NoColor,1,0)</formula>
    </cfRule>
  </conditionalFormatting>
  <conditionalFormatting sqref="O108">
    <cfRule type="expression" dxfId="854" priority="67">
      <formula>IF(NoColor,1,0)</formula>
    </cfRule>
  </conditionalFormatting>
  <conditionalFormatting sqref="O110">
    <cfRule type="expression" dxfId="853" priority="66">
      <formula>IF(NoColor,1,0)</formula>
    </cfRule>
  </conditionalFormatting>
  <conditionalFormatting sqref="O127">
    <cfRule type="expression" dxfId="852" priority="58">
      <formula>IF(NoColor,1,0)</formula>
    </cfRule>
  </conditionalFormatting>
  <conditionalFormatting sqref="O129">
    <cfRule type="expression" dxfId="851" priority="44">
      <formula>IF(NoColor,1,0)</formula>
    </cfRule>
  </conditionalFormatting>
  <conditionalFormatting sqref="O131">
    <cfRule type="expression" dxfId="850" priority="43">
      <formula>IF(NoColor,1,0)</formula>
    </cfRule>
  </conditionalFormatting>
  <conditionalFormatting sqref="O133">
    <cfRule type="expression" dxfId="849" priority="42">
      <formula>IF(NoColor,1,0)</formula>
    </cfRule>
  </conditionalFormatting>
  <conditionalFormatting sqref="O135">
    <cfRule type="expression" dxfId="848" priority="41">
      <formula>IF(NoColor,1,0)</formula>
    </cfRule>
  </conditionalFormatting>
  <conditionalFormatting sqref="O137">
    <cfRule type="expression" dxfId="847" priority="40">
      <formula>IF(NoColor,1,0)</formula>
    </cfRule>
  </conditionalFormatting>
  <conditionalFormatting sqref="O139">
    <cfRule type="expression" dxfId="846" priority="39">
      <formula>IF(NoColor,1,0)</formula>
    </cfRule>
  </conditionalFormatting>
  <conditionalFormatting sqref="H107">
    <cfRule type="expression" dxfId="845" priority="31">
      <formula>AND($O$108&lt;&gt;"",$O$108&lt;=0)</formula>
    </cfRule>
  </conditionalFormatting>
  <conditionalFormatting sqref="B125:N140">
    <cfRule type="expression" dxfId="844" priority="30">
      <formula>NoColor</formula>
    </cfRule>
  </conditionalFormatting>
  <conditionalFormatting sqref="R43:R50">
    <cfRule type="expression" dxfId="843" priority="28">
      <formula>IF(File_Marr_Joint&lt;&gt;"",1,0)</formula>
    </cfRule>
  </conditionalFormatting>
  <conditionalFormatting sqref="R52:R55">
    <cfRule type="expression" dxfId="842" priority="27">
      <formula>IF(File_Marr_Joint&lt;&gt;"",1,0)</formula>
    </cfRule>
  </conditionalFormatting>
  <conditionalFormatting sqref="R58">
    <cfRule type="expression" dxfId="841" priority="26">
      <formula>IF(File_Marr_Joint&lt;&gt;"",1,0)</formula>
    </cfRule>
  </conditionalFormatting>
  <conditionalFormatting sqref="R60">
    <cfRule type="expression" dxfId="840" priority="25">
      <formula>IF(File_Marr_Joint&lt;&gt;"",1,0)</formula>
    </cfRule>
  </conditionalFormatting>
  <conditionalFormatting sqref="R62:R66">
    <cfRule type="expression" dxfId="839" priority="24">
      <formula>IF(File_Marr_Joint&lt;&gt;"",1,0)</formula>
    </cfRule>
  </conditionalFormatting>
  <conditionalFormatting sqref="R67">
    <cfRule type="expression" dxfId="838" priority="23">
      <formula>IF(File_Marr_Joint&lt;&gt;"",1,0)</formula>
    </cfRule>
  </conditionalFormatting>
  <conditionalFormatting sqref="R74">
    <cfRule type="expression" dxfId="837" priority="21">
      <formula>IF(File_Marr_Joint&lt;&gt;"",1,0)</formula>
    </cfRule>
  </conditionalFormatting>
  <conditionalFormatting sqref="R78:R81">
    <cfRule type="expression" dxfId="836" priority="20">
      <formula>IF(File_Marr_Joint&lt;&gt;"",1,0)</formula>
    </cfRule>
  </conditionalFormatting>
  <conditionalFormatting sqref="R84:R87">
    <cfRule type="expression" dxfId="835" priority="19">
      <formula>IF(File_Marr_Joint&lt;&gt;"",1,0)</formula>
    </cfRule>
  </conditionalFormatting>
  <conditionalFormatting sqref="R92">
    <cfRule type="expression" dxfId="834" priority="18">
      <formula>AND($C$92&lt;&gt;"",File_Marr_Joint&lt;&gt;"")</formula>
    </cfRule>
  </conditionalFormatting>
  <conditionalFormatting sqref="R90:R91">
    <cfRule type="expression" dxfId="833" priority="17">
      <formula>AND($C$92&lt;&gt;"",File_Marr_Joint&lt;&gt;"")</formula>
    </cfRule>
  </conditionalFormatting>
  <conditionalFormatting sqref="R93:R95">
    <cfRule type="expression" dxfId="832" priority="16">
      <formula>IF(File_Marr_Joint&lt;&gt;"",1,0)</formula>
    </cfRule>
  </conditionalFormatting>
  <conditionalFormatting sqref="R98">
    <cfRule type="expression" dxfId="831" priority="15">
      <formula>IF(File_Marr_Joint&lt;&gt;"",1,0)</formula>
    </cfRule>
  </conditionalFormatting>
  <conditionalFormatting sqref="R101:R103">
    <cfRule type="expression" dxfId="830" priority="14">
      <formula>IF(File_Marr_Joint&lt;&gt;"",1,0)</formula>
    </cfRule>
  </conditionalFormatting>
  <conditionalFormatting sqref="R106">
    <cfRule type="expression" dxfId="829" priority="13">
      <formula>IF(File_Marr_Joint&lt;&gt;"",1,0)</formula>
    </cfRule>
  </conditionalFormatting>
  <conditionalFormatting sqref="R107">
    <cfRule type="expression" dxfId="828" priority="12">
      <formula>IF(File_Marr_Joint&lt;&gt;"",1,0)</formula>
    </cfRule>
  </conditionalFormatting>
  <conditionalFormatting sqref="R109">
    <cfRule type="expression" dxfId="827" priority="11">
      <formula>IF(File_Marr_Joint&lt;&gt;"",1,0)</formula>
    </cfRule>
  </conditionalFormatting>
  <conditionalFormatting sqref="R111">
    <cfRule type="expression" dxfId="826" priority="10">
      <formula>IF(File_Marr_Joint&lt;&gt;"",1,0)</formula>
    </cfRule>
  </conditionalFormatting>
  <conditionalFormatting sqref="R113">
    <cfRule type="expression" dxfId="825" priority="9">
      <formula>IF(File_Marr_Joint&lt;&gt;"",1,0)</formula>
    </cfRule>
  </conditionalFormatting>
  <conditionalFormatting sqref="R35">
    <cfRule type="expression" dxfId="824" priority="8">
      <formula>IF(File_Marr_Joint&lt;&gt;"",1,0)</formula>
    </cfRule>
  </conditionalFormatting>
  <conditionalFormatting sqref="R71">
    <cfRule type="expression" dxfId="823" priority="7">
      <formula>$O$72&gt;0</formula>
    </cfRule>
  </conditionalFormatting>
  <conditionalFormatting sqref="R72">
    <cfRule type="expression" dxfId="822" priority="4">
      <formula>$O$72&gt;0</formula>
    </cfRule>
  </conditionalFormatting>
  <conditionalFormatting sqref="R73">
    <cfRule type="expression" dxfId="821" priority="3">
      <formula>$O$72&gt;0</formula>
    </cfRule>
  </conditionalFormatting>
  <conditionalFormatting sqref="B119:P119">
    <cfRule type="expression" dxfId="820" priority="2">
      <formula>NoColor</formula>
    </cfRule>
  </conditionalFormatting>
  <conditionalFormatting sqref="B147:P154">
    <cfRule type="expression" dxfId="819" priority="1">
      <formula>NoColor</formula>
    </cfRule>
  </conditionalFormatting>
  <hyperlinks>
    <hyperlink ref="C160:I160" r:id="rId1" display="Download Form 2441"/>
    <hyperlink ref="C162:I162" r:id="rId2" display="Download Form 2441 Instructions"/>
  </hyperlinks>
  <pageMargins left="0.5" right="0.25" top="0.36" bottom="0.28999999999999998" header="0.36" footer="0.21"/>
  <pageSetup scale="84" fitToHeight="0" orientation="portrait" r:id="rId3"/>
  <headerFooter alignWithMargins="0"/>
  <rowBreaks count="2" manualBreakCount="2">
    <brk id="62" min="1" max="15" man="1"/>
    <brk id="113" min="1" max="15" man="1"/>
  </rowBreaks>
  <drawing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44"/>
  <sheetViews>
    <sheetView zoomScaleNormal="100" zoomScaleSheetLayoutView="100" workbookViewId="0">
      <selection activeCell="K20" sqref="K20"/>
    </sheetView>
  </sheetViews>
  <sheetFormatPr defaultColWidth="9.140625" defaultRowHeight="12.75"/>
  <cols>
    <col min="1" max="1" width="3.7109375" style="46" customWidth="1"/>
    <col min="2" max="3" width="5" style="46" customWidth="1"/>
    <col min="4" max="19" width="3.7109375" style="46" customWidth="1"/>
    <col min="20" max="20" width="5" style="46" customWidth="1"/>
    <col min="21" max="21" width="2.85546875" style="46" customWidth="1"/>
    <col min="22" max="36" width="3.7109375" style="46" customWidth="1"/>
    <col min="37" max="37" width="9.140625" style="46"/>
    <col min="38" max="38" width="4.42578125" style="2208" customWidth="1"/>
    <col min="39" max="39" width="12.5703125" style="2208" customWidth="1"/>
    <col min="40" max="40" width="3.28515625" style="2208" customWidth="1"/>
    <col min="41" max="41" width="12.5703125" style="2208" customWidth="1"/>
    <col min="42" max="42" width="3.5703125" style="2208" customWidth="1"/>
    <col min="43" max="51" width="10.7109375" style="3169" customWidth="1"/>
    <col min="52" max="53" width="9.140625" style="2208"/>
    <col min="54" max="54" width="10" style="2208" customWidth="1"/>
    <col min="55" max="59" width="9.140625" style="2208"/>
    <col min="60" max="60" width="3.42578125" style="2208" customWidth="1"/>
    <col min="61" max="62" width="9.140625" style="2208"/>
    <col min="63" max="66" width="11.7109375" style="2208" customWidth="1"/>
    <col min="67" max="67" width="9.140625" style="2208" customWidth="1"/>
    <col min="68" max="75" width="9.140625" style="2208"/>
    <col min="76" max="16384" width="9.140625" style="46"/>
  </cols>
  <sheetData>
    <row r="1" spans="1:62" ht="17.25" customHeight="1">
      <c r="A1" s="1228"/>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28"/>
      <c r="AA1" s="1228"/>
      <c r="AB1" s="1228"/>
      <c r="AC1" s="1228"/>
      <c r="AD1" s="1228"/>
      <c r="AE1" s="1228"/>
      <c r="AF1" s="1228"/>
      <c r="AG1" s="1228"/>
      <c r="AH1" s="1228"/>
      <c r="AI1" s="1228"/>
      <c r="AJ1" s="1228"/>
      <c r="AK1" s="1228"/>
      <c r="AQ1" s="3168" t="s">
        <v>2552</v>
      </c>
      <c r="AR1" s="3168"/>
      <c r="AS1" s="3168"/>
      <c r="AT1" s="3168"/>
      <c r="AU1" s="3168"/>
      <c r="AV1" s="3168"/>
      <c r="AW1" s="3168"/>
      <c r="AX1" s="3168"/>
      <c r="AY1" s="3168"/>
    </row>
    <row r="2" spans="1:62" ht="18" customHeight="1">
      <c r="A2" s="1228"/>
      <c r="B2" s="1443"/>
      <c r="C2" s="1443"/>
      <c r="D2" s="7568" t="s">
        <v>1785</v>
      </c>
      <c r="E2" s="7569"/>
      <c r="F2" s="7569"/>
      <c r="G2" s="7569"/>
      <c r="H2" s="1554"/>
      <c r="I2" s="7570" t="s">
        <v>1784</v>
      </c>
      <c r="J2" s="5697"/>
      <c r="K2" s="5697"/>
      <c r="L2" s="5697"/>
      <c r="M2" s="5697"/>
      <c r="N2" s="5697"/>
      <c r="O2" s="5697"/>
      <c r="P2" s="5697"/>
      <c r="Q2" s="5697"/>
      <c r="R2" s="5697"/>
      <c r="S2" s="5697"/>
      <c r="T2" s="5697"/>
      <c r="U2" s="5697"/>
      <c r="V2" s="5697"/>
      <c r="W2" s="5697"/>
      <c r="X2" s="5697"/>
      <c r="Y2" s="5697"/>
      <c r="Z2" s="5697"/>
      <c r="AA2" s="5697"/>
      <c r="AB2" s="5698"/>
      <c r="AC2" s="7572" t="s">
        <v>169</v>
      </c>
      <c r="AD2" s="7573"/>
      <c r="AE2" s="7573"/>
      <c r="AF2" s="7573"/>
      <c r="AG2" s="7573"/>
      <c r="AH2" s="7573"/>
      <c r="AI2" s="7573"/>
      <c r="AJ2" s="7573"/>
      <c r="AK2" s="1228"/>
    </row>
    <row r="3" spans="1:62" ht="24" customHeight="1">
      <c r="A3" s="1228"/>
      <c r="B3" s="7574" t="s">
        <v>331</v>
      </c>
      <c r="C3" s="5505"/>
      <c r="D3" s="7569"/>
      <c r="E3" s="7569"/>
      <c r="F3" s="7569"/>
      <c r="G3" s="7569"/>
      <c r="H3" s="1554"/>
      <c r="I3" s="7571"/>
      <c r="J3" s="5697"/>
      <c r="K3" s="5697"/>
      <c r="L3" s="5697"/>
      <c r="M3" s="5697"/>
      <c r="N3" s="5697"/>
      <c r="O3" s="5697"/>
      <c r="P3" s="5697"/>
      <c r="Q3" s="5697"/>
      <c r="R3" s="5697"/>
      <c r="S3" s="5697"/>
      <c r="T3" s="5697"/>
      <c r="U3" s="5697"/>
      <c r="V3" s="5697"/>
      <c r="W3" s="5697"/>
      <c r="X3" s="5697"/>
      <c r="Y3" s="5697"/>
      <c r="Z3" s="5697"/>
      <c r="AA3" s="5697"/>
      <c r="AB3" s="5698"/>
      <c r="AC3" s="7575">
        <f>TaxYear</f>
        <v>2018</v>
      </c>
      <c r="AD3" s="7576"/>
      <c r="AE3" s="7576"/>
      <c r="AF3" s="7576"/>
      <c r="AG3" s="7576"/>
      <c r="AH3" s="7576"/>
      <c r="AI3" s="7576"/>
      <c r="AJ3" s="7576"/>
      <c r="AK3" s="1228"/>
    </row>
    <row r="4" spans="1:62">
      <c r="A4" s="1228"/>
      <c r="B4" s="1443"/>
      <c r="C4" s="1443"/>
      <c r="D4" s="1443"/>
      <c r="E4" s="1443"/>
      <c r="F4" s="1443"/>
      <c r="G4" s="1443"/>
      <c r="H4" s="1554"/>
      <c r="I4" s="1930"/>
      <c r="J4" s="2377" t="s">
        <v>2061</v>
      </c>
      <c r="K4" s="1931"/>
      <c r="L4" s="1931"/>
      <c r="M4" s="1931"/>
      <c r="N4" s="1931"/>
      <c r="O4" s="1931"/>
      <c r="P4" s="1931"/>
      <c r="Q4" s="1931"/>
      <c r="R4" s="1931"/>
      <c r="S4" s="1931"/>
      <c r="T4" s="1931"/>
      <c r="U4" s="1931"/>
      <c r="V4" s="1931"/>
      <c r="W4" s="1931"/>
      <c r="X4" s="1931"/>
      <c r="Y4" s="1931"/>
      <c r="Z4" s="1931"/>
      <c r="AA4" s="1931"/>
      <c r="AB4" s="1932"/>
      <c r="AC4" s="7577"/>
      <c r="AD4" s="7578"/>
      <c r="AE4" s="7578"/>
      <c r="AF4" s="7578"/>
      <c r="AG4" s="7578"/>
      <c r="AH4" s="7578"/>
      <c r="AI4" s="7578"/>
      <c r="AJ4" s="7578"/>
      <c r="AK4" s="1228"/>
    </row>
    <row r="5" spans="1:62" ht="12.75" customHeight="1">
      <c r="A5" s="1228"/>
      <c r="B5" s="1443" t="s">
        <v>202</v>
      </c>
      <c r="C5" s="1443"/>
      <c r="D5" s="1443"/>
      <c r="E5" s="1443"/>
      <c r="F5" s="1443"/>
      <c r="G5" s="1443"/>
      <c r="H5" s="1554"/>
      <c r="I5" s="7579" t="s">
        <v>2062</v>
      </c>
      <c r="J5" s="7580"/>
      <c r="K5" s="7580"/>
      <c r="L5" s="7580"/>
      <c r="M5" s="7580"/>
      <c r="N5" s="7580"/>
      <c r="O5" s="7580"/>
      <c r="P5" s="7580"/>
      <c r="Q5" s="7580"/>
      <c r="R5" s="7580"/>
      <c r="S5" s="7580"/>
      <c r="T5" s="7580"/>
      <c r="U5" s="7580"/>
      <c r="V5" s="7580"/>
      <c r="W5" s="7580"/>
      <c r="X5" s="7580"/>
      <c r="Y5" s="7580"/>
      <c r="Z5" s="7580"/>
      <c r="AA5" s="7580"/>
      <c r="AB5" s="7581"/>
      <c r="AC5" s="1610"/>
      <c r="AD5" s="7582" t="s">
        <v>4450</v>
      </c>
      <c r="AE5" s="7583"/>
      <c r="AF5" s="7583"/>
      <c r="AG5" s="7583"/>
      <c r="AH5" s="7584">
        <v>34</v>
      </c>
      <c r="AI5" s="7584"/>
      <c r="AJ5" s="1443"/>
      <c r="AK5" s="1228"/>
    </row>
    <row r="6" spans="1:62" ht="13.5" customHeight="1" thickBot="1">
      <c r="A6" s="1228"/>
      <c r="B6" s="1612" t="s">
        <v>450</v>
      </c>
      <c r="C6" s="1612"/>
      <c r="D6" s="1612"/>
      <c r="E6" s="1612"/>
      <c r="F6" s="1612"/>
      <c r="G6" s="1612"/>
      <c r="H6" s="1613"/>
      <c r="I6" s="7586" t="s">
        <v>2582</v>
      </c>
      <c r="J6" s="7587"/>
      <c r="K6" s="7587"/>
      <c r="L6" s="7587"/>
      <c r="M6" s="7587"/>
      <c r="N6" s="7587"/>
      <c r="O6" s="7587"/>
      <c r="P6" s="7587"/>
      <c r="Q6" s="7587"/>
      <c r="R6" s="7587"/>
      <c r="S6" s="7587"/>
      <c r="T6" s="7587"/>
      <c r="U6" s="7587"/>
      <c r="V6" s="7587"/>
      <c r="W6" s="7587"/>
      <c r="X6" s="7587"/>
      <c r="Y6" s="7587"/>
      <c r="Z6" s="7587"/>
      <c r="AA6" s="7587"/>
      <c r="AB6" s="7588"/>
      <c r="AC6" s="1933"/>
      <c r="AD6" s="7562" t="s">
        <v>4449</v>
      </c>
      <c r="AE6" s="7563"/>
      <c r="AF6" s="7563"/>
      <c r="AG6" s="7563"/>
      <c r="AH6" s="7585"/>
      <c r="AI6" s="7585"/>
      <c r="AJ6" s="1612"/>
      <c r="AK6" s="1228"/>
    </row>
    <row r="7" spans="1:62" ht="16.5" customHeight="1" thickBot="1">
      <c r="A7" s="1228"/>
      <c r="B7" s="2203"/>
      <c r="C7" s="2203"/>
      <c r="D7" s="2203"/>
      <c r="E7" s="2203"/>
      <c r="F7" s="2203"/>
      <c r="G7" s="2203"/>
      <c r="H7" s="2203"/>
      <c r="I7" s="2203"/>
      <c r="J7" s="2203"/>
      <c r="K7" s="2203"/>
      <c r="L7" s="2203"/>
      <c r="M7" s="2203"/>
      <c r="N7" s="2203"/>
      <c r="O7" s="2203"/>
      <c r="P7" s="2203"/>
      <c r="Q7" s="2204" t="s">
        <v>1786</v>
      </c>
      <c r="R7" s="2203"/>
      <c r="S7" s="2203"/>
      <c r="T7" s="2203"/>
      <c r="U7" s="2203"/>
      <c r="V7" s="2203"/>
      <c r="W7" s="2203"/>
      <c r="X7" s="2203"/>
      <c r="Y7" s="2203"/>
      <c r="Z7" s="2203"/>
      <c r="AA7" s="2203"/>
      <c r="AB7" s="2203"/>
      <c r="AC7" s="2203"/>
      <c r="AD7" s="2203"/>
      <c r="AE7" s="2203"/>
      <c r="AF7" s="2203"/>
      <c r="AG7" s="2203"/>
      <c r="AH7" s="2203"/>
      <c r="AI7" s="2203"/>
      <c r="AJ7" s="2203"/>
      <c r="AK7" s="1228"/>
    </row>
    <row r="8" spans="1:62">
      <c r="A8" s="1228"/>
      <c r="B8" s="1607" t="s">
        <v>1787</v>
      </c>
      <c r="C8" s="1607"/>
      <c r="D8" s="1607"/>
      <c r="E8" s="1607"/>
      <c r="F8" s="1607"/>
      <c r="G8" s="1607"/>
      <c r="H8" s="1607"/>
      <c r="I8" s="1607"/>
      <c r="J8" s="1607"/>
      <c r="K8" s="1607"/>
      <c r="L8" s="1607"/>
      <c r="M8" s="1607"/>
      <c r="N8" s="1607"/>
      <c r="O8" s="1607"/>
      <c r="P8" s="1607"/>
      <c r="Q8" s="1607"/>
      <c r="R8" s="1607"/>
      <c r="S8" s="1607"/>
      <c r="T8" s="1607"/>
      <c r="U8" s="1607"/>
      <c r="V8" s="1607"/>
      <c r="W8" s="1607"/>
      <c r="X8" s="1607"/>
      <c r="Y8" s="4786" t="s">
        <v>99</v>
      </c>
      <c r="Z8" s="1443"/>
      <c r="AA8" s="1443"/>
      <c r="AB8" s="1443"/>
      <c r="AC8" s="1965"/>
      <c r="AD8" s="2121"/>
      <c r="AE8" s="2121"/>
      <c r="AF8" s="2121"/>
      <c r="AG8" s="2121"/>
      <c r="AH8" s="2121"/>
      <c r="AI8" s="2121"/>
      <c r="AJ8" s="2121"/>
      <c r="AK8" s="1228"/>
    </row>
    <row r="9" spans="1:62" ht="13.5" customHeight="1">
      <c r="A9" s="1228"/>
      <c r="B9" s="7564" t="str">
        <f>IF(Names="","",Names)</f>
        <v/>
      </c>
      <c r="C9" s="7565"/>
      <c r="D9" s="7565"/>
      <c r="E9" s="7565"/>
      <c r="F9" s="7565"/>
      <c r="G9" s="7565"/>
      <c r="H9" s="7565"/>
      <c r="I9" s="7565"/>
      <c r="J9" s="7565"/>
      <c r="K9" s="7565"/>
      <c r="L9" s="5924"/>
      <c r="M9" s="5924"/>
      <c r="N9" s="5924"/>
      <c r="O9" s="5924"/>
      <c r="P9" s="5924"/>
      <c r="Q9" s="5924"/>
      <c r="R9" s="5924"/>
      <c r="S9" s="5924"/>
      <c r="T9" s="6052"/>
      <c r="U9" s="6052"/>
      <c r="V9" s="6052"/>
      <c r="W9" s="6052"/>
      <c r="X9" s="7376"/>
      <c r="Y9" s="7567">
        <f>IF(NoSSN,"",SS_Yours)</f>
        <v>0</v>
      </c>
      <c r="Z9" s="5579"/>
      <c r="AA9" s="5579"/>
      <c r="AB9" s="5579"/>
      <c r="AC9" s="5579"/>
      <c r="AD9" s="5579"/>
      <c r="AE9" s="5579"/>
      <c r="AF9" s="5579"/>
      <c r="AG9" s="5579"/>
      <c r="AH9" s="5579"/>
      <c r="AI9" s="5579"/>
      <c r="AJ9" s="5579"/>
      <c r="AK9" s="1228"/>
    </row>
    <row r="10" spans="1:62" ht="5.25" customHeight="1">
      <c r="A10" s="1228"/>
      <c r="B10" s="7566"/>
      <c r="C10" s="7566"/>
      <c r="D10" s="7566"/>
      <c r="E10" s="7566"/>
      <c r="F10" s="7566"/>
      <c r="G10" s="7566"/>
      <c r="H10" s="7566"/>
      <c r="I10" s="7566"/>
      <c r="J10" s="7566"/>
      <c r="K10" s="7566"/>
      <c r="L10" s="7566"/>
      <c r="M10" s="7566"/>
      <c r="N10" s="7566"/>
      <c r="O10" s="7566"/>
      <c r="P10" s="7566"/>
      <c r="Q10" s="7566"/>
      <c r="R10" s="7566"/>
      <c r="S10" s="7566"/>
      <c r="T10" s="7378"/>
      <c r="U10" s="7378"/>
      <c r="V10" s="7378"/>
      <c r="W10" s="7378"/>
      <c r="X10" s="7379"/>
      <c r="Y10" s="5580"/>
      <c r="Z10" s="5577"/>
      <c r="AA10" s="5577"/>
      <c r="AB10" s="5577"/>
      <c r="AC10" s="5577"/>
      <c r="AD10" s="5577"/>
      <c r="AE10" s="5577"/>
      <c r="AF10" s="5577"/>
      <c r="AG10" s="5577"/>
      <c r="AH10" s="5577"/>
      <c r="AI10" s="5577"/>
      <c r="AJ10" s="5577"/>
      <c r="AK10" s="1228"/>
    </row>
    <row r="11" spans="1:62" ht="5.25" customHeight="1">
      <c r="A11" s="1228"/>
      <c r="B11" s="2201"/>
      <c r="C11" s="2201"/>
      <c r="D11" s="2201"/>
      <c r="E11" s="2201"/>
      <c r="F11" s="2201"/>
      <c r="G11" s="2201"/>
      <c r="H11" s="2201"/>
      <c r="I11" s="2201"/>
      <c r="J11" s="2201"/>
      <c r="K11" s="2201"/>
      <c r="L11" s="2201"/>
      <c r="M11" s="2201"/>
      <c r="N11" s="2201"/>
      <c r="O11" s="2201"/>
      <c r="P11" s="2201"/>
      <c r="Q11" s="2201"/>
      <c r="R11" s="2201"/>
      <c r="S11" s="2201"/>
      <c r="T11" s="2201"/>
      <c r="U11" s="2201"/>
      <c r="V11" s="2201"/>
      <c r="W11" s="2201"/>
      <c r="X11" s="2201"/>
      <c r="Y11" s="2201"/>
      <c r="Z11" s="2201"/>
      <c r="AA11" s="2201"/>
      <c r="AB11" s="2201"/>
      <c r="AC11" s="2201"/>
      <c r="AD11" s="2201"/>
      <c r="AE11" s="2201"/>
      <c r="AF11" s="2201"/>
      <c r="AG11" s="2201"/>
      <c r="AH11" s="2201"/>
      <c r="AI11" s="2201"/>
      <c r="AJ11" s="2201"/>
      <c r="AK11" s="1228"/>
    </row>
    <row r="12" spans="1:62" ht="15" customHeight="1">
      <c r="A12" s="1228"/>
      <c r="B12" s="7470" t="s">
        <v>58</v>
      </c>
      <c r="C12" s="6273"/>
      <c r="D12" s="4787" t="s">
        <v>1788</v>
      </c>
      <c r="E12" s="2205"/>
      <c r="F12" s="2205"/>
      <c r="G12" s="2205"/>
      <c r="H12" s="2205"/>
      <c r="I12" s="2205"/>
      <c r="J12" s="2205"/>
      <c r="K12" s="2205"/>
      <c r="L12" s="2205"/>
      <c r="M12" s="2205"/>
      <c r="N12" s="2205"/>
      <c r="O12" s="2205"/>
      <c r="P12" s="2205"/>
      <c r="Q12" s="2205"/>
      <c r="R12" s="2205"/>
      <c r="S12" s="2205"/>
      <c r="T12" s="2205"/>
      <c r="U12" s="2205"/>
      <c r="V12" s="2205"/>
      <c r="W12" s="2205"/>
      <c r="X12" s="2205"/>
      <c r="Y12" s="2205"/>
      <c r="Z12" s="2205"/>
      <c r="AA12" s="2205"/>
      <c r="AB12" s="2205"/>
      <c r="AC12" s="2205"/>
      <c r="AD12" s="2205"/>
      <c r="AE12" s="2205"/>
      <c r="AF12" s="2205"/>
      <c r="AG12" s="2205"/>
      <c r="AH12" s="2205"/>
      <c r="AI12" s="2205"/>
      <c r="AJ12" s="2205"/>
      <c r="AK12" s="1228"/>
    </row>
    <row r="13" spans="1:62" ht="6" customHeight="1">
      <c r="A13" s="1228"/>
      <c r="B13" s="2206"/>
      <c r="C13" s="2206"/>
      <c r="D13" s="2206"/>
      <c r="E13" s="2206"/>
      <c r="F13" s="2206"/>
      <c r="G13" s="2206"/>
      <c r="H13" s="2206"/>
      <c r="I13" s="2206"/>
      <c r="J13" s="2206"/>
      <c r="K13" s="2206"/>
      <c r="L13" s="2206"/>
      <c r="M13" s="2206"/>
      <c r="N13" s="2206"/>
      <c r="O13" s="2206"/>
      <c r="P13" s="2206"/>
      <c r="Q13" s="2206"/>
      <c r="R13" s="2206"/>
      <c r="S13" s="2206"/>
      <c r="T13" s="2206"/>
      <c r="U13" s="2206"/>
      <c r="V13" s="2206"/>
      <c r="W13" s="2206"/>
      <c r="X13" s="2206"/>
      <c r="Y13" s="2206"/>
      <c r="Z13" s="2206"/>
      <c r="AA13" s="2206"/>
      <c r="AB13" s="2206"/>
      <c r="AC13" s="2206"/>
      <c r="AD13" s="2206"/>
      <c r="AE13" s="2206"/>
      <c r="AF13" s="2206"/>
      <c r="AG13" s="2206"/>
      <c r="AH13" s="2206"/>
      <c r="AI13" s="2206"/>
      <c r="AJ13" s="2206"/>
      <c r="AK13" s="1228"/>
    </row>
    <row r="14" spans="1:62" ht="15" customHeight="1">
      <c r="A14" s="1228"/>
      <c r="B14" s="1443"/>
      <c r="C14" s="1939" t="s">
        <v>165</v>
      </c>
      <c r="D14" s="1607" t="s">
        <v>1789</v>
      </c>
      <c r="E14" s="1443"/>
      <c r="F14" s="1443"/>
      <c r="G14" s="1443"/>
      <c r="H14" s="1443"/>
      <c r="I14" s="1443"/>
      <c r="J14" s="1443"/>
      <c r="K14" s="1443"/>
      <c r="L14" s="1443"/>
      <c r="M14" s="1443"/>
      <c r="N14" s="1443"/>
      <c r="O14" s="1443"/>
      <c r="P14" s="1443"/>
      <c r="Q14" s="1443"/>
      <c r="R14" s="1443"/>
      <c r="S14" s="1443"/>
      <c r="T14" s="1443"/>
      <c r="U14" s="1443"/>
      <c r="V14" s="1443"/>
      <c r="W14" s="1443"/>
      <c r="X14" s="1443"/>
      <c r="Y14" s="2238" t="s">
        <v>166</v>
      </c>
      <c r="Z14" s="2127" t="s">
        <v>124</v>
      </c>
      <c r="AA14" s="1443"/>
      <c r="AB14" s="1443"/>
      <c r="AC14" s="1443"/>
      <c r="AD14" s="1443"/>
      <c r="AE14" s="1443"/>
      <c r="AF14" s="1443"/>
      <c r="AG14" s="1443"/>
      <c r="AH14" s="1443"/>
      <c r="AI14" s="1443"/>
      <c r="AJ14" s="1443"/>
      <c r="AK14" s="1228"/>
      <c r="AN14" s="2210"/>
      <c r="AO14" s="2211"/>
      <c r="AP14" s="2211"/>
      <c r="AZ14" s="2210"/>
      <c r="BA14" s="2211"/>
      <c r="BB14" s="2211"/>
      <c r="BC14" s="2211"/>
      <c r="BD14" s="2211"/>
      <c r="BE14" s="2211"/>
      <c r="BF14" s="2211"/>
      <c r="BG14" s="2211"/>
      <c r="BH14" s="2211"/>
      <c r="BI14" s="2211"/>
      <c r="BJ14" s="2211"/>
    </row>
    <row r="15" spans="1:62" ht="16.5" customHeight="1">
      <c r="A15" s="1228"/>
      <c r="B15" s="7589"/>
      <c r="C15" s="7590"/>
      <c r="D15" s="7590"/>
      <c r="E15" s="7590"/>
      <c r="F15" s="7590"/>
      <c r="G15" s="7590"/>
      <c r="H15" s="7590"/>
      <c r="I15" s="7590"/>
      <c r="J15" s="7590"/>
      <c r="K15" s="7590"/>
      <c r="L15" s="7590"/>
      <c r="M15" s="7590"/>
      <c r="N15" s="7590"/>
      <c r="O15" s="7590"/>
      <c r="P15" s="7590"/>
      <c r="Q15" s="7590"/>
      <c r="R15" s="7590"/>
      <c r="S15" s="7590"/>
      <c r="T15" s="7590"/>
      <c r="U15" s="7590"/>
      <c r="V15" s="7590"/>
      <c r="W15" s="7590"/>
      <c r="X15" s="7591"/>
      <c r="Y15" s="7592"/>
      <c r="Z15" s="6670"/>
      <c r="AA15" s="6670"/>
      <c r="AB15" s="6670"/>
      <c r="AC15" s="6670"/>
      <c r="AD15" s="6670"/>
      <c r="AE15" s="6670"/>
      <c r="AF15" s="6670"/>
      <c r="AG15" s="6670"/>
      <c r="AH15" s="6670"/>
      <c r="AI15" s="6670"/>
      <c r="AJ15" s="6670"/>
      <c r="AK15" s="1228"/>
      <c r="AN15" s="2211"/>
      <c r="AO15" s="2211"/>
      <c r="AP15" s="2211"/>
      <c r="AZ15" s="2211"/>
      <c r="BA15" s="2211"/>
      <c r="BB15" s="2211"/>
      <c r="BC15" s="2211"/>
      <c r="BD15" s="2211"/>
      <c r="BE15" s="2211"/>
      <c r="BF15" s="2211"/>
      <c r="BG15" s="2211"/>
      <c r="BH15" s="2211"/>
      <c r="BI15" s="2211"/>
      <c r="BJ15" s="2211"/>
    </row>
    <row r="16" spans="1:62" ht="15" customHeight="1">
      <c r="A16" s="1228"/>
      <c r="B16" s="1443"/>
      <c r="C16" s="1939" t="s">
        <v>167</v>
      </c>
      <c r="D16" s="1607" t="s">
        <v>1790</v>
      </c>
      <c r="E16" s="1443"/>
      <c r="F16" s="1443"/>
      <c r="G16" s="1443"/>
      <c r="H16" s="1443"/>
      <c r="I16" s="7560"/>
      <c r="J16" s="7593"/>
      <c r="K16" s="7594"/>
      <c r="L16" s="7594"/>
      <c r="M16" s="7594"/>
      <c r="N16" s="7594"/>
      <c r="O16" s="7594"/>
      <c r="P16" s="7594"/>
      <c r="Q16" s="7594"/>
      <c r="R16" s="7594"/>
      <c r="S16" s="7594"/>
      <c r="T16" s="7594"/>
      <c r="U16" s="7594"/>
      <c r="V16" s="7594"/>
      <c r="W16" s="7594"/>
      <c r="X16" s="7594"/>
      <c r="Y16" s="7594"/>
      <c r="Z16" s="7594"/>
      <c r="AA16" s="7594"/>
      <c r="AB16" s="7594"/>
      <c r="AC16" s="7594"/>
      <c r="AD16" s="7594"/>
      <c r="AE16" s="7594"/>
      <c r="AF16" s="7595"/>
      <c r="AG16" s="7595"/>
      <c r="AH16" s="7595"/>
      <c r="AI16" s="7595"/>
      <c r="AJ16" s="7595"/>
      <c r="AK16" s="1228"/>
      <c r="AN16" s="2211"/>
      <c r="AO16" s="2211"/>
      <c r="AP16" s="2211"/>
      <c r="AZ16" s="2211"/>
      <c r="BA16" s="2211"/>
      <c r="BB16" s="2211"/>
      <c r="BC16" s="2211"/>
      <c r="BD16" s="2211"/>
      <c r="BE16" s="2211"/>
      <c r="BF16" s="2211"/>
      <c r="BG16" s="2211"/>
      <c r="BH16" s="2211"/>
      <c r="BI16" s="2211"/>
      <c r="BJ16" s="2211"/>
    </row>
    <row r="17" spans="1:75" ht="15" customHeight="1">
      <c r="A17" s="1228"/>
      <c r="B17" s="1443"/>
      <c r="C17" s="2240" t="s">
        <v>1795</v>
      </c>
      <c r="D17" s="1607" t="s">
        <v>1791</v>
      </c>
      <c r="E17" s="1443"/>
      <c r="F17" s="1443"/>
      <c r="G17" s="1443"/>
      <c r="H17" s="1443"/>
      <c r="I17" s="1443"/>
      <c r="J17" s="1443"/>
      <c r="K17" s="7556"/>
      <c r="L17" s="7596"/>
      <c r="M17" s="7596"/>
      <c r="N17" s="7596"/>
      <c r="O17" s="7596"/>
      <c r="P17" s="7596"/>
      <c r="Q17" s="7596"/>
      <c r="R17" s="7596"/>
      <c r="S17" s="7596"/>
      <c r="T17" s="7596"/>
      <c r="U17" s="7596"/>
      <c r="V17" s="7596"/>
      <c r="W17" s="7596"/>
      <c r="X17" s="7596"/>
      <c r="Y17" s="7596"/>
      <c r="Z17" s="7596"/>
      <c r="AA17" s="7596"/>
      <c r="AB17" s="7596"/>
      <c r="AC17" s="7596"/>
      <c r="AD17" s="7596"/>
      <c r="AE17" s="7596"/>
      <c r="AF17" s="7596"/>
      <c r="AG17" s="7596"/>
      <c r="AH17" s="7596"/>
      <c r="AI17" s="7596"/>
      <c r="AJ17" s="7596"/>
      <c r="AK17" s="1228"/>
      <c r="AN17" s="2211"/>
      <c r="AO17" s="2211"/>
      <c r="AP17" s="2211"/>
      <c r="AZ17" s="2211"/>
      <c r="BA17" s="2211"/>
      <c r="BB17" s="2211"/>
      <c r="BC17" s="2211"/>
      <c r="BD17" s="2211"/>
      <c r="BE17" s="2211"/>
      <c r="BF17" s="2211"/>
      <c r="BG17" s="2211"/>
      <c r="BH17" s="2211"/>
      <c r="BI17" s="2211"/>
      <c r="BJ17" s="2211"/>
    </row>
    <row r="18" spans="1:75" ht="15" customHeight="1">
      <c r="A18" s="1228"/>
      <c r="B18" s="1443"/>
      <c r="C18" s="2239" t="s">
        <v>1793</v>
      </c>
      <c r="D18" s="1607" t="s">
        <v>1792</v>
      </c>
      <c r="E18" s="1443"/>
      <c r="F18" s="1443"/>
      <c r="G18" s="1443"/>
      <c r="H18" s="1443"/>
      <c r="I18" s="1443"/>
      <c r="J18" s="1443"/>
      <c r="K18" s="7556"/>
      <c r="L18" s="7596"/>
      <c r="M18" s="7596"/>
      <c r="N18" s="7596"/>
      <c r="O18" s="7596"/>
      <c r="P18" s="7596"/>
      <c r="Q18" s="7596"/>
      <c r="R18" s="7596"/>
      <c r="S18" s="7596"/>
      <c r="T18" s="7596"/>
      <c r="U18" s="7596"/>
      <c r="V18" s="7596"/>
      <c r="W18" s="7596"/>
      <c r="X18" s="7596"/>
      <c r="Y18" s="7596"/>
      <c r="Z18" s="7596"/>
      <c r="AA18" s="7596"/>
      <c r="AB18" s="7596"/>
      <c r="AC18" s="7596"/>
      <c r="AD18" s="7596"/>
      <c r="AE18" s="7596"/>
      <c r="AF18" s="7596"/>
      <c r="AG18" s="7596"/>
      <c r="AH18" s="7596"/>
      <c r="AI18" s="7596"/>
      <c r="AJ18" s="7596"/>
      <c r="AK18" s="1228"/>
    </row>
    <row r="19" spans="1:75" ht="5.25" customHeight="1" thickBot="1">
      <c r="A19" s="1228"/>
      <c r="B19" s="1443"/>
      <c r="C19" s="1443"/>
      <c r="D19" s="1443"/>
      <c r="E19" s="1443"/>
      <c r="F19" s="1443"/>
      <c r="G19" s="1443"/>
      <c r="H19" s="1443"/>
      <c r="I19" s="1443"/>
      <c r="J19" s="1443"/>
      <c r="K19" s="1443"/>
      <c r="L19" s="1443"/>
      <c r="M19" s="1443"/>
      <c r="N19" s="1443"/>
      <c r="O19" s="1443"/>
      <c r="P19" s="1443"/>
      <c r="Q19" s="1443"/>
      <c r="R19" s="1443"/>
      <c r="S19" s="1443"/>
      <c r="T19" s="1443"/>
      <c r="U19" s="1443"/>
      <c r="V19" s="1443"/>
      <c r="W19" s="1443"/>
      <c r="X19" s="1443"/>
      <c r="Y19" s="1443"/>
      <c r="Z19" s="1443"/>
      <c r="AA19" s="1443"/>
      <c r="AB19" s="1443"/>
      <c r="AC19" s="1443"/>
      <c r="AD19" s="1443"/>
      <c r="AE19" s="1443"/>
      <c r="AF19" s="1443"/>
      <c r="AG19" s="1443"/>
      <c r="AH19" s="1443"/>
      <c r="AI19" s="1443"/>
      <c r="AJ19" s="1443"/>
      <c r="AK19" s="1228"/>
      <c r="BL19" s="2222"/>
      <c r="BM19" s="2222"/>
      <c r="BO19" s="2222"/>
      <c r="BP19" s="2222"/>
      <c r="BQ19" s="2222"/>
      <c r="BR19" s="2222"/>
      <c r="BS19" s="2222"/>
      <c r="BT19" s="2222"/>
      <c r="BU19" s="2222"/>
      <c r="BV19" s="2222"/>
    </row>
    <row r="20" spans="1:75" ht="13.5" customHeight="1" thickBot="1">
      <c r="A20" s="1228"/>
      <c r="B20" s="1443"/>
      <c r="C20" s="2240" t="s">
        <v>228</v>
      </c>
      <c r="D20" s="7552" t="s">
        <v>1794</v>
      </c>
      <c r="E20" s="6052"/>
      <c r="F20" s="6052"/>
      <c r="G20" s="6052"/>
      <c r="H20" s="6052"/>
      <c r="I20" s="1443"/>
      <c r="J20" s="2239" t="s">
        <v>1798</v>
      </c>
      <c r="K20" s="1445"/>
      <c r="L20" s="1607" t="s">
        <v>1796</v>
      </c>
      <c r="M20" s="1443"/>
      <c r="N20" s="1443"/>
      <c r="O20" s="1443"/>
      <c r="P20" s="1443"/>
      <c r="Q20" s="1443"/>
      <c r="R20" s="1443"/>
      <c r="S20" s="1443"/>
      <c r="T20" s="1443"/>
      <c r="U20" s="2239" t="s">
        <v>1793</v>
      </c>
      <c r="V20" s="1445"/>
      <c r="W20" s="1607" t="s">
        <v>1803</v>
      </c>
      <c r="X20" s="1443"/>
      <c r="Y20" s="1443"/>
      <c r="Z20" s="1443"/>
      <c r="AA20" s="1443"/>
      <c r="AB20" s="1443"/>
      <c r="AC20" s="2239" t="s">
        <v>1799</v>
      </c>
      <c r="AD20" s="1445"/>
      <c r="AE20" s="1607" t="s">
        <v>1802</v>
      </c>
      <c r="AF20" s="1443"/>
      <c r="AG20" s="1443"/>
      <c r="AH20" s="1443"/>
      <c r="AI20" s="1443"/>
      <c r="AJ20" s="1443"/>
      <c r="AK20" s="1228"/>
    </row>
    <row r="21" spans="1:75" ht="6" customHeight="1" thickBot="1">
      <c r="A21" s="1228"/>
      <c r="B21" s="1443"/>
      <c r="C21" s="1443"/>
      <c r="D21" s="6052"/>
      <c r="E21" s="6052"/>
      <c r="F21" s="6052"/>
      <c r="G21" s="6052"/>
      <c r="H21" s="6052"/>
      <c r="I21" s="1443"/>
      <c r="J21" s="1443"/>
      <c r="K21" s="2203"/>
      <c r="L21" s="1443"/>
      <c r="M21" s="1443"/>
      <c r="N21" s="1443"/>
      <c r="O21" s="1443"/>
      <c r="P21" s="1443"/>
      <c r="Q21" s="1443"/>
      <c r="R21" s="1443"/>
      <c r="S21" s="1443"/>
      <c r="T21" s="1443"/>
      <c r="U21" s="2100"/>
      <c r="V21" s="1443"/>
      <c r="W21" s="1443"/>
      <c r="X21" s="1443"/>
      <c r="Y21" s="1443"/>
      <c r="Z21" s="1443"/>
      <c r="AA21" s="1443"/>
      <c r="AB21" s="1443"/>
      <c r="AC21" s="1443"/>
      <c r="AD21" s="1443"/>
      <c r="AE21" s="1443"/>
      <c r="AF21" s="1443"/>
      <c r="AG21" s="1443"/>
      <c r="AH21" s="1443"/>
      <c r="AI21" s="1443"/>
      <c r="AJ21" s="1443"/>
      <c r="AK21" s="1228"/>
    </row>
    <row r="22" spans="1:75" ht="13.5" customHeight="1" thickBot="1">
      <c r="A22" s="1228"/>
      <c r="B22" s="1443"/>
      <c r="C22" s="1443"/>
      <c r="D22" s="6052"/>
      <c r="E22" s="6052"/>
      <c r="F22" s="6052"/>
      <c r="G22" s="6052"/>
      <c r="H22" s="6052"/>
      <c r="I22" s="1443"/>
      <c r="J22" s="2239" t="s">
        <v>1800</v>
      </c>
      <c r="K22" s="1445"/>
      <c r="L22" s="1607" t="s">
        <v>1797</v>
      </c>
      <c r="M22" s="1443"/>
      <c r="N22" s="1443"/>
      <c r="O22" s="1443"/>
      <c r="P22" s="1443"/>
      <c r="Q22" s="1443"/>
      <c r="R22" s="1443"/>
      <c r="S22" s="1443"/>
      <c r="T22" s="1443"/>
      <c r="U22" s="2239" t="s">
        <v>1801</v>
      </c>
      <c r="V22" s="1445"/>
      <c r="W22" s="1607" t="s">
        <v>1804</v>
      </c>
      <c r="X22" s="1443"/>
      <c r="Y22" s="1443"/>
      <c r="Z22" s="1443"/>
      <c r="AA22" s="1443"/>
      <c r="AB22" s="7471"/>
      <c r="AC22" s="7472"/>
      <c r="AD22" s="7472"/>
      <c r="AE22" s="7472"/>
      <c r="AF22" s="7472"/>
      <c r="AG22" s="7472"/>
      <c r="AH22" s="7472"/>
      <c r="AI22" s="7472"/>
      <c r="AJ22" s="7472"/>
      <c r="AK22" s="1228"/>
    </row>
    <row r="23" spans="1:75" ht="15.75" thickBot="1">
      <c r="A23" s="1228"/>
      <c r="B23" s="1443"/>
      <c r="C23" s="2240" t="s">
        <v>1806</v>
      </c>
      <c r="D23" s="1607" t="s">
        <v>1805</v>
      </c>
      <c r="E23" s="1443"/>
      <c r="F23" s="1443"/>
      <c r="G23" s="1443"/>
      <c r="H23" s="1443"/>
      <c r="I23" s="1443"/>
      <c r="J23" s="1443"/>
      <c r="K23" s="1443"/>
      <c r="L23" s="1443"/>
      <c r="M23" s="1443"/>
      <c r="N23" s="1443"/>
      <c r="O23" s="1443"/>
      <c r="P23" s="1443"/>
      <c r="Q23" s="1443"/>
      <c r="R23" s="1443"/>
      <c r="S23" s="1443"/>
      <c r="T23" s="1443"/>
      <c r="U23" s="1443"/>
      <c r="V23" s="1443"/>
      <c r="W23" s="1443"/>
      <c r="X23" s="1443"/>
      <c r="Y23" s="7471"/>
      <c r="Z23" s="7484"/>
      <c r="AA23" s="7472"/>
      <c r="AB23" s="7472"/>
      <c r="AC23" s="7472"/>
      <c r="AD23" s="7472"/>
      <c r="AE23" s="7472"/>
      <c r="AF23" s="7472"/>
      <c r="AG23" s="7472"/>
      <c r="AH23" s="7472"/>
      <c r="AI23" s="7472"/>
      <c r="AJ23" s="7472"/>
      <c r="AK23" s="1228"/>
      <c r="AN23" s="2214"/>
      <c r="AO23" s="2215"/>
      <c r="AZ23" s="2214"/>
      <c r="BA23" s="2215"/>
    </row>
    <row r="24" spans="1:75" ht="15.75" thickBot="1">
      <c r="A24" s="1228"/>
      <c r="B24" s="1443"/>
      <c r="C24" s="2239" t="s">
        <v>1793</v>
      </c>
      <c r="D24" s="1607" t="s">
        <v>2063</v>
      </c>
      <c r="E24" s="1443"/>
      <c r="F24" s="1443"/>
      <c r="G24" s="1443"/>
      <c r="H24" s="1443"/>
      <c r="I24" s="1443"/>
      <c r="J24" s="1443"/>
      <c r="K24" s="1443"/>
      <c r="L24" s="1443"/>
      <c r="M24" s="1443"/>
      <c r="N24" s="1443"/>
      <c r="O24" s="1443"/>
      <c r="P24" s="1443"/>
      <c r="Q24" s="1443"/>
      <c r="R24" s="1443"/>
      <c r="S24" s="1443"/>
      <c r="T24" s="1443"/>
      <c r="U24" s="1443"/>
      <c r="V24" s="1443"/>
      <c r="W24" s="1443"/>
      <c r="X24" s="1443"/>
      <c r="Y24" s="1443"/>
      <c r="Z24" s="1445"/>
      <c r="AA24" s="1607" t="s">
        <v>1807</v>
      </c>
      <c r="AB24" s="1443"/>
      <c r="AC24" s="1443"/>
      <c r="AD24" s="1443"/>
      <c r="AE24" s="1443"/>
      <c r="AF24" s="1443"/>
      <c r="AG24" s="1443"/>
      <c r="AH24" s="1443"/>
      <c r="AI24" s="1443"/>
      <c r="AJ24" s="1443"/>
      <c r="AK24" s="1228"/>
      <c r="AO24" s="2215"/>
      <c r="BA24" s="2215"/>
      <c r="BF24" s="2214"/>
    </row>
    <row r="25" spans="1:75" ht="13.5" customHeight="1" thickBot="1">
      <c r="A25" s="1228"/>
      <c r="B25" s="1443"/>
      <c r="C25" s="2239" t="s">
        <v>1799</v>
      </c>
      <c r="D25" s="1443" t="s">
        <v>1808</v>
      </c>
      <c r="E25" s="1443"/>
      <c r="F25" s="1443"/>
      <c r="G25" s="1443"/>
      <c r="H25" s="1443"/>
      <c r="I25" s="1443"/>
      <c r="J25" s="1443"/>
      <c r="K25" s="1443"/>
      <c r="L25" s="1443"/>
      <c r="M25" s="1443"/>
      <c r="N25" s="1443"/>
      <c r="O25" s="1443"/>
      <c r="P25" s="1443"/>
      <c r="Q25" s="1443"/>
      <c r="R25" s="1443"/>
      <c r="S25" s="1443"/>
      <c r="T25" s="1443"/>
      <c r="U25" s="1443"/>
      <c r="V25" s="1443"/>
      <c r="W25" s="1443"/>
      <c r="X25" s="1443"/>
      <c r="Y25" s="1443"/>
      <c r="Z25" s="1443"/>
      <c r="AA25" s="1443"/>
      <c r="AB25" s="1443"/>
      <c r="AC25" s="1443"/>
      <c r="AD25" s="1553" t="s">
        <v>763</v>
      </c>
      <c r="AE25" s="1445"/>
      <c r="AF25" s="1615" t="s">
        <v>307</v>
      </c>
      <c r="AG25" s="1443"/>
      <c r="AH25" s="1445"/>
      <c r="AI25" s="1615" t="s">
        <v>308</v>
      </c>
      <c r="AJ25" s="1443"/>
      <c r="AK25" s="1228"/>
      <c r="AO25" s="2215"/>
      <c r="BA25" s="2215"/>
      <c r="BF25" s="2214"/>
      <c r="BG25" s="2212"/>
    </row>
    <row r="26" spans="1:75" ht="12.75" customHeight="1">
      <c r="A26" s="1228"/>
      <c r="B26" s="1443"/>
      <c r="C26" s="2239" t="s">
        <v>1800</v>
      </c>
      <c r="D26" s="1607" t="s">
        <v>1809</v>
      </c>
      <c r="E26" s="1443"/>
      <c r="F26" s="1443"/>
      <c r="G26" s="1443"/>
      <c r="H26" s="1443"/>
      <c r="I26" s="1443"/>
      <c r="J26" s="1443"/>
      <c r="K26" s="1443"/>
      <c r="L26" s="1443"/>
      <c r="M26" s="1443"/>
      <c r="N26" s="1443"/>
      <c r="O26" s="1443"/>
      <c r="P26" s="1443"/>
      <c r="Q26" s="1443"/>
      <c r="R26" s="1443"/>
      <c r="S26" s="1443"/>
      <c r="T26" s="1443"/>
      <c r="U26" s="1443"/>
      <c r="V26" s="1443"/>
      <c r="W26" s="1443"/>
      <c r="X26" s="1443"/>
      <c r="Y26" s="1443"/>
      <c r="Z26" s="1443"/>
      <c r="AA26" s="1443"/>
      <c r="AB26" s="1443"/>
      <c r="AC26" s="7471"/>
      <c r="AD26" s="7485"/>
      <c r="AE26" s="7485"/>
      <c r="AF26" s="7485"/>
      <c r="AG26" s="7485"/>
      <c r="AH26" s="7485"/>
      <c r="AI26" s="7485"/>
      <c r="AJ26" s="7485"/>
      <c r="AK26" s="1228"/>
      <c r="AO26" s="2215"/>
      <c r="BA26" s="2215"/>
    </row>
    <row r="27" spans="1:75" ht="15">
      <c r="A27" s="1228"/>
      <c r="B27" s="1443"/>
      <c r="C27" s="1939" t="s">
        <v>113</v>
      </c>
      <c r="D27" s="1443" t="s">
        <v>1810</v>
      </c>
      <c r="E27" s="1443"/>
      <c r="F27" s="1443"/>
      <c r="G27" s="1443"/>
      <c r="H27" s="1443"/>
      <c r="I27" s="1443"/>
      <c r="J27" s="1443"/>
      <c r="K27" s="1443"/>
      <c r="L27" s="1443"/>
      <c r="M27" s="1443"/>
      <c r="N27" s="1443"/>
      <c r="O27" s="7471"/>
      <c r="P27" s="7472"/>
      <c r="Q27" s="7472"/>
      <c r="R27" s="7472"/>
      <c r="S27" s="7472"/>
      <c r="T27" s="7472"/>
      <c r="U27" s="7472"/>
      <c r="V27" s="7472"/>
      <c r="W27" s="7472"/>
      <c r="X27" s="7472"/>
      <c r="Y27" s="7472"/>
      <c r="Z27" s="7472"/>
      <c r="AA27" s="7472"/>
      <c r="AB27" s="7472"/>
      <c r="AC27" s="7472"/>
      <c r="AD27" s="7472"/>
      <c r="AE27" s="7472"/>
      <c r="AF27" s="7472"/>
      <c r="AG27" s="7472"/>
      <c r="AH27" s="7472"/>
      <c r="AI27" s="7472"/>
      <c r="AJ27" s="7472"/>
      <c r="AK27" s="1228"/>
      <c r="AN27" s="2214"/>
      <c r="AO27" s="2215"/>
      <c r="AZ27" s="2214"/>
      <c r="BA27" s="2215"/>
    </row>
    <row r="28" spans="1:75" ht="15" customHeight="1" thickBot="1">
      <c r="A28" s="1228"/>
      <c r="B28" s="1443"/>
      <c r="C28" s="2240" t="s">
        <v>1812</v>
      </c>
      <c r="D28" s="1443" t="s">
        <v>1811</v>
      </c>
      <c r="E28" s="1443"/>
      <c r="F28" s="1443"/>
      <c r="G28" s="1443"/>
      <c r="H28" s="1443"/>
      <c r="I28" s="1443"/>
      <c r="J28" s="1443"/>
      <c r="K28" s="1443"/>
      <c r="L28" s="1443"/>
      <c r="M28" s="1443"/>
      <c r="N28" s="1443"/>
      <c r="O28" s="1443"/>
      <c r="P28" s="1443"/>
      <c r="Q28" s="1443"/>
      <c r="R28" s="1443"/>
      <c r="S28" s="1443"/>
      <c r="T28" s="1443"/>
      <c r="U28" s="1443"/>
      <c r="V28" s="1443"/>
      <c r="W28" s="1443"/>
      <c r="X28" s="1443"/>
      <c r="Y28" s="1443"/>
      <c r="Z28" s="1443"/>
      <c r="AA28" s="1443"/>
      <c r="AB28" s="1443"/>
      <c r="AC28" s="1443"/>
      <c r="AD28" s="1443"/>
      <c r="AE28" s="1443"/>
      <c r="AF28" s="1443"/>
      <c r="AG28" s="1443"/>
      <c r="AH28" s="1443"/>
      <c r="AI28" s="1443"/>
      <c r="AJ28" s="1443"/>
      <c r="AK28" s="1228"/>
      <c r="AM28" s="2212"/>
      <c r="AO28" s="2215"/>
      <c r="BA28" s="2215"/>
    </row>
    <row r="29" spans="1:75" ht="13.5" customHeight="1" thickBot="1">
      <c r="A29" s="1228"/>
      <c r="B29" s="1443"/>
      <c r="C29" s="1443"/>
      <c r="D29" s="1607" t="s">
        <v>4451</v>
      </c>
      <c r="E29" s="1443"/>
      <c r="F29" s="1443"/>
      <c r="G29" s="1443"/>
      <c r="H29" s="1443"/>
      <c r="I29" s="1443"/>
      <c r="J29" s="1443"/>
      <c r="K29" s="1443"/>
      <c r="L29" s="1443"/>
      <c r="M29" s="1443"/>
      <c r="N29" s="1443"/>
      <c r="O29" s="1443"/>
      <c r="P29" s="1443"/>
      <c r="Q29" s="1443"/>
      <c r="R29" s="1443"/>
      <c r="S29" s="1443"/>
      <c r="T29" s="1443"/>
      <c r="U29" s="1443"/>
      <c r="V29" s="1443"/>
      <c r="W29" s="1443"/>
      <c r="X29" s="1443"/>
      <c r="Y29" s="1443"/>
      <c r="Z29" s="1443"/>
      <c r="AA29" s="1443"/>
      <c r="AB29" s="1443"/>
      <c r="AC29" s="1443"/>
      <c r="AD29" s="1553" t="s">
        <v>1150</v>
      </c>
      <c r="AE29" s="1445"/>
      <c r="AF29" s="1615" t="s">
        <v>307</v>
      </c>
      <c r="AG29" s="1443"/>
      <c r="AH29" s="1445"/>
      <c r="AI29" s="1615" t="s">
        <v>308</v>
      </c>
      <c r="AJ29" s="1443"/>
      <c r="AK29" s="1228"/>
      <c r="AO29" s="2215"/>
      <c r="BA29" s="2215"/>
    </row>
    <row r="30" spans="1:75" ht="14.25" customHeight="1">
      <c r="A30" s="1228"/>
      <c r="B30" s="1443"/>
      <c r="C30" s="2239" t="s">
        <v>1793</v>
      </c>
      <c r="D30" s="3269" t="s">
        <v>1813</v>
      </c>
      <c r="E30" s="1443"/>
      <c r="F30" s="1443"/>
      <c r="G30" s="1443"/>
      <c r="H30" s="1443"/>
      <c r="I30" s="1443"/>
      <c r="J30" s="1443"/>
      <c r="K30" s="1443"/>
      <c r="L30" s="1443"/>
      <c r="M30" s="1443"/>
      <c r="N30" s="1443"/>
      <c r="O30" s="1443"/>
      <c r="P30" s="1443"/>
      <c r="Q30" s="1443"/>
      <c r="R30" s="1443"/>
      <c r="S30" s="1443"/>
      <c r="T30" s="1443"/>
      <c r="U30" s="1443"/>
      <c r="V30" s="1443"/>
      <c r="W30" s="1443"/>
      <c r="X30" s="1443"/>
      <c r="Y30" s="1443"/>
      <c r="Z30" s="1443"/>
      <c r="AA30" s="1443"/>
      <c r="AB30" s="1443"/>
      <c r="AC30" s="1443"/>
      <c r="AD30" s="1443"/>
      <c r="AE30" s="1443"/>
      <c r="AF30" s="1443"/>
      <c r="AG30" s="1443"/>
      <c r="AH30" s="1443"/>
      <c r="AI30" s="1443"/>
      <c r="AJ30" s="1443"/>
      <c r="AK30" s="1228"/>
      <c r="AO30" s="2215"/>
      <c r="BA30" s="2215"/>
      <c r="BE30" s="2214"/>
      <c r="BF30" s="2212"/>
    </row>
    <row r="31" spans="1:75" s="2136" customFormat="1" ht="13.5" customHeight="1">
      <c r="A31" s="1228"/>
      <c r="B31" s="1443"/>
      <c r="C31" s="1443"/>
      <c r="D31" s="1607" t="s">
        <v>1814</v>
      </c>
      <c r="E31" s="1443"/>
      <c r="F31" s="1443"/>
      <c r="G31" s="1443"/>
      <c r="H31" s="1443"/>
      <c r="I31" s="1443"/>
      <c r="J31" s="1443"/>
      <c r="K31" s="1443"/>
      <c r="L31" s="1443"/>
      <c r="M31" s="1443"/>
      <c r="N31" s="1443"/>
      <c r="O31" s="1443"/>
      <c r="P31" s="7471"/>
      <c r="Q31" s="7472"/>
      <c r="R31" s="7472"/>
      <c r="S31" s="7472"/>
      <c r="T31" s="7472"/>
      <c r="U31" s="7472"/>
      <c r="V31" s="7472"/>
      <c r="W31" s="7472"/>
      <c r="X31" s="7472"/>
      <c r="Y31" s="7472"/>
      <c r="Z31" s="7472"/>
      <c r="AA31" s="7472"/>
      <c r="AB31" s="7472"/>
      <c r="AC31" s="7472"/>
      <c r="AD31" s="7472"/>
      <c r="AE31" s="7472"/>
      <c r="AF31" s="7472"/>
      <c r="AG31" s="7472"/>
      <c r="AH31" s="7472"/>
      <c r="AI31" s="7472"/>
      <c r="AJ31" s="7472"/>
      <c r="AK31" s="1228"/>
      <c r="AL31" s="2208"/>
      <c r="AM31" s="2208"/>
      <c r="AN31" s="2214"/>
      <c r="AO31" s="2215"/>
      <c r="AP31" s="2208"/>
      <c r="AQ31" s="3169"/>
      <c r="AR31" s="3169"/>
      <c r="AS31" s="3169"/>
      <c r="AT31" s="3169"/>
      <c r="AU31" s="3169"/>
      <c r="AV31" s="3169"/>
      <c r="AW31" s="3169"/>
      <c r="AX31" s="3169"/>
      <c r="AY31" s="3169"/>
      <c r="AZ31" s="2214"/>
      <c r="BA31" s="2215"/>
      <c r="BB31" s="2208"/>
      <c r="BC31" s="2208"/>
      <c r="BD31" s="2208"/>
      <c r="BE31" s="2208"/>
      <c r="BF31" s="2208"/>
      <c r="BG31" s="2208"/>
      <c r="BH31" s="2208"/>
      <c r="BI31" s="2208"/>
      <c r="BJ31" s="2208"/>
      <c r="BK31" s="2208"/>
      <c r="BL31" s="2208"/>
      <c r="BM31" s="2208"/>
      <c r="BN31" s="2208"/>
      <c r="BO31" s="2208"/>
      <c r="BP31" s="2208"/>
      <c r="BQ31" s="2208"/>
      <c r="BR31" s="2208"/>
      <c r="BS31" s="2208"/>
      <c r="BT31" s="2208"/>
      <c r="BU31" s="2208"/>
      <c r="BV31" s="2208"/>
      <c r="BW31" s="2208"/>
    </row>
    <row r="32" spans="1:75" s="2136" customFormat="1" ht="15">
      <c r="A32" s="1228"/>
      <c r="B32" s="1443"/>
      <c r="C32" s="1939" t="s">
        <v>115</v>
      </c>
      <c r="D32" s="1443" t="s">
        <v>1815</v>
      </c>
      <c r="E32" s="1443"/>
      <c r="F32" s="1443"/>
      <c r="G32" s="1443"/>
      <c r="H32" s="1443"/>
      <c r="I32" s="1443"/>
      <c r="J32" s="1443"/>
      <c r="K32" s="1443"/>
      <c r="L32" s="1443"/>
      <c r="M32" s="1443"/>
      <c r="N32" s="1443"/>
      <c r="O32" s="1443"/>
      <c r="P32" s="1443"/>
      <c r="Q32" s="1443"/>
      <c r="R32" s="1443"/>
      <c r="S32" s="1443"/>
      <c r="T32" s="7556"/>
      <c r="U32" s="7557"/>
      <c r="V32" s="7557"/>
      <c r="W32" s="7557"/>
      <c r="X32" s="7557"/>
      <c r="Y32" s="7557"/>
      <c r="Z32" s="7557"/>
      <c r="AA32" s="7557"/>
      <c r="AB32" s="7557"/>
      <c r="AC32" s="7557"/>
      <c r="AD32" s="7557"/>
      <c r="AE32" s="7557"/>
      <c r="AF32" s="7557"/>
      <c r="AG32" s="7557"/>
      <c r="AH32" s="7557"/>
      <c r="AI32" s="7557"/>
      <c r="AJ32" s="7557"/>
      <c r="AK32" s="1228"/>
      <c r="AL32" s="2208"/>
      <c r="AM32" s="2208"/>
      <c r="AN32" s="2208"/>
      <c r="AO32" s="2215"/>
      <c r="AP32" s="2208"/>
      <c r="AQ32" s="3169"/>
      <c r="AR32" s="3169"/>
      <c r="AS32" s="3169"/>
      <c r="AT32" s="3169"/>
      <c r="AU32" s="3169"/>
      <c r="AV32" s="3169"/>
      <c r="AW32" s="3169"/>
      <c r="AX32" s="3169"/>
      <c r="AY32" s="3169"/>
      <c r="AZ32" s="2208"/>
      <c r="BA32" s="2215"/>
      <c r="BB32" s="2208"/>
      <c r="BC32" s="2208"/>
      <c r="BD32" s="2208"/>
      <c r="BE32" s="2214"/>
      <c r="BF32" s="2214"/>
      <c r="BG32" s="2208"/>
      <c r="BH32" s="2208"/>
      <c r="BI32" s="2208"/>
      <c r="BJ32" s="2208"/>
      <c r="BK32" s="2208"/>
      <c r="BL32" s="2208"/>
      <c r="BM32" s="2208"/>
      <c r="BN32" s="2208"/>
      <c r="BO32" s="2208"/>
      <c r="BP32" s="2208"/>
      <c r="BQ32" s="2208"/>
      <c r="BR32" s="2208"/>
      <c r="BS32" s="2208"/>
      <c r="BT32" s="2208"/>
      <c r="BU32" s="2208"/>
      <c r="BV32" s="2208"/>
      <c r="BW32" s="2208"/>
    </row>
    <row r="33" spans="1:75" s="2136" customFormat="1">
      <c r="A33" s="1228"/>
      <c r="B33" s="1936"/>
      <c r="C33" s="1936"/>
      <c r="D33" s="7558"/>
      <c r="E33" s="7559"/>
      <c r="F33" s="7559"/>
      <c r="G33" s="7559"/>
      <c r="H33" s="7559"/>
      <c r="I33" s="7559"/>
      <c r="J33" s="7559"/>
      <c r="K33" s="7559"/>
      <c r="L33" s="7559"/>
      <c r="M33" s="7559"/>
      <c r="N33" s="7559"/>
      <c r="O33" s="7559"/>
      <c r="P33" s="7559"/>
      <c r="Q33" s="7559"/>
      <c r="R33" s="7559"/>
      <c r="S33" s="7559"/>
      <c r="T33" s="7559"/>
      <c r="U33" s="7559"/>
      <c r="V33" s="7559"/>
      <c r="W33" s="7559"/>
      <c r="X33" s="7559"/>
      <c r="Y33" s="7559"/>
      <c r="Z33" s="7559"/>
      <c r="AA33" s="7559"/>
      <c r="AB33" s="7559"/>
      <c r="AC33" s="7559"/>
      <c r="AD33" s="7559"/>
      <c r="AE33" s="7559"/>
      <c r="AF33" s="7559"/>
      <c r="AG33" s="7559"/>
      <c r="AH33" s="7559"/>
      <c r="AI33" s="7559"/>
      <c r="AJ33" s="7559"/>
      <c r="AK33" s="1228"/>
      <c r="AL33" s="2208"/>
      <c r="AM33" s="2216"/>
      <c r="AN33" s="2208"/>
      <c r="AO33" s="2215"/>
      <c r="AP33" s="2208"/>
      <c r="AQ33" s="3169"/>
      <c r="AR33" s="3169"/>
      <c r="AS33" s="3169"/>
      <c r="AT33" s="3169"/>
      <c r="AU33" s="3169"/>
      <c r="AV33" s="3169"/>
      <c r="AW33" s="3169"/>
      <c r="AX33" s="3169"/>
      <c r="AY33" s="3169"/>
      <c r="AZ33" s="2208"/>
      <c r="BA33" s="2215"/>
      <c r="BB33" s="2208"/>
      <c r="BC33" s="2208"/>
      <c r="BD33" s="2208"/>
      <c r="BE33" s="2214"/>
      <c r="BF33" s="2212"/>
      <c r="BG33" s="2208"/>
      <c r="BH33" s="2208"/>
      <c r="BI33" s="2208"/>
      <c r="BJ33" s="2208"/>
      <c r="BK33" s="2208"/>
      <c r="BL33" s="2208"/>
      <c r="BM33" s="2208"/>
      <c r="BN33" s="2208"/>
      <c r="BO33" s="2208"/>
      <c r="BP33" s="2208"/>
      <c r="BQ33" s="2208"/>
      <c r="BR33" s="2208"/>
      <c r="BS33" s="2208"/>
      <c r="BT33" s="2208"/>
      <c r="BU33" s="2208"/>
      <c r="BV33" s="2208"/>
      <c r="BW33" s="2208"/>
    </row>
    <row r="34" spans="1:75" s="2136" customFormat="1" ht="6" customHeight="1">
      <c r="A34" s="1228"/>
      <c r="B34" s="1443"/>
      <c r="C34" s="1443"/>
      <c r="D34" s="1443"/>
      <c r="E34" s="1443"/>
      <c r="F34" s="1443"/>
      <c r="G34" s="1443"/>
      <c r="H34" s="1443"/>
      <c r="I34" s="1443"/>
      <c r="J34" s="1443"/>
      <c r="K34" s="1443"/>
      <c r="L34" s="1443"/>
      <c r="M34" s="1443"/>
      <c r="N34" s="1443"/>
      <c r="O34" s="1443"/>
      <c r="P34" s="1443"/>
      <c r="Q34" s="1443"/>
      <c r="R34" s="1443"/>
      <c r="S34" s="1443"/>
      <c r="T34" s="1443"/>
      <c r="U34" s="1443"/>
      <c r="V34" s="1443"/>
      <c r="W34" s="1443"/>
      <c r="X34" s="1443"/>
      <c r="Y34" s="1443"/>
      <c r="Z34" s="1443"/>
      <c r="AA34" s="1443"/>
      <c r="AB34" s="1443"/>
      <c r="AC34" s="1443"/>
      <c r="AD34" s="1443"/>
      <c r="AE34" s="1443"/>
      <c r="AF34" s="1443"/>
      <c r="AG34" s="1443"/>
      <c r="AH34" s="1443"/>
      <c r="AI34" s="1443"/>
      <c r="AJ34" s="1443"/>
      <c r="AK34" s="1228"/>
      <c r="AL34" s="2208"/>
      <c r="AM34" s="2217"/>
      <c r="AN34" s="2208"/>
      <c r="AO34" s="2215"/>
      <c r="AP34" s="2208"/>
      <c r="AQ34" s="3169"/>
      <c r="AR34" s="3169"/>
      <c r="AS34" s="3169"/>
      <c r="AT34" s="3169"/>
      <c r="AU34" s="3169"/>
      <c r="AV34" s="3169"/>
      <c r="AW34" s="3169"/>
      <c r="AX34" s="3169"/>
      <c r="AY34" s="3169"/>
      <c r="AZ34" s="2208"/>
      <c r="BA34" s="2215"/>
      <c r="BB34" s="2208"/>
      <c r="BC34" s="2208"/>
      <c r="BD34" s="2208"/>
      <c r="BE34" s="2208"/>
      <c r="BF34" s="2208"/>
      <c r="BG34" s="2208"/>
      <c r="BH34" s="2208"/>
      <c r="BI34" s="2208"/>
      <c r="BJ34" s="2208"/>
      <c r="BK34" s="2208"/>
      <c r="BL34" s="2208"/>
      <c r="BM34" s="2208"/>
      <c r="BN34" s="2208"/>
      <c r="BO34" s="2208"/>
      <c r="BP34" s="2208"/>
      <c r="BQ34" s="2208"/>
      <c r="BR34" s="2208"/>
      <c r="BS34" s="2208"/>
      <c r="BT34" s="2208"/>
      <c r="BU34" s="2208"/>
      <c r="BV34" s="2208"/>
      <c r="BW34" s="2208"/>
    </row>
    <row r="35" spans="1:75" s="2136" customFormat="1" ht="15.75">
      <c r="A35" s="1228"/>
      <c r="B35" s="2241"/>
      <c r="C35" s="2241"/>
      <c r="D35" s="2242" t="s">
        <v>2065</v>
      </c>
      <c r="E35" s="2241"/>
      <c r="F35" s="2241"/>
      <c r="G35" s="2241"/>
      <c r="H35" s="2241"/>
      <c r="I35" s="2241"/>
      <c r="J35" s="2241"/>
      <c r="K35" s="2241"/>
      <c r="L35" s="2241"/>
      <c r="M35" s="2241"/>
      <c r="N35" s="2241"/>
      <c r="O35" s="2241"/>
      <c r="P35" s="2241"/>
      <c r="Q35" s="2241"/>
      <c r="R35" s="2241"/>
      <c r="S35" s="2241"/>
      <c r="T35" s="2241"/>
      <c r="U35" s="2241"/>
      <c r="V35" s="2241"/>
      <c r="W35" s="2241"/>
      <c r="X35" s="2241"/>
      <c r="Y35" s="2241"/>
      <c r="Z35" s="2241"/>
      <c r="AA35" s="2241"/>
      <c r="AB35" s="2241"/>
      <c r="AC35" s="2241"/>
      <c r="AD35" s="2241"/>
      <c r="AE35" s="2241"/>
      <c r="AF35" s="2241"/>
      <c r="AG35" s="2241"/>
      <c r="AH35" s="2241"/>
      <c r="AI35" s="2241"/>
      <c r="AJ35" s="2241"/>
      <c r="AK35" s="1228"/>
      <c r="AL35" s="2208"/>
      <c r="AM35" s="2216"/>
      <c r="AN35" s="2214"/>
      <c r="AO35" s="2215"/>
      <c r="AP35" s="2208"/>
      <c r="AQ35" s="3169"/>
      <c r="AR35" s="3169"/>
      <c r="AS35" s="3169"/>
      <c r="AT35" s="3169"/>
      <c r="AU35" s="3169"/>
      <c r="AV35" s="3169"/>
      <c r="AW35" s="3169"/>
      <c r="AX35" s="3169"/>
      <c r="AY35" s="3169"/>
      <c r="AZ35" s="2214"/>
      <c r="BA35" s="2215"/>
      <c r="BB35" s="2208"/>
      <c r="BC35" s="2208"/>
      <c r="BD35" s="2208"/>
      <c r="BE35" s="2208"/>
      <c r="BF35" s="2208"/>
      <c r="BG35" s="2208"/>
      <c r="BH35" s="2208"/>
      <c r="BI35" s="2208"/>
      <c r="BJ35" s="2208"/>
      <c r="BK35" s="2208"/>
      <c r="BL35" s="2208"/>
      <c r="BM35" s="2208"/>
      <c r="BN35" s="2208"/>
      <c r="BO35" s="2208"/>
      <c r="BP35" s="2208"/>
      <c r="BQ35" s="2208"/>
      <c r="BR35" s="2208"/>
      <c r="BS35" s="2208"/>
      <c r="BT35" s="2208"/>
      <c r="BU35" s="2208"/>
      <c r="BV35" s="2208"/>
      <c r="BW35" s="2208"/>
    </row>
    <row r="36" spans="1:75" s="2136" customFormat="1" ht="15.75">
      <c r="A36" s="1228"/>
      <c r="B36" s="2241"/>
      <c r="C36" s="2241"/>
      <c r="D36" s="2242" t="s">
        <v>1816</v>
      </c>
      <c r="E36" s="2241"/>
      <c r="F36" s="2241"/>
      <c r="G36" s="2241"/>
      <c r="H36" s="2241"/>
      <c r="I36" s="2241"/>
      <c r="J36" s="2241"/>
      <c r="K36" s="2241"/>
      <c r="L36" s="2241"/>
      <c r="M36" s="2241"/>
      <c r="N36" s="2241"/>
      <c r="O36" s="2241"/>
      <c r="P36" s="2241"/>
      <c r="Q36" s="2241"/>
      <c r="R36" s="2241"/>
      <c r="S36" s="2241"/>
      <c r="T36" s="2241"/>
      <c r="U36" s="2241"/>
      <c r="V36" s="2241"/>
      <c r="W36" s="2241"/>
      <c r="X36" s="2241"/>
      <c r="Y36" s="2241"/>
      <c r="Z36" s="2241"/>
      <c r="AA36" s="2241"/>
      <c r="AB36" s="2241"/>
      <c r="AC36" s="2241"/>
      <c r="AD36" s="2241"/>
      <c r="AE36" s="2241"/>
      <c r="AF36" s="2241"/>
      <c r="AG36" s="2241"/>
      <c r="AH36" s="2241"/>
      <c r="AI36" s="2241"/>
      <c r="AJ36" s="2241"/>
      <c r="AK36" s="1228"/>
      <c r="AL36" s="2208"/>
      <c r="AM36" s="2216"/>
      <c r="AN36" s="2214"/>
      <c r="AO36" s="2215"/>
      <c r="AP36" s="2208"/>
      <c r="AQ36" s="3169"/>
      <c r="AR36" s="3169"/>
      <c r="AS36" s="3169"/>
      <c r="AT36" s="3169"/>
      <c r="AU36" s="3169"/>
      <c r="AV36" s="3169"/>
      <c r="AW36" s="3169"/>
      <c r="AX36" s="3169"/>
      <c r="AY36" s="3169"/>
      <c r="AZ36" s="2214"/>
      <c r="BA36" s="2215"/>
      <c r="BB36" s="2208"/>
      <c r="BC36" s="2208"/>
      <c r="BD36" s="2208"/>
      <c r="BE36" s="2208"/>
      <c r="BF36" s="2208"/>
      <c r="BG36" s="2208"/>
      <c r="BH36" s="2208"/>
      <c r="BI36" s="2208"/>
      <c r="BJ36" s="2208"/>
      <c r="BK36" s="2208"/>
      <c r="BL36" s="2208"/>
      <c r="BM36" s="2208"/>
      <c r="BN36" s="2208"/>
      <c r="BO36" s="2208"/>
      <c r="BP36" s="2208"/>
      <c r="BQ36" s="2208"/>
      <c r="BR36" s="2208"/>
      <c r="BS36" s="2208"/>
      <c r="BT36" s="2208"/>
      <c r="BU36" s="2208"/>
      <c r="BV36" s="2208"/>
      <c r="BW36" s="2208"/>
    </row>
    <row r="37" spans="1:75" s="2136" customFormat="1" ht="6" customHeight="1">
      <c r="A37" s="1228"/>
      <c r="B37" s="1443"/>
      <c r="C37" s="1443"/>
      <c r="D37" s="1443"/>
      <c r="E37" s="1443"/>
      <c r="F37" s="1443"/>
      <c r="G37" s="1443"/>
      <c r="H37" s="1443"/>
      <c r="I37" s="1443"/>
      <c r="J37" s="1443"/>
      <c r="K37" s="1443"/>
      <c r="L37" s="1443"/>
      <c r="M37" s="1443"/>
      <c r="N37" s="1443"/>
      <c r="O37" s="1443"/>
      <c r="P37" s="1443"/>
      <c r="Q37" s="1443"/>
      <c r="R37" s="1443"/>
      <c r="S37" s="1443"/>
      <c r="T37" s="1443"/>
      <c r="U37" s="1443"/>
      <c r="V37" s="1443"/>
      <c r="W37" s="1443"/>
      <c r="X37" s="1443"/>
      <c r="Y37" s="1443"/>
      <c r="Z37" s="1443"/>
      <c r="AA37" s="1443"/>
      <c r="AB37" s="1443"/>
      <c r="AC37" s="1443"/>
      <c r="AD37" s="1443"/>
      <c r="AE37" s="1443"/>
      <c r="AF37" s="1443"/>
      <c r="AG37" s="1443"/>
      <c r="AH37" s="1443"/>
      <c r="AI37" s="1443"/>
      <c r="AJ37" s="1443"/>
      <c r="AK37" s="1228"/>
      <c r="AL37" s="2208"/>
      <c r="AM37" s="2208"/>
      <c r="AN37" s="2208"/>
      <c r="AO37" s="2218"/>
      <c r="AP37" s="2208"/>
      <c r="AQ37" s="3169"/>
      <c r="AR37" s="3169"/>
      <c r="AS37" s="3169"/>
      <c r="AT37" s="3169"/>
      <c r="AU37" s="3169"/>
      <c r="AV37" s="3169"/>
      <c r="AW37" s="3169"/>
      <c r="AX37" s="3169"/>
      <c r="AY37" s="3169"/>
      <c r="AZ37" s="2208"/>
      <c r="BA37" s="2218"/>
      <c r="BB37" s="2208"/>
      <c r="BC37" s="2208"/>
      <c r="BD37" s="2208"/>
      <c r="BE37" s="2214"/>
      <c r="BF37" s="2212"/>
      <c r="BG37" s="2208"/>
      <c r="BH37" s="2208"/>
      <c r="BI37" s="2208"/>
      <c r="BJ37" s="2208"/>
      <c r="BK37" s="2208"/>
      <c r="BL37" s="2208"/>
      <c r="BM37" s="2208"/>
      <c r="BN37" s="2208"/>
      <c r="BO37" s="2208"/>
      <c r="BP37" s="2208"/>
      <c r="BQ37" s="2208"/>
      <c r="BR37" s="2208"/>
      <c r="BS37" s="2208"/>
      <c r="BT37" s="2208"/>
      <c r="BU37" s="2208"/>
      <c r="BV37" s="2208"/>
      <c r="BW37" s="2208"/>
    </row>
    <row r="38" spans="1:75" ht="5.25" customHeight="1">
      <c r="A38" s="1228"/>
      <c r="B38" s="2201"/>
      <c r="C38" s="2201"/>
      <c r="D38" s="2201"/>
      <c r="E38" s="2201"/>
      <c r="F38" s="2201"/>
      <c r="G38" s="2201"/>
      <c r="H38" s="2201"/>
      <c r="I38" s="2201"/>
      <c r="J38" s="2201"/>
      <c r="K38" s="2201"/>
      <c r="L38" s="2201"/>
      <c r="M38" s="2201"/>
      <c r="N38" s="2201"/>
      <c r="O38" s="2201"/>
      <c r="P38" s="2201"/>
      <c r="Q38" s="2201"/>
      <c r="R38" s="2201"/>
      <c r="S38" s="2201"/>
      <c r="T38" s="2201"/>
      <c r="U38" s="2201"/>
      <c r="V38" s="2201"/>
      <c r="W38" s="2201"/>
      <c r="X38" s="2201"/>
      <c r="Y38" s="2201"/>
      <c r="Z38" s="2201"/>
      <c r="AA38" s="2201"/>
      <c r="AB38" s="2201"/>
      <c r="AC38" s="2201"/>
      <c r="AD38" s="2201"/>
      <c r="AE38" s="2201"/>
      <c r="AF38" s="2201"/>
      <c r="AG38" s="2201"/>
      <c r="AH38" s="2201"/>
      <c r="AI38" s="2201"/>
      <c r="AJ38" s="2201"/>
      <c r="AK38" s="1228"/>
    </row>
    <row r="39" spans="1:75" ht="15" customHeight="1">
      <c r="A39" s="1228"/>
      <c r="B39" s="7470" t="s">
        <v>130</v>
      </c>
      <c r="C39" s="6273"/>
      <c r="D39" s="2207" t="s">
        <v>1817</v>
      </c>
      <c r="E39" s="2205"/>
      <c r="F39" s="2205"/>
      <c r="G39" s="2205"/>
      <c r="H39" s="2205"/>
      <c r="I39" s="2205"/>
      <c r="J39" s="2205"/>
      <c r="K39" s="2205"/>
      <c r="L39" s="2205"/>
      <c r="M39" s="2205"/>
      <c r="N39" s="2205"/>
      <c r="O39" s="2205"/>
      <c r="P39" s="2205"/>
      <c r="Q39" s="2205"/>
      <c r="R39" s="2205"/>
      <c r="S39" s="2205"/>
      <c r="T39" s="2205"/>
      <c r="U39" s="2205"/>
      <c r="V39" s="2205"/>
      <c r="W39" s="2205"/>
      <c r="X39" s="2205"/>
      <c r="Y39" s="2205"/>
      <c r="Z39" s="2205"/>
      <c r="AA39" s="2205"/>
      <c r="AB39" s="2205"/>
      <c r="AC39" s="2205"/>
      <c r="AD39" s="2205"/>
      <c r="AE39" s="2205"/>
      <c r="AF39" s="2205"/>
      <c r="AG39" s="2205"/>
      <c r="AH39" s="2205"/>
      <c r="AI39" s="2205"/>
      <c r="AJ39" s="2205"/>
      <c r="AK39" s="1228"/>
    </row>
    <row r="40" spans="1:75" ht="6" customHeight="1">
      <c r="A40" s="1228"/>
      <c r="B40" s="2206"/>
      <c r="C40" s="2206"/>
      <c r="D40" s="2206"/>
      <c r="E40" s="2206"/>
      <c r="F40" s="2206"/>
      <c r="G40" s="2206"/>
      <c r="H40" s="2206"/>
      <c r="I40" s="2206"/>
      <c r="J40" s="2206"/>
      <c r="K40" s="2206"/>
      <c r="L40" s="2206"/>
      <c r="M40" s="2206"/>
      <c r="N40" s="2206"/>
      <c r="O40" s="2206"/>
      <c r="P40" s="2206"/>
      <c r="Q40" s="2206"/>
      <c r="R40" s="2206"/>
      <c r="S40" s="2206"/>
      <c r="T40" s="2206"/>
      <c r="U40" s="2206"/>
      <c r="V40" s="2206"/>
      <c r="W40" s="2206"/>
      <c r="X40" s="2206"/>
      <c r="Y40" s="2206"/>
      <c r="Z40" s="2206"/>
      <c r="AA40" s="2206"/>
      <c r="AB40" s="2206"/>
      <c r="AC40" s="2206"/>
      <c r="AD40" s="2206"/>
      <c r="AE40" s="2206"/>
      <c r="AF40" s="2206"/>
      <c r="AG40" s="2206"/>
      <c r="AH40" s="2206"/>
      <c r="AI40" s="2206"/>
      <c r="AJ40" s="2206"/>
      <c r="AK40" s="1228"/>
    </row>
    <row r="41" spans="1:75" s="2136" customFormat="1" ht="13.5" customHeight="1">
      <c r="A41" s="1228"/>
      <c r="B41" s="1957"/>
      <c r="C41" s="1939" t="s">
        <v>116</v>
      </c>
      <c r="D41" s="1607" t="s">
        <v>1818</v>
      </c>
      <c r="E41" s="1957"/>
      <c r="F41" s="1957"/>
      <c r="G41" s="1957"/>
      <c r="H41" s="1957"/>
      <c r="I41" s="1957"/>
      <c r="J41" s="1957"/>
      <c r="K41" s="1957"/>
      <c r="L41" s="7553"/>
      <c r="M41" s="7554"/>
      <c r="N41" s="7554"/>
      <c r="O41" s="7554"/>
      <c r="P41" s="7554"/>
      <c r="Q41" s="7554"/>
      <c r="R41" s="7554"/>
      <c r="S41" s="7554"/>
      <c r="T41" s="7554"/>
      <c r="U41" s="2127" t="s">
        <v>1819</v>
      </c>
      <c r="V41" s="1957"/>
      <c r="W41" s="1957"/>
      <c r="X41" s="1957"/>
      <c r="Y41" s="7553"/>
      <c r="Z41" s="7554"/>
      <c r="AA41" s="7554"/>
      <c r="AB41" s="7554"/>
      <c r="AC41" s="7554"/>
      <c r="AD41" s="7554"/>
      <c r="AE41" s="7554"/>
      <c r="AF41" s="7554"/>
      <c r="AG41" s="7554"/>
      <c r="AH41" s="7555"/>
      <c r="AI41" s="7555"/>
      <c r="AJ41" s="7555"/>
      <c r="AK41" s="1228"/>
      <c r="AL41" s="2208"/>
      <c r="AM41" s="2208"/>
      <c r="AN41" s="2208"/>
      <c r="AO41" s="2215"/>
      <c r="AP41" s="2208"/>
      <c r="AQ41" s="3169"/>
      <c r="AR41" s="3169"/>
      <c r="AS41" s="3169"/>
      <c r="AT41" s="3169"/>
      <c r="AU41" s="3169"/>
      <c r="AV41" s="3169"/>
      <c r="AW41" s="3169"/>
      <c r="AX41" s="3169"/>
      <c r="AY41" s="3169"/>
      <c r="AZ41" s="2208"/>
      <c r="BA41" s="2215"/>
      <c r="BB41" s="2208"/>
      <c r="BC41" s="2208"/>
      <c r="BD41" s="2208"/>
      <c r="BE41" s="2208"/>
      <c r="BF41" s="2208"/>
      <c r="BG41" s="2208"/>
      <c r="BH41" s="2208"/>
      <c r="BI41" s="2208"/>
      <c r="BJ41" s="2208"/>
      <c r="BK41" s="2208"/>
      <c r="BL41" s="2208"/>
      <c r="BM41" s="2208"/>
      <c r="BN41" s="2208"/>
      <c r="BO41" s="2208"/>
      <c r="BP41" s="2208"/>
      <c r="BQ41" s="2208"/>
      <c r="BR41" s="2208"/>
      <c r="BS41" s="2208"/>
      <c r="BT41" s="2208"/>
      <c r="BU41" s="2208"/>
      <c r="BV41" s="2208"/>
      <c r="BW41" s="2208"/>
    </row>
    <row r="42" spans="1:75" ht="5.25" customHeight="1" thickBot="1">
      <c r="A42" s="1228"/>
      <c r="B42" s="1443"/>
      <c r="C42" s="1443"/>
      <c r="D42" s="1443"/>
      <c r="E42" s="1443"/>
      <c r="F42" s="1443"/>
      <c r="G42" s="1443"/>
      <c r="H42" s="1443"/>
      <c r="I42" s="1443"/>
      <c r="J42" s="1443"/>
      <c r="K42" s="1443"/>
      <c r="L42" s="1443"/>
      <c r="M42" s="1443"/>
      <c r="N42" s="1443"/>
      <c r="O42" s="1443"/>
      <c r="P42" s="1443"/>
      <c r="Q42" s="1443"/>
      <c r="R42" s="1443"/>
      <c r="S42" s="1443"/>
      <c r="T42" s="1443"/>
      <c r="U42" s="1443"/>
      <c r="V42" s="1443"/>
      <c r="W42" s="1443"/>
      <c r="X42" s="1443"/>
      <c r="Y42" s="1443"/>
      <c r="Z42" s="1443"/>
      <c r="AA42" s="1443"/>
      <c r="AB42" s="1443"/>
      <c r="AC42" s="1443"/>
      <c r="AD42" s="1443"/>
      <c r="AE42" s="1443"/>
      <c r="AF42" s="1443"/>
      <c r="AG42" s="1443"/>
      <c r="AH42" s="1443"/>
      <c r="AI42" s="1443"/>
      <c r="AJ42" s="1443"/>
      <c r="AK42" s="1228"/>
      <c r="BL42" s="2222"/>
      <c r="BM42" s="2222"/>
      <c r="BO42" s="2222"/>
      <c r="BP42" s="2222"/>
      <c r="BQ42" s="2222"/>
      <c r="BR42" s="2222"/>
      <c r="BS42" s="2222"/>
      <c r="BT42" s="2222"/>
      <c r="BU42" s="2222"/>
      <c r="BV42" s="2222"/>
    </row>
    <row r="43" spans="1:75" s="2136" customFormat="1" ht="13.5" customHeight="1" thickBot="1">
      <c r="A43" s="1228"/>
      <c r="B43" s="1443"/>
      <c r="C43" s="1939" t="s">
        <v>801</v>
      </c>
      <c r="D43" s="1607" t="s">
        <v>1820</v>
      </c>
      <c r="E43" s="1443"/>
      <c r="F43" s="1443"/>
      <c r="G43" s="1443"/>
      <c r="H43" s="1443"/>
      <c r="I43" s="1443"/>
      <c r="J43" s="1443"/>
      <c r="K43" s="1443"/>
      <c r="L43" s="1443"/>
      <c r="M43" s="1443"/>
      <c r="N43" s="2243" t="s">
        <v>38</v>
      </c>
      <c r="O43" s="1445"/>
      <c r="P43" s="1607" t="s">
        <v>1821</v>
      </c>
      <c r="Q43" s="1443"/>
      <c r="R43" s="1443"/>
      <c r="S43" s="1443"/>
      <c r="T43" s="1443"/>
      <c r="U43" s="2243" t="s">
        <v>54</v>
      </c>
      <c r="V43" s="1445"/>
      <c r="W43" s="1607" t="s">
        <v>1822</v>
      </c>
      <c r="X43" s="1443"/>
      <c r="Y43" s="1443"/>
      <c r="Z43" s="1443"/>
      <c r="AA43" s="1443"/>
      <c r="AB43" s="1443"/>
      <c r="AC43" s="1443"/>
      <c r="AD43" s="2243" t="s">
        <v>55</v>
      </c>
      <c r="AE43" s="1445"/>
      <c r="AF43" s="1607" t="s">
        <v>1823</v>
      </c>
      <c r="AG43" s="1443"/>
      <c r="AH43" s="1443"/>
      <c r="AI43" s="1443"/>
      <c r="AJ43" s="1443"/>
      <c r="AK43" s="1228"/>
      <c r="AL43" s="2208"/>
      <c r="AM43" s="2208"/>
      <c r="AN43" s="2214"/>
      <c r="AO43" s="2215"/>
      <c r="AP43" s="2208"/>
      <c r="AQ43" s="3169"/>
      <c r="AR43" s="3169"/>
      <c r="AS43" s="3169"/>
      <c r="AT43" s="3169"/>
      <c r="AU43" s="3169"/>
      <c r="AV43" s="3169"/>
      <c r="AW43" s="3169"/>
      <c r="AX43" s="3169"/>
      <c r="AY43" s="3169"/>
      <c r="AZ43" s="2214"/>
      <c r="BA43" s="2215"/>
      <c r="BB43" s="2208"/>
      <c r="BC43" s="2208"/>
      <c r="BD43" s="2208"/>
      <c r="BE43" s="2208"/>
      <c r="BF43" s="2214"/>
      <c r="BG43" s="2213"/>
      <c r="BH43" s="2208"/>
      <c r="BI43" s="2208"/>
      <c r="BJ43" s="2208"/>
      <c r="BK43" s="2208"/>
      <c r="BL43" s="2208"/>
      <c r="BM43" s="2208"/>
      <c r="BN43" s="2208"/>
      <c r="BO43" s="2208"/>
      <c r="BP43" s="2208"/>
      <c r="BQ43" s="2208"/>
      <c r="BR43" s="2208"/>
      <c r="BS43" s="2208"/>
      <c r="BT43" s="2208"/>
      <c r="BU43" s="2208"/>
      <c r="BV43" s="2208"/>
      <c r="BW43" s="2208"/>
    </row>
    <row r="44" spans="1:75" s="2136" customFormat="1" ht="5.25" customHeight="1" thickBot="1">
      <c r="A44" s="1228"/>
      <c r="B44" s="1443"/>
      <c r="C44" s="1443"/>
      <c r="D44" s="1443"/>
      <c r="E44" s="1443"/>
      <c r="F44" s="1443"/>
      <c r="G44" s="1443"/>
      <c r="H44" s="1443"/>
      <c r="I44" s="1443"/>
      <c r="J44" s="1443"/>
      <c r="K44" s="1443"/>
      <c r="L44" s="1443"/>
      <c r="M44" s="1443"/>
      <c r="N44" s="1443"/>
      <c r="O44" s="1443"/>
      <c r="P44" s="1443"/>
      <c r="Q44" s="1443"/>
      <c r="R44" s="1443"/>
      <c r="S44" s="1443"/>
      <c r="T44" s="1443"/>
      <c r="U44" s="1443"/>
      <c r="V44" s="1443"/>
      <c r="W44" s="1443"/>
      <c r="X44" s="1443"/>
      <c r="Y44" s="1443"/>
      <c r="Z44" s="1443"/>
      <c r="AA44" s="1443"/>
      <c r="AB44" s="1443"/>
      <c r="AC44" s="1443"/>
      <c r="AD44" s="1443"/>
      <c r="AE44" s="1443"/>
      <c r="AF44" s="1443"/>
      <c r="AG44" s="1443"/>
      <c r="AH44" s="1443"/>
      <c r="AI44" s="1443"/>
      <c r="AJ44" s="1443"/>
      <c r="AK44" s="1228"/>
      <c r="AL44" s="2208"/>
      <c r="AM44" s="2208"/>
      <c r="AN44" s="2208"/>
      <c r="AO44" s="2215"/>
      <c r="AP44" s="2208"/>
      <c r="AQ44" s="3169"/>
      <c r="AR44" s="3169"/>
      <c r="AS44" s="3169"/>
      <c r="AT44" s="3169"/>
      <c r="AU44" s="3169"/>
      <c r="AV44" s="3169"/>
      <c r="AW44" s="3169"/>
      <c r="AX44" s="3169"/>
      <c r="AY44" s="3169"/>
      <c r="AZ44" s="2208"/>
      <c r="BA44" s="2215"/>
      <c r="BB44" s="2208"/>
      <c r="BC44" s="2208"/>
      <c r="BD44" s="2208"/>
      <c r="BE44" s="2208"/>
      <c r="BF44" s="2208"/>
      <c r="BG44" s="2208"/>
      <c r="BH44" s="2208"/>
      <c r="BI44" s="2208"/>
      <c r="BJ44" s="2208"/>
      <c r="BK44" s="2208"/>
      <c r="BL44" s="2208"/>
      <c r="BM44" s="2208"/>
      <c r="BN44" s="2208"/>
      <c r="BO44" s="2208"/>
      <c r="BP44" s="2208"/>
      <c r="BQ44" s="2208"/>
      <c r="BR44" s="2208"/>
      <c r="BS44" s="2208"/>
      <c r="BT44" s="2208"/>
      <c r="BU44" s="2208"/>
      <c r="BV44" s="2208"/>
      <c r="BW44" s="2208"/>
    </row>
    <row r="45" spans="1:75" s="2136" customFormat="1" ht="13.5" customHeight="1" thickBot="1">
      <c r="A45" s="1228"/>
      <c r="B45" s="1443"/>
      <c r="C45" s="1443"/>
      <c r="D45" s="1443"/>
      <c r="E45" s="1443"/>
      <c r="F45" s="1443"/>
      <c r="G45" s="1443"/>
      <c r="H45" s="1443"/>
      <c r="I45" s="1443"/>
      <c r="J45" s="1443"/>
      <c r="K45" s="1443"/>
      <c r="L45" s="1443"/>
      <c r="M45" s="1443"/>
      <c r="N45" s="2243" t="s">
        <v>102</v>
      </c>
      <c r="O45" s="1445"/>
      <c r="P45" s="1607" t="s">
        <v>1824</v>
      </c>
      <c r="Q45" s="1443"/>
      <c r="R45" s="1443"/>
      <c r="S45" s="1443"/>
      <c r="T45" s="1443"/>
      <c r="U45" s="1443"/>
      <c r="V45" s="1443"/>
      <c r="W45" s="1443"/>
      <c r="X45" s="1443"/>
      <c r="Y45" s="1443"/>
      <c r="Z45" s="1443"/>
      <c r="AA45" s="1443"/>
      <c r="AB45" s="1443"/>
      <c r="AC45" s="1443"/>
      <c r="AD45" s="1443"/>
      <c r="AE45" s="1443"/>
      <c r="AF45" s="1443"/>
      <c r="AG45" s="1443"/>
      <c r="AH45" s="1443"/>
      <c r="AI45" s="1443"/>
      <c r="AJ45" s="1443"/>
      <c r="AK45" s="1228"/>
      <c r="AL45" s="2208"/>
      <c r="AM45" s="2208"/>
      <c r="AN45" s="2214"/>
      <c r="AO45" s="2215"/>
      <c r="AP45" s="2208"/>
      <c r="AQ45" s="3169"/>
      <c r="AR45" s="3169"/>
      <c r="AS45" s="3169"/>
      <c r="AT45" s="3169"/>
      <c r="AU45" s="3169"/>
      <c r="AV45" s="3169"/>
      <c r="AW45" s="3169"/>
      <c r="AX45" s="3169"/>
      <c r="AY45" s="3169"/>
      <c r="AZ45" s="2214"/>
      <c r="BA45" s="2215"/>
      <c r="BB45" s="2208"/>
      <c r="BC45" s="2208"/>
      <c r="BD45" s="2208"/>
      <c r="BE45" s="2208"/>
      <c r="BF45" s="2214"/>
      <c r="BG45" s="2213"/>
      <c r="BH45" s="2208"/>
      <c r="BI45" s="2219"/>
      <c r="BJ45" s="2219"/>
      <c r="BK45" s="2208"/>
      <c r="BL45" s="2208"/>
      <c r="BM45" s="2208"/>
      <c r="BN45" s="2208"/>
      <c r="BO45" s="2208"/>
      <c r="BP45" s="2208"/>
      <c r="BQ45" s="2208"/>
      <c r="BR45" s="2208"/>
      <c r="BS45" s="2208"/>
      <c r="BT45" s="2208"/>
      <c r="BU45" s="2208"/>
      <c r="BV45" s="2208"/>
      <c r="BW45" s="2208"/>
    </row>
    <row r="46" spans="1:75" s="2136" customFormat="1" ht="15.75" thickBot="1">
      <c r="A46" s="1228"/>
      <c r="B46" s="1443"/>
      <c r="C46" s="2239" t="s">
        <v>1826</v>
      </c>
      <c r="D46" s="1443" t="s">
        <v>1825</v>
      </c>
      <c r="E46" s="1443"/>
      <c r="F46" s="1443"/>
      <c r="G46" s="1443"/>
      <c r="H46" s="1443"/>
      <c r="I46" s="1443"/>
      <c r="J46" s="1443"/>
      <c r="K46" s="1443"/>
      <c r="L46" s="1443"/>
      <c r="M46" s="1443"/>
      <c r="N46" s="1443"/>
      <c r="O46" s="1443"/>
      <c r="P46" s="1443"/>
      <c r="Q46" s="1443"/>
      <c r="R46" s="1443"/>
      <c r="S46" s="1443"/>
      <c r="T46" s="1443"/>
      <c r="U46" s="1443"/>
      <c r="V46" s="1443"/>
      <c r="W46" s="1443"/>
      <c r="X46" s="1443"/>
      <c r="Y46" s="1443"/>
      <c r="Z46" s="1443"/>
      <c r="AA46" s="1443"/>
      <c r="AB46" s="1443"/>
      <c r="AC46" s="1443"/>
      <c r="AD46" s="1553" t="s">
        <v>677</v>
      </c>
      <c r="AE46" s="1445"/>
      <c r="AF46" s="1615" t="s">
        <v>307</v>
      </c>
      <c r="AG46" s="1443"/>
      <c r="AH46" s="1445"/>
      <c r="AI46" s="1615" t="s">
        <v>308</v>
      </c>
      <c r="AJ46" s="1443"/>
      <c r="AK46" s="1228"/>
      <c r="AL46" s="2208"/>
      <c r="AM46" s="2208"/>
      <c r="AN46" s="2208"/>
      <c r="AO46" s="2215"/>
      <c r="AP46" s="2208"/>
      <c r="AQ46" s="3169"/>
      <c r="AR46" s="3169"/>
      <c r="AS46" s="3169"/>
      <c r="AT46" s="3169"/>
      <c r="AU46" s="3169"/>
      <c r="AV46" s="3169"/>
      <c r="AW46" s="3169"/>
      <c r="AX46" s="3169"/>
      <c r="AY46" s="3169"/>
      <c r="AZ46" s="2208"/>
      <c r="BA46" s="2215"/>
      <c r="BB46" s="2208"/>
      <c r="BC46" s="2208"/>
      <c r="BD46" s="2208"/>
      <c r="BE46" s="2208"/>
      <c r="BF46" s="2208"/>
      <c r="BG46" s="2208"/>
      <c r="BH46" s="2208"/>
      <c r="BI46" s="2208"/>
      <c r="BJ46" s="2208"/>
      <c r="BK46" s="2208"/>
      <c r="BL46" s="2208"/>
      <c r="BM46" s="2208"/>
      <c r="BN46" s="2208"/>
      <c r="BO46" s="2208"/>
      <c r="BP46" s="2208"/>
      <c r="BQ46" s="2208"/>
      <c r="BR46" s="2208"/>
      <c r="BS46" s="2208"/>
      <c r="BT46" s="2208"/>
      <c r="BU46" s="2208"/>
      <c r="BV46" s="2208"/>
      <c r="BW46" s="2208"/>
    </row>
    <row r="47" spans="1:75" s="2136" customFormat="1" ht="12.75" customHeight="1">
      <c r="A47" s="1228"/>
      <c r="B47" s="1443"/>
      <c r="C47" s="2239" t="s">
        <v>1793</v>
      </c>
      <c r="D47" s="1607" t="s">
        <v>1827</v>
      </c>
      <c r="E47" s="1443"/>
      <c r="F47" s="1443"/>
      <c r="G47" s="1443"/>
      <c r="H47" s="1443"/>
      <c r="I47" s="1443"/>
      <c r="J47" s="1443"/>
      <c r="K47" s="1443"/>
      <c r="L47" s="1443"/>
      <c r="M47" s="7471"/>
      <c r="N47" s="7472"/>
      <c r="O47" s="7472"/>
      <c r="P47" s="7472"/>
      <c r="Q47" s="7472"/>
      <c r="R47" s="7472"/>
      <c r="S47" s="7472"/>
      <c r="T47" s="7472"/>
      <c r="U47" s="7472"/>
      <c r="V47" s="7472"/>
      <c r="W47" s="7472"/>
      <c r="X47" s="7472"/>
      <c r="Y47" s="7472"/>
      <c r="Z47" s="7472"/>
      <c r="AA47" s="7472"/>
      <c r="AB47" s="7472"/>
      <c r="AC47" s="7472"/>
      <c r="AD47" s="7472"/>
      <c r="AE47" s="7472"/>
      <c r="AF47" s="7472"/>
      <c r="AG47" s="7472"/>
      <c r="AH47" s="7472"/>
      <c r="AI47" s="7472"/>
      <c r="AJ47" s="7472"/>
      <c r="AK47" s="1228"/>
      <c r="AL47" s="2208"/>
      <c r="AM47" s="2208"/>
      <c r="AN47" s="2220"/>
      <c r="AO47" s="2211"/>
      <c r="AP47" s="2211"/>
      <c r="AQ47" s="3169"/>
      <c r="AR47" s="3169"/>
      <c r="AS47" s="3169"/>
      <c r="AT47" s="3169"/>
      <c r="AU47" s="3169"/>
      <c r="AV47" s="3169"/>
      <c r="AW47" s="3169"/>
      <c r="AX47" s="3169"/>
      <c r="AY47" s="3169"/>
      <c r="AZ47" s="2220"/>
      <c r="BA47" s="2211"/>
      <c r="BB47" s="2211"/>
      <c r="BC47" s="2211"/>
      <c r="BD47" s="2211"/>
      <c r="BE47" s="2211"/>
      <c r="BF47" s="2211"/>
      <c r="BG47" s="2211"/>
      <c r="BH47" s="2211"/>
      <c r="BI47" s="2211"/>
      <c r="BJ47" s="2211"/>
      <c r="BK47" s="2208"/>
      <c r="BL47" s="2208"/>
      <c r="BM47" s="2208"/>
      <c r="BN47" s="2208"/>
      <c r="BO47" s="2208"/>
      <c r="BP47" s="2208"/>
      <c r="BQ47" s="2208"/>
      <c r="BR47" s="2208"/>
      <c r="BS47" s="2208"/>
      <c r="BT47" s="2208"/>
      <c r="BU47" s="2208"/>
      <c r="BV47" s="2208"/>
      <c r="BW47" s="2208"/>
    </row>
    <row r="48" spans="1:75" s="2136" customFormat="1" ht="5.25" customHeight="1">
      <c r="A48" s="1228"/>
      <c r="B48" s="1443"/>
      <c r="C48" s="1443"/>
      <c r="D48" s="1443"/>
      <c r="E48" s="1443"/>
      <c r="F48" s="1443"/>
      <c r="G48" s="1443"/>
      <c r="H48" s="1443"/>
      <c r="I48" s="1443"/>
      <c r="J48" s="1443"/>
      <c r="K48" s="1443"/>
      <c r="L48" s="1443"/>
      <c r="M48" s="1443"/>
      <c r="N48" s="1443"/>
      <c r="O48" s="1443"/>
      <c r="P48" s="1443"/>
      <c r="Q48" s="1443"/>
      <c r="R48" s="1443"/>
      <c r="S48" s="1443"/>
      <c r="T48" s="1443"/>
      <c r="U48" s="1443"/>
      <c r="V48" s="1443"/>
      <c r="W48" s="1443"/>
      <c r="X48" s="1443"/>
      <c r="Y48" s="1443"/>
      <c r="Z48" s="1443"/>
      <c r="AA48" s="1443"/>
      <c r="AB48" s="1443"/>
      <c r="AC48" s="1443"/>
      <c r="AD48" s="1443"/>
      <c r="AE48" s="1443"/>
      <c r="AF48" s="1443"/>
      <c r="AG48" s="1443"/>
      <c r="AH48" s="1443"/>
      <c r="AI48" s="1443"/>
      <c r="AJ48" s="1443"/>
      <c r="AK48" s="1228"/>
      <c r="AL48" s="2208"/>
      <c r="AM48" s="2208"/>
      <c r="AN48" s="2211"/>
      <c r="AO48" s="2211"/>
      <c r="AP48" s="2211"/>
      <c r="AQ48" s="3169"/>
      <c r="AR48" s="3169"/>
      <c r="AS48" s="3169"/>
      <c r="AT48" s="3169"/>
      <c r="AU48" s="3169"/>
      <c r="AV48" s="3169"/>
      <c r="AW48" s="3169"/>
      <c r="AX48" s="3169"/>
      <c r="AY48" s="3169"/>
      <c r="AZ48" s="2211"/>
      <c r="BA48" s="2211"/>
      <c r="BB48" s="2211"/>
      <c r="BC48" s="2211"/>
      <c r="BD48" s="2211"/>
      <c r="BE48" s="2211"/>
      <c r="BF48" s="2211"/>
      <c r="BG48" s="2211"/>
      <c r="BH48" s="2211"/>
      <c r="BI48" s="2211"/>
      <c r="BJ48" s="2211"/>
      <c r="BK48" s="2208"/>
      <c r="BL48" s="2208"/>
      <c r="BM48" s="2208"/>
      <c r="BN48" s="2208"/>
      <c r="BO48" s="2208"/>
      <c r="BP48" s="2208"/>
      <c r="BQ48" s="2208"/>
      <c r="BR48" s="2208"/>
      <c r="BS48" s="2208"/>
      <c r="BT48" s="2208"/>
      <c r="BU48" s="2208"/>
      <c r="BV48" s="2208"/>
      <c r="BW48" s="2208"/>
    </row>
    <row r="49" spans="1:75" s="2136" customFormat="1" ht="12.75" customHeight="1" thickBot="1">
      <c r="A49" s="1228"/>
      <c r="B49" s="1443"/>
      <c r="C49" s="2239" t="s">
        <v>1829</v>
      </c>
      <c r="D49" s="3269" t="s">
        <v>1828</v>
      </c>
      <c r="E49" s="1443"/>
      <c r="F49" s="1443"/>
      <c r="G49" s="1443"/>
      <c r="H49" s="1443"/>
      <c r="I49" s="1443"/>
      <c r="J49" s="1443"/>
      <c r="K49" s="1443"/>
      <c r="L49" s="1443"/>
      <c r="M49" s="1443"/>
      <c r="N49" s="1443"/>
      <c r="O49" s="1443"/>
      <c r="P49" s="1443"/>
      <c r="Q49" s="1443"/>
      <c r="R49" s="1443"/>
      <c r="S49" s="1443"/>
      <c r="T49" s="1443"/>
      <c r="U49" s="1443"/>
      <c r="V49" s="1443"/>
      <c r="W49" s="1443"/>
      <c r="X49" s="1443"/>
      <c r="Y49" s="1443"/>
      <c r="Z49" s="1443"/>
      <c r="AA49" s="1443"/>
      <c r="AB49" s="1443"/>
      <c r="AC49" s="1443"/>
      <c r="AD49" s="1443"/>
      <c r="AE49" s="1443"/>
      <c r="AF49" s="1443"/>
      <c r="AG49" s="1443"/>
      <c r="AH49" s="1443"/>
      <c r="AI49" s="1443"/>
      <c r="AJ49" s="1443"/>
      <c r="AK49" s="1228"/>
      <c r="AL49" s="2208"/>
      <c r="AM49" s="2221"/>
      <c r="AN49" s="2211"/>
      <c r="AO49" s="2211"/>
      <c r="AP49" s="2211"/>
      <c r="AQ49" s="3169"/>
      <c r="AR49" s="3169"/>
      <c r="AS49" s="3169"/>
      <c r="AT49" s="3169"/>
      <c r="AU49" s="3169"/>
      <c r="AV49" s="3169"/>
      <c r="AW49" s="3169"/>
      <c r="AX49" s="3169"/>
      <c r="AY49" s="3169"/>
      <c r="AZ49" s="2211"/>
      <c r="BA49" s="2211"/>
      <c r="BB49" s="2211"/>
      <c r="BC49" s="2211"/>
      <c r="BD49" s="2211"/>
      <c r="BE49" s="2211"/>
      <c r="BF49" s="2211"/>
      <c r="BG49" s="2211"/>
      <c r="BH49" s="2211"/>
      <c r="BI49" s="2211"/>
      <c r="BJ49" s="2211"/>
      <c r="BK49" s="2208"/>
      <c r="BL49" s="2208"/>
      <c r="BM49" s="2208"/>
      <c r="BN49" s="2208"/>
      <c r="BO49" s="2208"/>
      <c r="BP49" s="2208"/>
      <c r="BQ49" s="2208"/>
      <c r="BR49" s="2208"/>
      <c r="BS49" s="2208"/>
      <c r="BT49" s="2208"/>
      <c r="BU49" s="2208"/>
      <c r="BV49" s="2208"/>
      <c r="BW49" s="2208"/>
    </row>
    <row r="50" spans="1:75" ht="15" customHeight="1" thickBot="1">
      <c r="A50" s="1228"/>
      <c r="B50" s="1443"/>
      <c r="C50" s="1443"/>
      <c r="D50" s="3269" t="s">
        <v>2064</v>
      </c>
      <c r="E50" s="1443"/>
      <c r="F50" s="1443"/>
      <c r="G50" s="1443"/>
      <c r="H50" s="1443"/>
      <c r="I50" s="1443"/>
      <c r="J50" s="1443"/>
      <c r="K50" s="1443"/>
      <c r="L50" s="1443"/>
      <c r="M50" s="1443"/>
      <c r="N50" s="1443"/>
      <c r="O50" s="1443"/>
      <c r="P50" s="1443"/>
      <c r="Q50" s="1443"/>
      <c r="R50" s="1443"/>
      <c r="S50" s="1443"/>
      <c r="T50" s="1443"/>
      <c r="U50" s="1443"/>
      <c r="V50" s="1443"/>
      <c r="W50" s="1443"/>
      <c r="X50" s="1443"/>
      <c r="Y50" s="1443"/>
      <c r="Z50" s="1443"/>
      <c r="AA50" s="1443"/>
      <c r="AB50" s="1443"/>
      <c r="AC50" s="1443"/>
      <c r="AD50" s="1553" t="s">
        <v>422</v>
      </c>
      <c r="AE50" s="1445"/>
      <c r="AF50" s="1615" t="s">
        <v>307</v>
      </c>
      <c r="AG50" s="1443"/>
      <c r="AH50" s="1445"/>
      <c r="AI50" s="1615" t="s">
        <v>308</v>
      </c>
      <c r="AJ50" s="1443"/>
      <c r="AK50" s="1228"/>
      <c r="AM50" s="2221"/>
      <c r="AN50" s="2211"/>
      <c r="AO50" s="2211"/>
      <c r="AP50" s="2211"/>
      <c r="AZ50" s="2211"/>
      <c r="BA50" s="2211"/>
      <c r="BB50" s="2211"/>
      <c r="BC50" s="2211"/>
      <c r="BD50" s="2211"/>
      <c r="BE50" s="2211"/>
      <c r="BF50" s="2211"/>
      <c r="BG50" s="2211"/>
      <c r="BH50" s="2211"/>
      <c r="BI50" s="2211"/>
      <c r="BJ50" s="2211"/>
    </row>
    <row r="51" spans="1:75" ht="5.25" customHeight="1" thickBot="1">
      <c r="A51" s="1228"/>
      <c r="B51" s="1443"/>
      <c r="C51" s="1443"/>
      <c r="D51" s="1443"/>
      <c r="E51" s="1443"/>
      <c r="F51" s="1443"/>
      <c r="G51" s="1443"/>
      <c r="H51" s="1443"/>
      <c r="I51" s="1443"/>
      <c r="J51" s="1443"/>
      <c r="K51" s="1443"/>
      <c r="L51" s="1443"/>
      <c r="M51" s="1443"/>
      <c r="N51" s="1443"/>
      <c r="O51" s="1443"/>
      <c r="P51" s="1443"/>
      <c r="Q51" s="1443"/>
      <c r="R51" s="1443"/>
      <c r="S51" s="1443"/>
      <c r="T51" s="1443"/>
      <c r="U51" s="1443"/>
      <c r="V51" s="1443"/>
      <c r="W51" s="1443"/>
      <c r="X51" s="1443"/>
      <c r="Y51" s="1443"/>
      <c r="Z51" s="1443"/>
      <c r="AA51" s="1443"/>
      <c r="AB51" s="1443"/>
      <c r="AC51" s="1443"/>
      <c r="AD51" s="1443"/>
      <c r="AE51" s="1443"/>
      <c r="AF51" s="1443"/>
      <c r="AG51" s="1443"/>
      <c r="AH51" s="1443"/>
      <c r="AI51" s="1443"/>
      <c r="AJ51" s="1443"/>
      <c r="AK51" s="1228"/>
      <c r="BL51" s="2222"/>
      <c r="BM51" s="2222"/>
      <c r="BO51" s="2222"/>
      <c r="BP51" s="2222"/>
      <c r="BQ51" s="2222"/>
      <c r="BR51" s="2222"/>
      <c r="BS51" s="2222"/>
      <c r="BT51" s="2222"/>
      <c r="BU51" s="2222"/>
      <c r="BV51" s="2222"/>
    </row>
    <row r="52" spans="1:75" ht="13.5" customHeight="1" thickBot="1">
      <c r="A52" s="1228"/>
      <c r="B52" s="1443"/>
      <c r="C52" s="2239" t="s">
        <v>1793</v>
      </c>
      <c r="D52" s="3269" t="s">
        <v>1830</v>
      </c>
      <c r="E52" s="1443"/>
      <c r="F52" s="1443"/>
      <c r="G52" s="1443"/>
      <c r="H52" s="1443"/>
      <c r="I52" s="1443"/>
      <c r="J52" s="1443"/>
      <c r="K52" s="1443"/>
      <c r="L52" s="1443"/>
      <c r="M52" s="1443"/>
      <c r="N52" s="1443"/>
      <c r="O52" s="1443"/>
      <c r="P52" s="1443"/>
      <c r="Q52" s="1443"/>
      <c r="R52" s="1443"/>
      <c r="S52" s="1443"/>
      <c r="T52" s="1443"/>
      <c r="U52" s="1443"/>
      <c r="V52" s="1443"/>
      <c r="W52" s="1443"/>
      <c r="X52" s="1443"/>
      <c r="Y52" s="1443"/>
      <c r="Z52" s="1443"/>
      <c r="AA52" s="1443"/>
      <c r="AB52" s="1443"/>
      <c r="AC52" s="1443"/>
      <c r="AD52" s="1553" t="s">
        <v>1280</v>
      </c>
      <c r="AE52" s="1445"/>
      <c r="AF52" s="1615" t="s">
        <v>307</v>
      </c>
      <c r="AG52" s="1443"/>
      <c r="AH52" s="1445"/>
      <c r="AI52" s="1615" t="s">
        <v>308</v>
      </c>
      <c r="AJ52" s="1443"/>
      <c r="AK52" s="1228"/>
      <c r="AM52" s="2223"/>
      <c r="BL52" s="2222"/>
      <c r="BM52" s="2222"/>
      <c r="BO52" s="2222"/>
      <c r="BP52" s="2222"/>
      <c r="BQ52" s="2222"/>
      <c r="BR52" s="2222"/>
      <c r="BS52" s="2222"/>
      <c r="BT52" s="2222"/>
      <c r="BU52" s="2222"/>
      <c r="BV52" s="2222"/>
    </row>
    <row r="53" spans="1:75" ht="16.5" customHeight="1">
      <c r="A53" s="1228"/>
      <c r="B53" s="1443"/>
      <c r="C53" s="1443"/>
      <c r="D53" s="1960" t="s">
        <v>2066</v>
      </c>
      <c r="E53" s="1443"/>
      <c r="F53" s="1443"/>
      <c r="G53" s="1443"/>
      <c r="H53" s="1443"/>
      <c r="I53" s="1443"/>
      <c r="J53" s="1443"/>
      <c r="K53" s="1443"/>
      <c r="L53" s="1443"/>
      <c r="M53" s="1443"/>
      <c r="N53" s="1443"/>
      <c r="O53" s="1443"/>
      <c r="P53" s="1443"/>
      <c r="Q53" s="1443"/>
      <c r="R53" s="1443"/>
      <c r="S53" s="1443"/>
      <c r="T53" s="1443"/>
      <c r="U53" s="1443"/>
      <c r="V53" s="1443"/>
      <c r="W53" s="1443"/>
      <c r="X53" s="1443"/>
      <c r="Y53" s="1443"/>
      <c r="Z53" s="1443"/>
      <c r="AA53" s="1443"/>
      <c r="AB53" s="1443"/>
      <c r="AC53" s="1443"/>
      <c r="AD53" s="1443"/>
      <c r="AE53" s="1443"/>
      <c r="AF53" s="1443"/>
      <c r="AG53" s="1443"/>
      <c r="AH53" s="1443"/>
      <c r="AI53" s="1443"/>
      <c r="AJ53" s="1443"/>
      <c r="AK53" s="1228"/>
      <c r="AM53" s="2223"/>
      <c r="BL53" s="2222"/>
      <c r="BM53" s="2222"/>
      <c r="BO53" s="2222"/>
      <c r="BP53" s="2222"/>
      <c r="BQ53" s="2222"/>
      <c r="BR53" s="2222"/>
      <c r="BS53" s="2222"/>
      <c r="BT53" s="2222"/>
      <c r="BU53" s="2222"/>
      <c r="BV53" s="2222"/>
    </row>
    <row r="54" spans="1:75" ht="16.5" customHeight="1">
      <c r="A54" s="1228"/>
      <c r="B54" s="1443"/>
      <c r="C54" s="1443"/>
      <c r="D54" s="4788" t="s">
        <v>1831</v>
      </c>
      <c r="E54" s="1443"/>
      <c r="F54" s="1443"/>
      <c r="G54" s="1443"/>
      <c r="H54" s="1443"/>
      <c r="I54" s="1443"/>
      <c r="J54" s="1443"/>
      <c r="K54" s="1443"/>
      <c r="L54" s="1443"/>
      <c r="M54" s="1443"/>
      <c r="N54" s="1443"/>
      <c r="O54" s="1443"/>
      <c r="P54" s="1443"/>
      <c r="Q54" s="1443"/>
      <c r="R54" s="1443"/>
      <c r="S54" s="1443"/>
      <c r="T54" s="1443"/>
      <c r="U54" s="1443"/>
      <c r="V54" s="1443"/>
      <c r="W54" s="1443"/>
      <c r="X54" s="1443"/>
      <c r="Y54" s="1443"/>
      <c r="Z54" s="1443"/>
      <c r="AA54" s="1443"/>
      <c r="AB54" s="1443"/>
      <c r="AC54" s="1443"/>
      <c r="AD54" s="1443"/>
      <c r="AE54" s="1443"/>
      <c r="AF54" s="1443"/>
      <c r="AG54" s="1443"/>
      <c r="AH54" s="1443"/>
      <c r="AI54" s="1443"/>
      <c r="AJ54" s="1443"/>
      <c r="AK54" s="1228"/>
      <c r="AM54" s="2223"/>
      <c r="AO54" s="2224"/>
      <c r="AP54" s="2221"/>
      <c r="BL54" s="2222"/>
      <c r="BM54" s="2222"/>
      <c r="BO54" s="2222"/>
      <c r="BP54" s="2222"/>
      <c r="BQ54" s="2222"/>
      <c r="BR54" s="2222"/>
      <c r="BS54" s="2222"/>
      <c r="BT54" s="2222"/>
      <c r="BU54" s="2222"/>
      <c r="BV54" s="2222"/>
    </row>
    <row r="55" spans="1:75" ht="16.5" customHeight="1">
      <c r="A55" s="1228"/>
      <c r="B55" s="1443"/>
      <c r="C55" s="1939" t="s">
        <v>815</v>
      </c>
      <c r="D55" s="3269" t="s">
        <v>4452</v>
      </c>
      <c r="E55" s="1443"/>
      <c r="F55" s="1443"/>
      <c r="G55" s="1443"/>
      <c r="H55" s="1443"/>
      <c r="I55" s="1443"/>
      <c r="J55" s="1443"/>
      <c r="K55" s="1443"/>
      <c r="L55" s="1443"/>
      <c r="M55" s="1443"/>
      <c r="N55" s="1443"/>
      <c r="O55" s="1443"/>
      <c r="P55" s="1443"/>
      <c r="Q55" s="1443"/>
      <c r="R55" s="1443"/>
      <c r="S55" s="1443"/>
      <c r="T55" s="1443"/>
      <c r="U55" s="1443"/>
      <c r="V55" s="1443"/>
      <c r="W55" s="1443"/>
      <c r="X55" s="1443"/>
      <c r="Y55" s="1443"/>
      <c r="Z55" s="1443"/>
      <c r="AA55" s="1443"/>
      <c r="AB55" s="1443"/>
      <c r="AC55" s="1443"/>
      <c r="AD55" s="1443"/>
      <c r="AE55" s="1443"/>
      <c r="AF55" s="1443"/>
      <c r="AG55" s="1443"/>
      <c r="AH55" s="1443"/>
      <c r="AI55" s="1443"/>
      <c r="AJ55" s="1443"/>
      <c r="AK55" s="1228"/>
      <c r="AO55" s="2224"/>
      <c r="AP55" s="2221"/>
      <c r="BL55" s="2222"/>
      <c r="BM55" s="2222"/>
      <c r="BO55" s="2222"/>
      <c r="BP55" s="2222"/>
      <c r="BQ55" s="2222"/>
      <c r="BR55" s="2222"/>
      <c r="BS55" s="2222"/>
      <c r="BT55" s="2222"/>
      <c r="BU55" s="2222"/>
      <c r="BV55" s="2222"/>
    </row>
    <row r="56" spans="1:75" ht="16.5" customHeight="1">
      <c r="A56" s="1228"/>
      <c r="B56" s="1443"/>
      <c r="C56" s="1443"/>
      <c r="D56" s="4789" t="s">
        <v>4453</v>
      </c>
      <c r="E56" s="1443"/>
      <c r="F56" s="1443"/>
      <c r="G56" s="1443"/>
      <c r="H56" s="1443"/>
      <c r="I56" s="1443"/>
      <c r="J56" s="1443"/>
      <c r="K56" s="1443"/>
      <c r="L56" s="1443"/>
      <c r="M56" s="1443"/>
      <c r="N56" s="1443"/>
      <c r="O56" s="1443"/>
      <c r="P56" s="1443"/>
      <c r="Q56" s="1443"/>
      <c r="R56" s="1443"/>
      <c r="S56" s="1443"/>
      <c r="T56" s="1443"/>
      <c r="U56" s="1443"/>
      <c r="V56" s="1443"/>
      <c r="W56" s="1443"/>
      <c r="X56" s="1443"/>
      <c r="Y56" s="1443"/>
      <c r="Z56" s="1443"/>
      <c r="AA56" s="1443"/>
      <c r="AB56" s="1443"/>
      <c r="AC56" s="1443"/>
      <c r="AD56" s="1443"/>
      <c r="AE56" s="1443"/>
      <c r="AF56" s="1443"/>
      <c r="AG56" s="1443"/>
      <c r="AH56" s="1443"/>
      <c r="AI56" s="1443"/>
      <c r="AJ56" s="1443"/>
      <c r="AK56" s="1228"/>
      <c r="AO56" s="2221"/>
      <c r="AP56" s="2209"/>
      <c r="BL56" s="2222"/>
      <c r="BM56" s="2222"/>
      <c r="BO56" s="2222"/>
      <c r="BP56" s="2222"/>
      <c r="BQ56" s="2222"/>
      <c r="BR56" s="2222"/>
      <c r="BS56" s="2222"/>
      <c r="BT56" s="2222"/>
      <c r="BU56" s="2222"/>
      <c r="BV56" s="2222"/>
    </row>
    <row r="57" spans="1:75" ht="35.25" customHeight="1" thickBot="1">
      <c r="A57" s="1228"/>
      <c r="B57" s="7545" t="s">
        <v>1832</v>
      </c>
      <c r="C57" s="7546"/>
      <c r="D57" s="7546"/>
      <c r="E57" s="7547"/>
      <c r="F57" s="7545" t="s">
        <v>1833</v>
      </c>
      <c r="G57" s="7546"/>
      <c r="H57" s="7546"/>
      <c r="I57" s="7547"/>
      <c r="J57" s="7545" t="s">
        <v>1834</v>
      </c>
      <c r="K57" s="7546"/>
      <c r="L57" s="7546"/>
      <c r="M57" s="7547"/>
      <c r="N57" s="7548" t="s">
        <v>1835</v>
      </c>
      <c r="O57" s="7546"/>
      <c r="P57" s="7546"/>
      <c r="Q57" s="7546"/>
      <c r="R57" s="7549"/>
      <c r="S57" s="7537" t="s">
        <v>1836</v>
      </c>
      <c r="T57" s="7550"/>
      <c r="U57" s="7550"/>
      <c r="V57" s="7551"/>
      <c r="W57" s="7545" t="s">
        <v>1833</v>
      </c>
      <c r="X57" s="7546"/>
      <c r="Y57" s="7546"/>
      <c r="Z57" s="7547"/>
      <c r="AA57" s="7545" t="s">
        <v>1834</v>
      </c>
      <c r="AB57" s="7546"/>
      <c r="AC57" s="7546"/>
      <c r="AD57" s="7547"/>
      <c r="AE57" s="7548" t="s">
        <v>1835</v>
      </c>
      <c r="AF57" s="7546"/>
      <c r="AG57" s="7546"/>
      <c r="AH57" s="7546"/>
      <c r="AI57" s="7546"/>
      <c r="AJ57" s="7546"/>
      <c r="AK57" s="1228"/>
      <c r="AM57" s="2254" t="s">
        <v>101</v>
      </c>
      <c r="AO57" s="2254" t="s">
        <v>101</v>
      </c>
      <c r="AP57" s="2225"/>
      <c r="BL57" s="2222"/>
      <c r="BM57" s="2222"/>
      <c r="BO57" s="2222"/>
      <c r="BP57" s="2222"/>
      <c r="BQ57" s="2222"/>
      <c r="BR57" s="2222"/>
      <c r="BS57" s="2222"/>
      <c r="BT57" s="2222"/>
      <c r="BU57" s="2222"/>
      <c r="BV57" s="2222"/>
    </row>
    <row r="58" spans="1:75" ht="14.25" customHeight="1" thickBot="1">
      <c r="A58" s="1228"/>
      <c r="B58" s="7539"/>
      <c r="C58" s="7525"/>
      <c r="D58" s="7525"/>
      <c r="E58" s="7525"/>
      <c r="F58" s="7524"/>
      <c r="G58" s="7525"/>
      <c r="H58" s="7525"/>
      <c r="I58" s="7540"/>
      <c r="J58" s="7527" t="str">
        <f>IF(AM58&lt;&gt;"",ROUND(AM58,0),IF(OR(B58="",F58=""),"",F58-B58))</f>
        <v/>
      </c>
      <c r="K58" s="7528"/>
      <c r="L58" s="7528"/>
      <c r="M58" s="7529"/>
      <c r="N58" s="7533"/>
      <c r="O58" s="7538"/>
      <c r="P58" s="7538"/>
      <c r="Q58" s="7538"/>
      <c r="R58" s="7541"/>
      <c r="S58" s="7542"/>
      <c r="T58" s="7543"/>
      <c r="U58" s="7543"/>
      <c r="V58" s="7544"/>
      <c r="W58" s="7524"/>
      <c r="X58" s="7525"/>
      <c r="Y58" s="7525"/>
      <c r="Z58" s="7540"/>
      <c r="AA58" s="7527" t="str">
        <f>IF(AO58&lt;&gt;"",ROUND(AO58,0),IF(OR(S58="",W58=""),"",W58-S58))</f>
        <v/>
      </c>
      <c r="AB58" s="7528"/>
      <c r="AC58" s="7528"/>
      <c r="AD58" s="7529"/>
      <c r="AE58" s="7533"/>
      <c r="AF58" s="7538"/>
      <c r="AG58" s="7538"/>
      <c r="AH58" s="7538"/>
      <c r="AI58" s="7538"/>
      <c r="AJ58" s="7534"/>
      <c r="AK58" s="1228"/>
      <c r="AM58" s="2336"/>
      <c r="AO58" s="2336"/>
      <c r="AP58" s="2225"/>
      <c r="BL58" s="2222"/>
      <c r="BM58" s="2222"/>
      <c r="BO58" s="2222"/>
      <c r="BP58" s="2222"/>
      <c r="BQ58" s="2222"/>
      <c r="BR58" s="2222"/>
      <c r="BS58" s="2222"/>
      <c r="BT58" s="2222"/>
      <c r="BU58" s="2222"/>
      <c r="BV58" s="2222"/>
    </row>
    <row r="59" spans="1:75" ht="14.25" customHeight="1" thickBot="1">
      <c r="A59" s="1228"/>
      <c r="B59" s="7539"/>
      <c r="C59" s="7525"/>
      <c r="D59" s="7525"/>
      <c r="E59" s="7525"/>
      <c r="F59" s="7524"/>
      <c r="G59" s="7525"/>
      <c r="H59" s="7525"/>
      <c r="I59" s="7540"/>
      <c r="J59" s="7527" t="str">
        <f>IF(AM59&lt;&gt;"",ROUND(AM59,0),IF(OR(B59="",F59=""),"",F59-B59))</f>
        <v/>
      </c>
      <c r="K59" s="7528"/>
      <c r="L59" s="7528"/>
      <c r="M59" s="7529"/>
      <c r="N59" s="7533"/>
      <c r="O59" s="7538"/>
      <c r="P59" s="7538"/>
      <c r="Q59" s="7538"/>
      <c r="R59" s="7541"/>
      <c r="S59" s="7542"/>
      <c r="T59" s="7543"/>
      <c r="U59" s="7543"/>
      <c r="V59" s="7544"/>
      <c r="W59" s="7524"/>
      <c r="X59" s="7525"/>
      <c r="Y59" s="7525"/>
      <c r="Z59" s="7540"/>
      <c r="AA59" s="7527" t="str">
        <f>IF(AO59&lt;&gt;"",ROUND(AO59,0),IF(OR(S59="",W59=""),"",W59-S59))</f>
        <v/>
      </c>
      <c r="AB59" s="7528"/>
      <c r="AC59" s="7528"/>
      <c r="AD59" s="7529"/>
      <c r="AE59" s="7533"/>
      <c r="AF59" s="7538"/>
      <c r="AG59" s="7538"/>
      <c r="AH59" s="7538"/>
      <c r="AI59" s="7538"/>
      <c r="AJ59" s="7534"/>
      <c r="AK59" s="1228"/>
      <c r="AM59" s="2336"/>
      <c r="AO59" s="2336"/>
      <c r="AP59" s="2225"/>
      <c r="BL59" s="2222"/>
      <c r="BM59" s="2222"/>
      <c r="BO59" s="2222"/>
      <c r="BP59" s="2222"/>
      <c r="BQ59" s="2222"/>
      <c r="BR59" s="2222"/>
      <c r="BS59" s="2222"/>
      <c r="BT59" s="2222"/>
      <c r="BU59" s="2222"/>
      <c r="BV59" s="2222"/>
    </row>
    <row r="60" spans="1:75" ht="14.25" customHeight="1" thickBot="1">
      <c r="A60" s="1228"/>
      <c r="B60" s="7539"/>
      <c r="C60" s="7525"/>
      <c r="D60" s="7525"/>
      <c r="E60" s="7525"/>
      <c r="F60" s="7524"/>
      <c r="G60" s="7525"/>
      <c r="H60" s="7525"/>
      <c r="I60" s="7540"/>
      <c r="J60" s="7527" t="str">
        <f>IF(AM60&lt;&gt;"",ROUND(AM60,0),IF(OR(B60="",F60=""),"",F60-B60))</f>
        <v/>
      </c>
      <c r="K60" s="7528"/>
      <c r="L60" s="7528"/>
      <c r="M60" s="7529"/>
      <c r="N60" s="7533"/>
      <c r="O60" s="7538"/>
      <c r="P60" s="7538"/>
      <c r="Q60" s="7538"/>
      <c r="R60" s="7541"/>
      <c r="S60" s="7542"/>
      <c r="T60" s="7543"/>
      <c r="U60" s="7543"/>
      <c r="V60" s="7544"/>
      <c r="W60" s="7524"/>
      <c r="X60" s="7525"/>
      <c r="Y60" s="7525"/>
      <c r="Z60" s="7540"/>
      <c r="AA60" s="7527" t="str">
        <f>IF(AO60&lt;&gt;"",ROUND(AO60,0),IF(OR(S60="",W60=""),"",W60-S60))</f>
        <v/>
      </c>
      <c r="AB60" s="7528"/>
      <c r="AC60" s="7528"/>
      <c r="AD60" s="7529"/>
      <c r="AE60" s="7533"/>
      <c r="AF60" s="7538"/>
      <c r="AG60" s="7538"/>
      <c r="AH60" s="7538"/>
      <c r="AI60" s="7538"/>
      <c r="AJ60" s="7534"/>
      <c r="AK60" s="1228"/>
      <c r="AM60" s="2336"/>
      <c r="AO60" s="2336"/>
      <c r="AP60" s="2225"/>
      <c r="BL60" s="2222"/>
      <c r="BM60" s="2222"/>
      <c r="BO60" s="2222"/>
      <c r="BP60" s="2222"/>
      <c r="BQ60" s="2222"/>
      <c r="BR60" s="2222"/>
      <c r="BS60" s="2222"/>
      <c r="BT60" s="2222"/>
      <c r="BU60" s="2222"/>
      <c r="BV60" s="2222"/>
    </row>
    <row r="61" spans="1:75" ht="14.25" customHeight="1" thickBot="1">
      <c r="A61" s="1228"/>
      <c r="B61" s="7539"/>
      <c r="C61" s="7525"/>
      <c r="D61" s="7525"/>
      <c r="E61" s="7525"/>
      <c r="F61" s="7524"/>
      <c r="G61" s="7525"/>
      <c r="H61" s="7525"/>
      <c r="I61" s="7540"/>
      <c r="J61" s="7527" t="str">
        <f>IF(AM61&lt;&gt;"",ROUND(AM61,0),IF(OR(B61="",F61=""),"",F61-B61))</f>
        <v/>
      </c>
      <c r="K61" s="7528"/>
      <c r="L61" s="7528"/>
      <c r="M61" s="7529"/>
      <c r="N61" s="7533"/>
      <c r="O61" s="7538"/>
      <c r="P61" s="7538"/>
      <c r="Q61" s="7538"/>
      <c r="R61" s="7541"/>
      <c r="S61" s="7542"/>
      <c r="T61" s="7543"/>
      <c r="U61" s="7543"/>
      <c r="V61" s="7544"/>
      <c r="W61" s="7524"/>
      <c r="X61" s="7525"/>
      <c r="Y61" s="7525"/>
      <c r="Z61" s="7540"/>
      <c r="AA61" s="7527" t="str">
        <f>IF(AO61&lt;&gt;"",ROUND(AO61,0),IF(OR(S61="",W61=""),"",W61-S61))</f>
        <v/>
      </c>
      <c r="AB61" s="7528"/>
      <c r="AC61" s="7528"/>
      <c r="AD61" s="7529"/>
      <c r="AE61" s="7533"/>
      <c r="AF61" s="7538"/>
      <c r="AG61" s="7538"/>
      <c r="AH61" s="7538"/>
      <c r="AI61" s="7538"/>
      <c r="AJ61" s="7534"/>
      <c r="AK61" s="1228"/>
      <c r="AM61" s="2336"/>
      <c r="AO61" s="2336"/>
      <c r="AP61" s="2225"/>
      <c r="BL61" s="2222"/>
      <c r="BM61" s="2222"/>
      <c r="BO61" s="2222"/>
      <c r="BP61" s="2222"/>
      <c r="BQ61" s="2222"/>
      <c r="BR61" s="2222"/>
      <c r="BS61" s="2222"/>
      <c r="BT61" s="2222"/>
      <c r="BU61" s="2222"/>
      <c r="BV61" s="2222"/>
    </row>
    <row r="62" spans="1:75" ht="14.25" customHeight="1">
      <c r="A62" s="1228"/>
      <c r="B62" s="1443"/>
      <c r="C62" s="2239" t="s">
        <v>1838</v>
      </c>
      <c r="D62" s="1443" t="s">
        <v>1837</v>
      </c>
      <c r="E62" s="1443"/>
      <c r="F62" s="1443"/>
      <c r="G62" s="1443"/>
      <c r="H62" s="1443"/>
      <c r="I62" s="1443"/>
      <c r="J62" s="1443"/>
      <c r="K62" s="1443"/>
      <c r="L62" s="1443"/>
      <c r="M62" s="1443"/>
      <c r="N62" s="1443"/>
      <c r="O62" s="1443"/>
      <c r="P62" s="1443"/>
      <c r="Q62" s="1443"/>
      <c r="R62" s="1443"/>
      <c r="S62" s="1443"/>
      <c r="T62" s="1443"/>
      <c r="U62" s="1443"/>
      <c r="V62" s="1443"/>
      <c r="W62" s="1443"/>
      <c r="X62" s="1443"/>
      <c r="Y62" s="1443"/>
      <c r="Z62" s="7560"/>
      <c r="AA62" s="7561"/>
      <c r="AB62" s="7561"/>
      <c r="AC62" s="7561"/>
      <c r="AD62" s="7561"/>
      <c r="AE62" s="7561"/>
      <c r="AF62" s="7561"/>
      <c r="AG62" s="7561"/>
      <c r="AH62" s="7561"/>
      <c r="AI62" s="7561"/>
      <c r="AJ62" s="7561"/>
      <c r="AK62" s="1228"/>
      <c r="AO62" s="2221"/>
      <c r="AP62" s="2225"/>
      <c r="BL62" s="2222"/>
      <c r="BM62" s="2222"/>
      <c r="BO62" s="2222"/>
      <c r="BP62" s="2222"/>
      <c r="BQ62" s="2222"/>
      <c r="BR62" s="2222"/>
      <c r="BS62" s="2222"/>
      <c r="BT62" s="2222"/>
      <c r="BU62" s="2222"/>
      <c r="BV62" s="2222"/>
    </row>
    <row r="63" spans="1:75" ht="14.25" customHeight="1">
      <c r="A63" s="1228"/>
      <c r="B63" s="1443"/>
      <c r="C63" s="1443"/>
      <c r="D63" s="7471"/>
      <c r="E63" s="7472"/>
      <c r="F63" s="7472"/>
      <c r="G63" s="7472"/>
      <c r="H63" s="7472"/>
      <c r="I63" s="7472"/>
      <c r="J63" s="7472"/>
      <c r="K63" s="7472"/>
      <c r="L63" s="7472"/>
      <c r="M63" s="7472"/>
      <c r="N63" s="7472"/>
      <c r="O63" s="7472"/>
      <c r="P63" s="7472"/>
      <c r="Q63" s="7472"/>
      <c r="R63" s="7472"/>
      <c r="S63" s="7472"/>
      <c r="T63" s="7472"/>
      <c r="U63" s="7472"/>
      <c r="V63" s="7472"/>
      <c r="W63" s="7472"/>
      <c r="X63" s="7472"/>
      <c r="Y63" s="7472"/>
      <c r="Z63" s="7472"/>
      <c r="AA63" s="7472"/>
      <c r="AB63" s="7472"/>
      <c r="AC63" s="7472"/>
      <c r="AD63" s="7472"/>
      <c r="AE63" s="7472"/>
      <c r="AF63" s="7472"/>
      <c r="AG63" s="7472"/>
      <c r="AH63" s="7472"/>
      <c r="AI63" s="7472"/>
      <c r="AJ63" s="7472"/>
      <c r="AK63" s="1228"/>
      <c r="AO63" s="2221"/>
      <c r="AP63" s="2225"/>
      <c r="BL63" s="2222"/>
      <c r="BM63" s="2222"/>
      <c r="BO63" s="2222"/>
      <c r="BP63" s="2222"/>
      <c r="BQ63" s="2222"/>
      <c r="BR63" s="2222"/>
      <c r="BS63" s="2222"/>
      <c r="BT63" s="2222"/>
      <c r="BU63" s="2222"/>
      <c r="BV63" s="2222"/>
    </row>
    <row r="64" spans="1:75" ht="14.25" customHeight="1">
      <c r="A64" s="1228"/>
      <c r="B64" s="1443"/>
      <c r="C64" s="2239" t="s">
        <v>1793</v>
      </c>
      <c r="D64" s="1607" t="s">
        <v>1839</v>
      </c>
      <c r="E64" s="1443"/>
      <c r="F64" s="1443"/>
      <c r="G64" s="1443"/>
      <c r="H64" s="1443"/>
      <c r="I64" s="1443"/>
      <c r="J64" s="1443"/>
      <c r="K64" s="1443"/>
      <c r="L64" s="1443"/>
      <c r="M64" s="1443"/>
      <c r="N64" s="1443"/>
      <c r="O64" s="1443"/>
      <c r="P64" s="1443"/>
      <c r="Q64" s="1443"/>
      <c r="R64" s="1443"/>
      <c r="S64" s="1443"/>
      <c r="T64" s="7556"/>
      <c r="U64" s="7557"/>
      <c r="V64" s="7557"/>
      <c r="W64" s="7557"/>
      <c r="X64" s="7557"/>
      <c r="Y64" s="7557"/>
      <c r="Z64" s="7557"/>
      <c r="AA64" s="7557"/>
      <c r="AB64" s="7557"/>
      <c r="AC64" s="7557"/>
      <c r="AD64" s="7557"/>
      <c r="AE64" s="7557"/>
      <c r="AF64" s="7557"/>
      <c r="AG64" s="7557"/>
      <c r="AH64" s="7557"/>
      <c r="AI64" s="7557"/>
      <c r="AJ64" s="7557"/>
      <c r="AK64" s="1228"/>
      <c r="AO64" s="2221"/>
      <c r="AP64" s="2225"/>
      <c r="BL64" s="2222"/>
      <c r="BM64" s="2222"/>
      <c r="BO64" s="2222"/>
      <c r="BP64" s="2222"/>
      <c r="BQ64" s="2222"/>
      <c r="BR64" s="2222"/>
      <c r="BS64" s="2222"/>
      <c r="BT64" s="2222"/>
      <c r="BU64" s="2222"/>
      <c r="BV64" s="2222"/>
    </row>
    <row r="65" spans="1:74" ht="5.25" customHeight="1" thickBot="1">
      <c r="A65" s="1228"/>
      <c r="B65" s="1443"/>
      <c r="C65" s="1443"/>
      <c r="D65" s="1443"/>
      <c r="E65" s="1443"/>
      <c r="F65" s="1443"/>
      <c r="G65" s="1443"/>
      <c r="H65" s="1443"/>
      <c r="I65" s="1443"/>
      <c r="J65" s="1443"/>
      <c r="K65" s="1443"/>
      <c r="L65" s="1443"/>
      <c r="M65" s="1443"/>
      <c r="N65" s="1443"/>
      <c r="O65" s="1443"/>
      <c r="P65" s="1443"/>
      <c r="Q65" s="1443"/>
      <c r="R65" s="1443"/>
      <c r="S65" s="1443"/>
      <c r="T65" s="1443"/>
      <c r="U65" s="1443"/>
      <c r="V65" s="1443"/>
      <c r="W65" s="1443"/>
      <c r="X65" s="1443"/>
      <c r="Y65" s="1443"/>
      <c r="Z65" s="1443"/>
      <c r="AA65" s="1443"/>
      <c r="AB65" s="1443"/>
      <c r="AC65" s="1443"/>
      <c r="AD65" s="1443"/>
      <c r="AE65" s="1443"/>
      <c r="AF65" s="1443"/>
      <c r="AG65" s="1443"/>
      <c r="AH65" s="1443"/>
      <c r="AI65" s="1443"/>
      <c r="AJ65" s="1443"/>
      <c r="AK65" s="1228"/>
      <c r="BL65" s="2222"/>
      <c r="BM65" s="2222"/>
      <c r="BO65" s="2222"/>
      <c r="BP65" s="2222"/>
      <c r="BQ65" s="2222"/>
      <c r="BR65" s="2222"/>
      <c r="BS65" s="2222"/>
      <c r="BT65" s="2222"/>
      <c r="BU65" s="2222"/>
      <c r="BV65" s="2222"/>
    </row>
    <row r="66" spans="1:74" ht="13.5" customHeight="1" thickBot="1">
      <c r="A66" s="1228"/>
      <c r="B66" s="1443"/>
      <c r="C66" s="2239" t="s">
        <v>1799</v>
      </c>
      <c r="D66" s="3269" t="s">
        <v>1840</v>
      </c>
      <c r="E66" s="1443"/>
      <c r="F66" s="1443"/>
      <c r="G66" s="1443"/>
      <c r="H66" s="1443"/>
      <c r="I66" s="1443"/>
      <c r="J66" s="1443"/>
      <c r="K66" s="1443"/>
      <c r="L66" s="1443"/>
      <c r="M66" s="1443"/>
      <c r="N66" s="1443"/>
      <c r="O66" s="1443"/>
      <c r="P66" s="1443"/>
      <c r="Q66" s="1443"/>
      <c r="R66" s="1443"/>
      <c r="S66" s="1443"/>
      <c r="T66" s="1443"/>
      <c r="U66" s="1443"/>
      <c r="V66" s="1443"/>
      <c r="W66" s="1443"/>
      <c r="X66" s="1443"/>
      <c r="Y66" s="1443"/>
      <c r="Z66" s="1443"/>
      <c r="AA66" s="1443"/>
      <c r="AB66" s="1443"/>
      <c r="AC66" s="1443"/>
      <c r="AD66" s="1553" t="s">
        <v>1280</v>
      </c>
      <c r="AE66" s="1445"/>
      <c r="AF66" s="1607" t="s">
        <v>307</v>
      </c>
      <c r="AG66" s="1443"/>
      <c r="AH66" s="1445"/>
      <c r="AI66" s="1607" t="s">
        <v>308</v>
      </c>
      <c r="AJ66" s="1443"/>
      <c r="AK66" s="1228"/>
      <c r="AO66" s="2221"/>
      <c r="AP66" s="2225"/>
      <c r="BL66" s="2222"/>
      <c r="BM66" s="2222"/>
      <c r="BO66" s="2222"/>
      <c r="BP66" s="2222"/>
      <c r="BQ66" s="2222"/>
      <c r="BR66" s="2222"/>
      <c r="BS66" s="2222"/>
      <c r="BT66" s="2222"/>
      <c r="BU66" s="2222"/>
      <c r="BV66" s="2222"/>
    </row>
    <row r="67" spans="1:74" ht="3.75" customHeight="1" thickBot="1">
      <c r="A67" s="1228"/>
      <c r="B67" s="1443"/>
      <c r="C67" s="2239"/>
      <c r="D67" s="1443"/>
      <c r="E67" s="1443"/>
      <c r="F67" s="1443"/>
      <c r="G67" s="1443"/>
      <c r="H67" s="1443"/>
      <c r="I67" s="1443"/>
      <c r="J67" s="1443"/>
      <c r="K67" s="1443"/>
      <c r="L67" s="1443"/>
      <c r="M67" s="1443"/>
      <c r="N67" s="1443"/>
      <c r="O67" s="1443"/>
      <c r="P67" s="1443"/>
      <c r="Q67" s="1443"/>
      <c r="R67" s="1443"/>
      <c r="S67" s="1443"/>
      <c r="T67" s="1443"/>
      <c r="U67" s="1443"/>
      <c r="V67" s="1443"/>
      <c r="W67" s="1443"/>
      <c r="X67" s="1443"/>
      <c r="Y67" s="1443"/>
      <c r="Z67" s="1443"/>
      <c r="AA67" s="1443"/>
      <c r="AB67" s="1443"/>
      <c r="AC67" s="1443"/>
      <c r="AD67" s="1443"/>
      <c r="AE67" s="2244"/>
      <c r="AF67" s="1607"/>
      <c r="AG67" s="1443"/>
      <c r="AH67" s="2244"/>
      <c r="AI67" s="1607"/>
      <c r="AJ67" s="1443"/>
      <c r="AK67" s="1228"/>
      <c r="AO67" s="2221"/>
      <c r="AP67" s="2225"/>
      <c r="BL67" s="2222"/>
      <c r="BM67" s="2222"/>
      <c r="BO67" s="2222"/>
      <c r="BP67" s="2222"/>
      <c r="BQ67" s="2222"/>
      <c r="BR67" s="2222"/>
      <c r="BS67" s="2222"/>
      <c r="BT67" s="2222"/>
      <c r="BU67" s="2222"/>
      <c r="BV67" s="2222"/>
    </row>
    <row r="68" spans="1:74" ht="13.5" customHeight="1" thickBot="1">
      <c r="A68" s="1228"/>
      <c r="B68" s="1443"/>
      <c r="C68" s="2239" t="s">
        <v>102</v>
      </c>
      <c r="D68" s="3269" t="s">
        <v>1841</v>
      </c>
      <c r="E68" s="1443"/>
      <c r="F68" s="1443"/>
      <c r="G68" s="1443"/>
      <c r="H68" s="1443"/>
      <c r="I68" s="1443"/>
      <c r="J68" s="1443"/>
      <c r="K68" s="1443"/>
      <c r="L68" s="1443"/>
      <c r="M68" s="1443"/>
      <c r="N68" s="1443"/>
      <c r="O68" s="1443"/>
      <c r="P68" s="1443"/>
      <c r="Q68" s="1443"/>
      <c r="R68" s="1443"/>
      <c r="S68" s="1443"/>
      <c r="T68" s="1443"/>
      <c r="U68" s="1443"/>
      <c r="V68" s="1443"/>
      <c r="W68" s="1443"/>
      <c r="X68" s="1443"/>
      <c r="Y68" s="1443"/>
      <c r="Z68" s="1443"/>
      <c r="AA68" s="1443"/>
      <c r="AB68" s="1443"/>
      <c r="AC68" s="1443"/>
      <c r="AD68" s="1553" t="s">
        <v>676</v>
      </c>
      <c r="AE68" s="1445"/>
      <c r="AF68" s="1607" t="s">
        <v>307</v>
      </c>
      <c r="AG68" s="1443"/>
      <c r="AH68" s="1445"/>
      <c r="AI68" s="1607" t="s">
        <v>308</v>
      </c>
      <c r="AJ68" s="1443"/>
      <c r="AK68" s="1228"/>
      <c r="AO68" s="2222"/>
      <c r="AP68" s="2222"/>
      <c r="BL68" s="2222"/>
      <c r="BM68" s="2222"/>
      <c r="BO68" s="2222"/>
      <c r="BP68" s="2222"/>
      <c r="BQ68" s="2222"/>
      <c r="BR68" s="2222"/>
      <c r="BS68" s="2222"/>
      <c r="BT68" s="2222"/>
      <c r="BU68" s="2222"/>
      <c r="BV68" s="2222"/>
    </row>
    <row r="69" spans="1:74" ht="14.25" customHeight="1">
      <c r="A69" s="1228"/>
      <c r="B69" s="1443"/>
      <c r="C69" s="2239" t="s">
        <v>1201</v>
      </c>
      <c r="D69" s="3269" t="s">
        <v>1842</v>
      </c>
      <c r="E69" s="1443"/>
      <c r="F69" s="1443"/>
      <c r="G69" s="1443"/>
      <c r="H69" s="1443"/>
      <c r="I69" s="1443"/>
      <c r="J69" s="1443"/>
      <c r="K69" s="1443"/>
      <c r="L69" s="1443"/>
      <c r="M69" s="1443"/>
      <c r="N69" s="1443"/>
      <c r="O69" s="1443"/>
      <c r="P69" s="1443"/>
      <c r="Q69" s="1443"/>
      <c r="R69" s="1443"/>
      <c r="S69" s="1443"/>
      <c r="T69" s="1443"/>
      <c r="U69" s="1443"/>
      <c r="V69" s="1443"/>
      <c r="W69" s="1443"/>
      <c r="X69" s="1443"/>
      <c r="Y69" s="1443"/>
      <c r="Z69" s="1443"/>
      <c r="AA69" s="1443"/>
      <c r="AB69" s="1443"/>
      <c r="AC69" s="1443"/>
      <c r="AD69" s="1443"/>
      <c r="AE69" s="1443"/>
      <c r="AF69" s="1443"/>
      <c r="AG69" s="1443"/>
      <c r="AH69" s="1443"/>
      <c r="AI69" s="1443"/>
      <c r="AJ69" s="1443"/>
      <c r="AK69" s="1228"/>
      <c r="AO69" s="2222"/>
      <c r="AP69" s="2222"/>
      <c r="BL69" s="2222"/>
      <c r="BM69" s="2222"/>
      <c r="BO69" s="2222"/>
      <c r="BP69" s="2222"/>
      <c r="BQ69" s="2222"/>
      <c r="BR69" s="2222"/>
      <c r="BS69" s="2222"/>
      <c r="BT69" s="2222"/>
      <c r="BU69" s="2222"/>
      <c r="BV69" s="2222"/>
    </row>
    <row r="70" spans="1:74" ht="14.25" customHeight="1">
      <c r="A70" s="1228"/>
      <c r="B70" s="1443"/>
      <c r="C70" s="2239"/>
      <c r="D70" s="3269" t="s">
        <v>1468</v>
      </c>
      <c r="E70" s="1443"/>
      <c r="F70" s="1443"/>
      <c r="G70" s="7482"/>
      <c r="H70" s="7483"/>
      <c r="I70" s="7483"/>
      <c r="J70" s="7483"/>
      <c r="K70" s="7483"/>
      <c r="L70" s="7483"/>
      <c r="M70" s="7483"/>
      <c r="N70" s="7483"/>
      <c r="O70" s="7483"/>
      <c r="P70" s="7483"/>
      <c r="Q70" s="7483"/>
      <c r="R70" s="7483"/>
      <c r="S70" s="7483"/>
      <c r="T70" s="7483"/>
      <c r="U70" s="7483"/>
      <c r="V70" s="7483"/>
      <c r="W70" s="7483"/>
      <c r="X70" s="7483"/>
      <c r="Y70" s="7483"/>
      <c r="Z70" s="7483"/>
      <c r="AA70" s="7483"/>
      <c r="AB70" s="7483"/>
      <c r="AC70" s="7483"/>
      <c r="AD70" s="7483"/>
      <c r="AE70" s="7483"/>
      <c r="AF70" s="7483"/>
      <c r="AG70" s="7483"/>
      <c r="AH70" s="7483"/>
      <c r="AI70" s="7483"/>
      <c r="AJ70" s="7483"/>
      <c r="AK70" s="1228"/>
      <c r="AO70" s="2226"/>
      <c r="AP70" s="2226"/>
      <c r="BL70" s="2222"/>
      <c r="BM70" s="2222"/>
      <c r="BO70" s="2222"/>
      <c r="BP70" s="2222"/>
      <c r="BQ70" s="2222"/>
      <c r="BR70" s="2222"/>
      <c r="BS70" s="2222"/>
      <c r="BT70" s="2222"/>
      <c r="BU70" s="2222"/>
      <c r="BV70" s="2222"/>
    </row>
    <row r="71" spans="1:74" ht="15">
      <c r="A71" s="1228"/>
      <c r="B71" s="1443"/>
      <c r="C71" s="1443"/>
      <c r="D71" s="7482"/>
      <c r="E71" s="7483"/>
      <c r="F71" s="7483"/>
      <c r="G71" s="7483"/>
      <c r="H71" s="7483"/>
      <c r="I71" s="7483"/>
      <c r="J71" s="7483"/>
      <c r="K71" s="7483"/>
      <c r="L71" s="7483"/>
      <c r="M71" s="7483"/>
      <c r="N71" s="7483"/>
      <c r="O71" s="7483"/>
      <c r="P71" s="7483"/>
      <c r="Q71" s="7483"/>
      <c r="R71" s="7483"/>
      <c r="S71" s="7483"/>
      <c r="T71" s="7483"/>
      <c r="U71" s="7483"/>
      <c r="V71" s="7483"/>
      <c r="W71" s="7483"/>
      <c r="X71" s="7483"/>
      <c r="Y71" s="7483"/>
      <c r="Z71" s="7483"/>
      <c r="AA71" s="7483"/>
      <c r="AB71" s="7483"/>
      <c r="AC71" s="7483"/>
      <c r="AD71" s="7483"/>
      <c r="AE71" s="7483"/>
      <c r="AF71" s="7483"/>
      <c r="AG71" s="7483"/>
      <c r="AH71" s="7483"/>
      <c r="AI71" s="7483"/>
      <c r="AJ71" s="7483"/>
      <c r="AK71" s="1228"/>
      <c r="AM71" s="2212"/>
      <c r="AN71" s="2212"/>
      <c r="AO71" s="2228"/>
      <c r="AP71" s="2229"/>
      <c r="BL71" s="2222"/>
      <c r="BM71" s="2222"/>
      <c r="BO71" s="2222"/>
      <c r="BP71" s="2222"/>
      <c r="BQ71" s="2222"/>
      <c r="BR71" s="2222"/>
      <c r="BS71" s="2222"/>
      <c r="BT71" s="2222"/>
      <c r="BU71" s="2222"/>
      <c r="BV71" s="2222"/>
    </row>
    <row r="72" spans="1:74" ht="18.75" customHeight="1">
      <c r="A72" s="1228"/>
      <c r="B72" s="25" t="s">
        <v>2042</v>
      </c>
      <c r="C72" s="74"/>
      <c r="D72" s="74"/>
      <c r="E72" s="74"/>
      <c r="F72" s="74"/>
      <c r="G72" s="74"/>
      <c r="H72" s="74"/>
      <c r="I72" s="74"/>
      <c r="J72" s="74"/>
      <c r="K72" s="74"/>
      <c r="L72" s="74"/>
      <c r="M72" s="74"/>
      <c r="N72" s="74"/>
      <c r="O72" s="74"/>
      <c r="P72" s="74"/>
      <c r="Q72" s="24"/>
      <c r="R72" s="24"/>
      <c r="S72" s="24"/>
      <c r="T72" s="24"/>
      <c r="U72" s="32"/>
      <c r="V72" s="24"/>
      <c r="W72" s="32" t="s">
        <v>1843</v>
      </c>
      <c r="X72" s="24"/>
      <c r="Y72" s="24"/>
      <c r="Z72" s="24"/>
      <c r="AA72" s="24"/>
      <c r="AB72" s="24"/>
      <c r="AC72" s="24"/>
      <c r="AD72" s="24"/>
      <c r="AE72" s="24"/>
      <c r="AF72" s="24"/>
      <c r="AG72" s="24"/>
      <c r="AH72" s="1127" t="s">
        <v>1844</v>
      </c>
      <c r="AI72" s="24"/>
      <c r="AJ72" s="1127" t="str">
        <f>"("&amp;TaxYear&amp;")"</f>
        <v>(2018)</v>
      </c>
      <c r="AK72" s="1228"/>
      <c r="AM72" s="2212"/>
      <c r="AN72" s="2212"/>
      <c r="AO72" s="2228"/>
      <c r="AP72" s="2229"/>
      <c r="BL72" s="2222"/>
      <c r="BM72" s="2222"/>
      <c r="BO72" s="2222"/>
      <c r="BP72" s="2222"/>
      <c r="BQ72" s="2222"/>
      <c r="BR72" s="2222"/>
      <c r="BS72" s="2222"/>
      <c r="BT72" s="2222"/>
      <c r="BU72" s="2222"/>
      <c r="BV72" s="2222"/>
    </row>
    <row r="73" spans="1:74" ht="18.75" thickBot="1">
      <c r="A73" s="1228"/>
      <c r="B73" s="1703" t="str">
        <f>"Form 2555 ("&amp;TaxYear&amp;")"</f>
        <v>Form 2555 (2018)</v>
      </c>
      <c r="C73" s="1703"/>
      <c r="D73" s="1703"/>
      <c r="E73" s="1703"/>
      <c r="F73" s="1703"/>
      <c r="G73" s="1703"/>
      <c r="H73" s="1703"/>
      <c r="I73" s="1703"/>
      <c r="J73" s="1703"/>
      <c r="K73" s="1703"/>
      <c r="L73" s="1703"/>
      <c r="M73" s="1703"/>
      <c r="N73" s="1703"/>
      <c r="O73" s="1703"/>
      <c r="P73" s="1703"/>
      <c r="Q73" s="1703"/>
      <c r="R73" s="1703"/>
      <c r="S73" s="1703"/>
      <c r="T73" s="1703"/>
      <c r="U73" s="1703"/>
      <c r="V73" s="1703"/>
      <c r="W73" s="1703"/>
      <c r="X73" s="1703"/>
      <c r="Y73" s="1703"/>
      <c r="Z73" s="1703"/>
      <c r="AA73" s="1703"/>
      <c r="AB73" s="1703"/>
      <c r="AC73" s="1703"/>
      <c r="AD73" s="1703"/>
      <c r="AE73" s="1703"/>
      <c r="AF73" s="1703"/>
      <c r="AG73" s="1703"/>
      <c r="AH73" s="1703"/>
      <c r="AI73" s="2245" t="s">
        <v>225</v>
      </c>
      <c r="AJ73" s="2246">
        <v>2</v>
      </c>
      <c r="AK73" s="1228"/>
      <c r="AO73" s="2228"/>
      <c r="AP73" s="2229"/>
      <c r="BL73" s="2222"/>
      <c r="BM73" s="2222"/>
      <c r="BO73" s="2222"/>
      <c r="BP73" s="2222"/>
      <c r="BQ73" s="2222"/>
      <c r="BR73" s="2222"/>
      <c r="BS73" s="2222"/>
      <c r="BT73" s="2222"/>
      <c r="BU73" s="2222"/>
      <c r="BV73" s="2222"/>
    </row>
    <row r="74" spans="1:74" ht="5.25" customHeight="1" thickTop="1">
      <c r="A74" s="1228"/>
      <c r="B74" s="2201"/>
      <c r="C74" s="2201"/>
      <c r="D74" s="2201"/>
      <c r="E74" s="2201"/>
      <c r="F74" s="2201"/>
      <c r="G74" s="2201"/>
      <c r="H74" s="2201"/>
      <c r="I74" s="2201"/>
      <c r="J74" s="2201"/>
      <c r="K74" s="2201"/>
      <c r="L74" s="2201"/>
      <c r="M74" s="2201"/>
      <c r="N74" s="2201"/>
      <c r="O74" s="2201"/>
      <c r="P74" s="2201"/>
      <c r="Q74" s="2201"/>
      <c r="R74" s="2201"/>
      <c r="S74" s="2201"/>
      <c r="T74" s="2201"/>
      <c r="U74" s="2201"/>
      <c r="V74" s="2201"/>
      <c r="W74" s="2201"/>
      <c r="X74" s="2201"/>
      <c r="Y74" s="2201"/>
      <c r="Z74" s="2201"/>
      <c r="AA74" s="2201"/>
      <c r="AB74" s="2201"/>
      <c r="AC74" s="2201"/>
      <c r="AD74" s="2201"/>
      <c r="AE74" s="2201"/>
      <c r="AF74" s="2201"/>
      <c r="AG74" s="2201"/>
      <c r="AH74" s="2201"/>
      <c r="AI74" s="2201"/>
      <c r="AJ74" s="2201"/>
      <c r="AK74" s="1228"/>
    </row>
    <row r="75" spans="1:74" ht="15" customHeight="1">
      <c r="A75" s="1228"/>
      <c r="B75" s="7470" t="s">
        <v>363</v>
      </c>
      <c r="C75" s="6273"/>
      <c r="D75" s="2207" t="s">
        <v>1845</v>
      </c>
      <c r="E75" s="2205"/>
      <c r="F75" s="2205"/>
      <c r="G75" s="2205"/>
      <c r="H75" s="2205"/>
      <c r="I75" s="2205"/>
      <c r="J75" s="2205"/>
      <c r="K75" s="2205"/>
      <c r="L75" s="2205"/>
      <c r="M75" s="2205"/>
      <c r="N75" s="2205"/>
      <c r="O75" s="2205"/>
      <c r="P75" s="2205"/>
      <c r="Q75" s="2205"/>
      <c r="R75" s="2205"/>
      <c r="S75" s="2205"/>
      <c r="T75" s="2205"/>
      <c r="U75" s="2205"/>
      <c r="V75" s="2205"/>
      <c r="W75" s="2205"/>
      <c r="X75" s="2205"/>
      <c r="Y75" s="2205"/>
      <c r="Z75" s="2205"/>
      <c r="AA75" s="2205"/>
      <c r="AB75" s="2205"/>
      <c r="AC75" s="2205"/>
      <c r="AD75" s="2205"/>
      <c r="AE75" s="2205"/>
      <c r="AF75" s="2205"/>
      <c r="AG75" s="2205"/>
      <c r="AH75" s="2205"/>
      <c r="AI75" s="2205"/>
      <c r="AJ75" s="2205"/>
      <c r="AK75" s="1228"/>
    </row>
    <row r="76" spans="1:74" ht="6" customHeight="1">
      <c r="A76" s="1228"/>
      <c r="B76" s="2206"/>
      <c r="C76" s="2206"/>
      <c r="D76" s="2206"/>
      <c r="E76" s="2206"/>
      <c r="F76" s="2206"/>
      <c r="G76" s="2206"/>
      <c r="H76" s="2206"/>
      <c r="I76" s="2206"/>
      <c r="J76" s="2206"/>
      <c r="K76" s="2206"/>
      <c r="L76" s="2206"/>
      <c r="M76" s="2206"/>
      <c r="N76" s="2206"/>
      <c r="O76" s="2206"/>
      <c r="P76" s="2206"/>
      <c r="Q76" s="2206"/>
      <c r="R76" s="2206"/>
      <c r="S76" s="2206"/>
      <c r="T76" s="2206"/>
      <c r="U76" s="2206"/>
      <c r="V76" s="2206"/>
      <c r="W76" s="2206"/>
      <c r="X76" s="2206"/>
      <c r="Y76" s="2206"/>
      <c r="Z76" s="2206"/>
      <c r="AA76" s="2206"/>
      <c r="AB76" s="2206"/>
      <c r="AC76" s="2206"/>
      <c r="AD76" s="2206"/>
      <c r="AE76" s="2206"/>
      <c r="AF76" s="2206"/>
      <c r="AG76" s="2206"/>
      <c r="AH76" s="2206"/>
      <c r="AI76" s="2206"/>
      <c r="AJ76" s="2206"/>
      <c r="AK76" s="1228"/>
    </row>
    <row r="77" spans="1:74" ht="15">
      <c r="A77" s="1228"/>
      <c r="B77" s="1443"/>
      <c r="C77" s="2239" t="s">
        <v>1374</v>
      </c>
      <c r="D77" s="1607" t="s">
        <v>1846</v>
      </c>
      <c r="E77" s="1443"/>
      <c r="F77" s="1443"/>
      <c r="G77" s="1443"/>
      <c r="H77" s="1443"/>
      <c r="I77" s="1443"/>
      <c r="J77" s="1443"/>
      <c r="K77" s="1443"/>
      <c r="L77" s="1443"/>
      <c r="M77" s="1443"/>
      <c r="N77" s="1443"/>
      <c r="O77" s="1443"/>
      <c r="P77" s="1443"/>
      <c r="Q77" s="1443"/>
      <c r="R77" s="1443"/>
      <c r="S77" s="1443"/>
      <c r="T77" s="7597"/>
      <c r="U77" s="7598"/>
      <c r="V77" s="7598"/>
      <c r="W77" s="7598"/>
      <c r="X77" s="7599"/>
      <c r="Y77" s="7599"/>
      <c r="Z77" s="7599"/>
      <c r="AA77" s="1443"/>
      <c r="AB77" s="2379" t="s">
        <v>1847</v>
      </c>
      <c r="AC77" s="1443"/>
      <c r="AD77" s="7597"/>
      <c r="AE77" s="7598"/>
      <c r="AF77" s="7598"/>
      <c r="AG77" s="7598"/>
      <c r="AH77" s="7599"/>
      <c r="AI77" s="7599"/>
      <c r="AJ77" s="7599"/>
      <c r="AK77" s="1228"/>
      <c r="AO77" s="2228"/>
      <c r="AP77" s="2229"/>
      <c r="BL77" s="2222"/>
      <c r="BM77" s="2222"/>
      <c r="BO77" s="2222"/>
      <c r="BP77" s="2222"/>
      <c r="BQ77" s="2222"/>
      <c r="BR77" s="2222"/>
      <c r="BS77" s="2222"/>
      <c r="BT77" s="2222"/>
      <c r="BU77" s="2222"/>
      <c r="BV77" s="2222"/>
    </row>
    <row r="78" spans="1:74" ht="15" customHeight="1">
      <c r="A78" s="1228"/>
      <c r="B78" s="1443"/>
      <c r="C78" s="2239" t="s">
        <v>1376</v>
      </c>
      <c r="D78" s="1607" t="s">
        <v>1848</v>
      </c>
      <c r="E78" s="1443"/>
      <c r="F78" s="1443"/>
      <c r="G78" s="1443"/>
      <c r="H78" s="1443"/>
      <c r="I78" s="1443"/>
      <c r="J78" s="1443"/>
      <c r="K78" s="1443"/>
      <c r="L78" s="1443"/>
      <c r="M78" s="1443"/>
      <c r="N78" s="1443"/>
      <c r="O78" s="1443"/>
      <c r="P78" s="1443"/>
      <c r="Q78" s="1443"/>
      <c r="R78" s="1443"/>
      <c r="S78" s="7471"/>
      <c r="T78" s="7485"/>
      <c r="U78" s="7485"/>
      <c r="V78" s="7485"/>
      <c r="W78" s="7485"/>
      <c r="X78" s="7485"/>
      <c r="Y78" s="7485"/>
      <c r="Z78" s="7485"/>
      <c r="AA78" s="7485"/>
      <c r="AB78" s="7485"/>
      <c r="AC78" s="7485"/>
      <c r="AD78" s="7485"/>
      <c r="AE78" s="7485"/>
      <c r="AF78" s="7485"/>
      <c r="AG78" s="7485"/>
      <c r="AH78" s="7485"/>
      <c r="AI78" s="7485"/>
      <c r="AJ78" s="7485"/>
      <c r="AK78" s="1228"/>
      <c r="AM78" s="2212"/>
      <c r="AN78" s="2212"/>
      <c r="AO78" s="2228"/>
      <c r="AP78" s="2229"/>
      <c r="BL78" s="2222"/>
      <c r="BM78" s="2222"/>
      <c r="BO78" s="2222"/>
      <c r="BP78" s="2222"/>
      <c r="BQ78" s="2222"/>
      <c r="BR78" s="2222"/>
      <c r="BS78" s="2222"/>
      <c r="BT78" s="2222"/>
      <c r="BU78" s="2222"/>
      <c r="BV78" s="2222"/>
    </row>
    <row r="79" spans="1:74" ht="18" customHeight="1">
      <c r="A79" s="1228"/>
      <c r="B79" s="1443"/>
      <c r="C79" s="2239" t="s">
        <v>1378</v>
      </c>
      <c r="D79" s="3269" t="s">
        <v>2583</v>
      </c>
      <c r="E79" s="1443"/>
      <c r="F79" s="1443"/>
      <c r="G79" s="1443"/>
      <c r="H79" s="1443"/>
      <c r="I79" s="1443"/>
      <c r="J79" s="1443"/>
      <c r="K79" s="1443"/>
      <c r="L79" s="1443"/>
      <c r="M79" s="1443"/>
      <c r="N79" s="1443"/>
      <c r="O79" s="1443"/>
      <c r="P79" s="1443"/>
      <c r="Q79" s="1443"/>
      <c r="R79" s="1443"/>
      <c r="S79" s="1443"/>
      <c r="T79" s="1443"/>
      <c r="U79" s="1443"/>
      <c r="V79" s="1443"/>
      <c r="W79" s="1443"/>
      <c r="X79" s="1443"/>
      <c r="Y79" s="1443"/>
      <c r="Z79" s="1443"/>
      <c r="AA79" s="1443"/>
      <c r="AB79" s="1443"/>
      <c r="AC79" s="1443"/>
      <c r="AD79" s="1443"/>
      <c r="AE79" s="1443"/>
      <c r="AF79" s="1443"/>
      <c r="AG79" s="1443"/>
      <c r="AH79" s="1443"/>
      <c r="AI79" s="1443"/>
      <c r="AJ79" s="1443"/>
      <c r="AK79" s="1228"/>
      <c r="AO79" s="2228"/>
      <c r="AP79" s="2230"/>
      <c r="BL79" s="2222"/>
      <c r="BM79" s="2222"/>
      <c r="BO79" s="2222"/>
      <c r="BP79" s="2222"/>
      <c r="BQ79" s="2222"/>
      <c r="BR79" s="2222"/>
      <c r="BS79" s="2222"/>
      <c r="BT79" s="2222"/>
      <c r="BU79" s="2222"/>
      <c r="BV79" s="2222"/>
    </row>
    <row r="80" spans="1:74" ht="15.75" customHeight="1">
      <c r="A80" s="1228"/>
      <c r="B80" s="1443"/>
      <c r="C80" s="1443"/>
      <c r="D80" s="3269" t="s">
        <v>2067</v>
      </c>
      <c r="E80" s="1443"/>
      <c r="F80" s="1443"/>
      <c r="G80" s="1443"/>
      <c r="H80" s="1443"/>
      <c r="I80" s="1443"/>
      <c r="J80" s="1443"/>
      <c r="K80" s="1443"/>
      <c r="L80" s="1443"/>
      <c r="M80" s="1443"/>
      <c r="N80" s="1443"/>
      <c r="O80" s="1443"/>
      <c r="P80" s="1443"/>
      <c r="Q80" s="1443"/>
      <c r="R80" s="1443"/>
      <c r="S80" s="1443"/>
      <c r="T80" s="1443"/>
      <c r="U80" s="1443"/>
      <c r="V80" s="1443"/>
      <c r="W80" s="1443"/>
      <c r="X80" s="1443"/>
      <c r="Y80" s="1443"/>
      <c r="Z80" s="1443"/>
      <c r="AA80" s="1443"/>
      <c r="AB80" s="1443"/>
      <c r="AC80" s="1443"/>
      <c r="AD80" s="1443"/>
      <c r="AE80" s="1443"/>
      <c r="AF80" s="1443"/>
      <c r="AG80" s="1443"/>
      <c r="AH80" s="1443"/>
      <c r="AI80" s="1443"/>
      <c r="AJ80" s="1443"/>
      <c r="AK80" s="1228"/>
      <c r="AM80" s="2212"/>
      <c r="AN80" s="2212"/>
      <c r="AO80" s="2231"/>
      <c r="AP80" s="2232"/>
      <c r="BL80" s="2222"/>
      <c r="BM80" s="2222"/>
      <c r="BO80" s="2222"/>
      <c r="BP80" s="2222"/>
      <c r="BQ80" s="2222"/>
      <c r="BR80" s="2222"/>
      <c r="BS80" s="2222"/>
      <c r="BT80" s="2222"/>
      <c r="BU80" s="2222"/>
      <c r="BV80" s="2222"/>
    </row>
    <row r="81" spans="1:74" ht="14.25">
      <c r="A81" s="1228"/>
      <c r="B81" s="1443"/>
      <c r="C81" s="1443"/>
      <c r="D81" s="3269" t="s">
        <v>2584</v>
      </c>
      <c r="E81" s="1443"/>
      <c r="F81" s="1443"/>
      <c r="G81" s="1443"/>
      <c r="H81" s="1443"/>
      <c r="I81" s="1443"/>
      <c r="J81" s="1443"/>
      <c r="K81" s="1443"/>
      <c r="L81" s="1443"/>
      <c r="M81" s="1443"/>
      <c r="N81" s="1443"/>
      <c r="O81" s="1443"/>
      <c r="P81" s="1443"/>
      <c r="Q81" s="1443"/>
      <c r="R81" s="1443"/>
      <c r="S81" s="1443"/>
      <c r="T81" s="1443"/>
      <c r="U81" s="1443"/>
      <c r="V81" s="1443"/>
      <c r="W81" s="1443"/>
      <c r="X81" s="1443"/>
      <c r="Y81" s="1443"/>
      <c r="Z81" s="1443"/>
      <c r="AA81" s="1443"/>
      <c r="AB81" s="1443"/>
      <c r="AC81" s="1443"/>
      <c r="AD81" s="1443"/>
      <c r="AE81" s="1443"/>
      <c r="AF81" s="1443"/>
      <c r="AG81" s="1443"/>
      <c r="AH81" s="1443"/>
      <c r="AI81" s="1443"/>
      <c r="AJ81" s="1443"/>
      <c r="AK81" s="1228"/>
      <c r="AM81" s="2212"/>
      <c r="AN81" s="2212"/>
      <c r="AO81" s="2233"/>
      <c r="AP81" s="2234"/>
      <c r="BL81" s="2222"/>
      <c r="BM81" s="2222"/>
      <c r="BO81" s="2222"/>
      <c r="BP81" s="2222"/>
      <c r="BQ81" s="2222"/>
      <c r="BR81" s="2222"/>
      <c r="BS81" s="2222"/>
      <c r="BT81" s="2222"/>
      <c r="BU81" s="2222"/>
      <c r="BV81" s="2222"/>
    </row>
    <row r="82" spans="1:74" ht="15">
      <c r="A82" s="1228"/>
      <c r="B82" s="1443"/>
      <c r="C82" s="1443"/>
      <c r="D82" s="3269" t="s">
        <v>2585</v>
      </c>
      <c r="E82" s="1443"/>
      <c r="F82" s="1443"/>
      <c r="G82" s="1443"/>
      <c r="H82" s="1443"/>
      <c r="I82" s="1443"/>
      <c r="J82" s="1443"/>
      <c r="K82" s="1443"/>
      <c r="L82" s="1443"/>
      <c r="M82" s="1443"/>
      <c r="N82" s="1443"/>
      <c r="O82" s="1443"/>
      <c r="P82" s="1443"/>
      <c r="Q82" s="1443"/>
      <c r="R82" s="1443"/>
      <c r="S82" s="1443"/>
      <c r="T82" s="1443"/>
      <c r="U82" s="1443"/>
      <c r="V82" s="1443"/>
      <c r="W82" s="1443"/>
      <c r="X82" s="1443"/>
      <c r="Y82" s="1443"/>
      <c r="Z82" s="1443"/>
      <c r="AA82" s="1443"/>
      <c r="AB82" s="1443"/>
      <c r="AC82" s="1443"/>
      <c r="AD82" s="1443"/>
      <c r="AE82" s="1443"/>
      <c r="AF82" s="1443"/>
      <c r="AG82" s="1443"/>
      <c r="AH82" s="1443"/>
      <c r="AI82" s="1443"/>
      <c r="AJ82" s="1443"/>
      <c r="AK82" s="1228"/>
      <c r="AL82" s="2221"/>
      <c r="AM82" s="2221"/>
      <c r="AN82" s="2221"/>
      <c r="AO82" s="2228"/>
      <c r="AP82" s="2222"/>
      <c r="BL82" s="2222"/>
      <c r="BM82" s="2222"/>
      <c r="BO82" s="2222"/>
      <c r="BP82" s="2222"/>
      <c r="BQ82" s="2222"/>
      <c r="BR82" s="2222"/>
      <c r="BS82" s="2222"/>
      <c r="BT82" s="2222"/>
      <c r="BU82" s="2222"/>
      <c r="BV82" s="2222"/>
    </row>
    <row r="83" spans="1:74" ht="35.25" customHeight="1" thickBot="1">
      <c r="A83" s="1228"/>
      <c r="B83" s="7537" t="s">
        <v>1849</v>
      </c>
      <c r="C83" s="6360"/>
      <c r="D83" s="6360"/>
      <c r="E83" s="6360"/>
      <c r="F83" s="6360"/>
      <c r="G83" s="6360"/>
      <c r="H83" s="6360"/>
      <c r="I83" s="6360"/>
      <c r="J83" s="6360"/>
      <c r="K83" s="6360"/>
      <c r="L83" s="6360"/>
      <c r="M83" s="7536"/>
      <c r="N83" s="7535" t="s">
        <v>1850</v>
      </c>
      <c r="O83" s="6360"/>
      <c r="P83" s="6360"/>
      <c r="Q83" s="6360"/>
      <c r="R83" s="7536"/>
      <c r="S83" s="7535" t="s">
        <v>1851</v>
      </c>
      <c r="T83" s="6360"/>
      <c r="U83" s="6360"/>
      <c r="V83" s="6360"/>
      <c r="W83" s="7536"/>
      <c r="X83" s="7535" t="s">
        <v>1852</v>
      </c>
      <c r="Y83" s="6360"/>
      <c r="Z83" s="6360"/>
      <c r="AA83" s="7536"/>
      <c r="AB83" s="7535" t="s">
        <v>1853</v>
      </c>
      <c r="AC83" s="6360"/>
      <c r="AD83" s="6360"/>
      <c r="AE83" s="7536"/>
      <c r="AF83" s="7535" t="s">
        <v>1854</v>
      </c>
      <c r="AG83" s="6360"/>
      <c r="AH83" s="6360"/>
      <c r="AI83" s="6360"/>
      <c r="AJ83" s="6360"/>
      <c r="AK83" s="1228"/>
      <c r="AM83" s="2254" t="s">
        <v>101</v>
      </c>
      <c r="AO83" s="2221"/>
      <c r="AP83" s="2225"/>
      <c r="BL83" s="2222"/>
      <c r="BM83" s="2222"/>
      <c r="BO83" s="2222"/>
      <c r="BP83" s="2222"/>
      <c r="BQ83" s="2222"/>
      <c r="BR83" s="2222"/>
      <c r="BS83" s="2222"/>
      <c r="BT83" s="2222"/>
      <c r="BU83" s="2222"/>
      <c r="BV83" s="2222"/>
    </row>
    <row r="84" spans="1:74" ht="14.25" customHeight="1" thickBot="1">
      <c r="A84" s="1228"/>
      <c r="B84" s="7521"/>
      <c r="C84" s="7522"/>
      <c r="D84" s="7522"/>
      <c r="E84" s="7522"/>
      <c r="F84" s="7522"/>
      <c r="G84" s="7522"/>
      <c r="H84" s="7522"/>
      <c r="I84" s="7522"/>
      <c r="J84" s="7522"/>
      <c r="K84" s="7522"/>
      <c r="L84" s="7522"/>
      <c r="M84" s="7523"/>
      <c r="N84" s="7524"/>
      <c r="O84" s="7525"/>
      <c r="P84" s="7525"/>
      <c r="Q84" s="7525"/>
      <c r="R84" s="7526"/>
      <c r="S84" s="7524"/>
      <c r="T84" s="7525"/>
      <c r="U84" s="7525"/>
      <c r="V84" s="7525"/>
      <c r="W84" s="7526"/>
      <c r="X84" s="7527" t="str">
        <f>IF(AM84&lt;&gt;"",ROUND(AM84,0),IF(OR(N84="",S84=""),"",S84-N84-2))</f>
        <v/>
      </c>
      <c r="Y84" s="7528"/>
      <c r="Z84" s="7528"/>
      <c r="AA84" s="7529"/>
      <c r="AB84" s="7530"/>
      <c r="AC84" s="7531"/>
      <c r="AD84" s="7531"/>
      <c r="AE84" s="7532"/>
      <c r="AF84" s="7533"/>
      <c r="AG84" s="7534"/>
      <c r="AH84" s="7534"/>
      <c r="AI84" s="7534"/>
      <c r="AJ84" s="7534"/>
      <c r="AK84" s="1228"/>
      <c r="AM84" s="2336"/>
      <c r="AO84" s="2221"/>
      <c r="AP84" s="2225"/>
      <c r="BL84" s="2222"/>
      <c r="BM84" s="2222"/>
      <c r="BO84" s="2222"/>
      <c r="BP84" s="2222"/>
      <c r="BQ84" s="2222"/>
      <c r="BR84" s="2222"/>
      <c r="BS84" s="2222"/>
      <c r="BT84" s="2222"/>
      <c r="BU84" s="2222"/>
      <c r="BV84" s="2222"/>
    </row>
    <row r="85" spans="1:74" ht="14.25" customHeight="1" thickBot="1">
      <c r="A85" s="1228"/>
      <c r="B85" s="7521"/>
      <c r="C85" s="7522"/>
      <c r="D85" s="7522"/>
      <c r="E85" s="7522"/>
      <c r="F85" s="7522"/>
      <c r="G85" s="7522"/>
      <c r="H85" s="7522"/>
      <c r="I85" s="7522"/>
      <c r="J85" s="7522"/>
      <c r="K85" s="7522"/>
      <c r="L85" s="7522"/>
      <c r="M85" s="7523"/>
      <c r="N85" s="7524"/>
      <c r="O85" s="7525"/>
      <c r="P85" s="7525"/>
      <c r="Q85" s="7525"/>
      <c r="R85" s="7526"/>
      <c r="S85" s="7524"/>
      <c r="T85" s="7525"/>
      <c r="U85" s="7525"/>
      <c r="V85" s="7525"/>
      <c r="W85" s="7526"/>
      <c r="X85" s="7527" t="str">
        <f>IF(AM85&lt;&gt;"",ROUND(AM85,0),IF(OR(N85="",S85=""),"",S85-N85-2))</f>
        <v/>
      </c>
      <c r="Y85" s="7528"/>
      <c r="Z85" s="7528"/>
      <c r="AA85" s="7529"/>
      <c r="AB85" s="7530"/>
      <c r="AC85" s="7531"/>
      <c r="AD85" s="7531"/>
      <c r="AE85" s="7532"/>
      <c r="AF85" s="7533"/>
      <c r="AG85" s="7534"/>
      <c r="AH85" s="7534"/>
      <c r="AI85" s="7534"/>
      <c r="AJ85" s="7534"/>
      <c r="AK85" s="1228"/>
      <c r="AM85" s="2336"/>
      <c r="AO85" s="2221"/>
      <c r="AP85" s="2225"/>
      <c r="BL85" s="2222"/>
      <c r="BM85" s="2222"/>
      <c r="BO85" s="2222"/>
      <c r="BP85" s="2222"/>
      <c r="BQ85" s="2222"/>
      <c r="BR85" s="2222"/>
      <c r="BS85" s="2222"/>
      <c r="BT85" s="2222"/>
      <c r="BU85" s="2222"/>
      <c r="BV85" s="2222"/>
    </row>
    <row r="86" spans="1:74" ht="14.25" customHeight="1" thickBot="1">
      <c r="A86" s="1228"/>
      <c r="B86" s="7521"/>
      <c r="C86" s="7522"/>
      <c r="D86" s="7522"/>
      <c r="E86" s="7522"/>
      <c r="F86" s="7522"/>
      <c r="G86" s="7522"/>
      <c r="H86" s="7522"/>
      <c r="I86" s="7522"/>
      <c r="J86" s="7522"/>
      <c r="K86" s="7522"/>
      <c r="L86" s="7522"/>
      <c r="M86" s="7523"/>
      <c r="N86" s="7524"/>
      <c r="O86" s="7525"/>
      <c r="P86" s="7525"/>
      <c r="Q86" s="7525"/>
      <c r="R86" s="7526"/>
      <c r="S86" s="7524"/>
      <c r="T86" s="7525"/>
      <c r="U86" s="7525"/>
      <c r="V86" s="7525"/>
      <c r="W86" s="7526"/>
      <c r="X86" s="7527" t="str">
        <f>IF(AM86&lt;&gt;"",ROUND(AM86,0),IF(OR(N86="",S86=""),"",S86-N86-2))</f>
        <v/>
      </c>
      <c r="Y86" s="7528"/>
      <c r="Z86" s="7528"/>
      <c r="AA86" s="7529"/>
      <c r="AB86" s="7530"/>
      <c r="AC86" s="7531"/>
      <c r="AD86" s="7531"/>
      <c r="AE86" s="7532"/>
      <c r="AF86" s="7533"/>
      <c r="AG86" s="7534"/>
      <c r="AH86" s="7534"/>
      <c r="AI86" s="7534"/>
      <c r="AJ86" s="7534"/>
      <c r="AK86" s="1228"/>
      <c r="AM86" s="2336"/>
      <c r="AO86" s="2221"/>
      <c r="AP86" s="2225"/>
      <c r="BL86" s="2222"/>
      <c r="BM86" s="2222"/>
      <c r="BO86" s="2222"/>
      <c r="BP86" s="2222"/>
      <c r="BQ86" s="2222"/>
      <c r="BR86" s="2222"/>
      <c r="BS86" s="2222"/>
      <c r="BT86" s="2222"/>
      <c r="BU86" s="2222"/>
      <c r="BV86" s="2222"/>
    </row>
    <row r="87" spans="1:74" ht="14.25" customHeight="1" thickBot="1">
      <c r="A87" s="1228"/>
      <c r="B87" s="7521"/>
      <c r="C87" s="7522"/>
      <c r="D87" s="7522"/>
      <c r="E87" s="7522"/>
      <c r="F87" s="7522"/>
      <c r="G87" s="7522"/>
      <c r="H87" s="7522"/>
      <c r="I87" s="7522"/>
      <c r="J87" s="7522"/>
      <c r="K87" s="7522"/>
      <c r="L87" s="7522"/>
      <c r="M87" s="7523"/>
      <c r="N87" s="7524"/>
      <c r="O87" s="7525"/>
      <c r="P87" s="7525"/>
      <c r="Q87" s="7525"/>
      <c r="R87" s="7526"/>
      <c r="S87" s="7524"/>
      <c r="T87" s="7525"/>
      <c r="U87" s="7525"/>
      <c r="V87" s="7525"/>
      <c r="W87" s="7526"/>
      <c r="X87" s="7527" t="str">
        <f>IF(AM87&lt;&gt;"",ROUND(AM87,0),IF(OR(N87="",S87=""),"",S87-N87-2))</f>
        <v/>
      </c>
      <c r="Y87" s="7528"/>
      <c r="Z87" s="7528"/>
      <c r="AA87" s="7529"/>
      <c r="AB87" s="7530"/>
      <c r="AC87" s="7531"/>
      <c r="AD87" s="7531"/>
      <c r="AE87" s="7532"/>
      <c r="AF87" s="7533"/>
      <c r="AG87" s="7534"/>
      <c r="AH87" s="7534"/>
      <c r="AI87" s="7534"/>
      <c r="AJ87" s="7534"/>
      <c r="AK87" s="1228"/>
      <c r="AM87" s="2336"/>
      <c r="AO87" s="2221"/>
      <c r="AP87" s="2225"/>
      <c r="BL87" s="2222"/>
      <c r="BM87" s="2222"/>
      <c r="BO87" s="2222"/>
      <c r="BP87" s="2222"/>
      <c r="BQ87" s="2222"/>
      <c r="BR87" s="2222"/>
      <c r="BS87" s="2222"/>
      <c r="BT87" s="2222"/>
      <c r="BU87" s="2222"/>
      <c r="BV87" s="2222"/>
    </row>
    <row r="88" spans="1:74" ht="5.25" customHeight="1">
      <c r="A88" s="1228"/>
      <c r="B88" s="2201"/>
      <c r="C88" s="2201"/>
      <c r="D88" s="2201"/>
      <c r="E88" s="2201"/>
      <c r="F88" s="2201"/>
      <c r="G88" s="2201"/>
      <c r="H88" s="2201"/>
      <c r="I88" s="2201"/>
      <c r="J88" s="2201"/>
      <c r="K88" s="2201"/>
      <c r="L88" s="2201"/>
      <c r="M88" s="2201"/>
      <c r="N88" s="2201"/>
      <c r="O88" s="2201"/>
      <c r="P88" s="2201"/>
      <c r="Q88" s="2201"/>
      <c r="R88" s="2201"/>
      <c r="S88" s="2201"/>
      <c r="T88" s="2201"/>
      <c r="U88" s="2201"/>
      <c r="V88" s="2201"/>
      <c r="W88" s="2201"/>
      <c r="X88" s="2201"/>
      <c r="Y88" s="2201"/>
      <c r="Z88" s="2201"/>
      <c r="AA88" s="2201"/>
      <c r="AB88" s="2201"/>
      <c r="AC88" s="2201"/>
      <c r="AD88" s="2201"/>
      <c r="AE88" s="2201"/>
      <c r="AF88" s="2201"/>
      <c r="AG88" s="2201"/>
      <c r="AH88" s="2201"/>
      <c r="AI88" s="2201"/>
      <c r="AJ88" s="2201"/>
      <c r="AK88" s="1228"/>
    </row>
    <row r="89" spans="1:74" ht="15" customHeight="1">
      <c r="A89" s="1228"/>
      <c r="B89" s="7470" t="s">
        <v>546</v>
      </c>
      <c r="C89" s="6273"/>
      <c r="D89" s="2207" t="s">
        <v>1855</v>
      </c>
      <c r="E89" s="2205"/>
      <c r="F89" s="2205"/>
      <c r="G89" s="2205"/>
      <c r="H89" s="2205"/>
      <c r="I89" s="2205"/>
      <c r="J89" s="2205"/>
      <c r="K89" s="2205"/>
      <c r="L89" s="2205"/>
      <c r="M89" s="2205"/>
      <c r="N89" s="2205"/>
      <c r="O89" s="2205"/>
      <c r="P89" s="2205"/>
      <c r="Q89" s="2205"/>
      <c r="R89" s="2205"/>
      <c r="S89" s="2205"/>
      <c r="T89" s="2205"/>
      <c r="U89" s="2205"/>
      <c r="V89" s="2205"/>
      <c r="W89" s="2205"/>
      <c r="X89" s="2205"/>
      <c r="Y89" s="2205"/>
      <c r="Z89" s="2205"/>
      <c r="AA89" s="2205"/>
      <c r="AB89" s="2205"/>
      <c r="AC89" s="2205"/>
      <c r="AD89" s="2205"/>
      <c r="AE89" s="2205"/>
      <c r="AF89" s="2205"/>
      <c r="AG89" s="2205"/>
      <c r="AH89" s="2205"/>
      <c r="AI89" s="2205"/>
      <c r="AJ89" s="2205"/>
      <c r="AK89" s="1228"/>
    </row>
    <row r="90" spans="1:74" ht="6" customHeight="1">
      <c r="A90" s="1228"/>
      <c r="B90" s="2206"/>
      <c r="C90" s="2206"/>
      <c r="D90" s="2206"/>
      <c r="E90" s="2206"/>
      <c r="F90" s="2206"/>
      <c r="G90" s="2206"/>
      <c r="H90" s="2206"/>
      <c r="I90" s="2206"/>
      <c r="J90" s="2206"/>
      <c r="K90" s="2206"/>
      <c r="L90" s="2206"/>
      <c r="M90" s="2206"/>
      <c r="N90" s="2206"/>
      <c r="O90" s="2206"/>
      <c r="P90" s="2206"/>
      <c r="Q90" s="2206"/>
      <c r="R90" s="2206"/>
      <c r="S90" s="2206"/>
      <c r="T90" s="2206"/>
      <c r="U90" s="2206"/>
      <c r="V90" s="2206"/>
      <c r="W90" s="2206"/>
      <c r="X90" s="2206"/>
      <c r="Y90" s="2206"/>
      <c r="Z90" s="2206"/>
      <c r="AA90" s="2206"/>
      <c r="AB90" s="2206"/>
      <c r="AC90" s="2206"/>
      <c r="AD90" s="2206"/>
      <c r="AE90" s="2206"/>
      <c r="AF90" s="2206"/>
      <c r="AG90" s="2206"/>
      <c r="AH90" s="2206"/>
      <c r="AI90" s="2206"/>
      <c r="AJ90" s="2206"/>
      <c r="AK90" s="1228"/>
    </row>
    <row r="91" spans="1:74" ht="16.5" customHeight="1">
      <c r="A91" s="1228"/>
      <c r="B91" s="4790" t="s">
        <v>4454</v>
      </c>
      <c r="C91" s="1443"/>
      <c r="D91" s="1443"/>
      <c r="E91" s="1443"/>
      <c r="F91" s="1443"/>
      <c r="G91" s="1443"/>
      <c r="H91" s="1443"/>
      <c r="I91" s="1443"/>
      <c r="J91" s="1443"/>
      <c r="K91" s="1443"/>
      <c r="L91" s="1443"/>
      <c r="M91" s="1443"/>
      <c r="N91" s="1443"/>
      <c r="O91" s="1443"/>
      <c r="P91" s="1443"/>
      <c r="Q91" s="1443"/>
      <c r="R91" s="1443"/>
      <c r="S91" s="1443"/>
      <c r="T91" s="1443"/>
      <c r="U91" s="1443"/>
      <c r="V91" s="1443"/>
      <c r="W91" s="1443"/>
      <c r="X91" s="1443"/>
      <c r="Y91" s="1443"/>
      <c r="Z91" s="1443"/>
      <c r="AA91" s="1443"/>
      <c r="AB91" s="1443"/>
      <c r="AC91" s="1443"/>
      <c r="AD91" s="1443"/>
      <c r="AE91" s="1443"/>
      <c r="AF91" s="1443"/>
      <c r="AG91" s="1443"/>
      <c r="AH91" s="1443"/>
      <c r="AI91" s="1443"/>
      <c r="AJ91" s="1443"/>
      <c r="AK91" s="1228"/>
      <c r="AO91" s="2235"/>
      <c r="AP91" s="2237"/>
      <c r="BL91" s="2222"/>
      <c r="BM91" s="2222"/>
      <c r="BO91" s="2222"/>
      <c r="BP91" s="2222"/>
      <c r="BQ91" s="2222"/>
      <c r="BR91" s="2222"/>
      <c r="BS91" s="2222"/>
      <c r="BT91" s="2222"/>
      <c r="BU91" s="2222"/>
      <c r="BV91" s="2222"/>
    </row>
    <row r="92" spans="1:74" ht="14.25">
      <c r="A92" s="1228"/>
      <c r="B92" s="4790" t="str">
        <f>"your "&amp;TaxYear&amp;" tax year for services you performed in a foreign country. If any of the foreign earned income received this tax year was"</f>
        <v>your 2018 tax year for services you performed in a foreign country. If any of the foreign earned income received this tax year was</v>
      </c>
      <c r="C92" s="1443"/>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228"/>
      <c r="AO92" s="2222"/>
      <c r="AP92" s="2236"/>
      <c r="BL92" s="2222"/>
      <c r="BM92" s="2222"/>
      <c r="BO92" s="2222"/>
      <c r="BP92" s="2222"/>
      <c r="BQ92" s="2222"/>
      <c r="BR92" s="2222"/>
      <c r="BS92" s="2222"/>
      <c r="BT92" s="2222"/>
      <c r="BU92" s="2222"/>
      <c r="BV92" s="2222"/>
    </row>
    <row r="93" spans="1:74" ht="15">
      <c r="A93" s="1228"/>
      <c r="B93" s="4790" t="s">
        <v>4455</v>
      </c>
      <c r="C93" s="1443"/>
      <c r="D93" s="1443"/>
      <c r="E93" s="1443"/>
      <c r="F93" s="1443"/>
      <c r="G93" s="1443"/>
      <c r="H93" s="1443"/>
      <c r="I93" s="1443"/>
      <c r="J93" s="1443"/>
      <c r="K93" s="1443"/>
      <c r="L93" s="1443"/>
      <c r="M93" s="1443"/>
      <c r="N93" s="1443"/>
      <c r="O93" s="1443"/>
      <c r="P93" s="1443"/>
      <c r="Q93" s="1443"/>
      <c r="R93" s="1443"/>
      <c r="S93" s="1443"/>
      <c r="T93" s="1443"/>
      <c r="U93" s="1443"/>
      <c r="V93" s="1443"/>
      <c r="W93" s="1443"/>
      <c r="X93" s="1443"/>
      <c r="Y93" s="1443"/>
      <c r="Z93" s="1443"/>
      <c r="AA93" s="1443"/>
      <c r="AB93" s="1443"/>
      <c r="AC93" s="1443"/>
      <c r="AD93" s="1443"/>
      <c r="AE93" s="1443"/>
      <c r="AF93" s="1443"/>
      <c r="AG93" s="1443"/>
      <c r="AH93" s="1443"/>
      <c r="AI93" s="1443"/>
      <c r="AJ93" s="1443"/>
      <c r="AK93" s="1228"/>
      <c r="AO93" s="2222"/>
      <c r="AP93" s="2222"/>
      <c r="BL93" s="2222"/>
      <c r="BM93" s="2222"/>
      <c r="BO93" s="2222"/>
      <c r="BP93" s="2222"/>
      <c r="BQ93" s="2222"/>
      <c r="BR93" s="2222"/>
      <c r="BS93" s="2222"/>
      <c r="BT93" s="2222"/>
      <c r="BU93" s="2222"/>
      <c r="BV93" s="2222"/>
    </row>
    <row r="94" spans="1:74" ht="12.75" customHeight="1">
      <c r="A94" s="1228"/>
      <c r="B94" s="4790" t="s">
        <v>4456</v>
      </c>
      <c r="C94" s="1443"/>
      <c r="D94" s="1443"/>
      <c r="E94" s="1443"/>
      <c r="F94" s="1443"/>
      <c r="G94" s="1443"/>
      <c r="H94" s="1443"/>
      <c r="I94" s="1443"/>
      <c r="J94" s="1443"/>
      <c r="K94" s="1443"/>
      <c r="L94" s="1443"/>
      <c r="M94" s="1443"/>
      <c r="N94" s="1443"/>
      <c r="O94" s="1443"/>
      <c r="P94" s="1443"/>
      <c r="Q94" s="1443"/>
      <c r="R94" s="1443"/>
      <c r="S94" s="1443"/>
      <c r="T94" s="1443"/>
      <c r="U94" s="1443"/>
      <c r="V94" s="1443"/>
      <c r="W94" s="1443"/>
      <c r="X94" s="1443"/>
      <c r="Y94" s="1443"/>
      <c r="Z94" s="1443"/>
      <c r="AA94" s="1443"/>
      <c r="AB94" s="1443"/>
      <c r="AC94" s="1443"/>
      <c r="AD94" s="1443"/>
      <c r="AE94" s="1443"/>
      <c r="AF94" s="1443"/>
      <c r="AG94" s="1443"/>
      <c r="AH94" s="1443"/>
      <c r="AI94" s="1443"/>
      <c r="AJ94" s="1443"/>
      <c r="AK94" s="1228"/>
      <c r="AO94" s="2222"/>
      <c r="AP94" s="2222"/>
      <c r="BL94" s="2222"/>
      <c r="BM94" s="2222"/>
      <c r="BO94" s="2222"/>
      <c r="BP94" s="2222"/>
      <c r="BQ94" s="2222"/>
      <c r="BR94" s="2222"/>
      <c r="BS94" s="2222"/>
      <c r="BT94" s="2222"/>
      <c r="BU94" s="2222"/>
      <c r="BV94" s="2222"/>
    </row>
    <row r="95" spans="1:74" ht="14.25">
      <c r="A95" s="1228"/>
      <c r="B95" s="4790" t="s">
        <v>1856</v>
      </c>
      <c r="C95" s="1443"/>
      <c r="D95" s="1443"/>
      <c r="E95" s="1443"/>
      <c r="F95" s="1443"/>
      <c r="G95" s="1443"/>
      <c r="H95" s="1443"/>
      <c r="I95" s="1443"/>
      <c r="J95" s="1443"/>
      <c r="K95" s="1443"/>
      <c r="L95" s="1443"/>
      <c r="M95" s="1443"/>
      <c r="N95" s="1443"/>
      <c r="O95" s="1443"/>
      <c r="P95" s="1443"/>
      <c r="Q95" s="1443"/>
      <c r="R95" s="1443"/>
      <c r="S95" s="1443"/>
      <c r="T95" s="1443"/>
      <c r="U95" s="1443"/>
      <c r="V95" s="1443"/>
      <c r="W95" s="1443"/>
      <c r="X95" s="1443"/>
      <c r="Y95" s="1443"/>
      <c r="Z95" s="1443"/>
      <c r="AA95" s="1443"/>
      <c r="AB95" s="1443"/>
      <c r="AC95" s="1443"/>
      <c r="AD95" s="1443"/>
      <c r="AE95" s="1443"/>
      <c r="AF95" s="1443"/>
      <c r="AG95" s="1443"/>
      <c r="AH95" s="1443"/>
      <c r="AI95" s="1443"/>
      <c r="AJ95" s="1443"/>
      <c r="AK95" s="1228"/>
      <c r="AO95" s="2222"/>
      <c r="AP95" s="2222"/>
      <c r="BL95" s="2222"/>
      <c r="BM95" s="2222"/>
      <c r="BO95" s="2222"/>
      <c r="BP95" s="2222"/>
      <c r="BQ95" s="2222"/>
      <c r="BR95" s="2222"/>
      <c r="BS95" s="2222"/>
      <c r="BT95" s="2222"/>
      <c r="BU95" s="2222"/>
      <c r="BV95" s="2222"/>
    </row>
    <row r="96" spans="1:74" ht="18" customHeight="1">
      <c r="A96" s="1228"/>
      <c r="B96" s="1443"/>
      <c r="C96" s="1615"/>
      <c r="D96" s="1960" t="str">
        <f>"If you are a cash basis taxpayer, report on Form 1040 all income you received in "&amp;TaxYear&amp;", no matter when you performed"</f>
        <v>If you are a cash basis taxpayer, report on Form 1040 all income you received in 2018, no matter when you performed</v>
      </c>
      <c r="E96" s="1615"/>
      <c r="F96" s="1443"/>
      <c r="G96" s="1443"/>
      <c r="H96" s="1443"/>
      <c r="I96" s="1443"/>
      <c r="J96" s="1443"/>
      <c r="K96" s="1443"/>
      <c r="L96" s="1443"/>
      <c r="M96" s="1443"/>
      <c r="N96" s="1443"/>
      <c r="O96" s="1443"/>
      <c r="P96" s="1443"/>
      <c r="Q96" s="1443"/>
      <c r="R96" s="1443"/>
      <c r="S96" s="1443"/>
      <c r="T96" s="1443"/>
      <c r="U96" s="1443"/>
      <c r="V96" s="1443"/>
      <c r="W96" s="1443"/>
      <c r="X96" s="1443"/>
      <c r="Y96" s="1443"/>
      <c r="Z96" s="1443"/>
      <c r="AA96" s="1443"/>
      <c r="AB96" s="1443"/>
      <c r="AC96" s="1443"/>
      <c r="AD96" s="1443"/>
      <c r="AE96" s="1443"/>
      <c r="AF96" s="1443"/>
      <c r="AG96" s="1443"/>
      <c r="AH96" s="1443"/>
      <c r="AI96" s="1443"/>
      <c r="AJ96" s="1443"/>
      <c r="AK96" s="1228"/>
      <c r="AO96" s="2222"/>
      <c r="AP96" s="2222"/>
      <c r="BL96" s="2222"/>
      <c r="BM96" s="2222"/>
      <c r="BO96" s="2222"/>
      <c r="BP96" s="2222"/>
      <c r="BQ96" s="2222"/>
      <c r="BR96" s="2222"/>
      <c r="BS96" s="2222"/>
      <c r="BT96" s="2222"/>
      <c r="BU96" s="2222"/>
      <c r="BV96" s="2222"/>
    </row>
    <row r="97" spans="1:75" s="1029" customFormat="1" ht="18" customHeight="1">
      <c r="A97" s="2249"/>
      <c r="B97" s="2250"/>
      <c r="C97" s="2253"/>
      <c r="D97" s="4791" t="s">
        <v>1857</v>
      </c>
      <c r="E97" s="2253"/>
      <c r="F97" s="2250"/>
      <c r="G97" s="2250"/>
      <c r="H97" s="2250"/>
      <c r="I97" s="2250"/>
      <c r="J97" s="2250"/>
      <c r="K97" s="2250"/>
      <c r="L97" s="2250"/>
      <c r="M97" s="2250"/>
      <c r="N97" s="2250"/>
      <c r="O97" s="2250"/>
      <c r="P97" s="2250"/>
      <c r="Q97" s="2250"/>
      <c r="R97" s="2250"/>
      <c r="S97" s="2250"/>
      <c r="T97" s="2250"/>
      <c r="U97" s="2250"/>
      <c r="V97" s="2250"/>
      <c r="W97" s="2250"/>
      <c r="X97" s="2250"/>
      <c r="Y97" s="2250"/>
      <c r="Z97" s="2250"/>
      <c r="AA97" s="2250"/>
      <c r="AB97" s="2250"/>
      <c r="AC97" s="2250"/>
      <c r="AD97" s="2250"/>
      <c r="AE97" s="2250"/>
      <c r="AF97" s="2250"/>
      <c r="AG97" s="2250"/>
      <c r="AH97" s="2250"/>
      <c r="AI97" s="2250"/>
      <c r="AJ97" s="2250"/>
      <c r="AK97" s="2249"/>
      <c r="AL97" s="2251"/>
      <c r="AM97" s="2251"/>
      <c r="AN97" s="2251"/>
      <c r="AO97" s="2252"/>
      <c r="AP97" s="2252"/>
      <c r="AQ97" s="3169"/>
      <c r="AR97" s="3169"/>
      <c r="AS97" s="3169"/>
      <c r="AT97" s="3169"/>
      <c r="AU97" s="3169"/>
      <c r="AV97" s="3169"/>
      <c r="AW97" s="3169"/>
      <c r="AX97" s="3169"/>
      <c r="AY97" s="3169"/>
      <c r="AZ97" s="2251"/>
      <c r="BA97" s="2251"/>
      <c r="BB97" s="2251"/>
      <c r="BC97" s="2251"/>
      <c r="BD97" s="2251"/>
      <c r="BE97" s="2251"/>
      <c r="BF97" s="2251"/>
      <c r="BG97" s="2251"/>
      <c r="BH97" s="2251"/>
      <c r="BI97" s="2251"/>
      <c r="BJ97" s="2251"/>
      <c r="BK97" s="2251"/>
      <c r="BL97" s="2252"/>
      <c r="BM97" s="2252"/>
      <c r="BN97" s="2251"/>
      <c r="BO97" s="2252"/>
      <c r="BP97" s="2252"/>
      <c r="BQ97" s="2252"/>
      <c r="BR97" s="2252"/>
      <c r="BS97" s="2252"/>
      <c r="BT97" s="2252"/>
      <c r="BU97" s="2252"/>
      <c r="BV97" s="2252"/>
      <c r="BW97" s="2251"/>
    </row>
    <row r="98" spans="1:75" ht="28.5" customHeight="1">
      <c r="A98" s="1228"/>
      <c r="B98" s="7515" t="str">
        <f>TaxYear&amp;" Foreign Earned Income"</f>
        <v>2018 Foreign Earned Income</v>
      </c>
      <c r="C98" s="7516"/>
      <c r="D98" s="7516"/>
      <c r="E98" s="7516"/>
      <c r="F98" s="7516"/>
      <c r="G98" s="7516"/>
      <c r="H98" s="7516"/>
      <c r="I98" s="7516"/>
      <c r="J98" s="7516"/>
      <c r="K98" s="7516"/>
      <c r="L98" s="7516"/>
      <c r="M98" s="7516"/>
      <c r="N98" s="7516"/>
      <c r="O98" s="7516"/>
      <c r="P98" s="7516"/>
      <c r="Q98" s="7516"/>
      <c r="R98" s="7516"/>
      <c r="S98" s="7516"/>
      <c r="T98" s="7516"/>
      <c r="U98" s="7516"/>
      <c r="V98" s="7516"/>
      <c r="W98" s="7516"/>
      <c r="X98" s="7516"/>
      <c r="Y98" s="7516"/>
      <c r="Z98" s="7516"/>
      <c r="AA98" s="7517"/>
      <c r="AB98" s="7518"/>
      <c r="AC98" s="6795" t="s">
        <v>1858</v>
      </c>
      <c r="AD98" s="6360"/>
      <c r="AE98" s="6360"/>
      <c r="AF98" s="6360"/>
      <c r="AG98" s="6360"/>
      <c r="AH98" s="6360"/>
      <c r="AI98" s="6360"/>
      <c r="AJ98" s="6360"/>
      <c r="AK98" s="1228"/>
      <c r="AO98" s="2222"/>
      <c r="AP98" s="2222"/>
      <c r="BL98" s="2222"/>
      <c r="BM98" s="2222"/>
      <c r="BO98" s="2222"/>
      <c r="BP98" s="2222"/>
      <c r="BQ98" s="2222"/>
      <c r="BR98" s="2222"/>
      <c r="BS98" s="2222"/>
      <c r="BT98" s="2222"/>
      <c r="BU98" s="2222"/>
      <c r="BV98" s="2222"/>
    </row>
    <row r="99" spans="1:75" ht="13.5" customHeight="1">
      <c r="A99" s="1228"/>
      <c r="B99" s="1443"/>
      <c r="C99" s="2239" t="s">
        <v>1864</v>
      </c>
      <c r="D99" s="3269" t="s">
        <v>1859</v>
      </c>
      <c r="E99" s="1443"/>
      <c r="F99" s="1443"/>
      <c r="G99" s="1443"/>
      <c r="H99" s="1443"/>
      <c r="I99" s="1443"/>
      <c r="J99" s="1443"/>
      <c r="K99" s="1443"/>
      <c r="L99" s="1443"/>
      <c r="M99" s="1443"/>
      <c r="N99" s="1443"/>
      <c r="O99" s="1443"/>
      <c r="P99" s="1443"/>
      <c r="Q99" s="1443"/>
      <c r="R99" s="1443"/>
      <c r="S99" s="1443"/>
      <c r="T99" s="1443"/>
      <c r="U99" s="1443"/>
      <c r="V99" s="1443"/>
      <c r="W99" s="1443"/>
      <c r="X99" s="1443"/>
      <c r="Y99" s="1443"/>
      <c r="Z99" s="1443"/>
      <c r="AA99" s="1443"/>
      <c r="AB99" s="1553" t="s">
        <v>1150</v>
      </c>
      <c r="AC99" s="7507" t="s">
        <v>1380</v>
      </c>
      <c r="AD99" s="7519"/>
      <c r="AE99" s="7520"/>
      <c r="AF99" s="7520"/>
      <c r="AG99" s="7520"/>
      <c r="AH99" s="7520"/>
      <c r="AI99" s="7520"/>
      <c r="AJ99" s="7520"/>
      <c r="AK99" s="1228"/>
      <c r="AO99" s="2222"/>
      <c r="AP99" s="2222"/>
      <c r="BL99" s="2222"/>
      <c r="BM99" s="2222"/>
      <c r="BO99" s="2222"/>
      <c r="BP99" s="2222"/>
      <c r="BQ99" s="2222"/>
      <c r="BR99" s="2222"/>
      <c r="BS99" s="2222"/>
      <c r="BT99" s="2222"/>
      <c r="BU99" s="2222"/>
      <c r="BV99" s="2222"/>
    </row>
    <row r="100" spans="1:75" ht="13.5" customHeight="1">
      <c r="A100" s="1228"/>
      <c r="B100" s="1443"/>
      <c r="C100" s="2239" t="s">
        <v>1863</v>
      </c>
      <c r="D100" s="3269" t="s">
        <v>1860</v>
      </c>
      <c r="E100" s="1443"/>
      <c r="F100" s="1443"/>
      <c r="G100" s="1443"/>
      <c r="H100" s="1443"/>
      <c r="I100" s="1443"/>
      <c r="J100" s="1443"/>
      <c r="K100" s="1443"/>
      <c r="L100" s="1443"/>
      <c r="M100" s="1443"/>
      <c r="N100" s="1443"/>
      <c r="O100" s="1443"/>
      <c r="P100" s="1443"/>
      <c r="Q100" s="1443"/>
      <c r="R100" s="1443"/>
      <c r="S100" s="1443"/>
      <c r="T100" s="1443"/>
      <c r="U100" s="1443"/>
      <c r="V100" s="1443"/>
      <c r="W100" s="1443"/>
      <c r="X100" s="1443"/>
      <c r="Y100" s="1443"/>
      <c r="Z100" s="1443"/>
      <c r="AA100" s="1443"/>
      <c r="AB100" s="1443"/>
      <c r="AC100" s="6789"/>
      <c r="AD100" s="6489"/>
      <c r="AE100" s="5716"/>
      <c r="AF100" s="6421"/>
      <c r="AG100" s="5716"/>
      <c r="AH100" s="6421"/>
      <c r="AI100" s="5716"/>
      <c r="AJ100" s="6421"/>
      <c r="AK100" s="1228"/>
      <c r="AO100" s="2222"/>
      <c r="AP100" s="2222"/>
      <c r="BL100" s="2222"/>
      <c r="BM100" s="2222"/>
    </row>
    <row r="101" spans="1:75" ht="13.5" customHeight="1">
      <c r="A101" s="1228"/>
      <c r="B101" s="1443"/>
      <c r="C101" s="2239" t="s">
        <v>1798</v>
      </c>
      <c r="D101" s="3269" t="s">
        <v>1861</v>
      </c>
      <c r="E101" s="1443"/>
      <c r="F101" s="1443"/>
      <c r="G101" s="1443"/>
      <c r="H101" s="1443"/>
      <c r="I101" s="1443"/>
      <c r="J101" s="1443"/>
      <c r="K101" s="1443"/>
      <c r="L101" s="1443"/>
      <c r="M101" s="1443"/>
      <c r="N101" s="1443"/>
      <c r="O101" s="1443"/>
      <c r="P101" s="1443"/>
      <c r="Q101" s="1443"/>
      <c r="R101" s="1443"/>
      <c r="S101" s="1443"/>
      <c r="T101" s="1443"/>
      <c r="U101" s="1443"/>
      <c r="V101" s="1443"/>
      <c r="W101" s="1443"/>
      <c r="X101" s="1443"/>
      <c r="Y101" s="1443"/>
      <c r="Z101" s="1443"/>
      <c r="AA101" s="1443"/>
      <c r="AB101" s="1553" t="s">
        <v>492</v>
      </c>
      <c r="AC101" s="7474" t="s">
        <v>246</v>
      </c>
      <c r="AD101" s="7475"/>
      <c r="AE101" s="7476"/>
      <c r="AF101" s="7476"/>
      <c r="AG101" s="7476"/>
      <c r="AH101" s="7476"/>
      <c r="AI101" s="7476"/>
      <c r="AJ101" s="7476"/>
      <c r="AK101" s="1228"/>
      <c r="AO101" s="2222"/>
      <c r="AP101" s="2222"/>
      <c r="BL101" s="2222"/>
      <c r="BM101" s="2222"/>
    </row>
    <row r="102" spans="1:75" ht="13.5" customHeight="1">
      <c r="A102" s="1228"/>
      <c r="B102" s="1443"/>
      <c r="C102" s="2239" t="s">
        <v>1793</v>
      </c>
      <c r="D102" s="1607" t="s">
        <v>1862</v>
      </c>
      <c r="E102" s="1443"/>
      <c r="F102" s="1443"/>
      <c r="G102" s="1443"/>
      <c r="H102" s="1443"/>
      <c r="I102" s="1443"/>
      <c r="J102" s="1443"/>
      <c r="K102" s="1443"/>
      <c r="L102" s="1443"/>
      <c r="M102" s="1443"/>
      <c r="N102" s="1443"/>
      <c r="O102" s="1443"/>
      <c r="P102" s="1443"/>
      <c r="Q102" s="1443"/>
      <c r="R102" s="1443"/>
      <c r="S102" s="1443"/>
      <c r="T102" s="1443"/>
      <c r="U102" s="1443"/>
      <c r="V102" s="7471"/>
      <c r="W102" s="7483"/>
      <c r="X102" s="7483"/>
      <c r="Y102" s="7483"/>
      <c r="Z102" s="7483"/>
      <c r="AA102" s="7483"/>
      <c r="AB102" s="1443"/>
      <c r="AC102" s="6789"/>
      <c r="AD102" s="7479"/>
      <c r="AE102" s="6789"/>
      <c r="AF102" s="5716"/>
      <c r="AG102" s="5716"/>
      <c r="AH102" s="5716"/>
      <c r="AI102" s="5716"/>
      <c r="AJ102" s="5716"/>
      <c r="AK102" s="1228"/>
      <c r="AO102" s="2222"/>
      <c r="AP102" s="2222"/>
      <c r="BL102" s="2222"/>
      <c r="BM102" s="2222"/>
    </row>
    <row r="103" spans="1:75" ht="13.5" customHeight="1">
      <c r="A103" s="1228"/>
      <c r="B103" s="1443"/>
      <c r="C103" s="2239"/>
      <c r="D103" s="7471"/>
      <c r="E103" s="7483"/>
      <c r="F103" s="7483"/>
      <c r="G103" s="7483"/>
      <c r="H103" s="7483"/>
      <c r="I103" s="7483"/>
      <c r="J103" s="7483"/>
      <c r="K103" s="7483"/>
      <c r="L103" s="7483"/>
      <c r="M103" s="7483"/>
      <c r="N103" s="7483"/>
      <c r="O103" s="7483"/>
      <c r="P103" s="7483"/>
      <c r="Q103" s="7483"/>
      <c r="R103" s="7483"/>
      <c r="S103" s="7483"/>
      <c r="T103" s="7483"/>
      <c r="U103" s="7483"/>
      <c r="V103" s="7483"/>
      <c r="W103" s="7483"/>
      <c r="X103" s="7483"/>
      <c r="Y103" s="7483"/>
      <c r="Z103" s="7483"/>
      <c r="AA103" s="7483"/>
      <c r="AB103" s="1443"/>
      <c r="AC103" s="7474" t="s">
        <v>247</v>
      </c>
      <c r="AD103" s="7475"/>
      <c r="AE103" s="7476"/>
      <c r="AF103" s="7476"/>
      <c r="AG103" s="7476"/>
      <c r="AH103" s="7476"/>
      <c r="AI103" s="7476"/>
      <c r="AJ103" s="7476"/>
      <c r="AK103" s="1228"/>
      <c r="AO103" s="2222"/>
      <c r="AP103" s="2222"/>
      <c r="BL103" s="2222"/>
      <c r="BM103" s="2222"/>
    </row>
    <row r="104" spans="1:75" ht="13.5" customHeight="1">
      <c r="A104" s="1228"/>
      <c r="B104" s="1443"/>
      <c r="C104" s="2239" t="s">
        <v>1865</v>
      </c>
      <c r="D104" s="3269" t="s">
        <v>1866</v>
      </c>
      <c r="E104" s="1443"/>
      <c r="F104" s="1443"/>
      <c r="G104" s="1443"/>
      <c r="H104" s="1443"/>
      <c r="I104" s="1443"/>
      <c r="J104" s="1443"/>
      <c r="K104" s="1443"/>
      <c r="L104" s="1443"/>
      <c r="M104" s="1443"/>
      <c r="N104" s="1443"/>
      <c r="O104" s="1443"/>
      <c r="P104" s="1443"/>
      <c r="Q104" s="1443"/>
      <c r="R104" s="1443"/>
      <c r="S104" s="1443"/>
      <c r="T104" s="1443"/>
      <c r="U104" s="1443"/>
      <c r="V104" s="1443"/>
      <c r="W104" s="1443"/>
      <c r="X104" s="1443"/>
      <c r="Y104" s="1443"/>
      <c r="Z104" s="1443"/>
      <c r="AA104" s="1443"/>
      <c r="AB104" s="1443"/>
      <c r="AC104" s="7511"/>
      <c r="AD104" s="7512"/>
      <c r="AE104" s="5716"/>
      <c r="AF104" s="6421"/>
      <c r="AG104" s="5716"/>
      <c r="AH104" s="6421"/>
      <c r="AI104" s="5716"/>
      <c r="AJ104" s="6421"/>
      <c r="AK104" s="1228"/>
      <c r="AO104" s="2222"/>
      <c r="AP104" s="2222"/>
      <c r="BL104" s="2222"/>
      <c r="BM104" s="2222"/>
    </row>
    <row r="105" spans="1:75" ht="13.5" customHeight="1">
      <c r="A105" s="1228"/>
      <c r="B105" s="1443"/>
      <c r="C105" s="1443"/>
      <c r="D105" s="3269" t="s">
        <v>1867</v>
      </c>
      <c r="E105" s="1443"/>
      <c r="F105" s="1443"/>
      <c r="G105" s="1443"/>
      <c r="H105" s="1443"/>
      <c r="I105" s="1443"/>
      <c r="J105" s="1443"/>
      <c r="K105" s="1443"/>
      <c r="L105" s="1443"/>
      <c r="M105" s="1443"/>
      <c r="N105" s="1443"/>
      <c r="O105" s="1443"/>
      <c r="P105" s="1443"/>
      <c r="Q105" s="1443"/>
      <c r="R105" s="1443"/>
      <c r="S105" s="1443"/>
      <c r="T105" s="1443"/>
      <c r="U105" s="1443"/>
      <c r="V105" s="1443"/>
      <c r="W105" s="1443"/>
      <c r="X105" s="1443"/>
      <c r="Y105" s="1443"/>
      <c r="Z105" s="1443"/>
      <c r="AA105" s="1443"/>
      <c r="AB105" s="1443"/>
      <c r="AC105" s="7513"/>
      <c r="AD105" s="7514"/>
      <c r="AE105" s="6764"/>
      <c r="AF105" s="5715"/>
      <c r="AG105" s="5715"/>
      <c r="AH105" s="5715"/>
      <c r="AI105" s="5715"/>
      <c r="AJ105" s="5715"/>
      <c r="AK105" s="1228"/>
      <c r="AO105" s="2222"/>
      <c r="AP105" s="2222"/>
      <c r="BL105" s="2222"/>
      <c r="BM105" s="2222"/>
    </row>
    <row r="106" spans="1:75" ht="13.5" customHeight="1">
      <c r="A106" s="1228"/>
      <c r="B106" s="1443"/>
      <c r="C106" s="2239" t="s">
        <v>1798</v>
      </c>
      <c r="D106" s="3269" t="s">
        <v>1868</v>
      </c>
      <c r="E106" s="1443"/>
      <c r="F106" s="1443"/>
      <c r="G106" s="1443"/>
      <c r="H106" s="1443"/>
      <c r="I106" s="1443"/>
      <c r="J106" s="1443"/>
      <c r="K106" s="1443"/>
      <c r="L106" s="1443"/>
      <c r="M106" s="1443"/>
      <c r="N106" s="1443"/>
      <c r="O106" s="1443"/>
      <c r="P106" s="1443"/>
      <c r="Q106" s="1443"/>
      <c r="R106" s="1443"/>
      <c r="S106" s="1443"/>
      <c r="T106" s="1443"/>
      <c r="U106" s="1443"/>
      <c r="V106" s="1443"/>
      <c r="W106" s="1443"/>
      <c r="X106" s="1443"/>
      <c r="Y106" s="1443"/>
      <c r="Z106" s="1443"/>
      <c r="AA106" s="1443"/>
      <c r="AB106" s="1553" t="s">
        <v>1950</v>
      </c>
      <c r="AC106" s="7474" t="s">
        <v>1191</v>
      </c>
      <c r="AD106" s="7475"/>
      <c r="AE106" s="7476"/>
      <c r="AF106" s="7476"/>
      <c r="AG106" s="7476"/>
      <c r="AH106" s="7476"/>
      <c r="AI106" s="7476"/>
      <c r="AJ106" s="7476"/>
      <c r="AK106" s="1228"/>
      <c r="AO106" s="2222"/>
      <c r="AP106" s="2222"/>
      <c r="BL106" s="2222"/>
      <c r="BM106" s="2222"/>
    </row>
    <row r="107" spans="1:75" ht="13.5" customHeight="1">
      <c r="A107" s="1228"/>
      <c r="B107" s="1443"/>
      <c r="C107" s="1443"/>
      <c r="D107" s="1443"/>
      <c r="E107" s="1443"/>
      <c r="F107" s="1443"/>
      <c r="G107" s="1443"/>
      <c r="H107" s="1443"/>
      <c r="I107" s="1443"/>
      <c r="J107" s="1443"/>
      <c r="K107" s="1443"/>
      <c r="L107" s="1443"/>
      <c r="M107" s="1443"/>
      <c r="N107" s="1443"/>
      <c r="O107" s="1443"/>
      <c r="P107" s="1443"/>
      <c r="Q107" s="1443"/>
      <c r="R107" s="1443"/>
      <c r="S107" s="1443"/>
      <c r="T107" s="1443"/>
      <c r="U107" s="1443"/>
      <c r="V107" s="1443"/>
      <c r="W107" s="1443"/>
      <c r="X107" s="1443"/>
      <c r="Y107" s="1443"/>
      <c r="Z107" s="1443"/>
      <c r="AA107" s="1443"/>
      <c r="AB107" s="1443"/>
      <c r="AC107" s="6789"/>
      <c r="AD107" s="7479"/>
      <c r="AE107" s="6789"/>
      <c r="AF107" s="5716"/>
      <c r="AG107" s="5716"/>
      <c r="AH107" s="5716"/>
      <c r="AI107" s="5716"/>
      <c r="AJ107" s="5716"/>
      <c r="AK107" s="1228"/>
      <c r="AO107" s="2222"/>
      <c r="AP107" s="2222"/>
      <c r="BL107" s="2222"/>
      <c r="BM107" s="2222"/>
    </row>
    <row r="108" spans="1:75" ht="13.5" customHeight="1">
      <c r="A108" s="1228"/>
      <c r="B108" s="1443"/>
      <c r="C108" s="2239" t="s">
        <v>1793</v>
      </c>
      <c r="D108" s="3269" t="s">
        <v>1869</v>
      </c>
      <c r="E108" s="1443"/>
      <c r="F108" s="1443"/>
      <c r="G108" s="1443"/>
      <c r="H108" s="1443"/>
      <c r="I108" s="1443"/>
      <c r="J108" s="1443"/>
      <c r="K108" s="1443"/>
      <c r="L108" s="1443"/>
      <c r="M108" s="1443"/>
      <c r="N108" s="1443"/>
      <c r="O108" s="1443"/>
      <c r="P108" s="1443"/>
      <c r="Q108" s="1443"/>
      <c r="R108" s="1443"/>
      <c r="S108" s="1443"/>
      <c r="T108" s="1443"/>
      <c r="U108" s="1443"/>
      <c r="V108" s="1443"/>
      <c r="W108" s="1443"/>
      <c r="X108" s="1443"/>
      <c r="Y108" s="1443"/>
      <c r="Z108" s="1443"/>
      <c r="AA108" s="1443"/>
      <c r="AB108" s="1553" t="s">
        <v>1951</v>
      </c>
      <c r="AC108" s="7474" t="s">
        <v>1192</v>
      </c>
      <c r="AD108" s="7475"/>
      <c r="AE108" s="7476"/>
      <c r="AF108" s="7476"/>
      <c r="AG108" s="7476"/>
      <c r="AH108" s="7476"/>
      <c r="AI108" s="7476"/>
      <c r="AJ108" s="7476"/>
      <c r="AK108" s="1228"/>
      <c r="AO108" s="2222"/>
      <c r="AP108" s="2222"/>
      <c r="BL108" s="2222"/>
      <c r="BM108" s="2222"/>
    </row>
    <row r="109" spans="1:75" ht="13.5" customHeight="1">
      <c r="A109" s="1228"/>
      <c r="B109" s="1443"/>
      <c r="C109" s="1443"/>
      <c r="D109" s="1443"/>
      <c r="E109" s="1443"/>
      <c r="F109" s="1443"/>
      <c r="G109" s="1443"/>
      <c r="H109" s="1443"/>
      <c r="I109" s="1443"/>
      <c r="J109" s="1443"/>
      <c r="K109" s="1443"/>
      <c r="L109" s="1443"/>
      <c r="M109" s="1443"/>
      <c r="N109" s="1443"/>
      <c r="O109" s="1443"/>
      <c r="P109" s="1443"/>
      <c r="Q109" s="1443"/>
      <c r="R109" s="1443"/>
      <c r="S109" s="1443"/>
      <c r="T109" s="1443"/>
      <c r="U109" s="1443"/>
      <c r="V109" s="1443"/>
      <c r="W109" s="1443"/>
      <c r="X109" s="1443"/>
      <c r="Y109" s="1443"/>
      <c r="Z109" s="1443"/>
      <c r="AA109" s="1443"/>
      <c r="AB109" s="1443"/>
      <c r="AC109" s="6789"/>
      <c r="AD109" s="7479"/>
      <c r="AE109" s="6789"/>
      <c r="AF109" s="5716"/>
      <c r="AG109" s="5716"/>
      <c r="AH109" s="5716"/>
      <c r="AI109" s="5716"/>
      <c r="AJ109" s="5716"/>
      <c r="AK109" s="1228"/>
      <c r="AO109" s="2222"/>
      <c r="AP109" s="2222"/>
      <c r="BL109" s="2222"/>
      <c r="BM109" s="2222"/>
    </row>
    <row r="110" spans="1:75" ht="13.5" customHeight="1">
      <c r="A110" s="1228"/>
      <c r="B110" s="1443"/>
      <c r="C110" s="2239" t="s">
        <v>1799</v>
      </c>
      <c r="D110" s="3269" t="s">
        <v>1870</v>
      </c>
      <c r="E110" s="1443"/>
      <c r="F110" s="1443"/>
      <c r="G110" s="1443"/>
      <c r="H110" s="1443"/>
      <c r="I110" s="1443"/>
      <c r="J110" s="1443"/>
      <c r="K110" s="1443"/>
      <c r="L110" s="1443"/>
      <c r="M110" s="1443"/>
      <c r="N110" s="1443"/>
      <c r="O110" s="1443"/>
      <c r="P110" s="1443"/>
      <c r="Q110" s="1443"/>
      <c r="R110" s="1443"/>
      <c r="S110" s="1443"/>
      <c r="T110" s="1443"/>
      <c r="U110" s="1443"/>
      <c r="V110" s="1443"/>
      <c r="W110" s="1443"/>
      <c r="X110" s="1443"/>
      <c r="Y110" s="1443"/>
      <c r="Z110" s="1443"/>
      <c r="AA110" s="1443"/>
      <c r="AB110" s="1553" t="s">
        <v>1952</v>
      </c>
      <c r="AC110" s="7474" t="s">
        <v>1871</v>
      </c>
      <c r="AD110" s="7475"/>
      <c r="AE110" s="7476"/>
      <c r="AF110" s="7476"/>
      <c r="AG110" s="7476"/>
      <c r="AH110" s="7476"/>
      <c r="AI110" s="7476"/>
      <c r="AJ110" s="7476"/>
      <c r="AK110" s="1228"/>
      <c r="AO110" s="2222"/>
      <c r="AP110" s="2222"/>
      <c r="BL110" s="2222"/>
      <c r="BM110" s="2222"/>
    </row>
    <row r="111" spans="1:75" ht="13.5" customHeight="1">
      <c r="A111" s="1228"/>
      <c r="B111" s="1443"/>
      <c r="C111" s="2239" t="s">
        <v>1800</v>
      </c>
      <c r="D111" s="1607" t="s">
        <v>1872</v>
      </c>
      <c r="E111" s="1443"/>
      <c r="F111" s="1443"/>
      <c r="G111" s="1443"/>
      <c r="H111" s="1443"/>
      <c r="I111" s="1443"/>
      <c r="J111" s="1443"/>
      <c r="K111" s="1443"/>
      <c r="L111" s="1443"/>
      <c r="M111" s="1443"/>
      <c r="N111" s="1443"/>
      <c r="O111" s="1443"/>
      <c r="P111" s="7471"/>
      <c r="Q111" s="7483"/>
      <c r="R111" s="7483"/>
      <c r="S111" s="7483"/>
      <c r="T111" s="7483"/>
      <c r="U111" s="7483"/>
      <c r="V111" s="7483"/>
      <c r="W111" s="7483"/>
      <c r="X111" s="7483"/>
      <c r="Y111" s="7483"/>
      <c r="Z111" s="7483"/>
      <c r="AA111" s="7483"/>
      <c r="AB111" s="1443"/>
      <c r="AC111" s="6789"/>
      <c r="AD111" s="7479"/>
      <c r="AE111" s="6789"/>
      <c r="AF111" s="5716"/>
      <c r="AG111" s="5716"/>
      <c r="AH111" s="5716"/>
      <c r="AI111" s="5716"/>
      <c r="AJ111" s="5716"/>
      <c r="AK111" s="1228"/>
      <c r="AO111" s="2222"/>
      <c r="AP111" s="2222"/>
      <c r="BL111" s="2222"/>
      <c r="BM111" s="2222"/>
    </row>
    <row r="112" spans="1:75" ht="13.5" customHeight="1">
      <c r="A112" s="1228"/>
      <c r="B112" s="1443"/>
      <c r="C112" s="1443"/>
      <c r="D112" s="7471"/>
      <c r="E112" s="7472"/>
      <c r="F112" s="7472"/>
      <c r="G112" s="7472"/>
      <c r="H112" s="7472"/>
      <c r="I112" s="7472"/>
      <c r="J112" s="7472"/>
      <c r="K112" s="7472"/>
      <c r="L112" s="7472"/>
      <c r="M112" s="7472"/>
      <c r="N112" s="7472"/>
      <c r="O112" s="7472"/>
      <c r="P112" s="7472"/>
      <c r="Q112" s="7472"/>
      <c r="R112" s="7472"/>
      <c r="S112" s="7472"/>
      <c r="T112" s="7472"/>
      <c r="U112" s="7472"/>
      <c r="V112" s="7472"/>
      <c r="W112" s="7472"/>
      <c r="X112" s="7472"/>
      <c r="Y112" s="7472"/>
      <c r="Z112" s="7472"/>
      <c r="AA112" s="7472"/>
      <c r="AB112" s="1443"/>
      <c r="AC112" s="7474" t="s">
        <v>1873</v>
      </c>
      <c r="AD112" s="7475"/>
      <c r="AE112" s="7476"/>
      <c r="AF112" s="7476"/>
      <c r="AG112" s="7476"/>
      <c r="AH112" s="7476"/>
      <c r="AI112" s="7476"/>
      <c r="AJ112" s="7476"/>
      <c r="AK112" s="1228"/>
      <c r="AO112" s="2222"/>
      <c r="AP112" s="2222"/>
      <c r="BL112" s="2222"/>
      <c r="BM112" s="2222"/>
    </row>
    <row r="113" spans="1:65" ht="13.5" customHeight="1">
      <c r="A113" s="1228"/>
      <c r="B113" s="1443"/>
      <c r="C113" s="2239" t="s">
        <v>1880</v>
      </c>
      <c r="D113" s="1443" t="s">
        <v>1879</v>
      </c>
      <c r="E113" s="1443"/>
      <c r="F113" s="1443"/>
      <c r="G113" s="1443"/>
      <c r="H113" s="1443"/>
      <c r="I113" s="1443"/>
      <c r="J113" s="1443"/>
      <c r="K113" s="1443"/>
      <c r="L113" s="1443"/>
      <c r="M113" s="1443"/>
      <c r="N113" s="1443"/>
      <c r="O113" s="1443"/>
      <c r="P113" s="1443"/>
      <c r="Q113" s="1443"/>
      <c r="R113" s="1443"/>
      <c r="S113" s="1443"/>
      <c r="T113" s="1443"/>
      <c r="U113" s="1443"/>
      <c r="V113" s="1443"/>
      <c r="W113" s="1443"/>
      <c r="X113" s="1443"/>
      <c r="Y113" s="1443"/>
      <c r="Z113" s="1443"/>
      <c r="AA113" s="1443"/>
      <c r="AB113" s="1443"/>
      <c r="AC113" s="2257"/>
      <c r="AD113" s="2258"/>
      <c r="AE113" s="1443"/>
      <c r="AF113" s="1443"/>
      <c r="AG113" s="1443"/>
      <c r="AH113" s="1443"/>
      <c r="AI113" s="1443"/>
      <c r="AJ113" s="1443"/>
      <c r="AK113" s="1228"/>
      <c r="AO113" s="2222"/>
      <c r="AP113" s="2222"/>
      <c r="BL113" s="2222"/>
      <c r="BM113" s="2222"/>
    </row>
    <row r="114" spans="1:65" ht="13.5" customHeight="1">
      <c r="A114" s="1228"/>
      <c r="B114" s="1443"/>
      <c r="C114" s="2239" t="s">
        <v>1798</v>
      </c>
      <c r="D114" s="1443" t="s">
        <v>1878</v>
      </c>
      <c r="E114" s="1443"/>
      <c r="F114" s="1443"/>
      <c r="G114" s="1443"/>
      <c r="H114" s="1443"/>
      <c r="I114" s="1443"/>
      <c r="J114" s="1443"/>
      <c r="K114" s="1443"/>
      <c r="L114" s="1443"/>
      <c r="M114" s="1443"/>
      <c r="N114" s="1443"/>
      <c r="O114" s="1443"/>
      <c r="P114" s="1443"/>
      <c r="Q114" s="1443"/>
      <c r="R114" s="1443"/>
      <c r="S114" s="1443"/>
      <c r="T114" s="1443"/>
      <c r="U114" s="7474" t="s">
        <v>1874</v>
      </c>
      <c r="V114" s="7475"/>
      <c r="W114" s="7476"/>
      <c r="X114" s="7476"/>
      <c r="Y114" s="7476"/>
      <c r="Z114" s="7476"/>
      <c r="AA114" s="7476"/>
      <c r="AB114" s="7476"/>
      <c r="AC114" s="2257"/>
      <c r="AD114" s="2258"/>
      <c r="AE114" s="1443"/>
      <c r="AF114" s="1443"/>
      <c r="AG114" s="1443"/>
      <c r="AH114" s="1443"/>
      <c r="AI114" s="1443"/>
      <c r="AJ114" s="1443"/>
      <c r="AK114" s="1228"/>
      <c r="AO114" s="2222"/>
      <c r="AP114" s="2222"/>
      <c r="BL114" s="2222"/>
      <c r="BM114" s="2222"/>
    </row>
    <row r="115" spans="1:65" ht="13.5" customHeight="1">
      <c r="A115" s="1228"/>
      <c r="B115" s="1443"/>
      <c r="C115" s="2239" t="s">
        <v>1793</v>
      </c>
      <c r="D115" s="1443" t="s">
        <v>1882</v>
      </c>
      <c r="E115" s="1443"/>
      <c r="F115" s="1443"/>
      <c r="G115" s="1443"/>
      <c r="H115" s="1443"/>
      <c r="I115" s="1443"/>
      <c r="J115" s="1443"/>
      <c r="K115" s="1443"/>
      <c r="L115" s="1443"/>
      <c r="M115" s="1443"/>
      <c r="N115" s="1443"/>
      <c r="O115" s="1443"/>
      <c r="P115" s="1443"/>
      <c r="Q115" s="1443"/>
      <c r="R115" s="1443"/>
      <c r="S115" s="1443"/>
      <c r="T115" s="1553" t="s">
        <v>1311</v>
      </c>
      <c r="U115" s="7474" t="s">
        <v>1875</v>
      </c>
      <c r="V115" s="7475"/>
      <c r="W115" s="7476"/>
      <c r="X115" s="7476"/>
      <c r="Y115" s="7476"/>
      <c r="Z115" s="7476"/>
      <c r="AA115" s="7476"/>
      <c r="AB115" s="7476"/>
      <c r="AC115" s="2257"/>
      <c r="AD115" s="2258"/>
      <c r="AE115" s="1443"/>
      <c r="AF115" s="1443"/>
      <c r="AG115" s="1443"/>
      <c r="AH115" s="1443"/>
      <c r="AI115" s="1443"/>
      <c r="AJ115" s="1443"/>
      <c r="AK115" s="1228"/>
      <c r="BL115" s="2222"/>
      <c r="BM115" s="2222"/>
    </row>
    <row r="116" spans="1:65" ht="13.5" customHeight="1">
      <c r="A116" s="1228"/>
      <c r="B116" s="1443"/>
      <c r="C116" s="2239" t="s">
        <v>1799</v>
      </c>
      <c r="D116" s="1443" t="s">
        <v>1883</v>
      </c>
      <c r="E116" s="1443"/>
      <c r="F116" s="1443"/>
      <c r="G116" s="1443"/>
      <c r="H116" s="1443"/>
      <c r="I116" s="1443"/>
      <c r="J116" s="1443"/>
      <c r="K116" s="1443"/>
      <c r="L116" s="1443"/>
      <c r="M116" s="1443"/>
      <c r="N116" s="1443"/>
      <c r="O116" s="1443"/>
      <c r="P116" s="1443"/>
      <c r="Q116" s="1443"/>
      <c r="R116" s="1443"/>
      <c r="S116" s="1443"/>
      <c r="T116" s="1553" t="s">
        <v>492</v>
      </c>
      <c r="U116" s="7474" t="s">
        <v>1876</v>
      </c>
      <c r="V116" s="7475"/>
      <c r="W116" s="7476"/>
      <c r="X116" s="7476"/>
      <c r="Y116" s="7476"/>
      <c r="Z116" s="7476"/>
      <c r="AA116" s="7476"/>
      <c r="AB116" s="7476"/>
      <c r="AC116" s="2257"/>
      <c r="AD116" s="2258"/>
      <c r="AE116" s="1443"/>
      <c r="AF116" s="1443"/>
      <c r="AG116" s="1443"/>
      <c r="AH116" s="1443"/>
      <c r="AI116" s="1443"/>
      <c r="AJ116" s="1443"/>
      <c r="AK116" s="1228"/>
      <c r="BL116" s="2222"/>
      <c r="BM116" s="2222"/>
    </row>
    <row r="117" spans="1:65" ht="13.5" customHeight="1">
      <c r="A117" s="1228"/>
      <c r="B117" s="1443"/>
      <c r="C117" s="2239" t="s">
        <v>1800</v>
      </c>
      <c r="D117" s="1443" t="s">
        <v>1884</v>
      </c>
      <c r="E117" s="1443"/>
      <c r="F117" s="1443"/>
      <c r="G117" s="1443"/>
      <c r="H117" s="1443"/>
      <c r="I117" s="1443"/>
      <c r="J117" s="1443"/>
      <c r="K117" s="1443"/>
      <c r="L117" s="1443"/>
      <c r="M117" s="1443"/>
      <c r="N117" s="1443"/>
      <c r="O117" s="1443"/>
      <c r="P117" s="1443"/>
      <c r="Q117" s="1443"/>
      <c r="R117" s="1443"/>
      <c r="S117" s="1443"/>
      <c r="T117" s="1553" t="s">
        <v>104</v>
      </c>
      <c r="U117" s="7474" t="s">
        <v>1877</v>
      </c>
      <c r="V117" s="7475"/>
      <c r="W117" s="7476"/>
      <c r="X117" s="7476"/>
      <c r="Y117" s="7476"/>
      <c r="Z117" s="7476"/>
      <c r="AA117" s="7476"/>
      <c r="AB117" s="7476"/>
      <c r="AC117" s="2257"/>
      <c r="AD117" s="2258"/>
      <c r="AE117" s="1443"/>
      <c r="AF117" s="1443"/>
      <c r="AG117" s="1443"/>
      <c r="AH117" s="1443"/>
      <c r="AI117" s="1443"/>
      <c r="AJ117" s="1443"/>
      <c r="AK117" s="1228"/>
      <c r="BL117" s="2222"/>
      <c r="BM117" s="2222"/>
    </row>
    <row r="118" spans="1:65" ht="13.5" customHeight="1">
      <c r="A118" s="1228"/>
      <c r="B118" s="1443"/>
      <c r="C118" s="2239" t="s">
        <v>1801</v>
      </c>
      <c r="D118" s="1443" t="s">
        <v>1885</v>
      </c>
      <c r="E118" s="1443"/>
      <c r="F118" s="1443"/>
      <c r="G118" s="1443"/>
      <c r="H118" s="1443"/>
      <c r="I118" s="1443"/>
      <c r="J118" s="1443"/>
      <c r="K118" s="1443"/>
      <c r="L118" s="1443"/>
      <c r="M118" s="1443"/>
      <c r="N118" s="1443"/>
      <c r="O118" s="1443"/>
      <c r="P118" s="1443"/>
      <c r="Q118" s="1443"/>
      <c r="R118" s="1443"/>
      <c r="S118" s="1443"/>
      <c r="T118" s="1553" t="s">
        <v>492</v>
      </c>
      <c r="U118" s="7474" t="s">
        <v>1881</v>
      </c>
      <c r="V118" s="7475"/>
      <c r="W118" s="7476"/>
      <c r="X118" s="7476"/>
      <c r="Y118" s="7476"/>
      <c r="Z118" s="7476"/>
      <c r="AA118" s="7476"/>
      <c r="AB118" s="7476"/>
      <c r="AC118" s="2257"/>
      <c r="AD118" s="2258"/>
      <c r="AE118" s="1443"/>
      <c r="AF118" s="1443"/>
      <c r="AG118" s="1443"/>
      <c r="AH118" s="1443"/>
      <c r="AI118" s="1443"/>
      <c r="AJ118" s="1443"/>
      <c r="AK118" s="1228"/>
      <c r="BL118" s="2222"/>
      <c r="BM118" s="2222"/>
    </row>
    <row r="119" spans="1:65" ht="13.5" customHeight="1">
      <c r="A119" s="1228"/>
      <c r="B119" s="1443"/>
      <c r="C119" s="2239" t="s">
        <v>1887</v>
      </c>
      <c r="D119" s="1443" t="s">
        <v>1886</v>
      </c>
      <c r="E119" s="1443"/>
      <c r="F119" s="1443"/>
      <c r="G119" s="1443"/>
      <c r="H119" s="1443"/>
      <c r="I119" s="1443"/>
      <c r="J119" s="1443"/>
      <c r="K119" s="1443"/>
      <c r="L119" s="1443"/>
      <c r="M119" s="1443"/>
      <c r="N119" s="1443"/>
      <c r="O119" s="7471"/>
      <c r="P119" s="7472"/>
      <c r="Q119" s="7472"/>
      <c r="R119" s="7472"/>
      <c r="S119" s="7472"/>
      <c r="T119" s="1443"/>
      <c r="U119" s="7507"/>
      <c r="V119" s="7508"/>
      <c r="W119" s="6789"/>
      <c r="X119" s="5716"/>
      <c r="Y119" s="5716"/>
      <c r="Z119" s="5716"/>
      <c r="AA119" s="5716"/>
      <c r="AB119" s="7479"/>
      <c r="AC119" s="2257"/>
      <c r="AD119" s="2258"/>
      <c r="AE119" s="1443"/>
      <c r="AF119" s="1443"/>
      <c r="AG119" s="1443"/>
      <c r="AH119" s="1443"/>
      <c r="AI119" s="1443"/>
      <c r="AJ119" s="1443"/>
      <c r="AK119" s="1228"/>
      <c r="BL119" s="2222"/>
      <c r="BM119" s="2222"/>
    </row>
    <row r="120" spans="1:65" ht="13.5" customHeight="1">
      <c r="A120" s="1228"/>
      <c r="B120" s="1443"/>
      <c r="C120" s="1443"/>
      <c r="D120" s="7471"/>
      <c r="E120" s="7472"/>
      <c r="F120" s="7472"/>
      <c r="G120" s="7472"/>
      <c r="H120" s="7472"/>
      <c r="I120" s="7472"/>
      <c r="J120" s="7472"/>
      <c r="K120" s="7472"/>
      <c r="L120" s="7472"/>
      <c r="M120" s="7472"/>
      <c r="N120" s="7472"/>
      <c r="O120" s="7472"/>
      <c r="P120" s="7472"/>
      <c r="Q120" s="7472"/>
      <c r="R120" s="7472"/>
      <c r="S120" s="7472"/>
      <c r="T120" s="1443"/>
      <c r="U120" s="7474" t="s">
        <v>1888</v>
      </c>
      <c r="V120" s="7475"/>
      <c r="W120" s="7509"/>
      <c r="X120" s="7476"/>
      <c r="Y120" s="7476"/>
      <c r="Z120" s="7476"/>
      <c r="AA120" s="7476"/>
      <c r="AB120" s="7510"/>
      <c r="AC120" s="2257"/>
      <c r="AD120" s="2258"/>
      <c r="AE120" s="1443"/>
      <c r="AF120" s="1443"/>
      <c r="AG120" s="1443"/>
      <c r="AH120" s="1443"/>
      <c r="AI120" s="1443"/>
      <c r="AJ120" s="1443"/>
      <c r="AK120" s="1228"/>
      <c r="BL120" s="2222"/>
      <c r="BM120" s="2222"/>
    </row>
    <row r="121" spans="1:65" ht="13.5" customHeight="1">
      <c r="A121" s="1228"/>
      <c r="B121" s="1443"/>
      <c r="C121" s="1443"/>
      <c r="D121" s="1443"/>
      <c r="E121" s="1443"/>
      <c r="F121" s="1443"/>
      <c r="G121" s="1443"/>
      <c r="H121" s="1443"/>
      <c r="I121" s="1443"/>
      <c r="J121" s="1443"/>
      <c r="K121" s="1443"/>
      <c r="L121" s="1443"/>
      <c r="M121" s="1443"/>
      <c r="N121" s="1443"/>
      <c r="O121" s="1443"/>
      <c r="P121" s="1443"/>
      <c r="Q121" s="1443"/>
      <c r="R121" s="1443"/>
      <c r="S121" s="1443"/>
      <c r="T121" s="1443"/>
      <c r="U121" s="1443"/>
      <c r="V121" s="1443"/>
      <c r="W121" s="1443"/>
      <c r="X121" s="1443"/>
      <c r="Y121" s="1443"/>
      <c r="Z121" s="1443"/>
      <c r="AA121" s="1443"/>
      <c r="AB121" s="1443"/>
      <c r="AC121" s="6789"/>
      <c r="AD121" s="7479"/>
      <c r="AE121" s="6789"/>
      <c r="AF121" s="5716"/>
      <c r="AG121" s="5716"/>
      <c r="AH121" s="5716"/>
      <c r="AI121" s="5716"/>
      <c r="AJ121" s="5716"/>
      <c r="AK121" s="1228"/>
      <c r="BL121" s="2222"/>
      <c r="BM121" s="2222"/>
    </row>
    <row r="122" spans="1:65" ht="15" customHeight="1">
      <c r="A122" s="1228"/>
      <c r="B122" s="1443"/>
      <c r="C122" s="2239" t="s">
        <v>1890</v>
      </c>
      <c r="D122" s="3269" t="s">
        <v>1889</v>
      </c>
      <c r="E122" s="1443"/>
      <c r="F122" s="1443"/>
      <c r="G122" s="1443"/>
      <c r="H122" s="1443"/>
      <c r="I122" s="1443"/>
      <c r="J122" s="1443"/>
      <c r="K122" s="1443"/>
      <c r="L122" s="1443"/>
      <c r="M122" s="1443"/>
      <c r="N122" s="1443"/>
      <c r="O122" s="1443"/>
      <c r="P122" s="1443"/>
      <c r="Q122" s="1443"/>
      <c r="R122" s="1443"/>
      <c r="S122" s="1443"/>
      <c r="T122" s="1443"/>
      <c r="U122" s="1443"/>
      <c r="V122" s="1443"/>
      <c r="W122" s="1443"/>
      <c r="X122" s="1443"/>
      <c r="Y122" s="1443"/>
      <c r="Z122" s="1443"/>
      <c r="AA122" s="1443"/>
      <c r="AB122" s="1553" t="s">
        <v>635</v>
      </c>
      <c r="AC122" s="7474" t="s">
        <v>1891</v>
      </c>
      <c r="AD122" s="7475"/>
      <c r="AE122" s="7473">
        <f>IF(ISERROR(SUM(W114:W120)),"",SUM(W114:W120))</f>
        <v>0</v>
      </c>
      <c r="AF122" s="7473"/>
      <c r="AG122" s="7473"/>
      <c r="AH122" s="7473"/>
      <c r="AI122" s="7473"/>
      <c r="AJ122" s="7473"/>
      <c r="AK122" s="1228"/>
      <c r="BL122" s="2222"/>
      <c r="BM122" s="2222"/>
    </row>
    <row r="123" spans="1:65" ht="15" customHeight="1">
      <c r="A123" s="1228"/>
      <c r="B123" s="1443"/>
      <c r="C123" s="2239" t="s">
        <v>1892</v>
      </c>
      <c r="D123" s="3269" t="s">
        <v>1893</v>
      </c>
      <c r="E123" s="1443"/>
      <c r="F123" s="1443"/>
      <c r="G123" s="1443"/>
      <c r="H123" s="1443"/>
      <c r="I123" s="1443"/>
      <c r="J123" s="1443"/>
      <c r="K123" s="1443"/>
      <c r="L123" s="1443"/>
      <c r="M123" s="1443"/>
      <c r="N123" s="1443"/>
      <c r="O123" s="1443"/>
      <c r="P123" s="1443"/>
      <c r="Q123" s="7471"/>
      <c r="R123" s="7483"/>
      <c r="S123" s="7483"/>
      <c r="T123" s="7483"/>
      <c r="U123" s="7483"/>
      <c r="V123" s="7483"/>
      <c r="W123" s="7483"/>
      <c r="X123" s="7483"/>
      <c r="Y123" s="7483"/>
      <c r="Z123" s="7483"/>
      <c r="AA123" s="7483"/>
      <c r="AB123" s="1443"/>
      <c r="AC123" s="6789"/>
      <c r="AD123" s="7479"/>
      <c r="AE123" s="6789"/>
      <c r="AF123" s="5716"/>
      <c r="AG123" s="5716"/>
      <c r="AH123" s="5716"/>
      <c r="AI123" s="5716"/>
      <c r="AJ123" s="5716"/>
      <c r="AK123" s="1228"/>
      <c r="BL123" s="2222"/>
      <c r="BM123" s="2222"/>
    </row>
    <row r="124" spans="1:65" ht="15" customHeight="1">
      <c r="A124" s="1228"/>
      <c r="B124" s="1443"/>
      <c r="C124" s="1443"/>
      <c r="D124" s="7471"/>
      <c r="E124" s="7483"/>
      <c r="F124" s="7483"/>
      <c r="G124" s="7483"/>
      <c r="H124" s="7483"/>
      <c r="I124" s="7483"/>
      <c r="J124" s="7483"/>
      <c r="K124" s="7483"/>
      <c r="L124" s="7483"/>
      <c r="M124" s="7483"/>
      <c r="N124" s="7483"/>
      <c r="O124" s="7483"/>
      <c r="P124" s="7483"/>
      <c r="Q124" s="7483"/>
      <c r="R124" s="7483"/>
      <c r="S124" s="7483"/>
      <c r="T124" s="7483"/>
      <c r="U124" s="7483"/>
      <c r="V124" s="7483"/>
      <c r="W124" s="7483"/>
      <c r="X124" s="7483"/>
      <c r="Y124" s="7483"/>
      <c r="Z124" s="7483"/>
      <c r="AA124" s="7483"/>
      <c r="AB124" s="1443"/>
      <c r="AC124" s="7474">
        <v>23</v>
      </c>
      <c r="AD124" s="7475"/>
      <c r="AE124" s="7476"/>
      <c r="AF124" s="7476"/>
      <c r="AG124" s="7476"/>
      <c r="AH124" s="7476"/>
      <c r="AI124" s="7476"/>
      <c r="AJ124" s="7476"/>
      <c r="AK124" s="1228"/>
      <c r="BL124" s="2222"/>
      <c r="BM124" s="2222"/>
    </row>
    <row r="125" spans="1:65" ht="15" customHeight="1">
      <c r="A125" s="1228"/>
      <c r="B125" s="1443"/>
      <c r="C125" s="1443"/>
      <c r="D125" s="1443"/>
      <c r="E125" s="1443"/>
      <c r="F125" s="1443"/>
      <c r="G125" s="1443"/>
      <c r="H125" s="1443"/>
      <c r="I125" s="1443"/>
      <c r="J125" s="1443"/>
      <c r="K125" s="1443"/>
      <c r="L125" s="1443"/>
      <c r="M125" s="1443"/>
      <c r="N125" s="1443"/>
      <c r="O125" s="1443"/>
      <c r="P125" s="1443"/>
      <c r="Q125" s="1443"/>
      <c r="R125" s="1443"/>
      <c r="S125" s="1443"/>
      <c r="T125" s="1443"/>
      <c r="U125" s="1443"/>
      <c r="V125" s="1443"/>
      <c r="W125" s="1443"/>
      <c r="X125" s="1443"/>
      <c r="Y125" s="1443"/>
      <c r="Z125" s="1443"/>
      <c r="AA125" s="1443"/>
      <c r="AB125" s="1443"/>
      <c r="AC125" s="7507"/>
      <c r="AD125" s="7508"/>
      <c r="AE125" s="6789"/>
      <c r="AF125" s="5716"/>
      <c r="AG125" s="5716"/>
      <c r="AH125" s="5716"/>
      <c r="AI125" s="5716"/>
      <c r="AJ125" s="5716"/>
      <c r="AK125" s="1228"/>
      <c r="BL125" s="2222"/>
      <c r="BM125" s="2222"/>
    </row>
    <row r="126" spans="1:65" ht="15" customHeight="1">
      <c r="A126" s="1228"/>
      <c r="B126" s="1443"/>
      <c r="C126" s="2239" t="s">
        <v>1895</v>
      </c>
      <c r="D126" s="1443" t="s">
        <v>1894</v>
      </c>
      <c r="E126" s="1443"/>
      <c r="F126" s="1443"/>
      <c r="G126" s="1443"/>
      <c r="H126" s="1443"/>
      <c r="I126" s="1443"/>
      <c r="J126" s="1443"/>
      <c r="K126" s="1443"/>
      <c r="L126" s="1443"/>
      <c r="M126" s="1443"/>
      <c r="N126" s="1443"/>
      <c r="O126" s="1443"/>
      <c r="P126" s="1443"/>
      <c r="Q126" s="1443"/>
      <c r="R126" s="1443"/>
      <c r="S126" s="1443"/>
      <c r="T126" s="1443"/>
      <c r="U126" s="1443"/>
      <c r="V126" s="1443"/>
      <c r="W126" s="1443"/>
      <c r="X126" s="1443"/>
      <c r="Y126" s="1443"/>
      <c r="Z126" s="1443"/>
      <c r="AA126" s="1443"/>
      <c r="AB126" s="1553" t="s">
        <v>492</v>
      </c>
      <c r="AC126" s="7474">
        <v>24</v>
      </c>
      <c r="AD126" s="7475"/>
      <c r="AE126" s="7473">
        <f>IF(ISERROR(SUM(AE99,AE101,AE103,AE106,AE108,AE110,AE112,AE122,AE124)),"",SUM(AE99,AE101,AE103,AE106,AE108,AE110,AE112,AE122,AE124))</f>
        <v>0</v>
      </c>
      <c r="AF126" s="7473"/>
      <c r="AG126" s="7473"/>
      <c r="AH126" s="7473"/>
      <c r="AI126" s="7473"/>
      <c r="AJ126" s="7473"/>
      <c r="AK126" s="1228"/>
      <c r="BL126" s="2222"/>
      <c r="BM126" s="2222"/>
    </row>
    <row r="127" spans="1:65" ht="15" customHeight="1">
      <c r="A127" s="1228"/>
      <c r="B127" s="1443"/>
      <c r="C127" s="1443"/>
      <c r="D127" s="1443"/>
      <c r="E127" s="1443"/>
      <c r="F127" s="1443"/>
      <c r="G127" s="1443"/>
      <c r="H127" s="1443"/>
      <c r="I127" s="1443"/>
      <c r="J127" s="1443"/>
      <c r="K127" s="1443"/>
      <c r="L127" s="1443"/>
      <c r="M127" s="1443"/>
      <c r="N127" s="1443"/>
      <c r="O127" s="1443"/>
      <c r="P127" s="1443"/>
      <c r="Q127" s="1443"/>
      <c r="R127" s="1443"/>
      <c r="S127" s="1443"/>
      <c r="T127" s="1443"/>
      <c r="U127" s="1443"/>
      <c r="V127" s="1443"/>
      <c r="W127" s="1443"/>
      <c r="X127" s="1443"/>
      <c r="Y127" s="1443"/>
      <c r="Z127" s="1443"/>
      <c r="AA127" s="1443"/>
      <c r="AB127" s="1443"/>
      <c r="AC127" s="7507"/>
      <c r="AD127" s="7508"/>
      <c r="AE127" s="6789"/>
      <c r="AF127" s="5716"/>
      <c r="AG127" s="5716"/>
      <c r="AH127" s="5716"/>
      <c r="AI127" s="5716"/>
      <c r="AJ127" s="5716"/>
      <c r="AK127" s="1228"/>
      <c r="BL127" s="2222"/>
      <c r="BM127" s="2222"/>
    </row>
    <row r="128" spans="1:65" ht="15" customHeight="1">
      <c r="A128" s="1228"/>
      <c r="B128" s="1443"/>
      <c r="C128" s="2239" t="s">
        <v>1897</v>
      </c>
      <c r="D128" s="3269" t="s">
        <v>1896</v>
      </c>
      <c r="E128" s="1443"/>
      <c r="F128" s="1443"/>
      <c r="G128" s="1443"/>
      <c r="H128" s="1443"/>
      <c r="I128" s="1443"/>
      <c r="J128" s="1443"/>
      <c r="K128" s="1443"/>
      <c r="L128" s="1443"/>
      <c r="M128" s="1443"/>
      <c r="N128" s="1443"/>
      <c r="O128" s="1443"/>
      <c r="P128" s="1443"/>
      <c r="Q128" s="1443"/>
      <c r="R128" s="1443"/>
      <c r="S128" s="1443"/>
      <c r="T128" s="1443"/>
      <c r="U128" s="1443"/>
      <c r="V128" s="1443"/>
      <c r="W128" s="1443"/>
      <c r="X128" s="1443"/>
      <c r="Y128" s="1443"/>
      <c r="Z128" s="1443"/>
      <c r="AA128" s="1443"/>
      <c r="AB128" s="1443"/>
      <c r="AC128" s="7474">
        <v>25</v>
      </c>
      <c r="AD128" s="7475"/>
      <c r="AE128" s="7476"/>
      <c r="AF128" s="7476"/>
      <c r="AG128" s="7476"/>
      <c r="AH128" s="7476"/>
      <c r="AI128" s="7476"/>
      <c r="AJ128" s="7476"/>
      <c r="AK128" s="1228"/>
      <c r="BL128" s="2222"/>
      <c r="BM128" s="2222"/>
    </row>
    <row r="129" spans="1:74" ht="15" customHeight="1" thickBot="1">
      <c r="A129" s="1228"/>
      <c r="B129" s="1443"/>
      <c r="C129" s="2239" t="s">
        <v>1898</v>
      </c>
      <c r="D129" s="3269" t="s">
        <v>1899</v>
      </c>
      <c r="E129" s="1443"/>
      <c r="F129" s="1443"/>
      <c r="G129" s="1443"/>
      <c r="H129" s="1443"/>
      <c r="I129" s="1443"/>
      <c r="J129" s="1443"/>
      <c r="K129" s="1443"/>
      <c r="L129" s="1443"/>
      <c r="M129" s="1443"/>
      <c r="N129" s="1443"/>
      <c r="O129" s="1443"/>
      <c r="P129" s="1443"/>
      <c r="Q129" s="1443"/>
      <c r="R129" s="1443"/>
      <c r="S129" s="1443"/>
      <c r="T129" s="1443"/>
      <c r="U129" s="1615"/>
      <c r="V129" s="1615"/>
      <c r="W129" s="1615" t="str">
        <f>"This is your "&amp;TaxYear</f>
        <v>This is your 2018</v>
      </c>
      <c r="X129" s="1443"/>
      <c r="Y129" s="1443"/>
      <c r="Z129" s="1443"/>
      <c r="AA129" s="1443"/>
      <c r="AB129" s="1443"/>
      <c r="AC129" s="7507"/>
      <c r="AD129" s="7508"/>
      <c r="AE129" s="6789"/>
      <c r="AF129" s="5716"/>
      <c r="AG129" s="5716"/>
      <c r="AH129" s="5716"/>
      <c r="AI129" s="5716"/>
      <c r="AJ129" s="5716"/>
      <c r="AK129" s="1228"/>
      <c r="AM129" s="2254" t="s">
        <v>101</v>
      </c>
      <c r="BL129" s="2222"/>
      <c r="BM129" s="2222"/>
    </row>
    <row r="130" spans="1:74" ht="15" customHeight="1" thickBot="1">
      <c r="A130" s="1228"/>
      <c r="B130" s="1443"/>
      <c r="C130" s="2239"/>
      <c r="D130" s="1960" t="s">
        <v>1900</v>
      </c>
      <c r="E130" s="1443"/>
      <c r="F130" s="1443"/>
      <c r="G130" s="1443"/>
      <c r="H130" s="1443"/>
      <c r="I130" s="1443"/>
      <c r="J130" s="1443"/>
      <c r="K130" s="1443"/>
      <c r="L130" s="1443"/>
      <c r="M130" s="1443"/>
      <c r="N130" s="1443"/>
      <c r="O130" s="1443"/>
      <c r="P130" s="1443"/>
      <c r="Q130" s="1443"/>
      <c r="R130" s="1443"/>
      <c r="S130" s="1443"/>
      <c r="T130" s="1443"/>
      <c r="U130" s="1443"/>
      <c r="V130" s="1443"/>
      <c r="W130" s="1443"/>
      <c r="X130" s="1443"/>
      <c r="Y130" s="1443"/>
      <c r="Z130" s="1443"/>
      <c r="AA130" s="1689" t="s">
        <v>764</v>
      </c>
      <c r="AB130" s="2265"/>
      <c r="AC130" s="7480">
        <v>26</v>
      </c>
      <c r="AD130" s="7481"/>
      <c r="AE130" s="7473">
        <f>IF(AM130&lt;&gt;"",ROUND(AM130,0),ROUND(SUM(AE126,-AE128),0))</f>
        <v>0</v>
      </c>
      <c r="AF130" s="7473"/>
      <c r="AG130" s="7473"/>
      <c r="AH130" s="7473"/>
      <c r="AI130" s="7473"/>
      <c r="AJ130" s="7473"/>
      <c r="AK130" s="1228"/>
      <c r="AM130" s="2289"/>
      <c r="BL130" s="2222"/>
      <c r="BM130" s="2222"/>
    </row>
    <row r="131" spans="1:74" ht="16.5" thickTop="1">
      <c r="A131" s="1228"/>
      <c r="B131" s="1702"/>
      <c r="C131" s="1702"/>
      <c r="D131" s="1702"/>
      <c r="E131" s="1702"/>
      <c r="F131" s="1702"/>
      <c r="G131" s="1702"/>
      <c r="H131" s="1702"/>
      <c r="I131" s="1702"/>
      <c r="J131" s="1702"/>
      <c r="K131" s="1702"/>
      <c r="L131" s="1702"/>
      <c r="M131" s="1702"/>
      <c r="N131" s="1702"/>
      <c r="O131" s="1702"/>
      <c r="P131" s="1702"/>
      <c r="Q131" s="1702"/>
      <c r="R131" s="1702"/>
      <c r="S131" s="1702"/>
      <c r="T131" s="1702"/>
      <c r="U131" s="1702"/>
      <c r="V131" s="1702"/>
      <c r="W131" s="1702"/>
      <c r="X131" s="1702"/>
      <c r="Y131" s="1702"/>
      <c r="Z131" s="1702"/>
      <c r="AA131" s="1702"/>
      <c r="AB131" s="1702"/>
      <c r="AC131" s="1702"/>
      <c r="AD131" s="1702"/>
      <c r="AE131" s="1702"/>
      <c r="AF131" s="1702"/>
      <c r="AG131" s="1702"/>
      <c r="AH131" s="4792" t="s">
        <v>4457</v>
      </c>
      <c r="AI131" s="4793" t="str">
        <f>" ("&amp;TaxYear&amp;")"</f>
        <v xml:space="preserve"> (2018)</v>
      </c>
      <c r="AJ131" s="2259"/>
      <c r="AK131" s="1228"/>
      <c r="AO131" s="2228"/>
      <c r="AP131" s="2229"/>
      <c r="BL131" s="2222"/>
      <c r="BM131" s="2222"/>
      <c r="BO131" s="2222"/>
      <c r="BP131" s="2222"/>
      <c r="BQ131" s="2222"/>
      <c r="BR131" s="2222"/>
      <c r="BS131" s="2222"/>
      <c r="BT131" s="2222"/>
      <c r="BU131" s="2222"/>
      <c r="BV131" s="2222"/>
    </row>
    <row r="132" spans="1:74" ht="18.75" thickBot="1">
      <c r="A132" s="1228"/>
      <c r="B132" s="4794" t="str">
        <f>"Form 2555 ("&amp;TaxYear&amp;")"</f>
        <v>Form 2555 (2018)</v>
      </c>
      <c r="C132" s="1703"/>
      <c r="D132" s="1703"/>
      <c r="E132" s="1703"/>
      <c r="F132" s="1703"/>
      <c r="G132" s="1703"/>
      <c r="H132" s="1703"/>
      <c r="I132" s="1703"/>
      <c r="J132" s="1703"/>
      <c r="K132" s="1703"/>
      <c r="L132" s="1703"/>
      <c r="M132" s="1703"/>
      <c r="N132" s="1703"/>
      <c r="O132" s="1703"/>
      <c r="P132" s="1703"/>
      <c r="Q132" s="1703"/>
      <c r="R132" s="1703"/>
      <c r="S132" s="1703"/>
      <c r="T132" s="1703"/>
      <c r="U132" s="1703"/>
      <c r="V132" s="1703"/>
      <c r="W132" s="1703"/>
      <c r="X132" s="1703"/>
      <c r="Y132" s="1703"/>
      <c r="Z132" s="1703"/>
      <c r="AA132" s="1703"/>
      <c r="AB132" s="1703"/>
      <c r="AC132" s="1703"/>
      <c r="AD132" s="1703"/>
      <c r="AE132" s="1703"/>
      <c r="AF132" s="1703"/>
      <c r="AG132" s="1703"/>
      <c r="AH132" s="1703"/>
      <c r="AI132" s="2245" t="s">
        <v>225</v>
      </c>
      <c r="AJ132" s="2246">
        <v>3</v>
      </c>
      <c r="AK132" s="1228"/>
      <c r="AO132" s="2228"/>
      <c r="AP132" s="2229"/>
      <c r="BL132" s="2222"/>
      <c r="BM132" s="2222"/>
      <c r="BO132" s="2222"/>
      <c r="BP132" s="2222"/>
      <c r="BQ132" s="2222"/>
      <c r="BR132" s="2222"/>
      <c r="BS132" s="2222"/>
      <c r="BT132" s="2222"/>
      <c r="BU132" s="2222"/>
      <c r="BV132" s="2222"/>
    </row>
    <row r="133" spans="1:74" ht="5.25" customHeight="1" thickTop="1">
      <c r="A133" s="1228"/>
      <c r="B133" s="2201"/>
      <c r="C133" s="2201"/>
      <c r="D133" s="2201"/>
      <c r="E133" s="2201"/>
      <c r="F133" s="2201"/>
      <c r="G133" s="2201"/>
      <c r="H133" s="2201"/>
      <c r="I133" s="2201"/>
      <c r="J133" s="2201"/>
      <c r="K133" s="2201"/>
      <c r="L133" s="2201"/>
      <c r="M133" s="2201"/>
      <c r="N133" s="2201"/>
      <c r="O133" s="2201"/>
      <c r="P133" s="2201"/>
      <c r="Q133" s="2201"/>
      <c r="R133" s="2201"/>
      <c r="S133" s="2201"/>
      <c r="T133" s="2201"/>
      <c r="U133" s="2201"/>
      <c r="V133" s="2201"/>
      <c r="W133" s="2201"/>
      <c r="X133" s="2201"/>
      <c r="Y133" s="2201"/>
      <c r="Z133" s="2201"/>
      <c r="AA133" s="2201"/>
      <c r="AB133" s="2201"/>
      <c r="AC133" s="2201"/>
      <c r="AD133" s="2201"/>
      <c r="AE133" s="2201"/>
      <c r="AF133" s="2201"/>
      <c r="AG133" s="2201"/>
      <c r="AH133" s="2201"/>
      <c r="AI133" s="2201"/>
      <c r="AJ133" s="2201"/>
      <c r="AK133" s="1228"/>
    </row>
    <row r="134" spans="1:74" ht="15" customHeight="1">
      <c r="A134" s="1228"/>
      <c r="B134" s="7470" t="s">
        <v>135</v>
      </c>
      <c r="C134" s="6273"/>
      <c r="D134" s="2207" t="s">
        <v>1855</v>
      </c>
      <c r="E134" s="2205"/>
      <c r="F134" s="2205"/>
      <c r="G134" s="2205"/>
      <c r="H134" s="2205"/>
      <c r="I134" s="2205"/>
      <c r="J134" s="2205"/>
      <c r="K134" s="2205"/>
      <c r="L134" s="2205"/>
      <c r="M134" s="2205"/>
      <c r="N134" s="2205"/>
      <c r="O134" s="2205"/>
      <c r="P134" s="2205"/>
      <c r="Q134" s="2205"/>
      <c r="R134" s="2205"/>
      <c r="S134" s="2205"/>
      <c r="T134" s="2205"/>
      <c r="U134" s="2205"/>
      <c r="V134" s="2205"/>
      <c r="W134" s="2205"/>
      <c r="X134" s="2205"/>
      <c r="Y134" s="2205"/>
      <c r="Z134" s="2205"/>
      <c r="AA134" s="2205"/>
      <c r="AB134" s="2205"/>
      <c r="AC134" s="2205"/>
      <c r="AD134" s="2205"/>
      <c r="AE134" s="2205"/>
      <c r="AF134" s="2205"/>
      <c r="AG134" s="2205"/>
      <c r="AH134" s="2205"/>
      <c r="AI134" s="2205"/>
      <c r="AJ134" s="2205"/>
      <c r="AK134" s="1228"/>
    </row>
    <row r="135" spans="1:74" ht="6" customHeight="1">
      <c r="A135" s="1228"/>
      <c r="B135" s="2206"/>
      <c r="C135" s="2206"/>
      <c r="D135" s="2206"/>
      <c r="E135" s="2206"/>
      <c r="F135" s="2206"/>
      <c r="G135" s="2206"/>
      <c r="H135" s="2206"/>
      <c r="I135" s="2206"/>
      <c r="J135" s="2206"/>
      <c r="K135" s="2206"/>
      <c r="L135" s="2206"/>
      <c r="M135" s="2206"/>
      <c r="N135" s="2206"/>
      <c r="O135" s="2206"/>
      <c r="P135" s="2206"/>
      <c r="Q135" s="2206"/>
      <c r="R135" s="2206"/>
      <c r="S135" s="2206"/>
      <c r="T135" s="2206"/>
      <c r="U135" s="2206"/>
      <c r="V135" s="2206"/>
      <c r="W135" s="2206"/>
      <c r="X135" s="2206"/>
      <c r="Y135" s="2206"/>
      <c r="Z135" s="2206"/>
      <c r="AA135" s="2206"/>
      <c r="AB135" s="2206"/>
      <c r="AC135" s="2206"/>
      <c r="AD135" s="2206"/>
      <c r="AE135" s="2206"/>
      <c r="AF135" s="2206"/>
      <c r="AG135" s="2206"/>
      <c r="AH135" s="2206"/>
      <c r="AI135" s="2206"/>
      <c r="AJ135" s="2206"/>
      <c r="AK135" s="1228"/>
    </row>
    <row r="136" spans="1:74" ht="15" customHeight="1">
      <c r="A136" s="1228"/>
      <c r="B136" s="1443"/>
      <c r="C136" s="1443"/>
      <c r="D136" s="1443"/>
      <c r="E136" s="1443"/>
      <c r="F136" s="1443"/>
      <c r="G136" s="1443"/>
      <c r="H136" s="1443"/>
      <c r="I136" s="1443"/>
      <c r="J136" s="1443"/>
      <c r="K136" s="1443"/>
      <c r="L136" s="1443"/>
      <c r="M136" s="1443"/>
      <c r="N136" s="1443"/>
      <c r="O136" s="1443"/>
      <c r="P136" s="1443"/>
      <c r="Q136" s="1443"/>
      <c r="R136" s="1443"/>
      <c r="S136" s="1443"/>
      <c r="T136" s="1443"/>
      <c r="U136" s="1443"/>
      <c r="V136" s="1443"/>
      <c r="W136" s="1443"/>
      <c r="X136" s="1443"/>
      <c r="Y136" s="1443"/>
      <c r="Z136" s="1443"/>
      <c r="AA136" s="1443"/>
      <c r="AB136" s="1443"/>
      <c r="AC136" s="6789"/>
      <c r="AD136" s="7479"/>
      <c r="AE136" s="6789"/>
      <c r="AF136" s="5716"/>
      <c r="AG136" s="5716"/>
      <c r="AH136" s="5716"/>
      <c r="AI136" s="5716"/>
      <c r="AJ136" s="5716"/>
      <c r="AK136" s="1228"/>
      <c r="BL136" s="2222"/>
      <c r="BM136" s="2222"/>
    </row>
    <row r="137" spans="1:74" ht="15" customHeight="1">
      <c r="A137" s="1228"/>
      <c r="B137" s="1443"/>
      <c r="C137" s="2239" t="s">
        <v>1901</v>
      </c>
      <c r="D137" s="3269" t="s">
        <v>1902</v>
      </c>
      <c r="E137" s="1443"/>
      <c r="F137" s="1443"/>
      <c r="G137" s="1443"/>
      <c r="H137" s="1443"/>
      <c r="I137" s="1443"/>
      <c r="J137" s="1443"/>
      <c r="K137" s="1443"/>
      <c r="L137" s="1443"/>
      <c r="M137" s="1443"/>
      <c r="N137" s="1443"/>
      <c r="O137" s="1443"/>
      <c r="P137" s="1443"/>
      <c r="Q137" s="1443"/>
      <c r="R137" s="1443"/>
      <c r="S137" s="1443"/>
      <c r="T137" s="1443"/>
      <c r="U137" s="1443"/>
      <c r="V137" s="1443"/>
      <c r="W137" s="1443"/>
      <c r="X137" s="1443"/>
      <c r="Y137" s="1443"/>
      <c r="Z137" s="1443"/>
      <c r="AA137" s="1443"/>
      <c r="AB137" s="1553" t="s">
        <v>764</v>
      </c>
      <c r="AC137" s="7474">
        <v>27</v>
      </c>
      <c r="AD137" s="7475"/>
      <c r="AE137" s="7473">
        <f>ForeignEarnedIncome</f>
        <v>0</v>
      </c>
      <c r="AF137" s="7473"/>
      <c r="AG137" s="7473"/>
      <c r="AH137" s="7473"/>
      <c r="AI137" s="7473"/>
      <c r="AJ137" s="7473"/>
      <c r="AK137" s="1228"/>
      <c r="BL137" s="2222"/>
      <c r="BM137" s="2222"/>
    </row>
    <row r="138" spans="1:74" ht="16.5" customHeight="1" thickBot="1">
      <c r="A138" s="1228"/>
      <c r="B138" s="1443"/>
      <c r="C138" s="1443"/>
      <c r="D138" s="4271" t="s">
        <v>1903</v>
      </c>
      <c r="E138" s="1443"/>
      <c r="F138" s="1443"/>
      <c r="G138" s="1443"/>
      <c r="H138" s="1443"/>
      <c r="I138" s="1443"/>
      <c r="J138" s="1443"/>
      <c r="K138" s="1443"/>
      <c r="L138" s="1443"/>
      <c r="M138" s="1443"/>
      <c r="N138" s="1443"/>
      <c r="O138" s="1443"/>
      <c r="P138" s="1443"/>
      <c r="Q138" s="1443"/>
      <c r="R138" s="1443"/>
      <c r="S138" s="1443"/>
      <c r="T138" s="1443"/>
      <c r="U138" s="1443"/>
      <c r="V138" s="1443"/>
      <c r="W138" s="1443"/>
      <c r="X138" s="1443"/>
      <c r="Y138" s="1443"/>
      <c r="Z138" s="1443"/>
      <c r="AA138" s="1443"/>
      <c r="AB138" s="1443"/>
      <c r="AC138" s="1443"/>
      <c r="AD138" s="1443"/>
      <c r="AE138" s="1443"/>
      <c r="AF138" s="1443"/>
      <c r="AG138" s="1443"/>
      <c r="AH138" s="1443"/>
      <c r="AI138" s="1443"/>
      <c r="AJ138" s="1443"/>
      <c r="AK138" s="1228"/>
      <c r="BL138" s="2222"/>
      <c r="BM138" s="2222"/>
    </row>
    <row r="139" spans="1:74" ht="15" customHeight="1" thickBot="1">
      <c r="A139" s="1228"/>
      <c r="B139" s="1616"/>
      <c r="C139" s="1443"/>
      <c r="D139" s="1445"/>
      <c r="E139" s="3269" t="s">
        <v>4458</v>
      </c>
      <c r="F139" s="1443"/>
      <c r="G139" s="1443"/>
      <c r="H139" s="1443"/>
      <c r="I139" s="1443"/>
      <c r="J139" s="1443"/>
      <c r="K139" s="1617"/>
      <c r="L139" s="1443"/>
      <c r="M139" s="1443"/>
      <c r="N139" s="1443"/>
      <c r="O139" s="1443"/>
      <c r="P139" s="1443"/>
      <c r="Q139" s="1443"/>
      <c r="R139" s="1443"/>
      <c r="S139" s="1443"/>
      <c r="T139" s="1443"/>
      <c r="U139" s="1443"/>
      <c r="V139" s="1443"/>
      <c r="W139" s="1443"/>
      <c r="X139" s="1443"/>
      <c r="Y139" s="1443"/>
      <c r="Z139" s="1443"/>
      <c r="AA139" s="1443"/>
      <c r="AB139" s="1443"/>
      <c r="AC139" s="1443"/>
      <c r="AD139" s="1443"/>
      <c r="AE139" s="1443"/>
      <c r="AF139" s="1443"/>
      <c r="AG139" s="1443"/>
      <c r="AH139" s="1443"/>
      <c r="AI139" s="1443"/>
      <c r="AJ139" s="1443"/>
      <c r="AK139" s="1228"/>
      <c r="BL139" s="2222"/>
      <c r="BM139" s="2222"/>
    </row>
    <row r="140" spans="1:74" ht="4.5" customHeight="1" thickBot="1">
      <c r="A140" s="1228"/>
      <c r="B140" s="1443"/>
      <c r="C140" s="1443"/>
      <c r="D140" s="1443"/>
      <c r="E140" s="1443"/>
      <c r="F140" s="1443"/>
      <c r="G140" s="1443"/>
      <c r="H140" s="1443"/>
      <c r="I140" s="1443"/>
      <c r="J140" s="1443"/>
      <c r="K140" s="1443"/>
      <c r="L140" s="1443"/>
      <c r="M140" s="1443"/>
      <c r="N140" s="1443"/>
      <c r="O140" s="1443"/>
      <c r="P140" s="1443"/>
      <c r="Q140" s="1443"/>
      <c r="R140" s="1443"/>
      <c r="S140" s="1443"/>
      <c r="T140" s="1443"/>
      <c r="U140" s="1443"/>
      <c r="V140" s="1443"/>
      <c r="W140" s="1443"/>
      <c r="X140" s="1443"/>
      <c r="Y140" s="1443"/>
      <c r="Z140" s="1443"/>
      <c r="AA140" s="1443"/>
      <c r="AB140" s="1443"/>
      <c r="AC140" s="1443"/>
      <c r="AD140" s="1443"/>
      <c r="AE140" s="1443"/>
      <c r="AF140" s="1443"/>
      <c r="AG140" s="1443"/>
      <c r="AH140" s="1443"/>
      <c r="AI140" s="1443"/>
      <c r="AJ140" s="1443"/>
      <c r="AK140" s="1228"/>
      <c r="BL140" s="2222"/>
      <c r="BM140" s="2222"/>
    </row>
    <row r="141" spans="1:74" ht="15" customHeight="1" thickBot="1">
      <c r="A141" s="1228"/>
      <c r="B141" s="1616"/>
      <c r="C141" s="1443"/>
      <c r="D141" s="2296" t="str">
        <f>IF(D139="","X","")</f>
        <v>X</v>
      </c>
      <c r="E141" s="3269" t="s">
        <v>4459</v>
      </c>
      <c r="F141" s="1443"/>
      <c r="G141" s="1443"/>
      <c r="H141" s="1443"/>
      <c r="I141" s="1443"/>
      <c r="J141" s="1443"/>
      <c r="K141" s="1443"/>
      <c r="L141" s="1443"/>
      <c r="M141" s="1443"/>
      <c r="N141" s="1443"/>
      <c r="O141" s="1443"/>
      <c r="P141" s="1443"/>
      <c r="Q141" s="1443"/>
      <c r="R141" s="1443"/>
      <c r="S141" s="1443"/>
      <c r="T141" s="1443"/>
      <c r="U141" s="1443"/>
      <c r="V141" s="1443"/>
      <c r="W141" s="1443"/>
      <c r="X141" s="1443"/>
      <c r="Y141" s="1443"/>
      <c r="Z141" s="1443"/>
      <c r="AA141" s="1443"/>
      <c r="AB141" s="1443"/>
      <c r="AC141" s="1443"/>
      <c r="AD141" s="1443"/>
      <c r="AE141" s="1443"/>
      <c r="AF141" s="1443"/>
      <c r="AG141" s="1443"/>
      <c r="AH141" s="1443"/>
      <c r="AI141" s="1443"/>
      <c r="AJ141" s="1443"/>
      <c r="AK141" s="1228"/>
      <c r="BL141" s="2222"/>
      <c r="BM141" s="2222"/>
    </row>
    <row r="142" spans="1:74" ht="6.75" customHeight="1">
      <c r="A142" s="1228"/>
      <c r="B142" s="2206"/>
      <c r="C142" s="2206"/>
      <c r="D142" s="2206"/>
      <c r="E142" s="2206"/>
      <c r="F142" s="2206"/>
      <c r="G142" s="2206"/>
      <c r="H142" s="2206"/>
      <c r="I142" s="2206"/>
      <c r="J142" s="2206"/>
      <c r="K142" s="2206"/>
      <c r="L142" s="2206"/>
      <c r="M142" s="2206"/>
      <c r="N142" s="2206"/>
      <c r="O142" s="2206"/>
      <c r="P142" s="2206"/>
      <c r="Q142" s="2206"/>
      <c r="R142" s="2206"/>
      <c r="S142" s="2206"/>
      <c r="T142" s="2206"/>
      <c r="U142" s="2206"/>
      <c r="V142" s="2206"/>
      <c r="W142" s="2206"/>
      <c r="X142" s="2206"/>
      <c r="Y142" s="2206"/>
      <c r="Z142" s="2206"/>
      <c r="AA142" s="2206"/>
      <c r="AB142" s="2206"/>
      <c r="AC142" s="2206"/>
      <c r="AD142" s="2206"/>
      <c r="AE142" s="2206"/>
      <c r="AF142" s="2206"/>
      <c r="AG142" s="2206"/>
      <c r="AH142" s="2206"/>
      <c r="AI142" s="2206"/>
      <c r="AJ142" s="2206"/>
      <c r="AK142" s="1228"/>
    </row>
    <row r="143" spans="1:74" ht="6.75" customHeight="1">
      <c r="A143" s="1228"/>
      <c r="B143" s="2201"/>
      <c r="C143" s="2201"/>
      <c r="D143" s="2201"/>
      <c r="E143" s="2201"/>
      <c r="F143" s="2201"/>
      <c r="G143" s="2201"/>
      <c r="H143" s="2201"/>
      <c r="I143" s="2201"/>
      <c r="J143" s="2201"/>
      <c r="K143" s="2201"/>
      <c r="L143" s="2201"/>
      <c r="M143" s="2201"/>
      <c r="N143" s="2201"/>
      <c r="O143" s="2201"/>
      <c r="P143" s="2201"/>
      <c r="Q143" s="2201"/>
      <c r="R143" s="2201"/>
      <c r="S143" s="2201"/>
      <c r="T143" s="2201"/>
      <c r="U143" s="2201"/>
      <c r="V143" s="2201"/>
      <c r="W143" s="2201"/>
      <c r="X143" s="2201"/>
      <c r="Y143" s="2201"/>
      <c r="Z143" s="2201"/>
      <c r="AA143" s="2201"/>
      <c r="AB143" s="2201"/>
      <c r="AC143" s="2201"/>
      <c r="AD143" s="2201"/>
      <c r="AE143" s="2201"/>
      <c r="AF143" s="2201"/>
      <c r="AG143" s="2201"/>
      <c r="AH143" s="2201"/>
      <c r="AI143" s="2201"/>
      <c r="AJ143" s="2201"/>
      <c r="AK143" s="1228"/>
    </row>
    <row r="144" spans="1:74" ht="15" customHeight="1">
      <c r="A144" s="1228"/>
      <c r="B144" s="7470" t="s">
        <v>1997</v>
      </c>
      <c r="C144" s="6273"/>
      <c r="D144" s="2207" t="s">
        <v>1904</v>
      </c>
      <c r="E144" s="2205"/>
      <c r="F144" s="2205"/>
      <c r="G144" s="2205"/>
      <c r="H144" s="2205"/>
      <c r="I144" s="2205"/>
      <c r="J144" s="2205"/>
      <c r="K144" s="2205"/>
      <c r="L144" s="2205"/>
      <c r="M144" s="2205"/>
      <c r="N144" s="2205"/>
      <c r="O144" s="2205"/>
      <c r="P144" s="2205"/>
      <c r="Q144" s="2205"/>
      <c r="R144" s="2205"/>
      <c r="S144" s="2205"/>
      <c r="T144" s="2205"/>
      <c r="U144" s="2205"/>
      <c r="V144" s="2205"/>
      <c r="W144" s="2205"/>
      <c r="X144" s="2205"/>
      <c r="Y144" s="2205"/>
      <c r="Z144" s="2205"/>
      <c r="AA144" s="2205"/>
      <c r="AB144" s="2205"/>
      <c r="AC144" s="2205"/>
      <c r="AD144" s="2205"/>
      <c r="AE144" s="2205"/>
      <c r="AF144" s="2205"/>
      <c r="AG144" s="2205"/>
      <c r="AH144" s="2205"/>
      <c r="AI144" s="2205"/>
      <c r="AJ144" s="2205"/>
      <c r="AK144" s="1228"/>
    </row>
    <row r="145" spans="1:65" ht="6" customHeight="1">
      <c r="A145" s="1228"/>
      <c r="B145" s="2206"/>
      <c r="C145" s="2206"/>
      <c r="D145" s="2206"/>
      <c r="E145" s="2206"/>
      <c r="F145" s="2206"/>
      <c r="G145" s="2206"/>
      <c r="H145" s="2206"/>
      <c r="I145" s="2206"/>
      <c r="J145" s="2206"/>
      <c r="K145" s="2206"/>
      <c r="L145" s="2206"/>
      <c r="M145" s="2206"/>
      <c r="N145" s="2206"/>
      <c r="O145" s="2206"/>
      <c r="P145" s="2206"/>
      <c r="Q145" s="2206"/>
      <c r="R145" s="2206"/>
      <c r="S145" s="2206"/>
      <c r="T145" s="2206"/>
      <c r="U145" s="2206"/>
      <c r="V145" s="2206"/>
      <c r="W145" s="2206"/>
      <c r="X145" s="2206"/>
      <c r="Y145" s="2206"/>
      <c r="Z145" s="2206"/>
      <c r="AA145" s="2206"/>
      <c r="AB145" s="2206"/>
      <c r="AC145" s="2206"/>
      <c r="AD145" s="2206"/>
      <c r="AE145" s="2206"/>
      <c r="AF145" s="2206"/>
      <c r="AG145" s="2206"/>
      <c r="AH145" s="2206"/>
      <c r="AI145" s="2206"/>
      <c r="AJ145" s="2206"/>
      <c r="AK145" s="1228"/>
    </row>
    <row r="146" spans="1:65" ht="15" customHeight="1">
      <c r="A146" s="1228"/>
      <c r="B146" s="1443"/>
      <c r="C146" s="1443"/>
      <c r="D146" s="1443"/>
      <c r="E146" s="1443"/>
      <c r="F146" s="1443"/>
      <c r="G146" s="1443"/>
      <c r="H146" s="1443"/>
      <c r="I146" s="1443"/>
      <c r="J146" s="1443"/>
      <c r="K146" s="1443"/>
      <c r="L146" s="1443"/>
      <c r="M146" s="1443"/>
      <c r="N146" s="1443"/>
      <c r="O146" s="1443"/>
      <c r="P146" s="1443"/>
      <c r="Q146" s="1443"/>
      <c r="R146" s="1443"/>
      <c r="S146" s="1443"/>
      <c r="T146" s="1443"/>
      <c r="U146" s="1443"/>
      <c r="V146" s="1443"/>
      <c r="W146" s="1443"/>
      <c r="X146" s="1443"/>
      <c r="Y146" s="1443"/>
      <c r="Z146" s="1443"/>
      <c r="AA146" s="1443"/>
      <c r="AB146" s="1443"/>
      <c r="AC146" s="6789"/>
      <c r="AD146" s="7479"/>
      <c r="AE146" s="6789"/>
      <c r="AF146" s="5716"/>
      <c r="AG146" s="5716"/>
      <c r="AH146" s="5716"/>
      <c r="AI146" s="5716"/>
      <c r="AJ146" s="5716"/>
      <c r="AK146" s="1228"/>
      <c r="BL146" s="2222"/>
      <c r="BM146" s="2222"/>
    </row>
    <row r="147" spans="1:65" ht="15" customHeight="1">
      <c r="A147" s="1228"/>
      <c r="B147" s="1443"/>
      <c r="C147" s="2239" t="s">
        <v>1393</v>
      </c>
      <c r="D147" s="3269" t="s">
        <v>1905</v>
      </c>
      <c r="E147" s="1443"/>
      <c r="F147" s="1443"/>
      <c r="G147" s="1443"/>
      <c r="H147" s="1443"/>
      <c r="I147" s="1443"/>
      <c r="J147" s="1443"/>
      <c r="K147" s="1443"/>
      <c r="L147" s="1443"/>
      <c r="M147" s="1443"/>
      <c r="N147" s="1443"/>
      <c r="O147" s="1443"/>
      <c r="P147" s="1443"/>
      <c r="Q147" s="1443"/>
      <c r="R147" s="1443"/>
      <c r="S147" s="1443"/>
      <c r="T147" s="1443"/>
      <c r="U147" s="1443"/>
      <c r="V147" s="1443"/>
      <c r="W147" s="1443"/>
      <c r="X147" s="1443"/>
      <c r="Y147" s="1443"/>
      <c r="Z147" s="1443"/>
      <c r="AA147" s="1443"/>
      <c r="AB147" s="1553" t="s">
        <v>422</v>
      </c>
      <c r="AC147" s="7474">
        <v>28</v>
      </c>
      <c r="AD147" s="7475"/>
      <c r="AE147" s="7476"/>
      <c r="AF147" s="7476"/>
      <c r="AG147" s="7476"/>
      <c r="AH147" s="7476"/>
      <c r="AI147" s="7476"/>
      <c r="AJ147" s="7476"/>
      <c r="AK147" s="1228"/>
      <c r="BL147" s="2222"/>
      <c r="BM147" s="2222"/>
    </row>
    <row r="148" spans="1:65" ht="15" customHeight="1">
      <c r="A148" s="1228"/>
      <c r="B148" s="1443"/>
      <c r="C148" s="2239" t="s">
        <v>1907</v>
      </c>
      <c r="D148" s="1607" t="s">
        <v>1906</v>
      </c>
      <c r="E148" s="1443"/>
      <c r="F148" s="1443"/>
      <c r="G148" s="1443"/>
      <c r="H148" s="1443"/>
      <c r="I148" s="1443"/>
      <c r="J148" s="1443"/>
      <c r="K148" s="1443"/>
      <c r="L148" s="1443"/>
      <c r="M148" s="1443"/>
      <c r="N148" s="1443"/>
      <c r="O148" s="1443"/>
      <c r="P148" s="1443"/>
      <c r="Q148" s="1443"/>
      <c r="R148" s="1443"/>
      <c r="S148" s="1443"/>
      <c r="T148" s="7490"/>
      <c r="U148" s="7491"/>
      <c r="V148" s="7491"/>
      <c r="W148" s="7491"/>
      <c r="X148" s="7491"/>
      <c r="Y148" s="7491"/>
      <c r="Z148" s="7491"/>
      <c r="AA148" s="7491"/>
      <c r="AB148" s="1443"/>
      <c r="AC148" s="7477"/>
      <c r="AD148" s="7478"/>
      <c r="AE148" s="6789"/>
      <c r="AF148" s="5716"/>
      <c r="AG148" s="5716"/>
      <c r="AH148" s="5716"/>
      <c r="AI148" s="5716"/>
      <c r="AJ148" s="5716"/>
      <c r="AK148" s="1228"/>
      <c r="BL148" s="2222"/>
      <c r="BM148" s="2222"/>
    </row>
    <row r="149" spans="1:65" ht="15" customHeight="1" thickBot="1">
      <c r="A149" s="1228"/>
      <c r="B149" s="1443"/>
      <c r="C149" s="2239" t="s">
        <v>1793</v>
      </c>
      <c r="D149" s="3269" t="s">
        <v>1908</v>
      </c>
      <c r="E149" s="1443"/>
      <c r="F149" s="1443"/>
      <c r="G149" s="1443"/>
      <c r="H149" s="1443"/>
      <c r="I149" s="1443"/>
      <c r="J149" s="1443"/>
      <c r="K149" s="1443"/>
      <c r="L149" s="1443"/>
      <c r="M149" s="1443"/>
      <c r="N149" s="1443"/>
      <c r="O149" s="1443"/>
      <c r="P149" s="1443"/>
      <c r="Q149" s="1443"/>
      <c r="R149" s="1443"/>
      <c r="S149" s="1443"/>
      <c r="T149" s="1443"/>
      <c r="U149" s="1443"/>
      <c r="V149" s="1443"/>
      <c r="W149" s="1443"/>
      <c r="X149" s="1443"/>
      <c r="Y149" s="1443"/>
      <c r="Z149" s="1443"/>
      <c r="AA149" s="1443"/>
      <c r="AB149" s="1553" t="s">
        <v>1150</v>
      </c>
      <c r="AC149" s="7474" t="s">
        <v>1909</v>
      </c>
      <c r="AD149" s="7475"/>
      <c r="AE149" s="7476"/>
      <c r="AF149" s="7476"/>
      <c r="AG149" s="7476"/>
      <c r="AH149" s="7476"/>
      <c r="AI149" s="7476"/>
      <c r="AJ149" s="7476"/>
      <c r="AK149" s="1228"/>
      <c r="AM149" s="2254" t="s">
        <v>101</v>
      </c>
      <c r="BL149" s="2222"/>
      <c r="BM149" s="2222"/>
    </row>
    <row r="150" spans="1:65" ht="15" customHeight="1" thickBot="1">
      <c r="A150" s="1228"/>
      <c r="B150" s="1443"/>
      <c r="C150" s="2239" t="s">
        <v>1399</v>
      </c>
      <c r="D150" s="3269" t="s">
        <v>4460</v>
      </c>
      <c r="E150" s="1443"/>
      <c r="F150" s="1443"/>
      <c r="G150" s="1443"/>
      <c r="H150" s="1443"/>
      <c r="I150" s="1443"/>
      <c r="J150" s="1443"/>
      <c r="K150" s="1443"/>
      <c r="L150" s="1443"/>
      <c r="M150" s="1443"/>
      <c r="N150" s="1443"/>
      <c r="O150" s="1443"/>
      <c r="P150" s="1443"/>
      <c r="Q150" s="1443"/>
      <c r="R150" s="1443"/>
      <c r="S150" s="1443"/>
      <c r="T150" s="1443"/>
      <c r="U150" s="1443"/>
      <c r="V150" s="1443"/>
      <c r="W150" s="1443"/>
      <c r="X150" s="1443"/>
      <c r="Y150" s="1443"/>
      <c r="Z150" s="1443"/>
      <c r="AA150" s="1443"/>
      <c r="AB150" s="1553" t="s">
        <v>763</v>
      </c>
      <c r="AC150" s="7474">
        <v>30</v>
      </c>
      <c r="AD150" s="7475"/>
      <c r="AE150" s="7473" t="str">
        <f>IF(AM150&lt;&gt;"",AM150,IF(D139="","",IF(AE147&lt;&gt;"",MIN(AE149,AE147),0)))</f>
        <v/>
      </c>
      <c r="AF150" s="7473"/>
      <c r="AG150" s="7473"/>
      <c r="AH150" s="7473"/>
      <c r="AI150" s="7473"/>
      <c r="AJ150" s="7473"/>
      <c r="AK150" s="1228"/>
      <c r="AM150" s="2289"/>
      <c r="BL150" s="2222"/>
      <c r="BM150" s="2222"/>
    </row>
    <row r="151" spans="1:65" ht="15" customHeight="1" thickBot="1">
      <c r="A151" s="1228"/>
      <c r="B151" s="1443"/>
      <c r="C151" s="2239" t="s">
        <v>1404</v>
      </c>
      <c r="D151" s="3269" t="str">
        <f>"Number of days in your qualifying period that fall within your "&amp;TaxYear&amp;" tax"</f>
        <v>Number of days in your qualifying period that fall within your 2018 tax</v>
      </c>
      <c r="E151" s="1443"/>
      <c r="F151" s="1443"/>
      <c r="G151" s="1443"/>
      <c r="H151" s="1443"/>
      <c r="I151" s="1443"/>
      <c r="J151" s="1443"/>
      <c r="K151" s="1443"/>
      <c r="L151" s="1443"/>
      <c r="M151" s="1443"/>
      <c r="N151" s="1443"/>
      <c r="O151" s="1443"/>
      <c r="P151" s="1443"/>
      <c r="Q151" s="1443"/>
      <c r="R151" s="1443"/>
      <c r="S151" s="1443"/>
      <c r="T151" s="1443"/>
      <c r="U151" s="6764"/>
      <c r="V151" s="6765"/>
      <c r="W151" s="2380"/>
      <c r="X151" s="2379"/>
      <c r="Y151" s="2379"/>
      <c r="Z151" s="2379"/>
      <c r="AA151" s="5715"/>
      <c r="AB151" s="6765"/>
      <c r="AC151" s="1443"/>
      <c r="AD151" s="1443"/>
      <c r="AE151" s="7505">
        <v>45.55</v>
      </c>
      <c r="AF151" s="6425"/>
      <c r="AG151" s="6425"/>
      <c r="AH151" s="6425"/>
      <c r="AI151" s="6425"/>
      <c r="AJ151" s="6425"/>
      <c r="AK151" s="1228"/>
      <c r="BL151" s="2222"/>
      <c r="BM151" s="2222"/>
    </row>
    <row r="152" spans="1:65" ht="15" customHeight="1" thickBot="1">
      <c r="A152" s="1228"/>
      <c r="B152" s="1443"/>
      <c r="C152" s="1443"/>
      <c r="D152" s="3269" t="s">
        <v>1910</v>
      </c>
      <c r="E152" s="1443"/>
      <c r="F152" s="1443"/>
      <c r="G152" s="1443"/>
      <c r="H152" s="1443"/>
      <c r="I152" s="1443"/>
      <c r="J152" s="1443"/>
      <c r="K152" s="1443"/>
      <c r="L152" s="1443"/>
      <c r="M152" s="1443"/>
      <c r="N152" s="1443"/>
      <c r="O152" s="1443"/>
      <c r="P152" s="1443"/>
      <c r="Q152" s="1443"/>
      <c r="R152" s="1443"/>
      <c r="S152" s="1443"/>
      <c r="T152" s="1553" t="s">
        <v>524</v>
      </c>
      <c r="U152" s="7474">
        <v>31</v>
      </c>
      <c r="V152" s="7475"/>
      <c r="W152" s="7488" t="str">
        <f>IF(D139="","",IF(AM152&lt;&gt;"",AM152,DaysInTaxYear))</f>
        <v/>
      </c>
      <c r="X152" s="7489"/>
      <c r="Y152" s="7489"/>
      <c r="Z152" s="7489"/>
      <c r="AA152" s="5721" t="s">
        <v>1911</v>
      </c>
      <c r="AB152" s="7506"/>
      <c r="AC152" s="1443"/>
      <c r="AD152" s="1443"/>
      <c r="AE152" s="7492">
        <v>16624</v>
      </c>
      <c r="AF152" s="7493"/>
      <c r="AG152" s="7493"/>
      <c r="AH152" s="7493"/>
      <c r="AI152" s="7493"/>
      <c r="AJ152" s="7493"/>
      <c r="AK152" s="1228"/>
      <c r="AM152" s="2289"/>
      <c r="BL152" s="2222"/>
      <c r="BM152" s="2222"/>
    </row>
    <row r="153" spans="1:65" ht="15" customHeight="1" thickBot="1">
      <c r="A153" s="1228"/>
      <c r="B153" s="1443"/>
      <c r="C153" s="2239" t="s">
        <v>1405</v>
      </c>
      <c r="D153" s="3269" t="str">
        <f>"Multiply "&amp;TEXT(AE151,"$0.00")&amp;" by the number of days on line 31. If "&amp;TEXT(DaysInTaxYear,"0")&amp;" is entered on line 31, enter "&amp;TEXT(AE152,"$0,000")&amp;" here"</f>
        <v>Multiply $45.55 by the number of days on line 31. If 365 is entered on line 31, enter $16,624 here</v>
      </c>
      <c r="E153" s="1443"/>
      <c r="F153" s="1443"/>
      <c r="G153" s="1443"/>
      <c r="H153" s="1443"/>
      <c r="I153" s="1443"/>
      <c r="J153" s="1443"/>
      <c r="K153" s="1443"/>
      <c r="L153" s="1443"/>
      <c r="M153" s="1443"/>
      <c r="N153" s="1443"/>
      <c r="O153" s="1443"/>
      <c r="P153" s="1443"/>
      <c r="Q153" s="1443"/>
      <c r="R153" s="1443"/>
      <c r="S153" s="1443"/>
      <c r="T153" s="1443"/>
      <c r="U153" s="1443"/>
      <c r="V153" s="1443"/>
      <c r="W153" s="1443"/>
      <c r="X153" s="1443"/>
      <c r="Y153" s="1443"/>
      <c r="Z153" s="1443"/>
      <c r="AA153" s="1443"/>
      <c r="AB153" s="1443"/>
      <c r="AC153" s="7474">
        <v>32</v>
      </c>
      <c r="AD153" s="7475"/>
      <c r="AE153" s="7473" t="str">
        <f>IF(AM153&lt;&gt;"",ROUND(AM153,0),IF(AE147="","",IF(W152=DaysInTaxYear,AE152,W152*AE151)))</f>
        <v/>
      </c>
      <c r="AF153" s="7473"/>
      <c r="AG153" s="7473"/>
      <c r="AH153" s="7473"/>
      <c r="AI153" s="7473"/>
      <c r="AJ153" s="7473"/>
      <c r="AK153" s="1228"/>
      <c r="AM153" s="2289"/>
      <c r="BL153" s="2222"/>
      <c r="BM153" s="2222"/>
    </row>
    <row r="154" spans="1:65" ht="15" customHeight="1">
      <c r="A154" s="1228"/>
      <c r="B154" s="1443"/>
      <c r="C154" s="2239" t="s">
        <v>1406</v>
      </c>
      <c r="D154" s="3269" t="s">
        <v>1955</v>
      </c>
      <c r="E154" s="1443"/>
      <c r="F154" s="1443"/>
      <c r="G154" s="1443"/>
      <c r="H154" s="1443"/>
      <c r="I154" s="1443"/>
      <c r="J154" s="1443"/>
      <c r="K154" s="1607"/>
      <c r="L154" s="3269" t="s">
        <v>2068</v>
      </c>
      <c r="M154" s="1443"/>
      <c r="N154" s="1443"/>
      <c r="O154" s="1443"/>
      <c r="P154" s="1443"/>
      <c r="Q154" s="1443"/>
      <c r="R154" s="1443"/>
      <c r="S154" s="1443"/>
      <c r="T154" s="1443"/>
      <c r="U154" s="1443"/>
      <c r="V154" s="1443"/>
      <c r="W154" s="1443"/>
      <c r="X154" s="1443"/>
      <c r="Y154" s="1443"/>
      <c r="Z154" s="1443"/>
      <c r="AA154" s="1443"/>
      <c r="AB154" s="1443"/>
      <c r="AC154" s="6789"/>
      <c r="AD154" s="7479"/>
      <c r="AE154" s="6789"/>
      <c r="AF154" s="5716"/>
      <c r="AG154" s="5716"/>
      <c r="AH154" s="5716"/>
      <c r="AI154" s="5716"/>
      <c r="AJ154" s="5716"/>
      <c r="AK154" s="1228"/>
      <c r="BL154" s="2222"/>
      <c r="BM154" s="2222"/>
    </row>
    <row r="155" spans="1:65" ht="15" customHeight="1">
      <c r="A155" s="1228"/>
      <c r="B155" s="1443"/>
      <c r="C155" s="1443"/>
      <c r="D155" s="3269" t="s">
        <v>1912</v>
      </c>
      <c r="E155" s="1443"/>
      <c r="F155" s="1443"/>
      <c r="G155" s="1443"/>
      <c r="H155" s="1443"/>
      <c r="I155" s="1443"/>
      <c r="J155" s="1443"/>
      <c r="K155" s="1443"/>
      <c r="L155" s="1443"/>
      <c r="M155" s="1443"/>
      <c r="N155" s="1443"/>
      <c r="O155" s="1443"/>
      <c r="P155" s="1443"/>
      <c r="Q155" s="1443"/>
      <c r="R155" s="1443"/>
      <c r="S155" s="1443"/>
      <c r="T155" s="1443"/>
      <c r="U155" s="1443"/>
      <c r="V155" s="1443"/>
      <c r="W155" s="1443"/>
      <c r="X155" s="1443"/>
      <c r="Y155" s="1443"/>
      <c r="Z155" s="1443"/>
      <c r="AA155" s="1443"/>
      <c r="AB155" s="1553" t="s">
        <v>684</v>
      </c>
      <c r="AC155" s="7474">
        <v>33</v>
      </c>
      <c r="AD155" s="7475"/>
      <c r="AE155" s="7473" t="str">
        <f>IF(AE147="","",SUM(AE150,-AE153))</f>
        <v/>
      </c>
      <c r="AF155" s="7473"/>
      <c r="AG155" s="7473"/>
      <c r="AH155" s="7473"/>
      <c r="AI155" s="7473"/>
      <c r="AJ155" s="7473"/>
      <c r="AK155" s="1228"/>
      <c r="BL155" s="2222"/>
      <c r="BM155" s="2222"/>
    </row>
    <row r="156" spans="1:65" ht="15" customHeight="1">
      <c r="A156" s="1228"/>
      <c r="B156" s="1443"/>
      <c r="C156" s="2239" t="s">
        <v>1407</v>
      </c>
      <c r="D156" s="3269" t="s">
        <v>1913</v>
      </c>
      <c r="E156" s="1443"/>
      <c r="F156" s="1443"/>
      <c r="G156" s="1443"/>
      <c r="H156" s="1443"/>
      <c r="I156" s="1443"/>
      <c r="J156" s="1443"/>
      <c r="K156" s="1443"/>
      <c r="L156" s="1443"/>
      <c r="M156" s="1443"/>
      <c r="N156" s="1443"/>
      <c r="O156" s="1443"/>
      <c r="P156" s="1443"/>
      <c r="Q156" s="1443"/>
      <c r="R156" s="1443"/>
      <c r="S156" s="1443"/>
      <c r="T156" s="1443"/>
      <c r="U156" s="7474">
        <v>34</v>
      </c>
      <c r="V156" s="7475"/>
      <c r="W156" s="7476"/>
      <c r="X156" s="7476"/>
      <c r="Y156" s="7476"/>
      <c r="Z156" s="7476"/>
      <c r="AA156" s="7476"/>
      <c r="AB156" s="7476"/>
      <c r="AC156" s="7477"/>
      <c r="AD156" s="7478"/>
      <c r="AE156" s="6789"/>
      <c r="AF156" s="5716"/>
      <c r="AG156" s="5716"/>
      <c r="AH156" s="5716"/>
      <c r="AI156" s="5716"/>
      <c r="AJ156" s="5716"/>
      <c r="AK156" s="1228"/>
      <c r="BL156" s="2222"/>
      <c r="BM156" s="2222"/>
    </row>
    <row r="157" spans="1:65" ht="15" customHeight="1" thickBot="1">
      <c r="A157" s="1228"/>
      <c r="B157" s="1443"/>
      <c r="C157" s="2239" t="s">
        <v>1414</v>
      </c>
      <c r="D157" s="3269" t="s">
        <v>2070</v>
      </c>
      <c r="E157" s="1443"/>
      <c r="F157" s="1443"/>
      <c r="G157" s="1443"/>
      <c r="H157" s="1443"/>
      <c r="I157" s="1443"/>
      <c r="J157" s="1443"/>
      <c r="K157" s="1443"/>
      <c r="L157" s="1443"/>
      <c r="M157" s="1443"/>
      <c r="N157" s="1443"/>
      <c r="O157" s="1443"/>
      <c r="P157" s="1443"/>
      <c r="Q157" s="1443"/>
      <c r="R157" s="1443"/>
      <c r="S157" s="1443"/>
      <c r="T157" s="1443"/>
      <c r="U157" s="1443"/>
      <c r="V157" s="1443"/>
      <c r="W157" s="1443"/>
      <c r="X157" s="1443"/>
      <c r="Y157" s="1443"/>
      <c r="Z157" s="1443"/>
      <c r="AA157" s="1443"/>
      <c r="AB157" s="1443"/>
      <c r="AC157" s="6764"/>
      <c r="AD157" s="6765"/>
      <c r="AE157" s="6764"/>
      <c r="AF157" s="5715"/>
      <c r="AG157" s="5715"/>
      <c r="AH157" s="5715"/>
      <c r="AI157" s="5715"/>
      <c r="AJ157" s="5715"/>
      <c r="AK157" s="1228"/>
      <c r="AM157" s="2254" t="s">
        <v>101</v>
      </c>
      <c r="BL157" s="2222"/>
      <c r="BM157" s="2222"/>
    </row>
    <row r="158" spans="1:65" ht="15" customHeight="1" thickBot="1">
      <c r="A158" s="1228"/>
      <c r="B158" s="1443"/>
      <c r="C158" s="1443"/>
      <c r="D158" s="3269" t="s">
        <v>2069</v>
      </c>
      <c r="E158" s="1443"/>
      <c r="F158" s="1443"/>
      <c r="G158" s="1443"/>
      <c r="H158" s="1443"/>
      <c r="I158" s="1443"/>
      <c r="J158" s="1443"/>
      <c r="K158" s="1443"/>
      <c r="L158" s="1443"/>
      <c r="M158" s="1443"/>
      <c r="N158" s="1443"/>
      <c r="O158" s="1443"/>
      <c r="P158" s="1443"/>
      <c r="Q158" s="1443"/>
      <c r="R158" s="1443"/>
      <c r="S158" s="1443"/>
      <c r="T158" s="1443"/>
      <c r="U158" s="1443"/>
      <c r="V158" s="1443"/>
      <c r="W158" s="1443"/>
      <c r="X158" s="1443"/>
      <c r="Y158" s="1443"/>
      <c r="Z158" s="1443"/>
      <c r="AA158" s="1443"/>
      <c r="AB158" s="1553" t="s">
        <v>1152</v>
      </c>
      <c r="AC158" s="7474">
        <v>35</v>
      </c>
      <c r="AD158" s="7475"/>
      <c r="AE158" s="2262"/>
      <c r="AF158" s="2262"/>
      <c r="AG158" s="2263" t="s">
        <v>1584</v>
      </c>
      <c r="AH158" s="7486" t="str">
        <f>IF(AM158&lt;&gt;"",ROUND(AM158,3),IF(D139="","",IF(ISERROR(W156/AE137),"---",IF(AE137&gt;0,ROUND(W156/AE137,3),""))))</f>
        <v/>
      </c>
      <c r="AI158" s="7487"/>
      <c r="AJ158" s="7487"/>
      <c r="AK158" s="1228"/>
      <c r="AM158" s="2267"/>
      <c r="BL158" s="2222"/>
      <c r="BM158" s="2222"/>
    </row>
    <row r="159" spans="1:65" ht="15" customHeight="1" thickBot="1">
      <c r="A159" s="1228"/>
      <c r="B159" s="1443"/>
      <c r="C159" s="2239" t="s">
        <v>1415</v>
      </c>
      <c r="D159" s="3269" t="s">
        <v>4461</v>
      </c>
      <c r="E159" s="1443"/>
      <c r="F159" s="1443"/>
      <c r="G159" s="1443"/>
      <c r="H159" s="1443"/>
      <c r="I159" s="1443"/>
      <c r="J159" s="1443"/>
      <c r="K159" s="1443"/>
      <c r="L159" s="1443"/>
      <c r="M159" s="1443"/>
      <c r="N159" s="1443"/>
      <c r="O159" s="1443"/>
      <c r="P159" s="1443"/>
      <c r="Q159" s="1443"/>
      <c r="R159" s="1443"/>
      <c r="S159" s="1443"/>
      <c r="T159" s="1443"/>
      <c r="U159" s="1443"/>
      <c r="V159" s="1443"/>
      <c r="W159" s="1443"/>
      <c r="X159" s="1443"/>
      <c r="Y159" s="1443"/>
      <c r="Z159" s="1443"/>
      <c r="AA159" s="1443"/>
      <c r="AB159" s="1443"/>
      <c r="AC159" s="6789"/>
      <c r="AD159" s="7479"/>
      <c r="AE159" s="6789"/>
      <c r="AF159" s="5716"/>
      <c r="AG159" s="5716"/>
      <c r="AH159" s="5716"/>
      <c r="AI159" s="5716"/>
      <c r="AJ159" s="5716"/>
      <c r="AK159" s="1228"/>
      <c r="BL159" s="2222"/>
      <c r="BM159" s="2222"/>
    </row>
    <row r="160" spans="1:65" ht="15" customHeight="1" thickBot="1">
      <c r="A160" s="1228"/>
      <c r="B160" s="1443"/>
      <c r="C160" s="1443"/>
      <c r="D160" s="3269" t="s">
        <v>1914</v>
      </c>
      <c r="E160" s="1443"/>
      <c r="F160" s="1443"/>
      <c r="G160" s="1443"/>
      <c r="H160" s="1443"/>
      <c r="I160" s="1443"/>
      <c r="J160" s="1443"/>
      <c r="K160" s="1443"/>
      <c r="L160" s="1443"/>
      <c r="M160" s="1443"/>
      <c r="N160" s="1443"/>
      <c r="O160" s="1443"/>
      <c r="P160" s="1443"/>
      <c r="Q160" s="1443"/>
      <c r="R160" s="1443"/>
      <c r="S160" s="1443"/>
      <c r="T160" s="1443"/>
      <c r="U160" s="1443"/>
      <c r="V160" s="1443"/>
      <c r="W160" s="1443"/>
      <c r="X160" s="1443"/>
      <c r="Y160" s="1443"/>
      <c r="Z160" s="1443"/>
      <c r="AA160" s="1443"/>
      <c r="AB160" s="1553" t="s">
        <v>1311</v>
      </c>
      <c r="AC160" s="7474">
        <v>36</v>
      </c>
      <c r="AD160" s="7475"/>
      <c r="AE160" s="7473">
        <f>IF(AM160&lt;&gt;"",ROUND(AM160,0),IF(D139="",0,IF(ISERROR(W156/AE137),"---",IF(W156="",0,MIN(W156,ROUND(AE155*AH158,0))))))</f>
        <v>0</v>
      </c>
      <c r="AF160" s="7473"/>
      <c r="AG160" s="7473"/>
      <c r="AH160" s="7473"/>
      <c r="AI160" s="7473"/>
      <c r="AJ160" s="7473"/>
      <c r="AK160" s="1228"/>
      <c r="AM160" s="2289"/>
      <c r="BL160" s="2222"/>
      <c r="BM160" s="2222"/>
    </row>
    <row r="161" spans="1:65" ht="15" customHeight="1">
      <c r="A161" s="1228"/>
      <c r="B161" s="1443"/>
      <c r="C161" s="1443"/>
      <c r="D161" s="3269" t="s">
        <v>4462</v>
      </c>
      <c r="E161" s="1443"/>
      <c r="F161" s="1443"/>
      <c r="G161" s="1443"/>
      <c r="H161" s="1443"/>
      <c r="I161" s="1443"/>
      <c r="J161" s="1443"/>
      <c r="K161" s="1443"/>
      <c r="L161" s="1443"/>
      <c r="M161" s="1443"/>
      <c r="N161" s="1443"/>
      <c r="O161" s="1443"/>
      <c r="P161" s="1443"/>
      <c r="Q161" s="1443"/>
      <c r="R161" s="1443"/>
      <c r="S161" s="1443"/>
      <c r="T161" s="1443"/>
      <c r="U161" s="1443"/>
      <c r="V161" s="1443"/>
      <c r="W161" s="1443"/>
      <c r="X161" s="1443"/>
      <c r="Y161" s="1443"/>
      <c r="Z161" s="1443"/>
      <c r="AA161" s="1443"/>
      <c r="AB161" s="1443"/>
      <c r="AC161" s="1443"/>
      <c r="AD161" s="1443"/>
      <c r="AE161" s="7505">
        <f>IF(AE160="---",0,AE160)</f>
        <v>0</v>
      </c>
      <c r="AF161" s="6425"/>
      <c r="AG161" s="6425"/>
      <c r="AH161" s="6425"/>
      <c r="AI161" s="6425"/>
      <c r="AJ161" s="6425"/>
      <c r="AK161" s="1228"/>
      <c r="BL161" s="2222"/>
      <c r="BM161" s="2222"/>
    </row>
    <row r="162" spans="1:65" ht="15" customHeight="1">
      <c r="A162" s="1228"/>
      <c r="B162" s="1443"/>
      <c r="C162" s="1443"/>
      <c r="D162" s="3269" t="s">
        <v>1915</v>
      </c>
      <c r="E162" s="1443"/>
      <c r="F162" s="1443"/>
      <c r="G162" s="1443"/>
      <c r="H162" s="1443"/>
      <c r="I162" s="1443"/>
      <c r="J162" s="1443"/>
      <c r="K162" s="1443"/>
      <c r="L162" s="1443"/>
      <c r="M162" s="1443"/>
      <c r="N162" s="1443"/>
      <c r="O162" s="1443"/>
      <c r="P162" s="1443"/>
      <c r="Q162" s="1443"/>
      <c r="R162" s="1443"/>
      <c r="S162" s="1443"/>
      <c r="T162" s="1443"/>
      <c r="U162" s="1443"/>
      <c r="V162" s="1443"/>
      <c r="W162" s="1443"/>
      <c r="X162" s="1443"/>
      <c r="Y162" s="1443"/>
      <c r="Z162" s="1443"/>
      <c r="AA162" s="1443"/>
      <c r="AB162" s="1443"/>
      <c r="AC162" s="1443"/>
      <c r="AD162" s="1443"/>
      <c r="AE162" s="1443"/>
      <c r="AF162" s="1443"/>
      <c r="AG162" s="1443"/>
      <c r="AH162" s="1443"/>
      <c r="AI162" s="1443"/>
      <c r="AJ162" s="1443"/>
      <c r="AK162" s="1228"/>
      <c r="BL162" s="2222"/>
      <c r="BM162" s="2222"/>
    </row>
    <row r="163" spans="1:65" ht="6.75" customHeight="1">
      <c r="A163" s="1228"/>
      <c r="B163" s="2201"/>
      <c r="C163" s="2201"/>
      <c r="D163" s="2201"/>
      <c r="E163" s="2201"/>
      <c r="F163" s="2201"/>
      <c r="G163" s="2201"/>
      <c r="H163" s="2201"/>
      <c r="I163" s="2201"/>
      <c r="J163" s="2201"/>
      <c r="K163" s="2201"/>
      <c r="L163" s="2201"/>
      <c r="M163" s="2201"/>
      <c r="N163" s="2201"/>
      <c r="O163" s="2201"/>
      <c r="P163" s="2201"/>
      <c r="Q163" s="2201"/>
      <c r="R163" s="2201"/>
      <c r="S163" s="2201"/>
      <c r="T163" s="2201"/>
      <c r="U163" s="2201"/>
      <c r="V163" s="2201"/>
      <c r="W163" s="2201"/>
      <c r="X163" s="2201"/>
      <c r="Y163" s="2201"/>
      <c r="Z163" s="2201"/>
      <c r="AA163" s="2201"/>
      <c r="AB163" s="2201"/>
      <c r="AC163" s="2201"/>
      <c r="AD163" s="2201"/>
      <c r="AE163" s="2201"/>
      <c r="AF163" s="2201"/>
      <c r="AG163" s="2201"/>
      <c r="AH163" s="2201"/>
      <c r="AI163" s="2201"/>
      <c r="AJ163" s="2201"/>
      <c r="AK163" s="1228"/>
    </row>
    <row r="164" spans="1:65" ht="15" customHeight="1">
      <c r="A164" s="1228"/>
      <c r="B164" s="7470" t="s">
        <v>1917</v>
      </c>
      <c r="C164" s="6273"/>
      <c r="D164" s="2207" t="s">
        <v>1916</v>
      </c>
      <c r="E164" s="2205"/>
      <c r="F164" s="2205"/>
      <c r="G164" s="2205"/>
      <c r="H164" s="2205"/>
      <c r="I164" s="2205"/>
      <c r="J164" s="2205"/>
      <c r="K164" s="2205"/>
      <c r="L164" s="2205"/>
      <c r="M164" s="2205"/>
      <c r="N164" s="2205"/>
      <c r="O164" s="2205"/>
      <c r="P164" s="2205"/>
      <c r="Q164" s="2205"/>
      <c r="R164" s="2205"/>
      <c r="S164" s="2205"/>
      <c r="T164" s="2205"/>
      <c r="U164" s="2205"/>
      <c r="V164" s="2205"/>
      <c r="W164" s="2205"/>
      <c r="X164" s="2205"/>
      <c r="Y164" s="2205"/>
      <c r="Z164" s="2205"/>
      <c r="AA164" s="2205"/>
      <c r="AB164" s="2205"/>
      <c r="AC164" s="2205"/>
      <c r="AD164" s="2205"/>
      <c r="AE164" s="7504" t="b">
        <f>IF(OR(ForeignIncExclusion&gt;0,ForeignHousingExclusion&gt;0,ForeignHousingDeduction&gt;0),TRUE,FALSE)</f>
        <v>0</v>
      </c>
      <c r="AF164" s="7203"/>
      <c r="AG164" s="7203"/>
      <c r="AH164" s="7203"/>
      <c r="AI164" s="7203"/>
      <c r="AJ164" s="7203"/>
      <c r="AK164" s="1228"/>
      <c r="AM164" s="2254" t="s">
        <v>101</v>
      </c>
    </row>
    <row r="165" spans="1:65" ht="6" customHeight="1" thickBot="1">
      <c r="A165" s="1228"/>
      <c r="B165" s="2206"/>
      <c r="C165" s="2206"/>
      <c r="D165" s="2206"/>
      <c r="E165" s="2206"/>
      <c r="F165" s="2206"/>
      <c r="G165" s="2206"/>
      <c r="H165" s="2206"/>
      <c r="I165" s="2206"/>
      <c r="J165" s="2206"/>
      <c r="K165" s="2206"/>
      <c r="L165" s="2206"/>
      <c r="M165" s="2206"/>
      <c r="N165" s="2206"/>
      <c r="O165" s="2206"/>
      <c r="P165" s="2206"/>
      <c r="Q165" s="2206"/>
      <c r="R165" s="2206"/>
      <c r="S165" s="2206"/>
      <c r="T165" s="2206"/>
      <c r="U165" s="2206"/>
      <c r="V165" s="2206"/>
      <c r="W165" s="2206"/>
      <c r="X165" s="2206"/>
      <c r="Y165" s="2206"/>
      <c r="Z165" s="2206"/>
      <c r="AA165" s="2206"/>
      <c r="AB165" s="2206"/>
      <c r="AC165" s="2206"/>
      <c r="AD165" s="2206"/>
      <c r="AE165" s="2206"/>
      <c r="AF165" s="2206"/>
      <c r="AG165" s="2206"/>
      <c r="AH165" s="2206"/>
      <c r="AI165" s="2206"/>
      <c r="AJ165" s="2206"/>
      <c r="AK165" s="1228"/>
    </row>
    <row r="166" spans="1:65" ht="15" customHeight="1" thickBot="1">
      <c r="A166" s="1228"/>
      <c r="B166" s="1443"/>
      <c r="C166" s="2239" t="s">
        <v>1919</v>
      </c>
      <c r="D166" s="3269" t="s">
        <v>1918</v>
      </c>
      <c r="E166" s="1443"/>
      <c r="F166" s="1443"/>
      <c r="G166" s="1443"/>
      <c r="H166" s="1443"/>
      <c r="I166" s="1443"/>
      <c r="J166" s="1443"/>
      <c r="K166" s="1443"/>
      <c r="L166" s="1443"/>
      <c r="M166" s="1443"/>
      <c r="N166" s="1443"/>
      <c r="O166" s="1443"/>
      <c r="P166" s="1443"/>
      <c r="Q166" s="1443"/>
      <c r="R166" s="1443"/>
      <c r="S166" s="1443"/>
      <c r="T166" s="1443"/>
      <c r="U166" s="1443"/>
      <c r="V166" s="1443"/>
      <c r="W166" s="1443"/>
      <c r="X166" s="1443"/>
      <c r="Y166" s="1443"/>
      <c r="Z166" s="1443"/>
      <c r="AA166" s="1443"/>
      <c r="AB166" s="1553" t="s">
        <v>1311</v>
      </c>
      <c r="AC166" s="7474">
        <v>37</v>
      </c>
      <c r="AD166" s="7475"/>
      <c r="AE166" s="7503">
        <f>IF(AM166&lt;&gt;"",ROUND(AM166,0),103900)</f>
        <v>103900</v>
      </c>
      <c r="AF166" s="7503"/>
      <c r="AG166" s="7503"/>
      <c r="AH166" s="7503"/>
      <c r="AI166" s="7503"/>
      <c r="AJ166" s="7503"/>
      <c r="AK166" s="1228"/>
      <c r="AM166" s="2268"/>
      <c r="BL166" s="2222"/>
      <c r="BM166" s="2222"/>
    </row>
    <row r="167" spans="1:65" ht="15" customHeight="1" thickBot="1">
      <c r="A167" s="1228"/>
      <c r="B167" s="1443"/>
      <c r="C167" s="2239" t="s">
        <v>1921</v>
      </c>
      <c r="D167" s="2264" t="s">
        <v>132</v>
      </c>
      <c r="E167" s="3269" t="s">
        <v>1920</v>
      </c>
      <c r="F167" s="1443"/>
      <c r="G167" s="1443"/>
      <c r="H167" s="1443"/>
      <c r="I167" s="1443"/>
      <c r="J167" s="1443"/>
      <c r="K167" s="1443"/>
      <c r="L167" s="1443"/>
      <c r="M167" s="1443"/>
      <c r="N167" s="1443"/>
      <c r="O167" s="1443"/>
      <c r="P167" s="1443"/>
      <c r="Q167" s="1443"/>
      <c r="R167" s="1443"/>
      <c r="S167" s="1443"/>
      <c r="T167" s="1443"/>
      <c r="U167" s="1443"/>
      <c r="V167" s="1443"/>
      <c r="W167" s="2379"/>
      <c r="X167" s="2379"/>
      <c r="Y167" s="2379"/>
      <c r="Z167" s="2379"/>
      <c r="AA167" s="1443"/>
      <c r="AB167" s="2261"/>
      <c r="AC167" s="2255"/>
      <c r="AD167" s="2256"/>
      <c r="AE167" s="1443"/>
      <c r="AF167" s="1443"/>
      <c r="AG167" s="1443"/>
      <c r="AH167" s="1443"/>
      <c r="AI167" s="1443"/>
      <c r="AJ167" s="1443"/>
      <c r="AK167" s="1228"/>
      <c r="AM167" s="2254" t="s">
        <v>101</v>
      </c>
      <c r="BL167" s="2222"/>
      <c r="BM167" s="2222"/>
    </row>
    <row r="168" spans="1:65" ht="15" customHeight="1" thickBot="1">
      <c r="A168" s="1228"/>
      <c r="B168" s="1443"/>
      <c r="C168" s="1443"/>
      <c r="D168" s="2264" t="s">
        <v>132</v>
      </c>
      <c r="E168" s="3269" t="s">
        <v>1922</v>
      </c>
      <c r="F168" s="1443"/>
      <c r="G168" s="1443"/>
      <c r="H168" s="1443"/>
      <c r="I168" s="1443"/>
      <c r="J168" s="1443"/>
      <c r="K168" s="1443"/>
      <c r="L168" s="1443"/>
      <c r="M168" s="1443"/>
      <c r="N168" s="1443"/>
      <c r="O168" s="1443"/>
      <c r="P168" s="1443"/>
      <c r="Q168" s="1443"/>
      <c r="R168" s="1443"/>
      <c r="S168" s="1443"/>
      <c r="T168" s="1443"/>
      <c r="U168" s="7474">
        <v>38</v>
      </c>
      <c r="V168" s="7475"/>
      <c r="W168" s="7488">
        <f>IF(AM168&lt;&gt;"",AM168,IF(D139&lt;&gt;"",W152,DaysInTaxYear))</f>
        <v>365</v>
      </c>
      <c r="X168" s="7489"/>
      <c r="Y168" s="7489"/>
      <c r="Z168" s="7489"/>
      <c r="AA168" s="5721" t="s">
        <v>1911</v>
      </c>
      <c r="AB168" s="5721"/>
      <c r="AC168" s="2257"/>
      <c r="AD168" s="2258"/>
      <c r="AE168" s="1443"/>
      <c r="AF168" s="1443"/>
      <c r="AG168" s="1443"/>
      <c r="AH168" s="1443"/>
      <c r="AI168" s="1443"/>
      <c r="AJ168" s="1443"/>
      <c r="AK168" s="1228"/>
      <c r="AM168" s="2268"/>
      <c r="BL168" s="2222"/>
      <c r="BM168" s="2222"/>
    </row>
    <row r="169" spans="1:65" ht="15" customHeight="1">
      <c r="A169" s="1228"/>
      <c r="B169" s="1443"/>
      <c r="C169" s="1443"/>
      <c r="D169" s="1443"/>
      <c r="E169" s="3269" t="str">
        <f>"fall within your "&amp;TaxYear&amp;" tax year (see the instructions for line 31)."</f>
        <v>fall within your 2018 tax year (see the instructions for line 31).</v>
      </c>
      <c r="F169" s="1443"/>
      <c r="G169" s="1443"/>
      <c r="H169" s="1443"/>
      <c r="I169" s="1443"/>
      <c r="J169" s="1443"/>
      <c r="K169" s="1443"/>
      <c r="L169" s="1443"/>
      <c r="M169" s="1443"/>
      <c r="N169" s="1443"/>
      <c r="O169" s="1443"/>
      <c r="P169" s="1443"/>
      <c r="Q169" s="1443"/>
      <c r="R169" s="1443"/>
      <c r="S169" s="1443"/>
      <c r="T169" s="1443"/>
      <c r="U169" s="1443"/>
      <c r="V169" s="1443"/>
      <c r="W169" s="1443"/>
      <c r="X169" s="1443"/>
      <c r="Y169" s="1443"/>
      <c r="Z169" s="1443"/>
      <c r="AA169" s="1443"/>
      <c r="AB169" s="1443"/>
      <c r="AC169" s="1965"/>
      <c r="AD169" s="1966"/>
      <c r="AE169" s="1443"/>
      <c r="AF169" s="1443"/>
      <c r="AG169" s="1443"/>
      <c r="AH169" s="1443"/>
      <c r="AI169" s="1443"/>
      <c r="AJ169" s="1443"/>
      <c r="AK169" s="1228"/>
      <c r="BL169" s="2222"/>
      <c r="BM169" s="2222"/>
    </row>
    <row r="170" spans="1:65" ht="15" customHeight="1">
      <c r="A170" s="1228"/>
      <c r="B170" s="1443"/>
      <c r="C170" s="2239" t="s">
        <v>1925</v>
      </c>
      <c r="D170" s="2264" t="s">
        <v>132</v>
      </c>
      <c r="E170" s="3269" t="str">
        <f>"If line 38 and the number of days in your "&amp;TaxYear&amp;" tax year (usually "&amp;TEXT(DaysInTaxYear,"0")&amp;") are the same, enter “1.000.”"</f>
        <v>If line 38 and the number of days in your 2018 tax year (usually 365) are the same, enter “1.000.”</v>
      </c>
      <c r="F170" s="1443"/>
      <c r="G170" s="1443"/>
      <c r="H170" s="1443"/>
      <c r="I170" s="1443"/>
      <c r="J170" s="1443"/>
      <c r="K170" s="1443"/>
      <c r="L170" s="1443"/>
      <c r="M170" s="1443"/>
      <c r="N170" s="1443"/>
      <c r="O170" s="1443"/>
      <c r="P170" s="1443"/>
      <c r="Q170" s="1443"/>
      <c r="R170" s="1443"/>
      <c r="S170" s="1443"/>
      <c r="T170" s="1443"/>
      <c r="U170" s="1443"/>
      <c r="V170" s="1443"/>
      <c r="W170" s="1443"/>
      <c r="X170" s="1443"/>
      <c r="Y170" s="1443"/>
      <c r="Z170" s="1443"/>
      <c r="AA170" s="1443"/>
      <c r="AB170" s="1443"/>
      <c r="AC170" s="1965"/>
      <c r="AD170" s="1966"/>
      <c r="AE170" s="1443"/>
      <c r="AF170" s="1443"/>
      <c r="AG170" s="1443"/>
      <c r="AH170" s="1443"/>
      <c r="AI170" s="1443"/>
      <c r="AJ170" s="1443"/>
      <c r="AK170" s="1228"/>
      <c r="BL170" s="2222"/>
      <c r="BM170" s="2222"/>
    </row>
    <row r="171" spans="1:65" ht="15" customHeight="1" thickBot="1">
      <c r="A171" s="1228"/>
      <c r="B171" s="1443"/>
      <c r="C171" s="1443"/>
      <c r="D171" s="2264" t="s">
        <v>132</v>
      </c>
      <c r="E171" s="3269" t="str">
        <f>"Otherwise, divide line 38 by the number of days in your "&amp;TaxYear&amp;" tax year and enter the result as"</f>
        <v>Otherwise, divide line 38 by the number of days in your 2018 tax year and enter the result as</v>
      </c>
      <c r="F171" s="1443"/>
      <c r="G171" s="1443"/>
      <c r="H171" s="1443"/>
      <c r="I171" s="1443"/>
      <c r="J171" s="1443"/>
      <c r="K171" s="1443"/>
      <c r="L171" s="1443"/>
      <c r="M171" s="1443"/>
      <c r="N171" s="1443"/>
      <c r="O171" s="1443"/>
      <c r="P171" s="1443"/>
      <c r="Q171" s="1443"/>
      <c r="R171" s="1443"/>
      <c r="S171" s="1443"/>
      <c r="T171" s="1443"/>
      <c r="U171" s="1443"/>
      <c r="V171" s="1443"/>
      <c r="W171" s="1443"/>
      <c r="X171" s="1443"/>
      <c r="Y171" s="1443"/>
      <c r="Z171" s="1443"/>
      <c r="AA171" s="1443"/>
      <c r="AB171" s="1443"/>
      <c r="AC171" s="7474">
        <v>39</v>
      </c>
      <c r="AD171" s="7475"/>
      <c r="AE171" s="2262"/>
      <c r="AF171" s="2262"/>
      <c r="AG171" s="2263" t="s">
        <v>1584</v>
      </c>
      <c r="AH171" s="7486">
        <f>IF(W168="","",IF(ISERROR(W168/AM172),"---",ROUND(W168/AM172,3)))</f>
        <v>1</v>
      </c>
      <c r="AI171" s="7487"/>
      <c r="AJ171" s="7487"/>
      <c r="AK171" s="1228"/>
      <c r="BL171" s="2222"/>
      <c r="BM171" s="2222"/>
    </row>
    <row r="172" spans="1:65" ht="15" customHeight="1" thickBot="1">
      <c r="A172" s="1228"/>
      <c r="B172" s="1443"/>
      <c r="C172" s="1443"/>
      <c r="D172" s="1443"/>
      <c r="E172" s="3269" t="s">
        <v>1923</v>
      </c>
      <c r="F172" s="1443"/>
      <c r="G172" s="1443"/>
      <c r="H172" s="1443"/>
      <c r="I172" s="1443"/>
      <c r="J172" s="1443"/>
      <c r="K172" s="1443"/>
      <c r="L172" s="1443"/>
      <c r="M172" s="1443"/>
      <c r="N172" s="1443"/>
      <c r="O172" s="1443"/>
      <c r="P172" s="1443"/>
      <c r="Q172" s="1443"/>
      <c r="R172" s="1443"/>
      <c r="S172" s="1443"/>
      <c r="T172" s="1443"/>
      <c r="U172" s="1443"/>
      <c r="V172" s="1443"/>
      <c r="W172" s="1443"/>
      <c r="X172" s="1443"/>
      <c r="Y172" s="1443"/>
      <c r="Z172" s="1443"/>
      <c r="AA172" s="1443"/>
      <c r="AB172" s="1443"/>
      <c r="AC172" s="6789"/>
      <c r="AD172" s="7479"/>
      <c r="AE172" s="6789"/>
      <c r="AF172" s="5716"/>
      <c r="AG172" s="5716"/>
      <c r="AH172" s="5716"/>
      <c r="AI172" s="5716"/>
      <c r="AJ172" s="5716"/>
      <c r="AK172" s="1228"/>
      <c r="AM172" s="2268">
        <f>DaysInTaxYear</f>
        <v>365</v>
      </c>
      <c r="BL172" s="2222"/>
      <c r="BM172" s="2222"/>
    </row>
    <row r="173" spans="1:65" ht="15" customHeight="1">
      <c r="A173" s="1228"/>
      <c r="B173" s="1443"/>
      <c r="C173" s="2239" t="s">
        <v>1926</v>
      </c>
      <c r="D173" s="3269" t="s">
        <v>1924</v>
      </c>
      <c r="E173" s="1443"/>
      <c r="F173" s="1443"/>
      <c r="G173" s="1443"/>
      <c r="H173" s="1443"/>
      <c r="I173" s="1443"/>
      <c r="J173" s="1443"/>
      <c r="K173" s="1443"/>
      <c r="L173" s="1443"/>
      <c r="M173" s="1443"/>
      <c r="N173" s="1443"/>
      <c r="O173" s="1443"/>
      <c r="P173" s="1443"/>
      <c r="Q173" s="1443"/>
      <c r="R173" s="1443"/>
      <c r="S173" s="1443"/>
      <c r="T173" s="1443"/>
      <c r="U173" s="1443"/>
      <c r="V173" s="1443"/>
      <c r="W173" s="1443"/>
      <c r="X173" s="1443"/>
      <c r="Y173" s="1443"/>
      <c r="Z173" s="1443"/>
      <c r="AA173" s="1443"/>
      <c r="AB173" s="1553" t="s">
        <v>635</v>
      </c>
      <c r="AC173" s="7474">
        <v>40</v>
      </c>
      <c r="AD173" s="7475"/>
      <c r="AE173" s="7473">
        <f>IF(AH171="---","",ROUND(AE166*AH171,0))</f>
        <v>103900</v>
      </c>
      <c r="AF173" s="7473"/>
      <c r="AG173" s="7473"/>
      <c r="AH173" s="7473"/>
      <c r="AI173" s="7473"/>
      <c r="AJ173" s="7473"/>
      <c r="AK173" s="1228"/>
      <c r="AM173" s="2208" t="s">
        <v>1948</v>
      </c>
      <c r="BL173" s="2222"/>
      <c r="BM173" s="2222"/>
    </row>
    <row r="174" spans="1:65" ht="15" customHeight="1">
      <c r="A174" s="1228"/>
      <c r="B174" s="1443"/>
      <c r="C174" s="2239" t="s">
        <v>1928</v>
      </c>
      <c r="D174" s="3269" t="s">
        <v>1927</v>
      </c>
      <c r="E174" s="1443"/>
      <c r="F174" s="1443"/>
      <c r="G174" s="1443"/>
      <c r="H174" s="1443"/>
      <c r="I174" s="1443"/>
      <c r="J174" s="1443"/>
      <c r="K174" s="1443"/>
      <c r="L174" s="1443"/>
      <c r="M174" s="1443"/>
      <c r="N174" s="1443"/>
      <c r="O174" s="1443"/>
      <c r="P174" s="1443"/>
      <c r="Q174" s="1443"/>
      <c r="R174" s="1443"/>
      <c r="S174" s="1443"/>
      <c r="T174" s="1443"/>
      <c r="U174" s="1443"/>
      <c r="V174" s="1443"/>
      <c r="W174" s="1443"/>
      <c r="X174" s="1443"/>
      <c r="Y174" s="1443"/>
      <c r="Z174" s="1443"/>
      <c r="AA174" s="1443"/>
      <c r="AB174" s="1553" t="s">
        <v>1152</v>
      </c>
      <c r="AC174" s="7474">
        <v>41</v>
      </c>
      <c r="AD174" s="7475"/>
      <c r="AE174" s="7473">
        <f>IF(AH171="---","",SUM(AE137,-AE161))</f>
        <v>0</v>
      </c>
      <c r="AF174" s="7473"/>
      <c r="AG174" s="7473"/>
      <c r="AH174" s="7473"/>
      <c r="AI174" s="7473"/>
      <c r="AJ174" s="7473"/>
      <c r="AK174" s="1228"/>
      <c r="AM174" s="2208" t="s">
        <v>1949</v>
      </c>
      <c r="BL174" s="2222"/>
      <c r="BM174" s="2222"/>
    </row>
    <row r="175" spans="1:65" ht="15" customHeight="1">
      <c r="A175" s="1228"/>
      <c r="B175" s="1443"/>
      <c r="C175" s="2239" t="s">
        <v>1929</v>
      </c>
      <c r="D175" s="3269" t="s">
        <v>4463</v>
      </c>
      <c r="E175" s="1443"/>
      <c r="F175" s="1443"/>
      <c r="G175" s="1443"/>
      <c r="H175" s="1443"/>
      <c r="I175" s="1443"/>
      <c r="J175" s="1443"/>
      <c r="K175" s="1443"/>
      <c r="L175" s="1443"/>
      <c r="M175" s="1443"/>
      <c r="N175" s="1443"/>
      <c r="O175" s="1443"/>
      <c r="P175" s="1443"/>
      <c r="Q175" s="1443"/>
      <c r="R175" s="1443"/>
      <c r="S175" s="1443"/>
      <c r="T175" s="1443"/>
      <c r="U175" s="1443"/>
      <c r="V175" s="1443"/>
      <c r="W175" s="1443"/>
      <c r="X175" s="1443"/>
      <c r="Y175" s="1443"/>
      <c r="Z175" s="1443"/>
      <c r="AA175" s="1443"/>
      <c r="AB175" s="1443"/>
      <c r="AC175" s="7474">
        <v>42</v>
      </c>
      <c r="AD175" s="7475"/>
      <c r="AE175" s="7473">
        <f>IF(AH171="",0,IF(AE174="",0,MIN(AE173,AE174)))</f>
        <v>0</v>
      </c>
      <c r="AF175" s="7473"/>
      <c r="AG175" s="7473"/>
      <c r="AH175" s="7473"/>
      <c r="AI175" s="7473"/>
      <c r="AJ175" s="7473"/>
      <c r="AK175" s="1228"/>
      <c r="BL175" s="2222"/>
      <c r="BM175" s="2222"/>
    </row>
    <row r="176" spans="1:65" ht="6.75" customHeight="1">
      <c r="A176" s="1228"/>
      <c r="B176" s="2201"/>
      <c r="C176" s="2201"/>
      <c r="D176" s="2201"/>
      <c r="E176" s="2201"/>
      <c r="F176" s="2201"/>
      <c r="G176" s="2201"/>
      <c r="H176" s="2201"/>
      <c r="I176" s="2201"/>
      <c r="J176" s="2201"/>
      <c r="K176" s="2201"/>
      <c r="L176" s="2201"/>
      <c r="M176" s="2201"/>
      <c r="N176" s="2201"/>
      <c r="O176" s="2201"/>
      <c r="P176" s="2201"/>
      <c r="Q176" s="2201"/>
      <c r="R176" s="2201"/>
      <c r="S176" s="2201"/>
      <c r="T176" s="2201"/>
      <c r="U176" s="2201"/>
      <c r="V176" s="2201"/>
      <c r="W176" s="2201"/>
      <c r="X176" s="2201"/>
      <c r="Y176" s="2201"/>
      <c r="Z176" s="2201"/>
      <c r="AA176" s="2201"/>
      <c r="AB176" s="2201"/>
      <c r="AC176" s="2201"/>
      <c r="AD176" s="2201"/>
      <c r="AE176" s="2201"/>
      <c r="AF176" s="2201"/>
      <c r="AG176" s="2201"/>
      <c r="AH176" s="2201"/>
      <c r="AI176" s="2201"/>
      <c r="AJ176" s="2201"/>
      <c r="AK176" s="1228"/>
    </row>
    <row r="177" spans="1:65" ht="15" customHeight="1">
      <c r="A177" s="1228"/>
      <c r="B177" s="7470" t="s">
        <v>1930</v>
      </c>
      <c r="C177" s="6273"/>
      <c r="D177" s="2207" t="s">
        <v>1931</v>
      </c>
      <c r="E177" s="2205"/>
      <c r="F177" s="2205"/>
      <c r="G177" s="2205"/>
      <c r="H177" s="2205"/>
      <c r="I177" s="2205"/>
      <c r="J177" s="2205"/>
      <c r="K177" s="2205"/>
      <c r="L177" s="2205"/>
      <c r="M177" s="2205"/>
      <c r="N177" s="2205"/>
      <c r="O177" s="2205"/>
      <c r="P177" s="2205"/>
      <c r="Q177" s="2205"/>
      <c r="R177" s="2205"/>
      <c r="S177" s="2205"/>
      <c r="T177" s="2205"/>
      <c r="U177" s="2205"/>
      <c r="V177" s="2205"/>
      <c r="W177" s="2205"/>
      <c r="X177" s="2205"/>
      <c r="Y177" s="2205"/>
      <c r="Z177" s="2205"/>
      <c r="AA177" s="2205"/>
      <c r="AB177" s="2205"/>
      <c r="AC177" s="2205"/>
      <c r="AD177" s="2205"/>
      <c r="AE177" s="2205"/>
      <c r="AF177" s="2205"/>
      <c r="AG177" s="2205"/>
      <c r="AH177" s="2205"/>
      <c r="AI177" s="2205"/>
      <c r="AJ177" s="2205"/>
      <c r="AK177" s="1228"/>
    </row>
    <row r="178" spans="1:65" ht="6" customHeight="1">
      <c r="A178" s="1228"/>
      <c r="B178" s="2206"/>
      <c r="C178" s="2206"/>
      <c r="D178" s="2206"/>
      <c r="E178" s="2206"/>
      <c r="F178" s="2206"/>
      <c r="G178" s="2206"/>
      <c r="H178" s="2206"/>
      <c r="I178" s="2206"/>
      <c r="J178" s="2206"/>
      <c r="K178" s="2206"/>
      <c r="L178" s="2206"/>
      <c r="M178" s="2206"/>
      <c r="N178" s="2206"/>
      <c r="O178" s="2206"/>
      <c r="P178" s="2206"/>
      <c r="Q178" s="2206"/>
      <c r="R178" s="2206"/>
      <c r="S178" s="2206"/>
      <c r="T178" s="2206"/>
      <c r="U178" s="2206"/>
      <c r="V178" s="2206"/>
      <c r="W178" s="2206"/>
      <c r="X178" s="2206"/>
      <c r="Y178" s="2206"/>
      <c r="Z178" s="2206"/>
      <c r="AA178" s="2206"/>
      <c r="AB178" s="2206"/>
      <c r="AC178" s="2206"/>
      <c r="AD178" s="2206"/>
      <c r="AE178" s="2206"/>
      <c r="AF178" s="2206"/>
      <c r="AG178" s="2206"/>
      <c r="AH178" s="2206"/>
      <c r="AI178" s="2206"/>
      <c r="AJ178" s="2206"/>
      <c r="AK178" s="1228"/>
    </row>
    <row r="179" spans="1:65" ht="15" customHeight="1">
      <c r="A179" s="1228"/>
      <c r="B179" s="1443"/>
      <c r="C179" s="2239" t="s">
        <v>1933</v>
      </c>
      <c r="D179" s="3269" t="s">
        <v>1932</v>
      </c>
      <c r="E179" s="1443"/>
      <c r="F179" s="1443"/>
      <c r="G179" s="1443"/>
      <c r="H179" s="1443"/>
      <c r="I179" s="1443"/>
      <c r="J179" s="1443"/>
      <c r="K179" s="1443"/>
      <c r="L179" s="1443"/>
      <c r="M179" s="1443"/>
      <c r="N179" s="1443"/>
      <c r="O179" s="1443"/>
      <c r="P179" s="1443"/>
      <c r="Q179" s="1443"/>
      <c r="R179" s="1443"/>
      <c r="S179" s="1443"/>
      <c r="T179" s="1443"/>
      <c r="U179" s="1443"/>
      <c r="V179" s="1443"/>
      <c r="W179" s="1443"/>
      <c r="X179" s="1443"/>
      <c r="Y179" s="1443"/>
      <c r="Z179" s="1443"/>
      <c r="AA179" s="1443"/>
      <c r="AB179" s="1553" t="s">
        <v>1953</v>
      </c>
      <c r="AC179" s="7474">
        <v>43</v>
      </c>
      <c r="AD179" s="7475"/>
      <c r="AE179" s="7473">
        <f>SUM(AE160,AE175)</f>
        <v>0</v>
      </c>
      <c r="AF179" s="7473"/>
      <c r="AG179" s="7473"/>
      <c r="AH179" s="7473"/>
      <c r="AI179" s="7473"/>
      <c r="AJ179" s="7473"/>
      <c r="AK179" s="1228"/>
      <c r="BL179" s="2222"/>
      <c r="BM179" s="2222"/>
    </row>
    <row r="180" spans="1:65" ht="15" customHeight="1">
      <c r="A180" s="1228"/>
      <c r="B180" s="1443"/>
      <c r="C180" s="2239" t="s">
        <v>1935</v>
      </c>
      <c r="D180" s="3269" t="s">
        <v>1934</v>
      </c>
      <c r="E180" s="1443"/>
      <c r="F180" s="1443"/>
      <c r="G180" s="1443"/>
      <c r="H180" s="1443"/>
      <c r="I180" s="1443"/>
      <c r="J180" s="1443"/>
      <c r="K180" s="1443"/>
      <c r="L180" s="1443"/>
      <c r="M180" s="1443"/>
      <c r="N180" s="1443"/>
      <c r="O180" s="1443"/>
      <c r="P180" s="1443"/>
      <c r="Q180" s="1443"/>
      <c r="R180" s="1443"/>
      <c r="S180" s="1443"/>
      <c r="T180" s="1443"/>
      <c r="U180" s="1443"/>
      <c r="V180" s="1443"/>
      <c r="W180" s="1443"/>
      <c r="X180" s="1443"/>
      <c r="Y180" s="1443"/>
      <c r="Z180" s="1443"/>
      <c r="AA180" s="1443"/>
      <c r="AB180" s="1443"/>
      <c r="AC180" s="6789"/>
      <c r="AD180" s="7479"/>
      <c r="AE180" s="6789"/>
      <c r="AF180" s="5716"/>
      <c r="AG180" s="5716"/>
      <c r="AH180" s="5716"/>
      <c r="AI180" s="5716"/>
      <c r="AJ180" s="5716"/>
      <c r="AK180" s="1228"/>
      <c r="BL180" s="2222"/>
      <c r="BM180" s="2222"/>
    </row>
    <row r="181" spans="1:65" ht="15" customHeight="1">
      <c r="A181" s="1228"/>
      <c r="B181" s="1443"/>
      <c r="C181" s="1443"/>
      <c r="D181" s="3269" t="s">
        <v>1936</v>
      </c>
      <c r="E181" s="1443"/>
      <c r="F181" s="1443"/>
      <c r="G181" s="1443"/>
      <c r="H181" s="1443"/>
      <c r="I181" s="1443"/>
      <c r="J181" s="1443"/>
      <c r="K181" s="1443"/>
      <c r="L181" s="1443"/>
      <c r="M181" s="1443"/>
      <c r="N181" s="1443"/>
      <c r="O181" s="1443"/>
      <c r="P181" s="1443"/>
      <c r="Q181" s="1443"/>
      <c r="R181" s="1443"/>
      <c r="S181" s="1443"/>
      <c r="T181" s="1443"/>
      <c r="U181" s="1443"/>
      <c r="V181" s="1443"/>
      <c r="W181" s="1443"/>
      <c r="X181" s="1443"/>
      <c r="Y181" s="1443"/>
      <c r="Z181" s="1443"/>
      <c r="AA181" s="1443"/>
      <c r="AB181" s="1553" t="s">
        <v>677</v>
      </c>
      <c r="AC181" s="7474">
        <v>44</v>
      </c>
      <c r="AD181" s="7475"/>
      <c r="AE181" s="7476"/>
      <c r="AF181" s="7476"/>
      <c r="AG181" s="7476"/>
      <c r="AH181" s="7476"/>
      <c r="AI181" s="7476"/>
      <c r="AJ181" s="7476"/>
      <c r="AK181" s="1228"/>
      <c r="BL181" s="2222"/>
      <c r="BM181" s="2222"/>
    </row>
    <row r="182" spans="1:65" ht="15" customHeight="1">
      <c r="A182" s="1228"/>
      <c r="B182" s="1443"/>
      <c r="C182" s="2239" t="s">
        <v>1937</v>
      </c>
      <c r="D182" s="3269" t="s">
        <v>4464</v>
      </c>
      <c r="E182" s="1443"/>
      <c r="F182" s="1443"/>
      <c r="G182" s="1443"/>
      <c r="H182" s="1443"/>
      <c r="I182" s="1443"/>
      <c r="J182" s="1443"/>
      <c r="K182" s="1443"/>
      <c r="L182" s="1443"/>
      <c r="M182" s="1443"/>
      <c r="N182" s="1443"/>
      <c r="O182" s="1443"/>
      <c r="P182" s="1443"/>
      <c r="Q182" s="1443"/>
      <c r="R182" s="1443"/>
      <c r="S182" s="1443"/>
      <c r="T182" s="1443"/>
      <c r="U182" s="1443"/>
      <c r="V182" s="1443"/>
      <c r="W182" s="1443"/>
      <c r="X182" s="1443"/>
      <c r="Y182" s="1443"/>
      <c r="Z182" s="1443"/>
      <c r="AA182" s="1443"/>
      <c r="AB182" s="1443"/>
      <c r="AC182" s="6789"/>
      <c r="AD182" s="7479"/>
      <c r="AE182" s="6789"/>
      <c r="AF182" s="5716"/>
      <c r="AG182" s="5716"/>
      <c r="AH182" s="5716"/>
      <c r="AI182" s="5716"/>
      <c r="AJ182" s="5716"/>
      <c r="AK182" s="1228"/>
      <c r="BL182" s="2222"/>
      <c r="BM182" s="2222"/>
    </row>
    <row r="183" spans="1:65" ht="15" customHeight="1" thickBot="1">
      <c r="A183" s="1228"/>
      <c r="B183" s="1443"/>
      <c r="C183" s="1443"/>
      <c r="D183" s="3269" t="s">
        <v>4466</v>
      </c>
      <c r="E183" s="1443"/>
      <c r="F183" s="1443"/>
      <c r="G183" s="1443"/>
      <c r="H183" s="1443"/>
      <c r="I183" s="1443"/>
      <c r="J183" s="1443"/>
      <c r="K183" s="1443"/>
      <c r="L183" s="1443"/>
      <c r="M183" s="1443"/>
      <c r="N183" s="1443"/>
      <c r="O183" s="1443"/>
      <c r="P183" s="1443"/>
      <c r="Q183" s="1443"/>
      <c r="R183" s="1443"/>
      <c r="S183" s="1443"/>
      <c r="T183" s="1443"/>
      <c r="U183" s="1443"/>
      <c r="V183" s="1443"/>
      <c r="W183" s="1443"/>
      <c r="X183" s="1443"/>
      <c r="Y183" s="1443"/>
      <c r="Z183" s="1443"/>
      <c r="AA183" s="1443"/>
      <c r="AB183" s="1443"/>
      <c r="AC183" s="6764"/>
      <c r="AD183" s="6765"/>
      <c r="AE183" s="7496"/>
      <c r="AF183" s="7497"/>
      <c r="AG183" s="7498"/>
      <c r="AH183" s="7498"/>
      <c r="AI183" s="7498"/>
      <c r="AJ183" s="7498"/>
      <c r="AK183" s="1228"/>
      <c r="AM183" s="2254" t="s">
        <v>101</v>
      </c>
      <c r="BL183" s="2222"/>
      <c r="BM183" s="2222"/>
    </row>
    <row r="184" spans="1:65" ht="15" customHeight="1" thickBot="1">
      <c r="A184" s="1228"/>
      <c r="B184" s="1443"/>
      <c r="C184" s="1443"/>
      <c r="D184" s="3269" t="s">
        <v>4465</v>
      </c>
      <c r="E184" s="1443"/>
      <c r="F184" s="1443"/>
      <c r="G184" s="1443"/>
      <c r="H184" s="1443"/>
      <c r="I184" s="1443"/>
      <c r="J184" s="1443"/>
      <c r="K184" s="1443"/>
      <c r="L184" s="1443"/>
      <c r="M184" s="1443"/>
      <c r="N184" s="1443"/>
      <c r="O184" s="1443"/>
      <c r="P184" s="1443"/>
      <c r="Q184" s="1443"/>
      <c r="R184" s="1443"/>
      <c r="S184" s="1443"/>
      <c r="T184" s="1443"/>
      <c r="U184" s="1443"/>
      <c r="V184" s="1443"/>
      <c r="W184" s="1443"/>
      <c r="X184" s="1443"/>
      <c r="Y184" s="1443"/>
      <c r="Z184" s="1443"/>
      <c r="AA184" s="1443"/>
      <c r="AB184" s="1553" t="s">
        <v>2322</v>
      </c>
      <c r="AC184" s="7474">
        <v>45</v>
      </c>
      <c r="AD184" s="7475"/>
      <c r="AE184" s="7473">
        <f>IF(AM184&lt;&gt;"",ROUND(AM184,0),IF(AE179=0,0,SUM(AE179,-AE181)))</f>
        <v>0</v>
      </c>
      <c r="AF184" s="7473"/>
      <c r="AG184" s="7473"/>
      <c r="AH184" s="7473"/>
      <c r="AI184" s="7473"/>
      <c r="AJ184" s="7473"/>
      <c r="AK184" s="1228"/>
      <c r="AM184" s="2289"/>
      <c r="BL184" s="2222"/>
      <c r="BM184" s="2222"/>
    </row>
    <row r="185" spans="1:65" ht="7.5" customHeight="1">
      <c r="A185" s="1228"/>
      <c r="B185" s="2201"/>
      <c r="C185" s="2201"/>
      <c r="D185" s="7499" t="s">
        <v>1939</v>
      </c>
      <c r="E185" s="7500"/>
      <c r="F185" s="7500"/>
      <c r="G185" s="7500"/>
      <c r="H185" s="7500"/>
      <c r="I185" s="7500"/>
      <c r="J185" s="7500"/>
      <c r="K185" s="7500"/>
      <c r="L185" s="7500"/>
      <c r="M185" s="7500"/>
      <c r="N185" s="7500"/>
      <c r="O185" s="7500"/>
      <c r="P185" s="7500"/>
      <c r="Q185" s="7500"/>
      <c r="R185" s="7500"/>
      <c r="S185" s="7500"/>
      <c r="T185" s="7500"/>
      <c r="U185" s="7500"/>
      <c r="V185" s="7500"/>
      <c r="W185" s="7500"/>
      <c r="X185" s="7500"/>
      <c r="Y185" s="7500"/>
      <c r="Z185" s="7500"/>
      <c r="AA185" s="7500"/>
      <c r="AB185" s="7500"/>
      <c r="AC185" s="7500"/>
      <c r="AD185" s="7500"/>
      <c r="AE185" s="7500"/>
      <c r="AF185" s="7500"/>
      <c r="AG185" s="7500"/>
      <c r="AH185" s="7500"/>
      <c r="AI185" s="7500"/>
      <c r="AJ185" s="7500"/>
      <c r="AK185" s="1228"/>
    </row>
    <row r="186" spans="1:65" ht="15" customHeight="1">
      <c r="A186" s="1228"/>
      <c r="B186" s="7470" t="s">
        <v>1938</v>
      </c>
      <c r="C186" s="6273"/>
      <c r="D186" s="7501"/>
      <c r="E186" s="7501"/>
      <c r="F186" s="7501"/>
      <c r="G186" s="7501"/>
      <c r="H186" s="7501"/>
      <c r="I186" s="7501"/>
      <c r="J186" s="7501"/>
      <c r="K186" s="7501"/>
      <c r="L186" s="7501"/>
      <c r="M186" s="7501"/>
      <c r="N186" s="7501"/>
      <c r="O186" s="7501"/>
      <c r="P186" s="7501"/>
      <c r="Q186" s="7501"/>
      <c r="R186" s="7501"/>
      <c r="S186" s="7501"/>
      <c r="T186" s="7501"/>
      <c r="U186" s="7501"/>
      <c r="V186" s="7501"/>
      <c r="W186" s="7501"/>
      <c r="X186" s="7501"/>
      <c r="Y186" s="7501"/>
      <c r="Z186" s="7501"/>
      <c r="AA186" s="7501"/>
      <c r="AB186" s="7501"/>
      <c r="AC186" s="7501"/>
      <c r="AD186" s="7501"/>
      <c r="AE186" s="7501"/>
      <c r="AF186" s="7501"/>
      <c r="AG186" s="7501"/>
      <c r="AH186" s="7501"/>
      <c r="AI186" s="7501"/>
      <c r="AJ186" s="7501"/>
      <c r="AK186" s="1228"/>
    </row>
    <row r="187" spans="1:65" ht="7.5" customHeight="1">
      <c r="A187" s="1228"/>
      <c r="B187" s="2206"/>
      <c r="C187" s="2206"/>
      <c r="D187" s="7502"/>
      <c r="E187" s="7502"/>
      <c r="F187" s="7502"/>
      <c r="G187" s="7502"/>
      <c r="H187" s="7502"/>
      <c r="I187" s="7502"/>
      <c r="J187" s="7502"/>
      <c r="K187" s="7502"/>
      <c r="L187" s="7502"/>
      <c r="M187" s="7502"/>
      <c r="N187" s="7502"/>
      <c r="O187" s="7502"/>
      <c r="P187" s="7502"/>
      <c r="Q187" s="7502"/>
      <c r="R187" s="7502"/>
      <c r="S187" s="7502"/>
      <c r="T187" s="7502"/>
      <c r="U187" s="7502"/>
      <c r="V187" s="7502"/>
      <c r="W187" s="7502"/>
      <c r="X187" s="7502"/>
      <c r="Y187" s="7502"/>
      <c r="Z187" s="7502"/>
      <c r="AA187" s="7502"/>
      <c r="AB187" s="7502"/>
      <c r="AC187" s="7502"/>
      <c r="AD187" s="7502"/>
      <c r="AE187" s="7502"/>
      <c r="AF187" s="7502"/>
      <c r="AG187" s="7502"/>
      <c r="AH187" s="7502"/>
      <c r="AI187" s="7502"/>
      <c r="AJ187" s="7502"/>
      <c r="AK187" s="1228"/>
    </row>
    <row r="188" spans="1:65" ht="15" customHeight="1">
      <c r="A188" s="1228"/>
      <c r="B188" s="1443"/>
      <c r="C188" s="2239" t="s">
        <v>1942</v>
      </c>
      <c r="D188" s="3269" t="s">
        <v>1940</v>
      </c>
      <c r="E188" s="1443"/>
      <c r="F188" s="1443"/>
      <c r="G188" s="1443"/>
      <c r="H188" s="1443"/>
      <c r="I188" s="1443"/>
      <c r="J188" s="1443"/>
      <c r="K188" s="1443"/>
      <c r="L188" s="1443"/>
      <c r="M188" s="1443"/>
      <c r="N188" s="1443"/>
      <c r="O188" s="1443"/>
      <c r="P188" s="1443"/>
      <c r="Q188" s="1443"/>
      <c r="R188" s="1443"/>
      <c r="S188" s="1443"/>
      <c r="T188" s="1443"/>
      <c r="U188" s="1443"/>
      <c r="V188" s="1443"/>
      <c r="W188" s="1443"/>
      <c r="X188" s="1443"/>
      <c r="Y188" s="1443"/>
      <c r="Z188" s="1443"/>
      <c r="AA188" s="1443"/>
      <c r="AB188" s="1553" t="s">
        <v>1152</v>
      </c>
      <c r="AC188" s="7474">
        <v>46</v>
      </c>
      <c r="AD188" s="7475"/>
      <c r="AE188" s="7473" t="str">
        <f>IF(OR(AE155="",AE155&lt;0),"",SUM(AE155,-AE160))</f>
        <v/>
      </c>
      <c r="AF188" s="7473"/>
      <c r="AG188" s="7473"/>
      <c r="AH188" s="7473"/>
      <c r="AI188" s="7473"/>
      <c r="AJ188" s="7473"/>
      <c r="AK188" s="1228"/>
      <c r="BL188" s="2222"/>
      <c r="BM188" s="2222"/>
    </row>
    <row r="189" spans="1:65" ht="15" customHeight="1">
      <c r="A189" s="1228"/>
      <c r="B189" s="1443"/>
      <c r="C189" s="2239" t="s">
        <v>1943</v>
      </c>
      <c r="D189" s="3269" t="s">
        <v>1941</v>
      </c>
      <c r="E189" s="1443"/>
      <c r="F189" s="1443"/>
      <c r="G189" s="1443"/>
      <c r="H189" s="1443"/>
      <c r="I189" s="1443"/>
      <c r="J189" s="1443"/>
      <c r="K189" s="1443"/>
      <c r="L189" s="1443"/>
      <c r="M189" s="1443"/>
      <c r="N189" s="1443"/>
      <c r="O189" s="1443"/>
      <c r="P189" s="1443"/>
      <c r="Q189" s="1443"/>
      <c r="R189" s="1443"/>
      <c r="S189" s="1443"/>
      <c r="T189" s="1443"/>
      <c r="U189" s="1443"/>
      <c r="V189" s="1443"/>
      <c r="W189" s="1443"/>
      <c r="X189" s="1443"/>
      <c r="Y189" s="1443"/>
      <c r="Z189" s="1443"/>
      <c r="AA189" s="1443"/>
      <c r="AB189" s="1553" t="s">
        <v>1152</v>
      </c>
      <c r="AC189" s="7474">
        <v>47</v>
      </c>
      <c r="AD189" s="7475"/>
      <c r="AE189" s="7473" t="str">
        <f>IF(OR(D139="",AE155&lt;0),"",SUM(AE137,-AE179))</f>
        <v/>
      </c>
      <c r="AF189" s="7473"/>
      <c r="AG189" s="7473"/>
      <c r="AH189" s="7473"/>
      <c r="AI189" s="7473"/>
      <c r="AJ189" s="7473"/>
      <c r="AK189" s="1228"/>
      <c r="BL189" s="2222"/>
      <c r="BM189" s="2222"/>
    </row>
    <row r="190" spans="1:65" ht="15" customHeight="1">
      <c r="A190" s="1228"/>
      <c r="B190" s="1443"/>
      <c r="C190" s="2239" t="s">
        <v>1944</v>
      </c>
      <c r="D190" s="3269" t="s">
        <v>4467</v>
      </c>
      <c r="E190" s="1443"/>
      <c r="F190" s="1443"/>
      <c r="G190" s="1443"/>
      <c r="H190" s="1443"/>
      <c r="I190" s="1443"/>
      <c r="J190" s="1443"/>
      <c r="K190" s="1443"/>
      <c r="L190" s="1443"/>
      <c r="M190" s="1443"/>
      <c r="N190" s="1443"/>
      <c r="O190" s="1443"/>
      <c r="P190" s="1443"/>
      <c r="Q190" s="1443"/>
      <c r="R190" s="1443"/>
      <c r="S190" s="1443"/>
      <c r="T190" s="1443"/>
      <c r="U190" s="1443"/>
      <c r="V190" s="1443"/>
      <c r="W190" s="1443"/>
      <c r="X190" s="1443"/>
      <c r="Y190" s="1443"/>
      <c r="Z190" s="1443"/>
      <c r="AA190" s="1443"/>
      <c r="AB190" s="1553" t="s">
        <v>190</v>
      </c>
      <c r="AC190" s="7474">
        <v>48</v>
      </c>
      <c r="AD190" s="7475"/>
      <c r="AE190" s="7473" t="str">
        <f>IF(OR(D139="",AE155&lt;0),"",MIN(AE188,AE189))</f>
        <v/>
      </c>
      <c r="AF190" s="7473"/>
      <c r="AG190" s="7473"/>
      <c r="AH190" s="7473"/>
      <c r="AI190" s="7473"/>
      <c r="AJ190" s="7473"/>
      <c r="AK190" s="1228"/>
      <c r="BL190" s="2222"/>
      <c r="BM190" s="2222"/>
    </row>
    <row r="191" spans="1:65" ht="15" customHeight="1">
      <c r="A191" s="1228"/>
      <c r="B191" s="1443"/>
      <c r="C191" s="1443"/>
      <c r="D191" s="3269" t="s">
        <v>4468</v>
      </c>
      <c r="E191" s="1443"/>
      <c r="F191" s="1443"/>
      <c r="G191" s="1443"/>
      <c r="H191" s="1443"/>
      <c r="I191" s="1443"/>
      <c r="J191" s="1443"/>
      <c r="K191" s="1443"/>
      <c r="L191" s="1443"/>
      <c r="M191" s="1443"/>
      <c r="N191" s="1443"/>
      <c r="O191" s="1443"/>
      <c r="P191" s="1443"/>
      <c r="Q191" s="1443"/>
      <c r="R191" s="1443"/>
      <c r="S191" s="1443"/>
      <c r="T191" s="3269" t="str">
        <f>"all of your "&amp;TaxYear-1&amp;" housing deduction"</f>
        <v>all of your 2017 housing deduction</v>
      </c>
      <c r="U191" s="1443"/>
      <c r="V191" s="1443"/>
      <c r="W191" s="1443"/>
      <c r="X191" s="1443"/>
      <c r="Y191" s="1443"/>
      <c r="Z191" s="1443"/>
      <c r="AA191" s="1443"/>
      <c r="AB191" s="1443"/>
      <c r="AC191" s="7477"/>
      <c r="AD191" s="7478"/>
      <c r="AE191" s="6789"/>
      <c r="AF191" s="5716"/>
      <c r="AG191" s="5716"/>
      <c r="AH191" s="5716"/>
      <c r="AI191" s="5716"/>
      <c r="AJ191" s="5716"/>
      <c r="AK191" s="1228"/>
      <c r="BL191" s="2222"/>
      <c r="BM191" s="2222"/>
    </row>
    <row r="192" spans="1:65" ht="15" customHeight="1">
      <c r="A192" s="1228"/>
      <c r="B192" s="1443"/>
      <c r="C192" s="1443"/>
      <c r="D192" s="3269" t="str">
        <f>"because of the "&amp;TaxYear-1&amp;" limit, use the housing deduction carryover worksheet in the instructions to"</f>
        <v>because of the 2017 limit, use the housing deduction carryover worksheet in the instructions to</v>
      </c>
      <c r="E192" s="1443"/>
      <c r="F192" s="1443"/>
      <c r="G192" s="1443"/>
      <c r="H192" s="1443"/>
      <c r="I192" s="1443"/>
      <c r="J192" s="1443"/>
      <c r="K192" s="1443"/>
      <c r="L192" s="1443"/>
      <c r="M192" s="1443"/>
      <c r="N192" s="1443"/>
      <c r="O192" s="1443"/>
      <c r="P192" s="1443"/>
      <c r="Q192" s="1443"/>
      <c r="R192" s="1443"/>
      <c r="S192" s="1443"/>
      <c r="T192" s="1443"/>
      <c r="U192" s="1443"/>
      <c r="V192" s="1443"/>
      <c r="W192" s="1443"/>
      <c r="X192" s="1443"/>
      <c r="Y192" s="1443"/>
      <c r="Z192" s="1443"/>
      <c r="AA192" s="1443"/>
      <c r="AB192" s="1443"/>
      <c r="AC192" s="7494"/>
      <c r="AD192" s="7495"/>
      <c r="AE192" s="6764"/>
      <c r="AF192" s="5715"/>
      <c r="AG192" s="5715"/>
      <c r="AH192" s="5715"/>
      <c r="AI192" s="5715"/>
      <c r="AJ192" s="5715"/>
      <c r="AK192" s="1228"/>
      <c r="BL192" s="2222"/>
      <c r="BM192" s="2222"/>
    </row>
    <row r="193" spans="1:74" ht="15" customHeight="1">
      <c r="A193" s="1228"/>
      <c r="B193" s="1443"/>
      <c r="C193" s="1443"/>
      <c r="D193" s="3269" t="s">
        <v>1945</v>
      </c>
      <c r="E193" s="1443"/>
      <c r="F193" s="1443"/>
      <c r="G193" s="1443"/>
      <c r="H193" s="1443"/>
      <c r="I193" s="1443"/>
      <c r="J193" s="1443"/>
      <c r="K193" s="1443"/>
      <c r="L193" s="1443"/>
      <c r="M193" s="1443"/>
      <c r="N193" s="1443"/>
      <c r="O193" s="1443"/>
      <c r="P193" s="1443"/>
      <c r="Q193" s="1443"/>
      <c r="R193" s="1443"/>
      <c r="S193" s="1443"/>
      <c r="T193" s="1443"/>
      <c r="U193" s="1443"/>
      <c r="V193" s="1443"/>
      <c r="W193" s="1443"/>
      <c r="X193" s="1443"/>
      <c r="Y193" s="1443"/>
      <c r="Z193" s="1443"/>
      <c r="AA193" s="1443"/>
      <c r="AB193" s="1443"/>
      <c r="AC193" s="7494"/>
      <c r="AD193" s="7495"/>
      <c r="AE193" s="6764"/>
      <c r="AF193" s="5715"/>
      <c r="AG193" s="5715"/>
      <c r="AH193" s="5715"/>
      <c r="AI193" s="5715"/>
      <c r="AJ193" s="5715"/>
      <c r="AK193" s="1228"/>
      <c r="BL193" s="2222"/>
      <c r="BM193" s="2222"/>
    </row>
    <row r="194" spans="1:74" ht="15" customHeight="1">
      <c r="A194" s="1228"/>
      <c r="B194" s="1443"/>
      <c r="C194" s="2239" t="s">
        <v>1946</v>
      </c>
      <c r="D194" s="3269" t="str">
        <f>"Housing deduction carryover from "&amp;TaxYear-1&amp;" (from the housing deduction carryover worksheet in"</f>
        <v>Housing deduction carryover from 2017 (from the housing deduction carryover worksheet in</v>
      </c>
      <c r="E194" s="1443"/>
      <c r="F194" s="1443"/>
      <c r="G194" s="1443"/>
      <c r="H194" s="1443"/>
      <c r="I194" s="1443"/>
      <c r="J194" s="1443"/>
      <c r="K194" s="1443"/>
      <c r="L194" s="1443"/>
      <c r="M194" s="1443"/>
      <c r="N194" s="1443"/>
      <c r="O194" s="1443"/>
      <c r="P194" s="1443"/>
      <c r="Q194" s="1443"/>
      <c r="R194" s="1443"/>
      <c r="S194" s="1443"/>
      <c r="T194" s="1443"/>
      <c r="U194" s="1443"/>
      <c r="V194" s="1443"/>
      <c r="W194" s="1443"/>
      <c r="X194" s="1443"/>
      <c r="Y194" s="1443"/>
      <c r="Z194" s="1443"/>
      <c r="AA194" s="1443"/>
      <c r="AB194" s="1443"/>
      <c r="AC194" s="7494"/>
      <c r="AD194" s="7495"/>
      <c r="AE194" s="6764"/>
      <c r="AF194" s="5715"/>
      <c r="AG194" s="5715"/>
      <c r="AH194" s="5715"/>
      <c r="AI194" s="5715"/>
      <c r="AJ194" s="5715"/>
      <c r="AK194" s="1228"/>
      <c r="BL194" s="2222"/>
      <c r="BM194" s="2222"/>
    </row>
    <row r="195" spans="1:74" ht="15" customHeight="1">
      <c r="A195" s="1228"/>
      <c r="B195" s="1443"/>
      <c r="C195" s="1443"/>
      <c r="D195" s="3269" t="s">
        <v>4472</v>
      </c>
      <c r="E195" s="1443"/>
      <c r="F195" s="1443"/>
      <c r="G195" s="1443"/>
      <c r="H195" s="1443"/>
      <c r="I195" s="1443"/>
      <c r="J195" s="1443"/>
      <c r="K195" s="1443"/>
      <c r="L195" s="1443"/>
      <c r="M195" s="1443"/>
      <c r="N195" s="1443"/>
      <c r="O195" s="1443"/>
      <c r="P195" s="1443"/>
      <c r="Q195" s="1443"/>
      <c r="R195" s="1443"/>
      <c r="S195" s="1443"/>
      <c r="T195" s="1443"/>
      <c r="U195" s="1443"/>
      <c r="V195" s="1443"/>
      <c r="W195" s="1443"/>
      <c r="X195" s="1443"/>
      <c r="Y195" s="1443"/>
      <c r="Z195" s="1443"/>
      <c r="AA195" s="1443"/>
      <c r="AB195" s="1553" t="s">
        <v>1954</v>
      </c>
      <c r="AC195" s="7474">
        <v>49</v>
      </c>
      <c r="AD195" s="7475"/>
      <c r="AE195" s="7476"/>
      <c r="AF195" s="7476"/>
      <c r="AG195" s="7476"/>
      <c r="AH195" s="7476"/>
      <c r="AI195" s="7476"/>
      <c r="AJ195" s="7476"/>
      <c r="AK195" s="1228"/>
      <c r="BL195" s="2222"/>
      <c r="BM195" s="2222"/>
    </row>
    <row r="196" spans="1:74" ht="15" customHeight="1">
      <c r="A196" s="1228"/>
      <c r="B196" s="1443"/>
      <c r="C196" s="2239" t="s">
        <v>1947</v>
      </c>
      <c r="D196" s="3269" t="s">
        <v>4469</v>
      </c>
      <c r="E196" s="1443"/>
      <c r="F196" s="1443"/>
      <c r="G196" s="1443"/>
      <c r="H196" s="1443"/>
      <c r="I196" s="1443"/>
      <c r="J196" s="1443"/>
      <c r="K196" s="1443"/>
      <c r="L196" s="1443"/>
      <c r="M196" s="1443"/>
      <c r="N196" s="1443"/>
      <c r="O196" s="1443"/>
      <c r="P196" s="1443"/>
      <c r="Q196" s="1443"/>
      <c r="R196" s="1443"/>
      <c r="S196" s="1443"/>
      <c r="T196" s="1443"/>
      <c r="U196" s="1443"/>
      <c r="V196" s="1443"/>
      <c r="W196" s="1443"/>
      <c r="X196" s="1443"/>
      <c r="Y196" s="1443"/>
      <c r="Z196" s="1443"/>
      <c r="AA196" s="1443"/>
      <c r="AB196" s="1443"/>
      <c r="AC196" s="6789"/>
      <c r="AD196" s="7479"/>
      <c r="AE196" s="6789"/>
      <c r="AF196" s="5716"/>
      <c r="AG196" s="5716"/>
      <c r="AH196" s="5716"/>
      <c r="AI196" s="5716"/>
      <c r="AJ196" s="5716"/>
      <c r="AK196" s="1228"/>
      <c r="BL196" s="2222"/>
      <c r="BM196" s="2222"/>
    </row>
    <row r="197" spans="1:74" ht="15" customHeight="1" thickBot="1">
      <c r="A197" s="1228"/>
      <c r="B197" s="1443"/>
      <c r="C197" s="1443"/>
      <c r="D197" s="3269" t="s">
        <v>4470</v>
      </c>
      <c r="E197" s="1443"/>
      <c r="F197" s="1443"/>
      <c r="G197" s="1443"/>
      <c r="H197" s="1443"/>
      <c r="I197" s="1443"/>
      <c r="J197" s="1443"/>
      <c r="K197" s="1443"/>
      <c r="L197" s="1443"/>
      <c r="M197" s="1443"/>
      <c r="N197" s="1443"/>
      <c r="O197" s="1443"/>
      <c r="P197" s="1443"/>
      <c r="Q197" s="1443"/>
      <c r="R197" s="1443"/>
      <c r="S197" s="1443"/>
      <c r="T197" s="1443"/>
      <c r="U197" s="1443"/>
      <c r="V197" s="1443"/>
      <c r="W197" s="1443"/>
      <c r="X197" s="1443"/>
      <c r="Y197" s="1443"/>
      <c r="Z197" s="1443"/>
      <c r="AA197" s="1443"/>
      <c r="AB197" s="1443"/>
      <c r="AC197" s="6764"/>
      <c r="AD197" s="6765"/>
      <c r="AE197" s="6764"/>
      <c r="AF197" s="5715"/>
      <c r="AG197" s="5715"/>
      <c r="AH197" s="5715"/>
      <c r="AI197" s="5715"/>
      <c r="AJ197" s="5715"/>
      <c r="AK197" s="1228"/>
      <c r="AM197" s="2254" t="s">
        <v>101</v>
      </c>
      <c r="BL197" s="2222"/>
      <c r="BM197" s="2222"/>
    </row>
    <row r="198" spans="1:74" ht="15" customHeight="1" thickBot="1">
      <c r="A198" s="1228"/>
      <c r="B198" s="1443"/>
      <c r="C198" s="1443"/>
      <c r="D198" s="3269" t="s">
        <v>4471</v>
      </c>
      <c r="E198" s="1443"/>
      <c r="F198" s="1443"/>
      <c r="G198" s="1443"/>
      <c r="H198" s="1443"/>
      <c r="I198" s="1443"/>
      <c r="J198" s="1443"/>
      <c r="K198" s="1443"/>
      <c r="L198" s="1443"/>
      <c r="M198" s="1443"/>
      <c r="N198" s="1443"/>
      <c r="O198" s="1443"/>
      <c r="P198" s="1443"/>
      <c r="Q198" s="1443"/>
      <c r="R198" s="1443"/>
      <c r="S198" s="1443"/>
      <c r="T198" s="1443"/>
      <c r="U198" s="1443"/>
      <c r="V198" s="1443"/>
      <c r="W198" s="1443"/>
      <c r="X198" s="1443"/>
      <c r="Y198" s="1443"/>
      <c r="Z198" s="1443"/>
      <c r="AA198" s="1443"/>
      <c r="AB198" s="1553" t="s">
        <v>492</v>
      </c>
      <c r="AC198" s="7474">
        <v>50</v>
      </c>
      <c r="AD198" s="7475"/>
      <c r="AE198" s="7473">
        <f>IF(AM198&lt;&gt;"",ROUND(AM198,0),IF(AE155&lt;0,"",IF(D139="",0,SUM(AE190,AE195))))</f>
        <v>0</v>
      </c>
      <c r="AF198" s="7473"/>
      <c r="AG198" s="7473"/>
      <c r="AH198" s="7473"/>
      <c r="AI198" s="7473"/>
      <c r="AJ198" s="7473"/>
      <c r="AK198" s="1228"/>
      <c r="AM198" s="2289"/>
      <c r="BL198" s="2222"/>
      <c r="BM198" s="2222"/>
    </row>
    <row r="199" spans="1:74" ht="13.5" thickTop="1">
      <c r="A199" s="1228"/>
      <c r="B199" s="1702"/>
      <c r="C199" s="1702"/>
      <c r="D199" s="1702"/>
      <c r="E199" s="1702"/>
      <c r="F199" s="1702"/>
      <c r="G199" s="1702"/>
      <c r="H199" s="1702"/>
      <c r="I199" s="1702"/>
      <c r="J199" s="1702"/>
      <c r="K199" s="1702"/>
      <c r="L199" s="1702"/>
      <c r="M199" s="1702"/>
      <c r="N199" s="1702"/>
      <c r="O199" s="1702"/>
      <c r="P199" s="1702"/>
      <c r="Q199" s="1702"/>
      <c r="R199" s="1702"/>
      <c r="S199" s="1702"/>
      <c r="T199" s="1702"/>
      <c r="U199" s="1702"/>
      <c r="V199" s="1702"/>
      <c r="W199" s="1702"/>
      <c r="X199" s="1702"/>
      <c r="Y199" s="1702"/>
      <c r="Z199" s="1702"/>
      <c r="AA199" s="1702"/>
      <c r="AB199" s="1702"/>
      <c r="AC199" s="1702"/>
      <c r="AD199" s="1702"/>
      <c r="AE199" s="1702"/>
      <c r="AF199" s="1702"/>
      <c r="AG199" s="1702"/>
      <c r="AH199" s="1702"/>
      <c r="AI199" s="2259"/>
      <c r="AJ199" s="2259" t="str">
        <f>"Form 2555 ("&amp;TaxYear&amp;")"</f>
        <v>Form 2555 (2018)</v>
      </c>
      <c r="AK199" s="1228"/>
      <c r="AO199" s="2228"/>
      <c r="AP199" s="2229"/>
      <c r="BL199" s="2222"/>
      <c r="BM199" s="2222"/>
      <c r="BO199" s="2222"/>
      <c r="BP199" s="2222"/>
      <c r="BQ199" s="2222"/>
      <c r="BR199" s="2222"/>
      <c r="BS199" s="2222"/>
      <c r="BT199" s="2222"/>
      <c r="BU199" s="2222"/>
      <c r="BV199" s="2222"/>
    </row>
    <row r="200" spans="1:74">
      <c r="A200" s="1228"/>
      <c r="B200" s="1228"/>
      <c r="C200" s="1228"/>
      <c r="D200" s="1228"/>
      <c r="E200" s="1228"/>
      <c r="F200" s="1228"/>
      <c r="G200" s="1228"/>
      <c r="H200" s="1228"/>
      <c r="I200" s="1228"/>
      <c r="J200" s="1228"/>
      <c r="K200" s="1228"/>
      <c r="L200" s="1228"/>
      <c r="M200" s="1228"/>
      <c r="N200" s="1228"/>
      <c r="O200" s="1228"/>
      <c r="P200" s="1228"/>
      <c r="Q200" s="1228"/>
      <c r="R200" s="1228"/>
      <c r="S200" s="1228"/>
      <c r="T200" s="1228"/>
      <c r="U200" s="1228"/>
      <c r="V200" s="1228"/>
      <c r="W200" s="1228"/>
      <c r="X200" s="1228"/>
      <c r="Y200" s="1228"/>
      <c r="Z200" s="1228"/>
      <c r="AA200" s="1228"/>
      <c r="AB200" s="1228"/>
      <c r="AC200" s="1228"/>
      <c r="AD200" s="1228"/>
      <c r="AE200" s="1228"/>
      <c r="AF200" s="1228"/>
      <c r="AG200" s="1228"/>
      <c r="AH200" s="1228"/>
      <c r="AI200" s="1228"/>
      <c r="AJ200" s="1228"/>
      <c r="AK200" s="1228"/>
      <c r="BL200" s="2222"/>
      <c r="BM200" s="2222"/>
    </row>
    <row r="201" spans="1:74">
      <c r="BL201" s="2222"/>
      <c r="BM201" s="2222"/>
    </row>
    <row r="202" spans="1:74">
      <c r="BL202" s="2222"/>
      <c r="BM202" s="2222"/>
    </row>
    <row r="203" spans="1:74">
      <c r="BL203" s="2222"/>
      <c r="BM203" s="2222"/>
    </row>
    <row r="204" spans="1:74">
      <c r="BL204" s="2222"/>
      <c r="BM204" s="2222"/>
    </row>
    <row r="205" spans="1:74">
      <c r="BL205" s="2222"/>
      <c r="BM205" s="2222"/>
    </row>
    <row r="206" spans="1:74">
      <c r="BL206" s="2222"/>
      <c r="BM206" s="2222"/>
    </row>
    <row r="207" spans="1:74">
      <c r="BL207" s="2222"/>
      <c r="BM207" s="2222"/>
    </row>
    <row r="208" spans="1:74">
      <c r="BL208" s="2222"/>
      <c r="BM208" s="2222"/>
    </row>
    <row r="209" spans="64:65">
      <c r="BL209" s="2222"/>
      <c r="BM209" s="2222"/>
    </row>
    <row r="210" spans="64:65">
      <c r="BL210" s="2222"/>
      <c r="BM210" s="2222"/>
    </row>
    <row r="211" spans="64:65">
      <c r="BL211" s="2222"/>
      <c r="BM211" s="2222"/>
    </row>
    <row r="212" spans="64:65">
      <c r="BL212" s="2222"/>
      <c r="BM212" s="2222"/>
    </row>
    <row r="213" spans="64:65">
      <c r="BL213" s="2222"/>
      <c r="BM213" s="2222"/>
    </row>
    <row r="214" spans="64:65">
      <c r="BL214" s="2222"/>
      <c r="BM214" s="2222"/>
    </row>
    <row r="215" spans="64:65">
      <c r="BL215" s="2222"/>
      <c r="BM215" s="2222"/>
    </row>
    <row r="216" spans="64:65">
      <c r="BL216" s="2222"/>
      <c r="BM216" s="2222"/>
    </row>
    <row r="217" spans="64:65">
      <c r="BL217" s="2222"/>
      <c r="BM217" s="2222"/>
    </row>
    <row r="218" spans="64:65">
      <c r="BL218" s="2222"/>
      <c r="BM218" s="2222"/>
    </row>
    <row r="219" spans="64:65">
      <c r="BL219" s="2222"/>
      <c r="BM219" s="2222"/>
    </row>
    <row r="220" spans="64:65">
      <c r="BL220" s="2222"/>
      <c r="BM220" s="2222"/>
    </row>
    <row r="221" spans="64:65">
      <c r="BL221" s="2222"/>
      <c r="BM221" s="2222"/>
    </row>
    <row r="222" spans="64:65">
      <c r="BL222" s="2222"/>
      <c r="BM222" s="2222"/>
    </row>
    <row r="223" spans="64:65">
      <c r="BL223" s="2222"/>
      <c r="BM223" s="2222"/>
    </row>
    <row r="224" spans="64:65">
      <c r="BL224" s="2222"/>
      <c r="BM224" s="2222"/>
    </row>
    <row r="225" spans="64:65">
      <c r="BL225" s="2222"/>
      <c r="BM225" s="2222"/>
    </row>
    <row r="226" spans="64:65">
      <c r="BL226" s="2222"/>
      <c r="BM226" s="2222"/>
    </row>
    <row r="227" spans="64:65">
      <c r="BL227" s="2222"/>
      <c r="BM227" s="2222"/>
    </row>
    <row r="228" spans="64:65">
      <c r="BL228" s="2222"/>
      <c r="BM228" s="2222"/>
    </row>
    <row r="229" spans="64:65">
      <c r="BL229" s="2222"/>
      <c r="BM229" s="2222"/>
    </row>
    <row r="230" spans="64:65">
      <c r="BL230" s="2222"/>
      <c r="BM230" s="2222"/>
    </row>
    <row r="231" spans="64:65">
      <c r="BL231" s="2222"/>
      <c r="BM231" s="2222"/>
    </row>
    <row r="232" spans="64:65">
      <c r="BL232" s="2222"/>
      <c r="BM232" s="2222"/>
    </row>
    <row r="233" spans="64:65">
      <c r="BL233" s="2222"/>
      <c r="BM233" s="2222"/>
    </row>
    <row r="234" spans="64:65">
      <c r="BL234" s="2222"/>
      <c r="BM234" s="2222"/>
    </row>
    <row r="235" spans="64:65">
      <c r="BL235" s="2222"/>
      <c r="BM235" s="2222"/>
    </row>
    <row r="236" spans="64:65">
      <c r="BL236" s="2222"/>
      <c r="BM236" s="2222"/>
    </row>
    <row r="237" spans="64:65">
      <c r="BL237" s="2222"/>
      <c r="BM237" s="2222"/>
    </row>
    <row r="238" spans="64:65">
      <c r="BL238" s="2222"/>
      <c r="BM238" s="2222"/>
    </row>
    <row r="239" spans="64:65">
      <c r="BL239" s="2222"/>
      <c r="BM239" s="2222"/>
    </row>
    <row r="240" spans="64:65">
      <c r="BL240" s="2222"/>
      <c r="BM240" s="2222"/>
    </row>
    <row r="241" spans="64:65">
      <c r="BL241" s="2222"/>
      <c r="BM241" s="2222"/>
    </row>
    <row r="242" spans="64:65">
      <c r="BL242" s="2222"/>
      <c r="BM242" s="2222"/>
    </row>
    <row r="243" spans="64:65">
      <c r="BM243" s="2222"/>
    </row>
    <row r="244" spans="64:65">
      <c r="BM244" s="2222"/>
    </row>
  </sheetData>
  <sheetProtection password="F07E" sheet="1" objects="1" scenarios="1"/>
  <mergeCells count="337">
    <mergeCell ref="B12:C12"/>
    <mergeCell ref="B39:C39"/>
    <mergeCell ref="B75:C75"/>
    <mergeCell ref="B89:C89"/>
    <mergeCell ref="B134:C134"/>
    <mergeCell ref="B144:C144"/>
    <mergeCell ref="B164:C164"/>
    <mergeCell ref="B177:C177"/>
    <mergeCell ref="I6:AB6"/>
    <mergeCell ref="B15:X15"/>
    <mergeCell ref="Y15:AJ15"/>
    <mergeCell ref="I16:AJ16"/>
    <mergeCell ref="K17:AJ17"/>
    <mergeCell ref="K18:AJ18"/>
    <mergeCell ref="AC106:AD106"/>
    <mergeCell ref="AE106:AJ106"/>
    <mergeCell ref="AC107:AD107"/>
    <mergeCell ref="AE107:AF107"/>
    <mergeCell ref="B85:M85"/>
    <mergeCell ref="N85:R85"/>
    <mergeCell ref="S85:W85"/>
    <mergeCell ref="T77:Z77"/>
    <mergeCell ref="AD77:AJ77"/>
    <mergeCell ref="T64:AJ64"/>
    <mergeCell ref="AD6:AG6"/>
    <mergeCell ref="B9:X10"/>
    <mergeCell ref="Y9:AJ10"/>
    <mergeCell ref="D2:G3"/>
    <mergeCell ref="I2:AB3"/>
    <mergeCell ref="AC2:AJ2"/>
    <mergeCell ref="B3:C3"/>
    <mergeCell ref="AC3:AJ4"/>
    <mergeCell ref="I5:AB5"/>
    <mergeCell ref="AD5:AG5"/>
    <mergeCell ref="AH5:AI6"/>
    <mergeCell ref="Z62:AJ62"/>
    <mergeCell ref="D63:AJ63"/>
    <mergeCell ref="B61:E61"/>
    <mergeCell ref="F61:I61"/>
    <mergeCell ref="B58:E58"/>
    <mergeCell ref="F58:I58"/>
    <mergeCell ref="J58:M58"/>
    <mergeCell ref="N58:R58"/>
    <mergeCell ref="S58:V58"/>
    <mergeCell ref="AA58:AD58"/>
    <mergeCell ref="AE58:AJ58"/>
    <mergeCell ref="B59:E59"/>
    <mergeCell ref="F59:I59"/>
    <mergeCell ref="J59:M59"/>
    <mergeCell ref="N59:R59"/>
    <mergeCell ref="S59:V59"/>
    <mergeCell ref="W59:Z59"/>
    <mergeCell ref="AA59:AD59"/>
    <mergeCell ref="W58:Z58"/>
    <mergeCell ref="J61:M61"/>
    <mergeCell ref="N61:R61"/>
    <mergeCell ref="S61:V61"/>
    <mergeCell ref="W61:Z61"/>
    <mergeCell ref="AA61:AD61"/>
    <mergeCell ref="J57:M57"/>
    <mergeCell ref="N57:R57"/>
    <mergeCell ref="S57:V57"/>
    <mergeCell ref="W57:Z57"/>
    <mergeCell ref="AA57:AD57"/>
    <mergeCell ref="AE57:AJ57"/>
    <mergeCell ref="D20:H22"/>
    <mergeCell ref="L41:T41"/>
    <mergeCell ref="Y41:AJ41"/>
    <mergeCell ref="T32:AJ32"/>
    <mergeCell ref="D33:AJ33"/>
    <mergeCell ref="B57:E57"/>
    <mergeCell ref="F57:I57"/>
    <mergeCell ref="M47:AJ47"/>
    <mergeCell ref="AE61:AJ61"/>
    <mergeCell ref="AE59:AJ59"/>
    <mergeCell ref="B60:E60"/>
    <mergeCell ref="F60:I60"/>
    <mergeCell ref="J60:M60"/>
    <mergeCell ref="N60:R60"/>
    <mergeCell ref="S60:V60"/>
    <mergeCell ref="W60:Z60"/>
    <mergeCell ref="AA60:AD60"/>
    <mergeCell ref="AE60:AJ60"/>
    <mergeCell ref="AB84:AE84"/>
    <mergeCell ref="X84:AA84"/>
    <mergeCell ref="X83:AA83"/>
    <mergeCell ref="AB83:AE83"/>
    <mergeCell ref="AF83:AJ83"/>
    <mergeCell ref="N84:R84"/>
    <mergeCell ref="N83:R83"/>
    <mergeCell ref="B83:M83"/>
    <mergeCell ref="S83:W83"/>
    <mergeCell ref="B98:AB98"/>
    <mergeCell ref="AC98:AJ98"/>
    <mergeCell ref="AC99:AD99"/>
    <mergeCell ref="AC100:AD100"/>
    <mergeCell ref="S78:AJ78"/>
    <mergeCell ref="AE99:AJ99"/>
    <mergeCell ref="B87:M87"/>
    <mergeCell ref="N87:R87"/>
    <mergeCell ref="S87:W87"/>
    <mergeCell ref="X87:AA87"/>
    <mergeCell ref="AB87:AE87"/>
    <mergeCell ref="AF87:AJ87"/>
    <mergeCell ref="X85:AA85"/>
    <mergeCell ref="AB85:AE85"/>
    <mergeCell ref="AF85:AJ85"/>
    <mergeCell ref="B86:M86"/>
    <mergeCell ref="N86:R86"/>
    <mergeCell ref="S86:W86"/>
    <mergeCell ref="X86:AA86"/>
    <mergeCell ref="AB86:AE86"/>
    <mergeCell ref="AF86:AJ86"/>
    <mergeCell ref="S84:W84"/>
    <mergeCell ref="B84:M84"/>
    <mergeCell ref="AF84:AJ84"/>
    <mergeCell ref="AC102:AD102"/>
    <mergeCell ref="AE102:AF102"/>
    <mergeCell ref="AG102:AH102"/>
    <mergeCell ref="AI102:AJ102"/>
    <mergeCell ref="AC103:AD103"/>
    <mergeCell ref="AE103:AJ103"/>
    <mergeCell ref="AC101:AD101"/>
    <mergeCell ref="AE101:AJ101"/>
    <mergeCell ref="AE100:AF100"/>
    <mergeCell ref="AG100:AH100"/>
    <mergeCell ref="AI100:AJ100"/>
    <mergeCell ref="AG107:AH107"/>
    <mergeCell ref="AI107:AJ107"/>
    <mergeCell ref="AC108:AD108"/>
    <mergeCell ref="AE108:AJ108"/>
    <mergeCell ref="AC109:AD109"/>
    <mergeCell ref="AE109:AF109"/>
    <mergeCell ref="AG109:AH109"/>
    <mergeCell ref="AI109:AJ109"/>
    <mergeCell ref="AC104:AD104"/>
    <mergeCell ref="AE104:AF104"/>
    <mergeCell ref="AG104:AH104"/>
    <mergeCell ref="AI104:AJ104"/>
    <mergeCell ref="AC105:AD105"/>
    <mergeCell ref="AE105:AF105"/>
    <mergeCell ref="AG105:AH105"/>
    <mergeCell ref="AI105:AJ105"/>
    <mergeCell ref="U116:V116"/>
    <mergeCell ref="W116:AB116"/>
    <mergeCell ref="U115:V115"/>
    <mergeCell ref="W115:AB115"/>
    <mergeCell ref="U114:V114"/>
    <mergeCell ref="W114:AB114"/>
    <mergeCell ref="AC112:AD112"/>
    <mergeCell ref="AE112:AJ112"/>
    <mergeCell ref="AC110:AD110"/>
    <mergeCell ref="AE110:AJ110"/>
    <mergeCell ref="AC111:AD111"/>
    <mergeCell ref="AE111:AF111"/>
    <mergeCell ref="AG111:AH111"/>
    <mergeCell ref="AI111:AJ111"/>
    <mergeCell ref="P111:AA111"/>
    <mergeCell ref="D112:AA112"/>
    <mergeCell ref="U120:V120"/>
    <mergeCell ref="W120:AB120"/>
    <mergeCell ref="AC121:AD121"/>
    <mergeCell ref="AE121:AF121"/>
    <mergeCell ref="AG121:AH121"/>
    <mergeCell ref="AI121:AJ121"/>
    <mergeCell ref="U117:V117"/>
    <mergeCell ref="W117:AB117"/>
    <mergeCell ref="U118:V118"/>
    <mergeCell ref="W118:AB118"/>
    <mergeCell ref="U119:V119"/>
    <mergeCell ref="W119:X119"/>
    <mergeCell ref="Y119:Z119"/>
    <mergeCell ref="AA119:AB119"/>
    <mergeCell ref="AC124:AD124"/>
    <mergeCell ref="AE124:AJ124"/>
    <mergeCell ref="AC125:AD125"/>
    <mergeCell ref="AE125:AF125"/>
    <mergeCell ref="AG125:AH125"/>
    <mergeCell ref="AI125:AJ125"/>
    <mergeCell ref="AC122:AD122"/>
    <mergeCell ref="AE122:AJ122"/>
    <mergeCell ref="AC123:AD123"/>
    <mergeCell ref="AE123:AF123"/>
    <mergeCell ref="AG123:AH123"/>
    <mergeCell ref="AI123:AJ123"/>
    <mergeCell ref="AC128:AD128"/>
    <mergeCell ref="AE128:AJ128"/>
    <mergeCell ref="AC129:AD129"/>
    <mergeCell ref="AE129:AF129"/>
    <mergeCell ref="AG129:AH129"/>
    <mergeCell ref="AI129:AJ129"/>
    <mergeCell ref="AC126:AD126"/>
    <mergeCell ref="AE126:AJ126"/>
    <mergeCell ref="AC127:AD127"/>
    <mergeCell ref="AE127:AF127"/>
    <mergeCell ref="AG127:AH127"/>
    <mergeCell ref="AI127:AJ127"/>
    <mergeCell ref="AC154:AD154"/>
    <mergeCell ref="AE154:AF154"/>
    <mergeCell ref="AG154:AH154"/>
    <mergeCell ref="AI154:AJ154"/>
    <mergeCell ref="AC155:AD155"/>
    <mergeCell ref="AE155:AJ155"/>
    <mergeCell ref="AC153:AD153"/>
    <mergeCell ref="AE153:AJ153"/>
    <mergeCell ref="U151:V151"/>
    <mergeCell ref="AA151:AB151"/>
    <mergeCell ref="U152:V152"/>
    <mergeCell ref="AA152:AB152"/>
    <mergeCell ref="W152:Z152"/>
    <mergeCell ref="AE151:AJ151"/>
    <mergeCell ref="AC157:AD157"/>
    <mergeCell ref="AE157:AF157"/>
    <mergeCell ref="AG157:AH157"/>
    <mergeCell ref="AI157:AJ157"/>
    <mergeCell ref="AC158:AD158"/>
    <mergeCell ref="AH158:AJ158"/>
    <mergeCell ref="U156:V156"/>
    <mergeCell ref="W156:AB156"/>
    <mergeCell ref="AC156:AD156"/>
    <mergeCell ref="AE156:AF156"/>
    <mergeCell ref="AG156:AH156"/>
    <mergeCell ref="AI156:AJ156"/>
    <mergeCell ref="AC179:AD179"/>
    <mergeCell ref="AE179:AJ179"/>
    <mergeCell ref="AC180:AD180"/>
    <mergeCell ref="AE180:AF180"/>
    <mergeCell ref="AG180:AH180"/>
    <mergeCell ref="AI180:AJ180"/>
    <mergeCell ref="AC172:AD172"/>
    <mergeCell ref="AE172:AF172"/>
    <mergeCell ref="AC160:AD160"/>
    <mergeCell ref="AE160:AJ160"/>
    <mergeCell ref="AC166:AD166"/>
    <mergeCell ref="AE166:AJ166"/>
    <mergeCell ref="AC175:AD175"/>
    <mergeCell ref="AE175:AJ175"/>
    <mergeCell ref="AC173:AD173"/>
    <mergeCell ref="AE173:AJ173"/>
    <mergeCell ref="AC174:AD174"/>
    <mergeCell ref="AE174:AJ174"/>
    <mergeCell ref="AE164:AJ164"/>
    <mergeCell ref="AE161:AJ161"/>
    <mergeCell ref="AC182:AD182"/>
    <mergeCell ref="AE182:AF182"/>
    <mergeCell ref="AG182:AH182"/>
    <mergeCell ref="AI182:AJ182"/>
    <mergeCell ref="AC181:AD181"/>
    <mergeCell ref="AE181:AJ181"/>
    <mergeCell ref="AC183:AD183"/>
    <mergeCell ref="AE183:AJ183"/>
    <mergeCell ref="D185:AJ187"/>
    <mergeCell ref="AI197:AJ197"/>
    <mergeCell ref="AC188:AD188"/>
    <mergeCell ref="AE188:AJ188"/>
    <mergeCell ref="AC189:AD189"/>
    <mergeCell ref="AE189:AJ189"/>
    <mergeCell ref="AC190:AD190"/>
    <mergeCell ref="AE190:AJ190"/>
    <mergeCell ref="AC184:AD184"/>
    <mergeCell ref="AE184:AJ184"/>
    <mergeCell ref="AC191:AD191"/>
    <mergeCell ref="AE191:AF191"/>
    <mergeCell ref="AG191:AH191"/>
    <mergeCell ref="AI191:AJ191"/>
    <mergeCell ref="D103:AA103"/>
    <mergeCell ref="AC198:AD198"/>
    <mergeCell ref="AE198:AJ198"/>
    <mergeCell ref="AE192:AF192"/>
    <mergeCell ref="AG192:AH192"/>
    <mergeCell ref="AI192:AJ192"/>
    <mergeCell ref="AC193:AD193"/>
    <mergeCell ref="AE193:AF193"/>
    <mergeCell ref="AG193:AH193"/>
    <mergeCell ref="AI193:AJ193"/>
    <mergeCell ref="AC194:AD194"/>
    <mergeCell ref="AE194:AF194"/>
    <mergeCell ref="AG194:AH194"/>
    <mergeCell ref="AI194:AJ194"/>
    <mergeCell ref="AE195:AJ195"/>
    <mergeCell ref="AC192:AD192"/>
    <mergeCell ref="AC195:AD195"/>
    <mergeCell ref="AC196:AD196"/>
    <mergeCell ref="AE196:AF196"/>
    <mergeCell ref="AG196:AH196"/>
    <mergeCell ref="AI196:AJ196"/>
    <mergeCell ref="AC197:AD197"/>
    <mergeCell ref="AE197:AF197"/>
    <mergeCell ref="AG197:AH197"/>
    <mergeCell ref="AI136:AJ136"/>
    <mergeCell ref="G70:AJ70"/>
    <mergeCell ref="D71:AJ71"/>
    <mergeCell ref="AB22:AJ22"/>
    <mergeCell ref="Y23:AJ23"/>
    <mergeCell ref="AC26:AJ26"/>
    <mergeCell ref="O27:AJ27"/>
    <mergeCell ref="P31:AJ31"/>
    <mergeCell ref="AG172:AH172"/>
    <mergeCell ref="AI172:AJ172"/>
    <mergeCell ref="AC171:AD171"/>
    <mergeCell ref="AH171:AJ171"/>
    <mergeCell ref="U168:V168"/>
    <mergeCell ref="W168:Z168"/>
    <mergeCell ref="AA168:AB168"/>
    <mergeCell ref="AC159:AD159"/>
    <mergeCell ref="AE159:AF159"/>
    <mergeCell ref="AG159:AH159"/>
    <mergeCell ref="AI159:AJ159"/>
    <mergeCell ref="Q123:AA123"/>
    <mergeCell ref="D124:AA124"/>
    <mergeCell ref="T148:AA148"/>
    <mergeCell ref="AE152:AJ152"/>
    <mergeCell ref="V102:AA102"/>
    <mergeCell ref="B186:C186"/>
    <mergeCell ref="O119:S119"/>
    <mergeCell ref="D120:S120"/>
    <mergeCell ref="AE150:AJ150"/>
    <mergeCell ref="AC149:AD149"/>
    <mergeCell ref="AE149:AJ149"/>
    <mergeCell ref="AC150:AD150"/>
    <mergeCell ref="AC147:AD147"/>
    <mergeCell ref="AE147:AJ147"/>
    <mergeCell ref="AC148:AD148"/>
    <mergeCell ref="AE148:AF148"/>
    <mergeCell ref="AG148:AH148"/>
    <mergeCell ref="AI148:AJ148"/>
    <mergeCell ref="AC137:AD137"/>
    <mergeCell ref="AE137:AJ137"/>
    <mergeCell ref="AC146:AD146"/>
    <mergeCell ref="AE146:AF146"/>
    <mergeCell ref="AG146:AH146"/>
    <mergeCell ref="AI146:AJ146"/>
    <mergeCell ref="AC130:AD130"/>
    <mergeCell ref="AE130:AJ130"/>
    <mergeCell ref="AC136:AD136"/>
    <mergeCell ref="AE136:AF136"/>
    <mergeCell ref="AG136:AH136"/>
  </mergeCells>
  <conditionalFormatting sqref="Y15">
    <cfRule type="expression" dxfId="818" priority="275">
      <formula>IF(NoColor,1,0)</formula>
    </cfRule>
  </conditionalFormatting>
  <conditionalFormatting sqref="BG45">
    <cfRule type="expression" dxfId="817" priority="197">
      <formula>IF(NoColor,1,0)</formula>
    </cfRule>
  </conditionalFormatting>
  <conditionalFormatting sqref="BG43">
    <cfRule type="expression" dxfId="816" priority="192">
      <formula>IF(NoColor,1,0)</formula>
    </cfRule>
  </conditionalFormatting>
  <conditionalFormatting sqref="BG25">
    <cfRule type="expression" dxfId="815" priority="191">
      <formula>IF(NoColor,1,0)</formula>
    </cfRule>
  </conditionalFormatting>
  <conditionalFormatting sqref="BF30">
    <cfRule type="expression" dxfId="814" priority="189">
      <formula>IF(NoColor,1,0)</formula>
    </cfRule>
  </conditionalFormatting>
  <conditionalFormatting sqref="BF33">
    <cfRule type="expression" dxfId="813" priority="188">
      <formula>IF(NoColor,1,0)</formula>
    </cfRule>
  </conditionalFormatting>
  <conditionalFormatting sqref="BF37">
    <cfRule type="expression" dxfId="812" priority="187">
      <formula>IF(NoColor,1,0)</formula>
    </cfRule>
  </conditionalFormatting>
  <conditionalFormatting sqref="Y9">
    <cfRule type="expression" dxfId="811" priority="175">
      <formula>IF(NoColor,1,0)</formula>
    </cfRule>
  </conditionalFormatting>
  <conditionalFormatting sqref="B15">
    <cfRule type="expression" dxfId="810" priority="165">
      <formula>IF(NoColor,1,0)</formula>
    </cfRule>
  </conditionalFormatting>
  <conditionalFormatting sqref="I16">
    <cfRule type="expression" dxfId="809" priority="164">
      <formula>IF(NoColor,1,0)</formula>
    </cfRule>
  </conditionalFormatting>
  <conditionalFormatting sqref="K17">
    <cfRule type="expression" dxfId="808" priority="163">
      <formula>IF(NoColor,1,0)</formula>
    </cfRule>
  </conditionalFormatting>
  <conditionalFormatting sqref="K18">
    <cfRule type="expression" dxfId="807" priority="162">
      <formula>IF(NoColor,1,0)</formula>
    </cfRule>
  </conditionalFormatting>
  <conditionalFormatting sqref="AB22">
    <cfRule type="expression" dxfId="806" priority="161">
      <formula>IF(NoColor,1,0)</formula>
    </cfRule>
  </conditionalFormatting>
  <conditionalFormatting sqref="Y23">
    <cfRule type="expression" dxfId="805" priority="160">
      <formula>IF(NoColor,1,0)</formula>
    </cfRule>
  </conditionalFormatting>
  <conditionalFormatting sqref="AC26">
    <cfRule type="expression" dxfId="804" priority="159">
      <formula>IF(NoColor,1,0)</formula>
    </cfRule>
  </conditionalFormatting>
  <conditionalFormatting sqref="O27">
    <cfRule type="expression" dxfId="803" priority="158">
      <formula>IF(NoColor,1,0)</formula>
    </cfRule>
  </conditionalFormatting>
  <conditionalFormatting sqref="P31">
    <cfRule type="expression" dxfId="802" priority="157">
      <formula>IF(NoColor,1,0)</formula>
    </cfRule>
  </conditionalFormatting>
  <conditionalFormatting sqref="T32">
    <cfRule type="expression" dxfId="801" priority="156">
      <formula>IF(NoColor,1,0)</formula>
    </cfRule>
  </conditionalFormatting>
  <conditionalFormatting sqref="D33">
    <cfRule type="expression" dxfId="800" priority="155">
      <formula>IF(NoColor,1,0)</formula>
    </cfRule>
  </conditionalFormatting>
  <conditionalFormatting sqref="L41">
    <cfRule type="expression" dxfId="799" priority="154">
      <formula>IF(NoColor,1,0)</formula>
    </cfRule>
  </conditionalFormatting>
  <conditionalFormatting sqref="M47">
    <cfRule type="expression" dxfId="798" priority="151">
      <formula>IF(NoColor,1,0)</formula>
    </cfRule>
  </conditionalFormatting>
  <conditionalFormatting sqref="Y41">
    <cfRule type="expression" dxfId="797" priority="152">
      <formula>IF(NoColor,1,0)</formula>
    </cfRule>
  </conditionalFormatting>
  <conditionalFormatting sqref="B9:X10">
    <cfRule type="expression" dxfId="796" priority="150">
      <formula>IF(NoColor,1,0)</formula>
    </cfRule>
  </conditionalFormatting>
  <conditionalFormatting sqref="B58 F58 N58 J58:J61">
    <cfRule type="expression" dxfId="795" priority="149">
      <formula>IF(NoColor,1,0)</formula>
    </cfRule>
  </conditionalFormatting>
  <conditionalFormatting sqref="S58 W58">
    <cfRule type="expression" dxfId="794" priority="148">
      <formula>IF(NoColor,1,0)</formula>
    </cfRule>
  </conditionalFormatting>
  <conditionalFormatting sqref="AE58">
    <cfRule type="expression" dxfId="793" priority="147">
      <formula>IF(NoColor,1,0)</formula>
    </cfRule>
  </conditionalFormatting>
  <conditionalFormatting sqref="B59 F59 N59">
    <cfRule type="expression" dxfId="792" priority="146">
      <formula>IF(NoColor,1,0)</formula>
    </cfRule>
  </conditionalFormatting>
  <conditionalFormatting sqref="S59 W59">
    <cfRule type="expression" dxfId="791" priority="145">
      <formula>IF(NoColor,1,0)</formula>
    </cfRule>
  </conditionalFormatting>
  <conditionalFormatting sqref="AE59">
    <cfRule type="expression" dxfId="790" priority="144">
      <formula>IF(NoColor,1,0)</formula>
    </cfRule>
  </conditionalFormatting>
  <conditionalFormatting sqref="B60 F60 N60">
    <cfRule type="expression" dxfId="789" priority="143">
      <formula>IF(NoColor,1,0)</formula>
    </cfRule>
  </conditionalFormatting>
  <conditionalFormatting sqref="S60 W60">
    <cfRule type="expression" dxfId="788" priority="142">
      <formula>IF(NoColor,1,0)</formula>
    </cfRule>
  </conditionalFormatting>
  <conditionalFormatting sqref="AE60">
    <cfRule type="expression" dxfId="787" priority="141">
      <formula>IF(NoColor,1,0)</formula>
    </cfRule>
  </conditionalFormatting>
  <conditionalFormatting sqref="B61 F61 N61">
    <cfRule type="expression" dxfId="786" priority="140">
      <formula>IF(NoColor,1,0)</formula>
    </cfRule>
  </conditionalFormatting>
  <conditionalFormatting sqref="S61 W61">
    <cfRule type="expression" dxfId="785" priority="139">
      <formula>IF(NoColor,1,0)</formula>
    </cfRule>
  </conditionalFormatting>
  <conditionalFormatting sqref="AE61">
    <cfRule type="expression" dxfId="784" priority="138">
      <formula>IF(NoColor,1,0)</formula>
    </cfRule>
  </conditionalFormatting>
  <conditionalFormatting sqref="AA58:AA61">
    <cfRule type="expression" dxfId="783" priority="134">
      <formula>IF(NoColor,1,0)</formula>
    </cfRule>
  </conditionalFormatting>
  <conditionalFormatting sqref="Z62">
    <cfRule type="expression" dxfId="782" priority="130">
      <formula>IF(NoColor,1,0)</formula>
    </cfRule>
  </conditionalFormatting>
  <conditionalFormatting sqref="D63">
    <cfRule type="expression" dxfId="781" priority="129">
      <formula>IF(NoColor,1,0)</formula>
    </cfRule>
  </conditionalFormatting>
  <conditionalFormatting sqref="T64">
    <cfRule type="expression" dxfId="780" priority="128">
      <formula>IF(NoColor,1,0)</formula>
    </cfRule>
  </conditionalFormatting>
  <conditionalFormatting sqref="G70">
    <cfRule type="expression" dxfId="779" priority="127">
      <formula>IF(NoColor,1,0)</formula>
    </cfRule>
  </conditionalFormatting>
  <conditionalFormatting sqref="AB84">
    <cfRule type="expression" dxfId="778" priority="115">
      <formula>IF(NoColor,1,0)</formula>
    </cfRule>
  </conditionalFormatting>
  <conditionalFormatting sqref="S78">
    <cfRule type="expression" dxfId="777" priority="121">
      <formula>IF(NoColor,1,0)</formula>
    </cfRule>
  </conditionalFormatting>
  <conditionalFormatting sqref="B84">
    <cfRule type="expression" dxfId="776" priority="120">
      <formula>IF(NoColor,1,0)</formula>
    </cfRule>
  </conditionalFormatting>
  <conditionalFormatting sqref="AF84">
    <cfRule type="expression" dxfId="775" priority="118">
      <formula>IF(NoColor,1,0)</formula>
    </cfRule>
  </conditionalFormatting>
  <conditionalFormatting sqref="X84:X87">
    <cfRule type="expression" dxfId="774" priority="98">
      <formula>IF(NoColor,1,0)</formula>
    </cfRule>
  </conditionalFormatting>
  <conditionalFormatting sqref="AB85">
    <cfRule type="expression" dxfId="773" priority="110">
      <formula>IF(NoColor,1,0)</formula>
    </cfRule>
  </conditionalFormatting>
  <conditionalFormatting sqref="B85">
    <cfRule type="expression" dxfId="772" priority="113">
      <formula>IF(NoColor,1,0)</formula>
    </cfRule>
  </conditionalFormatting>
  <conditionalFormatting sqref="B87">
    <cfRule type="expression" dxfId="771" priority="103">
      <formula>IF(NoColor,1,0)</formula>
    </cfRule>
  </conditionalFormatting>
  <conditionalFormatting sqref="N85:N87">
    <cfRule type="expression" dxfId="770" priority="93">
      <formula>IF(NoColor,1,0)</formula>
    </cfRule>
  </conditionalFormatting>
  <conditionalFormatting sqref="AB86">
    <cfRule type="expression" dxfId="769" priority="105">
      <formula>IF(NoColor,1,0)</formula>
    </cfRule>
  </conditionalFormatting>
  <conditionalFormatting sqref="B86">
    <cfRule type="expression" dxfId="768" priority="108">
      <formula>IF(NoColor,1,0)</formula>
    </cfRule>
  </conditionalFormatting>
  <conditionalFormatting sqref="AB87">
    <cfRule type="expression" dxfId="767" priority="100">
      <formula>IF(NoColor,1,0)</formula>
    </cfRule>
  </conditionalFormatting>
  <conditionalFormatting sqref="AD77">
    <cfRule type="expression" dxfId="766" priority="83">
      <formula>IF(NoColor,1,0)</formula>
    </cfRule>
  </conditionalFormatting>
  <conditionalFormatting sqref="N84">
    <cfRule type="expression" dxfId="765" priority="94">
      <formula>IF(NoColor,1,0)</formula>
    </cfRule>
  </conditionalFormatting>
  <conditionalFormatting sqref="S84">
    <cfRule type="expression" dxfId="764" priority="92">
      <formula>IF(NoColor,1,0)</formula>
    </cfRule>
  </conditionalFormatting>
  <conditionalFormatting sqref="S85:S87">
    <cfRule type="expression" dxfId="763" priority="91">
      <formula>IF(NoColor,1,0)</formula>
    </cfRule>
  </conditionalFormatting>
  <conditionalFormatting sqref="AF85">
    <cfRule type="expression" dxfId="762" priority="87">
      <formula>IF(NoColor,1,0)</formula>
    </cfRule>
  </conditionalFormatting>
  <conditionalFormatting sqref="AF86">
    <cfRule type="expression" dxfId="761" priority="86">
      <formula>IF(NoColor,1,0)</formula>
    </cfRule>
  </conditionalFormatting>
  <conditionalFormatting sqref="AF87">
    <cfRule type="expression" dxfId="760" priority="85">
      <formula>IF(NoColor,1,0)</formula>
    </cfRule>
  </conditionalFormatting>
  <conditionalFormatting sqref="T77">
    <cfRule type="expression" dxfId="759" priority="84">
      <formula>IF(NoColor,1,0)</formula>
    </cfRule>
  </conditionalFormatting>
  <conditionalFormatting sqref="V102">
    <cfRule type="expression" dxfId="758" priority="80">
      <formula>IF(NoColor,1,0)</formula>
    </cfRule>
  </conditionalFormatting>
  <conditionalFormatting sqref="D103">
    <cfRule type="expression" dxfId="757" priority="81">
      <formula>IF(NoColor,1,0)</formula>
    </cfRule>
  </conditionalFormatting>
  <conditionalFormatting sqref="D112">
    <cfRule type="expression" dxfId="756" priority="79">
      <formula>IF(NoColor,1,0)</formula>
    </cfRule>
  </conditionalFormatting>
  <conditionalFormatting sqref="P111">
    <cfRule type="expression" dxfId="755" priority="78">
      <formula>IF(NoColor,1,0)</formula>
    </cfRule>
  </conditionalFormatting>
  <conditionalFormatting sqref="O119">
    <cfRule type="expression" dxfId="754" priority="77">
      <formula>IF(NoColor,1,0)</formula>
    </cfRule>
  </conditionalFormatting>
  <conditionalFormatting sqref="D120">
    <cfRule type="expression" dxfId="753" priority="76">
      <formula>IF(NoColor,1,0)</formula>
    </cfRule>
  </conditionalFormatting>
  <conditionalFormatting sqref="Q123">
    <cfRule type="expression" dxfId="752" priority="75">
      <formula>IF(NoColor,1,0)</formula>
    </cfRule>
  </conditionalFormatting>
  <conditionalFormatting sqref="D124">
    <cfRule type="expression" dxfId="751" priority="74">
      <formula>IF(NoColor,1,0)</formula>
    </cfRule>
  </conditionalFormatting>
  <conditionalFormatting sqref="T148">
    <cfRule type="expression" dxfId="750" priority="71">
      <formula>IF(NoColor,1,0)</formula>
    </cfRule>
  </conditionalFormatting>
  <conditionalFormatting sqref="D71">
    <cfRule type="expression" dxfId="749" priority="70">
      <formula>IF(NoColor,1,0)</formula>
    </cfRule>
  </conditionalFormatting>
  <conditionalFormatting sqref="D53:D54">
    <cfRule type="expression" dxfId="748" priority="69">
      <formula>IF(AND($AE$50&lt;&gt;"",$AH$52&lt;&gt;""),1,0)</formula>
    </cfRule>
  </conditionalFormatting>
  <conditionalFormatting sqref="W114:AB118">
    <cfRule type="expression" dxfId="747" priority="68">
      <formula>IF(NoColor,1,0)</formula>
    </cfRule>
  </conditionalFormatting>
  <conditionalFormatting sqref="W120:AB120">
    <cfRule type="expression" dxfId="746" priority="67">
      <formula>IF(NoColor,1,0)</formula>
    </cfRule>
  </conditionalFormatting>
  <conditionalFormatting sqref="AE99:AJ99">
    <cfRule type="expression" dxfId="745" priority="66">
      <formula>IF(NoColor,1,0)</formula>
    </cfRule>
  </conditionalFormatting>
  <conditionalFormatting sqref="AE101:AJ101">
    <cfRule type="expression" dxfId="744" priority="65">
      <formula>IF(NoColor,1,0)</formula>
    </cfRule>
  </conditionalFormatting>
  <conditionalFormatting sqref="AE103:AJ103">
    <cfRule type="expression" dxfId="743" priority="64">
      <formula>IF(NoColor,1,0)</formula>
    </cfRule>
  </conditionalFormatting>
  <conditionalFormatting sqref="AE106:AJ106">
    <cfRule type="expression" dxfId="742" priority="63">
      <formula>IF(NoColor,1,0)</formula>
    </cfRule>
  </conditionalFormatting>
  <conditionalFormatting sqref="AE108:AJ108">
    <cfRule type="expression" dxfId="741" priority="62">
      <formula>IF(NoColor,1,0)</formula>
    </cfRule>
  </conditionalFormatting>
  <conditionalFormatting sqref="AE110:AJ110">
    <cfRule type="expression" dxfId="740" priority="61">
      <formula>IF(NoColor,1,0)</formula>
    </cfRule>
  </conditionalFormatting>
  <conditionalFormatting sqref="AE112:AJ112">
    <cfRule type="expression" dxfId="739" priority="60">
      <formula>IF(NoColor,1,0)</formula>
    </cfRule>
  </conditionalFormatting>
  <conditionalFormatting sqref="AE122:AJ122">
    <cfRule type="expression" dxfId="738" priority="59">
      <formula>IF(NoColor,1,0)</formula>
    </cfRule>
  </conditionalFormatting>
  <conditionalFormatting sqref="AE124:AJ124">
    <cfRule type="expression" dxfId="737" priority="58">
      <formula>IF(NoColor,1,0)</formula>
    </cfRule>
  </conditionalFormatting>
  <conditionalFormatting sqref="AE126:AJ126">
    <cfRule type="expression" dxfId="736" priority="57">
      <formula>IF(NoColor,1,0)</formula>
    </cfRule>
  </conditionalFormatting>
  <conditionalFormatting sqref="AE128:AJ128">
    <cfRule type="expression" dxfId="735" priority="56">
      <formula>IF(NoColor,1,0)</formula>
    </cfRule>
  </conditionalFormatting>
  <conditionalFormatting sqref="AE130:AJ130">
    <cfRule type="expression" dxfId="734" priority="55">
      <formula>IF(NoColor,1,0)</formula>
    </cfRule>
  </conditionalFormatting>
  <conditionalFormatting sqref="AE147:AJ147">
    <cfRule type="expression" dxfId="733" priority="53">
      <formula>IF(NoColor,1,0)</formula>
    </cfRule>
  </conditionalFormatting>
  <conditionalFormatting sqref="AE149:AJ149">
    <cfRule type="expression" dxfId="732" priority="52">
      <formula>IF(NoColor,1,0)</formula>
    </cfRule>
  </conditionalFormatting>
  <conditionalFormatting sqref="AE137:AJ137">
    <cfRule type="expression" dxfId="731" priority="51">
      <formula>IF(NoColor,1,0)</formula>
    </cfRule>
  </conditionalFormatting>
  <conditionalFormatting sqref="AE150:AJ150">
    <cfRule type="expression" dxfId="730" priority="50">
      <formula>IF(NoColor,1,0)</formula>
    </cfRule>
  </conditionalFormatting>
  <conditionalFormatting sqref="AE155:AJ155">
    <cfRule type="expression" dxfId="729" priority="47">
      <formula>IF(NoColor,1,0)</formula>
    </cfRule>
  </conditionalFormatting>
  <conditionalFormatting sqref="AE153:AJ153">
    <cfRule type="expression" dxfId="728" priority="48">
      <formula>IF(NoColor,1,0)</formula>
    </cfRule>
  </conditionalFormatting>
  <conditionalFormatting sqref="W156:AB156">
    <cfRule type="expression" dxfId="727" priority="46">
      <formula>IF(NoColor,1,0)</formula>
    </cfRule>
  </conditionalFormatting>
  <conditionalFormatting sqref="AH158:AJ158">
    <cfRule type="expression" dxfId="726" priority="45">
      <formula>IF(NoColor,1,0)</formula>
    </cfRule>
  </conditionalFormatting>
  <conditionalFormatting sqref="AE160:AJ160">
    <cfRule type="expression" dxfId="725" priority="44">
      <formula>IF(NoColor,1,0)</formula>
    </cfRule>
  </conditionalFormatting>
  <conditionalFormatting sqref="AE166:AJ166">
    <cfRule type="expression" dxfId="724" priority="43">
      <formula>IF(NoColor,1,0)</formula>
    </cfRule>
  </conditionalFormatting>
  <conditionalFormatting sqref="AH171:AJ171">
    <cfRule type="expression" dxfId="723" priority="42">
      <formula>IF(NoColor,1,0)</formula>
    </cfRule>
  </conditionalFormatting>
  <conditionalFormatting sqref="AE173:AJ173">
    <cfRule type="expression" dxfId="722" priority="40">
      <formula>IF(NoColor,1,0)</formula>
    </cfRule>
  </conditionalFormatting>
  <conditionalFormatting sqref="AE174:AJ174">
    <cfRule type="expression" dxfId="721" priority="39">
      <formula>IF(NoColor,1,0)</formula>
    </cfRule>
  </conditionalFormatting>
  <conditionalFormatting sqref="AE175:AJ175">
    <cfRule type="expression" dxfId="720" priority="38">
      <formula>IF(NoColor,1,0)</formula>
    </cfRule>
  </conditionalFormatting>
  <conditionalFormatting sqref="AE179:AJ179">
    <cfRule type="expression" dxfId="719" priority="37">
      <formula>IF(NoColor,1,0)</formula>
    </cfRule>
  </conditionalFormatting>
  <conditionalFormatting sqref="AE181:AJ181">
    <cfRule type="expression" dxfId="718" priority="36">
      <formula>IF(NoColor,1,0)</formula>
    </cfRule>
  </conditionalFormatting>
  <conditionalFormatting sqref="AE184:AJ184">
    <cfRule type="expression" dxfId="717" priority="35">
      <formula>IF(NoColor,1,0)</formula>
    </cfRule>
  </conditionalFormatting>
  <conditionalFormatting sqref="AE188:AJ188">
    <cfRule type="expression" dxfId="716" priority="34">
      <formula>IF(NoColor,1,0)</formula>
    </cfRule>
  </conditionalFormatting>
  <conditionalFormatting sqref="AE189:AJ189">
    <cfRule type="expression" dxfId="715" priority="33">
      <formula>IF(NoColor,1,0)</formula>
    </cfRule>
  </conditionalFormatting>
  <conditionalFormatting sqref="AE190:AJ190">
    <cfRule type="expression" dxfId="714" priority="32">
      <formula>IF(NoColor,1,0)</formula>
    </cfRule>
  </conditionalFormatting>
  <conditionalFormatting sqref="AE195:AJ195">
    <cfRule type="expression" dxfId="713" priority="31">
      <formula>IF(NoColor,1,0)</formula>
    </cfRule>
  </conditionalFormatting>
  <conditionalFormatting sqref="AE198:AJ198">
    <cfRule type="expression" dxfId="712" priority="30">
      <formula>IF(NoColor,1,0)</formula>
    </cfRule>
  </conditionalFormatting>
  <conditionalFormatting sqref="K20">
    <cfRule type="expression" dxfId="711" priority="29">
      <formula>IF(NoColor,1,0)</formula>
    </cfRule>
  </conditionalFormatting>
  <conditionalFormatting sqref="V20">
    <cfRule type="expression" dxfId="710" priority="28">
      <formula>IF(NoColor,1,0)</formula>
    </cfRule>
  </conditionalFormatting>
  <conditionalFormatting sqref="AD20">
    <cfRule type="expression" dxfId="709" priority="27">
      <formula>IF(NoColor,1,0)</formula>
    </cfRule>
  </conditionalFormatting>
  <conditionalFormatting sqref="K22">
    <cfRule type="expression" dxfId="708" priority="26">
      <formula>IF(NoColor,1,0)</formula>
    </cfRule>
  </conditionalFormatting>
  <conditionalFormatting sqref="V22">
    <cfRule type="expression" dxfId="707" priority="25">
      <formula>IF(NoColor,1,0)</formula>
    </cfRule>
  </conditionalFormatting>
  <conditionalFormatting sqref="Z24">
    <cfRule type="expression" dxfId="706" priority="24">
      <formula>IF(NoColor,1,0)</formula>
    </cfRule>
  </conditionalFormatting>
  <conditionalFormatting sqref="AE25">
    <cfRule type="expression" dxfId="705" priority="23">
      <formula>IF(NoColor,1,0)</formula>
    </cfRule>
  </conditionalFormatting>
  <conditionalFormatting sqref="AH25">
    <cfRule type="expression" dxfId="704" priority="22">
      <formula>IF(NoColor,1,0)</formula>
    </cfRule>
  </conditionalFormatting>
  <conditionalFormatting sqref="AE29">
    <cfRule type="expression" dxfId="703" priority="21">
      <formula>IF(NoColor,1,0)</formula>
    </cfRule>
  </conditionalFormatting>
  <conditionalFormatting sqref="AH29">
    <cfRule type="expression" dxfId="702" priority="20">
      <formula>IF(NoColor,1,0)</formula>
    </cfRule>
  </conditionalFormatting>
  <conditionalFormatting sqref="O43">
    <cfRule type="expression" dxfId="701" priority="19">
      <formula>IF(NoColor,1,0)</formula>
    </cfRule>
  </conditionalFormatting>
  <conditionalFormatting sqref="V43">
    <cfRule type="expression" dxfId="700" priority="18">
      <formula>IF(NoColor,1,0)</formula>
    </cfRule>
  </conditionalFormatting>
  <conditionalFormatting sqref="AE43">
    <cfRule type="expression" dxfId="699" priority="17">
      <formula>IF(NoColor,1,0)</formula>
    </cfRule>
  </conditionalFormatting>
  <conditionalFormatting sqref="O45">
    <cfRule type="expression" dxfId="698" priority="16">
      <formula>IF(NoColor,1,0)</formula>
    </cfRule>
  </conditionalFormatting>
  <conditionalFormatting sqref="AE46">
    <cfRule type="expression" dxfId="697" priority="15">
      <formula>IF(NoColor,1,0)</formula>
    </cfRule>
  </conditionalFormatting>
  <conditionalFormatting sqref="AH46">
    <cfRule type="expression" dxfId="696" priority="14">
      <formula>IF(NoColor,1,0)</formula>
    </cfRule>
  </conditionalFormatting>
  <conditionalFormatting sqref="AE50">
    <cfRule type="expression" dxfId="695" priority="13">
      <formula>IF(NoColor,1,0)</formula>
    </cfRule>
  </conditionalFormatting>
  <conditionalFormatting sqref="AH50">
    <cfRule type="expression" dxfId="694" priority="12">
      <formula>IF(NoColor,1,0)</formula>
    </cfRule>
  </conditionalFormatting>
  <conditionalFormatting sqref="AE52">
    <cfRule type="expression" dxfId="693" priority="11">
      <formula>IF(NoColor,1,0)</formula>
    </cfRule>
  </conditionalFormatting>
  <conditionalFormatting sqref="AH52">
    <cfRule type="expression" dxfId="692" priority="10">
      <formula>IF(NoColor,1,0)</formula>
    </cfRule>
  </conditionalFormatting>
  <conditionalFormatting sqref="AE66">
    <cfRule type="expression" dxfId="691" priority="9">
      <formula>IF(NoColor,1,0)</formula>
    </cfRule>
  </conditionalFormatting>
  <conditionalFormatting sqref="AH66">
    <cfRule type="expression" dxfId="690" priority="8">
      <formula>IF(NoColor,1,0)</formula>
    </cfRule>
  </conditionalFormatting>
  <conditionalFormatting sqref="AE68">
    <cfRule type="expression" dxfId="689" priority="7">
      <formula>IF(NoColor,1,0)</formula>
    </cfRule>
  </conditionalFormatting>
  <conditionalFormatting sqref="AH68">
    <cfRule type="expression" dxfId="688" priority="6">
      <formula>IF(NoColor,1,0)</formula>
    </cfRule>
  </conditionalFormatting>
  <conditionalFormatting sqref="D139">
    <cfRule type="expression" dxfId="687" priority="5">
      <formula>IF(NoColor,1,0)</formula>
    </cfRule>
  </conditionalFormatting>
  <conditionalFormatting sqref="D141">
    <cfRule type="expression" dxfId="686" priority="4">
      <formula>IF(NoColor,1,0)</formula>
    </cfRule>
  </conditionalFormatting>
  <conditionalFormatting sqref="W152:Z152">
    <cfRule type="expression" dxfId="685" priority="2">
      <formula>IF(NoColor,1,0)</formula>
    </cfRule>
  </conditionalFormatting>
  <conditionalFormatting sqref="W168:Z168">
    <cfRule type="expression" dxfId="684" priority="1">
      <formula>IF(NoColor,1,0)</formula>
    </cfRule>
  </conditionalFormatting>
  <pageMargins left="0.5" right="0.2" top="0.5" bottom="0.25" header="0" footer="0"/>
  <pageSetup scale="76" fitToHeight="0" orientation="portrait" horizontalDpi="4294967293" verticalDpi="4294967293" r:id="rId1"/>
  <rowBreaks count="2" manualBreakCount="2">
    <brk id="72" min="1" max="35" man="1"/>
    <brk id="131" min="1" max="35"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S270"/>
  <sheetViews>
    <sheetView zoomScaleNormal="100" zoomScaleSheetLayoutView="100" workbookViewId="0">
      <selection activeCell="K10" sqref="K10:M10"/>
    </sheetView>
  </sheetViews>
  <sheetFormatPr defaultRowHeight="12.75"/>
  <cols>
    <col min="1" max="1" width="2.42578125" style="46" customWidth="1"/>
    <col min="2" max="2" width="7.85546875" customWidth="1"/>
    <col min="3" max="3" width="3.140625" customWidth="1"/>
    <col min="4" max="4" width="10.7109375" customWidth="1"/>
    <col min="5" max="5" width="8.7109375" customWidth="1"/>
    <col min="6" max="6" width="21.42578125" customWidth="1"/>
    <col min="7" max="7" width="12" customWidth="1"/>
    <col min="8" max="8" width="6.85546875" customWidth="1"/>
    <col min="9" max="9" width="8.85546875" customWidth="1"/>
    <col min="10" max="10" width="3.7109375" customWidth="1"/>
    <col min="11" max="11" width="12" customWidth="1"/>
    <col min="12" max="12" width="3.7109375" customWidth="1"/>
    <col min="13" max="13" width="14.140625" customWidth="1"/>
    <col min="14" max="14" width="2.5703125" customWidth="1"/>
    <col min="15" max="15" width="3.42578125" style="1625" customWidth="1"/>
    <col min="16" max="16" width="29.42578125" customWidth="1"/>
    <col min="17" max="17" width="3.5703125" customWidth="1"/>
    <col min="18" max="18" width="11.42578125" style="1601" customWidth="1"/>
    <col min="19" max="19" width="2.85546875" style="244" customWidth="1"/>
    <col min="20" max="20" width="2.7109375" style="244" customWidth="1"/>
    <col min="21" max="21" width="2.7109375" style="277" customWidth="1"/>
    <col min="22" max="22" width="6" customWidth="1"/>
    <col min="23" max="23" width="17.42578125" customWidth="1"/>
    <col min="24" max="24" width="31.140625" customWidth="1"/>
    <col min="25" max="25" width="6.28515625" customWidth="1"/>
    <col min="26" max="26" width="3.42578125" customWidth="1"/>
    <col min="27" max="27" width="12.140625" customWidth="1"/>
    <col min="28" max="28" width="5.140625" customWidth="1"/>
    <col min="29" max="29" width="12.28515625" customWidth="1"/>
    <col min="30" max="30" width="4" customWidth="1"/>
    <col min="31" max="31" width="9.42578125" customWidth="1"/>
    <col min="32" max="32" width="9.140625" style="244"/>
    <col min="33" max="33" width="9.140625" style="2433" customWidth="1"/>
    <col min="34" max="34" width="5.140625" customWidth="1"/>
    <col min="35" max="45" width="10.7109375" style="3169" customWidth="1"/>
  </cols>
  <sheetData>
    <row r="1" spans="1:35" ht="17.25" customHeight="1" thickBot="1">
      <c r="A1" s="1044"/>
      <c r="B1" s="1042"/>
      <c r="C1" s="1042"/>
      <c r="D1" s="1042"/>
      <c r="E1" s="1042"/>
      <c r="F1" s="1042"/>
      <c r="G1" s="1042"/>
      <c r="H1" s="1042"/>
      <c r="I1" s="1042"/>
      <c r="J1" s="1042"/>
      <c r="K1" s="1042"/>
      <c r="L1" s="1043"/>
      <c r="M1" s="635"/>
      <c r="N1" s="635"/>
      <c r="AI1" s="3168" t="s">
        <v>2552</v>
      </c>
    </row>
    <row r="2" spans="1:35" ht="16.5" customHeight="1" thickBot="1">
      <c r="A2" s="1044"/>
      <c r="B2" s="1043"/>
      <c r="C2" s="1043"/>
      <c r="D2" s="4818"/>
      <c r="E2" s="1042"/>
      <c r="F2" s="1042"/>
      <c r="G2" s="1043"/>
      <c r="H2" s="1042"/>
      <c r="I2" s="1042"/>
      <c r="J2" s="1042"/>
      <c r="K2" s="1043"/>
      <c r="L2" s="1910" t="s">
        <v>1336</v>
      </c>
      <c r="M2" s="1911" t="str">
        <f>IF(P2,"Yes","No")</f>
        <v>No</v>
      </c>
      <c r="N2" s="635"/>
      <c r="P2" s="1618" t="b">
        <f>IF(OR(Q2&lt;&gt;"",AND(U33="X",OR(U52="X",U62="X"))),TRUE,FALSE)</f>
        <v>0</v>
      </c>
      <c r="Q2" s="3058"/>
    </row>
    <row r="3" spans="1:35" ht="9" customHeight="1">
      <c r="A3" s="1045"/>
      <c r="B3" s="992"/>
      <c r="C3" s="635"/>
      <c r="D3" s="635"/>
      <c r="E3" s="635"/>
      <c r="F3" s="635"/>
      <c r="G3" s="948"/>
      <c r="H3" s="635"/>
      <c r="I3" s="635"/>
      <c r="J3" s="635"/>
      <c r="K3" s="635"/>
      <c r="L3" s="635"/>
      <c r="M3" s="635"/>
      <c r="N3" s="635"/>
      <c r="O3" s="3458"/>
    </row>
    <row r="4" spans="1:35" ht="13.5" thickBot="1">
      <c r="A4" s="82"/>
      <c r="B4" s="2606"/>
      <c r="C4" s="24"/>
      <c r="D4" s="101"/>
      <c r="E4" s="4138"/>
      <c r="F4" s="24"/>
      <c r="G4" s="24"/>
      <c r="H4" s="24"/>
      <c r="I4" s="24"/>
      <c r="J4" s="24"/>
      <c r="K4" s="4093"/>
      <c r="L4" s="7637" t="s">
        <v>94</v>
      </c>
      <c r="M4" s="7573"/>
      <c r="N4" s="635"/>
      <c r="O4" s="3459"/>
    </row>
    <row r="5" spans="1:35" ht="20.25" customHeight="1">
      <c r="A5" s="82"/>
      <c r="B5" s="7432" t="s">
        <v>331</v>
      </c>
      <c r="C5" s="7605">
        <v>6251</v>
      </c>
      <c r="D5" s="7606"/>
      <c r="E5" s="7650" t="s">
        <v>311</v>
      </c>
      <c r="F5" s="5697"/>
      <c r="G5" s="5697"/>
      <c r="H5" s="5697"/>
      <c r="I5" s="5697"/>
      <c r="J5" s="5697"/>
      <c r="K5" s="5698"/>
      <c r="L5" s="6025">
        <f>TaxYear</f>
        <v>2018</v>
      </c>
      <c r="M5" s="7638"/>
      <c r="N5" s="713"/>
      <c r="O5" s="3454"/>
      <c r="P5" s="25" t="s">
        <v>100</v>
      </c>
      <c r="Q5" s="275"/>
      <c r="R5" s="3431"/>
      <c r="S5" s="4455" t="s">
        <v>3896</v>
      </c>
      <c r="T5" s="1912"/>
      <c r="U5" s="1913"/>
      <c r="V5" s="1894"/>
      <c r="W5" s="1894"/>
      <c r="X5" s="1895"/>
      <c r="Y5" s="1895"/>
      <c r="Z5" s="1895"/>
      <c r="AA5" s="1895"/>
      <c r="AB5" s="1895"/>
      <c r="AC5" s="1895"/>
      <c r="AD5" s="1895"/>
      <c r="AE5" s="1895"/>
      <c r="AF5" s="1896"/>
    </row>
    <row r="6" spans="1:35" ht="14.25" customHeight="1">
      <c r="A6" s="82"/>
      <c r="B6" s="7433"/>
      <c r="C6" s="7607"/>
      <c r="D6" s="7608"/>
      <c r="E6" s="7651"/>
      <c r="F6" s="7652"/>
      <c r="G6" s="7652"/>
      <c r="H6" s="7652"/>
      <c r="I6" s="7652"/>
      <c r="J6" s="7652"/>
      <c r="K6" s="7653"/>
      <c r="L6" s="7639"/>
      <c r="M6" s="7640"/>
      <c r="N6" s="714"/>
      <c r="O6" s="3454"/>
      <c r="P6" s="25" t="s">
        <v>468</v>
      </c>
      <c r="Q6" s="60"/>
      <c r="R6" s="3432"/>
      <c r="S6" s="1916"/>
      <c r="T6" s="1914"/>
      <c r="U6" s="1917" t="s">
        <v>242</v>
      </c>
      <c r="V6" s="1563"/>
      <c r="W6" s="1917"/>
      <c r="X6" s="1918" t="s">
        <v>1998</v>
      </c>
      <c r="Y6" s="1563"/>
      <c r="Z6" s="1563"/>
      <c r="AA6" s="1563"/>
      <c r="AB6" s="1563"/>
      <c r="AC6" s="1563"/>
      <c r="AD6" s="1563"/>
      <c r="AE6" s="1563"/>
      <c r="AF6" s="1915"/>
    </row>
    <row r="7" spans="1:35" ht="12.75" customHeight="1">
      <c r="A7" s="82"/>
      <c r="B7" s="5862" t="s">
        <v>2674</v>
      </c>
      <c r="C7" s="7618"/>
      <c r="D7" s="7619"/>
      <c r="E7" s="7445" t="s">
        <v>2677</v>
      </c>
      <c r="F7" s="7648"/>
      <c r="G7" s="7648"/>
      <c r="H7" s="7648"/>
      <c r="I7" s="7648"/>
      <c r="J7" s="7648"/>
      <c r="K7" s="7649"/>
      <c r="L7" s="7643" t="s">
        <v>203</v>
      </c>
      <c r="M7" s="7644"/>
      <c r="N7" s="713"/>
      <c r="O7" s="3454"/>
      <c r="P7" s="613"/>
      <c r="Q7" s="60"/>
      <c r="R7" s="3433"/>
      <c r="S7" s="4797"/>
      <c r="T7" s="4798"/>
      <c r="U7" s="4799"/>
      <c r="V7" s="4800"/>
      <c r="W7" s="4801"/>
      <c r="X7" s="4802" t="s">
        <v>1334</v>
      </c>
      <c r="Y7" s="4800"/>
      <c r="Z7" s="4800"/>
      <c r="AA7" s="4800"/>
      <c r="AB7" s="4800"/>
      <c r="AC7" s="4800"/>
      <c r="AD7" s="4800"/>
      <c r="AE7" s="4800"/>
      <c r="AF7" s="4803"/>
    </row>
    <row r="8" spans="1:35" ht="12.75" customHeight="1" thickBot="1">
      <c r="A8" s="82"/>
      <c r="B8" s="7620"/>
      <c r="C8" s="7620"/>
      <c r="D8" s="7621"/>
      <c r="E8" s="7645" t="s">
        <v>962</v>
      </c>
      <c r="F8" s="7646"/>
      <c r="G8" s="7646"/>
      <c r="H8" s="7646"/>
      <c r="I8" s="7646"/>
      <c r="J8" s="7646"/>
      <c r="K8" s="7647"/>
      <c r="L8" s="7635" t="s">
        <v>4473</v>
      </c>
      <c r="M8" s="7636"/>
      <c r="N8" s="714"/>
      <c r="O8" s="3454"/>
      <c r="P8" s="1113" t="s">
        <v>675</v>
      </c>
      <c r="Q8" s="275"/>
      <c r="R8" s="3433"/>
      <c r="S8" s="1897"/>
      <c r="T8" s="1898"/>
      <c r="U8" s="4804" t="s">
        <v>336</v>
      </c>
      <c r="V8" s="4805" t="s">
        <v>4493</v>
      </c>
      <c r="W8" s="1898"/>
      <c r="X8" s="1898"/>
      <c r="Y8" s="1898"/>
      <c r="Z8" s="1898"/>
      <c r="AA8" s="1898"/>
      <c r="AB8" s="1898"/>
      <c r="AC8" s="1898"/>
      <c r="AD8" s="1898"/>
      <c r="AE8" s="1563"/>
      <c r="AF8" s="1915"/>
    </row>
    <row r="9" spans="1:35" ht="11.25" customHeight="1" thickBot="1">
      <c r="A9" s="82"/>
      <c r="B9" s="21" t="s">
        <v>495</v>
      </c>
      <c r="C9" s="168"/>
      <c r="D9" s="168"/>
      <c r="E9" s="141"/>
      <c r="F9" s="142"/>
      <c r="G9" s="151"/>
      <c r="H9" s="142"/>
      <c r="I9" s="142"/>
      <c r="J9" s="142"/>
      <c r="K9" s="7658" t="s">
        <v>99</v>
      </c>
      <c r="L9" s="7418"/>
      <c r="M9" s="7418"/>
      <c r="N9" s="713"/>
      <c r="O9" s="3454"/>
      <c r="P9" s="1113" t="s">
        <v>674</v>
      </c>
      <c r="Q9" s="275"/>
      <c r="R9" s="3434"/>
      <c r="S9" s="1897"/>
      <c r="T9" s="1898"/>
      <c r="U9" s="1898"/>
      <c r="V9" s="1899"/>
      <c r="W9" s="1898"/>
      <c r="X9" s="1898"/>
      <c r="Y9" s="1898"/>
      <c r="Z9" s="1898"/>
      <c r="AA9" s="1898"/>
      <c r="AB9" s="1898"/>
      <c r="AC9" s="1898"/>
      <c r="AD9" s="1898"/>
      <c r="AE9" s="1900"/>
      <c r="AF9" s="1915"/>
    </row>
    <row r="10" spans="1:35" ht="14.25" customHeight="1" thickBot="1">
      <c r="A10" s="82"/>
      <c r="B10" s="7609" t="str">
        <f>Names</f>
        <v/>
      </c>
      <c r="C10" s="7610"/>
      <c r="D10" s="7610"/>
      <c r="E10" s="7610"/>
      <c r="F10" s="7610"/>
      <c r="G10" s="7610"/>
      <c r="H10" s="7610"/>
      <c r="I10" s="7610"/>
      <c r="J10" s="7611"/>
      <c r="K10" s="6108">
        <f>IF(NoSSN,"",SS_Yours)</f>
        <v>0</v>
      </c>
      <c r="L10" s="7654"/>
      <c r="M10" s="7654"/>
      <c r="N10" s="714"/>
      <c r="O10" s="3454"/>
      <c r="P10" s="422" t="str">
        <f>Deduction</f>
        <v>Filing status?</v>
      </c>
      <c r="Q10" s="275"/>
      <c r="R10" s="4100"/>
      <c r="S10" s="1897"/>
      <c r="T10" s="1898"/>
      <c r="U10" s="1921" t="str">
        <f>IF(SchA_Filed,"","X")</f>
        <v>X</v>
      </c>
      <c r="V10" s="3300" t="s">
        <v>472</v>
      </c>
      <c r="W10" s="3300" t="s">
        <v>3898</v>
      </c>
      <c r="X10" s="1898"/>
      <c r="Y10" s="1898"/>
      <c r="Z10" s="1898"/>
      <c r="AA10" s="1898"/>
      <c r="AB10" s="1898"/>
      <c r="AC10" s="1906" t="str">
        <f>IF(U10="X","Go to Line 4.","")</f>
        <v>Go to Line 4.</v>
      </c>
      <c r="AD10" s="1898"/>
      <c r="AE10" s="1900"/>
      <c r="AF10" s="1915"/>
    </row>
    <row r="11" spans="1:35" ht="15">
      <c r="A11" s="82"/>
      <c r="B11" s="746" t="s">
        <v>369</v>
      </c>
      <c r="C11" s="7641" t="s">
        <v>3352</v>
      </c>
      <c r="D11" s="7641"/>
      <c r="E11" s="7642"/>
      <c r="F11" s="7642"/>
      <c r="G11" s="7642"/>
      <c r="H11" s="7642"/>
      <c r="I11" s="7642"/>
      <c r="J11" s="7642"/>
      <c r="K11" s="7642"/>
      <c r="L11" s="7642"/>
      <c r="M11" s="7642"/>
      <c r="N11" s="715"/>
      <c r="O11" s="3454"/>
      <c r="P11" s="733"/>
      <c r="Q11" s="275"/>
      <c r="R11" s="1618"/>
      <c r="S11" s="1897"/>
      <c r="T11" s="1898"/>
      <c r="U11" s="1898"/>
      <c r="V11" s="1899"/>
      <c r="W11" s="3300" t="s">
        <v>3897</v>
      </c>
      <c r="X11" s="1898"/>
      <c r="Y11" s="1898"/>
      <c r="Z11" s="1898"/>
      <c r="AA11" s="1898"/>
      <c r="AB11" s="1898"/>
      <c r="AC11" s="1898"/>
      <c r="AD11" s="1898"/>
      <c r="AE11" s="1563"/>
      <c r="AF11" s="1915"/>
    </row>
    <row r="12" spans="1:35" ht="12" customHeight="1" thickBot="1">
      <c r="A12" s="82"/>
      <c r="B12" s="161">
        <v>1</v>
      </c>
      <c r="C12" s="280" t="s">
        <v>3353</v>
      </c>
      <c r="D12" s="280"/>
      <c r="E12" s="237"/>
      <c r="F12" s="237"/>
      <c r="G12" s="238"/>
      <c r="H12" s="238"/>
      <c r="I12" s="238"/>
      <c r="J12" s="238"/>
      <c r="K12" s="162"/>
      <c r="L12" s="232"/>
      <c r="M12" s="554"/>
      <c r="N12" s="716"/>
      <c r="O12" s="3460"/>
      <c r="P12" s="628"/>
      <c r="Q12" s="455"/>
      <c r="R12" s="1441"/>
      <c r="S12" s="1897"/>
      <c r="T12" s="1898"/>
      <c r="U12" s="1898"/>
      <c r="V12" s="1899"/>
      <c r="W12" s="3300"/>
      <c r="X12" s="1898"/>
      <c r="Y12" s="1898"/>
      <c r="Z12" s="1898"/>
      <c r="AA12" s="1898"/>
      <c r="AB12" s="1898"/>
      <c r="AC12" s="1898"/>
      <c r="AD12" s="1898"/>
      <c r="AE12" s="1563"/>
      <c r="AF12" s="1915"/>
    </row>
    <row r="13" spans="1:35" ht="15" customHeight="1" thickBot="1">
      <c r="A13" s="82"/>
      <c r="B13" s="161"/>
      <c r="C13" s="403" t="s">
        <v>3355</v>
      </c>
      <c r="D13" s="280"/>
      <c r="E13" s="237"/>
      <c r="F13" s="237"/>
      <c r="G13" s="238"/>
      <c r="H13" s="238"/>
      <c r="I13" s="238"/>
      <c r="J13" s="238"/>
      <c r="K13" s="162"/>
      <c r="L13" s="4092"/>
      <c r="M13" s="604"/>
      <c r="N13" s="716"/>
      <c r="O13" s="3461"/>
      <c r="P13" s="733"/>
      <c r="Q13" s="455"/>
      <c r="R13" s="1441"/>
      <c r="S13" s="1897"/>
      <c r="T13" s="1898"/>
      <c r="U13" s="1921" t="str">
        <f>IF(SchA_Filed,"X","")</f>
        <v/>
      </c>
      <c r="V13" s="3300" t="s">
        <v>474</v>
      </c>
      <c r="W13" s="3300" t="s">
        <v>3404</v>
      </c>
      <c r="X13" s="1898"/>
      <c r="Y13" s="1898"/>
      <c r="Z13" s="1898"/>
      <c r="AA13" s="4807" t="s">
        <v>3194</v>
      </c>
      <c r="AB13" s="4456" t="s">
        <v>336</v>
      </c>
      <c r="AC13" s="1872" t="str">
        <f>IF(U13="X",Taxable_Inc,"")</f>
        <v/>
      </c>
      <c r="AD13" s="1898"/>
      <c r="AE13" s="1563"/>
      <c r="AF13" s="1915"/>
    </row>
    <row r="14" spans="1:35" ht="15" customHeight="1">
      <c r="A14" s="82"/>
      <c r="B14" s="161"/>
      <c r="C14" s="403" t="s">
        <v>3354</v>
      </c>
      <c r="D14" s="280"/>
      <c r="E14" s="237"/>
      <c r="F14" s="237"/>
      <c r="G14" s="238"/>
      <c r="H14" s="238"/>
      <c r="I14" s="238"/>
      <c r="J14" s="238"/>
      <c r="K14" s="1553" t="s">
        <v>635</v>
      </c>
      <c r="L14" s="343">
        <f>B12</f>
        <v>1</v>
      </c>
      <c r="M14" s="1725">
        <f>IF(P14&lt;&gt;"",ROUND(P14,0),IF(Taxable_Inc=0,SUM(Taxable_Inc,-Deductions,-'1040'!AB44),Taxable_Inc))</f>
        <v>0</v>
      </c>
      <c r="N14" s="716"/>
      <c r="O14" s="3461"/>
      <c r="P14" s="4091"/>
      <c r="Q14" s="455"/>
      <c r="R14" s="1441"/>
      <c r="S14" s="1897"/>
      <c r="T14" s="1898"/>
      <c r="U14" s="1898"/>
      <c r="V14" s="1899"/>
      <c r="W14" s="1898"/>
      <c r="X14" s="1898"/>
      <c r="Y14" s="1898"/>
      <c r="Z14" s="1898"/>
      <c r="AA14" s="1898"/>
      <c r="AB14" s="1898"/>
      <c r="AC14" s="1898"/>
      <c r="AD14" s="1898"/>
      <c r="AE14" s="1898"/>
      <c r="AF14" s="1901"/>
    </row>
    <row r="15" spans="1:35" ht="15" customHeight="1">
      <c r="A15" s="82"/>
      <c r="B15" s="161" t="s">
        <v>386</v>
      </c>
      <c r="C15" s="403" t="s">
        <v>3364</v>
      </c>
      <c r="D15" s="170"/>
      <c r="E15" s="237"/>
      <c r="F15" s="237"/>
      <c r="G15" s="238"/>
      <c r="H15" s="238"/>
      <c r="I15" s="238"/>
      <c r="J15" s="238"/>
      <c r="K15" s="1553"/>
      <c r="L15" s="346"/>
      <c r="M15" s="604"/>
      <c r="N15" s="717"/>
      <c r="O15" s="3461"/>
      <c r="P15" s="603"/>
      <c r="Q15" s="455"/>
      <c r="R15" s="1441"/>
      <c r="S15" s="1920"/>
      <c r="T15" s="1898"/>
      <c r="U15" s="3301" t="s">
        <v>0</v>
      </c>
      <c r="V15" s="3300" t="s">
        <v>3899</v>
      </c>
      <c r="W15" s="1898"/>
      <c r="X15" s="1898"/>
      <c r="Y15" s="1898"/>
      <c r="Z15" s="1898"/>
      <c r="AA15" s="4807" t="s">
        <v>3242</v>
      </c>
      <c r="AB15" s="4456" t="s">
        <v>0</v>
      </c>
      <c r="AC15" s="1872" t="str">
        <f>IF(U13="X",'Sch. A'!O33,"")</f>
        <v/>
      </c>
      <c r="AD15" s="1898"/>
      <c r="AE15" s="1898"/>
      <c r="AF15" s="1901"/>
    </row>
    <row r="16" spans="1:35" ht="15" customHeight="1">
      <c r="A16" s="82"/>
      <c r="B16" s="161"/>
      <c r="C16" s="403" t="s">
        <v>3221</v>
      </c>
      <c r="D16" s="185"/>
      <c r="E16" s="237"/>
      <c r="F16" s="237"/>
      <c r="G16" s="238"/>
      <c r="H16" s="238"/>
      <c r="I16" s="238"/>
      <c r="J16" s="238"/>
      <c r="K16" s="1553" t="s">
        <v>635</v>
      </c>
      <c r="L16" s="343" t="str">
        <f>B15</f>
        <v>2a</v>
      </c>
      <c r="M16" s="1725">
        <f>IF(P16&lt;&gt;"",ROUND(P16,0),IF(ItemizedDeduct,'Sch. A'!O33,Deductions))</f>
        <v>0</v>
      </c>
      <c r="N16" s="717"/>
      <c r="O16" s="3461"/>
      <c r="P16" s="470"/>
      <c r="Q16" s="455"/>
      <c r="R16" s="1441"/>
      <c r="S16" s="1897"/>
      <c r="T16" s="1898"/>
      <c r="U16" s="1898"/>
      <c r="V16" s="1899"/>
      <c r="W16" s="1898"/>
      <c r="X16" s="1898"/>
      <c r="Y16" s="1898"/>
      <c r="Z16" s="1898"/>
      <c r="AA16" s="1898"/>
      <c r="AB16" s="1898"/>
      <c r="AC16" s="1898"/>
      <c r="AD16" s="1898"/>
      <c r="AE16" s="1898"/>
      <c r="AF16" s="1901"/>
    </row>
    <row r="17" spans="1:33" ht="15" customHeight="1">
      <c r="A17" s="82"/>
      <c r="B17" s="161" t="s">
        <v>54</v>
      </c>
      <c r="C17" s="403" t="s">
        <v>3365</v>
      </c>
      <c r="D17" s="185"/>
      <c r="E17" s="237"/>
      <c r="F17" s="237"/>
      <c r="G17" s="3078"/>
      <c r="H17" s="238"/>
      <c r="I17" s="650"/>
      <c r="J17" s="238"/>
      <c r="K17" s="1689" t="str">
        <f>IF(AND($M$17&lt;&gt;"",$M$17&gt;0),"(Line 2b must be a negative amount.)",".   .   .   .   .   .   .   .   .   .   .   .   .   .   .   .   . ")</f>
        <v xml:space="preserve">.   .   .   .   .   .   .   .   .   .   .   .   .   .   .   .   . </v>
      </c>
      <c r="L17" s="343" t="str">
        <f t="shared" ref="L17:L25" si="0">"2"&amp;B17</f>
        <v>2b</v>
      </c>
      <c r="M17" s="1725">
        <f>IF(P17&lt;&gt;"",ROUND(P17,0),IF(F1040_Line10="",0,-F1040_Line10))</f>
        <v>0</v>
      </c>
      <c r="N17" s="717"/>
      <c r="O17" s="3461"/>
      <c r="P17" s="470"/>
      <c r="Q17" s="927" t="str">
        <f>IF(ISERROR(FIND("tax",'1040'!T54,1)),"",OtherIncome)</f>
        <v/>
      </c>
      <c r="R17" s="1441"/>
      <c r="S17" s="1897"/>
      <c r="T17" s="1898"/>
      <c r="U17" s="3301" t="s">
        <v>1</v>
      </c>
      <c r="V17" s="3300" t="s">
        <v>2649</v>
      </c>
      <c r="W17" s="1898"/>
      <c r="X17" s="1898"/>
      <c r="Y17" s="1898"/>
      <c r="Z17" s="1898"/>
      <c r="AA17" s="4807" t="s">
        <v>4494</v>
      </c>
      <c r="AB17" s="4456" t="s">
        <v>1</v>
      </c>
      <c r="AC17" s="1872">
        <f>IF(U10="X",SUM(Adj_Gross_Inc,-'1040'!AB44),IF(U13="X",SUM(AC13,AC15),""))</f>
        <v>0</v>
      </c>
      <c r="AD17" s="1898"/>
      <c r="AE17" s="1898"/>
      <c r="AF17" s="1901"/>
    </row>
    <row r="18" spans="1:33" ht="15" customHeight="1">
      <c r="A18" s="82"/>
      <c r="B18" s="161" t="s">
        <v>55</v>
      </c>
      <c r="C18" s="403" t="s">
        <v>212</v>
      </c>
      <c r="D18" s="185"/>
      <c r="E18" s="237"/>
      <c r="F18" s="237"/>
      <c r="G18" s="238"/>
      <c r="H18" s="238"/>
      <c r="I18" s="238"/>
      <c r="J18" s="238"/>
      <c r="K18" s="1553" t="s">
        <v>679</v>
      </c>
      <c r="L18" s="343" t="str">
        <f t="shared" si="0"/>
        <v>2c</v>
      </c>
      <c r="M18" s="1726"/>
      <c r="N18" s="717"/>
      <c r="O18" s="3461"/>
      <c r="P18" s="4101" t="s">
        <v>980</v>
      </c>
      <c r="Q18" s="455"/>
      <c r="R18" s="1441"/>
      <c r="S18" s="1897"/>
      <c r="T18" s="1898"/>
      <c r="U18" s="1898"/>
      <c r="V18" s="1899"/>
      <c r="W18" s="1898"/>
      <c r="X18" s="1898"/>
      <c r="Y18" s="1898"/>
      <c r="Z18" s="1898"/>
      <c r="AA18" s="1898"/>
      <c r="AB18" s="1898"/>
      <c r="AC18" s="1898"/>
      <c r="AD18" s="1898"/>
      <c r="AE18" s="1898"/>
      <c r="AF18" s="1901"/>
    </row>
    <row r="19" spans="1:33" ht="15" customHeight="1">
      <c r="A19" s="82"/>
      <c r="B19" s="161" t="s">
        <v>102</v>
      </c>
      <c r="C19" s="403" t="s">
        <v>213</v>
      </c>
      <c r="D19" s="185"/>
      <c r="E19" s="237"/>
      <c r="F19" s="237"/>
      <c r="G19" s="238"/>
      <c r="H19" s="238"/>
      <c r="I19" s="238"/>
      <c r="J19" s="238"/>
      <c r="K19" s="1553" t="s">
        <v>676</v>
      </c>
      <c r="L19" s="343" t="str">
        <f t="shared" si="0"/>
        <v>2d</v>
      </c>
      <c r="M19" s="1726"/>
      <c r="N19" s="717"/>
      <c r="O19" s="3461"/>
      <c r="P19" s="4102" t="s">
        <v>3367</v>
      </c>
      <c r="Q19" s="455"/>
      <c r="R19" s="1441"/>
      <c r="S19" s="1897"/>
      <c r="T19" s="1898"/>
      <c r="U19" s="3301" t="s">
        <v>455</v>
      </c>
      <c r="V19" s="3300" t="s">
        <v>3900</v>
      </c>
      <c r="W19" s="1898"/>
      <c r="X19" s="1898"/>
      <c r="Y19" s="1898"/>
      <c r="Z19" s="4808" t="s">
        <v>1212</v>
      </c>
      <c r="AA19" s="1776"/>
      <c r="AB19" s="4456" t="s">
        <v>455</v>
      </c>
      <c r="AC19" s="1872">
        <f>SUM(F1040_Line10,AA19)</f>
        <v>0</v>
      </c>
      <c r="AD19" s="1898"/>
      <c r="AE19" s="1898"/>
      <c r="AF19" s="1901"/>
    </row>
    <row r="20" spans="1:33" ht="15" customHeight="1">
      <c r="A20" s="82"/>
      <c r="B20" s="161" t="s">
        <v>1201</v>
      </c>
      <c r="C20" s="403" t="s">
        <v>3366</v>
      </c>
      <c r="D20" s="185"/>
      <c r="E20" s="237"/>
      <c r="F20" s="237"/>
      <c r="G20" s="615"/>
      <c r="H20" s="1171" t="s">
        <v>111</v>
      </c>
      <c r="I20" s="19"/>
      <c r="J20" s="238"/>
      <c r="K20" s="1553"/>
      <c r="L20" s="343" t="str">
        <f t="shared" si="0"/>
        <v>2e</v>
      </c>
      <c r="M20" s="1726"/>
      <c r="N20" s="717"/>
      <c r="O20" s="3461"/>
      <c r="P20" s="4102" t="s">
        <v>974</v>
      </c>
      <c r="Q20" s="455"/>
      <c r="R20" s="1441"/>
      <c r="S20" s="1897"/>
      <c r="T20" s="1898"/>
      <c r="U20" s="1898"/>
      <c r="V20" s="1899"/>
      <c r="W20" s="1898"/>
      <c r="X20" s="1898"/>
      <c r="Y20" s="1898"/>
      <c r="Z20" s="1898"/>
      <c r="AA20" s="1569" t="s">
        <v>2650</v>
      </c>
      <c r="AB20" s="1898"/>
      <c r="AC20" s="1898"/>
      <c r="AD20" s="1898"/>
      <c r="AE20" s="1898"/>
      <c r="AF20" s="1901"/>
    </row>
    <row r="21" spans="1:33" ht="15" customHeight="1">
      <c r="A21" s="82"/>
      <c r="B21" s="161" t="s">
        <v>1202</v>
      </c>
      <c r="C21" s="403" t="s">
        <v>153</v>
      </c>
      <c r="D21" s="185"/>
      <c r="E21" s="237"/>
      <c r="F21" s="237"/>
      <c r="G21" s="3078" t="str">
        <f>IF($M$21&gt;0,"(Enter Line 11 as a negative amount.)","  .   .   .   .   .   .   .   .   .   .   .   .   .   .")</f>
        <v xml:space="preserve">  .   .   .   .   .   .   .   .   .   .   .   .   .   .</v>
      </c>
      <c r="H21" s="238"/>
      <c r="I21" s="238"/>
      <c r="J21" s="238"/>
      <c r="K21" s="1553" t="s">
        <v>878</v>
      </c>
      <c r="L21" s="343" t="str">
        <f t="shared" si="0"/>
        <v>2f</v>
      </c>
      <c r="M21" s="1726"/>
      <c r="N21" s="717"/>
      <c r="O21" s="3461"/>
      <c r="P21" s="4102" t="s">
        <v>975</v>
      </c>
      <c r="Q21" s="455"/>
      <c r="R21" s="1441"/>
      <c r="S21" s="1897"/>
      <c r="T21" s="1898"/>
      <c r="U21" s="1898"/>
      <c r="V21" s="1899"/>
      <c r="W21" s="1898"/>
      <c r="X21" s="1898"/>
      <c r="Y21" s="1898"/>
      <c r="Z21" s="1898"/>
      <c r="AA21" s="1898"/>
      <c r="AB21" s="1898"/>
      <c r="AC21" s="1898"/>
      <c r="AD21" s="1898"/>
      <c r="AE21" s="1898"/>
      <c r="AF21" s="1901"/>
    </row>
    <row r="22" spans="1:33" ht="15" customHeight="1">
      <c r="A22" s="82"/>
      <c r="B22" s="161" t="s">
        <v>2693</v>
      </c>
      <c r="C22" s="403" t="s">
        <v>152</v>
      </c>
      <c r="D22" s="185"/>
      <c r="E22" s="237"/>
      <c r="F22" s="237"/>
      <c r="G22" s="238"/>
      <c r="H22" s="238"/>
      <c r="I22" s="238"/>
      <c r="J22" s="238"/>
      <c r="K22" s="593" t="s">
        <v>679</v>
      </c>
      <c r="L22" s="343" t="str">
        <f t="shared" si="0"/>
        <v>2g</v>
      </c>
      <c r="M22" s="1726">
        <f>SUM('1099-INT'!I74,'1099-DIV'!H105)</f>
        <v>0</v>
      </c>
      <c r="N22" s="717"/>
      <c r="O22" s="3461"/>
      <c r="P22" s="4102" t="s">
        <v>3368</v>
      </c>
      <c r="Q22" s="455"/>
      <c r="R22" s="1441"/>
      <c r="S22" s="1897"/>
      <c r="T22" s="1898"/>
      <c r="U22" s="3301" t="s">
        <v>35</v>
      </c>
      <c r="V22" s="3300" t="s">
        <v>3901</v>
      </c>
      <c r="W22" s="1898"/>
      <c r="X22" s="1898"/>
      <c r="Y22" s="1898"/>
      <c r="Z22" s="1898"/>
      <c r="AA22" s="4807" t="s">
        <v>4495</v>
      </c>
      <c r="AB22" s="4456" t="s">
        <v>35</v>
      </c>
      <c r="AC22" s="1872">
        <f>SUM(AC17,-AC19)</f>
        <v>0</v>
      </c>
      <c r="AD22" s="1898"/>
      <c r="AE22" s="1898"/>
      <c r="AF22" s="1901"/>
    </row>
    <row r="23" spans="1:33" ht="15" customHeight="1">
      <c r="A23" s="82"/>
      <c r="B23" s="161" t="s">
        <v>132</v>
      </c>
      <c r="C23" s="403" t="s">
        <v>2551</v>
      </c>
      <c r="D23" s="185"/>
      <c r="E23" s="237"/>
      <c r="F23" s="237"/>
      <c r="G23" s="238"/>
      <c r="H23" s="238"/>
      <c r="I23" s="238"/>
      <c r="J23" s="238"/>
      <c r="K23" s="1553" t="s">
        <v>2680</v>
      </c>
      <c r="L23" s="343" t="str">
        <f t="shared" si="0"/>
        <v>2h</v>
      </c>
      <c r="M23" s="1726"/>
      <c r="N23" s="717"/>
      <c r="O23" s="3461"/>
      <c r="P23" s="4102" t="str">
        <f>TEXT(P32,"$0,000")&amp;", you must include an"</f>
        <v>$718,800, you must include an</v>
      </c>
      <c r="Q23" s="455"/>
      <c r="R23" s="1441"/>
      <c r="S23" s="1897"/>
      <c r="T23" s="1898"/>
      <c r="U23" s="1898"/>
      <c r="V23" s="1899"/>
      <c r="W23" s="1898"/>
      <c r="X23" s="1898"/>
      <c r="Y23" s="1898"/>
      <c r="Z23" s="1898"/>
      <c r="AA23" s="1898"/>
      <c r="AB23" s="1898"/>
      <c r="AC23" s="1898"/>
      <c r="AD23" s="1898"/>
      <c r="AE23" s="1898"/>
      <c r="AF23" s="1901"/>
    </row>
    <row r="24" spans="1:33" ht="15" customHeight="1">
      <c r="A24" s="82"/>
      <c r="B24" s="161" t="s">
        <v>2702</v>
      </c>
      <c r="C24" s="403" t="s">
        <v>118</v>
      </c>
      <c r="D24" s="185"/>
      <c r="E24" s="237"/>
      <c r="F24" s="237"/>
      <c r="G24" s="238"/>
      <c r="H24" s="238"/>
      <c r="I24" s="238"/>
      <c r="J24" s="238"/>
      <c r="K24" s="1553" t="s">
        <v>747</v>
      </c>
      <c r="L24" s="343" t="str">
        <f t="shared" si="0"/>
        <v>2i</v>
      </c>
      <c r="M24" s="1726"/>
      <c r="N24" s="717"/>
      <c r="O24" s="3461"/>
      <c r="P24" s="4102" t="s">
        <v>3369</v>
      </c>
      <c r="Q24" s="455"/>
      <c r="R24" s="1441"/>
      <c r="S24" s="1897"/>
      <c r="T24" s="1898"/>
      <c r="U24" s="3301" t="s">
        <v>75</v>
      </c>
      <c r="V24" s="3300" t="s">
        <v>1332</v>
      </c>
      <c r="W24" s="1898"/>
      <c r="X24" s="1898"/>
      <c r="Y24" s="1898"/>
      <c r="Z24" s="1898"/>
      <c r="AA24" s="1898"/>
      <c r="AB24" s="1898"/>
      <c r="AC24" s="1898"/>
      <c r="AD24" s="1898"/>
      <c r="AE24" s="1898"/>
      <c r="AF24" s="1901"/>
    </row>
    <row r="25" spans="1:33" ht="15" customHeight="1">
      <c r="A25" s="82"/>
      <c r="B25" s="161" t="s">
        <v>2694</v>
      </c>
      <c r="C25" s="403" t="s">
        <v>208</v>
      </c>
      <c r="D25" s="185"/>
      <c r="E25" s="237"/>
      <c r="F25" s="237"/>
      <c r="G25" s="238"/>
      <c r="H25" s="238"/>
      <c r="I25" s="238"/>
      <c r="J25" s="238"/>
      <c r="K25" s="1553" t="s">
        <v>857</v>
      </c>
      <c r="L25" s="343" t="str">
        <f t="shared" si="0"/>
        <v>2j</v>
      </c>
      <c r="M25" s="1726"/>
      <c r="N25" s="717"/>
      <c r="O25" s="3461"/>
      <c r="P25" s="4102" t="str">
        <f>TEXT(P33,"$0,000")&amp;" or more, include an additional"</f>
        <v>$418,450 or more, include an additional</v>
      </c>
      <c r="Q25" s="455"/>
      <c r="R25" s="1441"/>
      <c r="S25" s="1897"/>
      <c r="T25" s="1898"/>
      <c r="U25" s="1899" t="s">
        <v>156</v>
      </c>
      <c r="V25" s="3300" t="str">
        <f>"Single or head of household -- "&amp;TEXT(I42,"$0,000")</f>
        <v>Single or head of household -- $70,300</v>
      </c>
      <c r="W25" s="1898"/>
      <c r="X25" s="1898"/>
      <c r="Y25" s="1898"/>
      <c r="Z25" s="1898"/>
      <c r="AA25" s="4807" t="s">
        <v>2482</v>
      </c>
      <c r="AB25" s="4456" t="s">
        <v>75</v>
      </c>
      <c r="AC25" s="1872" t="str">
        <f>IF(OR(File_Single&lt;&gt;"",File_Head&lt;&gt;""),I42,IF(OR(File_Marr_Joint&lt;&gt;"",File_Qual_Widow&lt;&gt;""),I43,IF(File_Marr_Sep&lt;&gt;"",I44,"Filing status?")))</f>
        <v>Filing status?</v>
      </c>
      <c r="AD25" s="1898"/>
      <c r="AE25" s="1898"/>
      <c r="AF25" s="1901"/>
    </row>
    <row r="26" spans="1:33" ht="15" customHeight="1">
      <c r="A26" s="82"/>
      <c r="B26" s="161" t="s">
        <v>3363</v>
      </c>
      <c r="C26" s="403" t="s">
        <v>241</v>
      </c>
      <c r="D26" s="185"/>
      <c r="E26" s="237"/>
      <c r="F26" s="237"/>
      <c r="G26" s="238"/>
      <c r="H26" s="238"/>
      <c r="I26" s="238"/>
      <c r="J26" s="238"/>
      <c r="K26" s="1553" t="s">
        <v>857</v>
      </c>
      <c r="L26" s="343" t="str">
        <f t="shared" ref="L26:L35" si="1">"2"&amp;B26</f>
        <v>2k</v>
      </c>
      <c r="M26" s="1726"/>
      <c r="N26" s="717"/>
      <c r="O26" s="3461"/>
      <c r="P26" s="4102" t="str">
        <f>TEXT(P34,"$0,000")&amp;". Otherwise, include "&amp;TEXT(P35,"0%")&amp;" of the"</f>
        <v>$54,700. Otherwise, include 25% of the</v>
      </c>
      <c r="Q26" s="455"/>
      <c r="R26" s="1441"/>
      <c r="S26" s="1897"/>
      <c r="T26" s="1898"/>
      <c r="U26" s="1899" t="s">
        <v>156</v>
      </c>
      <c r="V26" s="3300" t="str">
        <f>"Married filing jointly or qualifying widow(er) -- "&amp;TEXT(I43,"$0,000")</f>
        <v>Married filing jointly or qualifying widow(er) -- $109,400</v>
      </c>
      <c r="W26" s="1898"/>
      <c r="X26" s="1898"/>
      <c r="Y26" s="1898"/>
      <c r="Z26" s="1898"/>
      <c r="AA26" s="1908"/>
      <c r="AB26" s="1898"/>
      <c r="AC26" s="1898"/>
      <c r="AD26" s="1898"/>
      <c r="AE26" s="1898"/>
      <c r="AF26" s="1901"/>
      <c r="AG26" s="1683"/>
    </row>
    <row r="27" spans="1:33" ht="15" customHeight="1">
      <c r="A27" s="82"/>
      <c r="B27" s="161" t="s">
        <v>385</v>
      </c>
      <c r="C27" s="403" t="s">
        <v>423</v>
      </c>
      <c r="D27" s="185"/>
      <c r="E27" s="237"/>
      <c r="F27" s="237"/>
      <c r="G27" s="238"/>
      <c r="H27" s="238"/>
      <c r="I27" s="238"/>
      <c r="J27" s="238"/>
      <c r="K27" s="1553" t="s">
        <v>878</v>
      </c>
      <c r="L27" s="343" t="str">
        <f t="shared" si="1"/>
        <v>2l</v>
      </c>
      <c r="M27" s="1726"/>
      <c r="N27" s="717"/>
      <c r="O27" s="3461"/>
      <c r="P27" s="4102" t="s">
        <v>976</v>
      </c>
      <c r="Q27" s="455"/>
      <c r="R27" s="1441"/>
      <c r="S27" s="1897"/>
      <c r="T27" s="1898"/>
      <c r="U27" s="1899" t="s">
        <v>156</v>
      </c>
      <c r="V27" s="3300" t="str">
        <f>"Married filing separately -- "&amp;TEXT(I44,"$0,000")</f>
        <v>Married filing separately -- $54,700</v>
      </c>
      <c r="W27" s="1898"/>
      <c r="X27" s="1898"/>
      <c r="Y27" s="1898"/>
      <c r="Z27" s="1898"/>
      <c r="AA27" s="1908"/>
      <c r="AB27" s="1898"/>
      <c r="AC27" s="1898"/>
      <c r="AD27" s="1898"/>
      <c r="AE27" s="1898"/>
      <c r="AF27" s="1901"/>
    </row>
    <row r="28" spans="1:33" ht="15" customHeight="1">
      <c r="A28" s="82"/>
      <c r="B28" s="161" t="s">
        <v>3362</v>
      </c>
      <c r="C28" s="403" t="s">
        <v>4474</v>
      </c>
      <c r="D28" s="185"/>
      <c r="E28" s="237"/>
      <c r="F28" s="237"/>
      <c r="G28" s="238"/>
      <c r="H28" s="238"/>
      <c r="I28" s="238"/>
      <c r="J28" s="238"/>
      <c r="K28" s="1553" t="s">
        <v>681</v>
      </c>
      <c r="L28" s="343" t="str">
        <f t="shared" si="1"/>
        <v>2m</v>
      </c>
      <c r="M28" s="1726"/>
      <c r="N28" s="717"/>
      <c r="O28" s="3461"/>
      <c r="P28" s="4102" t="str">
        <f>TEXT(P32,"$0,000")&amp;". For example, if the amount"</f>
        <v>$718,800. For example, if the amount</v>
      </c>
      <c r="Q28" s="455"/>
      <c r="R28" s="1441"/>
      <c r="S28" s="1897"/>
      <c r="T28" s="1898"/>
      <c r="U28" s="1898"/>
      <c r="V28" s="1899"/>
      <c r="W28" s="1898"/>
      <c r="X28" s="1898"/>
      <c r="Y28" s="1898"/>
      <c r="Z28" s="1898"/>
      <c r="AA28" s="1898"/>
      <c r="AB28" s="1898"/>
      <c r="AC28" s="1898"/>
      <c r="AD28" s="1898"/>
      <c r="AE28" s="1898"/>
      <c r="AF28" s="1901"/>
    </row>
    <row r="29" spans="1:33" ht="15" customHeight="1">
      <c r="A29" s="82"/>
      <c r="B29" s="161" t="s">
        <v>3361</v>
      </c>
      <c r="C29" s="403" t="s">
        <v>487</v>
      </c>
      <c r="D29" s="185"/>
      <c r="E29" s="237"/>
      <c r="F29" s="237"/>
      <c r="G29" s="238"/>
      <c r="H29" s="238"/>
      <c r="I29" s="238"/>
      <c r="J29" s="238"/>
      <c r="K29" s="1553" t="s">
        <v>681</v>
      </c>
      <c r="L29" s="343" t="str">
        <f t="shared" si="1"/>
        <v>2n</v>
      </c>
      <c r="M29" s="1726"/>
      <c r="N29" s="717"/>
      <c r="O29" s="3461"/>
      <c r="P29" s="4102" t="str">
        <f>"on line 4 is "&amp;TEXT(P32+R29,"$0,000")&amp;", enter "&amp;TEXT(P32+R29+5000,"$0,000")</f>
        <v>on line 4 is $738,800, enter $743,800</v>
      </c>
      <c r="Q29" s="455"/>
      <c r="R29" s="1441">
        <v>20000</v>
      </c>
      <c r="S29" s="1897"/>
      <c r="T29" s="1898"/>
      <c r="U29" s="3301" t="s">
        <v>76</v>
      </c>
      <c r="V29" s="3300" t="s">
        <v>3902</v>
      </c>
      <c r="W29" s="1898"/>
      <c r="X29" s="1898"/>
      <c r="Y29" s="1898"/>
      <c r="Z29" s="1898"/>
      <c r="AA29" s="1898"/>
      <c r="AB29" s="1898"/>
      <c r="AC29" s="1898"/>
      <c r="AD29" s="1898"/>
      <c r="AE29" s="1898"/>
      <c r="AF29" s="1901"/>
    </row>
    <row r="30" spans="1:33" ht="15" customHeight="1" thickBot="1">
      <c r="A30" s="82"/>
      <c r="B30" s="161" t="s">
        <v>2906</v>
      </c>
      <c r="C30" s="403" t="s">
        <v>486</v>
      </c>
      <c r="D30" s="185"/>
      <c r="E30" s="237"/>
      <c r="F30" s="237"/>
      <c r="G30" s="238"/>
      <c r="H30" s="238"/>
      <c r="I30" s="238"/>
      <c r="J30" s="238"/>
      <c r="K30" s="1553" t="s">
        <v>677</v>
      </c>
      <c r="L30" s="343" t="str">
        <f t="shared" si="1"/>
        <v>2o</v>
      </c>
      <c r="M30" s="1726"/>
      <c r="N30" s="717"/>
      <c r="O30" s="3461"/>
      <c r="P30" s="4102" t="str">
        <f>"instead—the additional "&amp;TEXT(P35*R29,"$0,000")&amp;" is "&amp;TEXT(P35,"0%")</f>
        <v>instead—the additional $5,000 is 25%</v>
      </c>
      <c r="Q30" s="455"/>
      <c r="R30" s="1441"/>
      <c r="S30" s="1897"/>
      <c r="T30" s="1898"/>
      <c r="U30" s="1898"/>
      <c r="V30" s="1899"/>
      <c r="W30" s="1898"/>
      <c r="X30" s="1898"/>
      <c r="Y30" s="1898"/>
      <c r="Z30" s="1898"/>
      <c r="AA30" s="1898"/>
      <c r="AB30" s="1898"/>
      <c r="AC30" s="1898"/>
      <c r="AD30" s="1898"/>
      <c r="AE30" s="1898"/>
      <c r="AF30" s="1901"/>
    </row>
    <row r="31" spans="1:33" ht="15" customHeight="1" thickBot="1">
      <c r="A31" s="82"/>
      <c r="B31" s="161" t="s">
        <v>3360</v>
      </c>
      <c r="C31" s="403" t="s">
        <v>485</v>
      </c>
      <c r="D31" s="185"/>
      <c r="E31" s="237"/>
      <c r="F31" s="237"/>
      <c r="G31" s="238"/>
      <c r="H31" s="238"/>
      <c r="I31" s="238"/>
      <c r="J31" s="238"/>
      <c r="K31" s="1553" t="s">
        <v>680</v>
      </c>
      <c r="L31" s="343" t="str">
        <f t="shared" si="1"/>
        <v>2p</v>
      </c>
      <c r="M31" s="1726"/>
      <c r="N31" s="717"/>
      <c r="O31" s="3461"/>
      <c r="P31" s="4102" t="str">
        <f>"of "&amp;TEXT(R29,"$0,000")&amp;" ("&amp;TEXT(P32+R29,"$0,000")&amp;" minus "&amp;TEXT(P32,"$0,000")&amp;")."</f>
        <v>of $20,000 ($738,800 minus $718,800).</v>
      </c>
      <c r="Q31" s="455"/>
      <c r="R31" s="1441"/>
      <c r="S31" s="1897"/>
      <c r="T31" s="1898"/>
      <c r="U31" s="1921" t="str">
        <f>IF(AC22&gt;AC25,"","X")</f>
        <v>X</v>
      </c>
      <c r="V31" s="3300" t="s">
        <v>472</v>
      </c>
      <c r="W31" s="3300" t="s">
        <v>2883</v>
      </c>
      <c r="X31" s="1898"/>
      <c r="Y31" s="1898"/>
      <c r="Z31" s="1898"/>
      <c r="AA31" s="1898"/>
      <c r="AB31" s="1898"/>
      <c r="AC31" s="1898"/>
      <c r="AD31" s="1898"/>
      <c r="AE31" s="1898"/>
      <c r="AF31" s="1901"/>
    </row>
    <row r="32" spans="1:33" ht="15" customHeight="1" thickBot="1">
      <c r="A32" s="82"/>
      <c r="B32" s="161" t="s">
        <v>3359</v>
      </c>
      <c r="C32" s="403" t="s">
        <v>348</v>
      </c>
      <c r="D32" s="185"/>
      <c r="E32" s="237"/>
      <c r="F32" s="237"/>
      <c r="G32" s="238"/>
      <c r="H32" s="238"/>
      <c r="I32" s="238"/>
      <c r="J32" s="238"/>
      <c r="K32" s="1553" t="s">
        <v>524</v>
      </c>
      <c r="L32" s="343" t="str">
        <f t="shared" si="1"/>
        <v>2q</v>
      </c>
      <c r="M32" s="1726"/>
      <c r="N32" s="717"/>
      <c r="O32" s="3461"/>
      <c r="P32" s="4103">
        <v>718800</v>
      </c>
      <c r="Q32" s="455"/>
      <c r="R32" s="3435"/>
      <c r="S32" s="1897"/>
      <c r="T32" s="1898"/>
      <c r="U32" s="3302"/>
      <c r="V32" s="3300"/>
      <c r="W32" s="3546" t="s">
        <v>3903</v>
      </c>
      <c r="X32" s="1898"/>
      <c r="Y32" s="1898"/>
      <c r="Z32" s="1898"/>
      <c r="AA32" s="1898"/>
      <c r="AB32" s="1898"/>
      <c r="AC32" s="1898"/>
      <c r="AD32" s="1898"/>
      <c r="AE32" s="1898"/>
      <c r="AF32" s="1901"/>
    </row>
    <row r="33" spans="1:33" ht="15" customHeight="1" thickBot="1">
      <c r="A33" s="82"/>
      <c r="B33" s="161" t="s">
        <v>3358</v>
      </c>
      <c r="C33" s="403" t="s">
        <v>502</v>
      </c>
      <c r="D33" s="185"/>
      <c r="E33" s="237"/>
      <c r="F33" s="237"/>
      <c r="G33" s="238"/>
      <c r="H33" s="238"/>
      <c r="I33" s="238"/>
      <c r="J33" s="238"/>
      <c r="K33" s="1553" t="s">
        <v>857</v>
      </c>
      <c r="L33" s="343" t="str">
        <f t="shared" si="1"/>
        <v>2r</v>
      </c>
      <c r="M33" s="1726"/>
      <c r="N33" s="717"/>
      <c r="O33" s="3461"/>
      <c r="P33" s="4103">
        <v>418450</v>
      </c>
      <c r="Q33" s="455"/>
      <c r="R33" s="3435"/>
      <c r="S33" s="1897"/>
      <c r="T33" s="1898"/>
      <c r="U33" s="1921" t="str">
        <f>IF(AC22&gt;AC25,"X","")</f>
        <v/>
      </c>
      <c r="V33" s="3300" t="s">
        <v>474</v>
      </c>
      <c r="W33" s="3300" t="s">
        <v>3904</v>
      </c>
      <c r="X33" s="1898"/>
      <c r="Y33" s="1898"/>
      <c r="Z33" s="1898"/>
      <c r="AA33" s="4807" t="s">
        <v>1291</v>
      </c>
      <c r="AB33" s="4456" t="s">
        <v>76</v>
      </c>
      <c r="AC33" s="1872" t="str">
        <f>IF(U31="X","",SUM(AC22,-AC25))</f>
        <v/>
      </c>
      <c r="AD33" s="1898"/>
      <c r="AE33" s="1898"/>
      <c r="AF33" s="1901"/>
    </row>
    <row r="34" spans="1:33" ht="15" customHeight="1">
      <c r="A34" s="82"/>
      <c r="B34" s="161" t="s">
        <v>3357</v>
      </c>
      <c r="C34" s="403" t="s">
        <v>545</v>
      </c>
      <c r="D34" s="185"/>
      <c r="E34" s="237"/>
      <c r="F34" s="237"/>
      <c r="G34" s="238"/>
      <c r="H34" s="238"/>
      <c r="I34" s="650"/>
      <c r="J34" s="238"/>
      <c r="K34" s="650" t="str">
        <f>IF($M$34&gt;0,"(Enter as negative amount)",".   .   .   .   .   .   .   .   .   .   .   .   .   .   .   .   . ")</f>
        <v xml:space="preserve">.   .   .   .   .   .   .   .   .   .   .   .   .   .   .   .   . </v>
      </c>
      <c r="L34" s="343" t="str">
        <f t="shared" si="1"/>
        <v>2s</v>
      </c>
      <c r="M34" s="1726"/>
      <c r="N34" s="717"/>
      <c r="O34" s="3461"/>
      <c r="P34" s="4103">
        <f>I44</f>
        <v>54700</v>
      </c>
      <c r="Q34" s="455"/>
      <c r="R34" s="3435"/>
      <c r="S34" s="1897"/>
      <c r="T34" s="1898"/>
      <c r="U34" s="1898"/>
      <c r="V34" s="1899"/>
      <c r="W34" s="1898"/>
      <c r="X34" s="1898"/>
      <c r="Y34" s="1898"/>
      <c r="Z34" s="1898"/>
      <c r="AA34" s="1898"/>
      <c r="AB34" s="1898"/>
      <c r="AC34" s="1898"/>
      <c r="AD34" s="1898"/>
      <c r="AE34" s="1898"/>
      <c r="AF34" s="1901"/>
    </row>
    <row r="35" spans="1:33" ht="15" customHeight="1">
      <c r="A35" s="82"/>
      <c r="B35" s="161" t="s">
        <v>3356</v>
      </c>
      <c r="C35" s="403" t="s">
        <v>544</v>
      </c>
      <c r="D35" s="185"/>
      <c r="E35" s="237"/>
      <c r="F35" s="237"/>
      <c r="G35" s="238"/>
      <c r="H35" s="238"/>
      <c r="I35" s="238"/>
      <c r="J35" s="238"/>
      <c r="K35" s="1553" t="s">
        <v>763</v>
      </c>
      <c r="L35" s="343" t="str">
        <f t="shared" si="1"/>
        <v>2t</v>
      </c>
      <c r="M35" s="1726"/>
      <c r="N35" s="717"/>
      <c r="O35" s="3461"/>
      <c r="P35" s="4102">
        <v>0.25</v>
      </c>
      <c r="Q35" s="455"/>
      <c r="R35" s="3435"/>
      <c r="S35" s="1897"/>
      <c r="T35" s="1898"/>
      <c r="U35" s="3301" t="s">
        <v>232</v>
      </c>
      <c r="V35" s="3300" t="s">
        <v>214</v>
      </c>
      <c r="W35" s="1898"/>
      <c r="X35" s="1898"/>
      <c r="Y35" s="1898"/>
      <c r="Z35" s="1898"/>
      <c r="AA35" s="1898"/>
      <c r="AB35" s="1898"/>
      <c r="AC35" s="1898"/>
      <c r="AD35" s="1898"/>
      <c r="AE35" s="1898"/>
      <c r="AF35" s="1901"/>
    </row>
    <row r="36" spans="1:33" ht="15" customHeight="1">
      <c r="A36" s="82"/>
      <c r="B36" s="161">
        <v>3</v>
      </c>
      <c r="C36" s="403" t="s">
        <v>543</v>
      </c>
      <c r="D36" s="185"/>
      <c r="E36" s="237"/>
      <c r="F36" s="237"/>
      <c r="G36" s="238"/>
      <c r="H36" s="238"/>
      <c r="I36" s="238"/>
      <c r="J36" s="238"/>
      <c r="K36" s="1553" t="s">
        <v>312</v>
      </c>
      <c r="L36" s="343">
        <f>B36</f>
        <v>3</v>
      </c>
      <c r="M36" s="1726"/>
      <c r="N36" s="717"/>
      <c r="O36" s="3461"/>
      <c r="P36" s="4104">
        <f>SUM(M14,M16,M17,SUM(M18:M36))</f>
        <v>0</v>
      </c>
      <c r="Q36" s="455"/>
      <c r="R36" s="1679" t="s">
        <v>977</v>
      </c>
      <c r="S36" s="1897"/>
      <c r="T36" s="1898"/>
      <c r="U36" s="1899" t="s">
        <v>156</v>
      </c>
      <c r="V36" s="3300" t="str">
        <f>"Single or head of household -- "&amp;TEXT(G42,"$0,000")</f>
        <v>Single or head of household -- $500,000</v>
      </c>
      <c r="W36" s="1898"/>
      <c r="X36" s="1898"/>
      <c r="Y36" s="1898"/>
      <c r="Z36" s="1898"/>
      <c r="AA36" s="1908"/>
      <c r="AB36" s="1898"/>
      <c r="AC36" s="1898"/>
      <c r="AD36" s="1898"/>
      <c r="AE36" s="1898"/>
      <c r="AF36" s="1901"/>
    </row>
    <row r="37" spans="1:33" ht="15" customHeight="1">
      <c r="A37" s="82"/>
      <c r="B37" s="161">
        <f>B36+1</f>
        <v>4</v>
      </c>
      <c r="C37" s="225" t="s">
        <v>4475</v>
      </c>
      <c r="D37" s="170"/>
      <c r="E37" s="237"/>
      <c r="F37" s="237"/>
      <c r="G37" s="238"/>
      <c r="H37" s="238"/>
      <c r="I37" s="238"/>
      <c r="J37" s="238"/>
      <c r="K37" s="614"/>
      <c r="L37" s="637"/>
      <c r="M37" s="1678">
        <f>SUM(P36,P37)</f>
        <v>0</v>
      </c>
      <c r="N37" s="716"/>
      <c r="O37" s="3461"/>
      <c r="P37" s="3327">
        <f>IF(P36&gt;P32,ROUND(P35*(SUM(P36,-P32)),0),IF(P36&gt;P33,P34,0))</f>
        <v>0</v>
      </c>
      <c r="Q37" s="455"/>
      <c r="R37" s="1679" t="s">
        <v>3405</v>
      </c>
      <c r="S37" s="1897"/>
      <c r="T37" s="1898"/>
      <c r="U37" s="1899" t="s">
        <v>156</v>
      </c>
      <c r="V37" s="3300" t="str">
        <f>"Married filing jointly or qualifying widow(er) -- "&amp;TEXT(G43,"$0,000")</f>
        <v>Married filing jointly or qualifying widow(er) -- $1,000,000</v>
      </c>
      <c r="W37" s="1898"/>
      <c r="X37" s="1898"/>
      <c r="Y37" s="1898"/>
      <c r="Z37" s="1898"/>
      <c r="AA37" s="4806" t="s">
        <v>3533</v>
      </c>
      <c r="AB37" s="4456" t="s">
        <v>232</v>
      </c>
      <c r="AC37" s="1872" t="str">
        <f>IF(U31="X","",IF(OR(File_Single&lt;&gt;"",File_Head&lt;&gt;""),G42,IF(OR(File_Marr_Joint&lt;&gt;"",File_Qual_Widow&lt;&gt;""),G43,IF(File_Marr_Sep&lt;&gt;"",G44,"Filing status?"))))</f>
        <v/>
      </c>
      <c r="AD37" s="1898"/>
      <c r="AE37" s="1898"/>
      <c r="AF37" s="1901"/>
    </row>
    <row r="38" spans="1:33" ht="15" customHeight="1">
      <c r="A38" s="82"/>
      <c r="B38" s="161"/>
      <c r="C38" s="403" t="str">
        <f>"is more than "&amp;TEXT(P32,"$0,000")&amp;", see instructions.)"</f>
        <v>is more than $718,800, see instructions.)</v>
      </c>
      <c r="D38" s="185"/>
      <c r="E38" s="237"/>
      <c r="F38" s="237"/>
      <c r="G38" s="238"/>
      <c r="H38" s="238"/>
      <c r="I38" s="238"/>
      <c r="J38" s="238"/>
      <c r="K38" s="1553" t="s">
        <v>1150</v>
      </c>
      <c r="L38" s="637">
        <f>B37</f>
        <v>4</v>
      </c>
      <c r="M38" s="1725">
        <f>IF(P38&lt;&gt;"",ROUND(P38,0),IF(AND(File_Marr_Sep&lt;&gt;"",P36&gt;P32),M37,P36))</f>
        <v>0</v>
      </c>
      <c r="N38" s="716"/>
      <c r="O38" s="3461"/>
      <c r="P38" s="470"/>
      <c r="Q38" s="455"/>
      <c r="R38" s="1680"/>
      <c r="S38" s="1897"/>
      <c r="T38" s="1898"/>
      <c r="U38" s="1899" t="s">
        <v>156</v>
      </c>
      <c r="V38" s="3300" t="str">
        <f>"Married filing separately -- "&amp;TEXT(G44,"$0,000")</f>
        <v>Married filing separately -- $500,000</v>
      </c>
      <c r="W38" s="1898"/>
      <c r="X38" s="1898"/>
      <c r="Y38" s="1898"/>
      <c r="Z38" s="1898"/>
      <c r="AA38" s="1908"/>
      <c r="AB38" s="1898"/>
      <c r="AC38" s="1898"/>
      <c r="AD38" s="1898"/>
      <c r="AE38" s="1898"/>
      <c r="AF38" s="1901"/>
    </row>
    <row r="39" spans="1:33" ht="15" customHeight="1">
      <c r="A39" s="82"/>
      <c r="B39" s="618" t="s">
        <v>130</v>
      </c>
      <c r="C39" s="7655" t="s">
        <v>3370</v>
      </c>
      <c r="D39" s="7656"/>
      <c r="E39" s="7657"/>
      <c r="F39" s="7657"/>
      <c r="G39" s="7657"/>
      <c r="H39" s="7657"/>
      <c r="I39" s="7657"/>
      <c r="J39" s="7657"/>
      <c r="K39" s="7657"/>
      <c r="L39" s="7657"/>
      <c r="M39" s="7657"/>
      <c r="N39" s="718"/>
      <c r="O39" s="3455"/>
      <c r="P39" s="620"/>
      <c r="Q39" s="421"/>
      <c r="R39" s="1680"/>
      <c r="S39" s="1897"/>
      <c r="T39" s="1898"/>
      <c r="U39" s="1898"/>
      <c r="V39" s="1899"/>
      <c r="W39" s="1898"/>
      <c r="X39" s="1898"/>
      <c r="Y39" s="1898"/>
      <c r="Z39" s="1898"/>
      <c r="AA39" s="1908"/>
      <c r="AB39" s="1898"/>
      <c r="AC39" s="1898"/>
      <c r="AD39" s="1898"/>
      <c r="AE39" s="1898"/>
      <c r="AF39" s="1901"/>
    </row>
    <row r="40" spans="1:33" ht="15" customHeight="1" thickBot="1">
      <c r="A40" s="82"/>
      <c r="B40" s="162">
        <f>B37+1</f>
        <v>5</v>
      </c>
      <c r="C40" s="403" t="str">
        <f>"Exemption. (If you were under age 24 at the end of "&amp;TaxYear&amp;", see instructions.)"</f>
        <v>Exemption. (If you were under age 24 at the end of 2018, see instructions.)</v>
      </c>
      <c r="D40" s="185"/>
      <c r="E40" s="237"/>
      <c r="F40" s="237"/>
      <c r="G40" s="238"/>
      <c r="H40" s="238"/>
      <c r="I40" s="238"/>
      <c r="J40" s="238"/>
      <c r="K40" s="1553" t="s">
        <v>681</v>
      </c>
      <c r="L40" s="248"/>
      <c r="M40" s="1795"/>
      <c r="N40" s="719"/>
      <c r="O40" s="3461"/>
      <c r="P40" s="620"/>
      <c r="Q40" s="32"/>
      <c r="R40" s="1680"/>
      <c r="S40" s="1897"/>
      <c r="T40" s="1898"/>
      <c r="U40" s="3301" t="s">
        <v>233</v>
      </c>
      <c r="V40" s="3300" t="s">
        <v>3905</v>
      </c>
      <c r="W40" s="1898"/>
      <c r="X40" s="1898"/>
      <c r="Y40" s="1898"/>
      <c r="Z40" s="1898"/>
      <c r="AA40" s="1898"/>
      <c r="AB40" s="1898"/>
      <c r="AC40" s="1898"/>
      <c r="AD40" s="1898"/>
      <c r="AE40" s="1898"/>
      <c r="AF40" s="1901"/>
    </row>
    <row r="41" spans="1:33" ht="15" customHeight="1" thickBot="1">
      <c r="A41" s="82"/>
      <c r="B41" s="162"/>
      <c r="C41" s="225" t="s">
        <v>978</v>
      </c>
      <c r="D41" s="185"/>
      <c r="E41" s="237"/>
      <c r="F41" s="237"/>
      <c r="G41" s="241" t="s">
        <v>3373</v>
      </c>
      <c r="H41" s="238"/>
      <c r="I41" s="241" t="s">
        <v>3374</v>
      </c>
      <c r="J41" s="238"/>
      <c r="K41" s="1553"/>
      <c r="L41" s="249"/>
      <c r="M41" s="1795"/>
      <c r="N41" s="719"/>
      <c r="O41" s="2305"/>
      <c r="P41" s="7630" t="str">
        <f>IF(O41="","Check if this form is for a 'child' under age 24. (See instructions.)",IF(AA83=0,"Question must be answered."&amp;"
"&amp;"(See Cell Z77.)","Line 29 Worksheet completed for person under 24."))</f>
        <v>Check if this form is for a 'child' under age 24. (See instructions.)</v>
      </c>
      <c r="Q41" s="60"/>
      <c r="R41" s="3424" t="b">
        <f>IF(AND(O41&lt;&gt;"",AA83=0),TRUE,FALSE)</f>
        <v>0</v>
      </c>
      <c r="S41" s="1897"/>
      <c r="T41" s="1898"/>
      <c r="U41" s="1898"/>
      <c r="V41" s="1899"/>
      <c r="W41" s="1898"/>
      <c r="X41" s="1898"/>
      <c r="Y41" s="1898"/>
      <c r="Z41" s="1898"/>
      <c r="AA41" s="1898"/>
      <c r="AB41" s="1898"/>
      <c r="AC41" s="1898"/>
      <c r="AD41" s="1898"/>
      <c r="AE41" s="1898"/>
      <c r="AF41" s="1901"/>
    </row>
    <row r="42" spans="1:33" ht="15" customHeight="1" thickBot="1">
      <c r="A42" s="82"/>
      <c r="B42" s="162"/>
      <c r="C42" s="403" t="s">
        <v>979</v>
      </c>
      <c r="D42" s="185"/>
      <c r="E42" s="237"/>
      <c r="F42" s="237"/>
      <c r="G42" s="1745">
        <v>500000</v>
      </c>
      <c r="H42" s="1689" t="str">
        <f>".   .   .   .   ."</f>
        <v>.   .   .   .   .</v>
      </c>
      <c r="I42" s="4795">
        <v>70300</v>
      </c>
      <c r="J42" s="238"/>
      <c r="K42" s="1553"/>
      <c r="L42" s="249"/>
      <c r="M42" s="1795"/>
      <c r="N42" s="719"/>
      <c r="O42" s="3461"/>
      <c r="P42" s="7631"/>
      <c r="Q42" s="32"/>
      <c r="R42" s="1680"/>
      <c r="S42" s="1897"/>
      <c r="T42" s="1898"/>
      <c r="U42" s="1921" t="str">
        <f>IF(U31="X","",IF(AC22&gt;AC37,"","X"))</f>
        <v/>
      </c>
      <c r="V42" s="3300" t="s">
        <v>472</v>
      </c>
      <c r="W42" s="3300" t="s">
        <v>3906</v>
      </c>
      <c r="X42" s="1898"/>
      <c r="Y42" s="1898"/>
      <c r="Z42" s="1898"/>
      <c r="AA42" s="1898"/>
      <c r="AB42" s="1898"/>
      <c r="AC42" s="1909" t="str">
        <f>IF(U42="X","Go to Line 12.","")</f>
        <v/>
      </c>
      <c r="AD42" s="1898"/>
      <c r="AE42" s="1898"/>
      <c r="AF42" s="1901"/>
    </row>
    <row r="43" spans="1:33" ht="12" customHeight="1" thickBot="1">
      <c r="A43" s="82"/>
      <c r="B43" s="162"/>
      <c r="C43" s="403" t="s">
        <v>696</v>
      </c>
      <c r="D43" s="185"/>
      <c r="E43" s="237"/>
      <c r="F43" s="237"/>
      <c r="G43" s="406">
        <v>1000000</v>
      </c>
      <c r="H43" s="1689" t="str">
        <f>".   .   .   .   ."</f>
        <v>.   .   .   .   .</v>
      </c>
      <c r="I43" s="4796">
        <v>109400</v>
      </c>
      <c r="J43" s="238"/>
      <c r="K43" s="1553"/>
      <c r="L43" s="249"/>
      <c r="M43" s="1795"/>
      <c r="N43" s="719"/>
      <c r="O43" s="3461"/>
      <c r="P43" s="1098"/>
      <c r="Q43" s="32"/>
      <c r="R43" s="1680"/>
      <c r="S43" s="1897"/>
      <c r="T43" s="1898"/>
      <c r="U43" s="1898"/>
      <c r="V43" s="1899"/>
      <c r="W43" s="1898"/>
      <c r="X43" s="1898"/>
      <c r="Y43" s="1898"/>
      <c r="Z43" s="1898"/>
      <c r="AA43" s="1898"/>
      <c r="AB43" s="1898"/>
      <c r="AC43" s="1898"/>
      <c r="AD43" s="1898"/>
      <c r="AE43" s="1898"/>
      <c r="AF43" s="1901"/>
    </row>
    <row r="44" spans="1:33" ht="13.5" thickBot="1">
      <c r="A44" s="82"/>
      <c r="B44" s="162"/>
      <c r="C44" s="403" t="s">
        <v>309</v>
      </c>
      <c r="D44" s="185"/>
      <c r="E44" s="237"/>
      <c r="F44" s="225" t="s">
        <v>982</v>
      </c>
      <c r="G44" s="406">
        <v>500000</v>
      </c>
      <c r="H44" s="1689" t="str">
        <f>".   .   .   .   ."</f>
        <v>.   .   .   .   .</v>
      </c>
      <c r="I44" s="4796">
        <v>54700</v>
      </c>
      <c r="J44" s="238"/>
      <c r="K44" s="1553"/>
      <c r="L44" s="249"/>
      <c r="M44" s="1795"/>
      <c r="N44" s="719"/>
      <c r="O44" s="3462"/>
      <c r="P44" s="1098"/>
      <c r="Q44" s="32"/>
      <c r="R44" s="1680"/>
      <c r="S44" s="1897"/>
      <c r="T44" s="1898"/>
      <c r="U44" s="1921" t="str">
        <f>IF(U31="X","",IF(AC22&gt;AC37,"X",""))</f>
        <v/>
      </c>
      <c r="V44" s="3300" t="s">
        <v>474</v>
      </c>
      <c r="W44" s="3300" t="s">
        <v>3907</v>
      </c>
      <c r="X44" s="1898"/>
      <c r="Y44" s="1898"/>
      <c r="Z44" s="1898"/>
      <c r="AA44" s="4807" t="s">
        <v>4491</v>
      </c>
      <c r="AB44" s="4456" t="s">
        <v>233</v>
      </c>
      <c r="AC44" s="1872" t="str">
        <f>IF(U31="X","",IF(U42="X",0,SUM(AC22,-AC37)))</f>
        <v/>
      </c>
      <c r="AD44" s="1898"/>
      <c r="AE44" s="1898"/>
      <c r="AF44" s="1901"/>
    </row>
    <row r="45" spans="1:33" ht="13.5" customHeight="1">
      <c r="A45" s="82"/>
      <c r="B45" s="162"/>
      <c r="C45" s="403" t="s">
        <v>4476</v>
      </c>
      <c r="D45" s="185"/>
      <c r="E45" s="237"/>
      <c r="F45" s="237"/>
      <c r="G45" s="238"/>
      <c r="H45" s="238"/>
      <c r="I45" s="238"/>
      <c r="J45" s="238"/>
      <c r="K45" s="1553"/>
      <c r="L45" s="256">
        <f>B40</f>
        <v>5</v>
      </c>
      <c r="M45" s="1725" t="str">
        <f>IF(P45&lt;&gt;"",ROUND(P45,0),IF(NumFileStatusBoxes=0,"",IF(ChildUnder24&lt;&gt;"",AC115,IF(AND(OR(File_Single&lt;&gt;"",File_Head&lt;&gt;""),AltMinTaxInc&lt;=G42),I42,IF(AND(OR(File_Marr_Joint&lt;&gt;"",File_Qual_Widow&lt;&gt;""),AltMinTaxInc&lt;=G43),I43,IF(AND(File_Marr_Sep&lt;&gt;"",AltMinTaxInc&lt;=G44),I44,AC109))))))</f>
        <v/>
      </c>
      <c r="N45" s="719"/>
      <c r="O45" s="3461"/>
      <c r="P45" s="470"/>
      <c r="Q45" s="32"/>
      <c r="R45" s="2433"/>
      <c r="S45" s="1897"/>
      <c r="T45" s="1898"/>
      <c r="U45" s="1898"/>
      <c r="V45" s="1899"/>
      <c r="W45" s="1898"/>
      <c r="X45" s="1898"/>
      <c r="Y45" s="1898"/>
      <c r="Z45" s="1898"/>
      <c r="AA45" s="1898"/>
      <c r="AB45" s="1898"/>
      <c r="AC45" s="1898"/>
      <c r="AD45" s="1898"/>
      <c r="AE45" s="1898"/>
      <c r="AF45" s="1901"/>
    </row>
    <row r="46" spans="1:33" ht="13.5" customHeight="1">
      <c r="A46" s="82"/>
      <c r="B46" s="161">
        <f>B40+1</f>
        <v>6</v>
      </c>
      <c r="C46" s="403" t="s">
        <v>3371</v>
      </c>
      <c r="D46" s="185"/>
      <c r="E46" s="237"/>
      <c r="F46" s="237"/>
      <c r="G46" s="238"/>
      <c r="H46" s="238"/>
      <c r="I46" s="238"/>
      <c r="J46" s="238"/>
      <c r="K46" s="622"/>
      <c r="L46" s="161"/>
      <c r="M46" s="1795"/>
      <c r="N46" s="717"/>
      <c r="O46" s="3461"/>
      <c r="P46" s="4080" t="str">
        <f>IF(R46,"Go to Line 10.","Go to Line 7")</f>
        <v>Go to Line 10.</v>
      </c>
      <c r="Q46" s="455"/>
      <c r="R46" s="1441" t="b">
        <f>SUM(AltMinTaxInc,M45)&lt;=0</f>
        <v>1</v>
      </c>
      <c r="S46" s="1897"/>
      <c r="T46" s="1898"/>
      <c r="U46" s="3301" t="s">
        <v>337</v>
      </c>
      <c r="V46" s="3300" t="str">
        <f>" Multiply line 9 by "&amp;TEXT(AG53,"0%")&amp;" ("&amp;TEXT(AG53,".00")&amp;") and enter the smaller of the result or line 6"</f>
        <v xml:space="preserve"> Multiply line 9 by 25% (.25) and enter the smaller of the result or line 6</v>
      </c>
      <c r="W46" s="1898"/>
      <c r="X46" s="1898"/>
      <c r="Y46" s="1898"/>
      <c r="Z46" s="1898"/>
      <c r="AA46" s="4807" t="s">
        <v>1993</v>
      </c>
      <c r="AB46" s="4456" t="s">
        <v>337</v>
      </c>
      <c r="AC46" s="1872" t="str">
        <f>IF(U31="X","",MIN(ROUND(AG53*AC44,0),AC25))</f>
        <v/>
      </c>
      <c r="AD46" s="1898"/>
      <c r="AE46" s="1898"/>
      <c r="AF46" s="1901"/>
      <c r="AG46" s="1680">
        <v>781200</v>
      </c>
    </row>
    <row r="47" spans="1:33" ht="13.5" customHeight="1">
      <c r="A47" s="82"/>
      <c r="B47" s="161"/>
      <c r="C47" s="403" t="s">
        <v>3372</v>
      </c>
      <c r="D47" s="185"/>
      <c r="E47" s="237"/>
      <c r="F47" s="237"/>
      <c r="G47" s="238"/>
      <c r="H47" s="238"/>
      <c r="I47" s="238"/>
      <c r="J47" s="238"/>
      <c r="K47" s="1553" t="s">
        <v>764</v>
      </c>
      <c r="L47" s="232">
        <f>B46</f>
        <v>6</v>
      </c>
      <c r="M47" s="1725">
        <f>IF(P47&lt;&gt;"",ROUND(P47,0),IF(OR(R41,NumFileStatusBoxes=0),0,IF(AMTExemptionFlag="No",MAX(AltMinTaxInc,0),MAX(0,SUM(AltMinTaxInc,-M45)))))</f>
        <v>0</v>
      </c>
      <c r="N47" s="717"/>
      <c r="O47" s="3462"/>
      <c r="P47" s="470"/>
      <c r="Q47" s="455"/>
      <c r="R47" s="3432"/>
      <c r="S47" s="1897"/>
      <c r="T47" s="1898"/>
      <c r="U47" s="1898"/>
      <c r="V47" s="1899"/>
      <c r="W47" s="1898"/>
      <c r="X47" s="1898"/>
      <c r="Y47" s="1898"/>
      <c r="Z47" s="1898"/>
      <c r="AA47" s="1898"/>
      <c r="AB47" s="1898"/>
      <c r="AC47" s="1898"/>
      <c r="AD47" s="1898"/>
      <c r="AE47" s="1902"/>
      <c r="AF47" s="1901"/>
      <c r="AG47" s="1680">
        <v>1437600</v>
      </c>
    </row>
    <row r="48" spans="1:33" ht="13.5" customHeight="1">
      <c r="A48" s="82"/>
      <c r="B48" s="162">
        <f>B46+1</f>
        <v>7</v>
      </c>
      <c r="C48" s="280" t="s">
        <v>4477</v>
      </c>
      <c r="D48" s="731"/>
      <c r="E48" s="237"/>
      <c r="F48" s="237"/>
      <c r="G48" s="238"/>
      <c r="H48" s="238"/>
      <c r="I48" s="238"/>
      <c r="J48" s="238"/>
      <c r="K48" s="552"/>
      <c r="L48" s="248"/>
      <c r="M48" s="4094"/>
      <c r="N48" s="719"/>
      <c r="O48" s="3461"/>
      <c r="P48" s="603"/>
      <c r="Q48" s="32"/>
      <c r="R48" s="1441" t="b">
        <f>Form2555_Used</f>
        <v>0</v>
      </c>
      <c r="S48" s="1897"/>
      <c r="T48" s="1898"/>
      <c r="U48" s="3301" t="s">
        <v>338</v>
      </c>
      <c r="V48" s="3300" t="s">
        <v>3908</v>
      </c>
      <c r="W48" s="1898"/>
      <c r="X48" s="1898"/>
      <c r="Y48" s="1898"/>
      <c r="Z48" s="1898"/>
      <c r="AA48" s="4807" t="s">
        <v>3237</v>
      </c>
      <c r="AB48" s="4456" t="s">
        <v>338</v>
      </c>
      <c r="AC48" s="1872" t="str">
        <f>IF(U31="X","",SUM(AC33,AC46))</f>
        <v/>
      </c>
      <c r="AD48" s="1898"/>
      <c r="AE48" s="1729"/>
      <c r="AF48" s="1901"/>
      <c r="AG48" s="1680">
        <v>718800</v>
      </c>
    </row>
    <row r="49" spans="1:33" ht="13.5" customHeight="1">
      <c r="A49" s="82"/>
      <c r="B49" s="162"/>
      <c r="C49" s="280" t="s">
        <v>4478</v>
      </c>
      <c r="D49" s="731"/>
      <c r="E49" s="237"/>
      <c r="F49" s="237"/>
      <c r="G49" s="238"/>
      <c r="H49" s="238"/>
      <c r="I49" s="238"/>
      <c r="J49" s="238"/>
      <c r="K49" s="552"/>
      <c r="L49" s="249"/>
      <c r="M49" s="4095"/>
      <c r="N49" s="719"/>
      <c r="O49" s="3461"/>
      <c r="P49" s="603"/>
      <c r="Q49" s="32"/>
      <c r="R49" s="4097" t="b">
        <f>AND(SchD_NotReqd,CapitalGains&gt;0)</f>
        <v>0</v>
      </c>
      <c r="S49" s="1897"/>
      <c r="T49" s="1898"/>
      <c r="U49" s="1898"/>
      <c r="V49" s="1899"/>
      <c r="W49" s="1898"/>
      <c r="X49" s="1898"/>
      <c r="Y49" s="1898"/>
      <c r="Z49" s="1898"/>
      <c r="AA49" s="1898"/>
      <c r="AB49" s="1898"/>
      <c r="AC49" s="1898"/>
      <c r="AD49" s="1898"/>
      <c r="AE49" s="1900"/>
      <c r="AF49" s="1901"/>
      <c r="AG49" s="1441" t="str">
        <f>IF(OR(AND(OR(File_Single&lt;&gt;"",File_Head&lt;&gt;""),AltMinTaxInc&gt;=$AG$46),AND(OR(File_Marr_Joint&lt;&gt;"",File_Qual_Widow&lt;&gt;""),AltMinTaxInc&gt;=$AG$47),AND(File_Marr_Sep&lt;&gt;"",AltMinTaxInc&gt;=$AG$48)),"No","Yes")</f>
        <v>Yes</v>
      </c>
    </row>
    <row r="50" spans="1:33" ht="15" customHeight="1">
      <c r="A50" s="82"/>
      <c r="B50" s="162"/>
      <c r="C50" s="280" t="s">
        <v>3375</v>
      </c>
      <c r="D50" s="280"/>
      <c r="E50" s="237"/>
      <c r="F50" s="237"/>
      <c r="G50" s="238"/>
      <c r="H50" s="238"/>
      <c r="I50" s="241"/>
      <c r="J50" s="241"/>
      <c r="K50" s="553"/>
      <c r="L50" s="404"/>
      <c r="M50" s="4095"/>
      <c r="N50" s="716"/>
      <c r="O50" s="3461"/>
      <c r="P50" s="603"/>
      <c r="Q50" s="32"/>
      <c r="R50" s="4097" t="b">
        <f>(Qualified_Dividends&gt;0)</f>
        <v>0</v>
      </c>
      <c r="S50" s="1897"/>
      <c r="T50" s="1898"/>
      <c r="U50" s="3301" t="s">
        <v>339</v>
      </c>
      <c r="V50" s="3300" t="str">
        <f>" Is the amount on line 11 more than "&amp;TEXT(R59,"$0,000")&amp;" ("&amp;TEXT(R60,"$0,000")&amp;" if married filing separately)?"</f>
        <v xml:space="preserve"> Is the amount on line 11 more than $191,100 ($95,550 if married filing separately)?</v>
      </c>
      <c r="W50" s="1898"/>
      <c r="X50" s="1898"/>
      <c r="Y50" s="1898"/>
      <c r="Z50" s="1898"/>
      <c r="AA50" s="1898"/>
      <c r="AB50" s="1898"/>
      <c r="AC50" s="1898"/>
      <c r="AD50" s="1898"/>
      <c r="AE50" s="1900"/>
      <c r="AF50" s="1901"/>
    </row>
    <row r="51" spans="1:33" ht="13.5" customHeight="1" thickBot="1">
      <c r="A51" s="82"/>
      <c r="B51" s="162"/>
      <c r="C51" s="280" t="s">
        <v>3376</v>
      </c>
      <c r="D51" s="280"/>
      <c r="E51" s="237"/>
      <c r="F51" s="237"/>
      <c r="G51" s="238"/>
      <c r="H51" s="238"/>
      <c r="I51" s="241"/>
      <c r="J51" s="241"/>
      <c r="K51" s="553"/>
      <c r="L51" s="404"/>
      <c r="M51" s="4095"/>
      <c r="N51" s="716"/>
      <c r="O51" s="3461"/>
      <c r="P51" s="603"/>
      <c r="Q51" s="32"/>
      <c r="R51" s="4097" t="b">
        <f>SchD_Line1516_Gains</f>
        <v>0</v>
      </c>
      <c r="S51" s="1897"/>
      <c r="T51" s="1898"/>
      <c r="U51" s="1898"/>
      <c r="V51" s="1899"/>
      <c r="W51" s="1898"/>
      <c r="X51" s="1898"/>
      <c r="Y51" s="1898"/>
      <c r="Z51" s="1898"/>
      <c r="AA51" s="1898"/>
      <c r="AB51" s="1898"/>
      <c r="AC51" s="1898"/>
      <c r="AD51" s="1898"/>
      <c r="AE51" s="1729"/>
      <c r="AF51" s="1901"/>
    </row>
    <row r="52" spans="1:33" ht="13.5" customHeight="1" thickBot="1">
      <c r="A52" s="82"/>
      <c r="B52" s="162"/>
      <c r="C52" s="280" t="s">
        <v>3378</v>
      </c>
      <c r="D52" s="280"/>
      <c r="E52" s="237"/>
      <c r="F52" s="237"/>
      <c r="G52" s="238"/>
      <c r="H52" s="238"/>
      <c r="I52" s="241"/>
      <c r="J52" s="241"/>
      <c r="K52" s="1553" t="s">
        <v>856</v>
      </c>
      <c r="L52" s="256">
        <f>B48</f>
        <v>7</v>
      </c>
      <c r="M52" s="1725" t="str">
        <f>IF(P52&lt;&gt;"",ROUND(P52,0),IF(R54="Stop","",IF(R46,0,IF(Form2555_Used,AC144,IF(F6251_PIII,M125,IF(M47&lt;=R61,M47*R66,SUM((M47*R67),-R65)))))))</f>
        <v/>
      </c>
      <c r="N52" s="716"/>
      <c r="O52" s="3461"/>
      <c r="P52" s="470"/>
      <c r="Q52" s="32"/>
      <c r="R52" s="1441" t="b">
        <f>OR(R49,R50,R51)</f>
        <v>0</v>
      </c>
      <c r="S52" s="1897"/>
      <c r="T52" s="1898"/>
      <c r="U52" s="1921" t="str">
        <f>IF(U31="X","",IF(AC48&gt;AG59,"X",""))</f>
        <v/>
      </c>
      <c r="V52" s="3300" t="s">
        <v>474</v>
      </c>
      <c r="W52" s="3300" t="s">
        <v>2884</v>
      </c>
      <c r="X52" s="1898"/>
      <c r="Y52" s="1898"/>
      <c r="Z52" s="1898"/>
      <c r="AA52" s="1898"/>
      <c r="AB52" s="1898"/>
      <c r="AC52" s="1898"/>
      <c r="AD52" s="1898"/>
      <c r="AE52" s="1729"/>
      <c r="AF52" s="1901"/>
    </row>
    <row r="53" spans="1:33" ht="13.5" thickBot="1">
      <c r="A53" s="82"/>
      <c r="B53" s="162"/>
      <c r="C53" s="280" t="s">
        <v>4479</v>
      </c>
      <c r="D53" s="170" t="s">
        <v>85</v>
      </c>
      <c r="E53" s="280" t="str">
        <f>"If line "&amp;L47&amp;" is "&amp;TEXT(R59,"$0,000")&amp;" or less ("&amp;TEXT(R60,"$0,000")&amp;" or less if married filing separately), multiply"</f>
        <v>If line 6 is $191,100 or less ($95,550 or less if married filing separately), multiply</v>
      </c>
      <c r="F53" s="237"/>
      <c r="G53" s="238"/>
      <c r="H53" s="238"/>
      <c r="I53" s="238"/>
      <c r="J53" s="238"/>
      <c r="K53" s="552"/>
      <c r="L53" s="404"/>
      <c r="M53" s="2603" t="str">
        <f>IF(AND($M$56&gt;0,AMT&gt;0,$O$53=""),"Verify Line 32","")</f>
        <v/>
      </c>
      <c r="N53" s="719"/>
      <c r="O53" s="2605"/>
      <c r="P53" s="2604" t="str">
        <f>IF(O53&lt;&gt;"","Line 32 is verified. Note hidden.",IF(AND($M$56&gt;0,AMT&gt;0,$O$53=""),"Check to verify Line 32.",""))</f>
        <v/>
      </c>
      <c r="Q53" s="32"/>
      <c r="R53" s="1441" t="b">
        <f>IF(OR(Q68&lt;&gt;"",R52),TRUE,FALSE)</f>
        <v>0</v>
      </c>
      <c r="S53" s="1897"/>
      <c r="T53" s="1898"/>
      <c r="U53" s="1898"/>
      <c r="V53" s="3300"/>
      <c r="W53" s="3302"/>
      <c r="X53" s="1898"/>
      <c r="Y53" s="1898"/>
      <c r="Z53" s="1898"/>
      <c r="AA53" s="1898"/>
      <c r="AB53" s="1898"/>
      <c r="AC53" s="1898"/>
      <c r="AD53" s="1898"/>
      <c r="AE53" s="1729"/>
      <c r="AF53" s="1901"/>
      <c r="AG53" s="2433">
        <v>0.25</v>
      </c>
    </row>
    <row r="54" spans="1:33" ht="12" customHeight="1" thickBot="1">
      <c r="A54" s="82"/>
      <c r="B54" s="162"/>
      <c r="C54" s="600"/>
      <c r="D54" s="600" t="str">
        <f>" line "&amp;L47&amp;" by "&amp;TEXT(R66,"0%")&amp;" ("&amp;TEXT(R66,"0.00")&amp;"). Otherwise, multiply line "&amp;L47&amp;" by "&amp;TEXT(R67,"0%")&amp;" ("&amp;TEXT(R67,"0.00")&amp;") and subtract "&amp;TEXT(R63,"$0,000")&amp;" ("&amp;TEXT(R64,"$0,000")</f>
        <v xml:space="preserve"> line 6 by 26% (0.26). Otherwise, multiply line 6 by 28% (0.28) and subtract $3,822 ($1,911</v>
      </c>
      <c r="E54" s="237"/>
      <c r="F54" s="237"/>
      <c r="G54" s="238"/>
      <c r="H54" s="238"/>
      <c r="I54" s="241"/>
      <c r="J54" s="241"/>
      <c r="K54" s="553"/>
      <c r="L54" s="404"/>
      <c r="M54" s="2603" t="str">
        <f>IF(AND($M$56&gt;0,AMT&gt;0,$O$53=""),"is correct.","")</f>
        <v/>
      </c>
      <c r="N54" s="716"/>
      <c r="O54" s="3461"/>
      <c r="P54" s="1629"/>
      <c r="Q54" s="32"/>
      <c r="R54" s="1441" t="str">
        <f>IF(NumFileStatusBoxes=0,"Stop",IF(ISERROR(AltMinTaxInc-M45),"Stop",IF(AltMinTaxInc-M45&lt;=0,"Stop","Continue")))</f>
        <v>Stop</v>
      </c>
      <c r="S54" s="1897"/>
      <c r="T54" s="1898"/>
      <c r="U54" s="1921" t="str">
        <f>IF(U31="X","",IF(AC48&gt;AG59,"","X"))</f>
        <v/>
      </c>
      <c r="V54" s="3300" t="s">
        <v>472</v>
      </c>
      <c r="W54" s="3300" t="str">
        <f>"Multiply line 11 by "&amp;TEXT(AG61,"0%")&amp;" ("&amp;TEXT(AG61,".00")&amp;")"</f>
        <v>Multiply line 11 by 26% (.26)</v>
      </c>
      <c r="X54" s="1898"/>
      <c r="Y54" s="1898"/>
      <c r="Z54" s="1898"/>
      <c r="AA54" s="4807" t="s">
        <v>4491</v>
      </c>
      <c r="AB54" s="4456" t="s">
        <v>339</v>
      </c>
      <c r="AC54" s="1872" t="str">
        <f>IF(OR(U52="X",U31="X"),"",ROUND(AC48*AG61,0))</f>
        <v/>
      </c>
      <c r="AD54" s="1898"/>
      <c r="AE54" s="1729"/>
      <c r="AF54" s="1901"/>
    </row>
    <row r="55" spans="1:33" ht="12.75" customHeight="1">
      <c r="A55" s="82"/>
      <c r="B55" s="162"/>
      <c r="C55" s="600"/>
      <c r="D55" s="600" t="s">
        <v>3377</v>
      </c>
      <c r="E55" s="237"/>
      <c r="F55" s="237"/>
      <c r="G55" s="238"/>
      <c r="H55" s="238"/>
      <c r="I55" s="241"/>
      <c r="J55" s="241"/>
      <c r="K55" s="553"/>
      <c r="L55" s="404"/>
      <c r="M55" s="2603"/>
      <c r="N55" s="716"/>
      <c r="O55" s="3461"/>
      <c r="P55" s="1629"/>
      <c r="Q55" s="32"/>
      <c r="R55" s="4096"/>
      <c r="S55" s="1897"/>
      <c r="T55" s="1898"/>
      <c r="U55" s="1898"/>
      <c r="V55" s="1899"/>
      <c r="W55" s="1898"/>
      <c r="X55" s="1898"/>
      <c r="Y55" s="1898"/>
      <c r="Z55" s="1898"/>
      <c r="AA55" s="1898"/>
      <c r="AB55" s="1898"/>
      <c r="AC55" s="1898"/>
      <c r="AD55" s="1898"/>
      <c r="AE55" s="1898"/>
      <c r="AF55" s="1901"/>
    </row>
    <row r="56" spans="1:33" ht="13.5" thickBot="1">
      <c r="A56" s="82"/>
      <c r="B56" s="161">
        <f>B48+1</f>
        <v>8</v>
      </c>
      <c r="C56" s="403" t="s">
        <v>914</v>
      </c>
      <c r="D56" s="185"/>
      <c r="E56" s="237"/>
      <c r="F56" s="237"/>
      <c r="G56" s="238"/>
      <c r="H56" s="238"/>
      <c r="I56" s="238"/>
      <c r="J56" s="238"/>
      <c r="K56" s="1553" t="s">
        <v>677</v>
      </c>
      <c r="L56" s="256">
        <f>B56</f>
        <v>8</v>
      </c>
      <c r="M56" s="3056">
        <f>IF(P56&lt;&gt;"",ROUND(P56,0),Foreign_Tax_Credit)</f>
        <v>0</v>
      </c>
      <c r="N56" s="717"/>
      <c r="O56" s="3461"/>
      <c r="P56" s="470"/>
      <c r="Q56" s="455"/>
      <c r="R56" s="4096"/>
      <c r="S56" s="1897"/>
      <c r="T56" s="1898"/>
      <c r="U56" s="3301" t="s">
        <v>498</v>
      </c>
      <c r="V56" s="3300" t="s">
        <v>3909</v>
      </c>
      <c r="W56" s="1898"/>
      <c r="X56" s="1898"/>
      <c r="Y56" s="1898"/>
      <c r="Z56" s="1898"/>
      <c r="AA56" s="1898"/>
      <c r="AB56" s="1898"/>
      <c r="AC56" s="1898"/>
      <c r="AD56" s="1898"/>
      <c r="AE56" s="1898"/>
      <c r="AF56" s="1901"/>
    </row>
    <row r="57" spans="1:33">
      <c r="A57" s="82"/>
      <c r="B57" s="161">
        <f>B56+1</f>
        <v>9</v>
      </c>
      <c r="C57" s="403" t="str">
        <f>"Tentative minimum tax. Subtract line "&amp;L56&amp;" from line "&amp;L52</f>
        <v>Tentative minimum tax. Subtract line 8 from line 7</v>
      </c>
      <c r="D57" s="185"/>
      <c r="E57" s="237"/>
      <c r="F57" s="237"/>
      <c r="G57" s="238"/>
      <c r="H57" s="238"/>
      <c r="I57" s="238"/>
      <c r="J57" s="238"/>
      <c r="K57" s="1553" t="s">
        <v>676</v>
      </c>
      <c r="L57" s="609">
        <f>B57</f>
        <v>9</v>
      </c>
      <c r="M57" s="1725">
        <f>IF(OR(R41,NumFileStatusBoxes=0),0,IF(OR(R54="Stop",R46),0,SUM(M52,-M56)))</f>
        <v>0</v>
      </c>
      <c r="N57" s="717"/>
      <c r="O57" s="1694"/>
      <c r="P57" s="1789" t="s">
        <v>264</v>
      </c>
      <c r="Q57" s="455"/>
      <c r="R57" s="4096"/>
      <c r="S57" s="1897"/>
      <c r="T57" s="1898"/>
      <c r="U57" s="3302"/>
      <c r="V57" s="3300" t="s">
        <v>3910</v>
      </c>
      <c r="W57" s="1898"/>
      <c r="X57" s="1898"/>
      <c r="Y57" s="1898"/>
      <c r="Z57" s="1898"/>
      <c r="AA57" s="1898"/>
      <c r="AB57" s="1898"/>
      <c r="AC57" s="1898"/>
      <c r="AD57" s="1898"/>
      <c r="AE57" s="1729"/>
      <c r="AF57" s="1901"/>
      <c r="AG57" s="1683"/>
    </row>
    <row r="58" spans="1:33" ht="15" customHeight="1">
      <c r="A58" s="82"/>
      <c r="B58" s="161">
        <f>B57+1</f>
        <v>10</v>
      </c>
      <c r="C58" s="403" t="s">
        <v>3382</v>
      </c>
      <c r="D58" s="280"/>
      <c r="E58" s="237"/>
      <c r="F58" s="237"/>
      <c r="G58" s="238"/>
      <c r="H58" s="238"/>
      <c r="I58" s="238"/>
      <c r="J58" s="238"/>
      <c r="K58" s="239"/>
      <c r="L58" s="404"/>
      <c r="M58" s="554"/>
      <c r="N58" s="717"/>
      <c r="O58" s="3463"/>
      <c r="P58" s="1790" t="s">
        <v>444</v>
      </c>
      <c r="Q58" s="455"/>
      <c r="R58" s="4096"/>
      <c r="S58" s="1897"/>
      <c r="T58" s="1898"/>
      <c r="U58" s="3302"/>
      <c r="V58" s="3300" t="s">
        <v>3911</v>
      </c>
      <c r="W58" s="1898"/>
      <c r="X58" s="1898"/>
      <c r="Y58" s="1898"/>
      <c r="Z58" s="4807" t="s">
        <v>4143</v>
      </c>
      <c r="AA58" s="1776"/>
      <c r="AB58" s="4456" t="s">
        <v>498</v>
      </c>
      <c r="AC58" s="1872" t="str">
        <f>IF(OR(U52="X",U31="X"),"",SUM(Tax,PTC_ExcessAdv,-AA58))</f>
        <v/>
      </c>
      <c r="AD58" s="1898"/>
      <c r="AE58" s="1729"/>
      <c r="AF58" s="1901"/>
    </row>
    <row r="59" spans="1:33" ht="15" customHeight="1" thickBot="1">
      <c r="A59" s="82"/>
      <c r="B59" s="161"/>
      <c r="C59" s="403" t="s">
        <v>3379</v>
      </c>
      <c r="D59" s="280"/>
      <c r="E59" s="237"/>
      <c r="F59" s="237"/>
      <c r="G59" s="238"/>
      <c r="H59" s="238"/>
      <c r="I59" s="238"/>
      <c r="J59" s="238"/>
      <c r="K59" s="728"/>
      <c r="L59" s="249"/>
      <c r="M59" s="604"/>
      <c r="N59" s="717"/>
      <c r="O59" s="3463"/>
      <c r="P59" s="1791"/>
      <c r="Q59" s="455"/>
      <c r="R59" s="1680">
        <v>191100</v>
      </c>
      <c r="S59" s="1897"/>
      <c r="T59" s="1898"/>
      <c r="U59" s="1898"/>
      <c r="V59" s="1899"/>
      <c r="W59" s="1898"/>
      <c r="X59" s="1898"/>
      <c r="Y59" s="1898"/>
      <c r="Z59" s="1898"/>
      <c r="AA59" s="1907" t="s">
        <v>1335</v>
      </c>
      <c r="AB59" s="1898"/>
      <c r="AC59" s="1898"/>
      <c r="AD59" s="1898"/>
      <c r="AE59" s="1729"/>
      <c r="AF59" s="1901"/>
      <c r="AG59" s="2433">
        <f>IF(File_Marr_Sep&lt;&gt;"",R60,R59)</f>
        <v>191100</v>
      </c>
    </row>
    <row r="60" spans="1:33" ht="15" customHeight="1">
      <c r="A60" s="82"/>
      <c r="B60" s="161"/>
      <c r="C60" s="403" t="s">
        <v>3380</v>
      </c>
      <c r="D60" s="280"/>
      <c r="E60" s="237"/>
      <c r="F60" s="237"/>
      <c r="G60" s="238"/>
      <c r="H60" s="238"/>
      <c r="I60" s="238"/>
      <c r="J60" s="238"/>
      <c r="K60" s="1553"/>
      <c r="L60" s="232"/>
      <c r="M60" s="604"/>
      <c r="N60" s="717"/>
      <c r="O60" s="3462"/>
      <c r="P60" s="603"/>
      <c r="Q60" s="455"/>
      <c r="R60" s="1680">
        <v>95550</v>
      </c>
      <c r="S60" s="1903"/>
      <c r="T60" s="1898"/>
      <c r="U60" s="3300" t="s">
        <v>3912</v>
      </c>
      <c r="V60" s="1899"/>
      <c r="W60" s="1898"/>
      <c r="X60" s="1898"/>
      <c r="Y60" s="1898"/>
      <c r="Z60" s="1898"/>
      <c r="AA60" s="1898"/>
      <c r="AB60" s="1898"/>
      <c r="AC60" s="1898"/>
      <c r="AD60" s="1898"/>
      <c r="AE60" s="1729"/>
      <c r="AF60" s="1901"/>
    </row>
    <row r="61" spans="1:33" ht="13.5" thickBot="1">
      <c r="A61" s="82"/>
      <c r="B61" s="161"/>
      <c r="C61" s="403" t="s">
        <v>3381</v>
      </c>
      <c r="D61" s="280"/>
      <c r="E61" s="237"/>
      <c r="F61" s="237"/>
      <c r="G61" s="238"/>
      <c r="H61" s="238"/>
      <c r="I61" s="238"/>
      <c r="J61" s="238"/>
      <c r="K61" s="1553" t="s">
        <v>764</v>
      </c>
      <c r="L61" s="256">
        <f>B58</f>
        <v>10</v>
      </c>
      <c r="M61" s="1727" t="str">
        <f>IF(P61&lt;&gt;"",ROUND(P61,0),   IF(NumFileStatusBoxes=0,"",   IF(R54="Stop","", SUM(Tax1040_Line11a,PTC_ExcessAdv,-P59,-Foreign_Tax_Credit))))</f>
        <v/>
      </c>
      <c r="N61" s="717"/>
      <c r="O61" s="3462"/>
      <c r="P61" s="470"/>
      <c r="Q61" s="455"/>
      <c r="R61" s="1680">
        <f>IF(File_Marr_Sep&lt;&gt;"",R60,R59)</f>
        <v>191100</v>
      </c>
      <c r="S61" s="1903"/>
      <c r="T61" s="1898"/>
      <c r="U61" s="1898"/>
      <c r="V61" s="1899"/>
      <c r="W61" s="1898"/>
      <c r="X61" s="1898"/>
      <c r="Y61" s="1898"/>
      <c r="Z61" s="1898"/>
      <c r="AA61" s="1898"/>
      <c r="AB61" s="1898"/>
      <c r="AC61" s="1898"/>
      <c r="AD61" s="1898"/>
      <c r="AE61" s="1729"/>
      <c r="AF61" s="1901"/>
      <c r="AG61" s="2433">
        <v>0.26</v>
      </c>
    </row>
    <row r="62" spans="1:33" ht="15" customHeight="1" thickBot="1">
      <c r="A62" s="82"/>
      <c r="B62" s="161">
        <f>B58+1</f>
        <v>11</v>
      </c>
      <c r="C62" s="280" t="s">
        <v>3541</v>
      </c>
      <c r="D62" s="280"/>
      <c r="E62" s="203"/>
      <c r="F62" s="203"/>
      <c r="G62" s="203"/>
      <c r="H62" s="203"/>
      <c r="I62" s="203"/>
      <c r="J62" s="203"/>
      <c r="K62" s="1553"/>
      <c r="L62" s="232">
        <f>B62</f>
        <v>11</v>
      </c>
      <c r="M62" s="1728" t="str">
        <f>IF(P62&lt;&gt;"",ROUND(P62,0),IF(OR(R41,NumFileStatusBoxes=0),"",IF(OR(R46,M47=0),0,MAX(0,SUM(M57,-M61)))))</f>
        <v/>
      </c>
      <c r="N62" s="716"/>
      <c r="O62" s="3462"/>
      <c r="P62" s="470"/>
      <c r="Q62" s="49"/>
      <c r="R62" s="1680"/>
      <c r="S62" s="1903"/>
      <c r="T62" s="1898"/>
      <c r="U62" s="1921" t="str">
        <f>IF(OR(U52="X",U31="X"),"",IF(AC54&gt;AC58,"X",""))</f>
        <v/>
      </c>
      <c r="V62" s="3300" t="s">
        <v>474</v>
      </c>
      <c r="W62" s="3300" t="s">
        <v>1333</v>
      </c>
      <c r="X62" s="1898"/>
      <c r="Y62" s="1898"/>
      <c r="Z62" s="1898"/>
      <c r="AA62" s="1898"/>
      <c r="AB62" s="1898"/>
      <c r="AC62" s="1898"/>
      <c r="AD62" s="1898"/>
      <c r="AE62" s="1904"/>
      <c r="AF62" s="1901"/>
    </row>
    <row r="63" spans="1:33" ht="15" customHeight="1" thickBot="1">
      <c r="A63" s="82"/>
      <c r="B63" s="166" t="s">
        <v>564</v>
      </c>
      <c r="C63" s="272"/>
      <c r="D63" s="272"/>
      <c r="E63" s="272"/>
      <c r="F63" s="272"/>
      <c r="G63" s="605"/>
      <c r="H63" s="606"/>
      <c r="I63" s="606" t="s">
        <v>223</v>
      </c>
      <c r="J63" s="605"/>
      <c r="K63" s="605"/>
      <c r="L63" s="607" t="s">
        <v>138</v>
      </c>
      <c r="M63" s="608" t="str">
        <f>"("&amp;TaxYear&amp;")"</f>
        <v>(2018)</v>
      </c>
      <c r="N63" s="720"/>
      <c r="O63" s="3461"/>
      <c r="P63" s="603"/>
      <c r="Q63" s="32"/>
      <c r="R63" s="1680">
        <v>3822</v>
      </c>
      <c r="S63" s="1903"/>
      <c r="T63" s="1898"/>
      <c r="U63" s="1898"/>
      <c r="V63" s="1899"/>
      <c r="W63" s="1898"/>
      <c r="X63" s="1898"/>
      <c r="Y63" s="1898"/>
      <c r="Z63" s="1898"/>
      <c r="AA63" s="1898"/>
      <c r="AB63" s="1898"/>
      <c r="AC63" s="1898"/>
      <c r="AD63" s="1898"/>
      <c r="AE63" s="1904"/>
      <c r="AF63" s="1901"/>
    </row>
    <row r="64" spans="1:33" ht="13.5" thickBot="1">
      <c r="A64" s="82"/>
      <c r="B64" s="168"/>
      <c r="C64" s="147"/>
      <c r="D64" s="147"/>
      <c r="E64" s="147"/>
      <c r="F64" s="147"/>
      <c r="G64" s="234"/>
      <c r="H64" s="235"/>
      <c r="I64" s="234"/>
      <c r="J64" s="234"/>
      <c r="K64" s="234"/>
      <c r="L64" s="19"/>
      <c r="M64" s="725"/>
      <c r="N64" s="720"/>
      <c r="O64" s="3456"/>
      <c r="P64" s="603"/>
      <c r="Q64" s="32"/>
      <c r="R64" s="1680">
        <f>0.02*R60</f>
        <v>1911</v>
      </c>
      <c r="S64" s="1903"/>
      <c r="T64" s="1905"/>
      <c r="U64" s="1921" t="str">
        <f>IF(OR(U52="X",U31="X"),"",IF(AC54&gt;AC58,"","X"))</f>
        <v/>
      </c>
      <c r="V64" s="3300" t="s">
        <v>472</v>
      </c>
      <c r="W64" s="3300" t="s">
        <v>3913</v>
      </c>
      <c r="X64" s="1898"/>
      <c r="Y64" s="1898"/>
      <c r="Z64" s="1898"/>
      <c r="AA64" s="1898"/>
      <c r="AB64" s="1898"/>
      <c r="AC64" s="1898"/>
      <c r="AD64" s="1898"/>
      <c r="AE64" s="1904"/>
      <c r="AF64" s="1901"/>
    </row>
    <row r="65" spans="1:37" ht="14.25" customHeight="1" thickBot="1">
      <c r="A65" s="82"/>
      <c r="B65" s="165" t="str">
        <f>"Form 6251  ("&amp;TaxYear&amp;")"</f>
        <v>Form 6251  (2018)</v>
      </c>
      <c r="C65" s="254"/>
      <c r="D65" s="254"/>
      <c r="E65" s="254"/>
      <c r="F65" s="254"/>
      <c r="G65" s="738"/>
      <c r="H65" s="738"/>
      <c r="I65" s="738"/>
      <c r="J65" s="738"/>
      <c r="K65" s="739"/>
      <c r="L65" s="740"/>
      <c r="M65" s="550" t="s">
        <v>355</v>
      </c>
      <c r="N65" s="721"/>
      <c r="O65" s="3460"/>
      <c r="P65" s="603"/>
      <c r="Q65" s="32"/>
      <c r="R65" s="1680">
        <f>IF(File_Marr_Sep&lt;&gt;"",R64,R63)</f>
        <v>3822</v>
      </c>
      <c r="S65" s="2438"/>
      <c r="T65" s="2439"/>
      <c r="U65" s="2440"/>
      <c r="V65" s="2441"/>
      <c r="W65" s="2442"/>
      <c r="X65" s="2442"/>
      <c r="Y65" s="2442"/>
      <c r="Z65" s="2442"/>
      <c r="AA65" s="2442"/>
      <c r="AB65" s="2442"/>
      <c r="AC65" s="2442"/>
      <c r="AD65" s="2442"/>
      <c r="AE65" s="2443"/>
      <c r="AF65" s="2444"/>
    </row>
    <row r="66" spans="1:37" ht="8.25" customHeight="1">
      <c r="A66" s="82"/>
      <c r="B66" s="335"/>
      <c r="C66" s="272"/>
      <c r="D66" s="272"/>
      <c r="E66" s="272"/>
      <c r="F66" s="272"/>
      <c r="G66" s="605"/>
      <c r="H66" s="605"/>
      <c r="I66" s="605"/>
      <c r="J66" s="605"/>
      <c r="K66" s="743"/>
      <c r="L66" s="744"/>
      <c r="M66" s="607"/>
      <c r="N66" s="721"/>
      <c r="O66" s="3461"/>
      <c r="P66" s="603"/>
      <c r="Q66" s="32"/>
      <c r="R66" s="1681">
        <v>0.26</v>
      </c>
      <c r="S66" s="626"/>
      <c r="T66" s="625"/>
      <c r="U66" s="2351"/>
      <c r="V66" s="734"/>
      <c r="W66" s="270"/>
      <c r="X66" s="270"/>
      <c r="Y66" s="270"/>
      <c r="Z66" s="270"/>
      <c r="AA66" s="270"/>
      <c r="AB66" s="270"/>
      <c r="AC66" s="270"/>
      <c r="AD66" s="270"/>
      <c r="AE66" s="623"/>
      <c r="AF66" s="623"/>
    </row>
    <row r="67" spans="1:37" ht="16.5" thickBot="1">
      <c r="A67" s="82"/>
      <c r="B67" s="393" t="s">
        <v>363</v>
      </c>
      <c r="C67" s="745" t="s">
        <v>51</v>
      </c>
      <c r="D67" s="284"/>
      <c r="E67" s="336"/>
      <c r="F67" s="336"/>
      <c r="G67" s="737"/>
      <c r="H67" s="737"/>
      <c r="I67" s="737"/>
      <c r="J67" s="737"/>
      <c r="K67" s="737"/>
      <c r="L67" s="737"/>
      <c r="M67" s="263"/>
      <c r="N67" s="722"/>
      <c r="O67" s="3461"/>
      <c r="P67" s="1692" t="str">
        <f>IF(F6251_PIII,"Part III is used","Part III is NOT used.")</f>
        <v>Part III is NOT used.</v>
      </c>
      <c r="Q67" s="49"/>
      <c r="R67" s="1681">
        <v>0.28000000000000003</v>
      </c>
      <c r="S67" s="626"/>
      <c r="T67" s="625"/>
      <c r="U67" s="2351"/>
      <c r="V67" s="734"/>
      <c r="W67" s="270"/>
      <c r="X67" s="270"/>
      <c r="Y67" s="270"/>
      <c r="Z67" s="270"/>
      <c r="AA67" s="270"/>
      <c r="AB67" s="270"/>
      <c r="AC67" s="270"/>
      <c r="AD67" s="270"/>
      <c r="AE67" s="623"/>
      <c r="AF67" s="623"/>
    </row>
    <row r="68" spans="1:37" ht="12.75" customHeight="1" thickBot="1">
      <c r="A68" s="82"/>
      <c r="B68" s="560"/>
      <c r="C68" s="703"/>
      <c r="D68" s="257" t="s">
        <v>4480</v>
      </c>
      <c r="E68" s="337"/>
      <c r="F68" s="337"/>
      <c r="G68" s="741"/>
      <c r="H68" s="741"/>
      <c r="I68" s="741"/>
      <c r="J68" s="741"/>
      <c r="K68" s="741"/>
      <c r="L68" s="741"/>
      <c r="M68" s="742"/>
      <c r="N68" s="722"/>
      <c r="O68" s="3461"/>
      <c r="P68" s="1892" t="str">
        <f>IF(F6251_PIII,"OVERRIDE","Place 'X' to override --&gt;")</f>
        <v>Place 'X' to override --&gt;</v>
      </c>
      <c r="Q68" s="1682"/>
      <c r="R68" s="1681"/>
      <c r="S68" s="626"/>
      <c r="T68" s="625"/>
      <c r="U68" s="2351"/>
      <c r="V68" s="734"/>
      <c r="W68" s="270"/>
      <c r="X68" s="270"/>
      <c r="Y68" s="270"/>
      <c r="Z68" s="270"/>
      <c r="AA68" s="270"/>
      <c r="AB68" s="270"/>
      <c r="AC68" s="270"/>
      <c r="AD68" s="270"/>
      <c r="AE68" s="623"/>
      <c r="AF68" s="623"/>
    </row>
    <row r="69" spans="1:37" ht="12.75" customHeight="1" thickBot="1">
      <c r="A69" s="82"/>
      <c r="B69" s="161">
        <f>B62+1</f>
        <v>12</v>
      </c>
      <c r="C69" s="280" t="str">
        <f>"Enter the amount from Form 6251, line "&amp;L47&amp;". If you are filing Form 2555 or 2555-EZ, enter the amount from"</f>
        <v>Enter the amount from Form 6251, line 6. If you are filing Form 2555 or 2555-EZ, enter the amount from</v>
      </c>
      <c r="D69" s="617"/>
      <c r="E69" s="237"/>
      <c r="F69" s="237"/>
      <c r="G69" s="238"/>
      <c r="H69" s="238"/>
      <c r="I69" s="241"/>
      <c r="J69" s="241"/>
      <c r="K69" s="553"/>
      <c r="L69" s="729"/>
      <c r="M69" s="556"/>
      <c r="N69" s="716"/>
      <c r="O69" s="3461"/>
      <c r="P69" s="1048"/>
      <c r="Q69" s="32"/>
      <c r="R69" s="1680"/>
      <c r="S69" s="626"/>
      <c r="T69" s="625"/>
      <c r="U69" s="2351"/>
      <c r="V69" s="734"/>
      <c r="W69" s="270"/>
      <c r="X69" s="270"/>
      <c r="Y69" s="270"/>
      <c r="Z69" s="270"/>
      <c r="AA69" s="270"/>
      <c r="AB69" s="270"/>
      <c r="AC69" s="270"/>
      <c r="AD69" s="270"/>
      <c r="AE69" s="623"/>
      <c r="AF69" s="623"/>
    </row>
    <row r="70" spans="1:37" ht="12.75" customHeight="1">
      <c r="A70" s="82"/>
      <c r="B70" s="161"/>
      <c r="C70" s="280" t="s">
        <v>4481</v>
      </c>
      <c r="D70" s="185"/>
      <c r="E70" s="237"/>
      <c r="F70" s="237"/>
      <c r="G70" s="238"/>
      <c r="H70" s="238"/>
      <c r="I70" s="238"/>
      <c r="J70" s="238"/>
      <c r="K70" s="1553" t="s">
        <v>2680</v>
      </c>
      <c r="L70" s="256">
        <f>B69</f>
        <v>12</v>
      </c>
      <c r="M70" s="1725" t="str">
        <f>IF(P70&lt;&gt;"",P70,IF(AND(Form2555_Used,AC135),AC130,IF(AND(F6251_PIII,M47=""),0,IF(F6251_PIII,M47,""))))</f>
        <v/>
      </c>
      <c r="N70" s="717"/>
      <c r="O70" s="3461"/>
      <c r="P70" s="470"/>
      <c r="Q70" s="32"/>
      <c r="R70" s="1680"/>
      <c r="S70" s="626"/>
      <c r="T70" s="625"/>
      <c r="U70" s="2351"/>
      <c r="V70" s="1556"/>
      <c r="W70" s="1557"/>
      <c r="X70" s="1558"/>
      <c r="Y70" s="1558"/>
      <c r="Z70" s="1558"/>
      <c r="AA70" s="1559"/>
      <c r="AB70" s="270"/>
      <c r="AC70" s="270"/>
      <c r="AD70" s="270"/>
      <c r="AE70" s="623"/>
      <c r="AF70" s="623"/>
    </row>
    <row r="71" spans="1:37" ht="15" customHeight="1">
      <c r="A71" s="82"/>
      <c r="B71" s="162">
        <f>B69+1</f>
        <v>13</v>
      </c>
      <c r="C71" s="280" t="s">
        <v>1305</v>
      </c>
      <c r="D71" s="185"/>
      <c r="E71" s="237"/>
      <c r="F71" s="237"/>
      <c r="G71" s="238"/>
      <c r="H71" s="162"/>
      <c r="I71" s="162"/>
      <c r="J71" s="238"/>
      <c r="K71" s="1553"/>
      <c r="L71" s="735"/>
      <c r="M71" s="555"/>
      <c r="N71" s="717"/>
      <c r="O71" s="3461"/>
      <c r="P71" s="603"/>
      <c r="Q71" s="32"/>
      <c r="R71" s="1680"/>
      <c r="S71" s="626"/>
      <c r="T71" s="625"/>
      <c r="U71" s="2351"/>
      <c r="V71" s="1560"/>
      <c r="W71" s="1561"/>
      <c r="X71" s="1562" t="s">
        <v>913</v>
      </c>
      <c r="Y71" s="1563"/>
      <c r="Z71" s="1563"/>
      <c r="AA71" s="1564"/>
      <c r="AB71" s="270"/>
      <c r="AC71" s="270"/>
      <c r="AD71" s="270"/>
      <c r="AE71" s="623"/>
      <c r="AF71" s="623"/>
      <c r="AG71" s="1618"/>
    </row>
    <row r="72" spans="1:37" ht="15" customHeight="1">
      <c r="A72" s="82"/>
      <c r="B72" s="162"/>
      <c r="C72" s="600" t="s">
        <v>4483</v>
      </c>
      <c r="D72" s="185"/>
      <c r="E72" s="237"/>
      <c r="F72" s="237"/>
      <c r="G72" s="238"/>
      <c r="H72" s="162"/>
      <c r="I72" s="162"/>
      <c r="J72" s="238"/>
      <c r="K72" s="1553"/>
      <c r="L72" s="736"/>
      <c r="M72" s="555"/>
      <c r="N72" s="717"/>
      <c r="O72" s="3461"/>
      <c r="P72" s="603"/>
      <c r="Q72" s="32"/>
      <c r="R72" s="1680"/>
      <c r="S72" s="626"/>
      <c r="T72" s="625"/>
      <c r="U72" s="2351"/>
      <c r="V72" s="1560"/>
      <c r="W72" s="1561"/>
      <c r="X72" s="1563"/>
      <c r="Y72" s="1563"/>
      <c r="Z72" s="1563"/>
      <c r="AA72" s="1564"/>
      <c r="AB72" s="270"/>
      <c r="AC72" s="270"/>
      <c r="AD72" s="270"/>
      <c r="AE72" s="623"/>
      <c r="AF72" s="623"/>
      <c r="AG72" s="1618"/>
    </row>
    <row r="73" spans="1:37" ht="15" customHeight="1">
      <c r="A73" s="82"/>
      <c r="B73" s="162"/>
      <c r="C73" s="280" t="s">
        <v>4482</v>
      </c>
      <c r="D73" s="185"/>
      <c r="E73" s="237"/>
      <c r="F73" s="237"/>
      <c r="G73" s="238"/>
      <c r="H73" s="162"/>
      <c r="I73" s="162"/>
      <c r="J73" s="238"/>
      <c r="K73" s="1553"/>
      <c r="L73" s="736"/>
      <c r="M73" s="555"/>
      <c r="N73" s="717"/>
      <c r="O73" s="3461"/>
      <c r="P73" s="603"/>
      <c r="Q73" s="32"/>
      <c r="R73" s="1680"/>
      <c r="S73" s="626"/>
      <c r="T73" s="625"/>
      <c r="U73" s="2351"/>
      <c r="V73" s="1565"/>
      <c r="W73" s="1561"/>
      <c r="X73" s="1900"/>
      <c r="Y73" s="1569" t="str">
        <f>"You were under age 18 at the end of "&amp;TaxYear&amp;".  "</f>
        <v xml:space="preserve">You were under age 18 at the end of 2018.  </v>
      </c>
      <c r="Z73" s="1555"/>
      <c r="AA73" s="2512">
        <f>IF(Z73="",0,1)</f>
        <v>0</v>
      </c>
      <c r="AB73" s="270"/>
      <c r="AC73" s="270"/>
      <c r="AD73" s="270"/>
      <c r="AE73" s="623"/>
      <c r="AF73" s="623"/>
      <c r="AG73" s="1618"/>
    </row>
    <row r="74" spans="1:37" ht="15" customHeight="1">
      <c r="A74" s="82"/>
      <c r="B74" s="162"/>
      <c r="C74" s="280" t="s">
        <v>1306</v>
      </c>
      <c r="D74" s="185"/>
      <c r="E74" s="237"/>
      <c r="F74" s="237"/>
      <c r="G74" s="238"/>
      <c r="H74" s="162"/>
      <c r="I74" s="1689"/>
      <c r="J74" s="238"/>
      <c r="K74" s="1553" t="s">
        <v>681</v>
      </c>
      <c r="L74" s="610">
        <f>B71</f>
        <v>13</v>
      </c>
      <c r="M74" s="1725" t="str">
        <f>IF(P74&lt;&gt;"",P74,IF(NOT(F6251_PIII),"",IF(AND(SchDTW_Used,'Line 11a (QDCG Tax)'!C15=""),'Sch. D WS'!P87,IF(CGTW,'Line 11a (QDCG Tax)'!L37,0))))</f>
        <v/>
      </c>
      <c r="N74" s="717"/>
      <c r="O74" s="3461"/>
      <c r="P74" s="470"/>
      <c r="Q74" s="32"/>
      <c r="R74" s="1441"/>
      <c r="S74" s="626"/>
      <c r="T74" s="625"/>
      <c r="U74" s="2351"/>
      <c r="V74" s="1565"/>
      <c r="W74" s="1561"/>
      <c r="X74" s="1900"/>
      <c r="Y74" s="1569"/>
      <c r="Z74" s="1567"/>
      <c r="AA74" s="1566"/>
      <c r="AB74" s="270"/>
      <c r="AC74" s="270"/>
      <c r="AD74" s="270"/>
      <c r="AE74" s="623"/>
      <c r="AF74" s="623"/>
      <c r="AG74" s="1618"/>
    </row>
    <row r="75" spans="1:37" ht="15" customHeight="1">
      <c r="A75" s="82"/>
      <c r="B75" s="162">
        <f>B71+1</f>
        <v>14</v>
      </c>
      <c r="C75" s="280" t="s">
        <v>2676</v>
      </c>
      <c r="D75" s="185"/>
      <c r="E75" s="237"/>
      <c r="F75" s="237"/>
      <c r="G75" s="238"/>
      <c r="H75" s="162"/>
      <c r="I75" s="162"/>
      <c r="J75" s="238"/>
      <c r="K75" s="1553"/>
      <c r="L75" s="736"/>
      <c r="M75" s="555"/>
      <c r="N75" s="717"/>
      <c r="O75" s="3461"/>
      <c r="P75" s="603"/>
      <c r="Q75" s="32"/>
      <c r="R75" s="2433"/>
      <c r="S75" s="626"/>
      <c r="T75" s="625"/>
      <c r="U75" s="2351"/>
      <c r="V75" s="1568"/>
      <c r="W75" s="2510"/>
      <c r="X75" s="2510"/>
      <c r="Y75" s="1569" t="str">
        <f>"You were age 18 at the end of "&amp;TaxYear&amp;" and   "</f>
        <v xml:space="preserve">You were age 18 at the end of 2018 and   </v>
      </c>
      <c r="Z75" s="1570"/>
      <c r="AA75" s="1566"/>
      <c r="AB75" s="270"/>
      <c r="AC75" s="270"/>
      <c r="AD75" s="270"/>
      <c r="AE75" s="623"/>
      <c r="AF75" s="623"/>
      <c r="AG75" s="1618"/>
      <c r="AK75" s="3169" t="str">
        <f>IF(P84&lt;&gt;"",P84,IF(NOT(F6251_PIII),"",IF(M82&lt;=R61,ROUND(M82*R66,0),ROUND((M82*R67)-R65,0))))</f>
        <v/>
      </c>
    </row>
    <row r="76" spans="1:37" ht="15" customHeight="1">
      <c r="A76" s="82"/>
      <c r="B76" s="162"/>
      <c r="C76" s="280" t="s">
        <v>2675</v>
      </c>
      <c r="D76" s="185"/>
      <c r="E76" s="237"/>
      <c r="F76" s="237"/>
      <c r="G76" s="238"/>
      <c r="H76" s="162"/>
      <c r="I76" s="161"/>
      <c r="J76" s="238"/>
      <c r="K76" s="1553" t="s">
        <v>634</v>
      </c>
      <c r="L76" s="610">
        <f>B75</f>
        <v>14</v>
      </c>
      <c r="M76" s="1725" t="str">
        <f>IF(P76&lt;&gt;"",P76,IF(NOT(F6251_PIII),"",IF(SchDLine19&lt;&gt;"",SchDLine19,0)))</f>
        <v/>
      </c>
      <c r="N76" s="717"/>
      <c r="O76" s="3461"/>
      <c r="P76" s="470"/>
      <c r="Q76" s="32"/>
      <c r="R76" s="2433"/>
      <c r="S76" s="626"/>
      <c r="T76" s="625"/>
      <c r="U76" s="2351"/>
      <c r="V76" s="1568"/>
      <c r="W76" s="2510"/>
      <c r="X76" s="2510"/>
      <c r="Y76" s="1569" t="s">
        <v>910</v>
      </c>
      <c r="Z76" s="1555"/>
      <c r="AA76" s="2512">
        <f>IF(Z76="",0,1)</f>
        <v>0</v>
      </c>
      <c r="AB76" s="270"/>
      <c r="AC76" s="270"/>
      <c r="AD76" s="270"/>
      <c r="AE76" s="623"/>
      <c r="AF76" s="623"/>
      <c r="AG76" s="1618"/>
    </row>
    <row r="77" spans="1:37" ht="15" customHeight="1">
      <c r="A77" s="82"/>
      <c r="B77" s="162">
        <f>B75+1</f>
        <v>15</v>
      </c>
      <c r="C77" s="280" t="s">
        <v>1307</v>
      </c>
      <c r="D77" s="185"/>
      <c r="E77" s="237"/>
      <c r="F77" s="237"/>
      <c r="G77" s="238"/>
      <c r="H77" s="162"/>
      <c r="I77" s="162"/>
      <c r="J77" s="238"/>
      <c r="K77" s="1553"/>
      <c r="L77" s="736"/>
      <c r="M77" s="555"/>
      <c r="N77" s="717"/>
      <c r="O77" s="3461"/>
      <c r="P77" s="603"/>
      <c r="Q77" s="32"/>
      <c r="R77" s="2433"/>
      <c r="S77" s="626"/>
      <c r="T77" s="625"/>
      <c r="U77" s="2351"/>
      <c r="V77" s="1560"/>
      <c r="W77" s="1561"/>
      <c r="X77" s="1563"/>
      <c r="Y77" s="2511"/>
      <c r="Z77" s="1567"/>
      <c r="AA77" s="1566"/>
      <c r="AB77" s="270"/>
      <c r="AC77" s="270"/>
      <c r="AD77" s="270"/>
      <c r="AE77" s="623"/>
      <c r="AF77" s="623"/>
      <c r="AG77" s="1618"/>
    </row>
    <row r="78" spans="1:37" ht="15" customHeight="1">
      <c r="A78" s="82"/>
      <c r="B78" s="162"/>
      <c r="C78" s="280" t="s">
        <v>3383</v>
      </c>
      <c r="D78" s="185"/>
      <c r="E78" s="237"/>
      <c r="F78" s="237"/>
      <c r="G78" s="238"/>
      <c r="H78" s="162"/>
      <c r="I78" s="162"/>
      <c r="J78" s="238"/>
      <c r="K78" s="1553"/>
      <c r="L78" s="736"/>
      <c r="M78" s="555"/>
      <c r="N78" s="717"/>
      <c r="O78" s="3461"/>
      <c r="P78" s="603"/>
      <c r="Q78" s="32"/>
      <c r="R78" s="2433"/>
      <c r="S78" s="626"/>
      <c r="T78" s="625"/>
      <c r="U78" s="2351"/>
      <c r="V78" s="1560"/>
      <c r="W78" s="1561"/>
      <c r="X78" s="1563"/>
      <c r="Y78" s="1569" t="s">
        <v>911</v>
      </c>
      <c r="Z78" s="1571"/>
      <c r="AA78" s="1566"/>
      <c r="AB78" s="270"/>
      <c r="AC78" s="270"/>
      <c r="AD78" s="270"/>
      <c r="AE78" s="623"/>
      <c r="AF78" s="623"/>
      <c r="AG78" s="1618"/>
    </row>
    <row r="79" spans="1:37" ht="15" customHeight="1">
      <c r="A79" s="82"/>
      <c r="B79" s="162"/>
      <c r="C79" s="280" t="s">
        <v>1308</v>
      </c>
      <c r="D79" s="185"/>
      <c r="E79" s="237"/>
      <c r="F79" s="237"/>
      <c r="G79" s="238"/>
      <c r="H79" s="162"/>
      <c r="I79" s="162"/>
      <c r="J79" s="238"/>
      <c r="K79" s="1553"/>
      <c r="L79" s="736"/>
      <c r="M79" s="555"/>
      <c r="N79" s="717"/>
      <c r="O79" s="3461"/>
      <c r="P79" s="603"/>
      <c r="Q79" s="32"/>
      <c r="R79" s="2433"/>
      <c r="S79" s="626"/>
      <c r="T79" s="625"/>
      <c r="U79" s="2351"/>
      <c r="V79" s="1565"/>
      <c r="W79" s="1561"/>
      <c r="X79" s="1900"/>
      <c r="Y79" s="1569" t="str">
        <f>"under age 24 at the end of "&amp;TaxYear&amp;" and   "</f>
        <v xml:space="preserve">under age 24 at the end of 2018 and   </v>
      </c>
      <c r="Z79" s="1555"/>
      <c r="AA79" s="2512">
        <f>IF(Z79="",0,1)</f>
        <v>0</v>
      </c>
      <c r="AB79" s="270"/>
      <c r="AC79" s="270"/>
      <c r="AD79" s="270"/>
      <c r="AE79" s="623"/>
      <c r="AF79" s="623"/>
      <c r="AG79" s="1618"/>
    </row>
    <row r="80" spans="1:37" ht="15" customHeight="1">
      <c r="A80" s="82"/>
      <c r="B80" s="162"/>
      <c r="C80" s="280" t="s">
        <v>915</v>
      </c>
      <c r="D80" s="185"/>
      <c r="E80" s="237"/>
      <c r="F80" s="237"/>
      <c r="G80" s="238"/>
      <c r="H80" s="162"/>
      <c r="I80" s="161"/>
      <c r="J80" s="238"/>
      <c r="K80" s="1553" t="s">
        <v>676</v>
      </c>
      <c r="L80" s="610">
        <f>B77</f>
        <v>15</v>
      </c>
      <c r="M80" s="1725" t="str">
        <f>IF(P80&lt;&gt;"",P80,IF(NOT(F6251_PIII),"",IF(NOT(SchDTW_Used),M74,MIN(SUM(M74,M76),'Sch. D WS'!L84))))</f>
        <v/>
      </c>
      <c r="N80" s="717"/>
      <c r="O80" s="3461"/>
      <c r="P80" s="470"/>
      <c r="Q80" s="32"/>
      <c r="R80" s="2433"/>
      <c r="S80" s="626"/>
      <c r="T80" s="625"/>
      <c r="U80" s="2351"/>
      <c r="V80" s="1568"/>
      <c r="W80" s="2510"/>
      <c r="X80" s="2510"/>
      <c r="Y80" s="1569" t="s">
        <v>910</v>
      </c>
      <c r="Z80" s="1563"/>
      <c r="AA80" s="1566"/>
      <c r="AB80" s="270"/>
      <c r="AC80" s="270"/>
      <c r="AD80" s="270"/>
      <c r="AE80" s="623"/>
      <c r="AF80" s="623"/>
      <c r="AG80" s="1618"/>
    </row>
    <row r="81" spans="1:33" ht="15" customHeight="1">
      <c r="A81" s="82"/>
      <c r="B81" s="161">
        <f>B77+1</f>
        <v>16</v>
      </c>
      <c r="C81" s="280" t="s">
        <v>3384</v>
      </c>
      <c r="D81" s="185"/>
      <c r="E81" s="237"/>
      <c r="F81" s="237"/>
      <c r="G81" s="238"/>
      <c r="H81" s="238"/>
      <c r="I81" s="238"/>
      <c r="J81" s="238"/>
      <c r="K81" s="1553" t="s">
        <v>492</v>
      </c>
      <c r="L81" s="256">
        <f>B81</f>
        <v>16</v>
      </c>
      <c r="M81" s="1725" t="str">
        <f>IF(NOT(F6251_PIII),"",MIN(M70,M80))</f>
        <v/>
      </c>
      <c r="N81" s="717"/>
      <c r="O81" s="3461"/>
      <c r="P81" s="603"/>
      <c r="Q81" s="455"/>
      <c r="R81" s="2433"/>
      <c r="S81" s="626"/>
      <c r="T81" s="625"/>
      <c r="U81" s="2351"/>
      <c r="V81" s="1560"/>
      <c r="W81" s="1561"/>
      <c r="X81" s="1563"/>
      <c r="Y81" s="1563"/>
      <c r="Z81" s="1563"/>
      <c r="AA81" s="1566"/>
      <c r="AB81" s="270"/>
      <c r="AC81" s="270"/>
      <c r="AD81" s="270"/>
      <c r="AE81" s="623"/>
      <c r="AF81" s="623"/>
      <c r="AG81" s="1618"/>
    </row>
    <row r="82" spans="1:33" ht="15" customHeight="1">
      <c r="A82" s="82"/>
      <c r="B82" s="161">
        <f>B81+1</f>
        <v>17</v>
      </c>
      <c r="C82" s="280" t="str">
        <f>"Subtract line "&amp;L81&amp;" from line "&amp;L70</f>
        <v>Subtract line 16 from line 12</v>
      </c>
      <c r="D82" s="185"/>
      <c r="E82" s="237"/>
      <c r="F82" s="237"/>
      <c r="G82" s="238"/>
      <c r="H82" s="238"/>
      <c r="I82" s="238"/>
      <c r="J82" s="238"/>
      <c r="K82" s="1553" t="s">
        <v>341</v>
      </c>
      <c r="L82" s="256">
        <f>B82</f>
        <v>17</v>
      </c>
      <c r="M82" s="1725" t="str">
        <f>IF(P82&lt;&gt;"",P82,IF(NOT(F6251_PIII),"",SUM(M70,-M81)))</f>
        <v/>
      </c>
      <c r="N82" s="717"/>
      <c r="O82" s="3461"/>
      <c r="P82" s="470"/>
      <c r="Q82" s="455"/>
      <c r="R82" s="2433"/>
      <c r="S82" s="626"/>
      <c r="T82" s="625"/>
      <c r="U82" s="2351"/>
      <c r="V82" s="1565"/>
      <c r="W82" s="1561"/>
      <c r="X82" s="1900"/>
      <c r="Y82" s="1569" t="s">
        <v>912</v>
      </c>
      <c r="Z82" s="1555"/>
      <c r="AA82" s="2512">
        <f>IF(Z82="",0,1)</f>
        <v>0</v>
      </c>
      <c r="AB82" s="270"/>
      <c r="AC82" s="270"/>
      <c r="AD82" s="270"/>
      <c r="AE82" s="623"/>
      <c r="AF82" s="623"/>
      <c r="AG82" s="1618"/>
    </row>
    <row r="83" spans="1:33" ht="15" customHeight="1" thickBot="1">
      <c r="A83" s="82"/>
      <c r="B83" s="161">
        <f>B82+1</f>
        <v>18</v>
      </c>
      <c r="C83" s="280" t="str">
        <f>"If line "&amp;L82&amp;" is "&amp;TEXT(R59,"$0,000")&amp;" or less ("&amp;TEXT(R60,"$0,000")&amp;" or less if married filing separately),"</f>
        <v>If line 17 is $191,100 or less ($95,550 or less if married filing separately),</v>
      </c>
      <c r="D83" s="280"/>
      <c r="E83" s="237"/>
      <c r="F83" s="237"/>
      <c r="G83" s="238"/>
      <c r="H83" s="615" t="str">
        <f>"multiply line "&amp;L82&amp;" by "&amp;TEXT(R66,"0%")&amp;" ("&amp;TEXT(R66,"0.00")&amp;"). Otherwise,"</f>
        <v>multiply line 17 by 26% (0.26). Otherwise,</v>
      </c>
      <c r="I83" s="238"/>
      <c r="J83" s="238"/>
      <c r="K83" s="161"/>
      <c r="L83" s="232"/>
      <c r="M83" s="554"/>
      <c r="N83" s="716"/>
      <c r="O83" s="3461"/>
      <c r="P83" s="603"/>
      <c r="Q83" s="455"/>
      <c r="R83" s="2433"/>
      <c r="S83" s="626"/>
      <c r="T83" s="625"/>
      <c r="U83" s="2351"/>
      <c r="V83" s="1572"/>
      <c r="W83" s="1573"/>
      <c r="X83" s="1574"/>
      <c r="Y83" s="1574"/>
      <c r="Z83" s="1574"/>
      <c r="AA83" s="2513">
        <f>SUM(AA73:AA82)</f>
        <v>0</v>
      </c>
      <c r="AB83" s="270"/>
      <c r="AC83" s="270"/>
      <c r="AD83" s="270"/>
      <c r="AE83" s="623"/>
      <c r="AF83" s="623"/>
      <c r="AG83" s="1618"/>
    </row>
    <row r="84" spans="1:33" ht="15" customHeight="1" thickBot="1">
      <c r="A84" s="82"/>
      <c r="B84" s="161"/>
      <c r="C84" s="600" t="str">
        <f>"multiply line "&amp;L82&amp;" by "&amp;TEXT(R67,"0%")&amp;" ("&amp;TEXT(R67,"0.00")&amp;") and subtract "&amp;TEXT(R63,"$0,000")&amp;" ("&amp;TEXT(R64,"$0,000")&amp;" if married filing separate) from the result"</f>
        <v>multiply line 17 by 28% (0.28) and subtract $3,822 ($1,911 if married filing separate) from the result</v>
      </c>
      <c r="D84" s="280"/>
      <c r="E84" s="237"/>
      <c r="F84" s="237"/>
      <c r="G84" s="238"/>
      <c r="H84" s="238"/>
      <c r="I84" s="238"/>
      <c r="J84" s="238"/>
      <c r="K84" s="1553" t="s">
        <v>878</v>
      </c>
      <c r="L84" s="256">
        <f>B83</f>
        <v>18</v>
      </c>
      <c r="M84" s="1725" t="str">
        <f>IF(P84&lt;&gt;"",P84,IF(NOT(F6251_PIII),"",IF(M82&lt;=R61,ROUND(M82*R66,0),ROUND((M82*R67)-R65,0))))</f>
        <v/>
      </c>
      <c r="N84" s="716"/>
      <c r="O84" s="3461"/>
      <c r="P84" s="470"/>
      <c r="Q84" s="455"/>
      <c r="R84" s="2433"/>
      <c r="S84" s="626"/>
      <c r="T84" s="625"/>
      <c r="U84" s="2351"/>
      <c r="V84" s="3334"/>
      <c r="W84" s="3335"/>
      <c r="X84" s="3335"/>
      <c r="Y84" s="3335"/>
      <c r="Z84" s="3335"/>
      <c r="AA84" s="3335"/>
      <c r="AB84" s="3335"/>
      <c r="AC84" s="3336" t="s">
        <v>2678</v>
      </c>
      <c r="AD84" s="3335"/>
      <c r="AE84" s="623"/>
      <c r="AF84" s="623"/>
    </row>
    <row r="85" spans="1:33" ht="15" customHeight="1">
      <c r="A85" s="82"/>
      <c r="B85" s="161">
        <f>B83+1</f>
        <v>19</v>
      </c>
      <c r="C85" s="280" t="s">
        <v>402</v>
      </c>
      <c r="D85" s="280"/>
      <c r="E85" s="237"/>
      <c r="F85" s="237"/>
      <c r="G85" s="238"/>
      <c r="H85" s="238"/>
      <c r="I85" s="238"/>
      <c r="J85" s="238"/>
      <c r="K85" s="1553"/>
      <c r="L85" s="735"/>
      <c r="M85" s="604"/>
      <c r="N85" s="716"/>
      <c r="O85" s="3461"/>
      <c r="P85" s="603"/>
      <c r="Q85" s="455"/>
      <c r="R85" s="2433"/>
      <c r="S85" s="269"/>
      <c r="T85" s="625"/>
      <c r="U85" s="270"/>
      <c r="V85" s="7622" t="s">
        <v>4496</v>
      </c>
      <c r="W85" s="7623"/>
      <c r="X85" s="7626"/>
      <c r="Y85" s="6756"/>
      <c r="Z85" s="6756"/>
      <c r="AA85" s="2476"/>
      <c r="AB85" s="2476"/>
      <c r="AC85" s="2476"/>
      <c r="AD85" s="2477"/>
      <c r="AE85" s="623"/>
      <c r="AF85" s="623"/>
    </row>
    <row r="86" spans="1:33" ht="13.5" customHeight="1">
      <c r="A86" s="82"/>
      <c r="B86" s="161"/>
      <c r="C86" s="730" t="s">
        <v>385</v>
      </c>
      <c r="D86" s="280" t="str">
        <f>TEXT(R86,"$0,000")&amp;" if married filing jointly or qualifying widow(er),"</f>
        <v>$77,200 if married filing jointly or qualifying widow(er),</v>
      </c>
      <c r="E86" s="237"/>
      <c r="F86" s="237"/>
      <c r="G86" s="238"/>
      <c r="H86" s="238"/>
      <c r="I86" s="238"/>
      <c r="J86" s="238"/>
      <c r="K86" s="1553"/>
      <c r="L86" s="736"/>
      <c r="M86" s="604"/>
      <c r="N86" s="716"/>
      <c r="O86" s="3461"/>
      <c r="P86" s="603"/>
      <c r="Q86" s="455"/>
      <c r="R86" s="1683">
        <v>77200</v>
      </c>
      <c r="S86" s="242"/>
      <c r="T86" s="626"/>
      <c r="U86" s="270"/>
      <c r="V86" s="7624"/>
      <c r="W86" s="5628"/>
      <c r="X86" s="7627"/>
      <c r="Y86" s="7628"/>
      <c r="Z86" s="7628"/>
      <c r="AA86" s="2478"/>
      <c r="AB86" s="2478"/>
      <c r="AC86" s="2478"/>
      <c r="AD86" s="2479"/>
      <c r="AE86" s="623"/>
      <c r="AF86" s="623"/>
    </row>
    <row r="87" spans="1:33" ht="14.25" customHeight="1" thickBot="1">
      <c r="A87" s="82"/>
      <c r="B87" s="161"/>
      <c r="C87" s="730" t="s">
        <v>385</v>
      </c>
      <c r="D87" s="280" t="str">
        <f>TEXT(R87,"$0,000")&amp;" if single or married filing separately, or"</f>
        <v>$38,600 if single or married filing separately, or</v>
      </c>
      <c r="E87" s="237"/>
      <c r="F87" s="237"/>
      <c r="G87" s="238"/>
      <c r="H87" s="238"/>
      <c r="I87" s="162"/>
      <c r="J87" s="238"/>
      <c r="K87" s="1553" t="s">
        <v>679</v>
      </c>
      <c r="L87" s="610">
        <f>B85</f>
        <v>19</v>
      </c>
      <c r="M87" s="1725" t="str">
        <f>IF(NOT(F6251_PIII),"",IF(OR(File_Marr_Joint&lt;&gt;"",File_Qual_Widow&lt;&gt;""),R86,IF(OR(File_Single&lt;&gt;"",File_Marr_Sep&lt;&gt;""),R87,IF(File_Head&lt;&gt;"",R88,"Filing Status?"))))</f>
        <v/>
      </c>
      <c r="N87" s="716"/>
      <c r="O87" s="3461"/>
      <c r="P87" s="603"/>
      <c r="Q87" s="455"/>
      <c r="R87" s="1683">
        <v>38600</v>
      </c>
      <c r="S87" s="242"/>
      <c r="T87" s="946"/>
      <c r="U87" s="1066"/>
      <c r="V87" s="7625"/>
      <c r="W87" s="5629"/>
      <c r="X87" s="7629"/>
      <c r="Y87" s="7629"/>
      <c r="Z87" s="7629"/>
      <c r="AA87" s="2480" t="s">
        <v>909</v>
      </c>
      <c r="AB87" s="2480"/>
      <c r="AC87" s="2480"/>
      <c r="AD87" s="2481"/>
      <c r="AE87" s="623"/>
      <c r="AF87" s="623"/>
      <c r="AG87" s="5023" t="str">
        <f>IF(OR(File_Single&lt;&gt;"",File_Head&lt;&gt;""),AG46,IF(File_Marr_Joint&lt;&gt;"",AG47,IF(File_Marr_Sep&lt;&gt;"",AG48,"Filing status?")))</f>
        <v>Filing status?</v>
      </c>
    </row>
    <row r="88" spans="1:33" ht="14.25">
      <c r="A88" s="82"/>
      <c r="B88" s="161"/>
      <c r="C88" s="730" t="s">
        <v>385</v>
      </c>
      <c r="D88" s="280" t="str">
        <f>TEXT(R88,"$0,000")&amp;" if head of household."</f>
        <v>$51,700 if head of household.</v>
      </c>
      <c r="E88" s="237"/>
      <c r="F88" s="237"/>
      <c r="G88" s="238"/>
      <c r="H88" s="238"/>
      <c r="I88" s="238"/>
      <c r="J88" s="238"/>
      <c r="K88" s="1553"/>
      <c r="L88" s="247"/>
      <c r="M88" s="2295"/>
      <c r="N88" s="716"/>
      <c r="O88" s="3461"/>
      <c r="P88" s="603"/>
      <c r="Q88" s="32"/>
      <c r="R88" s="1683">
        <v>51700</v>
      </c>
      <c r="S88" s="270"/>
      <c r="T88" s="269"/>
      <c r="U88" s="1067"/>
      <c r="V88" s="5022" t="s">
        <v>359</v>
      </c>
      <c r="W88" s="4415" t="str">
        <f>"If Form 6251, line 4, is equal to or more than: "&amp;TEXT($AG$46,"$0,000")&amp;" if single or head of household; "</f>
        <v xml:space="preserve">If Form 6251, line 4, is equal to or more than: $781,200 if single or head of household; </v>
      </c>
      <c r="X88" s="4415"/>
      <c r="Y88" s="4415"/>
      <c r="Z88" s="4415"/>
      <c r="AA88" s="4415"/>
      <c r="AB88" s="4415"/>
      <c r="AC88" s="4415"/>
      <c r="AD88" s="5021"/>
      <c r="AE88" s="623"/>
      <c r="AF88" s="623"/>
      <c r="AG88" s="5024" t="b">
        <f>(AltMinTaxInc&gt;=AG87)</f>
        <v>0</v>
      </c>
    </row>
    <row r="89" spans="1:33" ht="12.75" customHeight="1">
      <c r="A89" s="82"/>
      <c r="B89" s="162">
        <f>B85+1</f>
        <v>20</v>
      </c>
      <c r="C89" s="280" t="s">
        <v>1309</v>
      </c>
      <c r="D89" s="185"/>
      <c r="E89" s="237"/>
      <c r="F89" s="237"/>
      <c r="G89" s="238"/>
      <c r="H89" s="162"/>
      <c r="I89" s="162"/>
      <c r="J89" s="238"/>
      <c r="K89" s="1553"/>
      <c r="L89" s="247"/>
      <c r="M89" s="1785"/>
      <c r="N89" s="717"/>
      <c r="O89" s="3461"/>
      <c r="P89" s="603"/>
      <c r="Q89" s="32"/>
      <c r="R89" s="4099" t="b">
        <f>OR(SchDTW_Used,CGTW)</f>
        <v>0</v>
      </c>
      <c r="S89" s="270"/>
      <c r="T89" s="269"/>
      <c r="U89" s="1067"/>
      <c r="V89" s="7612" t="str">
        <f>"  "&amp;TEXT($AG$47,"$0,000")&amp;" if married filing jointly or qualifying widow(er); or "&amp;TEXT($AG$48,"$0,000")&amp;" if married filing separately;"</f>
        <v xml:space="preserve">  $1,437,600 if married filing jointly or qualifying widow(er); or $718,800 if married filing separately;</v>
      </c>
      <c r="W89" s="7613"/>
      <c r="X89" s="7613"/>
      <c r="Y89" s="7613"/>
      <c r="Z89" s="7613"/>
      <c r="AA89" s="7613"/>
      <c r="AB89" s="7613"/>
      <c r="AC89" s="7613"/>
      <c r="AD89" s="7614"/>
      <c r="AE89" s="623"/>
      <c r="AF89" s="623"/>
    </row>
    <row r="90" spans="1:33" ht="14.25" customHeight="1">
      <c r="A90" s="82"/>
      <c r="B90" s="162"/>
      <c r="C90" s="600" t="s">
        <v>3390</v>
      </c>
      <c r="D90" s="185"/>
      <c r="E90" s="237"/>
      <c r="F90" s="237"/>
      <c r="G90" s="238"/>
      <c r="H90" s="162"/>
      <c r="I90" s="162"/>
      <c r="J90" s="238"/>
      <c r="K90" s="1553"/>
      <c r="L90" s="247"/>
      <c r="M90" s="1785"/>
      <c r="N90" s="717"/>
      <c r="O90" s="3461"/>
      <c r="P90" s="603"/>
      <c r="Q90" s="32"/>
      <c r="R90" s="4099" t="b">
        <f>AND(Form2555_Used,NOT(R89))</f>
        <v>0</v>
      </c>
      <c r="S90" s="242"/>
      <c r="T90" s="242"/>
      <c r="U90" s="270"/>
      <c r="V90" s="7612" t="s">
        <v>4728</v>
      </c>
      <c r="W90" s="7613"/>
      <c r="X90" s="7613"/>
      <c r="Y90" s="7613"/>
      <c r="Z90" s="7613"/>
      <c r="AA90" s="7613"/>
      <c r="AB90" s="7613"/>
      <c r="AC90" s="7613"/>
      <c r="AD90" s="7614"/>
      <c r="AE90" s="623"/>
      <c r="AF90" s="623"/>
    </row>
    <row r="91" spans="1:33" ht="14.25" customHeight="1">
      <c r="A91" s="82"/>
      <c r="B91" s="162"/>
      <c r="C91" s="600" t="s">
        <v>4484</v>
      </c>
      <c r="D91" s="185"/>
      <c r="E91" s="237"/>
      <c r="F91" s="237"/>
      <c r="G91" s="238"/>
      <c r="H91" s="162"/>
      <c r="I91" s="162"/>
      <c r="J91" s="238"/>
      <c r="K91" s="1553"/>
      <c r="L91" s="247"/>
      <c r="M91" s="555"/>
      <c r="N91" s="717"/>
      <c r="O91" s="3461"/>
      <c r="P91" s="2294" t="str">
        <f>IF(OR(P93&lt;&gt;"",$R$90,F6251_PIII),"Line 44 Source:","")</f>
        <v/>
      </c>
      <c r="Q91" s="32"/>
      <c r="R91" s="2433"/>
      <c r="S91" s="242"/>
      <c r="T91" s="242"/>
      <c r="U91" s="270"/>
      <c r="V91" s="7615" t="s">
        <v>4497</v>
      </c>
      <c r="W91" s="7616"/>
      <c r="X91" s="7616"/>
      <c r="Y91" s="7616"/>
      <c r="Z91" s="7616"/>
      <c r="AA91" s="7616"/>
      <c r="AB91" s="7616"/>
      <c r="AC91" s="7616"/>
      <c r="AD91" s="7617"/>
      <c r="AE91" s="623"/>
      <c r="AF91" s="623"/>
    </row>
    <row r="92" spans="1:33" ht="14.25" customHeight="1" thickBot="1">
      <c r="A92" s="82"/>
      <c r="B92" s="162"/>
      <c r="C92" s="600" t="s">
        <v>3385</v>
      </c>
      <c r="D92" s="185"/>
      <c r="E92" s="237"/>
      <c r="F92" s="237"/>
      <c r="G92" s="238"/>
      <c r="H92" s="162"/>
      <c r="I92" s="162"/>
      <c r="J92" s="238"/>
      <c r="K92" s="1553"/>
      <c r="L92" s="247"/>
      <c r="M92" s="555"/>
      <c r="N92" s="717"/>
      <c r="O92" s="3461"/>
      <c r="P92" s="2294" t="str">
        <f>IF(P93&lt;&gt;"","Manual override",IF($R$90,"Foreign Income Tax Workseet",IF(NOT(F6251_PIII),"",IF(SchDTW_Used,"Sch. D Tax WS",IF(CGTW,"CGTW_Line7",IF(Taxable_Inc&gt;0,"Form 1040, Line 43"))))))</f>
        <v/>
      </c>
      <c r="Q92" s="32"/>
      <c r="R92" s="2433"/>
      <c r="S92" s="242"/>
      <c r="T92" s="242"/>
      <c r="U92" s="270"/>
      <c r="V92" s="7600" t="str">
        <f>IF(AMTExemptionFlag="No","Your AMT Exemption is zero.  See NOTE above.","")</f>
        <v/>
      </c>
      <c r="W92" s="7601"/>
      <c r="X92" s="7601"/>
      <c r="Y92" s="7601"/>
      <c r="Z92" s="7601"/>
      <c r="AA92" s="7601"/>
      <c r="AB92" s="7601"/>
      <c r="AC92" s="7601"/>
      <c r="AD92" s="7602"/>
      <c r="AE92" s="623"/>
      <c r="AF92" s="623"/>
    </row>
    <row r="93" spans="1:33" ht="14.25" customHeight="1">
      <c r="A93" s="82"/>
      <c r="B93" s="162"/>
      <c r="C93" s="600" t="s">
        <v>1310</v>
      </c>
      <c r="D93" s="185"/>
      <c r="E93" s="237"/>
      <c r="F93" s="237"/>
      <c r="G93" s="238"/>
      <c r="H93" s="162"/>
      <c r="I93" s="593"/>
      <c r="J93" s="238"/>
      <c r="K93" s="1553" t="s">
        <v>680</v>
      </c>
      <c r="L93" s="610">
        <f>B89</f>
        <v>20</v>
      </c>
      <c r="M93" s="1725" t="str">
        <f>IF(P93&lt;&gt;"",P93,IF($R$90,$AC$144,IF(NOT(F6251_PIII),"",IF(SchDTW_Used,'Sch. D WS'!P88,IF(CGTW,CGTW_Line7,IF(Taxable_Inc&gt;0,Taxable_Inc,0))))))</f>
        <v/>
      </c>
      <c r="N93" s="717"/>
      <c r="O93" s="3461"/>
      <c r="P93" s="470"/>
      <c r="Q93" s="32"/>
      <c r="R93" s="2433"/>
      <c r="S93" s="242"/>
      <c r="T93" s="270"/>
      <c r="U93" s="270"/>
      <c r="V93" s="4812">
        <v>1</v>
      </c>
      <c r="W93" s="4809" t="str">
        <f>"Enter: "&amp;TEXT(I42,"$0,000")&amp;" if single or head of household; "&amp;TEXT(I43,"$0,000")&amp;" if married"</f>
        <v>Enter: $70,300 if single or head of household; $109,400 if married</v>
      </c>
      <c r="X93" s="1729"/>
      <c r="Y93" s="1729"/>
      <c r="Z93" s="2448"/>
      <c r="AA93" s="2451"/>
      <c r="AB93" s="2452"/>
      <c r="AC93" s="2465"/>
      <c r="AD93" s="1564"/>
      <c r="AE93" s="623"/>
      <c r="AF93" s="623"/>
    </row>
    <row r="94" spans="1:33" ht="14.25" customHeight="1">
      <c r="A94" s="82"/>
      <c r="B94" s="162">
        <f>B89+1</f>
        <v>21</v>
      </c>
      <c r="C94" s="280" t="s">
        <v>2267</v>
      </c>
      <c r="D94" s="185"/>
      <c r="E94" s="237"/>
      <c r="F94" s="237"/>
      <c r="G94" s="238"/>
      <c r="H94" s="162"/>
      <c r="I94" s="161"/>
      <c r="J94" s="238"/>
      <c r="K94" s="1553" t="s">
        <v>676</v>
      </c>
      <c r="L94" s="610">
        <f>B94</f>
        <v>21</v>
      </c>
      <c r="M94" s="1725" t="str">
        <f>IF(NOT(F6251_PIII),"",IF(ISERROR(SUM(M87,-M93)),M87,IF(SUM(M87,-M93)&lt;0,0,SUM(M87,-M93))))</f>
        <v/>
      </c>
      <c r="N94" s="717"/>
      <c r="O94" s="3461"/>
      <c r="P94" s="603"/>
      <c r="Q94" s="32"/>
      <c r="R94" s="2433"/>
      <c r="S94" s="242"/>
      <c r="T94" s="242"/>
      <c r="U94" s="270"/>
      <c r="V94" s="1737"/>
      <c r="W94" s="4809" t="str">
        <f>"filing jointly or qualifying widow(er); "&amp;TEXT(I44,"$0,000")&amp;" if married filing"</f>
        <v>filing jointly or qualifying widow(er); $54,700 if married filing</v>
      </c>
      <c r="X94" s="1729"/>
      <c r="Y94" s="1729"/>
      <c r="Z94" s="2448"/>
      <c r="AA94" s="2451"/>
      <c r="AB94" s="2451"/>
      <c r="AC94" s="2451"/>
      <c r="AD94" s="1564"/>
      <c r="AF94" s="623"/>
    </row>
    <row r="95" spans="1:33" ht="14.25" customHeight="1">
      <c r="A95" s="82"/>
      <c r="B95" s="162">
        <f>B94+1</f>
        <v>22</v>
      </c>
      <c r="C95" s="280" t="s">
        <v>3386</v>
      </c>
      <c r="D95" s="185"/>
      <c r="E95" s="237"/>
      <c r="F95" s="237"/>
      <c r="G95" s="238"/>
      <c r="H95" s="162"/>
      <c r="I95" s="162"/>
      <c r="J95" s="238"/>
      <c r="K95" s="1553" t="s">
        <v>1311</v>
      </c>
      <c r="L95" s="610">
        <f t="shared" ref="L95:L103" si="2">B95</f>
        <v>22</v>
      </c>
      <c r="M95" s="1725" t="str">
        <f>IF(NOT(F6251_PIII),"",MIN(M70,M74))</f>
        <v/>
      </c>
      <c r="N95" s="717"/>
      <c r="O95" s="3461"/>
      <c r="P95" s="613"/>
      <c r="Q95" s="32"/>
      <c r="R95" s="2433"/>
      <c r="S95" s="242"/>
      <c r="T95" s="242"/>
      <c r="U95" s="270"/>
      <c r="V95" s="1737"/>
      <c r="W95" s="4809" t="s">
        <v>638</v>
      </c>
      <c r="X95" s="1729"/>
      <c r="Y95" s="1729"/>
      <c r="Z95" s="2448"/>
      <c r="AA95" s="2449" t="s">
        <v>2793</v>
      </c>
      <c r="AB95" s="2450">
        <f>V93</f>
        <v>1</v>
      </c>
      <c r="AC95" s="2445" t="str">
        <f>IF(AMTExemptionFlag="No","",IF(OR(File_Single&lt;&gt;"",File_Head&lt;&gt;""),I42,IF(OR(File_Marr_Joint&lt;&gt;"",File_Qual_Widow&lt;&gt;""),I43,IF(File_Marr_Sep&lt;&gt;"",I44,""))))</f>
        <v/>
      </c>
      <c r="AD95" s="1564"/>
      <c r="AF95" s="623"/>
    </row>
    <row r="96" spans="1:33" ht="14.25" customHeight="1">
      <c r="A96" s="82"/>
      <c r="B96" s="162">
        <f>B95+1</f>
        <v>23</v>
      </c>
      <c r="C96" s="280" t="s">
        <v>3387</v>
      </c>
      <c r="D96" s="185"/>
      <c r="E96" s="237"/>
      <c r="F96" s="237"/>
      <c r="G96" s="238"/>
      <c r="H96" s="162"/>
      <c r="I96" s="161"/>
      <c r="J96" s="238"/>
      <c r="K96" s="1553" t="s">
        <v>422</v>
      </c>
      <c r="L96" s="610">
        <f t="shared" si="2"/>
        <v>23</v>
      </c>
      <c r="M96" s="1725" t="str">
        <f>IF(NOT(F6251_PIII),"",MIN(M94,M95))</f>
        <v/>
      </c>
      <c r="N96" s="717"/>
      <c r="O96" s="3461"/>
      <c r="P96" s="613"/>
      <c r="Q96" s="32"/>
      <c r="R96" s="2433"/>
      <c r="S96" s="242"/>
      <c r="T96" s="242"/>
      <c r="U96" s="270"/>
      <c r="V96" s="4812">
        <v>2</v>
      </c>
      <c r="W96" s="1918" t="s">
        <v>637</v>
      </c>
      <c r="X96" s="1729"/>
      <c r="Y96" s="1729"/>
      <c r="Z96" s="2452"/>
      <c r="AA96" s="2451"/>
      <c r="AB96" s="2452"/>
      <c r="AC96" s="2465"/>
      <c r="AD96" s="1564"/>
      <c r="AF96" s="623"/>
    </row>
    <row r="97" spans="1:32" ht="14.25" customHeight="1">
      <c r="A97" s="82"/>
      <c r="B97" s="162">
        <f>B96+1</f>
        <v>24</v>
      </c>
      <c r="C97" s="280" t="s">
        <v>3388</v>
      </c>
      <c r="D97" s="185"/>
      <c r="E97" s="237"/>
      <c r="F97" s="237"/>
      <c r="G97" s="238"/>
      <c r="H97" s="162"/>
      <c r="I97" s="161"/>
      <c r="J97" s="238"/>
      <c r="K97" s="1553" t="s">
        <v>341</v>
      </c>
      <c r="L97" s="610">
        <f t="shared" si="2"/>
        <v>24</v>
      </c>
      <c r="M97" s="1891" t="str">
        <f>IF(NOT(F6251_PIII),"",SUM(M95,-M96))</f>
        <v/>
      </c>
      <c r="N97" s="717"/>
      <c r="O97" s="3461"/>
      <c r="P97" s="613"/>
      <c r="Q97" s="32"/>
      <c r="R97" s="2433"/>
      <c r="S97" s="242"/>
      <c r="T97" s="242"/>
      <c r="U97" s="270"/>
      <c r="V97" s="4814"/>
      <c r="W97" s="1919" t="s">
        <v>4498</v>
      </c>
      <c r="X97" s="1739"/>
      <c r="Y97" s="3401" t="s">
        <v>2792</v>
      </c>
      <c r="Z97" s="2456">
        <f>V96</f>
        <v>2</v>
      </c>
      <c r="AA97" s="2445">
        <f>IF(AMTExemptionFlag="No","",AltMinTaxInc)</f>
        <v>0</v>
      </c>
      <c r="AB97" s="2467"/>
      <c r="AC97" s="2469"/>
      <c r="AD97" s="2470"/>
      <c r="AF97" s="623"/>
    </row>
    <row r="98" spans="1:32" ht="14.25" customHeight="1">
      <c r="A98" s="82"/>
      <c r="B98" s="162">
        <f>B97+1</f>
        <v>25</v>
      </c>
      <c r="C98" s="280" t="s">
        <v>402</v>
      </c>
      <c r="D98" s="185"/>
      <c r="E98" s="237"/>
      <c r="F98" s="237"/>
      <c r="G98" s="238"/>
      <c r="H98" s="162"/>
      <c r="I98" s="161"/>
      <c r="J98" s="238"/>
      <c r="K98" s="1553"/>
      <c r="L98" s="736"/>
      <c r="M98" s="604"/>
      <c r="N98" s="717"/>
      <c r="O98" s="3461"/>
      <c r="P98" s="613"/>
      <c r="Q98" s="32"/>
      <c r="R98" s="2433"/>
      <c r="S98" s="242"/>
      <c r="T98" s="242"/>
      <c r="U98" s="270"/>
      <c r="V98" s="4813"/>
      <c r="W98" s="1561"/>
      <c r="X98" s="1729"/>
      <c r="Y98" s="1729"/>
      <c r="Z98" s="2463"/>
      <c r="AA98" s="2465"/>
      <c r="AB98" s="2466"/>
      <c r="AC98" s="2465"/>
      <c r="AD98" s="1564"/>
      <c r="AF98" s="623"/>
    </row>
    <row r="99" spans="1:32" ht="14.25" customHeight="1">
      <c r="A99" s="82"/>
      <c r="B99" s="161"/>
      <c r="C99" s="4098" t="s">
        <v>385</v>
      </c>
      <c r="D99" s="280" t="str">
        <f>TEXT(R99,"$0,000")&amp;" if single,"</f>
        <v>$425,800 if single,</v>
      </c>
      <c r="E99" s="237"/>
      <c r="F99" s="237"/>
      <c r="G99" s="238"/>
      <c r="H99" s="238"/>
      <c r="I99" s="238"/>
      <c r="J99" s="238"/>
      <c r="K99" s="1553"/>
      <c r="L99" s="736"/>
      <c r="M99" s="604"/>
      <c r="N99" s="716"/>
      <c r="O99" s="3461"/>
      <c r="P99" s="603"/>
      <c r="Q99" s="455"/>
      <c r="R99" s="1683">
        <v>425800</v>
      </c>
      <c r="S99" s="242"/>
      <c r="T99" s="242"/>
      <c r="U99" s="270"/>
      <c r="V99" s="4812">
        <v>3</v>
      </c>
      <c r="W99" s="4809" t="str">
        <f>"Enter: "&amp;TEXT(G42,"$0,000")&amp;" if single or head of household;"</f>
        <v>Enter: $500,000 if single or head of household;</v>
      </c>
      <c r="X99" s="1729"/>
      <c r="Y99" s="1729"/>
      <c r="Z99" s="2452"/>
      <c r="AA99" s="2451"/>
      <c r="AB99" s="2452"/>
      <c r="AC99" s="2465"/>
      <c r="AD99" s="1564"/>
      <c r="AF99" s="623"/>
    </row>
    <row r="100" spans="1:32" ht="14.25" customHeight="1">
      <c r="A100" s="82"/>
      <c r="B100" s="161"/>
      <c r="C100" s="4098" t="s">
        <v>385</v>
      </c>
      <c r="D100" s="280" t="str">
        <f>TEXT(R100,"$0,000")&amp;" if married filing separately"</f>
        <v>$239,500 if married filing separately</v>
      </c>
      <c r="E100" s="237"/>
      <c r="F100" s="237"/>
      <c r="G100" s="238"/>
      <c r="H100" s="238"/>
      <c r="I100" s="238"/>
      <c r="J100" s="238"/>
      <c r="K100" s="1553"/>
      <c r="L100" s="736"/>
      <c r="M100" s="604"/>
      <c r="N100" s="716"/>
      <c r="O100" s="3461"/>
      <c r="P100" s="603"/>
      <c r="Q100" s="455"/>
      <c r="R100" s="1683">
        <v>239500</v>
      </c>
      <c r="S100" s="242"/>
      <c r="T100" s="242"/>
      <c r="U100" s="270"/>
      <c r="V100" s="1560"/>
      <c r="W100" s="4809" t="str">
        <f>TEXT(G43,"$0,000")&amp;" if married filing jointly or qualifying widow(er); "</f>
        <v xml:space="preserve">$1,000,000 if married filing jointly or qualifying widow(er); </v>
      </c>
      <c r="X100" s="1729"/>
      <c r="Y100" s="1729"/>
      <c r="Z100" s="2452"/>
      <c r="AA100" s="2451"/>
      <c r="AB100" s="2452"/>
      <c r="AC100" s="2465"/>
      <c r="AD100" s="1564"/>
      <c r="AF100" s="623"/>
    </row>
    <row r="101" spans="1:32" ht="14.25" customHeight="1">
      <c r="A101" s="82"/>
      <c r="B101" s="161"/>
      <c r="C101" s="4098" t="s">
        <v>385</v>
      </c>
      <c r="D101" s="280" t="str">
        <f>TEXT(R101,"$0,000")&amp;" if married filing jointly or qualifying widow(er)"</f>
        <v>$479,000 if married filing jointly or qualifying widow(er)</v>
      </c>
      <c r="E101" s="237"/>
      <c r="F101" s="237"/>
      <c r="G101" s="238"/>
      <c r="H101" s="238"/>
      <c r="I101" s="162"/>
      <c r="J101" s="238"/>
      <c r="K101" s="1553" t="s">
        <v>679</v>
      </c>
      <c r="L101" s="610">
        <f>B98</f>
        <v>25</v>
      </c>
      <c r="M101" s="1725" t="str">
        <f>IF(P101&lt;&gt;"",P101,IF(NOT(F6251_PIII),"",IF(File_Single&lt;&gt;"",R99,IF(File_Marr_Sep&lt;&gt;"",R100,IF(OR(File_Marr_Joint&lt;&gt;"",File_Qual_Widow&lt;&gt;""),R101,IF(File_Head&lt;&gt;"",R102,"Filing Status?"))))))</f>
        <v/>
      </c>
      <c r="N101" s="716"/>
      <c r="O101" s="3461"/>
      <c r="P101" s="470"/>
      <c r="Q101" s="455"/>
      <c r="R101" s="1683">
        <v>479000</v>
      </c>
      <c r="S101" s="242"/>
      <c r="T101" s="242"/>
      <c r="U101" s="270"/>
      <c r="V101" s="2464"/>
      <c r="W101" s="1919" t="str">
        <f>TEXT(G44,"$0,000")&amp;" if married filing separately"</f>
        <v>$500,000 if married filing separately</v>
      </c>
      <c r="X101" s="1739"/>
      <c r="Y101" s="3401" t="s">
        <v>1300</v>
      </c>
      <c r="Z101" s="2456">
        <f>V99</f>
        <v>3</v>
      </c>
      <c r="AA101" s="2445" t="str">
        <f>IF(AMTExemptionFlag="No","",IF(OR(File_Single&lt;&gt;"",File_Head&lt;&gt;""),G42,IF(OR(File_Marr_Joint&lt;&gt;"",File_Qual_Widow&lt;&gt;""),G43,IF(File_Marr_Sep&lt;&gt;"",G44,""))))</f>
        <v/>
      </c>
      <c r="AB101" s="2468"/>
      <c r="AC101" s="2469"/>
      <c r="AD101" s="2470"/>
      <c r="AF101" s="623"/>
    </row>
    <row r="102" spans="1:32" ht="14.25" customHeight="1">
      <c r="A102" s="82"/>
      <c r="B102" s="161"/>
      <c r="C102" s="4098" t="s">
        <v>385</v>
      </c>
      <c r="D102" s="280" t="str">
        <f>TEXT(R102,"$0,000")&amp;" if head of household"</f>
        <v>$452,400 if head of household</v>
      </c>
      <c r="E102" s="237"/>
      <c r="F102" s="237"/>
      <c r="G102" s="238"/>
      <c r="H102" s="238"/>
      <c r="I102" s="238"/>
      <c r="J102" s="238"/>
      <c r="K102" s="1553"/>
      <c r="L102" s="247"/>
      <c r="M102" s="604"/>
      <c r="N102" s="716"/>
      <c r="O102" s="3461"/>
      <c r="P102" s="603"/>
      <c r="Q102" s="32"/>
      <c r="R102" s="1683">
        <v>452400</v>
      </c>
      <c r="S102" s="242"/>
      <c r="T102" s="242"/>
      <c r="U102" s="270"/>
      <c r="V102" s="4812">
        <v>4</v>
      </c>
      <c r="W102" s="1918" t="s">
        <v>551</v>
      </c>
      <c r="X102" s="1729"/>
      <c r="Y102" s="1729"/>
      <c r="Z102" s="2452"/>
      <c r="AA102" s="2451"/>
      <c r="AB102" s="2452"/>
      <c r="AC102" s="2465"/>
      <c r="AD102" s="1564"/>
      <c r="AF102" s="623"/>
    </row>
    <row r="103" spans="1:32" ht="14.25" customHeight="1">
      <c r="A103" s="82"/>
      <c r="B103" s="162">
        <f>B98+1</f>
        <v>26</v>
      </c>
      <c r="C103" s="280" t="s">
        <v>3389</v>
      </c>
      <c r="D103" s="185"/>
      <c r="E103" s="237"/>
      <c r="F103" s="237"/>
      <c r="G103" s="238"/>
      <c r="H103" s="162"/>
      <c r="I103" s="161"/>
      <c r="J103" s="238"/>
      <c r="K103" s="1553" t="s">
        <v>1501</v>
      </c>
      <c r="L103" s="610">
        <f t="shared" si="2"/>
        <v>26</v>
      </c>
      <c r="M103" s="1725" t="str">
        <f>IF(NOT(F6251_PIII),"",M94)</f>
        <v/>
      </c>
      <c r="N103" s="717"/>
      <c r="O103" s="3461"/>
      <c r="P103" s="613"/>
      <c r="Q103" s="32"/>
      <c r="R103" s="2433"/>
      <c r="S103" s="270"/>
      <c r="T103" s="242"/>
      <c r="U103" s="270"/>
      <c r="V103" s="4813"/>
      <c r="W103" s="4809" t="s">
        <v>4499</v>
      </c>
      <c r="X103" s="1729"/>
      <c r="Y103" s="2466" t="s">
        <v>4500</v>
      </c>
      <c r="Z103" s="2463">
        <f>V102</f>
        <v>4</v>
      </c>
      <c r="AA103" s="2445" t="str">
        <f>IF(OR(AMTExemptionFlag="No",AA101=""),"",IF(AA97-AA101&lt;=0,0,AA97-AA101))</f>
        <v/>
      </c>
      <c r="AB103" s="2466"/>
      <c r="AC103" s="2465"/>
      <c r="AD103" s="1564"/>
      <c r="AF103" s="623"/>
    </row>
    <row r="104" spans="1:32" ht="14.25" customHeight="1">
      <c r="A104" s="82"/>
      <c r="B104" s="162">
        <v>27</v>
      </c>
      <c r="C104" s="280" t="s">
        <v>1309</v>
      </c>
      <c r="D104" s="185"/>
      <c r="E104" s="237"/>
      <c r="F104" s="237"/>
      <c r="G104" s="238"/>
      <c r="H104" s="162"/>
      <c r="I104" s="162"/>
      <c r="J104" s="162"/>
      <c r="K104" s="162"/>
      <c r="L104" s="1695"/>
      <c r="M104" s="1684"/>
      <c r="N104" s="717"/>
      <c r="O104" s="3461"/>
      <c r="P104" s="613"/>
      <c r="Q104" s="32"/>
      <c r="R104" s="2433"/>
      <c r="S104" s="270"/>
      <c r="T104" s="242"/>
      <c r="U104" s="270"/>
      <c r="V104" s="4812">
        <v>5</v>
      </c>
      <c r="W104" s="1918" t="str">
        <f>"Multiply line 4 by "&amp;TEXT(AF104,"0%")&amp;" ("&amp;TEXT(AF104,"0.00")&amp;")"</f>
        <v>Multiply line 4 by 25% (0.25)</v>
      </c>
      <c r="X104" s="1918"/>
      <c r="Y104" s="1918"/>
      <c r="Z104" s="2448"/>
      <c r="AA104" s="4810" t="s">
        <v>676</v>
      </c>
      <c r="AB104" s="2450">
        <f>V104</f>
        <v>5</v>
      </c>
      <c r="AC104" s="2445" t="str">
        <f>IF(AA101="","",IF(AMTExemptionFlag="No","",ROUND(AF104*AA103,0)))</f>
        <v/>
      </c>
      <c r="AD104" s="1564"/>
      <c r="AF104" s="1893">
        <v>0.25</v>
      </c>
    </row>
    <row r="105" spans="1:32" ht="14.25" customHeight="1">
      <c r="A105" s="82"/>
      <c r="B105" s="162"/>
      <c r="C105" s="280" t="s">
        <v>4485</v>
      </c>
      <c r="D105" s="185"/>
      <c r="E105" s="237"/>
      <c r="F105" s="237"/>
      <c r="G105" s="238"/>
      <c r="H105" s="162"/>
      <c r="I105" s="162"/>
      <c r="J105" s="162"/>
      <c r="K105" s="162"/>
      <c r="L105" s="1695"/>
      <c r="M105" s="1684"/>
      <c r="N105" s="717"/>
      <c r="O105" s="3461"/>
      <c r="P105" s="613"/>
      <c r="Q105" s="32"/>
      <c r="R105" s="2433"/>
      <c r="S105" s="627"/>
      <c r="T105" s="242"/>
      <c r="U105" s="270"/>
      <c r="V105" s="4812">
        <v>6</v>
      </c>
      <c r="W105" s="1918" t="s">
        <v>69</v>
      </c>
      <c r="X105" s="1918"/>
      <c r="Y105" s="1918"/>
      <c r="Z105" s="1918"/>
      <c r="AA105" s="4811"/>
      <c r="AB105" s="2452"/>
      <c r="AC105" s="2471"/>
      <c r="AD105" s="1564"/>
      <c r="AF105"/>
    </row>
    <row r="106" spans="1:32" ht="14.25" customHeight="1">
      <c r="A106" s="82"/>
      <c r="B106" s="162"/>
      <c r="C106" s="280" t="s">
        <v>4486</v>
      </c>
      <c r="D106" s="185"/>
      <c r="E106" s="237"/>
      <c r="F106" s="237"/>
      <c r="G106" s="238"/>
      <c r="H106" s="162"/>
      <c r="I106" s="162"/>
      <c r="J106" s="162"/>
      <c r="K106" s="162"/>
      <c r="L106" s="1695"/>
      <c r="M106" s="1684"/>
      <c r="N106" s="717"/>
      <c r="O106" s="3461"/>
      <c r="P106" s="613"/>
      <c r="Q106" s="32"/>
      <c r="R106" s="2433"/>
      <c r="S106" s="627"/>
      <c r="T106" s="242"/>
      <c r="U106" s="270"/>
      <c r="V106" s="2447"/>
      <c r="W106" s="1918" t="s">
        <v>4501</v>
      </c>
      <c r="X106" s="1918"/>
      <c r="Y106" s="1918"/>
      <c r="Z106" s="1918"/>
      <c r="AA106" s="4811"/>
      <c r="AB106" s="2452"/>
      <c r="AC106" s="2472"/>
      <c r="AD106" s="1564"/>
      <c r="AF106"/>
    </row>
    <row r="107" spans="1:32" ht="14.25" customHeight="1">
      <c r="A107" s="82"/>
      <c r="B107" s="162"/>
      <c r="C107" s="280" t="s">
        <v>4487</v>
      </c>
      <c r="D107" s="185"/>
      <c r="E107" s="237"/>
      <c r="F107" s="237"/>
      <c r="G107" s="238"/>
      <c r="H107" s="162"/>
      <c r="I107" s="162"/>
      <c r="J107" s="162"/>
      <c r="K107" s="162"/>
      <c r="L107" s="1695"/>
      <c r="M107" s="1684"/>
      <c r="N107" s="717"/>
      <c r="O107" s="3461"/>
      <c r="P107" s="613"/>
      <c r="Q107" s="32"/>
      <c r="R107" s="2433"/>
      <c r="S107" s="627"/>
      <c r="T107" s="242"/>
      <c r="U107" s="270"/>
      <c r="V107" s="2447"/>
      <c r="W107" s="1918" t="s">
        <v>260</v>
      </c>
      <c r="X107" s="1918"/>
      <c r="Y107" s="1918"/>
      <c r="Z107" s="1918"/>
      <c r="AA107" s="4811"/>
      <c r="AB107" s="2452"/>
      <c r="AC107" s="2472"/>
      <c r="AD107" s="1564"/>
      <c r="AE107" s="270"/>
    </row>
    <row r="108" spans="1:32" ht="13.5" customHeight="1">
      <c r="A108" s="82"/>
      <c r="B108" s="162"/>
      <c r="C108" s="280" t="s">
        <v>4488</v>
      </c>
      <c r="D108" s="185"/>
      <c r="E108" s="237"/>
      <c r="F108" s="237"/>
      <c r="G108" s="238"/>
      <c r="H108" s="162"/>
      <c r="I108" s="472"/>
      <c r="J108" s="472"/>
      <c r="K108" s="1553" t="s">
        <v>763</v>
      </c>
      <c r="L108" s="256">
        <f>B104</f>
        <v>27</v>
      </c>
      <c r="M108" s="1725">
        <f>IF(P108&lt;&gt;"",P108,IF(NOT(F6251_PIII),0,IF(R90,M93,IF(SchDTW_Used,'Sch. D WS'!N96,IF(CGTW,'Line 11a (QDCG Tax)'!L38,IF(Taxable_Inc&gt;0,Taxable_Inc,0))))))</f>
        <v>0</v>
      </c>
      <c r="N108" s="716"/>
      <c r="O108" s="3460" t="b">
        <f>IF(NOT(F6251_PIII),FALSE,IF(M70=M109,TRUE,FALSE))</f>
        <v>0</v>
      </c>
      <c r="P108" s="470"/>
      <c r="Q108" s="32"/>
      <c r="R108" s="2433"/>
      <c r="S108" s="627"/>
      <c r="T108" s="242"/>
      <c r="U108" s="270"/>
      <c r="V108" s="1560"/>
      <c r="W108" s="4809" t="s">
        <v>4502</v>
      </c>
      <c r="X108" s="4811"/>
      <c r="Y108" s="4811"/>
      <c r="Z108" s="4811"/>
      <c r="AA108" s="4811"/>
      <c r="AB108" s="2451"/>
      <c r="AC108" s="2473"/>
      <c r="AD108" s="1564"/>
      <c r="AE108" s="270"/>
    </row>
    <row r="109" spans="1:32" ht="12.75" customHeight="1">
      <c r="A109" s="82"/>
      <c r="B109" s="162">
        <f>B104+1</f>
        <v>28</v>
      </c>
      <c r="C109" s="280" t="s">
        <v>3391</v>
      </c>
      <c r="D109" s="185"/>
      <c r="E109" s="237"/>
      <c r="F109" s="237"/>
      <c r="G109" s="238"/>
      <c r="H109" s="162"/>
      <c r="I109" s="161"/>
      <c r="J109" s="472"/>
      <c r="K109" s="1553" t="s">
        <v>4489</v>
      </c>
      <c r="L109" s="736"/>
      <c r="M109" s="1725" t="str">
        <f>IF(NOT(F6251_PIII),"",SUM(M103,M108))</f>
        <v/>
      </c>
      <c r="N109" s="717"/>
      <c r="O109" s="3460">
        <v>0.15</v>
      </c>
      <c r="P109" s="1098"/>
      <c r="Q109" s="32"/>
      <c r="R109" s="2433"/>
      <c r="S109" s="627"/>
      <c r="T109" s="242"/>
      <c r="U109" s="270"/>
      <c r="V109" s="1560"/>
      <c r="W109" s="7603" t="s">
        <v>4503</v>
      </c>
      <c r="X109" s="7604"/>
      <c r="Y109" s="7604"/>
      <c r="Z109" s="7604"/>
      <c r="AA109" s="7604"/>
      <c r="AB109" s="2450">
        <f>V105</f>
        <v>6</v>
      </c>
      <c r="AC109" s="2445">
        <f>IF(OR(AA101="",AMTExemptionFlag="No"),0,IF(AC95-AC104=0,0,AC95-AC104))</f>
        <v>0</v>
      </c>
      <c r="AD109" s="1564"/>
      <c r="AE109" s="270"/>
    </row>
    <row r="110" spans="1:32" ht="14.25" customHeight="1">
      <c r="A110" s="82"/>
      <c r="B110" s="162">
        <f>B109+1</f>
        <v>29</v>
      </c>
      <c r="C110" s="280" t="s">
        <v>3392</v>
      </c>
      <c r="D110" s="185"/>
      <c r="E110" s="237"/>
      <c r="F110" s="237"/>
      <c r="G110" s="238"/>
      <c r="H110" s="162"/>
      <c r="I110" s="161"/>
      <c r="J110" s="472"/>
      <c r="K110" s="161" t="s">
        <v>2680</v>
      </c>
      <c r="L110" s="610">
        <f>B110</f>
        <v>29</v>
      </c>
      <c r="M110" s="1725" t="str">
        <f>IF(NOT(F6251_PIII),"",IF(SUM(M101,-M109)&lt;0,0,SUM(M101,-M109)))</f>
        <v/>
      </c>
      <c r="N110" s="717"/>
      <c r="O110" s="3460" t="b">
        <f>IF(NOT(F6251_PIII),FALSE,IF(OR(M76=0,M76=""),TRUE,FALSE))</f>
        <v>0</v>
      </c>
      <c r="P110" s="613"/>
      <c r="Q110" s="32"/>
      <c r="R110" s="2433"/>
      <c r="S110" s="627"/>
      <c r="T110" s="270"/>
      <c r="U110" s="270"/>
      <c r="V110" s="1560"/>
      <c r="W110" s="2453" t="str">
        <f>IF(AND(ChildUnder24&lt;&gt;"",AA83=0),"The questions for a 'Child under 24' (above) must be answered before proceeding.","")</f>
        <v/>
      </c>
      <c r="X110" s="1563"/>
      <c r="Y110" s="1563"/>
      <c r="Z110" s="1563"/>
      <c r="AA110" s="1563"/>
      <c r="AB110" s="2450"/>
      <c r="AC110" s="2465"/>
      <c r="AD110" s="1564"/>
      <c r="AE110" s="270"/>
    </row>
    <row r="111" spans="1:32" ht="12" customHeight="1">
      <c r="A111" s="82"/>
      <c r="B111" s="162">
        <f>B110+1</f>
        <v>30</v>
      </c>
      <c r="C111" s="280" t="s">
        <v>3393</v>
      </c>
      <c r="D111" s="185"/>
      <c r="E111" s="237"/>
      <c r="F111" s="237"/>
      <c r="G111" s="238"/>
      <c r="H111" s="162"/>
      <c r="I111" s="1690"/>
      <c r="J111" s="472"/>
      <c r="K111" s="161" t="s">
        <v>341</v>
      </c>
      <c r="L111" s="256">
        <f>B111</f>
        <v>30</v>
      </c>
      <c r="M111" s="1725" t="str">
        <f>IF(P111&lt;&gt;"",P111,IF(NOT(F6251_PIII),"",MIN(M97,M110)))</f>
        <v/>
      </c>
      <c r="N111" s="716"/>
      <c r="O111" s="3461"/>
      <c r="P111" s="470"/>
      <c r="Q111" s="32"/>
      <c r="R111" s="2433"/>
      <c r="S111" s="627"/>
      <c r="T111" s="627"/>
      <c r="U111" s="270"/>
      <c r="V111" s="4812">
        <v>7</v>
      </c>
      <c r="W111" s="4809" t="s">
        <v>4504</v>
      </c>
      <c r="X111" s="1729"/>
      <c r="Y111" s="1729"/>
      <c r="Z111" s="2448"/>
      <c r="AA111" s="2451"/>
      <c r="AB111" s="2450">
        <f>V111</f>
        <v>7</v>
      </c>
      <c r="AC111" s="2509">
        <v>7600</v>
      </c>
      <c r="AD111" s="1564"/>
      <c r="AE111" s="270"/>
    </row>
    <row r="112" spans="1:32" ht="14.25" customHeight="1">
      <c r="A112" s="82"/>
      <c r="B112" s="162">
        <f>B111+1</f>
        <v>31</v>
      </c>
      <c r="C112" s="280" t="str">
        <f>"Multiply line 30 by "&amp;TEXT(O109,"0%")&amp;" ("&amp;TEXT(O109,"0.00")&amp;")"</f>
        <v>Multiply line 30 by 15% (0.15)</v>
      </c>
      <c r="D112" s="185"/>
      <c r="E112" s="237"/>
      <c r="F112" s="237"/>
      <c r="G112" s="238"/>
      <c r="H112" s="162"/>
      <c r="I112" s="472"/>
      <c r="J112" s="472"/>
      <c r="K112" s="1553" t="s">
        <v>1152</v>
      </c>
      <c r="L112" s="256">
        <f>B112</f>
        <v>31</v>
      </c>
      <c r="M112" s="1725" t="str">
        <f>IF(P112&lt;&gt;"",P112,IF(NOT(F6251_PIII),"",ROUND(O109*M111,0)))</f>
        <v/>
      </c>
      <c r="N112" s="716"/>
      <c r="O112" s="3461"/>
      <c r="P112" s="470"/>
      <c r="Q112" s="32"/>
      <c r="R112" s="2433"/>
      <c r="S112" s="627"/>
      <c r="T112" s="627"/>
      <c r="U112" s="270"/>
      <c r="V112" s="4812">
        <v>8</v>
      </c>
      <c r="W112" s="4809" t="s">
        <v>4505</v>
      </c>
      <c r="X112" s="1729"/>
      <c r="Y112" s="1729"/>
      <c r="Z112" s="2448"/>
      <c r="AA112" s="2451"/>
      <c r="AB112" s="2450">
        <f>V112</f>
        <v>8</v>
      </c>
      <c r="AC112" s="2446"/>
      <c r="AD112" s="1564"/>
      <c r="AE112" s="242"/>
    </row>
    <row r="113" spans="1:31" ht="14.25" customHeight="1">
      <c r="A113" s="82"/>
      <c r="B113" s="162">
        <f>B112+1</f>
        <v>32</v>
      </c>
      <c r="C113" s="280" t="s">
        <v>3394</v>
      </c>
      <c r="D113" s="185"/>
      <c r="E113" s="237"/>
      <c r="F113" s="237"/>
      <c r="G113" s="238"/>
      <c r="H113" s="162"/>
      <c r="I113" s="161"/>
      <c r="J113" s="162"/>
      <c r="K113" s="161" t="s">
        <v>4490</v>
      </c>
      <c r="L113" s="610">
        <f>B113</f>
        <v>32</v>
      </c>
      <c r="M113" s="1725" t="str">
        <f>IF(NOT(F6251_PIII),"",SUM(M96,M111))</f>
        <v/>
      </c>
      <c r="N113" s="717"/>
      <c r="O113" s="3457"/>
      <c r="P113" s="603"/>
      <c r="Q113" s="32"/>
      <c r="R113" s="2433"/>
      <c r="S113" s="627"/>
      <c r="T113" s="627"/>
      <c r="U113" s="270"/>
      <c r="V113" s="4812">
        <v>9</v>
      </c>
      <c r="W113" s="4809" t="s">
        <v>4506</v>
      </c>
      <c r="X113" s="1729"/>
      <c r="Y113" s="1729"/>
      <c r="Z113" s="2448"/>
      <c r="AA113" s="2451"/>
      <c r="AB113" s="2450">
        <f>V113</f>
        <v>9</v>
      </c>
      <c r="AC113" s="2445" t="str">
        <f>IF(OR(AMTExemptionFlag="No",ChildUnder24="",AND(ChildUnder24&lt;&gt;"",AA83=0)),"",AC111+AC112)</f>
        <v/>
      </c>
      <c r="AD113" s="1564"/>
      <c r="AE113" s="242"/>
    </row>
    <row r="114" spans="1:31" ht="14.25" customHeight="1">
      <c r="A114" s="82"/>
      <c r="B114" s="162"/>
      <c r="C114" s="170" t="s">
        <v>3395</v>
      </c>
      <c r="D114" s="185"/>
      <c r="E114" s="237"/>
      <c r="F114" s="237"/>
      <c r="G114" s="238"/>
      <c r="H114" s="1691"/>
      <c r="I114" s="238"/>
      <c r="J114" s="472"/>
      <c r="K114" s="466"/>
      <c r="L114" s="249"/>
      <c r="M114" s="556"/>
      <c r="N114" s="716"/>
      <c r="O114" s="3460" t="b">
        <f>IF(NOT(F6251_PIII),FALSE,IF(M70=M113,TRUE,FALSE))</f>
        <v>0</v>
      </c>
      <c r="P114" s="1685" t="str">
        <f>IF(NOT(F6251_PIII),"",IF(O114,"Go to line 38.","Go to line 33."))</f>
        <v/>
      </c>
      <c r="Q114" s="32"/>
      <c r="R114" s="2433"/>
      <c r="S114" s="627"/>
      <c r="T114" s="627"/>
      <c r="U114" s="270"/>
      <c r="V114" s="4812">
        <v>10</v>
      </c>
      <c r="W114" s="4809" t="s">
        <v>4507</v>
      </c>
      <c r="X114" s="1729"/>
      <c r="Y114" s="1729"/>
      <c r="Z114" s="2452"/>
      <c r="AA114" s="2451"/>
      <c r="AB114" s="2452"/>
      <c r="AC114" s="2465"/>
      <c r="AD114" s="1564"/>
      <c r="AE114" s="242"/>
    </row>
    <row r="115" spans="1:31" ht="14.25" customHeight="1">
      <c r="A115" s="82"/>
      <c r="B115" s="162">
        <f>B113+1</f>
        <v>33</v>
      </c>
      <c r="C115" s="280" t="s">
        <v>3396</v>
      </c>
      <c r="D115" s="185"/>
      <c r="E115" s="237"/>
      <c r="F115" s="237"/>
      <c r="G115" s="238"/>
      <c r="H115" s="162"/>
      <c r="I115" s="161"/>
      <c r="J115" s="162"/>
      <c r="K115" s="161" t="s">
        <v>4146</v>
      </c>
      <c r="L115" s="610">
        <f>B115</f>
        <v>33</v>
      </c>
      <c r="M115" s="1725" t="str">
        <f>IF(NOT(F6251_PIII),"",IF(O114,"",SUM(M95,-M113)))</f>
        <v/>
      </c>
      <c r="N115" s="717"/>
      <c r="O115" s="3464">
        <v>0.2</v>
      </c>
      <c r="P115" s="603"/>
      <c r="Q115" s="32"/>
      <c r="R115" s="2433"/>
      <c r="S115" s="627"/>
      <c r="T115" s="627"/>
      <c r="U115" s="270"/>
      <c r="V115" s="2454"/>
      <c r="W115" s="1919" t="s">
        <v>4508</v>
      </c>
      <c r="X115" s="1739"/>
      <c r="Y115" s="1739"/>
      <c r="Z115" s="2456"/>
      <c r="AA115" s="2457"/>
      <c r="AB115" s="2458">
        <f>V114</f>
        <v>10</v>
      </c>
      <c r="AC115" s="2445">
        <f>IF(AND(ChildUnder24&lt;&gt;"",AA83=0),"See cell Z77.",IF(AMTExemptionFlag="No",0,MIN(AC109,AC113)))</f>
        <v>0</v>
      </c>
      <c r="AD115" s="1564"/>
      <c r="AE115" s="242"/>
    </row>
    <row r="116" spans="1:31" ht="14.25" customHeight="1">
      <c r="A116" s="82"/>
      <c r="B116" s="162">
        <f>B115+1</f>
        <v>34</v>
      </c>
      <c r="C116" s="280" t="str">
        <f>"Multiply line 33 by "&amp;TEXT(O115,"0%")&amp;" ("&amp;TEXT(O115,"0.00")&amp;")"</f>
        <v>Multiply line 33 by 20% (0.20)</v>
      </c>
      <c r="D116" s="185"/>
      <c r="E116" s="237"/>
      <c r="F116" s="237"/>
      <c r="G116" s="238"/>
      <c r="H116" s="238"/>
      <c r="I116" s="238"/>
      <c r="J116" s="238"/>
      <c r="K116" s="1553" t="s">
        <v>4491</v>
      </c>
      <c r="L116" s="256">
        <f>B116</f>
        <v>34</v>
      </c>
      <c r="M116" s="1725" t="str">
        <f>IF(P116&lt;&gt;"",P116,IF(OR(NOT(F6251_PIII),O114),"",ROUND(M115*O115,0)))</f>
        <v/>
      </c>
      <c r="N116" s="717"/>
      <c r="O116" s="3465"/>
      <c r="P116" s="470"/>
      <c r="Q116" s="32"/>
      <c r="R116" s="1441"/>
      <c r="S116" s="242"/>
      <c r="T116" s="627"/>
      <c r="U116" s="270"/>
      <c r="V116" s="2454"/>
      <c r="W116" s="2455"/>
      <c r="X116" s="1739"/>
      <c r="Y116" s="1739"/>
      <c r="Z116" s="2456"/>
      <c r="AA116" s="2457"/>
      <c r="AB116" s="2458"/>
      <c r="AC116" s="2474"/>
      <c r="AD116" s="1564"/>
      <c r="AE116" s="242"/>
    </row>
    <row r="117" spans="1:31" ht="15" customHeight="1" thickBot="1">
      <c r="A117" s="82"/>
      <c r="B117" s="162"/>
      <c r="C117" s="170" t="s">
        <v>3397</v>
      </c>
      <c r="D117" s="185"/>
      <c r="E117" s="237"/>
      <c r="F117" s="237"/>
      <c r="G117" s="238"/>
      <c r="H117" s="1691"/>
      <c r="I117" s="238"/>
      <c r="J117" s="472"/>
      <c r="K117" s="466"/>
      <c r="L117" s="249"/>
      <c r="M117" s="556"/>
      <c r="N117" s="716"/>
      <c r="O117" s="3460" t="b">
        <f>IF(NOT(F6251_PIII),FALSE,IF(OR(M76=0,M76=""),TRUE,FALSE))</f>
        <v>0</v>
      </c>
      <c r="P117" s="1685" t="str">
        <f>IF(NOT(F6251_PIII),"",IF(O114,"",IF(O117,"Go to line 38.","Go to line 35.")))</f>
        <v/>
      </c>
      <c r="Q117" s="32"/>
      <c r="R117" s="1441"/>
      <c r="S117" s="242"/>
      <c r="T117" s="627"/>
      <c r="U117" s="270"/>
      <c r="V117" s="1572"/>
      <c r="W117" s="2459" t="str">
        <f>IF(AND(ChildUnder24="",AC112&gt;0),"You MUST check the 'Child under 24 years old' box near Form 6251, Line 5 to enter a value in Line 8.","")</f>
        <v/>
      </c>
      <c r="X117" s="2341"/>
      <c r="Y117" s="2341"/>
      <c r="Z117" s="2460"/>
      <c r="AA117" s="2461"/>
      <c r="AB117" s="2462"/>
      <c r="AC117" s="2475"/>
      <c r="AD117" s="1741"/>
      <c r="AE117" s="242"/>
    </row>
    <row r="118" spans="1:31" ht="15.75" customHeight="1" thickBot="1">
      <c r="A118" s="82"/>
      <c r="B118" s="162">
        <f>B116+1</f>
        <v>35</v>
      </c>
      <c r="C118" s="280" t="s">
        <v>3398</v>
      </c>
      <c r="D118" s="185"/>
      <c r="E118" s="237"/>
      <c r="F118" s="237"/>
      <c r="G118" s="238"/>
      <c r="H118" s="238"/>
      <c r="I118" s="238"/>
      <c r="J118" s="238"/>
      <c r="K118" s="1553" t="s">
        <v>4492</v>
      </c>
      <c r="L118" s="609">
        <f>B118</f>
        <v>35</v>
      </c>
      <c r="M118" s="1725" t="str">
        <f>IF(P118&lt;&gt;"",P118,IF(OR(NOT(F6251_PIII),O114,O117),"",SUM(M82,M113,M115)))</f>
        <v/>
      </c>
      <c r="N118" s="717"/>
      <c r="O118" s="3466"/>
      <c r="P118" s="470"/>
      <c r="Q118" s="32"/>
      <c r="R118" s="1441"/>
      <c r="S118" s="626"/>
      <c r="T118" s="625"/>
      <c r="U118" s="2351"/>
      <c r="V118" s="734"/>
      <c r="W118" s="270"/>
      <c r="X118" s="270"/>
      <c r="Y118" s="270"/>
      <c r="Z118" s="270"/>
      <c r="AA118" s="270"/>
      <c r="AB118" s="270"/>
      <c r="AC118" s="270"/>
      <c r="AD118" s="270"/>
      <c r="AE118" s="623"/>
    </row>
    <row r="119" spans="1:31" ht="15.75" customHeight="1">
      <c r="A119" s="82"/>
      <c r="B119" s="162">
        <f>B118+1</f>
        <v>36</v>
      </c>
      <c r="C119" s="280" t="s">
        <v>3399</v>
      </c>
      <c r="D119" s="185"/>
      <c r="E119" s="237"/>
      <c r="F119" s="237"/>
      <c r="G119" s="238"/>
      <c r="H119" s="162"/>
      <c r="I119" s="161"/>
      <c r="J119" s="238"/>
      <c r="K119" s="1553" t="s">
        <v>1152</v>
      </c>
      <c r="L119" s="610">
        <f>B119</f>
        <v>36</v>
      </c>
      <c r="M119" s="1891" t="str">
        <f>IF(OR(NOT(F6251_PIII),O114,O117),"",SUM(M70,-M118))</f>
        <v/>
      </c>
      <c r="N119" s="717"/>
      <c r="O119" s="3461"/>
      <c r="P119" s="613"/>
      <c r="Q119" s="32"/>
      <c r="R119" s="1441"/>
      <c r="S119" s="626"/>
      <c r="T119" s="625"/>
      <c r="U119" s="2351"/>
      <c r="V119" s="2482"/>
      <c r="W119" s="2483"/>
      <c r="X119" s="7626"/>
      <c r="Y119" s="6756"/>
      <c r="Z119" s="6756"/>
      <c r="AA119" s="2476"/>
      <c r="AB119" s="2476"/>
      <c r="AC119" s="2476"/>
      <c r="AD119" s="2477"/>
      <c r="AE119" s="623"/>
    </row>
    <row r="120" spans="1:31" ht="15" customHeight="1">
      <c r="A120" s="82"/>
      <c r="B120" s="162">
        <f>B119+1</f>
        <v>37</v>
      </c>
      <c r="C120" s="280" t="str">
        <f>"Multiply line 36 by "&amp;TEXT(O120,"0%")&amp;" ("&amp;TEXT(O120,"0.00")&amp;")"</f>
        <v>Multiply line 36 by 25% (0.25)</v>
      </c>
      <c r="D120" s="185"/>
      <c r="E120" s="237"/>
      <c r="F120" s="237"/>
      <c r="G120" s="238"/>
      <c r="H120" s="238"/>
      <c r="I120" s="238"/>
      <c r="J120" s="238"/>
      <c r="K120" s="1553" t="s">
        <v>1152</v>
      </c>
      <c r="L120" s="256">
        <f>B120</f>
        <v>37</v>
      </c>
      <c r="M120" s="1725" t="str">
        <f>IF(P118&lt;&gt;"",P118,IF(OR(NOT(F6251_PIII),O114,O117),"",M119*O120))</f>
        <v/>
      </c>
      <c r="N120" s="717"/>
      <c r="O120" s="3464">
        <v>0.25</v>
      </c>
      <c r="P120" s="470"/>
      <c r="Q120" s="32"/>
      <c r="R120" s="1441"/>
      <c r="S120" s="626"/>
      <c r="T120" s="625"/>
      <c r="U120" s="2351"/>
      <c r="V120" s="4816" t="s">
        <v>4509</v>
      </c>
      <c r="W120" s="2484"/>
      <c r="X120" s="2484"/>
      <c r="Y120" s="2478"/>
      <c r="Z120" s="2478"/>
      <c r="AA120" s="2478"/>
      <c r="AB120" s="2478"/>
      <c r="AC120" s="2478"/>
      <c r="AD120" s="2479"/>
      <c r="AE120" s="623"/>
    </row>
    <row r="121" spans="1:31" ht="13.5" thickBot="1">
      <c r="A121" s="82"/>
      <c r="B121" s="162">
        <f>B120+1</f>
        <v>38</v>
      </c>
      <c r="C121" s="280" t="s">
        <v>3400</v>
      </c>
      <c r="D121" s="185"/>
      <c r="E121" s="237"/>
      <c r="F121" s="237"/>
      <c r="G121" s="238"/>
      <c r="H121" s="238"/>
      <c r="I121" s="238"/>
      <c r="J121" s="238"/>
      <c r="K121" s="1553" t="s">
        <v>1152</v>
      </c>
      <c r="L121" s="609">
        <f>B121</f>
        <v>38</v>
      </c>
      <c r="M121" s="1725" t="str">
        <f>IF(P121&lt;&gt;"",P121,IF(NOT(F6251_PIII),"",SUM(M84,M112,M116,M120)))</f>
        <v/>
      </c>
      <c r="N121" s="717"/>
      <c r="O121" s="3466"/>
      <c r="P121" s="470"/>
      <c r="Q121" s="32"/>
      <c r="R121" s="2433"/>
      <c r="S121" s="626"/>
      <c r="T121" s="625"/>
      <c r="U121" s="2351"/>
      <c r="V121" s="2485"/>
      <c r="W121" s="2486"/>
      <c r="X121" s="2486"/>
      <c r="Y121" s="2480"/>
      <c r="Z121" s="2480"/>
      <c r="AA121" s="2480"/>
      <c r="AB121" s="2499" t="s">
        <v>200</v>
      </c>
      <c r="AC121" s="2499"/>
      <c r="AD121" s="2481"/>
      <c r="AE121" s="623"/>
    </row>
    <row r="122" spans="1:31">
      <c r="A122" s="82"/>
      <c r="B122" s="162">
        <f>B121+1</f>
        <v>39</v>
      </c>
      <c r="C122" s="280" t="str">
        <f>"If line "&amp;B69&amp;" is "&amp;TEXT(R59,"$0,000")&amp;" or less ("&amp;TEXT(R60,"$0,000")&amp;" or less if married filing separately), multiply line "&amp;B69&amp;" by "&amp;TEXT(R66,"0%")&amp;" ("&amp;TEXT(R66,"0.00")&amp;")."</f>
        <v>If line 12 is $191,100 or less ($95,550 or less if married filing separately), multiply line 12 by 26% (0.26).</v>
      </c>
      <c r="D122" s="280"/>
      <c r="E122" s="237"/>
      <c r="F122" s="237"/>
      <c r="G122" s="238"/>
      <c r="H122" s="238"/>
      <c r="I122" s="238"/>
      <c r="J122" s="238"/>
      <c r="K122" s="1686"/>
      <c r="L122" s="1687"/>
      <c r="M122" s="1678">
        <f>IF(File_Marr_Sep&lt;&gt;"",R60,R59)</f>
        <v>191100</v>
      </c>
      <c r="N122" s="716"/>
      <c r="O122" s="3467"/>
      <c r="P122" s="603"/>
      <c r="Q122" s="32"/>
      <c r="R122" s="2433"/>
      <c r="S122" s="626"/>
      <c r="T122" s="625"/>
      <c r="U122" s="2351"/>
      <c r="V122" s="4815" t="s">
        <v>2122</v>
      </c>
      <c r="W122" s="2487"/>
      <c r="X122" s="2488" t="s">
        <v>4510</v>
      </c>
      <c r="Y122" s="2487"/>
      <c r="Z122" s="2487"/>
      <c r="AA122" s="2487"/>
      <c r="AB122" s="2487"/>
      <c r="AC122" s="2508" t="b">
        <f>IF(M47=0,TRUE,FALSE)</f>
        <v>1</v>
      </c>
      <c r="AD122" s="2500"/>
      <c r="AE122" s="623"/>
    </row>
    <row r="123" spans="1:31" ht="15" customHeight="1">
      <c r="A123" s="82"/>
      <c r="B123" s="161"/>
      <c r="C123" s="1099" t="str">
        <f>"Otherwise, multiply line "&amp;B69&amp;" by "&amp;TEXT(R67,"0%")&amp;" ("&amp;TEXT(R67,".00")&amp;") &amp; subtract "&amp;TEXT(R63,"$0,000")&amp;" ("&amp;TEXT(R64,"$0,000")&amp;" if married filing separately) from the result"</f>
        <v>Otherwise, multiply line 12 by 28% (.28) &amp; subtract $3,822 ($1,911 if married filing separately) from the result</v>
      </c>
      <c r="D123" s="280"/>
      <c r="E123" s="237"/>
      <c r="F123" s="237"/>
      <c r="G123" s="238"/>
      <c r="H123" s="238"/>
      <c r="I123" s="238"/>
      <c r="J123" s="238"/>
      <c r="K123" s="593"/>
      <c r="L123" s="256">
        <f>B122</f>
        <v>39</v>
      </c>
      <c r="M123" s="1725" t="str">
        <f>IF(P123&lt;&gt;"",P123,IF(NOT(F6251_PIII),"",IF(M70&lt;=M122,ROUND(M70*R66,0),ROUND((M70*R67)-M124,0))))</f>
        <v/>
      </c>
      <c r="N123" s="716"/>
      <c r="O123" s="3467"/>
      <c r="P123" s="470"/>
      <c r="Q123" s="32"/>
      <c r="R123" s="2433"/>
      <c r="S123" s="626"/>
      <c r="T123" s="625"/>
      <c r="U123" s="2351"/>
      <c r="V123" s="2489"/>
      <c r="W123" s="2490"/>
      <c r="X123" s="2490"/>
      <c r="Y123" s="2490"/>
      <c r="Z123" s="2490"/>
      <c r="AA123" s="2490"/>
      <c r="AB123" s="2490"/>
      <c r="AC123" s="2490"/>
      <c r="AD123" s="2501"/>
      <c r="AE123" s="623"/>
    </row>
    <row r="124" spans="1:31">
      <c r="A124" s="82"/>
      <c r="B124" s="162">
        <f>B122+1</f>
        <v>40</v>
      </c>
      <c r="C124" s="280" t="s">
        <v>3401</v>
      </c>
      <c r="D124" s="280"/>
      <c r="E124" s="237"/>
      <c r="F124" s="237"/>
      <c r="G124" s="238"/>
      <c r="H124" s="238"/>
      <c r="I124" s="238"/>
      <c r="J124" s="238"/>
      <c r="K124" s="162"/>
      <c r="L124" s="899"/>
      <c r="M124" s="1678">
        <f>IF(File_Marr_Sep&lt;&gt;"",R64,R63)</f>
        <v>3822</v>
      </c>
      <c r="N124" s="716"/>
      <c r="O124" s="3467"/>
      <c r="P124" s="603"/>
      <c r="Q124" s="455"/>
      <c r="R124" s="2433"/>
      <c r="S124" s="626"/>
      <c r="T124" s="625"/>
      <c r="U124" s="2351"/>
      <c r="V124" s="2491" t="str">
        <f>"1."</f>
        <v>1.</v>
      </c>
      <c r="W124" s="2492" t="s">
        <v>4511</v>
      </c>
      <c r="X124" s="2493"/>
      <c r="Y124" s="2493"/>
      <c r="Z124" s="2493"/>
      <c r="AA124" s="2449" t="s">
        <v>2680</v>
      </c>
      <c r="AB124" s="2494" t="str">
        <f>"1."</f>
        <v>1.</v>
      </c>
      <c r="AC124" s="2290" t="str">
        <f>IF(AC122,"",M47)</f>
        <v/>
      </c>
      <c r="AD124" s="2502"/>
      <c r="AE124" s="623"/>
    </row>
    <row r="125" spans="1:31" ht="13.5" thickBot="1">
      <c r="A125" s="82"/>
      <c r="B125" s="161"/>
      <c r="C125" s="280" t="s">
        <v>3402</v>
      </c>
      <c r="D125" s="185"/>
      <c r="E125" s="237"/>
      <c r="F125" s="237"/>
      <c r="G125" s="238"/>
      <c r="H125" s="238"/>
      <c r="I125" s="238"/>
      <c r="J125" s="238"/>
      <c r="K125" s="1553" t="s">
        <v>634</v>
      </c>
      <c r="L125" s="256">
        <f>B124</f>
        <v>40</v>
      </c>
      <c r="M125" s="1725" t="str">
        <f>IF(P125&lt;&gt;"",P125,IF(NOT(F6251_PIII),"",MIN(M121,M123)))</f>
        <v/>
      </c>
      <c r="N125" s="717"/>
      <c r="O125" s="3468"/>
      <c r="P125" s="470"/>
      <c r="Q125" s="455"/>
      <c r="R125" s="1618"/>
      <c r="S125" s="626"/>
      <c r="T125" s="625"/>
      <c r="U125" s="2351"/>
      <c r="V125" s="2491" t="str">
        <f>"2a."</f>
        <v>2a.</v>
      </c>
      <c r="W125" s="2492" t="s">
        <v>1982</v>
      </c>
      <c r="X125" s="2493"/>
      <c r="Y125" s="2493"/>
      <c r="Z125" s="2493"/>
      <c r="AA125" s="2493"/>
      <c r="AB125" s="2493"/>
      <c r="AC125" s="2493"/>
      <c r="AD125" s="2502"/>
      <c r="AE125" s="623"/>
    </row>
    <row r="126" spans="1:31">
      <c r="A126" s="82"/>
      <c r="B126" s="166"/>
      <c r="C126" s="272"/>
      <c r="D126" s="272"/>
      <c r="E126" s="272"/>
      <c r="F126" s="272"/>
      <c r="G126" s="605"/>
      <c r="H126" s="606"/>
      <c r="I126" s="605"/>
      <c r="J126" s="605"/>
      <c r="K126" s="605"/>
      <c r="L126" s="607" t="s">
        <v>138</v>
      </c>
      <c r="M126" s="1100" t="str">
        <f>"  ("&amp;TaxYear&amp;")"</f>
        <v xml:space="preserve">  (2018)</v>
      </c>
      <c r="N126" s="723"/>
      <c r="O126" s="3468"/>
      <c r="P126" s="603"/>
      <c r="Q126" s="455"/>
      <c r="R126" s="1618"/>
      <c r="S126" s="626"/>
      <c r="T126" s="625"/>
      <c r="U126" s="2351"/>
      <c r="V126" s="2491"/>
      <c r="W126" s="2492" t="s">
        <v>1983</v>
      </c>
      <c r="X126" s="2493"/>
      <c r="Y126" s="2449" t="s">
        <v>680</v>
      </c>
      <c r="Z126" s="2494" t="str">
        <f>"2a."</f>
        <v>2a.</v>
      </c>
      <c r="AA126" s="2290" t="str">
        <f>IF(AC122,"",SUM('2555'!AE184,-'2555'!AE198))</f>
        <v/>
      </c>
      <c r="AB126" s="2493"/>
      <c r="AC126" s="2493"/>
      <c r="AD126" s="2502"/>
      <c r="AE126" s="623"/>
    </row>
    <row r="127" spans="1:31" ht="12.75" customHeight="1">
      <c r="A127" s="82"/>
      <c r="B127" s="726"/>
      <c r="C127" s="613"/>
      <c r="D127" s="613"/>
      <c r="E127" s="82"/>
      <c r="F127" s="82"/>
      <c r="G127" s="82"/>
      <c r="H127" s="82"/>
      <c r="I127" s="82"/>
      <c r="J127" s="727"/>
      <c r="K127" s="727"/>
      <c r="L127" s="727"/>
      <c r="M127" s="727"/>
      <c r="N127" s="724"/>
      <c r="O127" s="3468"/>
      <c r="P127" s="603"/>
      <c r="Q127" s="49"/>
      <c r="R127" s="1618"/>
      <c r="S127" s="626"/>
      <c r="T127" s="625"/>
      <c r="U127" s="2351"/>
      <c r="V127" s="2491" t="s">
        <v>702</v>
      </c>
      <c r="W127" s="2492" t="s">
        <v>1984</v>
      </c>
      <c r="X127" s="2493"/>
      <c r="Y127" s="2493"/>
      <c r="Z127" s="2493"/>
      <c r="AA127" s="2493"/>
      <c r="AB127" s="2493"/>
      <c r="AC127" s="2493"/>
      <c r="AD127" s="2502"/>
      <c r="AE127" s="623"/>
    </row>
    <row r="128" spans="1:31">
      <c r="B128" s="154"/>
      <c r="C128" s="268"/>
      <c r="D128" s="268"/>
      <c r="E128" s="46"/>
      <c r="F128" s="46"/>
      <c r="G128" s="46"/>
      <c r="H128" s="46"/>
      <c r="I128" s="46"/>
      <c r="J128" s="273"/>
      <c r="K128" s="273"/>
      <c r="L128" s="273"/>
      <c r="M128" s="273"/>
      <c r="N128" s="611"/>
      <c r="P128" s="612"/>
      <c r="Q128" s="612"/>
      <c r="S128" s="626"/>
      <c r="T128" s="625"/>
      <c r="U128" s="2351"/>
      <c r="V128" s="2491"/>
      <c r="W128" s="2492" t="s">
        <v>2679</v>
      </c>
      <c r="X128" s="2493"/>
      <c r="Y128" s="2449" t="s">
        <v>682</v>
      </c>
      <c r="Z128" s="2494" t="str">
        <f>"2b."</f>
        <v>2b.</v>
      </c>
      <c r="AA128" s="2291"/>
      <c r="AB128" s="2493"/>
      <c r="AC128" s="2493"/>
      <c r="AD128" s="2502"/>
      <c r="AE128" s="623"/>
    </row>
    <row r="129" spans="2:31" ht="12.75" customHeight="1" thickBot="1">
      <c r="B129" s="154"/>
      <c r="C129" s="268"/>
      <c r="D129" s="268"/>
      <c r="E129" s="46"/>
      <c r="F129" s="46"/>
      <c r="G129" s="46"/>
      <c r="H129" s="46"/>
      <c r="I129" s="46"/>
      <c r="J129" s="273"/>
      <c r="K129" s="273"/>
      <c r="L129" s="273"/>
      <c r="M129" s="273"/>
      <c r="N129" s="611"/>
      <c r="S129" s="626"/>
      <c r="T129" s="625"/>
      <c r="U129" s="2351"/>
      <c r="V129" s="2491" t="s">
        <v>700</v>
      </c>
      <c r="W129" s="2492" t="s">
        <v>1985</v>
      </c>
      <c r="X129" s="2493"/>
      <c r="Y129" s="2493"/>
      <c r="Z129" s="2493"/>
      <c r="AA129" s="2449" t="s">
        <v>677</v>
      </c>
      <c r="AB129" s="2494" t="str">
        <f>"2c."</f>
        <v>2c.</v>
      </c>
      <c r="AC129" s="2290" t="str">
        <f>IF(AC122,"",SUM(AA126,-AA128))</f>
        <v/>
      </c>
      <c r="AD129" s="2502"/>
      <c r="AE129" s="623"/>
    </row>
    <row r="130" spans="2:31" ht="12.75" customHeight="1" thickTop="1" thickBot="1">
      <c r="B130" s="154"/>
      <c r="C130" s="7632" t="s">
        <v>276</v>
      </c>
      <c r="D130" s="7633"/>
      <c r="E130" s="7633"/>
      <c r="F130" s="7633"/>
      <c r="G130" s="7634"/>
      <c r="H130" s="273"/>
      <c r="I130" s="273"/>
      <c r="L130" s="273"/>
      <c r="M130" s="273"/>
      <c r="N130" s="273"/>
      <c r="P130" s="5"/>
      <c r="Q130" s="242"/>
      <c r="S130" s="626"/>
      <c r="T130" s="625"/>
      <c r="U130" s="2351"/>
      <c r="V130" s="2491" t="str">
        <f>"3."</f>
        <v>3.</v>
      </c>
      <c r="W130" s="2492" t="s">
        <v>1986</v>
      </c>
      <c r="X130" s="2493"/>
      <c r="Y130" s="2493"/>
      <c r="Z130" s="2493"/>
      <c r="AA130" s="2449" t="s">
        <v>1342</v>
      </c>
      <c r="AB130" s="2494" t="str">
        <f>"3."</f>
        <v>3.</v>
      </c>
      <c r="AC130" s="2290" t="str">
        <f>IF(AC122,"",SUM(AC124,AC129))</f>
        <v/>
      </c>
      <c r="AD130" s="2502"/>
      <c r="AE130" s="623"/>
    </row>
    <row r="131" spans="2:31" ht="12.75" customHeight="1" thickTop="1" thickBot="1">
      <c r="B131" s="154"/>
      <c r="C131" s="268"/>
      <c r="D131" s="268"/>
      <c r="E131" s="46"/>
      <c r="F131" s="46"/>
      <c r="G131" s="273"/>
      <c r="H131" s="273"/>
      <c r="I131" s="273"/>
      <c r="L131" s="273"/>
      <c r="M131" s="273"/>
      <c r="N131" s="273"/>
      <c r="P131" s="5"/>
      <c r="Q131" s="242"/>
      <c r="S131" s="626"/>
      <c r="T131" s="625"/>
      <c r="U131" s="2351"/>
      <c r="V131" s="2491" t="str">
        <f>"4."</f>
        <v>4.</v>
      </c>
      <c r="W131" s="2495" t="s">
        <v>1987</v>
      </c>
      <c r="X131" s="2493"/>
      <c r="Y131" s="2493"/>
      <c r="Z131" s="2493"/>
      <c r="AA131" s="2493"/>
      <c r="AB131" s="2493"/>
      <c r="AC131" s="2506"/>
      <c r="AD131" s="2502"/>
      <c r="AE131" s="623"/>
    </row>
    <row r="132" spans="2:31" ht="14.25" thickTop="1" thickBot="1">
      <c r="B132" s="154"/>
      <c r="C132" s="7632" t="s">
        <v>277</v>
      </c>
      <c r="D132" s="7633"/>
      <c r="E132" s="7633"/>
      <c r="F132" s="7633"/>
      <c r="G132" s="7634"/>
      <c r="H132" s="273"/>
      <c r="I132" s="273"/>
      <c r="L132" s="273"/>
      <c r="M132" s="273"/>
      <c r="N132" s="273"/>
      <c r="P132" s="5"/>
      <c r="Q132" s="5"/>
      <c r="S132" s="626"/>
      <c r="T132" s="625"/>
      <c r="U132" s="2351"/>
      <c r="V132" s="2515" t="s">
        <v>385</v>
      </c>
      <c r="W132" s="2493" t="s">
        <v>4512</v>
      </c>
      <c r="X132" s="2493"/>
      <c r="Y132" s="2493"/>
      <c r="Z132" s="2493"/>
      <c r="AA132" s="2493"/>
      <c r="AB132" s="2493"/>
      <c r="AC132" s="2506" t="b">
        <f>AND(SchD_NotReqd,CapitalGains&gt;0)</f>
        <v>0</v>
      </c>
      <c r="AD132" s="2502"/>
      <c r="AE132" s="623"/>
    </row>
    <row r="133" spans="2:31" ht="10.5" customHeight="1" thickTop="1">
      <c r="Q133" s="5"/>
      <c r="S133" s="626"/>
      <c r="T133" s="625"/>
      <c r="U133" s="2351"/>
      <c r="V133" s="2491"/>
      <c r="W133" s="2507" t="s">
        <v>4513</v>
      </c>
      <c r="X133" s="2493"/>
      <c r="Y133" s="2493"/>
      <c r="Z133" s="2493"/>
      <c r="AA133" s="2493"/>
      <c r="AB133" s="2493"/>
      <c r="AC133" s="2506" t="b">
        <f>Qualified_Dividends&gt;0</f>
        <v>0</v>
      </c>
      <c r="AD133" s="2502"/>
      <c r="AE133" s="623"/>
    </row>
    <row r="134" spans="2:31" ht="10.5" customHeight="1">
      <c r="Q134" s="5"/>
      <c r="S134" s="626"/>
      <c r="T134" s="625"/>
      <c r="U134" s="2351"/>
      <c r="V134" s="2491"/>
      <c r="W134" s="2507" t="s">
        <v>4514</v>
      </c>
      <c r="X134" s="2493"/>
      <c r="Y134" s="2493"/>
      <c r="Z134" s="2493"/>
      <c r="AA134" s="2493"/>
      <c r="AB134" s="2493"/>
      <c r="AC134" s="2506" t="b">
        <f>AND(SchDLine15&gt;0,SchDLine16&gt;0)</f>
        <v>1</v>
      </c>
      <c r="AD134" s="2502"/>
      <c r="AE134" s="623"/>
    </row>
    <row r="135" spans="2:31" ht="10.5" customHeight="1">
      <c r="S135" s="2352"/>
      <c r="T135" s="2352"/>
      <c r="U135" s="2352"/>
      <c r="V135" s="2491"/>
      <c r="W135" s="2507" t="s">
        <v>4515</v>
      </c>
      <c r="X135" s="2493"/>
      <c r="Y135" s="2493"/>
      <c r="Z135" s="2493"/>
      <c r="AA135" s="2493"/>
      <c r="AB135" s="2493"/>
      <c r="AC135" s="2506" t="b">
        <f>OR(AC132,AC133,AC134)</f>
        <v>1</v>
      </c>
      <c r="AD135" s="2502"/>
      <c r="AE135" s="2352"/>
    </row>
    <row r="136" spans="2:31" ht="10.5" customHeight="1">
      <c r="S136" s="269"/>
      <c r="T136" s="625"/>
      <c r="U136" s="270"/>
      <c r="V136" s="2491"/>
      <c r="W136" s="2507" t="s">
        <v>4516</v>
      </c>
      <c r="X136" s="2493"/>
      <c r="Y136" s="2493"/>
      <c r="Z136" s="2493"/>
      <c r="AA136" s="2493"/>
      <c r="AB136" s="2494" t="str">
        <f>"4."</f>
        <v>4.</v>
      </c>
      <c r="AC136" s="2290" t="str">
        <f>IF(AC122,"",IF(AC135,M125,IF(File_Marr_Sep,AE137,AE136)))</f>
        <v/>
      </c>
      <c r="AD136" s="2502"/>
      <c r="AE136" s="2433" t="str">
        <f>IF(AC122,"---",IF(AC130&lt;=R59,ROUND((AC130*R66),0),SUM(ROUND((AC130*R67),0),-R63)))</f>
        <v>---</v>
      </c>
    </row>
    <row r="137" spans="2:31" ht="10.5" customHeight="1">
      <c r="S137" s="242"/>
      <c r="T137" s="626"/>
      <c r="U137" s="270"/>
      <c r="V137" s="2491"/>
      <c r="W137" s="2507" t="s">
        <v>4517</v>
      </c>
      <c r="X137" s="2493"/>
      <c r="Y137" s="2493"/>
      <c r="Z137" s="2493"/>
      <c r="AA137" s="2493"/>
      <c r="AB137" s="2493"/>
      <c r="AC137" s="2503"/>
      <c r="AD137" s="2502"/>
      <c r="AE137" s="2433" t="str">
        <f>IF(AC122,"---",IF(AC130&lt;=R60,ROUND((AC130*R66),0),SUM(ROUND((AC130*R67),0),-R64)))</f>
        <v>---</v>
      </c>
    </row>
    <row r="138" spans="2:31" ht="12" customHeight="1">
      <c r="S138" s="242"/>
      <c r="T138" s="946"/>
      <c r="U138" s="1066"/>
      <c r="V138" s="2515" t="s">
        <v>385</v>
      </c>
      <c r="W138" s="2493" t="str">
        <f>"All others: If line 3 is "&amp;TEXT(R59,"$0,000")&amp;" or less ("&amp;TEXT(R60,"$0,000")&amp;" or less if married filing separately), multiply line 3 by"</f>
        <v>All others: If line 3 is $191,100 or less ($95,550 or less if married filing separately), multiply line 3 by</v>
      </c>
      <c r="X138" s="2493"/>
      <c r="Y138" s="2493"/>
      <c r="Z138" s="2493"/>
      <c r="AA138" s="2493"/>
      <c r="AB138" s="2493"/>
      <c r="AC138" s="2503"/>
      <c r="AD138" s="2502"/>
      <c r="AE138" s="623"/>
    </row>
    <row r="139" spans="2:31" ht="12" customHeight="1">
      <c r="S139" s="270"/>
      <c r="T139" s="269"/>
      <c r="U139" s="1067"/>
      <c r="V139" s="2491"/>
      <c r="W139" s="2507" t="str">
        <f>TEXT(R66,"0%")&amp;" ("&amp;TEXT(R66,"0.00")&amp;"). Otherwise, multiply line 3 by "&amp;TEXT(R67,"0%")&amp;" ("&amp;TEXT(R67,"0.00")&amp;") and subtract "&amp;TEXT(R63,"$0,000")&amp;" ("&amp;TEXT(R64,"$0,000")&amp;" if married filing"</f>
        <v>26% (0.26). Otherwise, multiply line 3 by 28% (0.28) and subtract $3,822 ($1,911 if married filing</v>
      </c>
      <c r="X139" s="2493"/>
      <c r="Y139" s="2493"/>
      <c r="Z139" s="2493"/>
      <c r="AA139" s="2493"/>
      <c r="AB139" s="2493"/>
      <c r="AC139" s="2504"/>
      <c r="AD139" s="2502"/>
      <c r="AE139" s="623"/>
    </row>
    <row r="140" spans="2:31" ht="12" customHeight="1">
      <c r="S140" s="270"/>
      <c r="T140" s="269"/>
      <c r="U140" s="1067"/>
      <c r="V140" s="2491"/>
      <c r="W140" s="2507" t="s">
        <v>1988</v>
      </c>
      <c r="X140" s="2493"/>
      <c r="Y140" s="2493"/>
      <c r="Z140" s="2493"/>
      <c r="AA140" s="2493"/>
      <c r="AB140" s="2493"/>
      <c r="AC140" s="2504"/>
      <c r="AD140" s="2502"/>
      <c r="AE140" s="623"/>
    </row>
    <row r="141" spans="2:31">
      <c r="S141" s="242"/>
      <c r="T141" s="242"/>
      <c r="U141" s="270"/>
      <c r="V141" s="2491" t="str">
        <f>"5."</f>
        <v>5.</v>
      </c>
      <c r="W141" s="4817" t="str">
        <f>"Tax on amount on line 2c."</f>
        <v>Tax on amount on line 2c.</v>
      </c>
      <c r="X141" s="2493"/>
      <c r="Y141" s="2493"/>
      <c r="Z141" s="2493"/>
      <c r="AA141" s="2494"/>
      <c r="AB141" s="2494" t="str">
        <f>"If line 2c is "&amp;TEXT($R$59,"$0,000")&amp;" or less ("&amp;TEXT($R$60,"$0,000")&amp;" or less if married filing separately),    "</f>
        <v xml:space="preserve">If line 2c is $191,100 or less ($95,550 or less if married filing separately),    </v>
      </c>
      <c r="AC141" s="2503"/>
      <c r="AD141" s="2502"/>
      <c r="AE141" s="623"/>
    </row>
    <row r="142" spans="2:31">
      <c r="S142" s="242"/>
      <c r="T142" s="242"/>
      <c r="U142" s="270"/>
      <c r="V142" s="2491"/>
      <c r="W142" s="2507" t="str">
        <f>"multiply line 2c by "&amp;TEXT(R66,"0%")&amp;" ("&amp;TEXT(R66,"0.00")&amp;"). Otherwise, multiply line 2c by "&amp;TEXT(R67,"0%")&amp;" ("&amp;TEXT(R67,"0.00")&amp;") and subtract "&amp;TEXT(R63,"$0,000")&amp;" ("&amp;TEXT(R64,"$0,000")&amp;" if"</f>
        <v>multiply line 2c by 26% (0.26). Otherwise, multiply line 2c by 28% (0.28) and subtract $3,822 ($1,911 if</v>
      </c>
      <c r="X142" s="2493"/>
      <c r="Y142" s="2493"/>
      <c r="Z142" s="2493"/>
      <c r="AA142" s="2493"/>
      <c r="AB142" s="2493"/>
      <c r="AC142" s="2503"/>
      <c r="AD142" s="2502"/>
      <c r="AE142" s="623"/>
    </row>
    <row r="143" spans="2:31">
      <c r="S143" s="242"/>
      <c r="T143" s="242"/>
      <c r="U143" s="270"/>
      <c r="V143" s="2491"/>
      <c r="W143" s="2507" t="s">
        <v>1989</v>
      </c>
      <c r="X143" s="2493"/>
      <c r="Y143" s="2493"/>
      <c r="Z143" s="2493"/>
      <c r="AA143" s="2449" t="s">
        <v>1150</v>
      </c>
      <c r="AB143" s="2494" t="str">
        <f>"5."</f>
        <v>5.</v>
      </c>
      <c r="AC143" s="2290">
        <f>IF(OR(AC122,AC135),0,IF(File_Marr_Sep,AE144,AE143))</f>
        <v>0</v>
      </c>
      <c r="AD143" s="2502"/>
      <c r="AE143" s="2433" t="str">
        <f>IF(AC122,"---",IF(AC129&lt;=R59,ROUND((AC129*R66),0),SUM(ROUND((AC129*R67),0),-R63)))</f>
        <v>---</v>
      </c>
    </row>
    <row r="144" spans="2:31">
      <c r="S144" s="242"/>
      <c r="T144" s="270"/>
      <c r="U144" s="270"/>
      <c r="V144" s="2491" t="str">
        <f>"6."</f>
        <v>6.</v>
      </c>
      <c r="W144" s="2507" t="s">
        <v>4518</v>
      </c>
      <c r="X144" s="2493"/>
      <c r="Y144" s="2493"/>
      <c r="Z144" s="2493"/>
      <c r="AA144" s="2449" t="s">
        <v>667</v>
      </c>
      <c r="AB144" s="2494" t="str">
        <f>"6."</f>
        <v>6.</v>
      </c>
      <c r="AC144" s="2290">
        <f>SUM(AC136,-AC143)</f>
        <v>0</v>
      </c>
      <c r="AD144" s="2502"/>
      <c r="AE144" s="2433" t="str">
        <f>IF(AC122,"---",IF(AC129&lt;=R60,ROUND((AC129*R66),0),SUM(ROUND((AC129*R67),0),-R64)))</f>
        <v>---</v>
      </c>
    </row>
    <row r="145" spans="19:30" ht="13.5" thickBot="1">
      <c r="S145" s="242"/>
      <c r="T145" s="242"/>
      <c r="U145" s="270"/>
      <c r="V145" s="2496"/>
      <c r="W145" s="2497"/>
      <c r="X145" s="2498"/>
      <c r="Y145" s="2498"/>
      <c r="Z145" s="2498"/>
      <c r="AA145" s="2498"/>
      <c r="AB145" s="2498"/>
      <c r="AC145" s="2498"/>
      <c r="AD145" s="2505"/>
    </row>
    <row r="146" spans="19:30">
      <c r="S146" s="242"/>
      <c r="T146" s="242"/>
      <c r="U146" s="270"/>
      <c r="V146" s="734"/>
      <c r="W146" s="270"/>
      <c r="X146" s="270"/>
      <c r="Y146" s="270"/>
      <c r="Z146" s="270"/>
      <c r="AA146" s="270"/>
      <c r="AB146" s="270"/>
      <c r="AC146" s="270"/>
      <c r="AD146" s="270"/>
    </row>
    <row r="147" spans="19:30" ht="18">
      <c r="S147" s="242"/>
      <c r="T147" s="242"/>
      <c r="U147" s="270"/>
      <c r="V147" s="2352"/>
      <c r="W147" s="2352"/>
      <c r="X147" s="2352"/>
      <c r="Y147" s="2352"/>
      <c r="Z147" s="2352"/>
      <c r="AA147" s="2352"/>
      <c r="AB147" s="2352"/>
      <c r="AC147" s="2352"/>
      <c r="AD147" s="2352"/>
    </row>
    <row r="148" spans="19:30" ht="18">
      <c r="S148" s="242"/>
      <c r="T148" s="242"/>
      <c r="U148" s="270"/>
      <c r="V148" s="2352"/>
      <c r="W148" s="2352"/>
      <c r="X148" s="2352"/>
      <c r="Y148" s="2352"/>
      <c r="Z148" s="2352"/>
      <c r="AA148" s="2352"/>
      <c r="AB148" s="2352"/>
      <c r="AC148" s="2352"/>
      <c r="AD148" s="2352"/>
    </row>
    <row r="149" spans="19:30" ht="18">
      <c r="S149" s="242"/>
      <c r="T149" s="242"/>
      <c r="U149" s="270"/>
      <c r="V149" s="2352"/>
      <c r="W149" s="2352"/>
      <c r="X149" s="2352"/>
      <c r="Y149" s="2352"/>
      <c r="Z149" s="2352"/>
      <c r="AA149" s="2352"/>
      <c r="AB149" s="2352"/>
      <c r="AC149" s="2352"/>
      <c r="AD149" s="2352"/>
    </row>
    <row r="150" spans="19:30" ht="18">
      <c r="S150" s="242"/>
      <c r="T150" s="242"/>
      <c r="U150" s="270"/>
      <c r="V150" s="2352"/>
      <c r="W150" s="2352"/>
      <c r="X150" s="2352"/>
      <c r="Y150" s="2352"/>
      <c r="Z150" s="2352"/>
      <c r="AA150" s="2352"/>
      <c r="AB150" s="2352"/>
      <c r="AC150" s="2352"/>
      <c r="AD150" s="2352"/>
    </row>
    <row r="151" spans="19:30" ht="18">
      <c r="S151" s="242"/>
      <c r="T151" s="242"/>
      <c r="U151" s="270"/>
      <c r="V151" s="2352"/>
      <c r="W151" s="2352"/>
      <c r="X151" s="2352"/>
      <c r="Y151" s="2352"/>
      <c r="Z151" s="2352"/>
      <c r="AA151" s="2352"/>
      <c r="AB151" s="2352"/>
      <c r="AC151" s="2352"/>
      <c r="AD151" s="2352"/>
    </row>
    <row r="152" spans="19:30" ht="18">
      <c r="S152" s="242"/>
      <c r="T152" s="242"/>
      <c r="U152" s="270"/>
      <c r="V152" s="2352"/>
      <c r="W152" s="2352"/>
      <c r="X152" s="2352"/>
      <c r="Y152" s="2352"/>
      <c r="Z152" s="2352"/>
      <c r="AA152" s="2352"/>
      <c r="AB152" s="2352"/>
      <c r="AC152" s="2352"/>
      <c r="AD152" s="2352"/>
    </row>
    <row r="153" spans="19:30" ht="18">
      <c r="S153" s="242"/>
      <c r="T153" s="242"/>
      <c r="U153" s="270"/>
      <c r="V153" s="2352"/>
      <c r="W153" s="2352"/>
      <c r="X153" s="2352"/>
      <c r="Y153" s="2352"/>
      <c r="Z153" s="2352"/>
      <c r="AA153" s="2352"/>
      <c r="AB153" s="2352"/>
      <c r="AC153" s="2352"/>
      <c r="AD153" s="2352"/>
    </row>
    <row r="154" spans="19:30" ht="18">
      <c r="S154" s="242"/>
      <c r="T154" s="242"/>
      <c r="U154" s="270"/>
      <c r="V154" s="2352"/>
      <c r="W154" s="2352"/>
      <c r="X154" s="2352"/>
      <c r="Y154" s="2352"/>
      <c r="Z154" s="2352"/>
      <c r="AA154" s="2352"/>
      <c r="AB154" s="2352"/>
      <c r="AC154" s="2352"/>
      <c r="AD154" s="2352"/>
    </row>
    <row r="155" spans="19:30" ht="18">
      <c r="S155" s="242"/>
      <c r="T155" s="242"/>
      <c r="U155" s="270"/>
      <c r="V155" s="2352"/>
      <c r="W155" s="2352"/>
      <c r="X155" s="2352"/>
      <c r="Y155" s="2352"/>
      <c r="Z155" s="2352"/>
      <c r="AA155" s="2352"/>
      <c r="AB155" s="2352"/>
      <c r="AC155" s="2352"/>
      <c r="AD155" s="2352"/>
    </row>
    <row r="156" spans="19:30" ht="18">
      <c r="S156" s="242"/>
      <c r="T156" s="242"/>
      <c r="U156" s="270"/>
      <c r="V156" s="2352"/>
      <c r="W156" s="2352"/>
      <c r="X156" s="2352"/>
      <c r="Y156" s="2352"/>
      <c r="Z156" s="2352"/>
      <c r="AA156" s="2352"/>
      <c r="AB156" s="2352"/>
      <c r="AC156" s="2352"/>
      <c r="AD156" s="2352"/>
    </row>
    <row r="157" spans="19:30" ht="18">
      <c r="S157" s="242"/>
      <c r="T157" s="242"/>
      <c r="U157" s="270"/>
      <c r="V157" s="2352"/>
      <c r="W157" s="2352"/>
      <c r="X157" s="2352"/>
      <c r="Y157" s="2352"/>
      <c r="Z157" s="2352"/>
      <c r="AA157" s="2352"/>
      <c r="AB157" s="2352"/>
      <c r="AC157" s="2352"/>
      <c r="AD157" s="2352"/>
    </row>
    <row r="158" spans="19:30" ht="18">
      <c r="S158" s="242"/>
      <c r="T158" s="242"/>
      <c r="U158" s="270"/>
      <c r="V158" s="2352"/>
      <c r="W158" s="2352"/>
      <c r="X158" s="2352"/>
      <c r="Y158" s="2352"/>
      <c r="Z158" s="2352"/>
      <c r="AA158" s="2352"/>
      <c r="AB158" s="2352"/>
      <c r="AC158" s="2352"/>
      <c r="AD158" s="2352"/>
    </row>
    <row r="159" spans="19:30" ht="18">
      <c r="S159" s="242"/>
      <c r="T159" s="242"/>
      <c r="U159" s="270"/>
      <c r="V159" s="2352"/>
      <c r="W159" s="2352"/>
      <c r="X159" s="2352"/>
      <c r="Y159" s="2352"/>
      <c r="Z159" s="2352"/>
      <c r="AA159" s="2352"/>
      <c r="AB159" s="2352"/>
      <c r="AC159" s="2352"/>
      <c r="AD159" s="2352"/>
    </row>
    <row r="160" spans="19:30" ht="18">
      <c r="S160" s="242"/>
      <c r="T160" s="242"/>
      <c r="U160" s="270"/>
      <c r="V160" s="2352"/>
      <c r="W160" s="2352"/>
      <c r="X160" s="2352"/>
      <c r="Y160" s="2352"/>
      <c r="Z160" s="2352"/>
      <c r="AA160" s="2352"/>
      <c r="AB160" s="2352"/>
      <c r="AC160" s="2352"/>
      <c r="AD160" s="2352"/>
    </row>
    <row r="161" spans="19:30" ht="18">
      <c r="S161" s="242"/>
      <c r="T161" s="242"/>
      <c r="U161" s="270"/>
      <c r="V161" s="2352"/>
      <c r="W161" s="2352"/>
      <c r="X161" s="2352"/>
      <c r="Y161" s="2352"/>
      <c r="Z161" s="2352"/>
      <c r="AA161" s="2352"/>
      <c r="AB161" s="2352"/>
      <c r="AC161" s="2352"/>
      <c r="AD161" s="2352"/>
    </row>
    <row r="162" spans="19:30" ht="18">
      <c r="S162" s="242"/>
      <c r="T162" s="242"/>
      <c r="U162" s="270"/>
      <c r="V162" s="2352"/>
      <c r="W162" s="2352"/>
      <c r="X162" s="2352"/>
      <c r="Y162" s="2352"/>
      <c r="Z162" s="2352"/>
      <c r="AA162" s="2352"/>
      <c r="AB162" s="2352"/>
      <c r="AC162" s="2352"/>
      <c r="AD162" s="2352"/>
    </row>
    <row r="163" spans="19:30" ht="18">
      <c r="S163" s="242"/>
      <c r="T163" s="242"/>
      <c r="U163" s="270"/>
      <c r="V163" s="2352"/>
      <c r="W163" s="2352"/>
      <c r="X163" s="2352"/>
      <c r="Y163" s="2352"/>
      <c r="Z163" s="2352"/>
      <c r="AA163" s="2352"/>
      <c r="AB163" s="2352"/>
      <c r="AC163" s="2352"/>
      <c r="AD163" s="2352"/>
    </row>
    <row r="164" spans="19:30" ht="18">
      <c r="S164" s="242"/>
      <c r="T164" s="242"/>
      <c r="U164" s="270"/>
      <c r="V164" s="2352"/>
      <c r="W164" s="2352"/>
      <c r="X164" s="2352"/>
      <c r="Y164" s="2352"/>
      <c r="Z164" s="2352"/>
      <c r="AA164" s="2352"/>
      <c r="AB164" s="2352"/>
      <c r="AC164" s="2352"/>
      <c r="AD164" s="2352"/>
    </row>
    <row r="165" spans="19:30" ht="18">
      <c r="S165" s="242"/>
      <c r="T165" s="242"/>
      <c r="U165" s="270"/>
      <c r="V165" s="2352"/>
      <c r="W165" s="2352"/>
      <c r="X165" s="2352"/>
      <c r="Y165" s="2352"/>
      <c r="Z165" s="2352"/>
      <c r="AA165" s="2352"/>
      <c r="AB165" s="2352"/>
      <c r="AC165" s="2352"/>
      <c r="AD165" s="2352"/>
    </row>
    <row r="166" spans="19:30" ht="18">
      <c r="S166" s="242"/>
      <c r="T166" s="242"/>
      <c r="U166" s="270"/>
      <c r="V166" s="2352"/>
      <c r="W166" s="2352"/>
      <c r="X166" s="2352"/>
      <c r="Y166" s="2352"/>
      <c r="Z166" s="2352"/>
      <c r="AA166" s="2352"/>
      <c r="AB166" s="2352"/>
      <c r="AC166" s="2352"/>
      <c r="AD166" s="2352"/>
    </row>
    <row r="167" spans="19:30" ht="18">
      <c r="S167" s="242"/>
      <c r="T167" s="242"/>
      <c r="U167" s="270"/>
      <c r="V167" s="2352"/>
      <c r="W167" s="2352"/>
      <c r="X167" s="2352"/>
      <c r="Y167" s="2352"/>
      <c r="Z167" s="2352"/>
      <c r="AA167" s="2352"/>
      <c r="AB167" s="2352"/>
      <c r="AC167" s="2352"/>
      <c r="AD167" s="2352"/>
    </row>
    <row r="168" spans="19:30" ht="18">
      <c r="S168" s="242"/>
      <c r="T168" s="242"/>
      <c r="U168" s="270"/>
      <c r="V168" s="2352"/>
      <c r="W168" s="2352"/>
      <c r="X168" s="2352"/>
      <c r="Y168" s="2352"/>
      <c r="Z168" s="2352"/>
      <c r="AA168" s="2352"/>
      <c r="AB168" s="2352"/>
      <c r="AC168" s="2352"/>
      <c r="AD168" s="2352"/>
    </row>
    <row r="169" spans="19:30" ht="18">
      <c r="S169" s="242"/>
      <c r="T169" s="242"/>
      <c r="U169" s="270"/>
      <c r="V169" s="2352"/>
      <c r="W169" s="2352"/>
      <c r="X169" s="2352"/>
      <c r="Y169" s="2352"/>
      <c r="Z169" s="2352"/>
      <c r="AA169" s="2352"/>
      <c r="AB169" s="2352"/>
      <c r="AC169" s="2352"/>
      <c r="AD169" s="2352"/>
    </row>
    <row r="170" spans="19:30" ht="18">
      <c r="S170" s="242"/>
      <c r="T170" s="242"/>
      <c r="U170" s="270"/>
      <c r="V170" s="2352"/>
      <c r="W170" s="2352"/>
      <c r="X170" s="2352"/>
      <c r="Y170" s="2352"/>
      <c r="Z170" s="2352"/>
      <c r="AA170" s="2352"/>
      <c r="AB170" s="2352"/>
      <c r="AC170" s="2352"/>
      <c r="AD170" s="2352"/>
    </row>
    <row r="171" spans="19:30" ht="18">
      <c r="S171" s="242"/>
      <c r="T171" s="242"/>
      <c r="U171" s="270"/>
      <c r="V171" s="2352"/>
      <c r="W171" s="2352"/>
      <c r="X171" s="2352"/>
      <c r="Y171" s="2352"/>
      <c r="Z171" s="2352"/>
      <c r="AA171" s="2352"/>
      <c r="AB171" s="2352"/>
      <c r="AC171" s="2352"/>
      <c r="AD171" s="2352"/>
    </row>
    <row r="172" spans="19:30" ht="18">
      <c r="S172" s="242"/>
      <c r="T172" s="242"/>
      <c r="U172" s="270"/>
      <c r="V172" s="2352"/>
      <c r="W172" s="2352"/>
      <c r="X172" s="2352"/>
      <c r="Y172" s="2352"/>
      <c r="Z172" s="2352"/>
      <c r="AA172" s="2352"/>
      <c r="AB172" s="2352"/>
      <c r="AC172" s="2352"/>
      <c r="AD172" s="2352"/>
    </row>
    <row r="173" spans="19:30" ht="18">
      <c r="S173" s="242"/>
      <c r="T173" s="242"/>
      <c r="U173" s="270"/>
      <c r="V173" s="2352"/>
      <c r="W173" s="2352"/>
      <c r="X173" s="2352"/>
      <c r="Y173" s="2352"/>
      <c r="Z173" s="2352"/>
      <c r="AA173" s="2352"/>
      <c r="AB173" s="2352"/>
      <c r="AC173" s="2352"/>
      <c r="AD173" s="2352"/>
    </row>
    <row r="174" spans="19:30" ht="18">
      <c r="S174" s="242"/>
      <c r="T174" s="242"/>
      <c r="U174" s="270"/>
      <c r="V174" s="2352"/>
      <c r="W174" s="2352"/>
      <c r="X174" s="2352"/>
      <c r="Y174" s="2352"/>
      <c r="Z174" s="2352"/>
      <c r="AA174" s="2352"/>
      <c r="AB174" s="2352"/>
      <c r="AC174" s="2352"/>
      <c r="AD174" s="2352"/>
    </row>
    <row r="175" spans="19:30" ht="18">
      <c r="S175" s="242"/>
      <c r="T175" s="242"/>
      <c r="U175" s="270"/>
      <c r="V175" s="2352"/>
      <c r="W175" s="2352"/>
      <c r="X175" s="2352"/>
      <c r="Y175" s="2352"/>
      <c r="Z175" s="2352"/>
      <c r="AA175" s="2352"/>
      <c r="AB175" s="2352"/>
      <c r="AC175" s="2352"/>
      <c r="AD175" s="2352"/>
    </row>
    <row r="176" spans="19:30" ht="18">
      <c r="S176" s="242"/>
      <c r="T176" s="242"/>
      <c r="U176" s="270"/>
      <c r="V176" s="2352"/>
      <c r="W176" s="2352"/>
      <c r="X176" s="2352"/>
      <c r="Y176" s="2352"/>
      <c r="Z176" s="2352"/>
      <c r="AA176" s="2352"/>
      <c r="AB176" s="2352"/>
      <c r="AC176" s="2352"/>
      <c r="AD176" s="2352"/>
    </row>
    <row r="177" spans="19:30" ht="18">
      <c r="S177" s="242"/>
      <c r="T177" s="242"/>
      <c r="U177" s="270"/>
      <c r="V177" s="2352"/>
      <c r="W177" s="2352"/>
      <c r="X177" s="2352"/>
      <c r="Y177" s="2352"/>
      <c r="Z177" s="2352"/>
      <c r="AA177" s="2352"/>
      <c r="AB177" s="2352"/>
      <c r="AC177" s="2352"/>
      <c r="AD177" s="2352"/>
    </row>
    <row r="178" spans="19:30" ht="18">
      <c r="S178" s="242"/>
      <c r="T178" s="242"/>
      <c r="U178" s="270"/>
      <c r="V178" s="2352"/>
      <c r="W178" s="2352"/>
      <c r="X178" s="2352"/>
      <c r="Y178" s="2352"/>
      <c r="Z178" s="2352"/>
      <c r="AA178" s="2352"/>
      <c r="AB178" s="2352"/>
      <c r="AC178" s="2352"/>
      <c r="AD178" s="2352"/>
    </row>
    <row r="179" spans="19:30" ht="18">
      <c r="S179" s="242"/>
      <c r="T179" s="242"/>
      <c r="U179" s="270"/>
      <c r="V179" s="2352"/>
      <c r="W179" s="2352"/>
      <c r="X179" s="2352"/>
      <c r="Y179" s="2352"/>
      <c r="Z179" s="2352"/>
      <c r="AA179" s="2352"/>
      <c r="AB179" s="2352"/>
      <c r="AC179" s="2352"/>
      <c r="AD179" s="2352"/>
    </row>
    <row r="180" spans="19:30" ht="18">
      <c r="S180" s="242"/>
      <c r="T180" s="242"/>
      <c r="U180" s="270"/>
      <c r="V180" s="2352"/>
      <c r="W180" s="2352"/>
      <c r="X180" s="2352"/>
      <c r="Y180" s="2352"/>
      <c r="Z180" s="2352"/>
      <c r="AA180" s="2352"/>
      <c r="AB180" s="2352"/>
      <c r="AC180" s="2352"/>
      <c r="AD180" s="2352"/>
    </row>
    <row r="181" spans="19:30" ht="18">
      <c r="S181" s="242"/>
      <c r="T181" s="242"/>
      <c r="U181" s="270"/>
      <c r="V181" s="2352"/>
      <c r="W181" s="2352"/>
      <c r="X181" s="2352"/>
      <c r="Y181" s="2352"/>
      <c r="Z181" s="2352"/>
      <c r="AA181" s="2352"/>
      <c r="AB181" s="2352"/>
      <c r="AC181" s="2352"/>
      <c r="AD181" s="2352"/>
    </row>
    <row r="182" spans="19:30" ht="18">
      <c r="S182" s="242"/>
      <c r="T182" s="242"/>
      <c r="U182" s="270"/>
      <c r="V182" s="2352"/>
      <c r="W182" s="2352"/>
      <c r="X182" s="2352"/>
      <c r="Y182" s="2352"/>
      <c r="Z182" s="2352"/>
      <c r="AA182" s="2352"/>
      <c r="AB182" s="2352"/>
      <c r="AC182" s="2352"/>
      <c r="AD182" s="2352"/>
    </row>
    <row r="183" spans="19:30" ht="18">
      <c r="S183" s="242"/>
      <c r="T183" s="242"/>
      <c r="U183" s="270"/>
      <c r="V183" s="2352"/>
      <c r="W183" s="2352"/>
      <c r="X183" s="2352"/>
      <c r="Y183" s="2352"/>
      <c r="Z183" s="2352"/>
      <c r="AA183" s="2352"/>
      <c r="AB183" s="2352"/>
      <c r="AC183" s="2352"/>
      <c r="AD183" s="2352"/>
    </row>
    <row r="184" spans="19:30" ht="18">
      <c r="S184" s="242"/>
      <c r="T184" s="242"/>
      <c r="U184" s="270"/>
      <c r="V184" s="2352"/>
      <c r="W184" s="2352"/>
      <c r="X184" s="2352"/>
      <c r="Y184" s="2352"/>
      <c r="Z184" s="2352"/>
      <c r="AA184" s="2352"/>
      <c r="AB184" s="2352"/>
      <c r="AC184" s="2352"/>
      <c r="AD184" s="2352"/>
    </row>
    <row r="185" spans="19:30" ht="18">
      <c r="S185" s="242"/>
      <c r="T185" s="242"/>
      <c r="U185" s="270"/>
      <c r="V185" s="2352"/>
      <c r="W185" s="2352"/>
      <c r="X185" s="2352"/>
      <c r="Y185" s="2352"/>
      <c r="Z185" s="2352"/>
      <c r="AA185" s="2352"/>
      <c r="AB185" s="2352"/>
      <c r="AC185" s="2352"/>
      <c r="AD185" s="2352"/>
    </row>
    <row r="186" spans="19:30" ht="18">
      <c r="S186" s="242"/>
      <c r="T186" s="242"/>
      <c r="U186" s="270"/>
      <c r="V186" s="2352"/>
      <c r="W186" s="2352"/>
      <c r="X186" s="2352"/>
      <c r="Y186" s="2352"/>
      <c r="Z186" s="2352"/>
      <c r="AA186" s="2352"/>
      <c r="AB186" s="2352"/>
      <c r="AC186" s="2352"/>
      <c r="AD186" s="2352"/>
    </row>
    <row r="187" spans="19:30" ht="18">
      <c r="S187" s="242"/>
      <c r="T187" s="242"/>
      <c r="U187" s="270"/>
      <c r="V187" s="2352"/>
      <c r="W187" s="2352"/>
      <c r="X187" s="2352"/>
      <c r="Y187" s="2352"/>
      <c r="Z187" s="2352"/>
      <c r="AA187" s="2352"/>
      <c r="AB187" s="2352"/>
      <c r="AC187" s="2352"/>
      <c r="AD187" s="2352"/>
    </row>
    <row r="188" spans="19:30" ht="18">
      <c r="S188" s="242"/>
      <c r="T188" s="242"/>
      <c r="U188" s="270"/>
      <c r="V188" s="2352"/>
      <c r="W188" s="2352"/>
      <c r="X188" s="2352"/>
      <c r="Y188" s="2352"/>
      <c r="Z188" s="2352"/>
      <c r="AA188" s="2352"/>
      <c r="AB188" s="2352"/>
      <c r="AC188" s="2352"/>
      <c r="AD188" s="2352"/>
    </row>
    <row r="189" spans="19:30" ht="18">
      <c r="S189" s="242"/>
      <c r="T189" s="242"/>
      <c r="U189" s="270"/>
      <c r="V189" s="2352"/>
      <c r="W189" s="2352"/>
      <c r="X189" s="2352"/>
      <c r="Y189" s="2352"/>
      <c r="Z189" s="2352"/>
      <c r="AA189" s="2352"/>
      <c r="AB189" s="2352"/>
      <c r="AC189" s="2352"/>
      <c r="AD189" s="2352"/>
    </row>
    <row r="190" spans="19:30" ht="18">
      <c r="S190" s="242"/>
      <c r="T190" s="242"/>
      <c r="U190" s="270"/>
      <c r="V190" s="2352"/>
      <c r="W190" s="2352"/>
      <c r="X190" s="2352"/>
      <c r="Y190" s="2352"/>
      <c r="Z190" s="2352"/>
      <c r="AA190" s="2352"/>
      <c r="AB190" s="2352"/>
      <c r="AC190" s="2352"/>
      <c r="AD190" s="2352"/>
    </row>
    <row r="191" spans="19:30" ht="18">
      <c r="S191" s="242"/>
      <c r="T191" s="242"/>
      <c r="U191" s="270"/>
      <c r="V191" s="2352"/>
      <c r="W191" s="2352"/>
      <c r="X191" s="2352"/>
      <c r="Y191" s="2352"/>
      <c r="Z191" s="2352"/>
      <c r="AA191" s="2352"/>
      <c r="AB191" s="2352"/>
      <c r="AC191" s="2352"/>
      <c r="AD191" s="2352"/>
    </row>
    <row r="192" spans="19:30" ht="18">
      <c r="S192" s="242"/>
      <c r="T192" s="242"/>
      <c r="U192" s="270"/>
      <c r="V192" s="2352"/>
      <c r="W192" s="2352"/>
      <c r="X192" s="2352"/>
      <c r="Y192" s="2352"/>
      <c r="Z192" s="2352"/>
      <c r="AA192" s="2352"/>
      <c r="AB192" s="2352"/>
      <c r="AC192" s="2352"/>
      <c r="AD192" s="2352"/>
    </row>
    <row r="193" spans="19:30" ht="18">
      <c r="S193" s="242"/>
      <c r="T193" s="242"/>
      <c r="U193" s="270"/>
      <c r="V193" s="2352"/>
      <c r="W193" s="2352"/>
      <c r="X193" s="2352"/>
      <c r="Y193" s="2352"/>
      <c r="Z193" s="2352"/>
      <c r="AA193" s="2352"/>
      <c r="AB193" s="2352"/>
      <c r="AC193" s="2352"/>
      <c r="AD193" s="2352"/>
    </row>
    <row r="194" spans="19:30" ht="18">
      <c r="S194" s="242"/>
      <c r="T194" s="242"/>
      <c r="U194" s="270"/>
      <c r="V194" s="2352"/>
      <c r="W194" s="2352"/>
      <c r="X194" s="2352"/>
      <c r="Y194" s="2352"/>
      <c r="Z194" s="2352"/>
      <c r="AA194" s="2352"/>
      <c r="AB194" s="2352"/>
      <c r="AC194" s="2352"/>
      <c r="AD194" s="2352"/>
    </row>
    <row r="195" spans="19:30" ht="18">
      <c r="S195" s="242"/>
      <c r="T195" s="242"/>
      <c r="U195" s="270"/>
      <c r="V195" s="2352"/>
      <c r="W195" s="2352"/>
      <c r="X195" s="2352"/>
      <c r="Y195" s="2352"/>
      <c r="Z195" s="2352"/>
      <c r="AA195" s="2352"/>
      <c r="AB195" s="2352"/>
      <c r="AC195" s="2352"/>
      <c r="AD195" s="2352"/>
    </row>
    <row r="196" spans="19:30" ht="18">
      <c r="S196" s="242"/>
      <c r="T196" s="242"/>
      <c r="U196" s="270"/>
      <c r="V196" s="2352"/>
      <c r="W196" s="2352"/>
      <c r="X196" s="2352"/>
      <c r="Y196" s="2352"/>
      <c r="Z196" s="2352"/>
      <c r="AA196" s="2352"/>
      <c r="AB196" s="2352"/>
      <c r="AC196" s="2352"/>
      <c r="AD196" s="2352"/>
    </row>
    <row r="197" spans="19:30" ht="18">
      <c r="S197" s="242"/>
      <c r="T197" s="242"/>
      <c r="U197" s="270"/>
      <c r="V197" s="2352"/>
      <c r="W197" s="2352"/>
      <c r="X197" s="2352"/>
      <c r="Y197" s="2352"/>
      <c r="Z197" s="2352"/>
      <c r="AA197" s="2352"/>
      <c r="AB197" s="2352"/>
      <c r="AC197" s="2352"/>
      <c r="AD197" s="2352"/>
    </row>
    <row r="198" spans="19:30" ht="18">
      <c r="S198" s="242"/>
      <c r="T198" s="242"/>
      <c r="U198" s="270"/>
      <c r="V198" s="2352"/>
      <c r="W198" s="2352"/>
      <c r="X198" s="2352"/>
      <c r="Y198" s="2352"/>
      <c r="Z198" s="2352"/>
      <c r="AA198" s="2352"/>
      <c r="AB198" s="2352"/>
      <c r="AC198" s="2352"/>
      <c r="AD198" s="2352"/>
    </row>
    <row r="199" spans="19:30" ht="18">
      <c r="S199" s="242"/>
      <c r="T199" s="242"/>
      <c r="U199" s="270"/>
      <c r="V199" s="2352"/>
      <c r="W199" s="2352"/>
      <c r="X199" s="2352"/>
      <c r="Y199" s="2352"/>
      <c r="Z199" s="2352"/>
      <c r="AA199" s="2352"/>
      <c r="AB199" s="2352"/>
      <c r="AC199" s="2352"/>
      <c r="AD199" s="2352"/>
    </row>
    <row r="200" spans="19:30" ht="18">
      <c r="S200" s="242"/>
      <c r="T200" s="242"/>
      <c r="U200" s="270"/>
      <c r="V200" s="2352"/>
      <c r="W200" s="2352"/>
      <c r="X200" s="2352"/>
      <c r="Y200" s="2352"/>
      <c r="Z200" s="2352"/>
      <c r="AA200" s="2352"/>
      <c r="AB200" s="2352"/>
      <c r="AC200" s="2352"/>
      <c r="AD200" s="2352"/>
    </row>
    <row r="201" spans="19:30" ht="18">
      <c r="S201" s="242"/>
      <c r="T201" s="242"/>
      <c r="U201" s="270"/>
      <c r="V201" s="2352"/>
      <c r="W201" s="2352"/>
      <c r="X201" s="2352"/>
      <c r="Y201" s="2352"/>
      <c r="Z201" s="2352"/>
      <c r="AA201" s="2352"/>
      <c r="AB201" s="2352"/>
      <c r="AC201" s="2352"/>
      <c r="AD201" s="2352"/>
    </row>
    <row r="202" spans="19:30" ht="18">
      <c r="S202" s="242"/>
      <c r="T202" s="242"/>
      <c r="U202" s="270"/>
      <c r="V202" s="2352"/>
      <c r="W202" s="2352"/>
      <c r="X202" s="2352"/>
      <c r="Y202" s="2352"/>
      <c r="Z202" s="2352"/>
      <c r="AA202" s="2352"/>
      <c r="AB202" s="2352"/>
      <c r="AC202" s="2352"/>
      <c r="AD202" s="2352"/>
    </row>
    <row r="203" spans="19:30" ht="18">
      <c r="S203" s="242"/>
      <c r="T203" s="242"/>
      <c r="U203" s="270"/>
      <c r="V203" s="2352"/>
      <c r="W203" s="2352"/>
      <c r="X203" s="2352"/>
      <c r="Y203" s="2352"/>
      <c r="Z203" s="2352"/>
      <c r="AA203" s="2352"/>
      <c r="AB203" s="2352"/>
      <c r="AC203" s="2352"/>
      <c r="AD203" s="2352"/>
    </row>
    <row r="204" spans="19:30" ht="18">
      <c r="S204" s="242"/>
      <c r="T204" s="242"/>
      <c r="U204" s="270"/>
      <c r="V204" s="2352"/>
      <c r="W204" s="2352"/>
      <c r="X204" s="2352"/>
      <c r="Y204" s="2352"/>
      <c r="Z204" s="2352"/>
      <c r="AA204" s="2352"/>
      <c r="AB204" s="2352"/>
      <c r="AC204" s="2352"/>
      <c r="AD204" s="2352"/>
    </row>
    <row r="205" spans="19:30" ht="18">
      <c r="S205" s="242"/>
      <c r="T205" s="242"/>
      <c r="U205" s="270"/>
      <c r="V205" s="2352"/>
      <c r="W205" s="2352"/>
      <c r="X205" s="2352"/>
      <c r="Y205" s="2352"/>
      <c r="Z205" s="2352"/>
      <c r="AA205" s="2352"/>
      <c r="AB205" s="2352"/>
      <c r="AC205" s="2352"/>
      <c r="AD205" s="2352"/>
    </row>
    <row r="206" spans="19:30" ht="18">
      <c r="S206" s="242"/>
      <c r="T206" s="242"/>
      <c r="U206" s="270"/>
      <c r="V206" s="2352"/>
      <c r="W206" s="2352"/>
      <c r="X206" s="2352"/>
      <c r="Y206" s="2352"/>
      <c r="Z206" s="2352"/>
      <c r="AA206" s="2352"/>
      <c r="AB206" s="2352"/>
      <c r="AC206" s="2352"/>
      <c r="AD206" s="2352"/>
    </row>
    <row r="207" spans="19:30" ht="18">
      <c r="S207" s="242"/>
      <c r="T207" s="242"/>
      <c r="U207" s="270"/>
      <c r="V207" s="2352"/>
      <c r="W207" s="2352"/>
      <c r="X207" s="2352"/>
      <c r="Y207" s="2352"/>
      <c r="Z207" s="2352"/>
      <c r="AA207" s="2352"/>
      <c r="AB207" s="2352"/>
      <c r="AC207" s="2352"/>
      <c r="AD207" s="2352"/>
    </row>
    <row r="208" spans="19:30" ht="18">
      <c r="S208" s="242"/>
      <c r="T208" s="242"/>
      <c r="U208" s="270"/>
      <c r="V208" s="2352"/>
      <c r="W208" s="2352"/>
      <c r="X208" s="2352"/>
      <c r="Y208" s="2352"/>
      <c r="Z208" s="2352"/>
      <c r="AA208" s="2352"/>
      <c r="AB208" s="2352"/>
      <c r="AC208" s="2352"/>
      <c r="AD208" s="2352"/>
    </row>
    <row r="209" spans="19:30" ht="18">
      <c r="S209" s="242"/>
      <c r="T209" s="242"/>
      <c r="U209" s="270"/>
      <c r="V209" s="2352"/>
      <c r="W209" s="2352"/>
      <c r="X209" s="2352"/>
      <c r="Y209" s="2352"/>
      <c r="Z209" s="2352"/>
      <c r="AA209" s="2352"/>
      <c r="AB209" s="2352"/>
      <c r="AC209" s="2352"/>
      <c r="AD209" s="2352"/>
    </row>
    <row r="210" spans="19:30" ht="18">
      <c r="S210" s="242"/>
      <c r="T210" s="242"/>
      <c r="U210" s="270"/>
      <c r="V210" s="2352"/>
      <c r="W210" s="2352"/>
      <c r="X210" s="2352"/>
      <c r="Y210" s="2352"/>
      <c r="Z210" s="2352"/>
      <c r="AA210" s="2352"/>
      <c r="AB210" s="2352"/>
      <c r="AC210" s="2352"/>
      <c r="AD210" s="2352"/>
    </row>
    <row r="211" spans="19:30" ht="18">
      <c r="S211" s="242"/>
      <c r="T211" s="242"/>
      <c r="U211" s="270"/>
      <c r="V211" s="2352"/>
      <c r="W211" s="2352"/>
      <c r="X211" s="2352"/>
      <c r="Y211" s="2352"/>
      <c r="Z211" s="2352"/>
      <c r="AA211" s="2352"/>
      <c r="AB211" s="2352"/>
      <c r="AC211" s="2352"/>
      <c r="AD211" s="2352"/>
    </row>
    <row r="212" spans="19:30" ht="18">
      <c r="S212" s="242"/>
      <c r="T212" s="242"/>
      <c r="U212" s="270"/>
      <c r="V212" s="2352"/>
      <c r="W212" s="2352"/>
      <c r="X212" s="2352"/>
      <c r="Y212" s="2352"/>
      <c r="Z212" s="2352"/>
      <c r="AA212" s="2352"/>
      <c r="AB212" s="2352"/>
      <c r="AC212" s="2352"/>
      <c r="AD212" s="2352"/>
    </row>
    <row r="213" spans="19:30" ht="18">
      <c r="S213" s="242"/>
      <c r="T213" s="242"/>
      <c r="U213" s="270"/>
      <c r="V213" s="2352"/>
      <c r="W213" s="2352"/>
      <c r="X213" s="2352"/>
      <c r="Y213" s="2352"/>
      <c r="Z213" s="2352"/>
      <c r="AA213" s="2352"/>
      <c r="AB213" s="2352"/>
      <c r="AC213" s="2352"/>
      <c r="AD213" s="2352"/>
    </row>
    <row r="214" spans="19:30" ht="18">
      <c r="S214" s="242"/>
      <c r="T214" s="242"/>
      <c r="U214" s="270"/>
      <c r="V214" s="2352"/>
      <c r="W214" s="2352"/>
      <c r="X214" s="2352"/>
      <c r="Y214" s="2352"/>
      <c r="Z214" s="2352"/>
      <c r="AA214" s="2352"/>
      <c r="AB214" s="2352"/>
      <c r="AC214" s="2352"/>
      <c r="AD214" s="2352"/>
    </row>
    <row r="215" spans="19:30" ht="18">
      <c r="S215" s="242"/>
      <c r="T215" s="242"/>
      <c r="U215" s="270"/>
      <c r="V215" s="2352"/>
      <c r="W215" s="2352"/>
      <c r="X215" s="2352"/>
      <c r="Y215" s="2352"/>
      <c r="Z215" s="2352"/>
      <c r="AA215" s="2352"/>
      <c r="AB215" s="2352"/>
      <c r="AC215" s="2352"/>
      <c r="AD215" s="2352"/>
    </row>
    <row r="216" spans="19:30" ht="18">
      <c r="S216" s="242"/>
      <c r="T216" s="242"/>
      <c r="U216" s="270"/>
      <c r="V216" s="2352"/>
      <c r="W216" s="2352"/>
      <c r="X216" s="2352"/>
      <c r="Y216" s="2352"/>
      <c r="Z216" s="2352"/>
      <c r="AA216" s="2352"/>
      <c r="AB216" s="2352"/>
      <c r="AC216" s="2352"/>
      <c r="AD216" s="2352"/>
    </row>
    <row r="217" spans="19:30" ht="18">
      <c r="S217" s="242"/>
      <c r="T217" s="242"/>
      <c r="U217" s="270"/>
      <c r="V217" s="2352"/>
      <c r="W217" s="2352"/>
      <c r="X217" s="2352"/>
      <c r="Y217" s="2352"/>
      <c r="Z217" s="2352"/>
      <c r="AA217" s="2352"/>
      <c r="AB217" s="2352"/>
      <c r="AC217" s="2352"/>
      <c r="AD217" s="2352"/>
    </row>
    <row r="218" spans="19:30" ht="18">
      <c r="S218" s="242"/>
      <c r="T218" s="242"/>
      <c r="U218" s="270"/>
      <c r="V218" s="2352"/>
      <c r="W218" s="2352"/>
      <c r="X218" s="2352"/>
      <c r="Y218" s="2352"/>
      <c r="Z218" s="2352"/>
      <c r="AA218" s="2352"/>
      <c r="AB218" s="2352"/>
      <c r="AC218" s="2352"/>
      <c r="AD218" s="2352"/>
    </row>
    <row r="219" spans="19:30" ht="18">
      <c r="S219" s="242"/>
      <c r="T219" s="242"/>
      <c r="U219" s="270"/>
      <c r="V219" s="2352"/>
      <c r="W219" s="2352"/>
      <c r="X219" s="2352"/>
      <c r="Y219" s="2352"/>
      <c r="Z219" s="2352"/>
      <c r="AA219" s="2352"/>
      <c r="AB219" s="2352"/>
      <c r="AC219" s="2352"/>
      <c r="AD219" s="2352"/>
    </row>
    <row r="220" spans="19:30" ht="18">
      <c r="S220" s="242"/>
      <c r="T220" s="242"/>
      <c r="U220" s="270"/>
      <c r="V220" s="2352"/>
      <c r="W220" s="2352"/>
      <c r="X220" s="2352"/>
      <c r="Y220" s="2352"/>
      <c r="Z220" s="2352"/>
      <c r="AA220" s="2352"/>
      <c r="AB220" s="2352"/>
      <c r="AC220" s="2352"/>
      <c r="AD220" s="2352"/>
    </row>
    <row r="221" spans="19:30" ht="18">
      <c r="S221" s="242"/>
      <c r="T221" s="242"/>
      <c r="U221" s="270"/>
      <c r="V221" s="2352"/>
      <c r="W221" s="2352"/>
      <c r="X221" s="2352"/>
      <c r="Y221" s="2352"/>
      <c r="Z221" s="2352"/>
      <c r="AA221" s="2352"/>
      <c r="AB221" s="2352"/>
      <c r="AC221" s="2352"/>
      <c r="AD221" s="2352"/>
    </row>
    <row r="222" spans="19:30" ht="18">
      <c r="S222" s="242"/>
      <c r="T222" s="242"/>
      <c r="U222" s="270"/>
      <c r="V222" s="2352"/>
      <c r="W222" s="2352"/>
      <c r="X222" s="2352"/>
      <c r="Y222" s="2352"/>
      <c r="Z222" s="2352"/>
      <c r="AA222" s="2352"/>
      <c r="AB222" s="2352"/>
      <c r="AC222" s="2352"/>
      <c r="AD222" s="2352"/>
    </row>
    <row r="223" spans="19:30" ht="18">
      <c r="S223" s="242"/>
      <c r="T223" s="242"/>
      <c r="U223" s="270"/>
      <c r="V223" s="2352"/>
      <c r="W223" s="2352"/>
      <c r="X223" s="2352"/>
      <c r="Y223" s="2352"/>
      <c r="Z223" s="2352"/>
      <c r="AA223" s="2352"/>
      <c r="AB223" s="2352"/>
      <c r="AC223" s="2352"/>
      <c r="AD223" s="2352"/>
    </row>
    <row r="224" spans="19:30" ht="18">
      <c r="S224" s="242"/>
      <c r="T224" s="242"/>
      <c r="U224" s="270"/>
      <c r="V224" s="2352"/>
      <c r="W224" s="2352"/>
      <c r="X224" s="2352"/>
      <c r="Y224" s="2352"/>
      <c r="Z224" s="2352"/>
      <c r="AA224" s="2352"/>
      <c r="AB224" s="2352"/>
      <c r="AC224" s="2352"/>
      <c r="AD224" s="2352"/>
    </row>
    <row r="225" spans="19:30" ht="18">
      <c r="S225" s="242"/>
      <c r="T225" s="242"/>
      <c r="U225" s="270"/>
      <c r="V225" s="2352"/>
      <c r="W225" s="2352"/>
      <c r="X225" s="2352"/>
      <c r="Y225" s="2352"/>
      <c r="Z225" s="2352"/>
      <c r="AA225" s="2352"/>
      <c r="AB225" s="2352"/>
      <c r="AC225" s="2352"/>
      <c r="AD225" s="2352"/>
    </row>
    <row r="226" spans="19:30" ht="18">
      <c r="S226" s="242"/>
      <c r="T226" s="242"/>
      <c r="U226" s="270"/>
      <c r="V226" s="2352"/>
      <c r="W226" s="2352"/>
      <c r="X226" s="2352"/>
      <c r="Y226" s="2352"/>
      <c r="Z226" s="2352"/>
      <c r="AA226" s="2352"/>
      <c r="AB226" s="2352"/>
      <c r="AC226" s="2352"/>
      <c r="AD226" s="2352"/>
    </row>
    <row r="227" spans="19:30" ht="18">
      <c r="S227" s="242"/>
      <c r="T227" s="242"/>
      <c r="U227" s="270"/>
      <c r="V227" s="2352"/>
      <c r="W227" s="2352"/>
      <c r="X227" s="2352"/>
      <c r="Y227" s="2352"/>
      <c r="Z227" s="2352"/>
      <c r="AA227" s="2352"/>
      <c r="AB227" s="2352"/>
      <c r="AC227" s="2352"/>
      <c r="AD227" s="2352"/>
    </row>
    <row r="228" spans="19:30" ht="18">
      <c r="S228" s="242"/>
      <c r="T228" s="242"/>
      <c r="U228" s="270"/>
      <c r="V228" s="2352"/>
      <c r="W228" s="2352"/>
      <c r="X228" s="2352"/>
      <c r="Y228" s="2352"/>
      <c r="Z228" s="2352"/>
      <c r="AA228" s="2352"/>
      <c r="AB228" s="2352"/>
      <c r="AC228" s="2352"/>
      <c r="AD228" s="2352"/>
    </row>
    <row r="229" spans="19:30" ht="18">
      <c r="S229" s="242"/>
      <c r="T229" s="242"/>
      <c r="U229" s="270"/>
      <c r="V229" s="2352"/>
      <c r="W229" s="2352"/>
      <c r="X229" s="2352"/>
      <c r="Y229" s="2352"/>
      <c r="Z229" s="2352"/>
      <c r="AA229" s="2352"/>
      <c r="AB229" s="2352"/>
      <c r="AC229" s="2352"/>
      <c r="AD229" s="2352"/>
    </row>
    <row r="230" spans="19:30" ht="18">
      <c r="S230" s="242"/>
      <c r="T230" s="242"/>
      <c r="U230" s="270"/>
      <c r="V230" s="2352"/>
      <c r="W230" s="2352"/>
      <c r="X230" s="2352"/>
      <c r="Y230" s="2352"/>
      <c r="Z230" s="2352"/>
      <c r="AA230" s="2352"/>
      <c r="AB230" s="2352"/>
      <c r="AC230" s="2352"/>
      <c r="AD230" s="2352"/>
    </row>
    <row r="231" spans="19:30" ht="18">
      <c r="S231" s="242"/>
      <c r="T231" s="242"/>
      <c r="U231" s="270"/>
      <c r="V231" s="2352"/>
      <c r="W231" s="2352"/>
      <c r="X231" s="2352"/>
      <c r="Y231" s="2352"/>
      <c r="Z231" s="2352"/>
      <c r="AA231" s="2352"/>
      <c r="AB231" s="2352"/>
      <c r="AC231" s="2352"/>
      <c r="AD231" s="2352"/>
    </row>
    <row r="232" spans="19:30" ht="18">
      <c r="S232" s="242"/>
      <c r="T232" s="242"/>
      <c r="U232" s="270"/>
      <c r="V232" s="2352"/>
      <c r="W232" s="2352"/>
      <c r="X232" s="2352"/>
      <c r="Y232" s="2352"/>
      <c r="Z232" s="2352"/>
      <c r="AA232" s="2352"/>
      <c r="AB232" s="2352"/>
      <c r="AC232" s="2352"/>
      <c r="AD232" s="2352"/>
    </row>
    <row r="233" spans="19:30" ht="18">
      <c r="S233" s="242"/>
      <c r="T233" s="242"/>
      <c r="U233" s="270"/>
      <c r="V233" s="2352"/>
      <c r="W233" s="2352"/>
      <c r="X233" s="2352"/>
      <c r="Y233" s="2352"/>
      <c r="Z233" s="2352"/>
      <c r="AA233" s="2352"/>
      <c r="AB233" s="2352"/>
      <c r="AC233" s="2352"/>
      <c r="AD233" s="2352"/>
    </row>
    <row r="234" spans="19:30" ht="18">
      <c r="S234" s="242"/>
      <c r="T234" s="242"/>
      <c r="U234" s="270"/>
      <c r="V234" s="2352"/>
      <c r="W234" s="2352"/>
      <c r="X234" s="2352"/>
      <c r="Y234" s="2352"/>
      <c r="Z234" s="2352"/>
      <c r="AA234" s="2352"/>
      <c r="AB234" s="2352"/>
      <c r="AC234" s="2352"/>
      <c r="AD234" s="2352"/>
    </row>
    <row r="235" spans="19:30" ht="18">
      <c r="S235" s="242"/>
      <c r="T235" s="242"/>
      <c r="U235" s="270"/>
      <c r="V235" s="2352"/>
      <c r="W235" s="2352"/>
      <c r="X235" s="2352"/>
      <c r="Y235" s="2352"/>
      <c r="Z235" s="2352"/>
      <c r="AA235" s="2352"/>
      <c r="AB235" s="2352"/>
      <c r="AC235" s="2352"/>
      <c r="AD235" s="2352"/>
    </row>
    <row r="236" spans="19:30" ht="18">
      <c r="S236" s="242"/>
      <c r="T236" s="242"/>
      <c r="U236" s="270"/>
      <c r="V236" s="2352"/>
      <c r="W236" s="2352"/>
      <c r="X236" s="2352"/>
      <c r="Y236" s="2352"/>
      <c r="Z236" s="2352"/>
      <c r="AA236" s="2352"/>
      <c r="AB236" s="2352"/>
      <c r="AC236" s="2352"/>
      <c r="AD236" s="2352"/>
    </row>
    <row r="237" spans="19:30" ht="18">
      <c r="S237" s="242"/>
      <c r="T237" s="242"/>
      <c r="U237" s="270"/>
      <c r="V237" s="2352"/>
      <c r="W237" s="2352"/>
      <c r="X237" s="2352"/>
      <c r="Y237" s="2352"/>
      <c r="Z237" s="2352"/>
      <c r="AA237" s="2352"/>
      <c r="AB237" s="2352"/>
      <c r="AC237" s="2352"/>
      <c r="AD237" s="2352"/>
    </row>
    <row r="238" spans="19:30" ht="18">
      <c r="S238" s="242"/>
      <c r="T238" s="242"/>
      <c r="U238" s="270"/>
      <c r="V238" s="2352"/>
      <c r="W238" s="2352"/>
      <c r="X238" s="2352"/>
      <c r="Y238" s="2352"/>
      <c r="Z238" s="2352"/>
      <c r="AA238" s="2352"/>
      <c r="AB238" s="2352"/>
      <c r="AC238" s="2352"/>
      <c r="AD238" s="2352"/>
    </row>
    <row r="239" spans="19:30" ht="18">
      <c r="S239" s="242"/>
      <c r="T239" s="242"/>
      <c r="U239" s="270"/>
      <c r="V239" s="2352"/>
      <c r="W239" s="2352"/>
      <c r="X239" s="2352"/>
      <c r="Y239" s="2352"/>
      <c r="Z239" s="2352"/>
      <c r="AA239" s="2352"/>
      <c r="AB239" s="2352"/>
      <c r="AC239" s="2352"/>
      <c r="AD239" s="2352"/>
    </row>
    <row r="240" spans="19:30" ht="18">
      <c r="S240" s="242"/>
      <c r="T240" s="242"/>
      <c r="U240" s="270"/>
      <c r="V240" s="2352"/>
      <c r="W240" s="2352"/>
      <c r="X240" s="2352"/>
      <c r="Y240" s="2352"/>
      <c r="Z240" s="2352"/>
      <c r="AA240" s="2352"/>
      <c r="AB240" s="2352"/>
      <c r="AC240" s="2352"/>
      <c r="AD240" s="2352"/>
    </row>
    <row r="241" spans="19:30" ht="18">
      <c r="S241" s="242"/>
      <c r="T241" s="242"/>
      <c r="U241" s="270"/>
      <c r="V241" s="2352"/>
      <c r="W241" s="2352"/>
      <c r="X241" s="2352"/>
      <c r="Y241" s="2352"/>
      <c r="Z241" s="2352"/>
      <c r="AA241" s="2352"/>
      <c r="AB241" s="2352"/>
      <c r="AC241" s="2352"/>
      <c r="AD241" s="2352"/>
    </row>
    <row r="242" spans="19:30" ht="18">
      <c r="S242" s="242"/>
      <c r="T242" s="242"/>
      <c r="U242" s="270"/>
      <c r="V242" s="2352"/>
      <c r="W242" s="2352"/>
      <c r="X242" s="2352"/>
      <c r="Y242" s="2352"/>
      <c r="Z242" s="2352"/>
      <c r="AA242" s="2352"/>
      <c r="AB242" s="2352"/>
      <c r="AC242" s="2352"/>
      <c r="AD242" s="2352"/>
    </row>
    <row r="243" spans="19:30" ht="18">
      <c r="S243" s="242"/>
      <c r="T243" s="242"/>
      <c r="U243" s="270"/>
      <c r="V243" s="2352"/>
      <c r="W243" s="2352"/>
      <c r="X243" s="2352"/>
      <c r="Y243" s="2352"/>
      <c r="Z243" s="2352"/>
      <c r="AA243" s="2352"/>
      <c r="AB243" s="2352"/>
      <c r="AC243" s="2352"/>
      <c r="AD243" s="2352"/>
    </row>
    <row r="244" spans="19:30" ht="18">
      <c r="S244" s="242"/>
      <c r="T244" s="242"/>
      <c r="U244" s="270"/>
      <c r="V244" s="2352"/>
      <c r="W244" s="2352"/>
      <c r="X244" s="2352"/>
      <c r="Y244" s="2352"/>
      <c r="Z244" s="2352"/>
      <c r="AA244" s="2352"/>
      <c r="AB244" s="2352"/>
      <c r="AC244" s="2352"/>
      <c r="AD244" s="2352"/>
    </row>
    <row r="245" spans="19:30" ht="18">
      <c r="S245" s="242"/>
      <c r="T245" s="242"/>
      <c r="U245" s="270"/>
      <c r="V245" s="2352"/>
      <c r="W245" s="2352"/>
      <c r="X245" s="2352"/>
      <c r="Y245" s="2352"/>
      <c r="Z245" s="2352"/>
      <c r="AA245" s="2352"/>
      <c r="AB245" s="2352"/>
      <c r="AC245" s="2352"/>
      <c r="AD245" s="2352"/>
    </row>
    <row r="246" spans="19:30" ht="18">
      <c r="S246" s="242"/>
      <c r="T246" s="242"/>
      <c r="U246" s="270"/>
      <c r="V246" s="2352"/>
      <c r="W246" s="2352"/>
      <c r="X246" s="2352"/>
      <c r="Y246" s="2352"/>
      <c r="Z246" s="2352"/>
      <c r="AA246" s="2352"/>
      <c r="AB246" s="2352"/>
      <c r="AC246" s="2352"/>
      <c r="AD246" s="2352"/>
    </row>
    <row r="247" spans="19:30" ht="18">
      <c r="S247" s="242"/>
      <c r="T247" s="242"/>
      <c r="U247" s="270"/>
      <c r="V247" s="2352"/>
      <c r="W247" s="2352"/>
      <c r="X247" s="2352"/>
      <c r="Y247" s="2352"/>
      <c r="Z247" s="2352"/>
      <c r="AA247" s="2352"/>
      <c r="AB247" s="2352"/>
      <c r="AC247" s="2352"/>
      <c r="AD247" s="2352"/>
    </row>
    <row r="248" spans="19:30" ht="18">
      <c r="S248" s="242"/>
      <c r="T248" s="242"/>
      <c r="U248" s="270"/>
      <c r="V248" s="2352"/>
      <c r="W248" s="2352"/>
      <c r="X248" s="2352"/>
      <c r="Y248" s="2352"/>
      <c r="Z248" s="2352"/>
      <c r="AA248" s="2352"/>
      <c r="AB248" s="2352"/>
      <c r="AC248" s="2352"/>
      <c r="AD248" s="2352"/>
    </row>
    <row r="249" spans="19:30" ht="18">
      <c r="S249" s="242"/>
      <c r="T249" s="242"/>
      <c r="U249" s="270"/>
      <c r="V249" s="2352"/>
      <c r="W249" s="2352"/>
      <c r="X249" s="2352"/>
      <c r="Y249" s="2352"/>
      <c r="Z249" s="2352"/>
      <c r="AA249" s="2352"/>
      <c r="AB249" s="2352"/>
      <c r="AC249" s="2352"/>
      <c r="AD249" s="2352"/>
    </row>
    <row r="250" spans="19:30" ht="18">
      <c r="S250" s="242"/>
      <c r="T250" s="242"/>
      <c r="U250" s="270"/>
      <c r="V250" s="2352"/>
      <c r="W250" s="2352"/>
      <c r="X250" s="2352"/>
      <c r="Y250" s="2352"/>
      <c r="Z250" s="2352"/>
      <c r="AA250" s="2352"/>
      <c r="AB250" s="2352"/>
      <c r="AC250" s="2352"/>
      <c r="AD250" s="2352"/>
    </row>
    <row r="251" spans="19:30" ht="18">
      <c r="S251" s="242"/>
      <c r="T251" s="242"/>
      <c r="U251" s="270"/>
      <c r="V251" s="2352"/>
      <c r="W251" s="2352"/>
      <c r="X251" s="2352"/>
      <c r="Y251" s="2352"/>
      <c r="Z251" s="2352"/>
      <c r="AA251" s="2352"/>
      <c r="AB251" s="2352"/>
      <c r="AC251" s="2352"/>
      <c r="AD251" s="2352"/>
    </row>
    <row r="252" spans="19:30" ht="18">
      <c r="S252" s="242"/>
      <c r="T252" s="242"/>
      <c r="U252" s="270"/>
      <c r="V252" s="2352"/>
      <c r="W252" s="2352"/>
      <c r="X252" s="2352"/>
      <c r="Y252" s="2352"/>
      <c r="Z252" s="2352"/>
      <c r="AA252" s="2352"/>
      <c r="AB252" s="2352"/>
      <c r="AC252" s="2352"/>
      <c r="AD252" s="2352"/>
    </row>
    <row r="253" spans="19:30" ht="18">
      <c r="S253" s="242"/>
      <c r="T253" s="242"/>
      <c r="U253" s="270"/>
      <c r="V253" s="2352"/>
      <c r="W253" s="2352"/>
      <c r="X253" s="2352"/>
      <c r="Y253" s="2352"/>
      <c r="Z253" s="2352"/>
      <c r="AA253" s="2352"/>
      <c r="AB253" s="2352"/>
      <c r="AC253" s="2352"/>
      <c r="AD253" s="2352"/>
    </row>
    <row r="254" spans="19:30" ht="18">
      <c r="S254" s="242"/>
      <c r="T254" s="242"/>
      <c r="U254" s="270"/>
      <c r="V254" s="2352"/>
      <c r="W254" s="2352"/>
      <c r="X254" s="2352"/>
      <c r="Y254" s="2352"/>
      <c r="Z254" s="2352"/>
      <c r="AA254" s="2352"/>
      <c r="AB254" s="2352"/>
      <c r="AC254" s="2352"/>
      <c r="AD254" s="2352"/>
    </row>
    <row r="255" spans="19:30" ht="18">
      <c r="S255" s="242"/>
      <c r="T255" s="242"/>
      <c r="U255" s="270"/>
      <c r="V255" s="2352"/>
      <c r="W255" s="2352"/>
      <c r="X255" s="2352"/>
      <c r="Y255" s="2352"/>
      <c r="Z255" s="2352"/>
      <c r="AA255" s="2352"/>
      <c r="AB255" s="2352"/>
      <c r="AC255" s="2352"/>
      <c r="AD255" s="2352"/>
    </row>
    <row r="256" spans="19:30" ht="18">
      <c r="S256" s="242"/>
      <c r="T256" s="242"/>
      <c r="U256" s="270"/>
      <c r="V256" s="2352"/>
      <c r="W256" s="2352"/>
      <c r="X256" s="2352"/>
      <c r="Y256" s="2352"/>
      <c r="Z256" s="2352"/>
      <c r="AA256" s="2352"/>
      <c r="AB256" s="2352"/>
      <c r="AC256" s="2352"/>
      <c r="AD256" s="2352"/>
    </row>
    <row r="257" spans="19:30" ht="18">
      <c r="S257" s="242"/>
      <c r="T257" s="242"/>
      <c r="U257" s="270"/>
      <c r="V257" s="2352"/>
      <c r="W257" s="2352"/>
      <c r="X257" s="2352"/>
      <c r="Y257" s="2352"/>
      <c r="Z257" s="2352"/>
      <c r="AA257" s="2352"/>
      <c r="AB257" s="2352"/>
      <c r="AC257" s="2352"/>
      <c r="AD257" s="2352"/>
    </row>
    <row r="258" spans="19:30" ht="18">
      <c r="S258" s="242"/>
      <c r="T258" s="242"/>
      <c r="U258" s="270"/>
      <c r="V258" s="2352"/>
      <c r="W258" s="2352"/>
      <c r="X258" s="2352"/>
      <c r="Y258" s="2352"/>
      <c r="Z258" s="2352"/>
      <c r="AA258" s="2352"/>
      <c r="AB258" s="2352"/>
      <c r="AC258" s="2352"/>
      <c r="AD258" s="2352"/>
    </row>
    <row r="259" spans="19:30" ht="18">
      <c r="S259" s="242"/>
      <c r="T259" s="242"/>
      <c r="U259" s="270"/>
      <c r="V259" s="2352"/>
      <c r="W259" s="2352"/>
      <c r="X259" s="2352"/>
      <c r="Y259" s="2352"/>
      <c r="Z259" s="2352"/>
      <c r="AA259" s="2352"/>
      <c r="AB259" s="2352"/>
      <c r="AC259" s="2352"/>
      <c r="AD259" s="2352"/>
    </row>
    <row r="260" spans="19:30" ht="18">
      <c r="S260" s="242"/>
      <c r="T260" s="242"/>
      <c r="U260" s="270"/>
      <c r="V260" s="2352"/>
      <c r="W260" s="2352"/>
      <c r="X260" s="2352"/>
      <c r="Y260" s="2352"/>
      <c r="Z260" s="2352"/>
      <c r="AA260" s="2352"/>
      <c r="AB260" s="2352"/>
      <c r="AC260" s="2352"/>
      <c r="AD260" s="2352"/>
    </row>
    <row r="261" spans="19:30" ht="18">
      <c r="S261" s="242"/>
      <c r="T261" s="242"/>
      <c r="U261" s="270"/>
      <c r="V261" s="2352"/>
      <c r="W261" s="2352"/>
      <c r="X261" s="2352"/>
      <c r="Y261" s="2352"/>
      <c r="Z261" s="2352"/>
      <c r="AA261" s="2352"/>
      <c r="AB261" s="2352"/>
      <c r="AC261" s="2352"/>
      <c r="AD261" s="2352"/>
    </row>
    <row r="262" spans="19:30" ht="18">
      <c r="S262" s="242"/>
      <c r="T262" s="242"/>
      <c r="U262" s="270"/>
      <c r="V262" s="2352"/>
      <c r="W262" s="2352"/>
      <c r="X262" s="2352"/>
      <c r="Y262" s="2352"/>
      <c r="Z262" s="2352"/>
      <c r="AA262" s="2352"/>
      <c r="AB262" s="2352"/>
      <c r="AC262" s="2352"/>
      <c r="AD262" s="2352"/>
    </row>
    <row r="263" spans="19:30" ht="18">
      <c r="S263" s="242"/>
      <c r="T263" s="242"/>
      <c r="U263" s="270"/>
      <c r="V263" s="2352"/>
      <c r="W263" s="2352"/>
      <c r="X263" s="2352"/>
      <c r="Y263" s="2352"/>
      <c r="Z263" s="2352"/>
      <c r="AA263" s="2352"/>
      <c r="AB263" s="2352"/>
      <c r="AC263" s="2352"/>
      <c r="AD263" s="2352"/>
    </row>
    <row r="264" spans="19:30" ht="18">
      <c r="S264" s="242"/>
      <c r="T264" s="242"/>
      <c r="U264" s="270"/>
      <c r="V264" s="2352"/>
      <c r="W264" s="2352"/>
      <c r="X264" s="2352"/>
      <c r="Y264" s="2352"/>
      <c r="Z264" s="2352"/>
      <c r="AA264" s="2352"/>
      <c r="AB264" s="2352"/>
      <c r="AC264" s="2352"/>
      <c r="AD264" s="2352"/>
    </row>
    <row r="265" spans="19:30" ht="18">
      <c r="S265" s="242"/>
      <c r="T265" s="242"/>
      <c r="U265" s="270"/>
      <c r="V265" s="2352"/>
      <c r="W265" s="2352"/>
      <c r="X265" s="2352"/>
      <c r="Y265" s="2352"/>
      <c r="Z265" s="2352"/>
      <c r="AA265" s="2352"/>
      <c r="AB265" s="2352"/>
      <c r="AC265" s="2352"/>
      <c r="AD265" s="2352"/>
    </row>
    <row r="266" spans="19:30" ht="18">
      <c r="S266" s="242"/>
      <c r="T266" s="242"/>
      <c r="U266" s="270"/>
      <c r="V266" s="2352"/>
      <c r="W266" s="2352"/>
      <c r="X266" s="2352"/>
      <c r="Y266" s="2352"/>
      <c r="Z266" s="2352"/>
      <c r="AA266" s="2352"/>
      <c r="AB266" s="2352"/>
      <c r="AC266" s="2352"/>
      <c r="AD266" s="2352"/>
    </row>
    <row r="267" spans="19:30" ht="18">
      <c r="S267" s="242"/>
      <c r="T267" s="242"/>
      <c r="U267" s="270"/>
      <c r="V267" s="2352"/>
      <c r="W267" s="2352"/>
      <c r="X267" s="2352"/>
      <c r="Y267" s="2352"/>
      <c r="Z267" s="2352"/>
      <c r="AA267" s="2352"/>
      <c r="AB267" s="2352"/>
      <c r="AC267" s="2352"/>
      <c r="AD267" s="2352"/>
    </row>
    <row r="268" spans="19:30" ht="18">
      <c r="S268" s="242"/>
      <c r="T268" s="242"/>
      <c r="U268" s="270"/>
      <c r="V268" s="2352"/>
      <c r="W268" s="2352"/>
      <c r="X268" s="2352"/>
      <c r="Y268" s="2352"/>
      <c r="Z268" s="2352"/>
      <c r="AA268" s="2352"/>
      <c r="AB268" s="2352"/>
      <c r="AC268" s="2352"/>
      <c r="AD268" s="2352"/>
    </row>
    <row r="269" spans="19:30" ht="18">
      <c r="S269" s="242"/>
      <c r="T269" s="242"/>
      <c r="U269" s="270"/>
      <c r="V269" s="2352"/>
      <c r="W269" s="2352"/>
      <c r="X269" s="2352"/>
      <c r="Y269" s="2352"/>
      <c r="Z269" s="2352"/>
      <c r="AA269" s="2352"/>
      <c r="AB269" s="2352"/>
      <c r="AC269" s="2352"/>
      <c r="AD269" s="2352"/>
    </row>
    <row r="270" spans="19:30" ht="18">
      <c r="S270" s="242"/>
      <c r="T270" s="242"/>
      <c r="U270" s="270"/>
      <c r="V270" s="2352"/>
      <c r="W270" s="2352"/>
      <c r="X270" s="2352"/>
      <c r="Y270" s="2352"/>
      <c r="Z270" s="2352"/>
      <c r="AA270" s="2352"/>
      <c r="AB270" s="2352"/>
      <c r="AC270" s="2352"/>
      <c r="AD270" s="2352"/>
    </row>
  </sheetData>
  <sheetProtection password="F07E" sheet="1" objects="1" scenarios="1"/>
  <mergeCells count="28">
    <mergeCell ref="X119:Z119"/>
    <mergeCell ref="C132:G132"/>
    <mergeCell ref="L8:M8"/>
    <mergeCell ref="L4:M4"/>
    <mergeCell ref="L5:M6"/>
    <mergeCell ref="C11:M11"/>
    <mergeCell ref="L7:M7"/>
    <mergeCell ref="E8:K8"/>
    <mergeCell ref="E7:K7"/>
    <mergeCell ref="E5:K5"/>
    <mergeCell ref="E6:K6"/>
    <mergeCell ref="K10:M10"/>
    <mergeCell ref="C39:M39"/>
    <mergeCell ref="K9:M9"/>
    <mergeCell ref="C130:G130"/>
    <mergeCell ref="B5:B6"/>
    <mergeCell ref="V92:AD92"/>
    <mergeCell ref="W109:AA109"/>
    <mergeCell ref="C5:D6"/>
    <mergeCell ref="B10:J10"/>
    <mergeCell ref="V89:AD89"/>
    <mergeCell ref="V90:AD90"/>
    <mergeCell ref="V91:AD91"/>
    <mergeCell ref="B7:D8"/>
    <mergeCell ref="V85:W87"/>
    <mergeCell ref="X85:Z85"/>
    <mergeCell ref="X86:Z87"/>
    <mergeCell ref="P41:P42"/>
  </mergeCells>
  <phoneticPr fontId="12" type="noConversion"/>
  <conditionalFormatting sqref="F38">
    <cfRule type="expression" dxfId="683" priority="215" stopIfTrue="1">
      <formula>IF(File_Marr_Sep&lt;&gt;"",M37&gt;191000)</formula>
    </cfRule>
  </conditionalFormatting>
  <conditionalFormatting sqref="P57:P58">
    <cfRule type="expression" dxfId="682" priority="221" stopIfTrue="1">
      <formula>$R$54="Stop"</formula>
    </cfRule>
  </conditionalFormatting>
  <conditionalFormatting sqref="I34">
    <cfRule type="expression" dxfId="681" priority="225" stopIfTrue="1">
      <formula>IF($M$34&gt;0,1,0)</formula>
    </cfRule>
    <cfRule type="expression" dxfId="680" priority="226" stopIfTrue="1">
      <formula>IF(AND($M$34&lt;&gt;"",$M$34&lt;=0),1,0)</formula>
    </cfRule>
  </conditionalFormatting>
  <conditionalFormatting sqref="I17">
    <cfRule type="expression" dxfId="679" priority="213" stopIfTrue="1">
      <formula>IF(OR(AND(#REF!&lt;&gt;"",#REF!&gt;0),AND($M$17&lt;&gt;"",$M$17&gt;0),AND($M$21&lt;&gt;"",$M$21&gt;0)),1,0)</formula>
    </cfRule>
  </conditionalFormatting>
  <conditionalFormatting sqref="I20">
    <cfRule type="expression" dxfId="678" priority="228" stopIfTrue="1">
      <formula>IF($M$20&lt;0,1,0)</formula>
    </cfRule>
  </conditionalFormatting>
  <conditionalFormatting sqref="K34">
    <cfRule type="expression" dxfId="677" priority="211" stopIfTrue="1">
      <formula>IF($M$34&gt;0,1,0)</formula>
    </cfRule>
    <cfRule type="expression" dxfId="676" priority="212" stopIfTrue="1">
      <formula>IF(AND($M$34&lt;&gt;"",$M$34&lt;=0),1,0)</formula>
    </cfRule>
  </conditionalFormatting>
  <conditionalFormatting sqref="K46">
    <cfRule type="expression" dxfId="675" priority="769" stopIfTrue="1">
      <formula>AltMinTaxInc-#REF!&lt;0</formula>
    </cfRule>
  </conditionalFormatting>
  <conditionalFormatting sqref="X71 O41">
    <cfRule type="expression" dxfId="674" priority="48">
      <formula>IF(AND($O$41&lt;&gt;"",$AA$83=0),1,0)</formula>
    </cfRule>
  </conditionalFormatting>
  <conditionalFormatting sqref="B10:M10 M14 M61:M62 M17:M36 S5:AF65">
    <cfRule type="expression" dxfId="673" priority="195">
      <formula>IF(NoColor,1,0)</formula>
    </cfRule>
  </conditionalFormatting>
  <conditionalFormatting sqref="M16">
    <cfRule type="expression" dxfId="672" priority="192">
      <formula>IF(NoColor,1,0)</formula>
    </cfRule>
  </conditionalFormatting>
  <conditionalFormatting sqref="M38">
    <cfRule type="expression" dxfId="671" priority="190">
      <formula>IF(NoColor,1,0)</formula>
    </cfRule>
  </conditionalFormatting>
  <conditionalFormatting sqref="M40:M45">
    <cfRule type="expression" dxfId="670" priority="189">
      <formula>IF(NoColor,1,0)</formula>
    </cfRule>
  </conditionalFormatting>
  <conditionalFormatting sqref="M47">
    <cfRule type="expression" dxfId="669" priority="188">
      <formula>IF(NoColor,1,0)</formula>
    </cfRule>
  </conditionalFormatting>
  <conditionalFormatting sqref="M52">
    <cfRule type="expression" dxfId="668" priority="187">
      <formula>IF(NoColor,1,0)</formula>
    </cfRule>
  </conditionalFormatting>
  <conditionalFormatting sqref="M56:M57">
    <cfRule type="expression" dxfId="667" priority="186">
      <formula>IF(NoColor,1,0)</formula>
    </cfRule>
  </conditionalFormatting>
  <conditionalFormatting sqref="M70">
    <cfRule type="expression" dxfId="666" priority="184">
      <formula>IF(NoColor,1,0)</formula>
    </cfRule>
  </conditionalFormatting>
  <conditionalFormatting sqref="M81">
    <cfRule type="expression" dxfId="665" priority="180">
      <formula>IF(NoColor,1,0)</formula>
    </cfRule>
  </conditionalFormatting>
  <conditionalFormatting sqref="M82">
    <cfRule type="expression" dxfId="664" priority="179">
      <formula>IF(NoColor,1,0)</formula>
    </cfRule>
  </conditionalFormatting>
  <conditionalFormatting sqref="M84">
    <cfRule type="expression" dxfId="663" priority="178">
      <formula>IF(NoColor,1,0)</formula>
    </cfRule>
  </conditionalFormatting>
  <conditionalFormatting sqref="M108">
    <cfRule type="expression" dxfId="662" priority="171">
      <formula>IF(NoColor,1,0)</formula>
    </cfRule>
  </conditionalFormatting>
  <conditionalFormatting sqref="M116">
    <cfRule type="expression" dxfId="661" priority="169">
      <formula>IF(NoColor,1,0)</formula>
    </cfRule>
  </conditionalFormatting>
  <conditionalFormatting sqref="M118">
    <cfRule type="expression" dxfId="660" priority="168">
      <formula>IF(NoColor,1,0)</formula>
    </cfRule>
  </conditionalFormatting>
  <conditionalFormatting sqref="M123">
    <cfRule type="expression" dxfId="659" priority="167">
      <formula>IF(NoColor,1,0)</formula>
    </cfRule>
  </conditionalFormatting>
  <conditionalFormatting sqref="M125">
    <cfRule type="expression" dxfId="658" priority="166">
      <formula>IF(NoColor,1,0)</formula>
    </cfRule>
  </conditionalFormatting>
  <conditionalFormatting sqref="S15">
    <cfRule type="expression" dxfId="657" priority="162">
      <formula>IF(AND(P15&lt;&gt;"",you_over_64="",sp_over_64=""),1,0)</formula>
    </cfRule>
  </conditionalFormatting>
  <conditionalFormatting sqref="P19:P31">
    <cfRule type="expression" dxfId="656" priority="161">
      <formula>IF(File_Marr_Sep&lt;&gt;"",1,0)</formula>
    </cfRule>
  </conditionalFormatting>
  <conditionalFormatting sqref="R36:R37">
    <cfRule type="expression" dxfId="655" priority="159">
      <formula>IF(File_Marr_Sep&lt;&gt;"",1,0)</formula>
    </cfRule>
  </conditionalFormatting>
  <conditionalFormatting sqref="P18">
    <cfRule type="expression" dxfId="654" priority="158">
      <formula>IF(File_Marr_Sep&lt;&gt;"",1,0)</formula>
    </cfRule>
  </conditionalFormatting>
  <conditionalFormatting sqref="M112">
    <cfRule type="expression" dxfId="653" priority="153">
      <formula>IF(NoColor,1,0)</formula>
    </cfRule>
  </conditionalFormatting>
  <conditionalFormatting sqref="P18:P31">
    <cfRule type="expression" dxfId="652" priority="147">
      <formula>IF(File_Mar_Sep&lt;&gt;"",1,0)</formula>
    </cfRule>
  </conditionalFormatting>
  <conditionalFormatting sqref="M46">
    <cfRule type="expression" dxfId="651" priority="146">
      <formula>IF(NoColor,1,0)</formula>
    </cfRule>
  </conditionalFormatting>
  <conditionalFormatting sqref="M93">
    <cfRule type="expression" dxfId="650" priority="145">
      <formula>IF(NoColor,1,0)</formula>
    </cfRule>
  </conditionalFormatting>
  <conditionalFormatting sqref="M94">
    <cfRule type="expression" dxfId="649" priority="144">
      <formula>IF(NoColor,1,0)</formula>
    </cfRule>
  </conditionalFormatting>
  <conditionalFormatting sqref="M95">
    <cfRule type="expression" dxfId="648" priority="143">
      <formula>IF(NoColor,1,0)</formula>
    </cfRule>
  </conditionalFormatting>
  <conditionalFormatting sqref="M96">
    <cfRule type="expression" dxfId="647" priority="142">
      <formula>IF(NoColor,1,0)</formula>
    </cfRule>
  </conditionalFormatting>
  <conditionalFormatting sqref="M97">
    <cfRule type="expression" dxfId="646" priority="141">
      <formula>IF(NoColor,1,0)</formula>
    </cfRule>
  </conditionalFormatting>
  <conditionalFormatting sqref="M103">
    <cfRule type="expression" dxfId="645" priority="139">
      <formula>IF(NoColor,1,0)</formula>
    </cfRule>
  </conditionalFormatting>
  <conditionalFormatting sqref="M74">
    <cfRule type="expression" dxfId="644" priority="138">
      <formula>IF(NoColor,1,0)</formula>
    </cfRule>
  </conditionalFormatting>
  <conditionalFormatting sqref="M76">
    <cfRule type="expression" dxfId="643" priority="137">
      <formula>IF(NoColor,1,0)</formula>
    </cfRule>
  </conditionalFormatting>
  <conditionalFormatting sqref="M80">
    <cfRule type="expression" dxfId="642" priority="136">
      <formula>IF(NoColor,1,0)</formula>
    </cfRule>
  </conditionalFormatting>
  <conditionalFormatting sqref="M87">
    <cfRule type="expression" dxfId="641" priority="135">
      <formula>IF(NoColor,1,0)</formula>
    </cfRule>
  </conditionalFormatting>
  <conditionalFormatting sqref="M119">
    <cfRule type="expression" dxfId="640" priority="134">
      <formula>IF(NoColor,1,0)</formula>
    </cfRule>
  </conditionalFormatting>
  <conditionalFormatting sqref="M120">
    <cfRule type="expression" dxfId="639" priority="133">
      <formula>IF(NoColor,1,0)</formula>
    </cfRule>
  </conditionalFormatting>
  <conditionalFormatting sqref="M121">
    <cfRule type="expression" dxfId="638" priority="132">
      <formula>IF(NoColor,1,0)</formula>
    </cfRule>
  </conditionalFormatting>
  <conditionalFormatting sqref="M111">
    <cfRule type="expression" dxfId="637" priority="130">
      <formula>IF(NoColor,1,0)</formula>
    </cfRule>
  </conditionalFormatting>
  <conditionalFormatting sqref="P41">
    <cfRule type="expression" dxfId="636" priority="938">
      <formula>IF(Q41,1,0)</formula>
    </cfRule>
    <cfRule type="expression" dxfId="635" priority="939">
      <formula>IF(NOT(Q41),1,0)</formula>
    </cfRule>
  </conditionalFormatting>
  <conditionalFormatting sqref="W31">
    <cfRule type="expression" dxfId="634" priority="129">
      <formula>IF($U$31="X",1,0)</formula>
    </cfRule>
  </conditionalFormatting>
  <conditionalFormatting sqref="M101">
    <cfRule type="expression" dxfId="633" priority="94">
      <formula>IF(NoColor,1,0)</formula>
    </cfRule>
  </conditionalFormatting>
  <conditionalFormatting sqref="V70:AA83">
    <cfRule type="expression" dxfId="632" priority="47">
      <formula>IF(NoColor,1,0)</formula>
    </cfRule>
    <cfRule type="expression" dxfId="631" priority="199">
      <formula>IF(ChildUnder24="",1,0)</formula>
    </cfRule>
  </conditionalFormatting>
  <conditionalFormatting sqref="AC115:AC116">
    <cfRule type="expression" dxfId="630" priority="62" stopIfTrue="1">
      <formula>ChildUnder14&lt;&gt;""</formula>
    </cfRule>
  </conditionalFormatting>
  <conditionalFormatting sqref="AC110">
    <cfRule type="expression" dxfId="629" priority="63" stopIfTrue="1">
      <formula>ChildUnder14=""</formula>
    </cfRule>
  </conditionalFormatting>
  <conditionalFormatting sqref="Z105:Z107">
    <cfRule type="expression" dxfId="628" priority="64" stopIfTrue="1">
      <formula>IF($O$41&lt;&gt;"",1,0)</formula>
    </cfRule>
  </conditionalFormatting>
  <conditionalFormatting sqref="V91:V92">
    <cfRule type="expression" dxfId="627" priority="66" stopIfTrue="1">
      <formula>$AG$88</formula>
    </cfRule>
  </conditionalFormatting>
  <conditionalFormatting sqref="V122">
    <cfRule type="expression" dxfId="626" priority="61">
      <formula>IF($AP$79,1,0)</formula>
    </cfRule>
  </conditionalFormatting>
  <conditionalFormatting sqref="V88:AD117 V85 X85:X86 AA85:AD87">
    <cfRule type="expression" dxfId="625" priority="51">
      <formula>IF(NoColor,1,0)</formula>
    </cfRule>
  </conditionalFormatting>
  <conditionalFormatting sqref="V119:W119 AA119:AD119 V120:AD145">
    <cfRule type="expression" dxfId="624" priority="50">
      <formula>IF(NoColor,1,0)</formula>
    </cfRule>
  </conditionalFormatting>
  <conditionalFormatting sqref="X71">
    <cfRule type="expression" dxfId="623" priority="68">
      <formula>IF(NoColor,1,0)</formula>
    </cfRule>
  </conditionalFormatting>
  <conditionalFormatting sqref="Y73">
    <cfRule type="expression" dxfId="622" priority="49">
      <formula>IF(NoColor,1,0)</formula>
    </cfRule>
  </conditionalFormatting>
  <conditionalFormatting sqref="Y75">
    <cfRule type="expression" dxfId="621" priority="46">
      <formula>IF(NoColor,1,0)</formula>
    </cfRule>
  </conditionalFormatting>
  <conditionalFormatting sqref="Y76">
    <cfRule type="expression" dxfId="620" priority="45">
      <formula>IF(NoColor,1,0)</formula>
    </cfRule>
  </conditionalFormatting>
  <conditionalFormatting sqref="Y78">
    <cfRule type="expression" dxfId="619" priority="44">
      <formula>IF(NoColor,1,0)</formula>
    </cfRule>
  </conditionalFormatting>
  <conditionalFormatting sqref="Y79">
    <cfRule type="expression" dxfId="618" priority="43">
      <formula>IF(NoColor,1,0)</formula>
    </cfRule>
  </conditionalFormatting>
  <conditionalFormatting sqref="Y80">
    <cfRule type="expression" dxfId="617" priority="42">
      <formula>IF(NoColor,1,0)</formula>
    </cfRule>
  </conditionalFormatting>
  <conditionalFormatting sqref="Y82">
    <cfRule type="expression" dxfId="616" priority="41">
      <formula>IF(NoColor,1,0)</formula>
    </cfRule>
  </conditionalFormatting>
  <conditionalFormatting sqref="AA83">
    <cfRule type="expression" dxfId="615" priority="40">
      <formula>IF(NoColor,1,0)</formula>
    </cfRule>
  </conditionalFormatting>
  <conditionalFormatting sqref="AA82">
    <cfRule type="expression" dxfId="614" priority="39">
      <formula>IF(NoColor,1,0)</formula>
    </cfRule>
  </conditionalFormatting>
  <conditionalFormatting sqref="AA79">
    <cfRule type="expression" dxfId="613" priority="38">
      <formula>IF(NoColor,1,0)</formula>
    </cfRule>
  </conditionalFormatting>
  <conditionalFormatting sqref="AA76">
    <cfRule type="expression" dxfId="612" priority="37">
      <formula>IF(NoColor,1,0)</formula>
    </cfRule>
  </conditionalFormatting>
  <conditionalFormatting sqref="AA73">
    <cfRule type="expression" dxfId="611" priority="36">
      <formula>IF(NoColor,1,0)</formula>
    </cfRule>
  </conditionalFormatting>
  <conditionalFormatting sqref="AA76">
    <cfRule type="expression" dxfId="610" priority="35">
      <formula>IF(NoColor,1,0)</formula>
    </cfRule>
  </conditionalFormatting>
  <conditionalFormatting sqref="AA79">
    <cfRule type="expression" dxfId="609" priority="34">
      <formula>IF(NoColor,1,0)</formula>
    </cfRule>
  </conditionalFormatting>
  <conditionalFormatting sqref="AA79">
    <cfRule type="expression" dxfId="608" priority="33">
      <formula>IF(NoColor,1,0)</formula>
    </cfRule>
  </conditionalFormatting>
  <conditionalFormatting sqref="AA82">
    <cfRule type="expression" dxfId="607" priority="32">
      <formula>IF(NoColor,1,0)</formula>
    </cfRule>
  </conditionalFormatting>
  <conditionalFormatting sqref="AA82">
    <cfRule type="expression" dxfId="606" priority="31">
      <formula>IF(NoColor,1,0)</formula>
    </cfRule>
  </conditionalFormatting>
  <conditionalFormatting sqref="AA82">
    <cfRule type="expression" dxfId="605" priority="30">
      <formula>IF(NoColor,1,0)</formula>
    </cfRule>
  </conditionalFormatting>
  <conditionalFormatting sqref="AA76">
    <cfRule type="expression" dxfId="604" priority="29">
      <formula>IF(NoColor,1,0)</formula>
    </cfRule>
  </conditionalFormatting>
  <conditionalFormatting sqref="AA79">
    <cfRule type="expression" dxfId="603" priority="28">
      <formula>IF(NoColor,1,0)</formula>
    </cfRule>
  </conditionalFormatting>
  <conditionalFormatting sqref="AA79">
    <cfRule type="expression" dxfId="602" priority="27">
      <formula>IF(NoColor,1,0)</formula>
    </cfRule>
  </conditionalFormatting>
  <conditionalFormatting sqref="AA79">
    <cfRule type="expression" dxfId="601" priority="26">
      <formula>IF(NoColor,1,0)</formula>
    </cfRule>
  </conditionalFormatting>
  <conditionalFormatting sqref="AA82">
    <cfRule type="expression" dxfId="600" priority="25">
      <formula>IF(NoColor,1,0)</formula>
    </cfRule>
  </conditionalFormatting>
  <conditionalFormatting sqref="AA82">
    <cfRule type="expression" dxfId="599" priority="24">
      <formula>IF(NoColor,1,0)</formula>
    </cfRule>
  </conditionalFormatting>
  <conditionalFormatting sqref="AA82">
    <cfRule type="expression" dxfId="598" priority="23">
      <formula>IF(NoColor,1,0)</formula>
    </cfRule>
  </conditionalFormatting>
  <conditionalFormatting sqref="AA82">
    <cfRule type="expression" dxfId="597" priority="22">
      <formula>IF(NoColor,1,0)</formula>
    </cfRule>
  </conditionalFormatting>
  <conditionalFormatting sqref="AA82">
    <cfRule type="expression" dxfId="596" priority="21">
      <formula>IF(NoColor,1,0)</formula>
    </cfRule>
  </conditionalFormatting>
  <conditionalFormatting sqref="AA82">
    <cfRule type="expression" dxfId="595" priority="20">
      <formula>IF(NoColor,1,0)</formula>
    </cfRule>
  </conditionalFormatting>
  <conditionalFormatting sqref="O53">
    <cfRule type="expression" dxfId="594" priority="17">
      <formula>IF(AND($M$56&gt;0,AMT&gt;0),1,0)</formula>
    </cfRule>
  </conditionalFormatting>
  <conditionalFormatting sqref="P37">
    <cfRule type="expression" dxfId="593" priority="14">
      <formula>IF(File_Mar_Sep&lt;&gt;"",1,0)</formula>
    </cfRule>
  </conditionalFormatting>
  <conditionalFormatting sqref="P37">
    <cfRule type="expression" dxfId="592" priority="15">
      <formula>IF(File_Marr_Sep&lt;&gt;"",1,0)</formula>
    </cfRule>
  </conditionalFormatting>
  <conditionalFormatting sqref="G21">
    <cfRule type="expression" dxfId="591" priority="12" stopIfTrue="1">
      <formula>IF(AND($M$21&lt;&gt;"",$M$21&gt;0),1,0)</formula>
    </cfRule>
  </conditionalFormatting>
  <conditionalFormatting sqref="M110">
    <cfRule type="expression" dxfId="590" priority="11">
      <formula>IF(NoColor,1,0)</formula>
    </cfRule>
  </conditionalFormatting>
  <conditionalFormatting sqref="M109">
    <cfRule type="expression" dxfId="589" priority="10">
      <formula>IF(NoColor,1,0)</formula>
    </cfRule>
  </conditionalFormatting>
  <conditionalFormatting sqref="M115">
    <cfRule type="expression" dxfId="588" priority="9">
      <formula>IF(NoColor,1,0)</formula>
    </cfRule>
  </conditionalFormatting>
  <conditionalFormatting sqref="M113">
    <cfRule type="expression" dxfId="587" priority="8">
      <formula>IF(NoColor,1,0)</formula>
    </cfRule>
  </conditionalFormatting>
  <conditionalFormatting sqref="W32">
    <cfRule type="expression" dxfId="586" priority="7">
      <formula>IF(U32="X",1,0)</formula>
    </cfRule>
  </conditionalFormatting>
  <conditionalFormatting sqref="W32">
    <cfRule type="expression" dxfId="585" priority="6">
      <formula>IF($U$31="X",1,0)</formula>
    </cfRule>
  </conditionalFormatting>
  <conditionalFormatting sqref="K17">
    <cfRule type="expression" dxfId="584" priority="4" stopIfTrue="1">
      <formula>AND($M$17&lt;&gt;"",$M$17&gt;0)</formula>
    </cfRule>
  </conditionalFormatting>
  <conditionalFormatting sqref="H20">
    <cfRule type="expression" dxfId="583" priority="3" stopIfTrue="1">
      <formula>IF($M$20&lt;0,1,0)</formula>
    </cfRule>
  </conditionalFormatting>
  <conditionalFormatting sqref="X119">
    <cfRule type="expression" dxfId="582" priority="2">
      <formula>IF(NoColor,1,0)</formula>
    </cfRule>
  </conditionalFormatting>
  <conditionalFormatting sqref="V90:AD90">
    <cfRule type="expression" dxfId="581" priority="1">
      <formula>$AG$88</formula>
    </cfRule>
  </conditionalFormatting>
  <hyperlinks>
    <hyperlink ref="C130:G130" r:id="rId1" display="Download Form 6251"/>
    <hyperlink ref="C132:G132" r:id="rId2" display="Download Form 6251 Instructions"/>
    <hyperlink ref="AC84" r:id="rId3"/>
  </hyperlinks>
  <printOptions horizontalCentered="1"/>
  <pageMargins left="0.44" right="0.25" top="0.22" bottom="0.25" header="0.27" footer="0.25"/>
  <pageSetup scale="88" fitToHeight="2" orientation="portrait" r:id="rId4"/>
  <headerFooter alignWithMargins="0"/>
  <rowBreaks count="2" manualBreakCount="2">
    <brk id="64" min="1" max="12" man="1"/>
    <brk id="126" min="1" max="12" man="1"/>
  </rowBreaks>
  <drawing r:id="rId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O134"/>
  <sheetViews>
    <sheetView zoomScaleNormal="100" zoomScaleSheetLayoutView="100" workbookViewId="0">
      <selection activeCell="AI8" sqref="AI8:AO9"/>
    </sheetView>
  </sheetViews>
  <sheetFormatPr defaultColWidth="9.140625" defaultRowHeight="12.75"/>
  <cols>
    <col min="1" max="1" width="2.7109375" style="46" customWidth="1"/>
    <col min="2" max="12" width="3.42578125" style="46" customWidth="1"/>
    <col min="13" max="29" width="2.7109375" style="46" customWidth="1"/>
    <col min="30" max="55" width="3.42578125" style="46" customWidth="1"/>
    <col min="56" max="66" width="9.140625" style="4351" customWidth="1"/>
    <col min="67" max="16384" width="9.140625" style="46"/>
  </cols>
  <sheetData>
    <row r="1" spans="1:66"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3350"/>
      <c r="AJ1" s="3350"/>
      <c r="AK1" s="3350"/>
      <c r="AL1" s="3350"/>
      <c r="AM1" s="3350"/>
      <c r="AN1" s="3350"/>
      <c r="AO1" s="3350"/>
      <c r="AP1" s="3350"/>
      <c r="BD1" s="3168" t="s">
        <v>2552</v>
      </c>
      <c r="BE1" s="3169"/>
      <c r="BF1" s="3169"/>
      <c r="BG1" s="3169"/>
      <c r="BH1" s="3169"/>
      <c r="BI1" s="3169"/>
      <c r="BJ1" s="3169"/>
      <c r="BK1" s="3169"/>
      <c r="BL1" s="3169"/>
      <c r="BM1" s="3169"/>
      <c r="BN1" s="3169"/>
    </row>
    <row r="2" spans="1:66">
      <c r="A2" s="3350"/>
      <c r="B2" s="1443"/>
      <c r="C2" s="1443"/>
      <c r="D2" s="1443"/>
      <c r="E2" s="1443"/>
      <c r="F2" s="1443"/>
      <c r="G2" s="1443"/>
      <c r="H2" s="1443"/>
      <c r="I2" s="1443"/>
      <c r="J2" s="1443"/>
      <c r="K2" s="1443"/>
      <c r="L2" s="1443"/>
      <c r="M2" s="1443"/>
      <c r="N2" s="1443"/>
      <c r="O2" s="1443"/>
      <c r="P2" s="1443"/>
      <c r="Q2" s="1443"/>
      <c r="R2" s="1443"/>
      <c r="S2" s="1443"/>
      <c r="T2" s="1443"/>
      <c r="U2" s="1443"/>
      <c r="V2" s="1443"/>
      <c r="W2" s="1443"/>
      <c r="X2" s="1443"/>
      <c r="Y2" s="1443"/>
      <c r="Z2" s="1443"/>
      <c r="AA2" s="1443"/>
      <c r="AB2" s="1443"/>
      <c r="AC2" s="1443"/>
      <c r="AD2" s="1443"/>
      <c r="AE2" s="1443"/>
      <c r="AF2" s="1443"/>
      <c r="AG2" s="1443"/>
      <c r="AH2" s="1443"/>
      <c r="AI2" s="1443"/>
      <c r="AJ2" s="1443"/>
      <c r="AK2" s="1443"/>
      <c r="AL2" s="1443"/>
      <c r="AM2" s="1443"/>
      <c r="AN2" s="1443"/>
      <c r="AO2" s="1443"/>
      <c r="AP2" s="3350"/>
      <c r="BD2" s="3169"/>
      <c r="BE2" s="3169"/>
      <c r="BF2" s="3169"/>
      <c r="BG2" s="3169"/>
      <c r="BH2" s="3169"/>
      <c r="BI2" s="3169"/>
      <c r="BJ2" s="3169"/>
      <c r="BK2" s="3169"/>
      <c r="BL2" s="3169"/>
      <c r="BM2" s="3169"/>
      <c r="BN2" s="3169"/>
    </row>
    <row r="3" spans="1:66" ht="27.75">
      <c r="A3" s="3350"/>
      <c r="B3" s="1607" t="s">
        <v>2794</v>
      </c>
      <c r="C3" s="1443"/>
      <c r="D3" s="1443"/>
      <c r="E3" s="1443"/>
      <c r="F3" s="1443"/>
      <c r="G3" s="1443"/>
      <c r="H3" s="1610"/>
      <c r="I3" s="1443"/>
      <c r="J3" s="1443"/>
      <c r="K3" s="1443"/>
      <c r="L3" s="1443"/>
      <c r="M3" s="3270" t="s">
        <v>2587</v>
      </c>
      <c r="N3" s="1443"/>
      <c r="O3" s="1443"/>
      <c r="P3" s="1443"/>
      <c r="Q3" s="1443"/>
      <c r="R3" s="1443"/>
      <c r="S3" s="1443"/>
      <c r="T3" s="1443"/>
      <c r="U3" s="1443"/>
      <c r="V3" s="1443"/>
      <c r="W3" s="1443"/>
      <c r="X3" s="1443"/>
      <c r="Y3" s="1443"/>
      <c r="Z3" s="1443"/>
      <c r="AA3" s="1443"/>
      <c r="AB3" s="1443"/>
      <c r="AC3" s="1443"/>
      <c r="AD3" s="1443"/>
      <c r="AE3" s="1443"/>
      <c r="AF3" s="1443"/>
      <c r="AG3" s="1443"/>
      <c r="AH3" s="1443"/>
      <c r="AI3" s="7735" t="s">
        <v>2590</v>
      </c>
      <c r="AJ3" s="6398"/>
      <c r="AK3" s="6398"/>
      <c r="AL3" s="6398"/>
      <c r="AM3" s="6398"/>
      <c r="AN3" s="6398"/>
      <c r="AO3" s="6398"/>
      <c r="AP3" s="3350"/>
      <c r="BD3" s="3169"/>
      <c r="BE3" s="3169"/>
      <c r="BF3" s="3169"/>
      <c r="BG3" s="3169"/>
      <c r="BH3" s="3169"/>
      <c r="BI3" s="3169"/>
      <c r="BJ3" s="3169"/>
      <c r="BK3" s="3169"/>
      <c r="BL3" s="3169"/>
      <c r="BM3" s="3169"/>
      <c r="BN3" s="3169"/>
    </row>
    <row r="4" spans="1:66">
      <c r="A4" s="3350"/>
      <c r="B4" s="1450" t="s">
        <v>2640</v>
      </c>
      <c r="C4" s="1443"/>
      <c r="D4" s="1443"/>
      <c r="E4" s="1443"/>
      <c r="F4" s="1443"/>
      <c r="G4" s="1443"/>
      <c r="H4" s="1610"/>
      <c r="I4" s="1443"/>
      <c r="J4" s="1443"/>
      <c r="K4" s="1443"/>
      <c r="L4" s="1443"/>
      <c r="M4" s="1443" t="s">
        <v>2588</v>
      </c>
      <c r="N4" s="1443"/>
      <c r="O4" s="1443"/>
      <c r="P4" s="1443"/>
      <c r="Q4" s="1443"/>
      <c r="R4" s="1443"/>
      <c r="S4" s="1443"/>
      <c r="T4" s="1443"/>
      <c r="U4" s="1443"/>
      <c r="V4" s="1443"/>
      <c r="W4" s="1443"/>
      <c r="X4" s="1443"/>
      <c r="Y4" s="1443"/>
      <c r="Z4" s="1443"/>
      <c r="AA4" s="1443"/>
      <c r="AB4" s="1443"/>
      <c r="AC4" s="1443"/>
      <c r="AD4" s="1443"/>
      <c r="AE4" s="1443"/>
      <c r="AF4" s="1443"/>
      <c r="AG4" s="1443"/>
      <c r="AH4" s="1443"/>
      <c r="AI4" s="7736" t="s">
        <v>2597</v>
      </c>
      <c r="AJ4" s="7737"/>
      <c r="AK4" s="7737"/>
      <c r="AL4" s="7737"/>
      <c r="AM4" s="7737"/>
      <c r="AN4" s="7742" t="s">
        <v>2598</v>
      </c>
      <c r="AO4" s="7742"/>
      <c r="AP4" s="3350"/>
      <c r="BD4" s="3169"/>
      <c r="BE4" s="3169"/>
      <c r="BF4" s="3169"/>
      <c r="BG4" s="3169"/>
      <c r="BH4" s="3169"/>
      <c r="BI4" s="3169"/>
      <c r="BJ4" s="3169"/>
      <c r="BK4" s="3169"/>
      <c r="BL4" s="3169"/>
      <c r="BM4" s="3169"/>
      <c r="BN4" s="3169"/>
    </row>
    <row r="5" spans="1:66">
      <c r="A5" s="3350"/>
      <c r="B5" s="6405" t="s">
        <v>2639</v>
      </c>
      <c r="C5" s="5628"/>
      <c r="D5" s="5628"/>
      <c r="E5" s="5628"/>
      <c r="F5" s="5628"/>
      <c r="G5" s="6406"/>
      <c r="H5" s="1610"/>
      <c r="I5" s="1443"/>
      <c r="J5" s="1443"/>
      <c r="K5" s="1443"/>
      <c r="L5" s="1443"/>
      <c r="M5" s="1443"/>
      <c r="N5" s="1443"/>
      <c r="O5" s="1443" t="s">
        <v>2589</v>
      </c>
      <c r="P5" s="1443"/>
      <c r="Q5" s="1443"/>
      <c r="R5" s="1443"/>
      <c r="S5" s="1443"/>
      <c r="T5" s="1443"/>
      <c r="U5" s="1443"/>
      <c r="V5" s="1443"/>
      <c r="W5" s="1443"/>
      <c r="X5" s="1443"/>
      <c r="Y5" s="1443"/>
      <c r="Z5" s="1443"/>
      <c r="AA5" s="1443"/>
      <c r="AB5" s="1443"/>
      <c r="AC5" s="1443"/>
      <c r="AD5" s="1443"/>
      <c r="AE5" s="1443"/>
      <c r="AF5" s="1443"/>
      <c r="AG5" s="1443"/>
      <c r="AH5" s="1443"/>
      <c r="AI5" s="7738"/>
      <c r="AJ5" s="7739"/>
      <c r="AK5" s="7739"/>
      <c r="AL5" s="7739"/>
      <c r="AM5" s="7739"/>
      <c r="AN5" s="7743"/>
      <c r="AO5" s="7743"/>
      <c r="AP5" s="3350"/>
      <c r="BD5" s="3169"/>
      <c r="BE5" s="3169"/>
      <c r="BF5" s="3169"/>
      <c r="BG5" s="3169"/>
      <c r="BH5" s="3169"/>
      <c r="BI5" s="3169"/>
      <c r="BJ5" s="3169"/>
      <c r="BK5" s="3169"/>
      <c r="BL5" s="3169"/>
      <c r="BM5" s="3169"/>
      <c r="BN5" s="3169"/>
    </row>
    <row r="6" spans="1:66" ht="13.5" thickBot="1">
      <c r="A6" s="3350"/>
      <c r="B6" s="5629"/>
      <c r="C6" s="5629"/>
      <c r="D6" s="5629"/>
      <c r="E6" s="5629"/>
      <c r="F6" s="5629"/>
      <c r="G6" s="6407"/>
      <c r="H6" s="1611"/>
      <c r="I6" s="2123" t="s">
        <v>2600</v>
      </c>
      <c r="J6" s="1612"/>
      <c r="K6" s="1612"/>
      <c r="L6" s="1612"/>
      <c r="M6" s="1612"/>
      <c r="N6" s="1612"/>
      <c r="O6" s="1612"/>
      <c r="P6" s="1612"/>
      <c r="Q6" s="1612"/>
      <c r="R6" s="1612"/>
      <c r="S6" s="1612"/>
      <c r="T6" s="1612"/>
      <c r="U6" s="1612"/>
      <c r="V6" s="1612"/>
      <c r="W6" s="1612"/>
      <c r="X6" s="1612"/>
      <c r="Y6" s="1612"/>
      <c r="Z6" s="1612"/>
      <c r="AA6" s="1612"/>
      <c r="AB6" s="1612"/>
      <c r="AC6" s="1612"/>
      <c r="AD6" s="1612"/>
      <c r="AE6" s="1612"/>
      <c r="AF6" s="1612"/>
      <c r="AG6" s="1612"/>
      <c r="AH6" s="1612"/>
      <c r="AI6" s="7740"/>
      <c r="AJ6" s="7741"/>
      <c r="AK6" s="7741"/>
      <c r="AL6" s="7741"/>
      <c r="AM6" s="7741"/>
      <c r="AN6" s="7744"/>
      <c r="AO6" s="7744"/>
      <c r="AP6" s="3350"/>
      <c r="BD6" s="3169"/>
      <c r="BE6" s="3169"/>
      <c r="BF6" s="3169"/>
      <c r="BG6" s="3169"/>
      <c r="BH6" s="3169"/>
      <c r="BI6" s="3169"/>
      <c r="BJ6" s="3169"/>
      <c r="BK6" s="3169"/>
      <c r="BL6" s="3169"/>
      <c r="BM6" s="3169"/>
      <c r="BN6" s="3169"/>
    </row>
    <row r="7" spans="1:66">
      <c r="A7" s="3350"/>
      <c r="B7" s="1443" t="s">
        <v>2591</v>
      </c>
      <c r="C7" s="1443"/>
      <c r="D7" s="1443"/>
      <c r="E7" s="1443"/>
      <c r="F7" s="1443"/>
      <c r="G7" s="1443"/>
      <c r="H7" s="1443"/>
      <c r="I7" s="1443"/>
      <c r="J7" s="1443"/>
      <c r="K7" s="1443"/>
      <c r="L7" s="1443"/>
      <c r="M7" s="1443"/>
      <c r="N7" s="1443"/>
      <c r="O7" s="1443"/>
      <c r="P7" s="1443"/>
      <c r="Q7" s="1443"/>
      <c r="R7" s="1443"/>
      <c r="S7" s="1443"/>
      <c r="T7" s="1443"/>
      <c r="U7" s="1443"/>
      <c r="V7" s="1443"/>
      <c r="W7" s="1443"/>
      <c r="X7" s="1443"/>
      <c r="Y7" s="1443"/>
      <c r="Z7" s="1443"/>
      <c r="AA7" s="1443"/>
      <c r="AB7" s="1443"/>
      <c r="AC7" s="1443"/>
      <c r="AD7" s="1443"/>
      <c r="AE7" s="1443"/>
      <c r="AF7" s="1443"/>
      <c r="AG7" s="1443"/>
      <c r="AH7" s="1443"/>
      <c r="AI7" s="1604" t="s">
        <v>2172</v>
      </c>
      <c r="AJ7" s="1605"/>
      <c r="AK7" s="1605"/>
      <c r="AL7" s="1605"/>
      <c r="AM7" s="1605"/>
      <c r="AN7" s="1605"/>
      <c r="AO7" s="1605"/>
      <c r="AP7" s="3350"/>
      <c r="BD7" s="3169"/>
      <c r="BE7" s="3169"/>
      <c r="BF7" s="3169"/>
      <c r="BG7" s="3169"/>
      <c r="BH7" s="3169"/>
      <c r="BI7" s="3169"/>
      <c r="BJ7" s="3169"/>
      <c r="BK7" s="3169"/>
      <c r="BL7" s="3169"/>
      <c r="BM7" s="3169"/>
      <c r="BN7" s="3169"/>
    </row>
    <row r="8" spans="1:66" ht="9.75" customHeight="1">
      <c r="A8" s="3350"/>
      <c r="B8" s="5600" t="str">
        <f>Names</f>
        <v/>
      </c>
      <c r="C8" s="5600"/>
      <c r="D8" s="5600"/>
      <c r="E8" s="5600"/>
      <c r="F8" s="5600"/>
      <c r="G8" s="5600"/>
      <c r="H8" s="5600"/>
      <c r="I8" s="5600"/>
      <c r="J8" s="5600"/>
      <c r="K8" s="5600"/>
      <c r="L8" s="5600"/>
      <c r="M8" s="5600"/>
      <c r="N8" s="5600"/>
      <c r="O8" s="5600"/>
      <c r="P8" s="5600"/>
      <c r="Q8" s="5600"/>
      <c r="R8" s="5600"/>
      <c r="S8" s="5600"/>
      <c r="T8" s="5600"/>
      <c r="U8" s="5600"/>
      <c r="V8" s="5600"/>
      <c r="W8" s="5600"/>
      <c r="X8" s="5600"/>
      <c r="Y8" s="5600"/>
      <c r="Z8" s="5600"/>
      <c r="AA8" s="5600"/>
      <c r="AB8" s="5600"/>
      <c r="AC8" s="5600"/>
      <c r="AD8" s="5600"/>
      <c r="AE8" s="5600"/>
      <c r="AF8" s="5600"/>
      <c r="AG8" s="5600"/>
      <c r="AH8" s="5600"/>
      <c r="AI8" s="7732"/>
      <c r="AJ8" s="7733"/>
      <c r="AK8" s="7733"/>
      <c r="AL8" s="7733"/>
      <c r="AM8" s="7733"/>
      <c r="AN8" s="7733"/>
      <c r="AO8" s="7733"/>
      <c r="AP8" s="3350"/>
      <c r="BD8" s="3169"/>
      <c r="BE8" s="3169"/>
      <c r="BF8" s="3169"/>
      <c r="BG8" s="3169"/>
      <c r="BH8" s="3169"/>
      <c r="BI8" s="3169"/>
      <c r="BJ8" s="3169"/>
      <c r="BK8" s="3169"/>
      <c r="BL8" s="3169"/>
      <c r="BM8" s="3169"/>
      <c r="BN8" s="3169"/>
    </row>
    <row r="9" spans="1:66" ht="9.75" customHeight="1">
      <c r="A9" s="3350"/>
      <c r="B9" s="5600"/>
      <c r="C9" s="5600"/>
      <c r="D9" s="5600"/>
      <c r="E9" s="5600"/>
      <c r="F9" s="5600"/>
      <c r="G9" s="5600"/>
      <c r="H9" s="5600"/>
      <c r="I9" s="5600"/>
      <c r="J9" s="5600"/>
      <c r="K9" s="5600"/>
      <c r="L9" s="5600"/>
      <c r="M9" s="5600"/>
      <c r="N9" s="5600"/>
      <c r="O9" s="5600"/>
      <c r="P9" s="5600"/>
      <c r="Q9" s="5600"/>
      <c r="R9" s="5600"/>
      <c r="S9" s="5600"/>
      <c r="T9" s="5600"/>
      <c r="U9" s="5600"/>
      <c r="V9" s="5600"/>
      <c r="W9" s="5600"/>
      <c r="X9" s="5600"/>
      <c r="Y9" s="5600"/>
      <c r="Z9" s="5600"/>
      <c r="AA9" s="5600"/>
      <c r="AB9" s="5600"/>
      <c r="AC9" s="5600"/>
      <c r="AD9" s="5600"/>
      <c r="AE9" s="5600"/>
      <c r="AF9" s="5600"/>
      <c r="AG9" s="5600"/>
      <c r="AH9" s="5600"/>
      <c r="AI9" s="7734"/>
      <c r="AJ9" s="7681"/>
      <c r="AK9" s="7681"/>
      <c r="AL9" s="7681"/>
      <c r="AM9" s="7681"/>
      <c r="AN9" s="7681"/>
      <c r="AO9" s="7681"/>
      <c r="AP9" s="3350"/>
      <c r="BD9" s="3169"/>
      <c r="BE9" s="3169"/>
      <c r="BF9" s="3169"/>
      <c r="BG9" s="3169"/>
      <c r="BH9" s="3169"/>
      <c r="BI9" s="3169"/>
      <c r="BJ9" s="3169"/>
      <c r="BK9" s="3169"/>
      <c r="BL9" s="3169"/>
      <c r="BM9" s="3169"/>
      <c r="BN9" s="3169"/>
    </row>
    <row r="10" spans="1:66" ht="15">
      <c r="A10" s="3350"/>
      <c r="B10" s="3271" t="s">
        <v>2603</v>
      </c>
      <c r="C10" s="1937"/>
      <c r="D10" s="1937" t="s">
        <v>2604</v>
      </c>
      <c r="E10" s="1937"/>
      <c r="F10" s="1937"/>
      <c r="G10" s="1937"/>
      <c r="H10" s="1937"/>
      <c r="I10" s="1937"/>
      <c r="J10" s="1937"/>
      <c r="K10" s="1937"/>
      <c r="L10" s="1937"/>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7"/>
      <c r="AJ10" s="1937"/>
      <c r="AK10" s="1937"/>
      <c r="AL10" s="1937"/>
      <c r="AM10" s="1937"/>
      <c r="AN10" s="1937"/>
      <c r="AO10" s="1937"/>
      <c r="AP10" s="3350"/>
      <c r="BD10" s="3169"/>
      <c r="BE10" s="3169"/>
      <c r="BF10" s="3169"/>
      <c r="BG10" s="3169"/>
      <c r="BH10" s="3169"/>
      <c r="BI10" s="3169"/>
      <c r="BJ10" s="3169"/>
      <c r="BK10" s="3169"/>
      <c r="BL10" s="3169"/>
      <c r="BM10" s="3169"/>
      <c r="BN10" s="3169"/>
    </row>
    <row r="11" spans="1:66" ht="16.5">
      <c r="A11" s="3350"/>
      <c r="B11" s="3290" t="s">
        <v>2641</v>
      </c>
      <c r="C11" s="1443"/>
      <c r="D11" s="1443"/>
      <c r="E11" s="1443"/>
      <c r="F11" s="1922" t="s">
        <v>2599</v>
      </c>
      <c r="G11" s="1443"/>
      <c r="H11" s="1443"/>
      <c r="I11" s="1443"/>
      <c r="J11" s="1443"/>
      <c r="K11" s="1443"/>
      <c r="L11" s="1443"/>
      <c r="M11" s="1443"/>
      <c r="N11" s="1443"/>
      <c r="O11" s="1443"/>
      <c r="P11" s="1443"/>
      <c r="Q11" s="1443"/>
      <c r="R11" s="1443"/>
      <c r="S11" s="1443"/>
      <c r="T11" s="1443"/>
      <c r="U11" s="1443"/>
      <c r="V11" s="1443"/>
      <c r="W11" s="1443"/>
      <c r="X11" s="1443"/>
      <c r="Y11" s="1443"/>
      <c r="Z11" s="1443"/>
      <c r="AA11" s="1443"/>
      <c r="AB11" s="1443"/>
      <c r="AC11" s="1443"/>
      <c r="AD11" s="1443"/>
      <c r="AE11" s="1443"/>
      <c r="AF11" s="1443"/>
      <c r="AG11" s="1443"/>
      <c r="AH11" s="1443"/>
      <c r="AI11" s="1443"/>
      <c r="AJ11" s="1443"/>
      <c r="AK11" s="1443"/>
      <c r="AL11" s="1443"/>
      <c r="AM11" s="1443"/>
      <c r="AN11" s="1443"/>
      <c r="AO11" s="1443"/>
      <c r="AP11" s="3350"/>
      <c r="BD11" s="3169"/>
      <c r="BE11" s="3169"/>
      <c r="BF11" s="3169"/>
      <c r="BG11" s="3169"/>
      <c r="BH11" s="3169"/>
      <c r="BI11" s="3169"/>
      <c r="BJ11" s="3169"/>
      <c r="BK11" s="3169"/>
      <c r="BL11" s="3169"/>
      <c r="BM11" s="3169"/>
      <c r="BN11" s="3169"/>
    </row>
    <row r="12" spans="1:66" ht="15">
      <c r="A12" s="3350"/>
      <c r="B12" s="1443"/>
      <c r="C12" s="1443"/>
      <c r="D12" s="1443"/>
      <c r="E12" s="1443"/>
      <c r="F12" s="1922" t="s">
        <v>2592</v>
      </c>
      <c r="G12" s="1443"/>
      <c r="H12" s="1443"/>
      <c r="I12" s="1443"/>
      <c r="J12" s="1443"/>
      <c r="K12" s="1443"/>
      <c r="L12" s="1443"/>
      <c r="M12" s="1443"/>
      <c r="N12" s="1443"/>
      <c r="O12" s="1443"/>
      <c r="P12" s="1443"/>
      <c r="Q12" s="1443"/>
      <c r="R12" s="1443"/>
      <c r="S12" s="1443"/>
      <c r="T12" s="1443"/>
      <c r="U12" s="1443"/>
      <c r="V12" s="1443"/>
      <c r="W12" s="1443"/>
      <c r="X12" s="1443"/>
      <c r="Y12" s="1443"/>
      <c r="Z12" s="1443"/>
      <c r="AA12" s="1443"/>
      <c r="AB12" s="1443"/>
      <c r="AC12" s="1443"/>
      <c r="AD12" s="1443"/>
      <c r="AE12" s="1443"/>
      <c r="AF12" s="1443"/>
      <c r="AG12" s="1443"/>
      <c r="AH12" s="1443"/>
      <c r="AI12" s="1443"/>
      <c r="AJ12" s="1443"/>
      <c r="AK12" s="1443"/>
      <c r="AL12" s="1443"/>
      <c r="AM12" s="1443"/>
      <c r="AN12" s="1443"/>
      <c r="AO12" s="1443"/>
      <c r="AP12" s="3350"/>
      <c r="BD12" s="3169"/>
      <c r="BE12" s="3169"/>
      <c r="BF12" s="3169"/>
      <c r="BG12" s="3169"/>
      <c r="BH12" s="3169"/>
      <c r="BI12" s="3169"/>
      <c r="BJ12" s="3169"/>
      <c r="BK12" s="3169"/>
      <c r="BL12" s="3169"/>
      <c r="BM12" s="3169"/>
      <c r="BN12" s="3169"/>
    </row>
    <row r="13" spans="1:66" ht="15">
      <c r="A13" s="3350"/>
      <c r="B13" s="1443"/>
      <c r="C13" s="1443"/>
      <c r="D13" s="1443"/>
      <c r="E13" s="1443"/>
      <c r="F13" s="1922" t="s">
        <v>2593</v>
      </c>
      <c r="G13" s="1443"/>
      <c r="H13" s="1443"/>
      <c r="I13" s="1443"/>
      <c r="J13" s="1443"/>
      <c r="K13" s="1443"/>
      <c r="L13" s="1443"/>
      <c r="M13" s="1443"/>
      <c r="N13" s="1443"/>
      <c r="O13" s="1443"/>
      <c r="P13" s="1443"/>
      <c r="Q13" s="1443"/>
      <c r="R13" s="1443"/>
      <c r="S13" s="1443"/>
      <c r="T13" s="1443"/>
      <c r="U13" s="1443"/>
      <c r="V13" s="1443"/>
      <c r="W13" s="1443"/>
      <c r="X13" s="1443"/>
      <c r="Y13" s="1443"/>
      <c r="Z13" s="1443"/>
      <c r="AA13" s="1443"/>
      <c r="AB13" s="1443"/>
      <c r="AC13" s="1443"/>
      <c r="AD13" s="1443"/>
      <c r="AE13" s="1443"/>
      <c r="AF13" s="1443"/>
      <c r="AG13" s="1443"/>
      <c r="AH13" s="1443"/>
      <c r="AI13" s="1443"/>
      <c r="AJ13" s="1443"/>
      <c r="AK13" s="1443"/>
      <c r="AL13" s="1443"/>
      <c r="AM13" s="1443"/>
      <c r="AN13" s="1443"/>
      <c r="AO13" s="1443"/>
      <c r="AP13" s="3350"/>
      <c r="BD13" s="3169"/>
      <c r="BE13" s="3169"/>
      <c r="BF13" s="3169"/>
      <c r="BG13" s="3169"/>
      <c r="BH13" s="3169"/>
      <c r="BI13" s="3169"/>
      <c r="BJ13" s="3169"/>
      <c r="BK13" s="3169"/>
      <c r="BL13" s="3169"/>
      <c r="BM13" s="3169"/>
      <c r="BN13" s="3169"/>
    </row>
    <row r="14" spans="1:66" s="3272" customFormat="1" ht="15.75">
      <c r="A14" s="3351"/>
      <c r="B14" s="6207" t="s">
        <v>58</v>
      </c>
      <c r="C14" s="6207"/>
      <c r="D14" s="6208"/>
      <c r="E14" s="3273"/>
      <c r="F14" s="3273" t="s">
        <v>2594</v>
      </c>
      <c r="G14" s="3273"/>
      <c r="H14" s="3273"/>
      <c r="I14" s="3273"/>
      <c r="J14" s="3273"/>
      <c r="K14" s="3273"/>
      <c r="L14" s="3273"/>
      <c r="M14" s="3273"/>
      <c r="N14" s="3273"/>
      <c r="O14" s="3273"/>
      <c r="P14" s="3273"/>
      <c r="Q14" s="3273"/>
      <c r="R14" s="3273"/>
      <c r="S14" s="3273"/>
      <c r="T14" s="3273"/>
      <c r="U14" s="3273"/>
      <c r="V14" s="3273"/>
      <c r="W14" s="3273"/>
      <c r="X14" s="3273"/>
      <c r="Y14" s="3273"/>
      <c r="Z14" s="3273"/>
      <c r="AA14" s="3273"/>
      <c r="AB14" s="3273"/>
      <c r="AC14" s="3273"/>
      <c r="AD14" s="3273"/>
      <c r="AE14" s="3273"/>
      <c r="AF14" s="3273"/>
      <c r="AG14" s="3273"/>
      <c r="AH14" s="3273"/>
      <c r="AI14" s="3273"/>
      <c r="AJ14" s="3273"/>
      <c r="AK14" s="3273"/>
      <c r="AL14" s="3273"/>
      <c r="AM14" s="3273"/>
      <c r="AN14" s="3273"/>
      <c r="AO14" s="3273"/>
      <c r="AP14" s="3350"/>
      <c r="BD14" s="3169"/>
      <c r="BE14" s="3169"/>
      <c r="BF14" s="3169"/>
      <c r="BG14" s="3169"/>
      <c r="BH14" s="3169"/>
      <c r="BI14" s="3169"/>
      <c r="BJ14" s="3169"/>
      <c r="BK14" s="3169"/>
      <c r="BL14" s="3169"/>
      <c r="BM14" s="3169"/>
      <c r="BN14" s="3169"/>
    </row>
    <row r="15" spans="1:66">
      <c r="A15" s="3350"/>
      <c r="B15" s="7722">
        <v>1</v>
      </c>
      <c r="C15" s="7722"/>
      <c r="D15" s="7722"/>
      <c r="E15" s="6305" t="s">
        <v>2595</v>
      </c>
      <c r="F15" s="7723"/>
      <c r="G15" s="7723"/>
      <c r="H15" s="7723"/>
      <c r="I15" s="7723"/>
      <c r="J15" s="7723"/>
      <c r="K15" s="7723"/>
      <c r="L15" s="7759"/>
      <c r="M15" s="6227" t="s">
        <v>2601</v>
      </c>
      <c r="N15" s="7723"/>
      <c r="O15" s="7723"/>
      <c r="P15" s="7723"/>
      <c r="Q15" s="7723"/>
      <c r="R15" s="7723"/>
      <c r="S15" s="7723"/>
      <c r="T15" s="7723"/>
      <c r="U15" s="7723"/>
      <c r="V15" s="7723"/>
      <c r="W15" s="7723"/>
      <c r="X15" s="7723"/>
      <c r="Y15" s="7723"/>
      <c r="Z15" s="7723"/>
      <c r="AA15" s="7723"/>
      <c r="AB15" s="7723"/>
      <c r="AC15" s="7759"/>
      <c r="AD15" s="6227" t="s">
        <v>2596</v>
      </c>
      <c r="AE15" s="7723"/>
      <c r="AF15" s="7723"/>
      <c r="AG15" s="7723"/>
      <c r="AH15" s="7723"/>
      <c r="AI15" s="7723"/>
      <c r="AJ15" s="7723"/>
      <c r="AK15" s="7723"/>
      <c r="AL15" s="7723"/>
      <c r="AM15" s="7723"/>
      <c r="AN15" s="7723"/>
      <c r="AO15" s="7723"/>
      <c r="AP15" s="3350"/>
      <c r="BD15" s="3169"/>
      <c r="BE15" s="3169"/>
      <c r="BF15" s="3169"/>
      <c r="BG15" s="3169"/>
      <c r="BH15" s="3169"/>
      <c r="BI15" s="3169"/>
      <c r="BJ15" s="3169"/>
      <c r="BK15" s="3169"/>
      <c r="BL15" s="3169"/>
      <c r="BM15" s="3169"/>
      <c r="BN15" s="3169"/>
    </row>
    <row r="16" spans="1:66">
      <c r="A16" s="3350"/>
      <c r="B16" s="7762"/>
      <c r="C16" s="7762"/>
      <c r="D16" s="7762"/>
      <c r="E16" s="7725"/>
      <c r="F16" s="7725"/>
      <c r="G16" s="7725"/>
      <c r="H16" s="7725"/>
      <c r="I16" s="7725"/>
      <c r="J16" s="7725"/>
      <c r="K16" s="7725"/>
      <c r="L16" s="7760"/>
      <c r="M16" s="7724"/>
      <c r="N16" s="7725"/>
      <c r="O16" s="7725"/>
      <c r="P16" s="7725"/>
      <c r="Q16" s="7725"/>
      <c r="R16" s="7725"/>
      <c r="S16" s="7725"/>
      <c r="T16" s="7725"/>
      <c r="U16" s="7725"/>
      <c r="V16" s="7725"/>
      <c r="W16" s="7725"/>
      <c r="X16" s="7725"/>
      <c r="Y16" s="7725"/>
      <c r="Z16" s="7725"/>
      <c r="AA16" s="7725"/>
      <c r="AB16" s="7725"/>
      <c r="AC16" s="7760"/>
      <c r="AD16" s="7724"/>
      <c r="AE16" s="7725"/>
      <c r="AF16" s="7725"/>
      <c r="AG16" s="7725"/>
      <c r="AH16" s="7725"/>
      <c r="AI16" s="7725"/>
      <c r="AJ16" s="7725"/>
      <c r="AK16" s="7725"/>
      <c r="AL16" s="7725"/>
      <c r="AM16" s="7725"/>
      <c r="AN16" s="7725"/>
      <c r="AO16" s="7725"/>
      <c r="AP16" s="3350"/>
      <c r="BD16" s="3169"/>
      <c r="BE16" s="3169"/>
      <c r="BF16" s="3169"/>
      <c r="BG16" s="3169"/>
      <c r="BH16" s="3169"/>
      <c r="BI16" s="3169"/>
      <c r="BJ16" s="3169"/>
      <c r="BK16" s="3169"/>
      <c r="BL16" s="3169"/>
      <c r="BM16" s="3169"/>
      <c r="BN16" s="3169"/>
    </row>
    <row r="17" spans="1:66">
      <c r="A17" s="3350"/>
      <c r="B17" s="7762"/>
      <c r="C17" s="7762"/>
      <c r="D17" s="7762"/>
      <c r="E17" s="7725"/>
      <c r="F17" s="7725"/>
      <c r="G17" s="7725"/>
      <c r="H17" s="7725"/>
      <c r="I17" s="7725"/>
      <c r="J17" s="7725"/>
      <c r="K17" s="7725"/>
      <c r="L17" s="7760"/>
      <c r="M17" s="7724"/>
      <c r="N17" s="7725"/>
      <c r="O17" s="7725"/>
      <c r="P17" s="7725"/>
      <c r="Q17" s="7725"/>
      <c r="R17" s="7725"/>
      <c r="S17" s="7725"/>
      <c r="T17" s="7725"/>
      <c r="U17" s="7725"/>
      <c r="V17" s="7725"/>
      <c r="W17" s="7725"/>
      <c r="X17" s="7725"/>
      <c r="Y17" s="7725"/>
      <c r="Z17" s="7725"/>
      <c r="AA17" s="7725"/>
      <c r="AB17" s="7725"/>
      <c r="AC17" s="7760"/>
      <c r="AD17" s="7724"/>
      <c r="AE17" s="7725"/>
      <c r="AF17" s="7725"/>
      <c r="AG17" s="7725"/>
      <c r="AH17" s="7725"/>
      <c r="AI17" s="7725"/>
      <c r="AJ17" s="7725"/>
      <c r="AK17" s="7725"/>
      <c r="AL17" s="7725"/>
      <c r="AM17" s="7725"/>
      <c r="AN17" s="7725"/>
      <c r="AO17" s="7725"/>
      <c r="AP17" s="3350"/>
      <c r="BD17" s="3169"/>
      <c r="BE17" s="3169"/>
      <c r="BF17" s="3169"/>
      <c r="BG17" s="3169"/>
      <c r="BH17" s="3169"/>
      <c r="BI17" s="3169"/>
      <c r="BJ17" s="3169"/>
      <c r="BK17" s="3169"/>
      <c r="BL17" s="3169"/>
      <c r="BM17" s="3169"/>
      <c r="BN17" s="3169"/>
    </row>
    <row r="18" spans="1:66">
      <c r="A18" s="3350"/>
      <c r="B18" s="7763"/>
      <c r="C18" s="7763"/>
      <c r="D18" s="7763"/>
      <c r="E18" s="7727"/>
      <c r="F18" s="7727"/>
      <c r="G18" s="7727"/>
      <c r="H18" s="7727"/>
      <c r="I18" s="7727"/>
      <c r="J18" s="7727"/>
      <c r="K18" s="7727"/>
      <c r="L18" s="7761"/>
      <c r="M18" s="7726"/>
      <c r="N18" s="7727"/>
      <c r="O18" s="7727"/>
      <c r="P18" s="7727"/>
      <c r="Q18" s="7727"/>
      <c r="R18" s="7727"/>
      <c r="S18" s="7727"/>
      <c r="T18" s="7727"/>
      <c r="U18" s="7727"/>
      <c r="V18" s="7727"/>
      <c r="W18" s="7727"/>
      <c r="X18" s="7727"/>
      <c r="Y18" s="7727"/>
      <c r="Z18" s="7727"/>
      <c r="AA18" s="7727"/>
      <c r="AB18" s="7727"/>
      <c r="AC18" s="7761"/>
      <c r="AD18" s="7726"/>
      <c r="AE18" s="7727"/>
      <c r="AF18" s="7727"/>
      <c r="AG18" s="7727"/>
      <c r="AH18" s="7727"/>
      <c r="AI18" s="7727"/>
      <c r="AJ18" s="7727"/>
      <c r="AK18" s="7727"/>
      <c r="AL18" s="7727"/>
      <c r="AM18" s="7727"/>
      <c r="AN18" s="7727"/>
      <c r="AO18" s="7727"/>
      <c r="AP18" s="3350"/>
      <c r="AQ18" s="3350"/>
      <c r="AR18" s="3350"/>
      <c r="AS18" s="3350"/>
      <c r="AT18" s="3350"/>
      <c r="AU18" s="3350"/>
      <c r="AV18" s="3350"/>
      <c r="AW18" s="3350"/>
      <c r="AX18" s="3350"/>
      <c r="AY18" s="3350"/>
      <c r="AZ18" s="3350"/>
      <c r="BA18" s="3350"/>
      <c r="BB18" s="3350"/>
      <c r="BD18" s="3169"/>
      <c r="BE18" s="3169"/>
      <c r="BF18" s="3169"/>
      <c r="BG18" s="3169"/>
      <c r="BH18" s="3169"/>
      <c r="BI18" s="3169"/>
      <c r="BJ18" s="3169"/>
      <c r="BK18" s="3169"/>
      <c r="BL18" s="3169"/>
      <c r="BM18" s="3169"/>
      <c r="BN18" s="3169"/>
    </row>
    <row r="19" spans="1:66" ht="3.75" customHeight="1">
      <c r="A19" s="3350"/>
      <c r="B19" s="7764" t="s">
        <v>159</v>
      </c>
      <c r="C19" s="5872"/>
      <c r="D19" s="7745"/>
      <c r="E19" s="7746"/>
      <c r="F19" s="7746"/>
      <c r="G19" s="7746"/>
      <c r="H19" s="7746"/>
      <c r="I19" s="7746"/>
      <c r="J19" s="7746"/>
      <c r="K19" s="7746"/>
      <c r="L19" s="7747"/>
      <c r="M19" s="3276"/>
      <c r="N19" s="3274"/>
      <c r="O19" s="3274"/>
      <c r="P19" s="3274"/>
      <c r="Q19" s="3274"/>
      <c r="R19" s="3274"/>
      <c r="S19" s="3274"/>
      <c r="T19" s="3274"/>
      <c r="U19" s="3274"/>
      <c r="V19" s="3274"/>
      <c r="W19" s="3274"/>
      <c r="X19" s="3274"/>
      <c r="Y19" s="3274"/>
      <c r="Z19" s="3274"/>
      <c r="AA19" s="3274"/>
      <c r="AB19" s="3274"/>
      <c r="AC19" s="3275"/>
      <c r="AD19" s="7745"/>
      <c r="AE19" s="7754"/>
      <c r="AF19" s="7754"/>
      <c r="AG19" s="7754"/>
      <c r="AH19" s="7754"/>
      <c r="AI19" s="7754"/>
      <c r="AJ19" s="7754"/>
      <c r="AK19" s="7754"/>
      <c r="AL19" s="7754"/>
      <c r="AM19" s="7754"/>
      <c r="AN19" s="7754"/>
      <c r="AO19" s="7754"/>
      <c r="AP19" s="3350"/>
      <c r="AQ19" s="3350"/>
      <c r="AR19" s="3350"/>
      <c r="AS19" s="3350"/>
      <c r="AT19" s="3350"/>
      <c r="AU19" s="3350"/>
      <c r="AV19" s="3350"/>
      <c r="AW19" s="3350"/>
      <c r="AX19" s="3350"/>
      <c r="AY19" s="3350"/>
      <c r="AZ19" s="3350"/>
      <c r="BA19" s="3350"/>
      <c r="BB19" s="3350"/>
      <c r="BD19" s="3169"/>
      <c r="BE19" s="3169"/>
      <c r="BF19" s="3169"/>
      <c r="BG19" s="3169"/>
      <c r="BH19" s="3169"/>
      <c r="BI19" s="3169"/>
      <c r="BJ19" s="3169"/>
      <c r="BK19" s="3169"/>
      <c r="BL19" s="3169"/>
      <c r="BM19" s="3169"/>
      <c r="BN19" s="3169"/>
    </row>
    <row r="20" spans="1:66" ht="14.25" customHeight="1">
      <c r="A20" s="3350"/>
      <c r="B20" s="6249"/>
      <c r="C20" s="6249"/>
      <c r="D20" s="7748"/>
      <c r="E20" s="7749"/>
      <c r="F20" s="7749"/>
      <c r="G20" s="7749"/>
      <c r="H20" s="7749"/>
      <c r="I20" s="7749"/>
      <c r="J20" s="7749"/>
      <c r="K20" s="7749"/>
      <c r="L20" s="7750"/>
      <c r="M20" s="1965"/>
      <c r="N20" s="1443"/>
      <c r="O20" s="1443"/>
      <c r="P20" s="1443"/>
      <c r="Q20" s="1443"/>
      <c r="R20" s="1443"/>
      <c r="S20" s="1443"/>
      <c r="T20" s="3277"/>
      <c r="U20" s="1443"/>
      <c r="V20" s="1443"/>
      <c r="W20" s="1443"/>
      <c r="X20" s="1443"/>
      <c r="Y20" s="1443"/>
      <c r="Z20" s="1443"/>
      <c r="AA20" s="1443"/>
      <c r="AB20" s="1443"/>
      <c r="AC20" s="1966"/>
      <c r="AD20" s="7755"/>
      <c r="AE20" s="7756"/>
      <c r="AF20" s="7756"/>
      <c r="AG20" s="7756"/>
      <c r="AH20" s="7756"/>
      <c r="AI20" s="7756"/>
      <c r="AJ20" s="7756"/>
      <c r="AK20" s="7756"/>
      <c r="AL20" s="7756"/>
      <c r="AM20" s="7756"/>
      <c r="AN20" s="7756"/>
      <c r="AO20" s="7756"/>
      <c r="AP20" s="3350"/>
      <c r="AQ20" s="1615" t="s">
        <v>2602</v>
      </c>
      <c r="AR20" s="1443"/>
      <c r="AS20" s="1443"/>
      <c r="AT20" s="1443"/>
      <c r="AU20" s="1443"/>
      <c r="AV20" s="1443"/>
      <c r="AW20" s="1443"/>
      <c r="AX20" s="1443"/>
      <c r="AY20" s="1443"/>
      <c r="AZ20" s="1443"/>
      <c r="BA20" s="1443"/>
      <c r="BB20" s="3350"/>
      <c r="BD20" s="3169"/>
      <c r="BE20" s="3169"/>
      <c r="BF20" s="3169"/>
      <c r="BG20" s="3169"/>
      <c r="BH20" s="3169"/>
      <c r="BI20" s="3169"/>
      <c r="BJ20" s="3169"/>
      <c r="BK20" s="3169"/>
      <c r="BL20" s="3169"/>
      <c r="BM20" s="3169"/>
      <c r="BN20" s="3169"/>
    </row>
    <row r="21" spans="1:66" ht="14.25" customHeight="1">
      <c r="A21" s="3350"/>
      <c r="B21" s="6251"/>
      <c r="C21" s="6251"/>
      <c r="D21" s="7751"/>
      <c r="E21" s="7752"/>
      <c r="F21" s="7752"/>
      <c r="G21" s="7752"/>
      <c r="H21" s="7752"/>
      <c r="I21" s="7752"/>
      <c r="J21" s="7752"/>
      <c r="K21" s="7752"/>
      <c r="L21" s="7753"/>
      <c r="M21" s="1803"/>
      <c r="N21" s="1803"/>
      <c r="O21" s="1803"/>
      <c r="P21" s="1803"/>
      <c r="Q21" s="1803"/>
      <c r="R21" s="1803"/>
      <c r="S21" s="1803"/>
      <c r="T21" s="1803"/>
      <c r="U21" s="1803"/>
      <c r="V21" s="1803"/>
      <c r="W21" s="1803"/>
      <c r="X21" s="1803"/>
      <c r="Y21" s="1803"/>
      <c r="Z21" s="1803"/>
      <c r="AA21" s="1803"/>
      <c r="AB21" s="1803"/>
      <c r="AC21" s="1803"/>
      <c r="AD21" s="7757"/>
      <c r="AE21" s="7758"/>
      <c r="AF21" s="7758"/>
      <c r="AG21" s="7758"/>
      <c r="AH21" s="7758"/>
      <c r="AI21" s="7758"/>
      <c r="AJ21" s="7758"/>
      <c r="AK21" s="7758"/>
      <c r="AL21" s="7758"/>
      <c r="AM21" s="7758"/>
      <c r="AN21" s="7758"/>
      <c r="AO21" s="7758"/>
      <c r="AP21" s="3350"/>
      <c r="AQ21" s="3350"/>
      <c r="AR21" s="3350"/>
      <c r="AS21" s="3350"/>
      <c r="AT21" s="3350"/>
      <c r="AU21" s="3350"/>
      <c r="AV21" s="3350"/>
      <c r="AW21" s="3350"/>
      <c r="AX21" s="3350"/>
      <c r="AY21" s="3350"/>
      <c r="AZ21" s="3350"/>
      <c r="BA21" s="3350"/>
      <c r="BB21" s="3350"/>
      <c r="BD21" s="3169"/>
      <c r="BE21" s="3169"/>
      <c r="BF21" s="3169"/>
      <c r="BG21" s="3169"/>
      <c r="BH21" s="3169"/>
      <c r="BI21" s="3169"/>
      <c r="BJ21" s="3169"/>
      <c r="BK21" s="3169"/>
      <c r="BL21" s="3169"/>
      <c r="BM21" s="3169"/>
      <c r="BN21" s="3169"/>
    </row>
    <row r="22" spans="1:66" ht="3.75" customHeight="1">
      <c r="A22" s="3350"/>
      <c r="B22" s="7764" t="s">
        <v>327</v>
      </c>
      <c r="C22" s="5872"/>
      <c r="D22" s="7745"/>
      <c r="E22" s="7746"/>
      <c r="F22" s="7746"/>
      <c r="G22" s="7746"/>
      <c r="H22" s="7746"/>
      <c r="I22" s="7746"/>
      <c r="J22" s="7746"/>
      <c r="K22" s="7746"/>
      <c r="L22" s="7747"/>
      <c r="M22" s="3276"/>
      <c r="N22" s="3274"/>
      <c r="O22" s="3274"/>
      <c r="P22" s="3274"/>
      <c r="Q22" s="3274"/>
      <c r="R22" s="3274"/>
      <c r="S22" s="3274"/>
      <c r="T22" s="3274"/>
      <c r="U22" s="3274"/>
      <c r="V22" s="3274"/>
      <c r="W22" s="3274"/>
      <c r="X22" s="3274"/>
      <c r="Y22" s="3274"/>
      <c r="Z22" s="3274"/>
      <c r="AA22" s="3274"/>
      <c r="AB22" s="3274"/>
      <c r="AC22" s="3275"/>
      <c r="AD22" s="7745"/>
      <c r="AE22" s="7754"/>
      <c r="AF22" s="7754"/>
      <c r="AG22" s="7754"/>
      <c r="AH22" s="7754"/>
      <c r="AI22" s="7754"/>
      <c r="AJ22" s="7754"/>
      <c r="AK22" s="7754"/>
      <c r="AL22" s="7754"/>
      <c r="AM22" s="7754"/>
      <c r="AN22" s="7754"/>
      <c r="AO22" s="7754"/>
      <c r="AP22" s="3350"/>
      <c r="AQ22" s="3350"/>
      <c r="AR22" s="3350"/>
      <c r="AS22" s="3350"/>
      <c r="AT22" s="3350"/>
      <c r="AU22" s="3350"/>
      <c r="AV22" s="3350"/>
      <c r="AW22" s="3350"/>
      <c r="AX22" s="3350"/>
      <c r="AY22" s="3350"/>
      <c r="AZ22" s="3350"/>
      <c r="BA22" s="3350"/>
      <c r="BB22" s="3350"/>
      <c r="BD22" s="3169"/>
      <c r="BE22" s="3169"/>
      <c r="BF22" s="3169"/>
      <c r="BG22" s="3169"/>
      <c r="BH22" s="3169"/>
      <c r="BI22" s="3169"/>
      <c r="BJ22" s="3169"/>
      <c r="BK22" s="3169"/>
      <c r="BL22" s="3169"/>
      <c r="BM22" s="3169"/>
      <c r="BN22" s="3169"/>
    </row>
    <row r="23" spans="1:66" ht="14.25" customHeight="1">
      <c r="A23" s="3350"/>
      <c r="B23" s="6249"/>
      <c r="C23" s="6249"/>
      <c r="D23" s="7748"/>
      <c r="E23" s="7749"/>
      <c r="F23" s="7749"/>
      <c r="G23" s="7749"/>
      <c r="H23" s="7749"/>
      <c r="I23" s="7749"/>
      <c r="J23" s="7749"/>
      <c r="K23" s="7749"/>
      <c r="L23" s="7750"/>
      <c r="M23" s="1965"/>
      <c r="N23" s="1443"/>
      <c r="O23" s="1443"/>
      <c r="P23" s="1443"/>
      <c r="Q23" s="1443"/>
      <c r="R23" s="1443"/>
      <c r="S23" s="1443"/>
      <c r="T23" s="3277"/>
      <c r="U23" s="1443"/>
      <c r="V23" s="1443"/>
      <c r="W23" s="1443"/>
      <c r="X23" s="1443"/>
      <c r="Y23" s="1443"/>
      <c r="Z23" s="1443"/>
      <c r="AA23" s="1443"/>
      <c r="AB23" s="1443"/>
      <c r="AC23" s="1966"/>
      <c r="AD23" s="7755"/>
      <c r="AE23" s="7756"/>
      <c r="AF23" s="7756"/>
      <c r="AG23" s="7756"/>
      <c r="AH23" s="7756"/>
      <c r="AI23" s="7756"/>
      <c r="AJ23" s="7756"/>
      <c r="AK23" s="7756"/>
      <c r="AL23" s="7756"/>
      <c r="AM23" s="7756"/>
      <c r="AN23" s="7756"/>
      <c r="AO23" s="7756"/>
      <c r="AP23" s="3350"/>
      <c r="AQ23" s="1075"/>
      <c r="BD23" s="3169"/>
      <c r="BE23" s="3169"/>
      <c r="BF23" s="3169"/>
      <c r="BG23" s="3169"/>
      <c r="BH23" s="3169"/>
      <c r="BI23" s="3169"/>
      <c r="BJ23" s="3169"/>
      <c r="BK23" s="3169"/>
      <c r="BL23" s="3169"/>
      <c r="BM23" s="3169"/>
      <c r="BN23" s="3169"/>
    </row>
    <row r="24" spans="1:66" ht="14.25" customHeight="1">
      <c r="A24" s="3350"/>
      <c r="B24" s="6251"/>
      <c r="C24" s="6251"/>
      <c r="D24" s="7751"/>
      <c r="E24" s="7752"/>
      <c r="F24" s="7752"/>
      <c r="G24" s="7752"/>
      <c r="H24" s="7752"/>
      <c r="I24" s="7752"/>
      <c r="J24" s="7752"/>
      <c r="K24" s="7752"/>
      <c r="L24" s="7753"/>
      <c r="M24" s="1803"/>
      <c r="N24" s="1803"/>
      <c r="O24" s="1803"/>
      <c r="P24" s="1803"/>
      <c r="Q24" s="1803"/>
      <c r="R24" s="1803"/>
      <c r="S24" s="1803"/>
      <c r="T24" s="1803"/>
      <c r="U24" s="1803"/>
      <c r="V24" s="1803"/>
      <c r="W24" s="1803"/>
      <c r="X24" s="1803"/>
      <c r="Y24" s="1803"/>
      <c r="Z24" s="1803"/>
      <c r="AA24" s="1803"/>
      <c r="AB24" s="1803"/>
      <c r="AC24" s="1803"/>
      <c r="AD24" s="7757"/>
      <c r="AE24" s="7758"/>
      <c r="AF24" s="7758"/>
      <c r="AG24" s="7758"/>
      <c r="AH24" s="7758"/>
      <c r="AI24" s="7758"/>
      <c r="AJ24" s="7758"/>
      <c r="AK24" s="7758"/>
      <c r="AL24" s="7758"/>
      <c r="AM24" s="7758"/>
      <c r="AN24" s="7758"/>
      <c r="AO24" s="7758"/>
      <c r="AP24" s="3350"/>
      <c r="BD24" s="3169"/>
      <c r="BE24" s="3169"/>
      <c r="BF24" s="3169"/>
      <c r="BG24" s="3169"/>
      <c r="BH24" s="3169"/>
      <c r="BI24" s="3169"/>
      <c r="BJ24" s="3169"/>
      <c r="BK24" s="3169"/>
      <c r="BL24" s="3169"/>
      <c r="BM24" s="3169"/>
      <c r="BN24" s="3169"/>
    </row>
    <row r="25" spans="1:66" ht="3.75" customHeight="1">
      <c r="A25" s="3350"/>
      <c r="B25" s="7764" t="s">
        <v>160</v>
      </c>
      <c r="C25" s="5872"/>
      <c r="D25" s="7745"/>
      <c r="E25" s="7746"/>
      <c r="F25" s="7746"/>
      <c r="G25" s="7746"/>
      <c r="H25" s="7746"/>
      <c r="I25" s="7746"/>
      <c r="J25" s="7746"/>
      <c r="K25" s="7746"/>
      <c r="L25" s="7747"/>
      <c r="M25" s="3276"/>
      <c r="N25" s="3274"/>
      <c r="O25" s="3274"/>
      <c r="P25" s="3274"/>
      <c r="Q25" s="3274"/>
      <c r="R25" s="3274"/>
      <c r="S25" s="3274"/>
      <c r="T25" s="3274"/>
      <c r="U25" s="3274"/>
      <c r="V25" s="3274"/>
      <c r="W25" s="3274"/>
      <c r="X25" s="3274"/>
      <c r="Y25" s="3274"/>
      <c r="Z25" s="3274"/>
      <c r="AA25" s="3274"/>
      <c r="AB25" s="3274"/>
      <c r="AC25" s="3275"/>
      <c r="AD25" s="7745"/>
      <c r="AE25" s="7754"/>
      <c r="AF25" s="7754"/>
      <c r="AG25" s="7754"/>
      <c r="AH25" s="7754"/>
      <c r="AI25" s="7754"/>
      <c r="AJ25" s="7754"/>
      <c r="AK25" s="7754"/>
      <c r="AL25" s="7754"/>
      <c r="AM25" s="7754"/>
      <c r="AN25" s="7754"/>
      <c r="AO25" s="7754"/>
      <c r="AP25" s="3350"/>
      <c r="BD25" s="3169"/>
      <c r="BE25" s="3169"/>
      <c r="BF25" s="3169"/>
      <c r="BG25" s="3169"/>
      <c r="BH25" s="3169"/>
      <c r="BI25" s="3169"/>
      <c r="BJ25" s="3169"/>
      <c r="BK25" s="3169"/>
      <c r="BL25" s="3169"/>
      <c r="BM25" s="3169"/>
      <c r="BN25" s="3169"/>
    </row>
    <row r="26" spans="1:66" ht="14.25" customHeight="1">
      <c r="A26" s="3350"/>
      <c r="B26" s="6249"/>
      <c r="C26" s="6249"/>
      <c r="D26" s="7748"/>
      <c r="E26" s="7749"/>
      <c r="F26" s="7749"/>
      <c r="G26" s="7749"/>
      <c r="H26" s="7749"/>
      <c r="I26" s="7749"/>
      <c r="J26" s="7749"/>
      <c r="K26" s="7749"/>
      <c r="L26" s="7750"/>
      <c r="M26" s="1965"/>
      <c r="N26" s="1443"/>
      <c r="O26" s="1443"/>
      <c r="P26" s="1443"/>
      <c r="Q26" s="1443"/>
      <c r="R26" s="1443"/>
      <c r="S26" s="1443"/>
      <c r="T26" s="3277"/>
      <c r="U26" s="1443"/>
      <c r="V26" s="1443"/>
      <c r="W26" s="1443"/>
      <c r="X26" s="1443"/>
      <c r="Y26" s="1443"/>
      <c r="Z26" s="1443"/>
      <c r="AA26" s="1443"/>
      <c r="AB26" s="1443"/>
      <c r="AC26" s="1966"/>
      <c r="AD26" s="7755"/>
      <c r="AE26" s="7756"/>
      <c r="AF26" s="7756"/>
      <c r="AG26" s="7756"/>
      <c r="AH26" s="7756"/>
      <c r="AI26" s="7756"/>
      <c r="AJ26" s="7756"/>
      <c r="AK26" s="7756"/>
      <c r="AL26" s="7756"/>
      <c r="AM26" s="7756"/>
      <c r="AN26" s="7756"/>
      <c r="AO26" s="7756"/>
      <c r="AP26" s="3350"/>
      <c r="AQ26" s="1075"/>
      <c r="BD26" s="3169"/>
      <c r="BE26" s="3169"/>
      <c r="BF26" s="3169"/>
      <c r="BG26" s="3169"/>
      <c r="BH26" s="3169"/>
      <c r="BI26" s="3169"/>
      <c r="BJ26" s="3169"/>
      <c r="BK26" s="3169"/>
      <c r="BL26" s="3169"/>
      <c r="BM26" s="3169"/>
      <c r="BN26" s="3169"/>
    </row>
    <row r="27" spans="1:66" ht="14.25" customHeight="1">
      <c r="A27" s="3350"/>
      <c r="B27" s="6251"/>
      <c r="C27" s="6251"/>
      <c r="D27" s="7751"/>
      <c r="E27" s="7752"/>
      <c r="F27" s="7752"/>
      <c r="G27" s="7752"/>
      <c r="H27" s="7752"/>
      <c r="I27" s="7752"/>
      <c r="J27" s="7752"/>
      <c r="K27" s="7752"/>
      <c r="L27" s="7753"/>
      <c r="M27" s="1803"/>
      <c r="N27" s="1803"/>
      <c r="O27" s="1803"/>
      <c r="P27" s="1803"/>
      <c r="Q27" s="1803"/>
      <c r="R27" s="1803"/>
      <c r="S27" s="1803"/>
      <c r="T27" s="1803"/>
      <c r="U27" s="1803"/>
      <c r="V27" s="1803"/>
      <c r="W27" s="1803"/>
      <c r="X27" s="1803"/>
      <c r="Y27" s="1803"/>
      <c r="Z27" s="1803"/>
      <c r="AA27" s="1803"/>
      <c r="AB27" s="1803"/>
      <c r="AC27" s="1803"/>
      <c r="AD27" s="7757"/>
      <c r="AE27" s="7758"/>
      <c r="AF27" s="7758"/>
      <c r="AG27" s="7758"/>
      <c r="AH27" s="7758"/>
      <c r="AI27" s="7758"/>
      <c r="AJ27" s="7758"/>
      <c r="AK27" s="7758"/>
      <c r="AL27" s="7758"/>
      <c r="AM27" s="7758"/>
      <c r="AN27" s="7758"/>
      <c r="AO27" s="7758"/>
      <c r="AP27" s="3350"/>
      <c r="BD27" s="3169"/>
      <c r="BE27" s="3169"/>
      <c r="BF27" s="3169"/>
      <c r="BG27" s="3169"/>
      <c r="BH27" s="3169"/>
      <c r="BI27" s="3169"/>
      <c r="BJ27" s="3169"/>
      <c r="BK27" s="3169"/>
      <c r="BL27" s="3169"/>
      <c r="BM27" s="3169"/>
      <c r="BN27" s="3169"/>
    </row>
    <row r="28" spans="1:66" ht="3.75" customHeight="1">
      <c r="A28" s="3350"/>
      <c r="B28" s="7764" t="s">
        <v>329</v>
      </c>
      <c r="C28" s="5872"/>
      <c r="D28" s="7745"/>
      <c r="E28" s="7746"/>
      <c r="F28" s="7746"/>
      <c r="G28" s="7746"/>
      <c r="H28" s="7746"/>
      <c r="I28" s="7746"/>
      <c r="J28" s="7746"/>
      <c r="K28" s="7746"/>
      <c r="L28" s="7747"/>
      <c r="M28" s="3276"/>
      <c r="N28" s="3274"/>
      <c r="O28" s="3274"/>
      <c r="P28" s="3274"/>
      <c r="Q28" s="3274"/>
      <c r="R28" s="3274"/>
      <c r="S28" s="3274"/>
      <c r="T28" s="3274"/>
      <c r="U28" s="3274"/>
      <c r="V28" s="3274"/>
      <c r="W28" s="3274"/>
      <c r="X28" s="3274"/>
      <c r="Y28" s="3274"/>
      <c r="Z28" s="3274"/>
      <c r="AA28" s="3274"/>
      <c r="AB28" s="3274"/>
      <c r="AC28" s="3275"/>
      <c r="AD28" s="7745"/>
      <c r="AE28" s="7754"/>
      <c r="AF28" s="7754"/>
      <c r="AG28" s="7754"/>
      <c r="AH28" s="7754"/>
      <c r="AI28" s="7754"/>
      <c r="AJ28" s="7754"/>
      <c r="AK28" s="7754"/>
      <c r="AL28" s="7754"/>
      <c r="AM28" s="7754"/>
      <c r="AN28" s="7754"/>
      <c r="AO28" s="7754"/>
      <c r="AP28" s="3350"/>
      <c r="BD28" s="3169"/>
      <c r="BE28" s="3169"/>
      <c r="BF28" s="3169"/>
      <c r="BG28" s="3169"/>
      <c r="BH28" s="3169"/>
      <c r="BI28" s="3169"/>
      <c r="BJ28" s="3169"/>
      <c r="BK28" s="3169"/>
      <c r="BL28" s="3169"/>
      <c r="BM28" s="3169"/>
      <c r="BN28" s="3169"/>
    </row>
    <row r="29" spans="1:66" ht="14.25" customHeight="1">
      <c r="A29" s="3350"/>
      <c r="B29" s="6249"/>
      <c r="C29" s="6249"/>
      <c r="D29" s="7748"/>
      <c r="E29" s="7749"/>
      <c r="F29" s="7749"/>
      <c r="G29" s="7749"/>
      <c r="H29" s="7749"/>
      <c r="I29" s="7749"/>
      <c r="J29" s="7749"/>
      <c r="K29" s="7749"/>
      <c r="L29" s="7750"/>
      <c r="M29" s="1965"/>
      <c r="N29" s="1443"/>
      <c r="O29" s="1443"/>
      <c r="P29" s="1443"/>
      <c r="Q29" s="1443"/>
      <c r="R29" s="1443"/>
      <c r="S29" s="1443"/>
      <c r="T29" s="3277"/>
      <c r="U29" s="1443"/>
      <c r="V29" s="1443"/>
      <c r="W29" s="1443"/>
      <c r="X29" s="1443"/>
      <c r="Y29" s="1443"/>
      <c r="Z29" s="1443"/>
      <c r="AA29" s="1443"/>
      <c r="AB29" s="1443"/>
      <c r="AC29" s="1966"/>
      <c r="AD29" s="7755"/>
      <c r="AE29" s="7756"/>
      <c r="AF29" s="7756"/>
      <c r="AG29" s="7756"/>
      <c r="AH29" s="7756"/>
      <c r="AI29" s="7756"/>
      <c r="AJ29" s="7756"/>
      <c r="AK29" s="7756"/>
      <c r="AL29" s="7756"/>
      <c r="AM29" s="7756"/>
      <c r="AN29" s="7756"/>
      <c r="AO29" s="7756"/>
      <c r="AP29" s="3350"/>
      <c r="AQ29" s="1075"/>
      <c r="BD29" s="3169"/>
      <c r="BE29" s="3169"/>
      <c r="BF29" s="3169"/>
      <c r="BG29" s="3169"/>
      <c r="BH29" s="3169"/>
      <c r="BI29" s="3169"/>
      <c r="BJ29" s="3169"/>
      <c r="BK29" s="3169"/>
      <c r="BL29" s="3169"/>
      <c r="BM29" s="3169"/>
      <c r="BN29" s="3169"/>
    </row>
    <row r="30" spans="1:66" ht="14.25" customHeight="1">
      <c r="A30" s="3350"/>
      <c r="B30" s="6251"/>
      <c r="C30" s="6251"/>
      <c r="D30" s="7751"/>
      <c r="E30" s="7752"/>
      <c r="F30" s="7752"/>
      <c r="G30" s="7752"/>
      <c r="H30" s="7752"/>
      <c r="I30" s="7752"/>
      <c r="J30" s="7752"/>
      <c r="K30" s="7752"/>
      <c r="L30" s="7753"/>
      <c r="M30" s="1803"/>
      <c r="N30" s="1803"/>
      <c r="O30" s="1803"/>
      <c r="P30" s="1803"/>
      <c r="Q30" s="1803"/>
      <c r="R30" s="1803"/>
      <c r="S30" s="1803"/>
      <c r="T30" s="1803"/>
      <c r="U30" s="1803"/>
      <c r="V30" s="1803"/>
      <c r="W30" s="1803"/>
      <c r="X30" s="1803"/>
      <c r="Y30" s="1803"/>
      <c r="Z30" s="1803"/>
      <c r="AA30" s="1803"/>
      <c r="AB30" s="1803"/>
      <c r="AC30" s="1803"/>
      <c r="AD30" s="7757"/>
      <c r="AE30" s="7758"/>
      <c r="AF30" s="7758"/>
      <c r="AG30" s="7758"/>
      <c r="AH30" s="7758"/>
      <c r="AI30" s="7758"/>
      <c r="AJ30" s="7758"/>
      <c r="AK30" s="7758"/>
      <c r="AL30" s="7758"/>
      <c r="AM30" s="7758"/>
      <c r="AN30" s="7758"/>
      <c r="AO30" s="7758"/>
      <c r="AP30" s="3350"/>
      <c r="BD30" s="3169"/>
      <c r="BE30" s="3169"/>
      <c r="BF30" s="3169"/>
      <c r="BG30" s="3169"/>
      <c r="BH30" s="3169"/>
      <c r="BI30" s="3169"/>
      <c r="BJ30" s="3169"/>
      <c r="BK30" s="3169"/>
      <c r="BL30" s="3169"/>
      <c r="BM30" s="3169"/>
      <c r="BN30" s="3169"/>
    </row>
    <row r="31" spans="1:66" ht="3.75" customHeight="1">
      <c r="A31" s="3350"/>
      <c r="B31" s="7764" t="s">
        <v>419</v>
      </c>
      <c r="C31" s="5872"/>
      <c r="D31" s="7745"/>
      <c r="E31" s="7746"/>
      <c r="F31" s="7746"/>
      <c r="G31" s="7746"/>
      <c r="H31" s="7746"/>
      <c r="I31" s="7746"/>
      <c r="J31" s="7746"/>
      <c r="K31" s="7746"/>
      <c r="L31" s="7747"/>
      <c r="M31" s="3276"/>
      <c r="N31" s="3274"/>
      <c r="O31" s="3274"/>
      <c r="P31" s="3274"/>
      <c r="Q31" s="3274"/>
      <c r="R31" s="3274"/>
      <c r="S31" s="3274"/>
      <c r="T31" s="3274"/>
      <c r="U31" s="3274"/>
      <c r="V31" s="3274"/>
      <c r="W31" s="3274"/>
      <c r="X31" s="3274"/>
      <c r="Y31" s="3274"/>
      <c r="Z31" s="3274"/>
      <c r="AA31" s="3274"/>
      <c r="AB31" s="3274"/>
      <c r="AC31" s="3275"/>
      <c r="AD31" s="7745"/>
      <c r="AE31" s="7754"/>
      <c r="AF31" s="7754"/>
      <c r="AG31" s="7754"/>
      <c r="AH31" s="7754"/>
      <c r="AI31" s="7754"/>
      <c r="AJ31" s="7754"/>
      <c r="AK31" s="7754"/>
      <c r="AL31" s="7754"/>
      <c r="AM31" s="7754"/>
      <c r="AN31" s="7754"/>
      <c r="AO31" s="7754"/>
      <c r="AP31" s="3350"/>
      <c r="BD31" s="3169"/>
      <c r="BE31" s="3169"/>
      <c r="BF31" s="3169"/>
      <c r="BG31" s="3169"/>
      <c r="BH31" s="3169"/>
      <c r="BI31" s="3169"/>
      <c r="BJ31" s="3169"/>
      <c r="BK31" s="3169"/>
      <c r="BL31" s="3169"/>
      <c r="BM31" s="3169"/>
      <c r="BN31" s="3169"/>
    </row>
    <row r="32" spans="1:66" ht="14.25" customHeight="1">
      <c r="A32" s="3350"/>
      <c r="B32" s="6249"/>
      <c r="C32" s="6249"/>
      <c r="D32" s="7748"/>
      <c r="E32" s="7749"/>
      <c r="F32" s="7749"/>
      <c r="G32" s="7749"/>
      <c r="H32" s="7749"/>
      <c r="I32" s="7749"/>
      <c r="J32" s="7749"/>
      <c r="K32" s="7749"/>
      <c r="L32" s="7750"/>
      <c r="M32" s="1965"/>
      <c r="N32" s="1443"/>
      <c r="O32" s="1443"/>
      <c r="P32" s="1443"/>
      <c r="Q32" s="1443"/>
      <c r="R32" s="1443"/>
      <c r="S32" s="1443"/>
      <c r="T32" s="3277"/>
      <c r="U32" s="1443"/>
      <c r="V32" s="1443"/>
      <c r="W32" s="1443"/>
      <c r="X32" s="1443"/>
      <c r="Y32" s="1443"/>
      <c r="Z32" s="1443"/>
      <c r="AA32" s="1443"/>
      <c r="AB32" s="1443"/>
      <c r="AC32" s="1966"/>
      <c r="AD32" s="7755"/>
      <c r="AE32" s="7756"/>
      <c r="AF32" s="7756"/>
      <c r="AG32" s="7756"/>
      <c r="AH32" s="7756"/>
      <c r="AI32" s="7756"/>
      <c r="AJ32" s="7756"/>
      <c r="AK32" s="7756"/>
      <c r="AL32" s="7756"/>
      <c r="AM32" s="7756"/>
      <c r="AN32" s="7756"/>
      <c r="AO32" s="7756"/>
      <c r="AP32" s="3350"/>
      <c r="AQ32" s="1075"/>
      <c r="BD32" s="3169"/>
      <c r="BE32" s="3169"/>
      <c r="BF32" s="3169"/>
      <c r="BG32" s="3169"/>
      <c r="BH32" s="3169"/>
      <c r="BI32" s="3169"/>
      <c r="BJ32" s="3169"/>
      <c r="BK32" s="3169"/>
      <c r="BL32" s="3169"/>
      <c r="BM32" s="3169"/>
      <c r="BN32" s="3169"/>
    </row>
    <row r="33" spans="1:66" ht="14.25" customHeight="1">
      <c r="A33" s="3350"/>
      <c r="B33" s="6251"/>
      <c r="C33" s="6251"/>
      <c r="D33" s="7751"/>
      <c r="E33" s="7752"/>
      <c r="F33" s="7752"/>
      <c r="G33" s="7752"/>
      <c r="H33" s="7752"/>
      <c r="I33" s="7752"/>
      <c r="J33" s="7752"/>
      <c r="K33" s="7752"/>
      <c r="L33" s="7753"/>
      <c r="M33" s="1803"/>
      <c r="N33" s="1803"/>
      <c r="O33" s="1803"/>
      <c r="P33" s="1803"/>
      <c r="Q33" s="1803"/>
      <c r="R33" s="1803"/>
      <c r="S33" s="1803"/>
      <c r="T33" s="1803"/>
      <c r="U33" s="1803"/>
      <c r="V33" s="1803"/>
      <c r="W33" s="1803"/>
      <c r="X33" s="1803"/>
      <c r="Y33" s="1803"/>
      <c r="Z33" s="1803"/>
      <c r="AA33" s="1803"/>
      <c r="AB33" s="1803"/>
      <c r="AC33" s="1803"/>
      <c r="AD33" s="7757"/>
      <c r="AE33" s="7758"/>
      <c r="AF33" s="7758"/>
      <c r="AG33" s="7758"/>
      <c r="AH33" s="7758"/>
      <c r="AI33" s="7758"/>
      <c r="AJ33" s="7758"/>
      <c r="AK33" s="7758"/>
      <c r="AL33" s="7758"/>
      <c r="AM33" s="7758"/>
      <c r="AN33" s="7758"/>
      <c r="AO33" s="7758"/>
      <c r="AP33" s="3350"/>
      <c r="BD33" s="3169"/>
      <c r="BE33" s="3169"/>
      <c r="BF33" s="3169"/>
      <c r="BG33" s="3169"/>
      <c r="BH33" s="3169"/>
      <c r="BI33" s="3169"/>
      <c r="BJ33" s="3169"/>
      <c r="BK33" s="3169"/>
      <c r="BL33" s="3169"/>
      <c r="BM33" s="3169"/>
      <c r="BN33" s="3169"/>
    </row>
    <row r="34" spans="1:66" ht="15">
      <c r="A34" s="3350"/>
      <c r="B34" s="3278" t="s">
        <v>359</v>
      </c>
      <c r="C34" s="1937"/>
      <c r="D34" s="1937" t="s">
        <v>2605</v>
      </c>
      <c r="E34" s="1937"/>
      <c r="F34" s="1937"/>
      <c r="G34" s="1937"/>
      <c r="H34" s="1937"/>
      <c r="I34" s="1937"/>
      <c r="J34" s="1937"/>
      <c r="K34" s="1937"/>
      <c r="L34" s="1937"/>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7"/>
      <c r="AJ34" s="1937"/>
      <c r="AK34" s="1937"/>
      <c r="AL34" s="1937"/>
      <c r="AM34" s="1937"/>
      <c r="AN34" s="1937"/>
      <c r="AO34" s="1937"/>
      <c r="AP34" s="3350"/>
      <c r="BD34" s="3169"/>
      <c r="BE34" s="3169"/>
      <c r="BF34" s="3169"/>
      <c r="BG34" s="3169"/>
      <c r="BH34" s="3169"/>
      <c r="BI34" s="3169"/>
      <c r="BJ34" s="3169"/>
      <c r="BK34" s="3169"/>
      <c r="BL34" s="3169"/>
      <c r="BM34" s="3169"/>
      <c r="BN34" s="3169"/>
    </row>
    <row r="35" spans="1:66" ht="15" customHeight="1">
      <c r="A35" s="3350"/>
      <c r="B35" s="3279"/>
      <c r="C35" s="3280"/>
      <c r="D35" s="6310" t="s">
        <v>2611</v>
      </c>
      <c r="E35" s="7765"/>
      <c r="F35" s="7765"/>
      <c r="G35" s="7766"/>
      <c r="H35" s="6310" t="s">
        <v>2610</v>
      </c>
      <c r="I35" s="7765"/>
      <c r="J35" s="7765"/>
      <c r="K35" s="7765"/>
      <c r="L35" s="7782"/>
      <c r="M35" s="6310" t="s">
        <v>2609</v>
      </c>
      <c r="N35" s="7765"/>
      <c r="O35" s="7765"/>
      <c r="P35" s="7765"/>
      <c r="Q35" s="7765"/>
      <c r="R35" s="7765"/>
      <c r="S35" s="7766"/>
      <c r="T35" s="6310" t="s">
        <v>2608</v>
      </c>
      <c r="U35" s="6820"/>
      <c r="V35" s="6820"/>
      <c r="W35" s="6820"/>
      <c r="X35" s="6820"/>
      <c r="Y35" s="6820"/>
      <c r="Z35" s="7769"/>
      <c r="AA35" s="6310" t="s">
        <v>2607</v>
      </c>
      <c r="AB35" s="6213"/>
      <c r="AC35" s="6213"/>
      <c r="AD35" s="6213"/>
      <c r="AE35" s="6213"/>
      <c r="AF35" s="6213"/>
      <c r="AG35" s="6214"/>
      <c r="AH35" s="6310" t="s">
        <v>2606</v>
      </c>
      <c r="AI35" s="6213"/>
      <c r="AJ35" s="6213"/>
      <c r="AK35" s="6213"/>
      <c r="AL35" s="6213"/>
      <c r="AM35" s="6213"/>
      <c r="AN35" s="6213"/>
      <c r="AO35" s="6213"/>
      <c r="AP35" s="3350"/>
      <c r="BD35" s="3169"/>
      <c r="BE35" s="3169"/>
      <c r="BF35" s="3169"/>
      <c r="BG35" s="3169"/>
      <c r="BH35" s="3169"/>
      <c r="BI35" s="3169"/>
      <c r="BJ35" s="3169"/>
      <c r="BK35" s="3169"/>
      <c r="BL35" s="3169"/>
      <c r="BM35" s="3169"/>
      <c r="BN35" s="3169"/>
    </row>
    <row r="36" spans="1:66" ht="15" customHeight="1">
      <c r="A36" s="3350"/>
      <c r="B36" s="3281"/>
      <c r="C36" s="3282"/>
      <c r="D36" s="6832"/>
      <c r="E36" s="7767"/>
      <c r="F36" s="7767"/>
      <c r="G36" s="7768"/>
      <c r="H36" s="6832"/>
      <c r="I36" s="7767"/>
      <c r="J36" s="7767"/>
      <c r="K36" s="7767"/>
      <c r="L36" s="7783"/>
      <c r="M36" s="6832"/>
      <c r="N36" s="7767"/>
      <c r="O36" s="7767"/>
      <c r="P36" s="7767"/>
      <c r="Q36" s="7767"/>
      <c r="R36" s="7767"/>
      <c r="S36" s="7768"/>
      <c r="T36" s="6823"/>
      <c r="U36" s="6824"/>
      <c r="V36" s="6824"/>
      <c r="W36" s="6824"/>
      <c r="X36" s="6824"/>
      <c r="Y36" s="6824"/>
      <c r="Z36" s="7770"/>
      <c r="AA36" s="7771"/>
      <c r="AB36" s="6217"/>
      <c r="AC36" s="6217"/>
      <c r="AD36" s="6217"/>
      <c r="AE36" s="6217"/>
      <c r="AF36" s="6217"/>
      <c r="AG36" s="6218"/>
      <c r="AH36" s="7771"/>
      <c r="AI36" s="6217"/>
      <c r="AJ36" s="6217"/>
      <c r="AK36" s="6217"/>
      <c r="AL36" s="6217"/>
      <c r="AM36" s="6217"/>
      <c r="AN36" s="6217"/>
      <c r="AO36" s="6217"/>
      <c r="AP36" s="3350"/>
      <c r="BD36" s="3169"/>
      <c r="BE36" s="3169"/>
      <c r="BF36" s="3169"/>
      <c r="BG36" s="3169"/>
      <c r="BH36" s="3169"/>
      <c r="BI36" s="3169"/>
      <c r="BJ36" s="3169"/>
      <c r="BK36" s="3169"/>
      <c r="BL36" s="3169"/>
      <c r="BM36" s="3169"/>
      <c r="BN36" s="3169"/>
    </row>
    <row r="37" spans="1:66" ht="17.25" customHeight="1">
      <c r="A37" s="3350"/>
      <c r="B37" s="7772" t="s">
        <v>159</v>
      </c>
      <c r="C37" s="7773"/>
      <c r="D37" s="6800"/>
      <c r="E37" s="6801"/>
      <c r="F37" s="6801"/>
      <c r="G37" s="7774"/>
      <c r="H37" s="7775"/>
      <c r="I37" s="7776"/>
      <c r="J37" s="7776"/>
      <c r="K37" s="7776"/>
      <c r="L37" s="7777"/>
      <c r="M37" s="7778"/>
      <c r="N37" s="7779"/>
      <c r="O37" s="7779"/>
      <c r="P37" s="7779"/>
      <c r="Q37" s="7779"/>
      <c r="R37" s="7779"/>
      <c r="S37" s="7780"/>
      <c r="T37" s="7659"/>
      <c r="U37" s="7662"/>
      <c r="V37" s="7662"/>
      <c r="W37" s="7662"/>
      <c r="X37" s="7662"/>
      <c r="Y37" s="7662"/>
      <c r="Z37" s="7781"/>
      <c r="AA37" s="7659"/>
      <c r="AB37" s="7662"/>
      <c r="AC37" s="7662"/>
      <c r="AD37" s="7662"/>
      <c r="AE37" s="7662"/>
      <c r="AF37" s="7662"/>
      <c r="AG37" s="7781"/>
      <c r="AH37" s="7778"/>
      <c r="AI37" s="7779"/>
      <c r="AJ37" s="7779"/>
      <c r="AK37" s="7779"/>
      <c r="AL37" s="7779"/>
      <c r="AM37" s="7779"/>
      <c r="AN37" s="7779"/>
      <c r="AO37" s="7779"/>
      <c r="AP37" s="3350"/>
      <c r="BD37" s="3169"/>
      <c r="BE37" s="3169"/>
      <c r="BF37" s="3169"/>
      <c r="BG37" s="3169"/>
      <c r="BH37" s="3169"/>
      <c r="BI37" s="3169"/>
      <c r="BJ37" s="3169"/>
      <c r="BK37" s="3169"/>
      <c r="BL37" s="3169"/>
      <c r="BM37" s="3169"/>
      <c r="BN37" s="3169"/>
    </row>
    <row r="38" spans="1:66" ht="17.25" customHeight="1">
      <c r="A38" s="3350"/>
      <c r="B38" s="7772" t="s">
        <v>327</v>
      </c>
      <c r="C38" s="7773"/>
      <c r="D38" s="6800"/>
      <c r="E38" s="6801"/>
      <c r="F38" s="6801"/>
      <c r="G38" s="7774"/>
      <c r="H38" s="7775"/>
      <c r="I38" s="7776"/>
      <c r="J38" s="7776"/>
      <c r="K38" s="7776"/>
      <c r="L38" s="7777"/>
      <c r="M38" s="7778"/>
      <c r="N38" s="7779"/>
      <c r="O38" s="7779"/>
      <c r="P38" s="7779"/>
      <c r="Q38" s="7779"/>
      <c r="R38" s="7779"/>
      <c r="S38" s="7780"/>
      <c r="T38" s="7659"/>
      <c r="U38" s="7662"/>
      <c r="V38" s="7662"/>
      <c r="W38" s="7662"/>
      <c r="X38" s="7662"/>
      <c r="Y38" s="7662"/>
      <c r="Z38" s="7781"/>
      <c r="AA38" s="7659"/>
      <c r="AB38" s="7662"/>
      <c r="AC38" s="7662"/>
      <c r="AD38" s="7662"/>
      <c r="AE38" s="7662"/>
      <c r="AF38" s="7662"/>
      <c r="AG38" s="7781"/>
      <c r="AH38" s="7778"/>
      <c r="AI38" s="7779"/>
      <c r="AJ38" s="7779"/>
      <c r="AK38" s="7779"/>
      <c r="AL38" s="7779"/>
      <c r="AM38" s="7779"/>
      <c r="AN38" s="7779"/>
      <c r="AO38" s="7779"/>
      <c r="AP38" s="3350"/>
      <c r="BD38" s="3169"/>
      <c r="BE38" s="3169"/>
      <c r="BF38" s="3169"/>
      <c r="BG38" s="3169"/>
      <c r="BH38" s="3169"/>
      <c r="BI38" s="3169"/>
      <c r="BJ38" s="3169"/>
      <c r="BK38" s="3169"/>
      <c r="BL38" s="3169"/>
      <c r="BM38" s="3169"/>
      <c r="BN38" s="3169"/>
    </row>
    <row r="39" spans="1:66" ht="17.25" customHeight="1">
      <c r="A39" s="3350"/>
      <c r="B39" s="7772" t="s">
        <v>160</v>
      </c>
      <c r="C39" s="7773"/>
      <c r="D39" s="6800"/>
      <c r="E39" s="6801"/>
      <c r="F39" s="6801"/>
      <c r="G39" s="7774"/>
      <c r="H39" s="7775"/>
      <c r="I39" s="7776"/>
      <c r="J39" s="7776"/>
      <c r="K39" s="7776"/>
      <c r="L39" s="7777"/>
      <c r="M39" s="7778"/>
      <c r="N39" s="7779"/>
      <c r="O39" s="7779"/>
      <c r="P39" s="7779"/>
      <c r="Q39" s="7779"/>
      <c r="R39" s="7779"/>
      <c r="S39" s="7780"/>
      <c r="T39" s="7659"/>
      <c r="U39" s="7662"/>
      <c r="V39" s="7662"/>
      <c r="W39" s="7662"/>
      <c r="X39" s="7662"/>
      <c r="Y39" s="7662"/>
      <c r="Z39" s="7781"/>
      <c r="AA39" s="7659"/>
      <c r="AB39" s="7662"/>
      <c r="AC39" s="7662"/>
      <c r="AD39" s="7662"/>
      <c r="AE39" s="7662"/>
      <c r="AF39" s="7662"/>
      <c r="AG39" s="7781"/>
      <c r="AH39" s="7778"/>
      <c r="AI39" s="7779"/>
      <c r="AJ39" s="7779"/>
      <c r="AK39" s="7779"/>
      <c r="AL39" s="7779"/>
      <c r="AM39" s="7779"/>
      <c r="AN39" s="7779"/>
      <c r="AO39" s="7779"/>
      <c r="AP39" s="3350"/>
      <c r="BD39" s="3169"/>
      <c r="BE39" s="3169"/>
      <c r="BF39" s="3169"/>
      <c r="BG39" s="3169"/>
      <c r="BH39" s="3169"/>
      <c r="BI39" s="3169"/>
      <c r="BJ39" s="3169"/>
      <c r="BK39" s="3169"/>
      <c r="BL39" s="3169"/>
      <c r="BM39" s="3169"/>
      <c r="BN39" s="3169"/>
    </row>
    <row r="40" spans="1:66" ht="17.25" customHeight="1">
      <c r="A40" s="3350"/>
      <c r="B40" s="7772" t="s">
        <v>329</v>
      </c>
      <c r="C40" s="7773"/>
      <c r="D40" s="6800"/>
      <c r="E40" s="6801"/>
      <c r="F40" s="6801"/>
      <c r="G40" s="7774"/>
      <c r="H40" s="7775"/>
      <c r="I40" s="7776"/>
      <c r="J40" s="7776"/>
      <c r="K40" s="7776"/>
      <c r="L40" s="7777"/>
      <c r="M40" s="7778"/>
      <c r="N40" s="7779"/>
      <c r="O40" s="7779"/>
      <c r="P40" s="7779"/>
      <c r="Q40" s="7779"/>
      <c r="R40" s="7779"/>
      <c r="S40" s="7780"/>
      <c r="T40" s="7659"/>
      <c r="U40" s="7662"/>
      <c r="V40" s="7662"/>
      <c r="W40" s="7662"/>
      <c r="X40" s="7662"/>
      <c r="Y40" s="7662"/>
      <c r="Z40" s="7781"/>
      <c r="AA40" s="7659"/>
      <c r="AB40" s="7662"/>
      <c r="AC40" s="7662"/>
      <c r="AD40" s="7662"/>
      <c r="AE40" s="7662"/>
      <c r="AF40" s="7662"/>
      <c r="AG40" s="7781"/>
      <c r="AH40" s="7778"/>
      <c r="AI40" s="7779"/>
      <c r="AJ40" s="7779"/>
      <c r="AK40" s="7779"/>
      <c r="AL40" s="7779"/>
      <c r="AM40" s="7779"/>
      <c r="AN40" s="7779"/>
      <c r="AO40" s="7779"/>
      <c r="AP40" s="3350"/>
      <c r="BD40" s="3169"/>
      <c r="BE40" s="3169"/>
      <c r="BF40" s="3169"/>
      <c r="BG40" s="3169"/>
      <c r="BH40" s="3169"/>
      <c r="BI40" s="3169"/>
      <c r="BJ40" s="3169"/>
      <c r="BK40" s="3169"/>
      <c r="BL40" s="3169"/>
      <c r="BM40" s="3169"/>
      <c r="BN40" s="3169"/>
    </row>
    <row r="41" spans="1:66" ht="17.25" customHeight="1">
      <c r="A41" s="3350"/>
      <c r="B41" s="7772" t="s">
        <v>419</v>
      </c>
      <c r="C41" s="7773"/>
      <c r="D41" s="6800"/>
      <c r="E41" s="6801"/>
      <c r="F41" s="6801"/>
      <c r="G41" s="7774"/>
      <c r="H41" s="7775"/>
      <c r="I41" s="7776"/>
      <c r="J41" s="7776"/>
      <c r="K41" s="7776"/>
      <c r="L41" s="7777"/>
      <c r="M41" s="7778"/>
      <c r="N41" s="7779"/>
      <c r="O41" s="7779"/>
      <c r="P41" s="7779"/>
      <c r="Q41" s="7779"/>
      <c r="R41" s="7779"/>
      <c r="S41" s="7780"/>
      <c r="T41" s="7659"/>
      <c r="U41" s="7662"/>
      <c r="V41" s="7662"/>
      <c r="W41" s="7662"/>
      <c r="X41" s="7662"/>
      <c r="Y41" s="7662"/>
      <c r="Z41" s="7781"/>
      <c r="AA41" s="7659"/>
      <c r="AB41" s="7662"/>
      <c r="AC41" s="7662"/>
      <c r="AD41" s="7662"/>
      <c r="AE41" s="7662"/>
      <c r="AF41" s="7662"/>
      <c r="AG41" s="7781"/>
      <c r="AH41" s="7778"/>
      <c r="AI41" s="7779"/>
      <c r="AJ41" s="7779"/>
      <c r="AK41" s="7779"/>
      <c r="AL41" s="7779"/>
      <c r="AM41" s="7779"/>
      <c r="AN41" s="7779"/>
      <c r="AO41" s="7779"/>
      <c r="AP41" s="3350"/>
      <c r="BD41" s="3169"/>
      <c r="BE41" s="3169"/>
      <c r="BF41" s="3169"/>
      <c r="BG41" s="3169"/>
      <c r="BH41" s="3169"/>
      <c r="BI41" s="3169"/>
      <c r="BJ41" s="3169"/>
      <c r="BK41" s="3169"/>
      <c r="BL41" s="3169"/>
      <c r="BM41" s="3169"/>
      <c r="BN41" s="3169"/>
    </row>
    <row r="42" spans="1:66" s="3272" customFormat="1" ht="15.75">
      <c r="A42" s="3351"/>
      <c r="B42" s="7694" t="s">
        <v>130</v>
      </c>
      <c r="C42" s="7694"/>
      <c r="D42" s="7695"/>
      <c r="E42" s="1750"/>
      <c r="F42" s="3283" t="s">
        <v>2612</v>
      </c>
      <c r="G42" s="1750"/>
      <c r="H42" s="1750"/>
      <c r="I42" s="1750"/>
      <c r="J42" s="1750"/>
      <c r="K42" s="1750"/>
      <c r="L42" s="1750"/>
      <c r="M42" s="1750"/>
      <c r="N42" s="1750"/>
      <c r="O42" s="1750"/>
      <c r="P42" s="1750"/>
      <c r="Q42" s="1750"/>
      <c r="R42" s="1750"/>
      <c r="S42" s="1750"/>
      <c r="T42" s="1750"/>
      <c r="U42" s="1750"/>
      <c r="V42" s="1750"/>
      <c r="W42" s="1750"/>
      <c r="X42" s="1750"/>
      <c r="Y42" s="1750"/>
      <c r="Z42" s="1750"/>
      <c r="AA42" s="1750"/>
      <c r="AB42" s="1750"/>
      <c r="AC42" s="1750"/>
      <c r="AD42" s="1750"/>
      <c r="AE42" s="1750"/>
      <c r="AF42" s="1750"/>
      <c r="AG42" s="1750"/>
      <c r="AH42" s="1750"/>
      <c r="AI42" s="1750"/>
      <c r="AJ42" s="1750"/>
      <c r="AK42" s="1750"/>
      <c r="AL42" s="1750"/>
      <c r="AM42" s="1750"/>
      <c r="AN42" s="1750"/>
      <c r="AO42" s="1750"/>
      <c r="AP42" s="3350"/>
      <c r="BD42" s="3169"/>
      <c r="BE42" s="3169"/>
      <c r="BF42" s="3169"/>
      <c r="BG42" s="3169"/>
      <c r="BH42" s="3169"/>
      <c r="BI42" s="3169"/>
      <c r="BJ42" s="3169"/>
      <c r="BK42" s="3169"/>
      <c r="BL42" s="3169"/>
      <c r="BM42" s="3169"/>
      <c r="BN42" s="3169"/>
    </row>
    <row r="43" spans="1:66" ht="13.5" customHeight="1">
      <c r="A43" s="3350"/>
      <c r="B43" s="1443"/>
      <c r="C43" s="1443"/>
      <c r="D43" s="1443"/>
      <c r="E43" s="1443"/>
      <c r="F43" s="1922" t="s">
        <v>2613</v>
      </c>
      <c r="G43" s="1443"/>
      <c r="H43" s="1443"/>
      <c r="I43" s="1443"/>
      <c r="J43" s="1443"/>
      <c r="K43" s="1443"/>
      <c r="L43" s="1443"/>
      <c r="M43" s="1443"/>
      <c r="N43" s="1443"/>
      <c r="O43" s="1443"/>
      <c r="P43" s="1443"/>
      <c r="Q43" s="1443"/>
      <c r="R43" s="1443"/>
      <c r="S43" s="1443"/>
      <c r="T43" s="1443"/>
      <c r="U43" s="1443"/>
      <c r="V43" s="1443"/>
      <c r="W43" s="1443"/>
      <c r="X43" s="1443"/>
      <c r="Y43" s="1443"/>
      <c r="Z43" s="1443"/>
      <c r="AA43" s="1443"/>
      <c r="AB43" s="1443"/>
      <c r="AC43" s="1443"/>
      <c r="AD43" s="1443"/>
      <c r="AE43" s="1443"/>
      <c r="AF43" s="1443"/>
      <c r="AG43" s="1443"/>
      <c r="AH43" s="1443"/>
      <c r="AI43" s="1443"/>
      <c r="AJ43" s="1443"/>
      <c r="AK43" s="1443"/>
      <c r="AL43" s="1443"/>
      <c r="AM43" s="1443"/>
      <c r="AN43" s="1443"/>
      <c r="AO43" s="1443"/>
      <c r="AP43" s="3350"/>
      <c r="BD43" s="3169"/>
      <c r="BE43" s="3169"/>
      <c r="BF43" s="3169"/>
      <c r="BG43" s="3169"/>
      <c r="BH43" s="3169"/>
      <c r="BI43" s="3169"/>
      <c r="BJ43" s="3169"/>
      <c r="BK43" s="3169"/>
      <c r="BL43" s="3169"/>
      <c r="BM43" s="3169"/>
      <c r="BN43" s="3169"/>
    </row>
    <row r="44" spans="1:66" ht="13.5" customHeight="1">
      <c r="A44" s="3350"/>
      <c r="B44" s="1936"/>
      <c r="C44" s="1936"/>
      <c r="D44" s="1936"/>
      <c r="E44" s="1936"/>
      <c r="F44" s="1751" t="s">
        <v>2614</v>
      </c>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6"/>
      <c r="AJ44" s="1936"/>
      <c r="AK44" s="1936"/>
      <c r="AL44" s="1936"/>
      <c r="AM44" s="1936"/>
      <c r="AN44" s="1936"/>
      <c r="AO44" s="1936"/>
      <c r="AP44" s="3350"/>
      <c r="BD44" s="3169"/>
      <c r="BE44" s="3169"/>
      <c r="BF44" s="3169"/>
      <c r="BG44" s="3169"/>
      <c r="BH44" s="3169"/>
      <c r="BI44" s="3169"/>
      <c r="BJ44" s="3169"/>
      <c r="BK44" s="3169"/>
      <c r="BL44" s="3169"/>
      <c r="BM44" s="3169"/>
      <c r="BN44" s="3169"/>
    </row>
    <row r="45" spans="1:66" ht="15">
      <c r="A45" s="3350"/>
      <c r="B45" s="7784" t="s">
        <v>386</v>
      </c>
      <c r="C45" s="7785"/>
      <c r="D45" s="3269" t="s">
        <v>2615</v>
      </c>
      <c r="E45" s="1443"/>
      <c r="F45" s="1443"/>
      <c r="G45" s="1443"/>
      <c r="H45" s="1443"/>
      <c r="I45" s="1443"/>
      <c r="J45" s="1443"/>
      <c r="K45" s="1443"/>
      <c r="L45" s="1443"/>
      <c r="M45" s="1443"/>
      <c r="N45" s="1443"/>
      <c r="O45" s="1443"/>
      <c r="P45" s="1443"/>
      <c r="Q45" s="1443"/>
      <c r="R45" s="1443"/>
      <c r="S45" s="1443"/>
      <c r="T45" s="1443"/>
      <c r="U45" s="1443"/>
      <c r="V45" s="1443"/>
      <c r="W45" s="1443"/>
      <c r="X45" s="1443"/>
      <c r="Y45" s="1443"/>
      <c r="Z45" s="1443"/>
      <c r="AA45" s="1443"/>
      <c r="AB45" s="1443"/>
      <c r="AC45" s="1443"/>
      <c r="AD45" s="1443"/>
      <c r="AE45" s="1443"/>
      <c r="AF45" s="1443"/>
      <c r="AG45" s="1443"/>
      <c r="AH45" s="1443"/>
      <c r="AI45" s="7787"/>
      <c r="AJ45" s="7787"/>
      <c r="AK45" s="7787"/>
      <c r="AL45" s="7787"/>
      <c r="AM45" s="7787"/>
      <c r="AN45" s="7787"/>
      <c r="AO45" s="7787"/>
      <c r="AP45" s="3350"/>
      <c r="BD45" s="3169"/>
      <c r="BE45" s="3169"/>
      <c r="BF45" s="3169"/>
      <c r="BG45" s="3169"/>
      <c r="BH45" s="3169"/>
      <c r="BI45" s="3169"/>
      <c r="BJ45" s="3169"/>
      <c r="BK45" s="3169"/>
      <c r="BL45" s="3169"/>
      <c r="BM45" s="3169"/>
      <c r="BN45" s="3169"/>
    </row>
    <row r="46" spans="1:66" ht="14.25">
      <c r="A46" s="3350"/>
      <c r="B46" s="3285"/>
      <c r="C46" s="3285"/>
      <c r="D46" s="3269" t="s">
        <v>2616</v>
      </c>
      <c r="E46" s="1443"/>
      <c r="F46" s="1443"/>
      <c r="G46" s="1443"/>
      <c r="H46" s="1443"/>
      <c r="I46" s="1443"/>
      <c r="J46" s="1443"/>
      <c r="K46" s="1443"/>
      <c r="L46" s="1443"/>
      <c r="M46" s="1443"/>
      <c r="N46" s="1443"/>
      <c r="O46" s="1443"/>
      <c r="P46" s="1443"/>
      <c r="Q46" s="1443"/>
      <c r="R46" s="1443"/>
      <c r="S46" s="1443"/>
      <c r="T46" s="1443"/>
      <c r="U46" s="1443"/>
      <c r="V46" s="1443"/>
      <c r="W46" s="1443"/>
      <c r="X46" s="1443"/>
      <c r="Y46" s="1443"/>
      <c r="Z46" s="1443"/>
      <c r="AA46" s="1443"/>
      <c r="AB46" s="1443"/>
      <c r="AC46" s="1443"/>
      <c r="AD46" s="1443"/>
      <c r="AE46" s="1443"/>
      <c r="AF46" s="1443"/>
      <c r="AG46" s="1443"/>
      <c r="AH46" s="1443"/>
      <c r="AI46" s="1443"/>
      <c r="AJ46" s="1443"/>
      <c r="AK46" s="1443"/>
      <c r="AL46" s="1443"/>
      <c r="AM46" s="1443"/>
      <c r="AN46" s="1443"/>
      <c r="AO46" s="1443"/>
      <c r="AP46" s="3350"/>
      <c r="BD46" s="3169"/>
      <c r="BE46" s="3169"/>
      <c r="BF46" s="3169"/>
      <c r="BG46" s="3169"/>
      <c r="BH46" s="3169"/>
      <c r="BI46" s="3169"/>
      <c r="BJ46" s="3169"/>
      <c r="BK46" s="3169"/>
      <c r="BL46" s="3169"/>
      <c r="BM46" s="3169"/>
      <c r="BN46" s="3169"/>
    </row>
    <row r="47" spans="1:66" ht="15">
      <c r="A47" s="3350"/>
      <c r="B47" s="6879" t="s">
        <v>54</v>
      </c>
      <c r="C47" s="6879"/>
      <c r="D47" s="3269" t="s">
        <v>2617</v>
      </c>
      <c r="E47" s="1443"/>
      <c r="F47" s="1443"/>
      <c r="G47" s="1443"/>
      <c r="H47" s="1443"/>
      <c r="I47" s="1443"/>
      <c r="J47" s="1443"/>
      <c r="K47" s="1443"/>
      <c r="L47" s="1443"/>
      <c r="M47" s="1443"/>
      <c r="N47" s="1443"/>
      <c r="O47" s="1443"/>
      <c r="P47" s="1443"/>
      <c r="Q47" s="1443"/>
      <c r="R47" s="1443"/>
      <c r="S47" s="1443"/>
      <c r="T47" s="1443"/>
      <c r="U47" s="1443"/>
      <c r="V47" s="1443"/>
      <c r="W47" s="1443"/>
      <c r="X47" s="1443"/>
      <c r="Y47" s="1443"/>
      <c r="Z47" s="3284" t="s">
        <v>2618</v>
      </c>
      <c r="AA47" s="3269" t="s">
        <v>2619</v>
      </c>
      <c r="AB47" s="3269"/>
      <c r="AC47" s="1443"/>
      <c r="AD47" s="1443"/>
      <c r="AE47" s="1443"/>
      <c r="AF47" s="1443"/>
      <c r="AG47" s="1443"/>
      <c r="AH47" s="1443"/>
      <c r="AI47" s="7786"/>
      <c r="AJ47" s="7786"/>
      <c r="AK47" s="7786"/>
      <c r="AL47" s="7786"/>
      <c r="AM47" s="7786"/>
      <c r="AN47" s="7786"/>
      <c r="AO47" s="7786"/>
      <c r="AP47" s="3350"/>
      <c r="BD47" s="3169"/>
      <c r="BE47" s="3169"/>
      <c r="BF47" s="3169"/>
      <c r="BG47" s="3169"/>
      <c r="BH47" s="3169"/>
      <c r="BI47" s="3169"/>
      <c r="BJ47" s="3169"/>
      <c r="BK47" s="3169"/>
      <c r="BL47" s="3169"/>
      <c r="BM47" s="3169"/>
      <c r="BN47" s="3169"/>
    </row>
    <row r="48" spans="1:66" ht="15">
      <c r="A48" s="3350"/>
      <c r="B48" s="6879"/>
      <c r="C48" s="6879"/>
      <c r="D48" s="3269"/>
      <c r="E48" s="1443"/>
      <c r="F48" s="1443"/>
      <c r="G48" s="1443"/>
      <c r="H48" s="1443"/>
      <c r="I48" s="1443"/>
      <c r="J48" s="1443"/>
      <c r="K48" s="1443"/>
      <c r="L48" s="1443"/>
      <c r="M48" s="1443"/>
      <c r="N48" s="1443"/>
      <c r="O48" s="1443"/>
      <c r="P48" s="1443"/>
      <c r="Q48" s="1443"/>
      <c r="R48" s="1443"/>
      <c r="S48" s="1443"/>
      <c r="T48" s="1443"/>
      <c r="U48" s="1443"/>
      <c r="V48" s="1443"/>
      <c r="W48" s="1443"/>
      <c r="X48" s="1443"/>
      <c r="Y48" s="1443"/>
      <c r="Z48" s="3284" t="s">
        <v>2620</v>
      </c>
      <c r="AA48" s="3269" t="s">
        <v>2621</v>
      </c>
      <c r="AB48" s="3269"/>
      <c r="AC48" s="1443"/>
      <c r="AD48" s="1443"/>
      <c r="AE48" s="1443"/>
      <c r="AF48" s="1443"/>
      <c r="AG48" s="1443"/>
      <c r="AH48" s="1443"/>
      <c r="AI48" s="7787"/>
      <c r="AJ48" s="7787"/>
      <c r="AK48" s="7787"/>
      <c r="AL48" s="7787"/>
      <c r="AM48" s="7787"/>
      <c r="AN48" s="7787"/>
      <c r="AO48" s="7787"/>
      <c r="AP48" s="3350"/>
      <c r="BD48" s="3169"/>
      <c r="BE48" s="3169"/>
      <c r="BF48" s="3169"/>
      <c r="BG48" s="3169"/>
      <c r="BH48" s="3169"/>
      <c r="BI48" s="3169"/>
      <c r="BJ48" s="3169"/>
      <c r="BK48" s="3169"/>
      <c r="BL48" s="3169"/>
      <c r="BM48" s="3169"/>
      <c r="BN48" s="3169"/>
    </row>
    <row r="49" spans="1:66" ht="15">
      <c r="A49" s="3350"/>
      <c r="B49" s="6879" t="s">
        <v>55</v>
      </c>
      <c r="C49" s="6879"/>
      <c r="D49" s="3269" t="s">
        <v>2622</v>
      </c>
      <c r="E49" s="1443"/>
      <c r="F49" s="1443"/>
      <c r="G49" s="1443"/>
      <c r="H49" s="1443"/>
      <c r="I49" s="1443"/>
      <c r="J49" s="1443"/>
      <c r="K49" s="1443"/>
      <c r="L49" s="1443"/>
      <c r="M49" s="1443"/>
      <c r="N49" s="1443"/>
      <c r="O49" s="1443"/>
      <c r="P49" s="1443"/>
      <c r="Q49" s="1443"/>
      <c r="R49" s="1443"/>
      <c r="S49" s="1443"/>
      <c r="T49" s="1443"/>
      <c r="U49" s="1443"/>
      <c r="V49" s="1443"/>
      <c r="W49" s="1443"/>
      <c r="X49" s="1443"/>
      <c r="Y49" s="1443"/>
      <c r="Z49" s="1443"/>
      <c r="AA49" s="1443"/>
      <c r="AB49" s="1443"/>
      <c r="AC49" s="1443"/>
      <c r="AD49" s="1443"/>
      <c r="AE49" s="1443"/>
      <c r="AF49" s="1443"/>
      <c r="AG49" s="1443"/>
      <c r="AH49" s="1443"/>
      <c r="AI49" s="1443"/>
      <c r="AJ49" s="1443"/>
      <c r="AK49" s="1443"/>
      <c r="AL49" s="1443"/>
      <c r="AM49" s="1443"/>
      <c r="AN49" s="1443"/>
      <c r="AO49" s="1443"/>
      <c r="AP49" s="3350"/>
      <c r="BD49" s="3169"/>
      <c r="BE49" s="3169"/>
      <c r="BF49" s="3169"/>
      <c r="BG49" s="3169"/>
      <c r="BH49" s="3169"/>
      <c r="BI49" s="3169"/>
      <c r="BJ49" s="3169"/>
      <c r="BK49" s="3169"/>
      <c r="BL49" s="3169"/>
      <c r="BM49" s="3169"/>
      <c r="BN49" s="3169"/>
    </row>
    <row r="50" spans="1:66" ht="14.25">
      <c r="A50" s="3350"/>
      <c r="B50" s="3285"/>
      <c r="C50" s="3285"/>
      <c r="D50" s="3269" t="s">
        <v>2623</v>
      </c>
      <c r="E50" s="1443"/>
      <c r="F50" s="1443"/>
      <c r="G50" s="1443"/>
      <c r="H50" s="1443"/>
      <c r="I50" s="1443"/>
      <c r="J50" s="1443"/>
      <c r="K50" s="1443"/>
      <c r="L50" s="1443"/>
      <c r="M50" s="1443"/>
      <c r="N50" s="1443"/>
      <c r="O50" s="1443"/>
      <c r="P50" s="1443"/>
      <c r="Q50" s="1443"/>
      <c r="R50" s="1443"/>
      <c r="S50" s="1443"/>
      <c r="T50" s="1443"/>
      <c r="U50" s="1443"/>
      <c r="V50" s="1443"/>
      <c r="W50" s="1443"/>
      <c r="X50" s="1443"/>
      <c r="Y50" s="1443"/>
      <c r="Z50" s="1443"/>
      <c r="AA50" s="1443"/>
      <c r="AB50" s="1443"/>
      <c r="AC50" s="1443"/>
      <c r="AD50" s="1443"/>
      <c r="AE50" s="1443"/>
      <c r="AF50" s="1443"/>
      <c r="AG50" s="1443"/>
      <c r="AH50" s="1443"/>
      <c r="AI50" s="1443"/>
      <c r="AJ50" s="1443"/>
      <c r="AK50" s="1443"/>
      <c r="AL50" s="1443"/>
      <c r="AM50" s="1443"/>
      <c r="AN50" s="1443"/>
      <c r="AO50" s="1443"/>
      <c r="AP50" s="3350"/>
      <c r="BD50" s="3169"/>
      <c r="BE50" s="3169"/>
      <c r="BF50" s="3169"/>
      <c r="BG50" s="3169"/>
      <c r="BH50" s="3169"/>
      <c r="BI50" s="3169"/>
      <c r="BJ50" s="3169"/>
      <c r="BK50" s="3169"/>
      <c r="BL50" s="3169"/>
      <c r="BM50" s="3169"/>
      <c r="BN50" s="3169"/>
    </row>
    <row r="51" spans="1:66">
      <c r="A51" s="3350"/>
      <c r="B51" s="3285"/>
      <c r="C51" s="3285"/>
      <c r="D51" s="1443" t="s">
        <v>2624</v>
      </c>
      <c r="E51" s="1443"/>
      <c r="F51" s="1443"/>
      <c r="G51" s="1443"/>
      <c r="H51" s="1443"/>
      <c r="I51" s="1443"/>
      <c r="J51" s="1443"/>
      <c r="K51" s="1443"/>
      <c r="L51" s="1443"/>
      <c r="M51" s="1443"/>
      <c r="N51" s="1443"/>
      <c r="O51" s="1443"/>
      <c r="P51" s="1443"/>
      <c r="Q51" s="1443"/>
      <c r="R51" s="1443"/>
      <c r="S51" s="1443"/>
      <c r="T51" s="1443"/>
      <c r="U51" s="1443"/>
      <c r="V51" s="1443"/>
      <c r="W51" s="1443"/>
      <c r="X51" s="1443"/>
      <c r="Y51" s="1443"/>
      <c r="Z51" s="1443"/>
      <c r="AA51" s="1443"/>
      <c r="AB51" s="1443"/>
      <c r="AC51" s="1443"/>
      <c r="AD51" s="1443"/>
      <c r="AE51" s="1443"/>
      <c r="AF51" s="1443"/>
      <c r="AG51" s="1443"/>
      <c r="AH51" s="1443"/>
      <c r="AI51" s="1443"/>
      <c r="AJ51" s="1443"/>
      <c r="AK51" s="1443"/>
      <c r="AL51" s="1443"/>
      <c r="AM51" s="1443"/>
      <c r="AN51" s="1443"/>
      <c r="AO51" s="1443"/>
      <c r="AP51" s="3350"/>
      <c r="BD51" s="3169"/>
      <c r="BE51" s="3169"/>
      <c r="BF51" s="3169"/>
      <c r="BG51" s="3169"/>
      <c r="BH51" s="3169"/>
      <c r="BI51" s="3169"/>
      <c r="BJ51" s="3169"/>
      <c r="BK51" s="3169"/>
      <c r="BL51" s="3169"/>
      <c r="BM51" s="3169"/>
      <c r="BN51" s="3169"/>
    </row>
    <row r="52" spans="1:66" ht="16.5" customHeight="1">
      <c r="A52" s="3350"/>
      <c r="B52" s="3285"/>
      <c r="C52" s="3285"/>
      <c r="D52" s="7788"/>
      <c r="E52" s="7789"/>
      <c r="F52" s="7789"/>
      <c r="G52" s="7789"/>
      <c r="H52" s="7789"/>
      <c r="I52" s="7789"/>
      <c r="J52" s="7789"/>
      <c r="K52" s="7789"/>
      <c r="L52" s="7789"/>
      <c r="M52" s="7789"/>
      <c r="N52" s="7789"/>
      <c r="O52" s="7789"/>
      <c r="P52" s="7789"/>
      <c r="Q52" s="7789"/>
      <c r="R52" s="7789"/>
      <c r="S52" s="7789"/>
      <c r="T52" s="7789"/>
      <c r="U52" s="7789"/>
      <c r="V52" s="7789"/>
      <c r="W52" s="7789"/>
      <c r="X52" s="7789"/>
      <c r="Y52" s="7789"/>
      <c r="Z52" s="7789"/>
      <c r="AA52" s="7789"/>
      <c r="AB52" s="7789"/>
      <c r="AC52" s="7789"/>
      <c r="AD52" s="7789"/>
      <c r="AE52" s="7789"/>
      <c r="AF52" s="7789"/>
      <c r="AG52" s="7789"/>
      <c r="AH52" s="7789"/>
      <c r="AI52" s="7789"/>
      <c r="AJ52" s="7789"/>
      <c r="AK52" s="7789"/>
      <c r="AL52" s="7789"/>
      <c r="AM52" s="7789"/>
      <c r="AN52" s="7789"/>
      <c r="AO52" s="7789"/>
      <c r="AP52" s="3350"/>
      <c r="BD52" s="3169"/>
      <c r="BE52" s="3169"/>
      <c r="BF52" s="3169"/>
      <c r="BG52" s="3169"/>
      <c r="BH52" s="3169"/>
      <c r="BI52" s="3169"/>
      <c r="BJ52" s="3169"/>
      <c r="BK52" s="3169"/>
      <c r="BL52" s="3169"/>
      <c r="BM52" s="3169"/>
      <c r="BN52" s="3169"/>
    </row>
    <row r="53" spans="1:66">
      <c r="A53" s="3350"/>
      <c r="B53" s="3285"/>
      <c r="C53" s="3285"/>
      <c r="D53" s="1443" t="s">
        <v>2625</v>
      </c>
      <c r="E53" s="1443"/>
      <c r="F53" s="1443"/>
      <c r="G53" s="1443"/>
      <c r="H53" s="1443"/>
      <c r="I53" s="1443"/>
      <c r="J53" s="1443"/>
      <c r="K53" s="1443"/>
      <c r="L53" s="1443"/>
      <c r="M53" s="1443"/>
      <c r="N53" s="1443"/>
      <c r="O53" s="1443"/>
      <c r="P53" s="1443"/>
      <c r="Q53" s="1443"/>
      <c r="R53" s="1443"/>
      <c r="S53" s="1443"/>
      <c r="T53" s="1443"/>
      <c r="U53" s="1443"/>
      <c r="V53" s="1443"/>
      <c r="W53" s="1443"/>
      <c r="X53" s="1443"/>
      <c r="Y53" s="1443"/>
      <c r="Z53" s="1443"/>
      <c r="AA53" s="1443"/>
      <c r="AB53" s="1443"/>
      <c r="AC53" s="1443"/>
      <c r="AD53" s="1443"/>
      <c r="AE53" s="1443"/>
      <c r="AF53" s="1443"/>
      <c r="AG53" s="1443"/>
      <c r="AH53" s="1443"/>
      <c r="AI53" s="1443"/>
      <c r="AJ53" s="1443"/>
      <c r="AK53" s="1443"/>
      <c r="AL53" s="1443"/>
      <c r="AM53" s="1443"/>
      <c r="AN53" s="1443"/>
      <c r="AO53" s="1443"/>
      <c r="AP53" s="3350"/>
      <c r="BD53" s="3169"/>
      <c r="BE53" s="3169"/>
      <c r="BF53" s="3169"/>
      <c r="BG53" s="3169"/>
      <c r="BH53" s="3169"/>
      <c r="BI53" s="3169"/>
      <c r="BJ53" s="3169"/>
      <c r="BK53" s="3169"/>
      <c r="BL53" s="3169"/>
      <c r="BM53" s="3169"/>
      <c r="BN53" s="3169"/>
    </row>
    <row r="54" spans="1:66" ht="16.5" customHeight="1">
      <c r="A54" s="3350"/>
      <c r="B54" s="3285"/>
      <c r="C54" s="3285"/>
      <c r="D54" s="7788"/>
      <c r="E54" s="7789"/>
      <c r="F54" s="7789"/>
      <c r="G54" s="7789"/>
      <c r="H54" s="7789"/>
      <c r="I54" s="7789"/>
      <c r="J54" s="7789"/>
      <c r="K54" s="7789"/>
      <c r="L54" s="7789"/>
      <c r="M54" s="7789"/>
      <c r="N54" s="7789"/>
      <c r="O54" s="7789"/>
      <c r="P54" s="7789"/>
      <c r="Q54" s="7789"/>
      <c r="R54" s="7789"/>
      <c r="S54" s="7789"/>
      <c r="T54" s="7789"/>
      <c r="U54" s="7789"/>
      <c r="V54" s="7789"/>
      <c r="W54" s="7789"/>
      <c r="X54" s="7789"/>
      <c r="Y54" s="7789"/>
      <c r="Z54" s="7789"/>
      <c r="AA54" s="7789"/>
      <c r="AB54" s="7789"/>
      <c r="AC54" s="7789"/>
      <c r="AD54" s="7789"/>
      <c r="AE54" s="7789"/>
      <c r="AF54" s="7789"/>
      <c r="AG54" s="7789"/>
      <c r="AH54" s="7789"/>
      <c r="AI54" s="7789"/>
      <c r="AJ54" s="7789"/>
      <c r="AK54" s="7789"/>
      <c r="AL54" s="7789"/>
      <c r="AM54" s="7789"/>
      <c r="AN54" s="7789"/>
      <c r="AO54" s="7789"/>
      <c r="AP54" s="3350"/>
      <c r="BD54" s="3169"/>
      <c r="BE54" s="3169"/>
      <c r="BF54" s="3169"/>
      <c r="BG54" s="3169"/>
      <c r="BH54" s="3169"/>
      <c r="BI54" s="3169"/>
      <c r="BJ54" s="3169"/>
      <c r="BK54" s="3169"/>
      <c r="BL54" s="3169"/>
      <c r="BM54" s="3169"/>
      <c r="BN54" s="3169"/>
    </row>
    <row r="55" spans="1:66">
      <c r="A55" s="3350"/>
      <c r="B55" s="3285"/>
      <c r="C55" s="3285"/>
      <c r="D55" s="1443" t="s">
        <v>2626</v>
      </c>
      <c r="E55" s="1443"/>
      <c r="F55" s="1443"/>
      <c r="G55" s="1443"/>
      <c r="H55" s="1443"/>
      <c r="I55" s="1443"/>
      <c r="J55" s="1443"/>
      <c r="K55" s="1443"/>
      <c r="L55" s="1443"/>
      <c r="M55" s="1443"/>
      <c r="N55" s="1443"/>
      <c r="O55" s="1443"/>
      <c r="P55" s="1443"/>
      <c r="Q55" s="1443"/>
      <c r="R55" s="1443"/>
      <c r="S55" s="1443"/>
      <c r="T55" s="1443"/>
      <c r="U55" s="1443"/>
      <c r="V55" s="1443"/>
      <c r="W55" s="1443"/>
      <c r="X55" s="1443"/>
      <c r="Y55" s="1443"/>
      <c r="Z55" s="1443"/>
      <c r="AA55" s="1443"/>
      <c r="AB55" s="1443"/>
      <c r="AC55" s="1443"/>
      <c r="AD55" s="1443"/>
      <c r="AE55" s="1443"/>
      <c r="AF55" s="1443"/>
      <c r="AG55" s="1443"/>
      <c r="AH55" s="1443"/>
      <c r="AI55" s="1443"/>
      <c r="AJ55" s="1443"/>
      <c r="AK55" s="1443"/>
      <c r="AL55" s="1443"/>
      <c r="AM55" s="1443"/>
      <c r="AN55" s="1443"/>
      <c r="AO55" s="1443"/>
      <c r="AP55" s="3350"/>
      <c r="BD55" s="3169"/>
      <c r="BE55" s="3169"/>
      <c r="BF55" s="3169"/>
      <c r="BG55" s="3169"/>
      <c r="BH55" s="3169"/>
      <c r="BI55" s="3169"/>
      <c r="BJ55" s="3169"/>
      <c r="BK55" s="3169"/>
      <c r="BL55" s="3169"/>
      <c r="BM55" s="3169"/>
      <c r="BN55" s="3169"/>
    </row>
    <row r="56" spans="1:66" ht="16.5" customHeight="1">
      <c r="A56" s="3350"/>
      <c r="B56" s="3285"/>
      <c r="C56" s="3285"/>
      <c r="D56" s="7788"/>
      <c r="E56" s="7789"/>
      <c r="F56" s="7789"/>
      <c r="G56" s="7789"/>
      <c r="H56" s="7789"/>
      <c r="I56" s="7789"/>
      <c r="J56" s="7789"/>
      <c r="K56" s="7789"/>
      <c r="L56" s="7789"/>
      <c r="M56" s="7789"/>
      <c r="N56" s="7789"/>
      <c r="O56" s="7789"/>
      <c r="P56" s="7789"/>
      <c r="Q56" s="7789"/>
      <c r="R56" s="7789"/>
      <c r="S56" s="7789"/>
      <c r="T56" s="7789"/>
      <c r="U56" s="7789"/>
      <c r="V56" s="7789"/>
      <c r="W56" s="7789"/>
      <c r="X56" s="7789"/>
      <c r="Y56" s="7789"/>
      <c r="Z56" s="7789"/>
      <c r="AA56" s="7789"/>
      <c r="AB56" s="7789"/>
      <c r="AC56" s="7789"/>
      <c r="AD56" s="7789"/>
      <c r="AE56" s="7789"/>
      <c r="AF56" s="7789"/>
      <c r="AG56" s="7789"/>
      <c r="AH56" s="7789"/>
      <c r="AI56" s="7789"/>
      <c r="AJ56" s="7789"/>
      <c r="AK56" s="7789"/>
      <c r="AL56" s="7789"/>
      <c r="AM56" s="7789"/>
      <c r="AN56" s="7789"/>
      <c r="AO56" s="7789"/>
      <c r="AP56" s="3350"/>
      <c r="BD56" s="3169"/>
      <c r="BE56" s="3169"/>
      <c r="BF56" s="3169"/>
      <c r="BG56" s="3169"/>
      <c r="BH56" s="3169"/>
      <c r="BI56" s="3169"/>
      <c r="BJ56" s="3169"/>
      <c r="BK56" s="3169"/>
      <c r="BL56" s="3169"/>
      <c r="BM56" s="3169"/>
      <c r="BN56" s="3169"/>
    </row>
    <row r="57" spans="1:66" ht="15">
      <c r="A57" s="3350"/>
      <c r="B57" s="6879" t="s">
        <v>102</v>
      </c>
      <c r="C57" s="6879"/>
      <c r="D57" s="3269" t="s">
        <v>2627</v>
      </c>
      <c r="E57" s="1443"/>
      <c r="F57" s="1443"/>
      <c r="G57" s="1443"/>
      <c r="H57" s="1443"/>
      <c r="I57" s="1443"/>
      <c r="J57" s="1443"/>
      <c r="K57" s="1443"/>
      <c r="L57" s="1443"/>
      <c r="M57" s="1443"/>
      <c r="N57" s="1443"/>
      <c r="O57" s="1443"/>
      <c r="P57" s="1443"/>
      <c r="Q57" s="1443"/>
      <c r="R57" s="1443"/>
      <c r="S57" s="1443"/>
      <c r="T57" s="1443"/>
      <c r="U57" s="1443"/>
      <c r="V57" s="1443"/>
      <c r="W57" s="1443"/>
      <c r="X57" s="1443"/>
      <c r="Y57" s="1443"/>
      <c r="Z57" s="1443"/>
      <c r="AA57" s="1443"/>
      <c r="AB57" s="1443"/>
      <c r="AC57" s="7790"/>
      <c r="AD57" s="7790"/>
      <c r="AE57" s="7790"/>
      <c r="AF57" s="7790"/>
      <c r="AG57" s="7790"/>
      <c r="AH57" s="7790"/>
      <c r="AI57" s="7790"/>
      <c r="AJ57" s="7790"/>
      <c r="AK57" s="7790"/>
      <c r="AL57" s="7790"/>
      <c r="AM57" s="7790"/>
      <c r="AN57" s="7790"/>
      <c r="AO57" s="7790"/>
      <c r="AP57" s="3350"/>
      <c r="BD57" s="3169"/>
      <c r="BE57" s="3169"/>
      <c r="BF57" s="3169"/>
      <c r="BG57" s="3169"/>
      <c r="BH57" s="3169"/>
      <c r="BI57" s="3169"/>
      <c r="BJ57" s="3169"/>
      <c r="BK57" s="3169"/>
      <c r="BL57" s="3169"/>
      <c r="BM57" s="3169"/>
      <c r="BN57" s="3169"/>
    </row>
    <row r="58" spans="1:66" ht="15">
      <c r="A58" s="3350"/>
      <c r="B58" s="6879" t="s">
        <v>1201</v>
      </c>
      <c r="C58" s="6879"/>
      <c r="D58" s="3269" t="s">
        <v>2628</v>
      </c>
      <c r="E58" s="1443"/>
      <c r="F58" s="1443"/>
      <c r="G58" s="1443"/>
      <c r="H58" s="1443"/>
      <c r="I58" s="1443"/>
      <c r="J58" s="1443"/>
      <c r="K58" s="1443"/>
      <c r="L58" s="1443"/>
      <c r="M58" s="1443"/>
      <c r="N58" s="1443"/>
      <c r="O58" s="1443"/>
      <c r="P58" s="1443"/>
      <c r="Q58" s="1443"/>
      <c r="R58" s="1443"/>
      <c r="S58" s="1443"/>
      <c r="T58" s="1443"/>
      <c r="U58" s="1443"/>
      <c r="V58" s="1443"/>
      <c r="W58" s="1443"/>
      <c r="X58" s="1443"/>
      <c r="Y58" s="1443"/>
      <c r="Z58" s="1443"/>
      <c r="AA58" s="1443"/>
      <c r="AB58" s="1443"/>
      <c r="AC58" s="1443"/>
      <c r="AD58" s="1443"/>
      <c r="AE58" s="1443"/>
      <c r="AF58" s="1443"/>
      <c r="AG58" s="1443"/>
      <c r="AH58" s="1443"/>
      <c r="AI58" s="7790"/>
      <c r="AJ58" s="7790"/>
      <c r="AK58" s="7790"/>
      <c r="AL58" s="7790"/>
      <c r="AM58" s="7790"/>
      <c r="AN58" s="7790"/>
      <c r="AO58" s="7790"/>
      <c r="AP58" s="3350"/>
      <c r="BD58" s="3169"/>
      <c r="BE58" s="3169"/>
      <c r="BF58" s="3169"/>
      <c r="BG58" s="3169"/>
      <c r="BH58" s="3169"/>
      <c r="BI58" s="3169"/>
      <c r="BJ58" s="3169"/>
      <c r="BK58" s="3169"/>
      <c r="BL58" s="3169"/>
      <c r="BM58" s="3169"/>
      <c r="BN58" s="3169"/>
    </row>
    <row r="59" spans="1:66" ht="16.5" customHeight="1">
      <c r="A59" s="3350"/>
      <c r="B59" s="3285"/>
      <c r="C59" s="3285"/>
      <c r="D59" s="7788"/>
      <c r="E59" s="7789"/>
      <c r="F59" s="7789"/>
      <c r="G59" s="7789"/>
      <c r="H59" s="7789"/>
      <c r="I59" s="7789"/>
      <c r="J59" s="7789"/>
      <c r="K59" s="7789"/>
      <c r="L59" s="7789"/>
      <c r="M59" s="7789"/>
      <c r="N59" s="7789"/>
      <c r="O59" s="7789"/>
      <c r="P59" s="7789"/>
      <c r="Q59" s="7789"/>
      <c r="R59" s="7789"/>
      <c r="S59" s="7789"/>
      <c r="T59" s="7789"/>
      <c r="U59" s="7789"/>
      <c r="V59" s="7789"/>
      <c r="W59" s="7789"/>
      <c r="X59" s="7789"/>
      <c r="Y59" s="7789"/>
      <c r="Z59" s="7789"/>
      <c r="AA59" s="7789"/>
      <c r="AB59" s="7789"/>
      <c r="AC59" s="7789"/>
      <c r="AD59" s="7789"/>
      <c r="AE59" s="7789"/>
      <c r="AF59" s="7789"/>
      <c r="AG59" s="7789"/>
      <c r="AH59" s="7789"/>
      <c r="AI59" s="7789"/>
      <c r="AJ59" s="7789"/>
      <c r="AK59" s="7789"/>
      <c r="AL59" s="7789"/>
      <c r="AM59" s="7789"/>
      <c r="AN59" s="7789"/>
      <c r="AO59" s="7789"/>
      <c r="AP59" s="3350"/>
      <c r="BD59" s="3169"/>
      <c r="BE59" s="3169"/>
      <c r="BF59" s="3169"/>
      <c r="BG59" s="3169"/>
      <c r="BH59" s="3169"/>
      <c r="BI59" s="3169"/>
      <c r="BJ59" s="3169"/>
      <c r="BK59" s="3169"/>
      <c r="BL59" s="3169"/>
      <c r="BM59" s="3169"/>
      <c r="BN59" s="3169"/>
    </row>
    <row r="60" spans="1:66">
      <c r="A60" s="3350"/>
      <c r="B60" s="3285"/>
      <c r="C60" s="3285"/>
      <c r="D60" s="1443"/>
      <c r="E60" s="1443"/>
      <c r="F60" s="1443"/>
      <c r="G60" s="1443"/>
      <c r="H60" s="1443"/>
      <c r="I60" s="1443"/>
      <c r="J60" s="1443"/>
      <c r="K60" s="1443"/>
      <c r="L60" s="1443"/>
      <c r="M60" s="1443"/>
      <c r="N60" s="1443"/>
      <c r="O60" s="1443"/>
      <c r="P60" s="1443"/>
      <c r="Q60" s="1443"/>
      <c r="R60" s="1443"/>
      <c r="S60" s="1443"/>
      <c r="T60" s="1443"/>
      <c r="U60" s="1443"/>
      <c r="V60" s="1443"/>
      <c r="W60" s="1443"/>
      <c r="X60" s="1443"/>
      <c r="Y60" s="1443"/>
      <c r="Z60" s="1443"/>
      <c r="AA60" s="1443"/>
      <c r="AB60" s="1443"/>
      <c r="AC60" s="1443"/>
      <c r="AD60" s="1443"/>
      <c r="AE60" s="1443"/>
      <c r="AF60" s="1443"/>
      <c r="AG60" s="1443"/>
      <c r="AH60" s="1443"/>
      <c r="AI60" s="1443"/>
      <c r="AJ60" s="1443"/>
      <c r="AK60" s="1443"/>
      <c r="AL60" s="1443"/>
      <c r="AM60" s="1443"/>
      <c r="AN60" s="1443"/>
      <c r="AO60" s="1443"/>
      <c r="AP60" s="3350"/>
      <c r="BD60" s="3169"/>
      <c r="BE60" s="3169"/>
      <c r="BF60" s="3169"/>
      <c r="BG60" s="3169"/>
      <c r="BH60" s="3169"/>
      <c r="BI60" s="3169"/>
      <c r="BJ60" s="3169"/>
      <c r="BK60" s="3169"/>
      <c r="BL60" s="3169"/>
      <c r="BM60" s="3169"/>
      <c r="BN60" s="3169"/>
    </row>
    <row r="61" spans="1:66" ht="15">
      <c r="A61" s="3350"/>
      <c r="B61" s="6879" t="s">
        <v>1165</v>
      </c>
      <c r="C61" s="6879"/>
      <c r="D61" s="3269" t="s">
        <v>2629</v>
      </c>
      <c r="E61" s="1443"/>
      <c r="F61" s="1443"/>
      <c r="G61" s="1443"/>
      <c r="H61" s="1443"/>
      <c r="I61" s="1443"/>
      <c r="J61" s="1443"/>
      <c r="K61" s="1443"/>
      <c r="L61" s="1443"/>
      <c r="M61" s="1443"/>
      <c r="N61" s="1443"/>
      <c r="O61" s="1443"/>
      <c r="P61" s="1443"/>
      <c r="Q61" s="1443"/>
      <c r="R61" s="1443"/>
      <c r="S61" s="1443"/>
      <c r="T61" s="1443"/>
      <c r="U61" s="1443"/>
      <c r="V61" s="1443"/>
      <c r="W61" s="1443"/>
      <c r="X61" s="1443"/>
      <c r="Y61" s="1443"/>
      <c r="Z61" s="1443"/>
      <c r="AA61" s="1443"/>
      <c r="AB61" s="1443"/>
      <c r="AC61" s="1443"/>
      <c r="AD61" s="1443"/>
      <c r="AE61" s="1443"/>
      <c r="AF61" s="1443"/>
      <c r="AG61" s="1443"/>
      <c r="AH61" s="1443"/>
      <c r="AI61" s="1443"/>
      <c r="AJ61" s="1443"/>
      <c r="AK61" s="1443"/>
      <c r="AL61" s="7791" t="s">
        <v>307</v>
      </c>
      <c r="AM61" s="7793"/>
      <c r="AN61" s="7791" t="s">
        <v>308</v>
      </c>
      <c r="AO61" s="7792"/>
      <c r="AP61" s="3350"/>
      <c r="BD61" s="3169"/>
      <c r="BE61" s="3169"/>
      <c r="BF61" s="3169"/>
      <c r="BG61" s="3169"/>
      <c r="BH61" s="3169"/>
      <c r="BI61" s="3169"/>
      <c r="BJ61" s="3169"/>
      <c r="BK61" s="3169"/>
      <c r="BL61" s="3169"/>
      <c r="BM61" s="3169"/>
      <c r="BN61" s="3169"/>
    </row>
    <row r="62" spans="1:66" ht="15.75">
      <c r="A62" s="3350"/>
      <c r="B62" s="3285"/>
      <c r="C62" s="3285"/>
      <c r="D62" s="3269" t="s">
        <v>2630</v>
      </c>
      <c r="E62" s="1443"/>
      <c r="F62" s="1443"/>
      <c r="G62" s="1443"/>
      <c r="H62" s="1443"/>
      <c r="I62" s="1443"/>
      <c r="J62" s="1443"/>
      <c r="K62" s="1443"/>
      <c r="L62" s="1443"/>
      <c r="M62" s="1443"/>
      <c r="N62" s="1443"/>
      <c r="O62" s="1443"/>
      <c r="P62" s="1443"/>
      <c r="Q62" s="1443"/>
      <c r="R62" s="1443"/>
      <c r="S62" s="1443"/>
      <c r="T62" s="1443"/>
      <c r="U62" s="1443"/>
      <c r="V62" s="1443"/>
      <c r="W62" s="1443"/>
      <c r="X62" s="1443"/>
      <c r="Y62" s="1443"/>
      <c r="Z62" s="1443"/>
      <c r="AA62" s="1443"/>
      <c r="AB62" s="1443"/>
      <c r="AC62" s="1443"/>
      <c r="AD62" s="1443"/>
      <c r="AE62" s="1443"/>
      <c r="AF62" s="1443"/>
      <c r="AG62" s="1443"/>
      <c r="AH62" s="1443"/>
      <c r="AI62" s="1443"/>
      <c r="AJ62" s="1443"/>
      <c r="AK62" s="2243" t="s">
        <v>2642</v>
      </c>
      <c r="AL62" s="7794"/>
      <c r="AM62" s="7795"/>
      <c r="AN62" s="7794" t="s">
        <v>1584</v>
      </c>
      <c r="AO62" s="7796"/>
      <c r="AP62" s="3350"/>
      <c r="BD62" s="3169"/>
      <c r="BE62" s="3169"/>
      <c r="BF62" s="3169"/>
      <c r="BG62" s="3169"/>
      <c r="BH62" s="3169"/>
      <c r="BI62" s="3169"/>
      <c r="BJ62" s="3169"/>
      <c r="BK62" s="3169"/>
      <c r="BL62" s="3169"/>
      <c r="BM62" s="3169"/>
      <c r="BN62" s="3169"/>
    </row>
    <row r="63" spans="1:66" ht="15">
      <c r="A63" s="3350"/>
      <c r="B63" s="6879" t="s">
        <v>54</v>
      </c>
      <c r="C63" s="6879"/>
      <c r="D63" s="3269" t="s">
        <v>2631</v>
      </c>
      <c r="E63" s="1443"/>
      <c r="F63" s="1443"/>
      <c r="G63" s="1443"/>
      <c r="H63" s="1443"/>
      <c r="I63" s="1443"/>
      <c r="J63" s="1443"/>
      <c r="K63" s="1443"/>
      <c r="L63" s="1443"/>
      <c r="M63" s="1443"/>
      <c r="N63" s="1443"/>
      <c r="O63" s="1443"/>
      <c r="P63" s="1443"/>
      <c r="Q63" s="1443"/>
      <c r="R63" s="1443"/>
      <c r="S63" s="1443"/>
      <c r="T63" s="1443"/>
      <c r="U63" s="1443"/>
      <c r="V63" s="1443"/>
      <c r="W63" s="1443"/>
      <c r="X63" s="1443"/>
      <c r="Y63" s="1443"/>
      <c r="Z63" s="1443"/>
      <c r="AA63" s="1443"/>
      <c r="AB63" s="1443"/>
      <c r="AC63" s="1443"/>
      <c r="AD63" s="1443"/>
      <c r="AE63" s="1443"/>
      <c r="AF63" s="1443"/>
      <c r="AG63" s="1443"/>
      <c r="AH63" s="1443"/>
      <c r="AI63" s="1443"/>
      <c r="AJ63" s="1443"/>
      <c r="AK63" s="1966"/>
      <c r="AL63" s="2255"/>
      <c r="AM63" s="2256"/>
      <c r="AN63" s="2255"/>
      <c r="AO63" s="3289"/>
      <c r="AP63" s="3350"/>
      <c r="BD63" s="3169"/>
      <c r="BE63" s="3169"/>
      <c r="BF63" s="3169"/>
      <c r="BG63" s="3169"/>
      <c r="BH63" s="3169"/>
      <c r="BI63" s="3169"/>
      <c r="BJ63" s="3169"/>
      <c r="BK63" s="3169"/>
      <c r="BL63" s="3169"/>
      <c r="BM63" s="3169"/>
      <c r="BN63" s="3169"/>
    </row>
    <row r="64" spans="1:66" ht="15">
      <c r="A64" s="3350"/>
      <c r="B64" s="3286"/>
      <c r="C64" s="3286"/>
      <c r="D64" s="3269" t="s">
        <v>2632</v>
      </c>
      <c r="E64" s="1443"/>
      <c r="F64" s="1443"/>
      <c r="G64" s="1443"/>
      <c r="H64" s="1443"/>
      <c r="I64" s="1443"/>
      <c r="J64" s="1443"/>
      <c r="K64" s="1443"/>
      <c r="L64" s="1443"/>
      <c r="M64" s="1443"/>
      <c r="N64" s="1443"/>
      <c r="O64" s="1443"/>
      <c r="P64" s="1443"/>
      <c r="Q64" s="1443"/>
      <c r="R64" s="1443"/>
      <c r="S64" s="1443"/>
      <c r="T64" s="1443"/>
      <c r="U64" s="1443"/>
      <c r="V64" s="1443"/>
      <c r="W64" s="1443"/>
      <c r="X64" s="1443"/>
      <c r="Y64" s="1443"/>
      <c r="Z64" s="1443"/>
      <c r="AA64" s="1443"/>
      <c r="AB64" s="1443"/>
      <c r="AC64" s="1443"/>
      <c r="AD64" s="1443"/>
      <c r="AE64" s="1443"/>
      <c r="AF64" s="1443"/>
      <c r="AG64" s="1443"/>
      <c r="AH64" s="1443"/>
      <c r="AI64" s="1443"/>
      <c r="AJ64" s="1443"/>
      <c r="AK64" s="1443"/>
      <c r="AL64" s="2257"/>
      <c r="AM64" s="2258"/>
      <c r="AN64" s="2257"/>
      <c r="AO64" s="1945"/>
      <c r="AP64" s="3350"/>
      <c r="BD64" s="3169"/>
      <c r="BE64" s="3169"/>
      <c r="BF64" s="3169"/>
      <c r="BG64" s="3169"/>
      <c r="BH64" s="3169"/>
      <c r="BI64" s="3169"/>
      <c r="BJ64" s="3169"/>
      <c r="BK64" s="3169"/>
      <c r="BL64" s="3169"/>
      <c r="BM64" s="3169"/>
      <c r="BN64" s="3169"/>
    </row>
    <row r="65" spans="1:66" ht="15">
      <c r="A65" s="3350"/>
      <c r="B65" s="3286"/>
      <c r="C65" s="3286"/>
      <c r="D65" s="3269" t="s">
        <v>2633</v>
      </c>
      <c r="E65" s="1443"/>
      <c r="F65" s="1443"/>
      <c r="G65" s="1443"/>
      <c r="H65" s="1443"/>
      <c r="I65" s="1443"/>
      <c r="J65" s="1443"/>
      <c r="K65" s="1443"/>
      <c r="L65" s="1443"/>
      <c r="M65" s="1443"/>
      <c r="N65" s="1443"/>
      <c r="O65" s="1443"/>
      <c r="P65" s="1443"/>
      <c r="Q65" s="1443"/>
      <c r="R65" s="1443"/>
      <c r="S65" s="1443"/>
      <c r="T65" s="1443"/>
      <c r="U65" s="1443"/>
      <c r="V65" s="1443"/>
      <c r="W65" s="1443"/>
      <c r="X65" s="1443"/>
      <c r="Y65" s="1443"/>
      <c r="Z65" s="1443"/>
      <c r="AA65" s="1443"/>
      <c r="AB65" s="1443"/>
      <c r="AC65" s="1443"/>
      <c r="AD65" s="1443"/>
      <c r="AE65" s="1443"/>
      <c r="AF65" s="1443"/>
      <c r="AG65" s="1443"/>
      <c r="AH65" s="1443"/>
      <c r="AI65" s="1443"/>
      <c r="AJ65" s="1443"/>
      <c r="AK65" s="1443"/>
      <c r="AL65" s="2257"/>
      <c r="AM65" s="2258"/>
      <c r="AN65" s="2257"/>
      <c r="AO65" s="1945"/>
      <c r="AP65" s="3350"/>
      <c r="BD65" s="3169"/>
      <c r="BE65" s="3169"/>
      <c r="BF65" s="3169"/>
      <c r="BG65" s="3169"/>
      <c r="BH65" s="3169"/>
      <c r="BI65" s="3169"/>
      <c r="BJ65" s="3169"/>
      <c r="BK65" s="3169"/>
      <c r="BL65" s="3169"/>
      <c r="BM65" s="3169"/>
      <c r="BN65" s="3169"/>
    </row>
    <row r="66" spans="1:66" ht="15.75">
      <c r="A66" s="3350"/>
      <c r="B66" s="3286"/>
      <c r="C66" s="3286"/>
      <c r="D66" s="3269" t="s">
        <v>2634</v>
      </c>
      <c r="E66" s="1443"/>
      <c r="F66" s="1443"/>
      <c r="G66" s="1443"/>
      <c r="H66" s="1443"/>
      <c r="I66" s="1443"/>
      <c r="J66" s="1443"/>
      <c r="K66" s="1443"/>
      <c r="L66" s="1443"/>
      <c r="M66" s="1443"/>
      <c r="N66" s="1443"/>
      <c r="O66" s="1443"/>
      <c r="P66" s="1443"/>
      <c r="Q66" s="1443"/>
      <c r="R66" s="1443"/>
      <c r="S66" s="1443"/>
      <c r="T66" s="1443"/>
      <c r="U66" s="1443"/>
      <c r="V66" s="1443"/>
      <c r="W66" s="1443"/>
      <c r="X66" s="1443"/>
      <c r="Y66" s="1443"/>
      <c r="Z66" s="1443"/>
      <c r="AA66" s="1443"/>
      <c r="AB66" s="1443"/>
      <c r="AC66" s="1443"/>
      <c r="AD66" s="1443"/>
      <c r="AE66" s="1443"/>
      <c r="AF66" s="1443"/>
      <c r="AG66" s="1443"/>
      <c r="AH66" s="1443"/>
      <c r="AI66" s="1443"/>
      <c r="AJ66" s="1443"/>
      <c r="AK66" s="3292" t="s">
        <v>312</v>
      </c>
      <c r="AL66" s="7798"/>
      <c r="AM66" s="7799"/>
      <c r="AN66" s="7798" t="s">
        <v>1584</v>
      </c>
      <c r="AO66" s="7800"/>
      <c r="AP66" s="3350"/>
      <c r="BD66" s="3169"/>
      <c r="BE66" s="3169"/>
      <c r="BF66" s="3169"/>
      <c r="BG66" s="3169"/>
      <c r="BH66" s="3169"/>
      <c r="BI66" s="3169"/>
      <c r="BJ66" s="3169"/>
      <c r="BK66" s="3169"/>
      <c r="BL66" s="3169"/>
      <c r="BM66" s="3169"/>
      <c r="BN66" s="3169"/>
    </row>
    <row r="67" spans="1:66" ht="16.5" thickBot="1">
      <c r="A67" s="3350"/>
      <c r="B67" s="7797" t="s">
        <v>55</v>
      </c>
      <c r="C67" s="7797"/>
      <c r="D67" s="3288" t="s">
        <v>2635</v>
      </c>
      <c r="E67" s="1612"/>
      <c r="F67" s="1612"/>
      <c r="G67" s="1612"/>
      <c r="H67" s="1612"/>
      <c r="I67" s="1612"/>
      <c r="J67" s="1612"/>
      <c r="K67" s="1612"/>
      <c r="L67" s="1612"/>
      <c r="M67" s="1612"/>
      <c r="N67" s="1612"/>
      <c r="O67" s="1612"/>
      <c r="P67" s="1612"/>
      <c r="Q67" s="1612"/>
      <c r="R67" s="1612"/>
      <c r="S67" s="1612"/>
      <c r="T67" s="1612"/>
      <c r="U67" s="1612"/>
      <c r="V67" s="1612"/>
      <c r="W67" s="1612"/>
      <c r="X67" s="1612"/>
      <c r="Y67" s="1612"/>
      <c r="Z67" s="1612"/>
      <c r="AA67" s="1612"/>
      <c r="AB67" s="1612"/>
      <c r="AC67" s="1612"/>
      <c r="AD67" s="1612"/>
      <c r="AE67" s="1612"/>
      <c r="AF67" s="1612"/>
      <c r="AG67" s="1612"/>
      <c r="AH67" s="1612"/>
      <c r="AI67" s="1612"/>
      <c r="AJ67" s="1612"/>
      <c r="AK67" s="3291" t="s">
        <v>677</v>
      </c>
      <c r="AL67" s="7801"/>
      <c r="AM67" s="7802"/>
      <c r="AN67" s="7801" t="s">
        <v>1584</v>
      </c>
      <c r="AO67" s="7803"/>
      <c r="AP67" s="3350"/>
      <c r="BD67" s="3169"/>
      <c r="BE67" s="3169"/>
      <c r="BF67" s="3169"/>
      <c r="BG67" s="3169"/>
      <c r="BH67" s="3169"/>
      <c r="BI67" s="3169"/>
      <c r="BJ67" s="3169"/>
      <c r="BK67" s="3169"/>
      <c r="BL67" s="3169"/>
      <c r="BM67" s="3169"/>
      <c r="BN67" s="3169"/>
    </row>
    <row r="68" spans="1:66" ht="18">
      <c r="A68" s="3350"/>
      <c r="B68" s="3287" t="s">
        <v>2199</v>
      </c>
      <c r="C68" s="3285"/>
      <c r="D68" s="1443"/>
      <c r="E68" s="1443"/>
      <c r="F68" s="1443"/>
      <c r="G68" s="1443"/>
      <c r="H68" s="1443"/>
      <c r="I68" s="1443"/>
      <c r="J68" s="1443"/>
      <c r="K68" s="1443"/>
      <c r="L68" s="1443"/>
      <c r="M68" s="1443"/>
      <c r="N68" s="1443"/>
      <c r="O68" s="1443"/>
      <c r="P68" s="1443"/>
      <c r="Q68" s="1443"/>
      <c r="R68" s="1443"/>
      <c r="S68" s="1443"/>
      <c r="T68" s="1443"/>
      <c r="U68" s="1443"/>
      <c r="V68" s="1443"/>
      <c r="W68" s="1443"/>
      <c r="X68" s="1443" t="s">
        <v>2636</v>
      </c>
      <c r="Y68" s="1443"/>
      <c r="Z68" s="1443"/>
      <c r="AA68" s="1443"/>
      <c r="AB68" s="1443"/>
      <c r="AC68" s="1443"/>
      <c r="AD68" s="1443"/>
      <c r="AE68" s="1443"/>
      <c r="AF68" s="1443"/>
      <c r="AG68" s="1443"/>
      <c r="AH68" s="1443"/>
      <c r="AI68" s="1443"/>
      <c r="AJ68" s="1443"/>
      <c r="AK68" s="2541" t="s">
        <v>2638</v>
      </c>
      <c r="AL68" s="1443"/>
      <c r="AM68" s="1443"/>
      <c r="AN68" s="1443"/>
      <c r="AO68" s="2100" t="s">
        <v>2637</v>
      </c>
      <c r="AP68" s="3350"/>
      <c r="BD68" s="3169"/>
      <c r="BE68" s="3169"/>
      <c r="BF68" s="3169"/>
      <c r="BG68" s="3169"/>
      <c r="BH68" s="3169"/>
      <c r="BI68" s="3169"/>
      <c r="BJ68" s="3169"/>
      <c r="BK68" s="3169"/>
      <c r="BL68" s="3169"/>
      <c r="BM68" s="3169"/>
      <c r="BN68" s="3169"/>
    </row>
    <row r="69" spans="1:66" ht="6" customHeight="1">
      <c r="A69" s="3350"/>
      <c r="B69" s="1443"/>
      <c r="C69" s="1443"/>
      <c r="D69" s="1443"/>
      <c r="E69" s="1443"/>
      <c r="F69" s="1443"/>
      <c r="G69" s="1443"/>
      <c r="H69" s="1443"/>
      <c r="I69" s="1443"/>
      <c r="J69" s="1443"/>
      <c r="K69" s="1443"/>
      <c r="L69" s="1443"/>
      <c r="M69" s="1443"/>
      <c r="N69" s="1443"/>
      <c r="O69" s="1443"/>
      <c r="P69" s="1443"/>
      <c r="Q69" s="1443"/>
      <c r="R69" s="1443"/>
      <c r="S69" s="1443"/>
      <c r="T69" s="1617"/>
      <c r="U69" s="1443"/>
      <c r="V69" s="1443"/>
      <c r="W69" s="1443"/>
      <c r="X69" s="1443"/>
      <c r="Y69" s="1443"/>
      <c r="Z69" s="1443"/>
      <c r="AA69" s="1443"/>
      <c r="AB69" s="1443"/>
      <c r="AC69" s="1443"/>
      <c r="AD69" s="1443"/>
      <c r="AE69" s="1443"/>
      <c r="AF69" s="1443"/>
      <c r="AG69" s="1443"/>
      <c r="AH69" s="1443"/>
      <c r="AI69" s="1443"/>
      <c r="AJ69" s="1443"/>
      <c r="AK69" s="1443"/>
      <c r="AL69" s="1443"/>
      <c r="AM69" s="1443"/>
      <c r="AN69" s="1443"/>
      <c r="AO69" s="1443"/>
      <c r="AP69" s="3350"/>
      <c r="BD69" s="3169"/>
      <c r="BE69" s="3169"/>
      <c r="BF69" s="3169"/>
      <c r="BG69" s="3169"/>
      <c r="BH69" s="3169"/>
      <c r="BI69" s="3169"/>
      <c r="BJ69" s="3169"/>
      <c r="BK69" s="3169"/>
      <c r="BL69" s="3169"/>
      <c r="BM69" s="3169"/>
      <c r="BN69" s="3169"/>
    </row>
    <row r="70" spans="1:66" ht="15" customHeight="1" thickBot="1">
      <c r="A70" s="3350"/>
      <c r="B70" s="1612" t="s">
        <v>2683</v>
      </c>
      <c r="C70" s="1612"/>
      <c r="D70" s="1612"/>
      <c r="E70" s="1612"/>
      <c r="F70" s="1612"/>
      <c r="G70" s="1612"/>
      <c r="H70" s="1612"/>
      <c r="I70" s="1612"/>
      <c r="J70" s="1612"/>
      <c r="K70" s="1612"/>
      <c r="L70" s="1612"/>
      <c r="M70" s="1612"/>
      <c r="N70" s="1612"/>
      <c r="O70" s="1612"/>
      <c r="P70" s="1612"/>
      <c r="Q70" s="1612"/>
      <c r="R70" s="1612"/>
      <c r="S70" s="1612"/>
      <c r="T70" s="1612"/>
      <c r="U70" s="1612"/>
      <c r="V70" s="1612"/>
      <c r="W70" s="1612"/>
      <c r="X70" s="1612"/>
      <c r="Y70" s="1612"/>
      <c r="Z70" s="1612"/>
      <c r="AA70" s="1612"/>
      <c r="AB70" s="1612"/>
      <c r="AC70" s="1612"/>
      <c r="AD70" s="1612"/>
      <c r="AE70" s="1612"/>
      <c r="AF70" s="1612"/>
      <c r="AG70" s="1612"/>
      <c r="AH70" s="1612"/>
      <c r="AI70" s="1612"/>
      <c r="AJ70" s="1612"/>
      <c r="AK70" s="1612"/>
      <c r="AL70" s="1612"/>
      <c r="AM70" s="1612"/>
      <c r="AN70" s="1612"/>
      <c r="AO70" s="3332" t="s">
        <v>182</v>
      </c>
      <c r="AP70" s="3350"/>
      <c r="BD70" s="3169"/>
      <c r="BE70" s="3169"/>
      <c r="BF70" s="3169"/>
      <c r="BG70" s="3169"/>
      <c r="BH70" s="3169"/>
      <c r="BI70" s="3169"/>
      <c r="BJ70" s="3169"/>
      <c r="BK70" s="3169"/>
      <c r="BL70" s="3169"/>
      <c r="BM70" s="3169"/>
      <c r="BN70" s="3169"/>
    </row>
    <row r="71" spans="1:66">
      <c r="A71" s="3350"/>
      <c r="B71" s="1443" t="s">
        <v>2591</v>
      </c>
      <c r="C71" s="1443"/>
      <c r="D71" s="1443"/>
      <c r="E71" s="1443"/>
      <c r="F71" s="1443"/>
      <c r="G71" s="1443"/>
      <c r="H71" s="1443"/>
      <c r="I71" s="1443"/>
      <c r="J71" s="1443"/>
      <c r="K71" s="1443"/>
      <c r="L71" s="1443"/>
      <c r="M71" s="1443"/>
      <c r="N71" s="1443"/>
      <c r="O71" s="1443"/>
      <c r="P71" s="1443"/>
      <c r="Q71" s="1443"/>
      <c r="R71" s="1443"/>
      <c r="S71" s="1443"/>
      <c r="T71" s="1443"/>
      <c r="U71" s="1443"/>
      <c r="V71" s="1443"/>
      <c r="W71" s="1443"/>
      <c r="X71" s="1443"/>
      <c r="Y71" s="1443"/>
      <c r="Z71" s="1443"/>
      <c r="AA71" s="1443"/>
      <c r="AB71" s="1443"/>
      <c r="AC71" s="1443"/>
      <c r="AD71" s="1443"/>
      <c r="AE71" s="1443"/>
      <c r="AF71" s="1443"/>
      <c r="AG71" s="1443"/>
      <c r="AH71" s="1443"/>
      <c r="AI71" s="1604" t="s">
        <v>2172</v>
      </c>
      <c r="AJ71" s="1605"/>
      <c r="AK71" s="1605"/>
      <c r="AL71" s="1605"/>
      <c r="AM71" s="1605"/>
      <c r="AN71" s="1605"/>
      <c r="AO71" s="1605"/>
      <c r="AP71" s="3350"/>
      <c r="BD71" s="3169"/>
      <c r="BE71" s="3169"/>
      <c r="BF71" s="3169"/>
      <c r="BG71" s="3169"/>
      <c r="BH71" s="3169"/>
      <c r="BI71" s="3169"/>
      <c r="BJ71" s="3169"/>
      <c r="BK71" s="3169"/>
      <c r="BL71" s="3169"/>
      <c r="BM71" s="3169"/>
      <c r="BN71" s="3169"/>
    </row>
    <row r="72" spans="1:66" ht="8.25" customHeight="1">
      <c r="A72" s="3350"/>
      <c r="B72" s="5600" t="str">
        <f>Names</f>
        <v/>
      </c>
      <c r="C72" s="5600"/>
      <c r="D72" s="5600"/>
      <c r="E72" s="5600"/>
      <c r="F72" s="5600"/>
      <c r="G72" s="5600"/>
      <c r="H72" s="5600"/>
      <c r="I72" s="5600"/>
      <c r="J72" s="5600"/>
      <c r="K72" s="5600"/>
      <c r="L72" s="5600"/>
      <c r="M72" s="5600"/>
      <c r="N72" s="5600"/>
      <c r="O72" s="5600"/>
      <c r="P72" s="5600"/>
      <c r="Q72" s="5600"/>
      <c r="R72" s="5600"/>
      <c r="S72" s="5600"/>
      <c r="T72" s="5600"/>
      <c r="U72" s="5600"/>
      <c r="V72" s="5600"/>
      <c r="W72" s="5600"/>
      <c r="X72" s="5600"/>
      <c r="Y72" s="5600"/>
      <c r="Z72" s="5600"/>
      <c r="AA72" s="5600"/>
      <c r="AB72" s="5600"/>
      <c r="AC72" s="5600"/>
      <c r="AD72" s="5600"/>
      <c r="AE72" s="5600"/>
      <c r="AF72" s="5600"/>
      <c r="AG72" s="5600"/>
      <c r="AH72" s="7729"/>
      <c r="AI72" s="7732"/>
      <c r="AJ72" s="7733"/>
      <c r="AK72" s="7733"/>
      <c r="AL72" s="7733"/>
      <c r="AM72" s="7733"/>
      <c r="AN72" s="7733"/>
      <c r="AO72" s="7733"/>
      <c r="AP72" s="3350"/>
      <c r="BD72" s="3169"/>
      <c r="BE72" s="3169"/>
      <c r="BF72" s="3169"/>
      <c r="BG72" s="3169"/>
      <c r="BH72" s="3169"/>
      <c r="BI72" s="3169"/>
      <c r="BJ72" s="3169"/>
      <c r="BK72" s="3169"/>
      <c r="BL72" s="3169"/>
      <c r="BM72" s="3169"/>
      <c r="BN72" s="3169"/>
    </row>
    <row r="73" spans="1:66" ht="8.25" customHeight="1">
      <c r="A73" s="3350"/>
      <c r="B73" s="7730"/>
      <c r="C73" s="7730"/>
      <c r="D73" s="7730"/>
      <c r="E73" s="7730"/>
      <c r="F73" s="7730"/>
      <c r="G73" s="7730"/>
      <c r="H73" s="7730"/>
      <c r="I73" s="7730"/>
      <c r="J73" s="7730"/>
      <c r="K73" s="7730"/>
      <c r="L73" s="7730"/>
      <c r="M73" s="7730"/>
      <c r="N73" s="7730"/>
      <c r="O73" s="7730"/>
      <c r="P73" s="7730"/>
      <c r="Q73" s="7730"/>
      <c r="R73" s="7730"/>
      <c r="S73" s="7730"/>
      <c r="T73" s="7730"/>
      <c r="U73" s="7730"/>
      <c r="V73" s="7730"/>
      <c r="W73" s="7730"/>
      <c r="X73" s="7730"/>
      <c r="Y73" s="7730"/>
      <c r="Z73" s="7730"/>
      <c r="AA73" s="7730"/>
      <c r="AB73" s="7730"/>
      <c r="AC73" s="7730"/>
      <c r="AD73" s="7730"/>
      <c r="AE73" s="7730"/>
      <c r="AF73" s="7730"/>
      <c r="AG73" s="7730"/>
      <c r="AH73" s="7731"/>
      <c r="AI73" s="7734"/>
      <c r="AJ73" s="7681"/>
      <c r="AK73" s="7681"/>
      <c r="AL73" s="7681"/>
      <c r="AM73" s="7681"/>
      <c r="AN73" s="7681"/>
      <c r="AO73" s="7681"/>
      <c r="AP73" s="3350"/>
      <c r="BD73" s="3169"/>
      <c r="BE73" s="3169"/>
      <c r="BF73" s="3169"/>
      <c r="BG73" s="3169"/>
      <c r="BH73" s="3169"/>
      <c r="BI73" s="3169"/>
      <c r="BJ73" s="3169"/>
      <c r="BK73" s="3169"/>
      <c r="BL73" s="3169"/>
      <c r="BM73" s="3169"/>
      <c r="BN73" s="3169"/>
    </row>
    <row r="74" spans="1:66" ht="12.75" customHeight="1">
      <c r="A74" s="3350"/>
      <c r="B74" s="3290" t="s">
        <v>2684</v>
      </c>
      <c r="C74" s="1443"/>
      <c r="D74" s="1443"/>
      <c r="E74" s="1443"/>
      <c r="F74" s="1607" t="s">
        <v>2688</v>
      </c>
      <c r="G74" s="1443"/>
      <c r="H74" s="1443"/>
      <c r="I74" s="1443"/>
      <c r="J74" s="1443"/>
      <c r="K74" s="1443"/>
      <c r="L74" s="1443"/>
      <c r="M74" s="1443"/>
      <c r="N74" s="1443"/>
      <c r="O74" s="1443"/>
      <c r="P74" s="1443"/>
      <c r="Q74" s="1443"/>
      <c r="R74" s="1443"/>
      <c r="S74" s="1443"/>
      <c r="T74" s="1443"/>
      <c r="U74" s="1443"/>
      <c r="V74" s="1443"/>
      <c r="W74" s="1443"/>
      <c r="X74" s="1443"/>
      <c r="Y74" s="1443"/>
      <c r="Z74" s="1443"/>
      <c r="AA74" s="1443"/>
      <c r="AB74" s="1443"/>
      <c r="AC74" s="1443"/>
      <c r="AD74" s="1443"/>
      <c r="AE74" s="1443"/>
      <c r="AF74" s="1443"/>
      <c r="AG74" s="1443"/>
      <c r="AH74" s="1443"/>
      <c r="AI74" s="1443"/>
      <c r="AJ74" s="1443"/>
      <c r="AK74" s="1443"/>
      <c r="AL74" s="1443"/>
      <c r="AM74" s="1443"/>
      <c r="AN74" s="1443"/>
      <c r="AO74" s="1443"/>
      <c r="AP74" s="3350"/>
      <c r="BD74" s="3169"/>
      <c r="BE74" s="3169"/>
      <c r="BF74" s="3169"/>
      <c r="BG74" s="3169"/>
      <c r="BH74" s="3169"/>
      <c r="BI74" s="3169"/>
      <c r="BJ74" s="3169"/>
      <c r="BK74" s="3169"/>
      <c r="BL74" s="3169"/>
      <c r="BM74" s="3169"/>
      <c r="BN74" s="3169"/>
    </row>
    <row r="75" spans="1:66" ht="12.75" customHeight="1">
      <c r="A75" s="3350"/>
      <c r="B75" s="1443"/>
      <c r="C75" s="1443"/>
      <c r="D75" s="1443"/>
      <c r="E75" s="1443"/>
      <c r="F75" s="3269" t="s">
        <v>2685</v>
      </c>
      <c r="G75" s="1443"/>
      <c r="H75" s="1443"/>
      <c r="I75" s="1443"/>
      <c r="J75" s="1443"/>
      <c r="K75" s="1443"/>
      <c r="L75" s="1443"/>
      <c r="M75" s="1443"/>
      <c r="N75" s="1443"/>
      <c r="O75" s="1443"/>
      <c r="P75" s="1443"/>
      <c r="Q75" s="1443"/>
      <c r="R75" s="1443"/>
      <c r="S75" s="1443"/>
      <c r="T75" s="1443"/>
      <c r="U75" s="1443"/>
      <c r="V75" s="1443"/>
      <c r="W75" s="1443"/>
      <c r="X75" s="1443"/>
      <c r="Y75" s="1443"/>
      <c r="Z75" s="1443"/>
      <c r="AA75" s="1443"/>
      <c r="AB75" s="1443"/>
      <c r="AC75" s="1443"/>
      <c r="AD75" s="1443"/>
      <c r="AE75" s="1443"/>
      <c r="AF75" s="1443"/>
      <c r="AG75" s="1443"/>
      <c r="AH75" s="1443"/>
      <c r="AI75" s="1443"/>
      <c r="AJ75" s="1443"/>
      <c r="AK75" s="1443"/>
      <c r="AL75" s="1443"/>
      <c r="AM75" s="1443"/>
      <c r="AN75" s="1443"/>
      <c r="AO75" s="1443"/>
      <c r="AP75" s="3350"/>
      <c r="BD75" s="3169"/>
      <c r="BE75" s="3169"/>
      <c r="BF75" s="3169"/>
      <c r="BG75" s="3169"/>
      <c r="BH75" s="3169"/>
      <c r="BI75" s="3169"/>
      <c r="BJ75" s="3169"/>
      <c r="BK75" s="3169"/>
      <c r="BL75" s="3169"/>
      <c r="BM75" s="3169"/>
      <c r="BN75" s="3169"/>
    </row>
    <row r="76" spans="1:66" ht="12.75" customHeight="1">
      <c r="A76" s="3350"/>
      <c r="B76" s="1443"/>
      <c r="C76" s="1443"/>
      <c r="D76" s="1443"/>
      <c r="E76" s="1443"/>
      <c r="F76" s="3269" t="s">
        <v>2686</v>
      </c>
      <c r="G76" s="1443"/>
      <c r="H76" s="1443"/>
      <c r="I76" s="1443"/>
      <c r="J76" s="1443"/>
      <c r="K76" s="1443"/>
      <c r="L76" s="1443"/>
      <c r="M76" s="1443"/>
      <c r="N76" s="1443"/>
      <c r="O76" s="1443"/>
      <c r="P76" s="1443"/>
      <c r="Q76" s="1443"/>
      <c r="R76" s="1443"/>
      <c r="S76" s="1443"/>
      <c r="T76" s="1443"/>
      <c r="U76" s="1443"/>
      <c r="V76" s="1443"/>
      <c r="W76" s="1443"/>
      <c r="X76" s="1443"/>
      <c r="Y76" s="1443"/>
      <c r="Z76" s="1443"/>
      <c r="AA76" s="1443"/>
      <c r="AB76" s="1443"/>
      <c r="AC76" s="1443"/>
      <c r="AD76" s="1443"/>
      <c r="AE76" s="1443"/>
      <c r="AF76" s="1443"/>
      <c r="AG76" s="1443"/>
      <c r="AH76" s="1443"/>
      <c r="AI76" s="1443"/>
      <c r="AJ76" s="1443"/>
      <c r="AK76" s="1443"/>
      <c r="AL76" s="1443"/>
      <c r="AM76" s="1443"/>
      <c r="AN76" s="1443"/>
      <c r="AO76" s="1443"/>
      <c r="AP76" s="3350"/>
      <c r="BD76" s="3169"/>
      <c r="BE76" s="3169"/>
      <c r="BF76" s="3169"/>
      <c r="BG76" s="3169"/>
      <c r="BH76" s="3169"/>
      <c r="BI76" s="3169"/>
      <c r="BJ76" s="3169"/>
      <c r="BK76" s="3169"/>
      <c r="BL76" s="3169"/>
      <c r="BM76" s="3169"/>
      <c r="BN76" s="3169"/>
    </row>
    <row r="77" spans="1:66" ht="12.75" customHeight="1">
      <c r="A77" s="3350"/>
      <c r="B77" s="1443"/>
      <c r="C77" s="1443"/>
      <c r="D77" s="1443"/>
      <c r="E77" s="1443"/>
      <c r="F77" s="3269" t="s">
        <v>2687</v>
      </c>
      <c r="G77" s="1443"/>
      <c r="H77" s="1443"/>
      <c r="I77" s="1443"/>
      <c r="J77" s="1443"/>
      <c r="K77" s="1443"/>
      <c r="L77" s="1443"/>
      <c r="M77" s="1443"/>
      <c r="N77" s="1443"/>
      <c r="O77" s="1443"/>
      <c r="P77" s="1443"/>
      <c r="Q77" s="1443"/>
      <c r="R77" s="1443"/>
      <c r="S77" s="1443"/>
      <c r="T77" s="1443"/>
      <c r="U77" s="1443"/>
      <c r="V77" s="1443"/>
      <c r="W77" s="1443"/>
      <c r="X77" s="1443"/>
      <c r="Y77" s="1443"/>
      <c r="Z77" s="1443"/>
      <c r="AA77" s="1443"/>
      <c r="AB77" s="1443"/>
      <c r="AC77" s="1443"/>
      <c r="AD77" s="1443"/>
      <c r="AE77" s="1443"/>
      <c r="AF77" s="1443"/>
      <c r="AG77" s="1443"/>
      <c r="AH77" s="1443"/>
      <c r="AI77" s="1443"/>
      <c r="AJ77" s="1443"/>
      <c r="AK77" s="1443"/>
      <c r="AL77" s="1443"/>
      <c r="AM77" s="1443"/>
      <c r="AN77" s="1443"/>
      <c r="AO77" s="1443"/>
      <c r="AP77" s="3350"/>
      <c r="BD77" s="3169"/>
      <c r="BE77" s="3169"/>
      <c r="BF77" s="3169"/>
      <c r="BG77" s="3169"/>
      <c r="BH77" s="3169"/>
      <c r="BI77" s="3169"/>
      <c r="BJ77" s="3169"/>
      <c r="BK77" s="3169"/>
      <c r="BL77" s="3169"/>
      <c r="BM77" s="3169"/>
      <c r="BN77" s="3169"/>
    </row>
    <row r="78" spans="1:66" s="3272" customFormat="1" ht="15.75">
      <c r="A78" s="3351"/>
      <c r="B78" s="6207" t="s">
        <v>58</v>
      </c>
      <c r="C78" s="6207"/>
      <c r="D78" s="6208"/>
      <c r="E78" s="3273"/>
      <c r="F78" s="3273" t="s">
        <v>2689</v>
      </c>
      <c r="G78" s="3273"/>
      <c r="H78" s="3273"/>
      <c r="I78" s="3273"/>
      <c r="J78" s="3273"/>
      <c r="K78" s="3273"/>
      <c r="L78" s="3273"/>
      <c r="M78" s="3273"/>
      <c r="N78" s="3273"/>
      <c r="O78" s="3273"/>
      <c r="P78" s="3273"/>
      <c r="Q78" s="3273"/>
      <c r="R78" s="3273"/>
      <c r="S78" s="3273"/>
      <c r="T78" s="3273"/>
      <c r="U78" s="3273"/>
      <c r="V78" s="3273"/>
      <c r="W78" s="3273"/>
      <c r="X78" s="3273"/>
      <c r="Y78" s="3273"/>
      <c r="Z78" s="3273"/>
      <c r="AA78" s="3273"/>
      <c r="AB78" s="3273"/>
      <c r="AC78" s="3273"/>
      <c r="AD78" s="3273"/>
      <c r="AE78" s="3273"/>
      <c r="AF78" s="3273"/>
      <c r="AG78" s="3273"/>
      <c r="AH78" s="3273"/>
      <c r="AI78" s="3273"/>
      <c r="AJ78" s="3273"/>
      <c r="AK78" s="3273"/>
      <c r="AL78" s="3273"/>
      <c r="AM78" s="3273"/>
      <c r="AN78" s="3273"/>
      <c r="AO78" s="3273"/>
      <c r="AP78" s="3350"/>
      <c r="BD78" s="3169"/>
      <c r="BE78" s="3169"/>
      <c r="BF78" s="3169"/>
      <c r="BG78" s="3169"/>
      <c r="BH78" s="3169"/>
      <c r="BI78" s="3169"/>
      <c r="BJ78" s="3169"/>
      <c r="BK78" s="3169"/>
      <c r="BL78" s="3169"/>
      <c r="BM78" s="3169"/>
      <c r="BN78" s="3169"/>
    </row>
    <row r="79" spans="1:66" ht="15">
      <c r="A79" s="3350"/>
      <c r="B79" s="6879">
        <v>4</v>
      </c>
      <c r="C79" s="7728"/>
      <c r="D79" s="3269" t="s">
        <v>2690</v>
      </c>
      <c r="E79" s="1443"/>
      <c r="F79" s="1443"/>
      <c r="G79" s="1443"/>
      <c r="H79" s="1443"/>
      <c r="I79" s="1443"/>
      <c r="J79" s="1443"/>
      <c r="K79" s="1443"/>
      <c r="L79" s="1443"/>
      <c r="M79" s="1443"/>
      <c r="N79" s="1443"/>
      <c r="O79" s="1443"/>
      <c r="P79" s="1443"/>
      <c r="Q79" s="1443"/>
      <c r="R79" s="1443"/>
      <c r="S79" s="1443"/>
      <c r="T79" s="1443"/>
      <c r="U79" s="1443"/>
      <c r="V79" s="1443"/>
      <c r="W79" s="1443"/>
      <c r="X79" s="1443"/>
      <c r="Y79" s="1443"/>
      <c r="Z79" s="1443"/>
      <c r="AA79" s="1443"/>
      <c r="AB79" s="1443"/>
      <c r="AC79" s="1443"/>
      <c r="AD79" s="1443"/>
      <c r="AE79" s="1443"/>
      <c r="AF79" s="1443"/>
      <c r="AG79" s="1443"/>
      <c r="AH79" s="1443"/>
      <c r="AI79" s="1443"/>
      <c r="AJ79" s="1443"/>
      <c r="AK79" s="1443"/>
      <c r="AL79" s="1443"/>
      <c r="AM79" s="1443"/>
      <c r="AN79" s="1443"/>
      <c r="AO79" s="1443"/>
      <c r="AP79" s="3350"/>
      <c r="BD79" s="3169"/>
      <c r="BE79" s="3169"/>
      <c r="BF79" s="3169"/>
      <c r="BG79" s="3169"/>
      <c r="BH79" s="3169"/>
      <c r="BI79" s="3169"/>
      <c r="BJ79" s="3169"/>
      <c r="BK79" s="3169"/>
      <c r="BL79" s="3169"/>
      <c r="BM79" s="3169"/>
      <c r="BN79" s="3169"/>
    </row>
    <row r="80" spans="1:66" ht="6" customHeight="1">
      <c r="A80" s="3350"/>
      <c r="B80" s="3286"/>
      <c r="C80" s="3367"/>
      <c r="D80" s="3269"/>
      <c r="E80" s="1443"/>
      <c r="F80" s="1443"/>
      <c r="G80" s="1443"/>
      <c r="H80" s="1443"/>
      <c r="I80" s="1443"/>
      <c r="J80" s="1443"/>
      <c r="K80" s="1443"/>
      <c r="L80" s="1443"/>
      <c r="M80" s="1443"/>
      <c r="N80" s="1443"/>
      <c r="O80" s="1443"/>
      <c r="P80" s="1443"/>
      <c r="Q80" s="1443"/>
      <c r="R80" s="1443"/>
      <c r="S80" s="1443"/>
      <c r="T80" s="1443"/>
      <c r="U80" s="1443"/>
      <c r="V80" s="1443"/>
      <c r="W80" s="1443"/>
      <c r="X80" s="1443"/>
      <c r="Y80" s="1443"/>
      <c r="Z80" s="1443"/>
      <c r="AA80" s="1443"/>
      <c r="AB80" s="1443"/>
      <c r="AC80" s="1443"/>
      <c r="AD80" s="1443"/>
      <c r="AE80" s="1443"/>
      <c r="AF80" s="1443"/>
      <c r="AG80" s="1443"/>
      <c r="AH80" s="1443"/>
      <c r="AI80" s="1443"/>
      <c r="AJ80" s="1443"/>
      <c r="AK80" s="1443"/>
      <c r="AL80" s="1443"/>
      <c r="AM80" s="1443"/>
      <c r="AN80" s="1443"/>
      <c r="AO80" s="1443"/>
      <c r="AP80" s="3350"/>
      <c r="BD80" s="3169"/>
      <c r="BE80" s="3169"/>
      <c r="BF80" s="3169"/>
      <c r="BG80" s="3169"/>
      <c r="BH80" s="3169"/>
      <c r="BI80" s="3169"/>
      <c r="BJ80" s="3169"/>
      <c r="BK80" s="3169"/>
      <c r="BL80" s="3169"/>
      <c r="BM80" s="3169"/>
      <c r="BN80" s="3169"/>
    </row>
    <row r="81" spans="1:66" ht="15">
      <c r="A81" s="3350"/>
      <c r="B81" s="6879"/>
      <c r="C81" s="7728"/>
      <c r="D81" s="3366" t="s">
        <v>38</v>
      </c>
      <c r="E81" s="1803"/>
      <c r="F81" s="2292" t="s">
        <v>2691</v>
      </c>
      <c r="G81" s="1443"/>
      <c r="H81" s="1443"/>
      <c r="I81" s="1443"/>
      <c r="J81" s="1443"/>
      <c r="K81" s="1443"/>
      <c r="L81" s="1443"/>
      <c r="M81" s="1443"/>
      <c r="N81" s="1443"/>
      <c r="O81" s="1443"/>
      <c r="P81" s="3366" t="s">
        <v>102</v>
      </c>
      <c r="Q81" s="1803"/>
      <c r="R81" s="2292" t="s">
        <v>2692</v>
      </c>
      <c r="S81" s="1607"/>
      <c r="T81" s="1443"/>
      <c r="U81" s="1443"/>
      <c r="V81" s="1443"/>
      <c r="W81" s="1443"/>
      <c r="X81" s="1443"/>
      <c r="Y81" s="1443"/>
      <c r="Z81" s="1443"/>
      <c r="AA81" s="1443"/>
      <c r="AB81" s="1443"/>
      <c r="AC81" s="1443"/>
      <c r="AD81" s="3366" t="s">
        <v>2693</v>
      </c>
      <c r="AE81" s="1803"/>
      <c r="AF81" s="2292" t="s">
        <v>2696</v>
      </c>
      <c r="AG81" s="1443"/>
      <c r="AH81" s="1443"/>
      <c r="AI81" s="1443"/>
      <c r="AJ81" s="1443"/>
      <c r="AK81" s="3366" t="s">
        <v>2694</v>
      </c>
      <c r="AL81" s="1803"/>
      <c r="AM81" s="2292" t="s">
        <v>2695</v>
      </c>
      <c r="AN81" s="1443"/>
      <c r="AO81" s="1443"/>
      <c r="AP81" s="3350"/>
      <c r="BD81" s="3169"/>
      <c r="BE81" s="3169"/>
      <c r="BF81" s="3169"/>
      <c r="BG81" s="3169"/>
      <c r="BH81" s="3169"/>
      <c r="BI81" s="3169"/>
      <c r="BJ81" s="3169"/>
      <c r="BK81" s="3169"/>
      <c r="BL81" s="3169"/>
      <c r="BM81" s="3169"/>
      <c r="BN81" s="3169"/>
    </row>
    <row r="82" spans="1:66" ht="6" customHeight="1">
      <c r="A82" s="3350"/>
      <c r="B82" s="3286"/>
      <c r="C82" s="3367"/>
      <c r="D82" s="3269"/>
      <c r="E82" s="1443"/>
      <c r="F82" s="1443"/>
      <c r="G82" s="1443"/>
      <c r="H82" s="1443"/>
      <c r="I82" s="1443"/>
      <c r="J82" s="1443"/>
      <c r="K82" s="1443"/>
      <c r="L82" s="1443"/>
      <c r="M82" s="1443"/>
      <c r="N82" s="1443"/>
      <c r="O82" s="1443"/>
      <c r="P82" s="1443"/>
      <c r="Q82" s="1443"/>
      <c r="R82" s="1443"/>
      <c r="S82" s="1443"/>
      <c r="T82" s="1443"/>
      <c r="U82" s="1443"/>
      <c r="V82" s="1443"/>
      <c r="W82" s="1443"/>
      <c r="X82" s="1443"/>
      <c r="Y82" s="1443"/>
      <c r="Z82" s="1443"/>
      <c r="AA82" s="1443"/>
      <c r="AB82" s="1443"/>
      <c r="AC82" s="1443"/>
      <c r="AD82" s="1443"/>
      <c r="AE82" s="1443"/>
      <c r="AF82" s="1443"/>
      <c r="AG82" s="1443"/>
      <c r="AH82" s="1443"/>
      <c r="AI82" s="1443"/>
      <c r="AJ82" s="1443"/>
      <c r="AK82" s="1443"/>
      <c r="AL82" s="1443"/>
      <c r="AM82" s="1443"/>
      <c r="AN82" s="1443"/>
      <c r="AO82" s="1443"/>
      <c r="AP82" s="3350"/>
      <c r="BD82" s="3169"/>
      <c r="BE82" s="3169"/>
      <c r="BF82" s="3169"/>
      <c r="BG82" s="3169"/>
      <c r="BH82" s="3169"/>
      <c r="BI82" s="3169"/>
      <c r="BJ82" s="3169"/>
      <c r="BK82" s="3169"/>
      <c r="BL82" s="3169"/>
      <c r="BM82" s="3169"/>
      <c r="BN82" s="3169"/>
    </row>
    <row r="83" spans="1:66" ht="15">
      <c r="A83" s="3350"/>
      <c r="B83" s="6879"/>
      <c r="C83" s="7728"/>
      <c r="D83" s="3366" t="s">
        <v>54</v>
      </c>
      <c r="E83" s="1803"/>
      <c r="F83" s="2292" t="s">
        <v>2697</v>
      </c>
      <c r="G83" s="1443"/>
      <c r="H83" s="1443"/>
      <c r="I83" s="1443"/>
      <c r="J83" s="1443"/>
      <c r="K83" s="1443"/>
      <c r="L83" s="1443"/>
      <c r="M83" s="1443"/>
      <c r="N83" s="1443"/>
      <c r="O83" s="1443"/>
      <c r="P83" s="3366" t="s">
        <v>1201</v>
      </c>
      <c r="Q83" s="1803"/>
      <c r="R83" s="2292" t="s">
        <v>2698</v>
      </c>
      <c r="S83" s="1607"/>
      <c r="T83" s="1443"/>
      <c r="U83" s="1443"/>
      <c r="V83" s="1443"/>
      <c r="W83" s="1443"/>
      <c r="X83" s="1443"/>
      <c r="Y83" s="1443"/>
      <c r="Z83" s="1443"/>
      <c r="AA83" s="1443"/>
      <c r="AB83" s="1443"/>
      <c r="AC83" s="1443"/>
      <c r="AD83" s="3366" t="s">
        <v>132</v>
      </c>
      <c r="AE83" s="1803"/>
      <c r="AF83" s="2292" t="s">
        <v>2699</v>
      </c>
      <c r="AG83" s="1443"/>
      <c r="AH83" s="1443"/>
      <c r="AI83" s="1443"/>
      <c r="AJ83" s="1443"/>
      <c r="AK83" s="1443"/>
      <c r="AL83" s="1443"/>
      <c r="AM83" s="1443"/>
      <c r="AN83" s="1443"/>
      <c r="AO83" s="1443"/>
      <c r="AP83" s="3350"/>
      <c r="BD83" s="3169"/>
      <c r="BE83" s="3169"/>
      <c r="BF83" s="3169"/>
      <c r="BG83" s="3169"/>
      <c r="BH83" s="3169"/>
      <c r="BI83" s="3169"/>
      <c r="BJ83" s="3169"/>
      <c r="BK83" s="3169"/>
      <c r="BL83" s="3169"/>
      <c r="BM83" s="3169"/>
      <c r="BN83" s="3169"/>
    </row>
    <row r="84" spans="1:66" ht="6" customHeight="1">
      <c r="A84" s="3350"/>
      <c r="B84" s="3286"/>
      <c r="C84" s="3367"/>
      <c r="D84" s="3269"/>
      <c r="E84" s="1443"/>
      <c r="F84" s="1443"/>
      <c r="G84" s="1443"/>
      <c r="H84" s="1443"/>
      <c r="I84" s="1443"/>
      <c r="J84" s="1443"/>
      <c r="K84" s="1443"/>
      <c r="L84" s="1443"/>
      <c r="M84" s="1443"/>
      <c r="N84" s="1443"/>
      <c r="O84" s="1443"/>
      <c r="P84" s="1443"/>
      <c r="Q84" s="1443"/>
      <c r="R84" s="1443"/>
      <c r="S84" s="1443"/>
      <c r="T84" s="1443"/>
      <c r="U84" s="1443"/>
      <c r="V84" s="1443"/>
      <c r="W84" s="1443"/>
      <c r="X84" s="1443"/>
      <c r="Y84" s="1443"/>
      <c r="Z84" s="1443"/>
      <c r="AA84" s="1443"/>
      <c r="AB84" s="1443"/>
      <c r="AC84" s="1443"/>
      <c r="AD84" s="1443"/>
      <c r="AE84" s="1443"/>
      <c r="AF84" s="1443"/>
      <c r="AG84" s="1443"/>
      <c r="AH84" s="1443"/>
      <c r="AI84" s="1443"/>
      <c r="AJ84" s="1443"/>
      <c r="AK84" s="1443"/>
      <c r="AL84" s="1443"/>
      <c r="AM84" s="1443"/>
      <c r="AN84" s="1443"/>
      <c r="AO84" s="1443"/>
      <c r="AP84" s="3350"/>
      <c r="BD84" s="3169"/>
      <c r="BE84" s="3169"/>
      <c r="BF84" s="3169"/>
      <c r="BG84" s="3169"/>
      <c r="BH84" s="3169"/>
      <c r="BI84" s="3169"/>
      <c r="BJ84" s="3169"/>
      <c r="BK84" s="3169"/>
      <c r="BL84" s="3169"/>
      <c r="BM84" s="3169"/>
      <c r="BN84" s="3169"/>
    </row>
    <row r="85" spans="1:66" ht="15">
      <c r="A85" s="3350"/>
      <c r="B85" s="6879"/>
      <c r="C85" s="7728"/>
      <c r="D85" s="3366" t="s">
        <v>55</v>
      </c>
      <c r="E85" s="1803"/>
      <c r="F85" s="2292" t="s">
        <v>2700</v>
      </c>
      <c r="G85" s="1443"/>
      <c r="H85" s="1443"/>
      <c r="I85" s="1443"/>
      <c r="J85" s="1443"/>
      <c r="K85" s="1443"/>
      <c r="L85" s="1443"/>
      <c r="M85" s="1443"/>
      <c r="N85" s="1443"/>
      <c r="O85" s="1443"/>
      <c r="P85" s="3366" t="s">
        <v>1202</v>
      </c>
      <c r="Q85" s="1803"/>
      <c r="R85" s="2292" t="s">
        <v>2701</v>
      </c>
      <c r="S85" s="1607"/>
      <c r="T85" s="1443"/>
      <c r="U85" s="1443"/>
      <c r="V85" s="1443"/>
      <c r="W85" s="1443"/>
      <c r="X85" s="1443"/>
      <c r="Y85" s="1443"/>
      <c r="Z85" s="1443"/>
      <c r="AA85" s="1443"/>
      <c r="AB85" s="1443"/>
      <c r="AC85" s="1443"/>
      <c r="AD85" s="3366" t="s">
        <v>2702</v>
      </c>
      <c r="AE85" s="1803"/>
      <c r="AF85" s="2292" t="s">
        <v>2703</v>
      </c>
      <c r="AG85" s="1443"/>
      <c r="AH85" s="1443"/>
      <c r="AI85" s="1443"/>
      <c r="AJ85" s="1443"/>
      <c r="AK85" s="1443"/>
      <c r="AL85" s="1443"/>
      <c r="AM85" s="1443"/>
      <c r="AN85" s="1443"/>
      <c r="AO85" s="1443"/>
      <c r="AP85" s="3350"/>
      <c r="BD85" s="3169"/>
      <c r="BE85" s="3169"/>
      <c r="BF85" s="3169"/>
      <c r="BG85" s="3169"/>
      <c r="BH85" s="3169"/>
      <c r="BI85" s="3169"/>
      <c r="BJ85" s="3169"/>
      <c r="BK85" s="3169"/>
      <c r="BL85" s="3169"/>
      <c r="BM85" s="3169"/>
      <c r="BN85" s="3169"/>
    </row>
    <row r="86" spans="1:66">
      <c r="A86" s="3350"/>
      <c r="B86" s="1443"/>
      <c r="C86" s="1450" t="s">
        <v>2704</v>
      </c>
      <c r="D86" s="1450"/>
      <c r="E86" s="1443"/>
      <c r="F86" s="1443"/>
      <c r="G86" s="1443"/>
      <c r="H86" s="1443"/>
      <c r="I86" s="1443"/>
      <c r="J86" s="1443"/>
      <c r="K86" s="1443"/>
      <c r="L86" s="1443"/>
      <c r="M86" s="1443"/>
      <c r="N86" s="1443"/>
      <c r="O86" s="1443"/>
      <c r="P86" s="1443"/>
      <c r="Q86" s="1443"/>
      <c r="R86" s="1443"/>
      <c r="S86" s="1443"/>
      <c r="T86" s="1617"/>
      <c r="U86" s="1443"/>
      <c r="V86" s="1443"/>
      <c r="W86" s="1443"/>
      <c r="X86" s="1443"/>
      <c r="Y86" s="1443"/>
      <c r="Z86" s="1443"/>
      <c r="AA86" s="1443"/>
      <c r="AB86" s="1443"/>
      <c r="AC86" s="1443"/>
      <c r="AD86" s="1443"/>
      <c r="AE86" s="1443"/>
      <c r="AF86" s="1443"/>
      <c r="AG86" s="1443"/>
      <c r="AH86" s="1443"/>
      <c r="AI86" s="1443"/>
      <c r="AJ86" s="1443"/>
      <c r="AK86" s="1443"/>
      <c r="AL86" s="1443"/>
      <c r="AM86" s="1443"/>
      <c r="AN86" s="1443"/>
      <c r="AO86" s="1443"/>
      <c r="AP86" s="3350"/>
      <c r="BD86" s="3169"/>
      <c r="BE86" s="3169"/>
      <c r="BF86" s="3169"/>
      <c r="BG86" s="3169"/>
      <c r="BH86" s="3169"/>
      <c r="BI86" s="3169"/>
      <c r="BJ86" s="3169"/>
      <c r="BK86" s="3169"/>
      <c r="BL86" s="3169"/>
      <c r="BM86" s="3169"/>
      <c r="BN86" s="3169"/>
    </row>
    <row r="87" spans="1:66">
      <c r="A87" s="3350"/>
      <c r="B87" s="1443"/>
      <c r="C87" s="1450" t="s">
        <v>2705</v>
      </c>
      <c r="D87" s="1443"/>
      <c r="E87" s="1443"/>
      <c r="F87" s="1443"/>
      <c r="G87" s="1443"/>
      <c r="H87" s="1443"/>
      <c r="I87" s="1443"/>
      <c r="J87" s="1443"/>
      <c r="K87" s="1443"/>
      <c r="L87" s="1443"/>
      <c r="M87" s="1443"/>
      <c r="N87" s="1443"/>
      <c r="O87" s="1443"/>
      <c r="P87" s="1443"/>
      <c r="Q87" s="1443"/>
      <c r="R87" s="1443"/>
      <c r="S87" s="1443"/>
      <c r="T87" s="1617"/>
      <c r="U87" s="1443"/>
      <c r="V87" s="1443"/>
      <c r="W87" s="1443"/>
      <c r="X87" s="1443"/>
      <c r="Y87" s="1443"/>
      <c r="Z87" s="1443"/>
      <c r="AA87" s="1443"/>
      <c r="AB87" s="1443"/>
      <c r="AC87" s="1443"/>
      <c r="AD87" s="1443"/>
      <c r="AE87" s="1443"/>
      <c r="AF87" s="1443"/>
      <c r="AG87" s="1443"/>
      <c r="AH87" s="1443"/>
      <c r="AI87" s="1443"/>
      <c r="AJ87" s="1443"/>
      <c r="AK87" s="1443"/>
      <c r="AL87" s="1443"/>
      <c r="AM87" s="1443"/>
      <c r="AN87" s="1443"/>
      <c r="AO87" s="1443"/>
      <c r="AP87" s="3350"/>
      <c r="BD87" s="3169"/>
      <c r="BE87" s="3169"/>
      <c r="BF87" s="3169"/>
      <c r="BG87" s="3169"/>
      <c r="BH87" s="3169"/>
      <c r="BI87" s="3169"/>
      <c r="BJ87" s="3169"/>
      <c r="BK87" s="3169"/>
      <c r="BL87" s="3169"/>
      <c r="BM87" s="3169"/>
      <c r="BN87" s="3169"/>
    </row>
    <row r="88" spans="1:66">
      <c r="A88" s="3350"/>
      <c r="B88" s="1443"/>
      <c r="C88" s="1592" t="s">
        <v>2706</v>
      </c>
      <c r="D88" s="1443"/>
      <c r="E88" s="1443"/>
      <c r="F88" s="1443"/>
      <c r="G88" s="1443"/>
      <c r="H88" s="1443"/>
      <c r="I88" s="1443"/>
      <c r="J88" s="1443"/>
      <c r="K88" s="1443"/>
      <c r="L88" s="1443"/>
      <c r="M88" s="1443"/>
      <c r="N88" s="1443"/>
      <c r="O88" s="1443"/>
      <c r="P88" s="1443"/>
      <c r="Q88" s="1443"/>
      <c r="R88" s="1443"/>
      <c r="S88" s="1443"/>
      <c r="T88" s="1617"/>
      <c r="U88" s="1443"/>
      <c r="V88" s="1443"/>
      <c r="W88" s="1443"/>
      <c r="X88" s="1443"/>
      <c r="Y88" s="1443"/>
      <c r="Z88" s="1443"/>
      <c r="AA88" s="1443"/>
      <c r="AB88" s="1443"/>
      <c r="AC88" s="1443"/>
      <c r="AD88" s="1443"/>
      <c r="AE88" s="1443"/>
      <c r="AF88" s="1443"/>
      <c r="AG88" s="1443"/>
      <c r="AH88" s="1443"/>
      <c r="AI88" s="1443"/>
      <c r="AJ88" s="1443"/>
      <c r="AK88" s="1443"/>
      <c r="AL88" s="1443"/>
      <c r="AM88" s="1443"/>
      <c r="AN88" s="1443"/>
      <c r="AO88" s="1443"/>
      <c r="AP88" s="3350"/>
      <c r="BD88" s="3169"/>
      <c r="BE88" s="3169"/>
      <c r="BF88" s="3169"/>
      <c r="BG88" s="3169"/>
      <c r="BH88" s="3169"/>
      <c r="BI88" s="3169"/>
      <c r="BJ88" s="3169"/>
      <c r="BK88" s="3169"/>
      <c r="BL88" s="3169"/>
      <c r="BM88" s="3169"/>
      <c r="BN88" s="3169"/>
    </row>
    <row r="89" spans="1:66">
      <c r="A89" s="3350"/>
      <c r="B89" s="1443"/>
      <c r="C89" s="1607" t="s">
        <v>2710</v>
      </c>
      <c r="D89" s="1443"/>
      <c r="E89" s="1443"/>
      <c r="F89" s="1443"/>
      <c r="G89" s="1443"/>
      <c r="H89" s="1443"/>
      <c r="I89" s="1443"/>
      <c r="J89" s="1443"/>
      <c r="K89" s="1443"/>
      <c r="L89" s="1443"/>
      <c r="M89" s="1443"/>
      <c r="N89" s="1443"/>
      <c r="O89" s="1443"/>
      <c r="P89" s="1443"/>
      <c r="Q89" s="1443"/>
      <c r="R89" s="1443"/>
      <c r="S89" s="1443"/>
      <c r="T89" s="1617"/>
      <c r="U89" s="1443"/>
      <c r="V89" s="1443"/>
      <c r="W89" s="1443"/>
      <c r="X89" s="1443"/>
      <c r="Y89" s="1443"/>
      <c r="Z89" s="1443"/>
      <c r="AA89" s="1443"/>
      <c r="AB89" s="1443"/>
      <c r="AC89" s="1443"/>
      <c r="AD89" s="1443"/>
      <c r="AE89" s="1443"/>
      <c r="AF89" s="1443"/>
      <c r="AG89" s="1443"/>
      <c r="AH89" s="1443"/>
      <c r="AI89" s="1443"/>
      <c r="AJ89" s="1443"/>
      <c r="AK89" s="1443"/>
      <c r="AL89" s="1443"/>
      <c r="AM89" s="1443"/>
      <c r="AN89" s="1443"/>
      <c r="AO89" s="1443"/>
      <c r="AP89" s="3350"/>
      <c r="BD89" s="3169"/>
      <c r="BE89" s="3169"/>
      <c r="BF89" s="3169"/>
      <c r="BG89" s="3169"/>
      <c r="BH89" s="3169"/>
      <c r="BI89" s="3169"/>
      <c r="BJ89" s="3169"/>
      <c r="BK89" s="3169"/>
      <c r="BL89" s="3169"/>
      <c r="BM89" s="3169"/>
      <c r="BN89" s="3169"/>
    </row>
    <row r="90" spans="1:66" ht="7.5" customHeight="1">
      <c r="A90" s="3350"/>
      <c r="B90" s="7722">
        <v>5</v>
      </c>
      <c r="C90" s="5872"/>
      <c r="D90" s="6305" t="s">
        <v>2709</v>
      </c>
      <c r="E90" s="5872"/>
      <c r="F90" s="5872"/>
      <c r="G90" s="5872"/>
      <c r="H90" s="5872"/>
      <c r="I90" s="5872"/>
      <c r="J90" s="5872"/>
      <c r="K90" s="5872"/>
      <c r="L90" s="5872"/>
      <c r="M90" s="5872"/>
      <c r="N90" s="5872"/>
      <c r="O90" s="6115"/>
      <c r="P90" s="6247" t="s">
        <v>2708</v>
      </c>
      <c r="Q90" s="5872"/>
      <c r="R90" s="5872"/>
      <c r="S90" s="5872"/>
      <c r="T90" s="5872"/>
      <c r="U90" s="5872"/>
      <c r="V90" s="5872"/>
      <c r="W90" s="5872"/>
      <c r="X90" s="5872"/>
      <c r="Y90" s="5872"/>
      <c r="Z90" s="5872"/>
      <c r="AA90" s="5872"/>
      <c r="AB90" s="5872"/>
      <c r="AC90" s="5872"/>
      <c r="AD90" s="5872"/>
      <c r="AE90" s="5872"/>
      <c r="AF90" s="5872"/>
      <c r="AG90" s="5872"/>
      <c r="AH90" s="5872"/>
      <c r="AI90" s="5872"/>
      <c r="AJ90" s="6115"/>
      <c r="AK90" s="6247" t="s">
        <v>2707</v>
      </c>
      <c r="AL90" s="7723"/>
      <c r="AM90" s="7723"/>
      <c r="AN90" s="7723"/>
      <c r="AO90" s="7723"/>
      <c r="AP90" s="3350"/>
      <c r="BD90" s="3169"/>
      <c r="BE90" s="3169"/>
      <c r="BF90" s="3169"/>
      <c r="BG90" s="3169"/>
      <c r="BH90" s="3169"/>
      <c r="BI90" s="3169"/>
      <c r="BJ90" s="3169"/>
      <c r="BK90" s="3169"/>
      <c r="BL90" s="3169"/>
      <c r="BM90" s="3169"/>
      <c r="BN90" s="3169"/>
    </row>
    <row r="91" spans="1:66">
      <c r="A91" s="3350"/>
      <c r="B91" s="6249"/>
      <c r="C91" s="6249"/>
      <c r="D91" s="6249"/>
      <c r="E91" s="6249"/>
      <c r="F91" s="6249"/>
      <c r="G91" s="6249"/>
      <c r="H91" s="6249"/>
      <c r="I91" s="6249"/>
      <c r="J91" s="6249"/>
      <c r="K91" s="6249"/>
      <c r="L91" s="6249"/>
      <c r="M91" s="6249"/>
      <c r="N91" s="6249"/>
      <c r="O91" s="6117"/>
      <c r="P91" s="6248"/>
      <c r="Q91" s="6249"/>
      <c r="R91" s="6249"/>
      <c r="S91" s="6249"/>
      <c r="T91" s="6249"/>
      <c r="U91" s="6249"/>
      <c r="V91" s="6249"/>
      <c r="W91" s="6249"/>
      <c r="X91" s="6249"/>
      <c r="Y91" s="6249"/>
      <c r="Z91" s="6249"/>
      <c r="AA91" s="6249"/>
      <c r="AB91" s="6249"/>
      <c r="AC91" s="6249"/>
      <c r="AD91" s="6249"/>
      <c r="AE91" s="6249"/>
      <c r="AF91" s="6249"/>
      <c r="AG91" s="6249"/>
      <c r="AH91" s="6249"/>
      <c r="AI91" s="6249"/>
      <c r="AJ91" s="6117"/>
      <c r="AK91" s="7724"/>
      <c r="AL91" s="7725"/>
      <c r="AM91" s="7725"/>
      <c r="AN91" s="7725"/>
      <c r="AO91" s="7725"/>
      <c r="AP91" s="3350"/>
      <c r="BD91" s="3169"/>
      <c r="BE91" s="3169"/>
      <c r="BF91" s="3169"/>
      <c r="BG91" s="3169"/>
      <c r="BH91" s="3169"/>
      <c r="BI91" s="3169"/>
      <c r="BJ91" s="3169"/>
      <c r="BK91" s="3169"/>
      <c r="BL91" s="3169"/>
      <c r="BM91" s="3169"/>
      <c r="BN91" s="3169"/>
    </row>
    <row r="92" spans="1:66">
      <c r="A92" s="3350"/>
      <c r="B92" s="6249"/>
      <c r="C92" s="6249"/>
      <c r="D92" s="6249"/>
      <c r="E92" s="6249"/>
      <c r="F92" s="6249"/>
      <c r="G92" s="6249"/>
      <c r="H92" s="6249"/>
      <c r="I92" s="6249"/>
      <c r="J92" s="6249"/>
      <c r="K92" s="6249"/>
      <c r="L92" s="6249"/>
      <c r="M92" s="6249"/>
      <c r="N92" s="6249"/>
      <c r="O92" s="6117"/>
      <c r="P92" s="6248"/>
      <c r="Q92" s="6249"/>
      <c r="R92" s="6249"/>
      <c r="S92" s="6249"/>
      <c r="T92" s="6249"/>
      <c r="U92" s="6249"/>
      <c r="V92" s="6249"/>
      <c r="W92" s="6249"/>
      <c r="X92" s="6249"/>
      <c r="Y92" s="6249"/>
      <c r="Z92" s="6249"/>
      <c r="AA92" s="6249"/>
      <c r="AB92" s="6249"/>
      <c r="AC92" s="6249"/>
      <c r="AD92" s="6249"/>
      <c r="AE92" s="6249"/>
      <c r="AF92" s="6249"/>
      <c r="AG92" s="6249"/>
      <c r="AH92" s="6249"/>
      <c r="AI92" s="6249"/>
      <c r="AJ92" s="6117"/>
      <c r="AK92" s="7724"/>
      <c r="AL92" s="7725"/>
      <c r="AM92" s="7725"/>
      <c r="AN92" s="7725"/>
      <c r="AO92" s="7725"/>
      <c r="AP92" s="3350"/>
      <c r="AQ92" s="3350"/>
      <c r="AR92" s="3350"/>
      <c r="AS92" s="3350"/>
      <c r="AT92" s="3350"/>
      <c r="AU92" s="3350"/>
      <c r="AV92" s="3350"/>
      <c r="AW92" s="3350"/>
      <c r="AX92" s="3350"/>
      <c r="AY92" s="3350"/>
      <c r="AZ92" s="3350"/>
      <c r="BA92" s="3350"/>
      <c r="BB92" s="3350"/>
      <c r="BD92" s="3169"/>
      <c r="BE92" s="3169"/>
      <c r="BF92" s="3169"/>
      <c r="BG92" s="3169"/>
      <c r="BH92" s="3169"/>
      <c r="BI92" s="3169"/>
      <c r="BJ92" s="3169"/>
      <c r="BK92" s="3169"/>
      <c r="BL92" s="3169"/>
      <c r="BM92" s="3169"/>
      <c r="BN92" s="3169"/>
    </row>
    <row r="93" spans="1:66" ht="6" customHeight="1">
      <c r="A93" s="3350"/>
      <c r="B93" s="6251"/>
      <c r="C93" s="6251"/>
      <c r="D93" s="6251"/>
      <c r="E93" s="6251"/>
      <c r="F93" s="6251"/>
      <c r="G93" s="6251"/>
      <c r="H93" s="6251"/>
      <c r="I93" s="6251"/>
      <c r="J93" s="6251"/>
      <c r="K93" s="6251"/>
      <c r="L93" s="6251"/>
      <c r="M93" s="6251"/>
      <c r="N93" s="6251"/>
      <c r="O93" s="6120"/>
      <c r="P93" s="6250"/>
      <c r="Q93" s="6251"/>
      <c r="R93" s="6251"/>
      <c r="S93" s="6251"/>
      <c r="T93" s="6251"/>
      <c r="U93" s="6251"/>
      <c r="V93" s="6251"/>
      <c r="W93" s="6251"/>
      <c r="X93" s="6251"/>
      <c r="Y93" s="6251"/>
      <c r="Z93" s="6251"/>
      <c r="AA93" s="6251"/>
      <c r="AB93" s="6251"/>
      <c r="AC93" s="6251"/>
      <c r="AD93" s="6251"/>
      <c r="AE93" s="6251"/>
      <c r="AF93" s="6251"/>
      <c r="AG93" s="6251"/>
      <c r="AH93" s="6251"/>
      <c r="AI93" s="6251"/>
      <c r="AJ93" s="6120"/>
      <c r="AK93" s="7726"/>
      <c r="AL93" s="7727"/>
      <c r="AM93" s="7727"/>
      <c r="AN93" s="7727"/>
      <c r="AO93" s="7727"/>
      <c r="AP93" s="3350"/>
      <c r="AQ93" s="3350"/>
      <c r="AR93" s="3350"/>
      <c r="AS93" s="3350"/>
      <c r="AT93" s="3350"/>
      <c r="AU93" s="3350"/>
      <c r="AV93" s="3350"/>
      <c r="AW93" s="3350"/>
      <c r="AX93" s="3350"/>
      <c r="AY93" s="3350"/>
      <c r="AZ93" s="3350"/>
      <c r="BA93" s="3350"/>
      <c r="BB93" s="3350"/>
      <c r="BD93" s="3169"/>
      <c r="BE93" s="3169"/>
      <c r="BF93" s="3169"/>
      <c r="BG93" s="3169"/>
      <c r="BH93" s="3169"/>
      <c r="BI93" s="3169"/>
      <c r="BJ93" s="3169"/>
      <c r="BK93" s="3169"/>
      <c r="BL93" s="3169"/>
      <c r="BM93" s="3169"/>
      <c r="BN93" s="3169"/>
    </row>
    <row r="94" spans="1:66" ht="21.75" customHeight="1">
      <c r="A94" s="3350"/>
      <c r="B94" s="3333" t="s">
        <v>159</v>
      </c>
      <c r="C94" s="7705"/>
      <c r="D94" s="7706"/>
      <c r="E94" s="7706"/>
      <c r="F94" s="7706"/>
      <c r="G94" s="7706"/>
      <c r="H94" s="7706"/>
      <c r="I94" s="7706"/>
      <c r="J94" s="7706"/>
      <c r="K94" s="7706"/>
      <c r="L94" s="7706"/>
      <c r="M94" s="7706"/>
      <c r="N94" s="7706"/>
      <c r="O94" s="7707"/>
      <c r="P94" s="7719"/>
      <c r="Q94" s="7720"/>
      <c r="R94" s="7720"/>
      <c r="S94" s="7720"/>
      <c r="T94" s="7720"/>
      <c r="U94" s="7720"/>
      <c r="V94" s="7720"/>
      <c r="W94" s="7720"/>
      <c r="X94" s="7720"/>
      <c r="Y94" s="7720"/>
      <c r="Z94" s="7720"/>
      <c r="AA94" s="7720"/>
      <c r="AB94" s="7720"/>
      <c r="AC94" s="7720"/>
      <c r="AD94" s="7720"/>
      <c r="AE94" s="7720"/>
      <c r="AF94" s="7720"/>
      <c r="AG94" s="7720"/>
      <c r="AH94" s="7720"/>
      <c r="AI94" s="7720"/>
      <c r="AJ94" s="7721"/>
      <c r="AK94" s="7659"/>
      <c r="AL94" s="7718"/>
      <c r="AM94" s="7718"/>
      <c r="AN94" s="7718"/>
      <c r="AO94" s="7718"/>
      <c r="AP94" s="3350"/>
      <c r="AQ94" s="3380" t="s">
        <v>2602</v>
      </c>
      <c r="AR94" s="1443"/>
      <c r="AS94" s="1443"/>
      <c r="AT94" s="1443"/>
      <c r="AU94" s="1443"/>
      <c r="AV94" s="1443"/>
      <c r="AW94" s="1443"/>
      <c r="AX94" s="1443"/>
      <c r="AY94" s="1443"/>
      <c r="AZ94" s="1443"/>
      <c r="BA94" s="1443"/>
      <c r="BB94" s="3350"/>
      <c r="BD94" s="3169"/>
      <c r="BE94" s="3169"/>
      <c r="BF94" s="3169"/>
      <c r="BG94" s="3169"/>
      <c r="BH94" s="3169"/>
      <c r="BI94" s="3169"/>
      <c r="BJ94" s="3169"/>
      <c r="BK94" s="3169"/>
      <c r="BL94" s="3169"/>
      <c r="BM94" s="3169"/>
      <c r="BN94" s="3169"/>
    </row>
    <row r="95" spans="1:66" ht="21.75" customHeight="1">
      <c r="A95" s="3350"/>
      <c r="B95" s="3333" t="s">
        <v>327</v>
      </c>
      <c r="C95" s="7705"/>
      <c r="D95" s="7706"/>
      <c r="E95" s="7706"/>
      <c r="F95" s="7706"/>
      <c r="G95" s="7706"/>
      <c r="H95" s="7706"/>
      <c r="I95" s="7706"/>
      <c r="J95" s="7706"/>
      <c r="K95" s="7706"/>
      <c r="L95" s="7706"/>
      <c r="M95" s="7706"/>
      <c r="N95" s="7706"/>
      <c r="O95" s="7707"/>
      <c r="P95" s="7719"/>
      <c r="Q95" s="7720"/>
      <c r="R95" s="7720"/>
      <c r="S95" s="7720"/>
      <c r="T95" s="7720"/>
      <c r="U95" s="7720"/>
      <c r="V95" s="7720"/>
      <c r="W95" s="7720"/>
      <c r="X95" s="7720"/>
      <c r="Y95" s="7720"/>
      <c r="Z95" s="7720"/>
      <c r="AA95" s="7720"/>
      <c r="AB95" s="7720"/>
      <c r="AC95" s="7720"/>
      <c r="AD95" s="7720"/>
      <c r="AE95" s="7720"/>
      <c r="AF95" s="7720"/>
      <c r="AG95" s="7720"/>
      <c r="AH95" s="7720"/>
      <c r="AI95" s="7720"/>
      <c r="AJ95" s="7721"/>
      <c r="AK95" s="7659"/>
      <c r="AL95" s="7718"/>
      <c r="AM95" s="7718"/>
      <c r="AN95" s="7718"/>
      <c r="AO95" s="7718"/>
      <c r="AP95" s="3350"/>
      <c r="AQ95" s="3350"/>
      <c r="AR95" s="3350"/>
      <c r="AS95" s="3350"/>
      <c r="AT95" s="3350"/>
      <c r="AU95" s="3350"/>
      <c r="AV95" s="3350"/>
      <c r="AW95" s="3350"/>
      <c r="AX95" s="3350"/>
      <c r="AY95" s="3350"/>
      <c r="AZ95" s="3350"/>
      <c r="BA95" s="3350"/>
      <c r="BB95" s="3350"/>
      <c r="BD95" s="3169"/>
      <c r="BE95" s="3169"/>
      <c r="BF95" s="3169"/>
      <c r="BG95" s="3169"/>
      <c r="BH95" s="3169"/>
      <c r="BI95" s="3169"/>
      <c r="BJ95" s="3169"/>
      <c r="BK95" s="3169"/>
      <c r="BL95" s="3169"/>
      <c r="BM95" s="3169"/>
      <c r="BN95" s="3169"/>
    </row>
    <row r="96" spans="1:66" ht="21.75" customHeight="1">
      <c r="A96" s="3350"/>
      <c r="B96" s="3333" t="s">
        <v>160</v>
      </c>
      <c r="C96" s="7705"/>
      <c r="D96" s="7706"/>
      <c r="E96" s="7706"/>
      <c r="F96" s="7706"/>
      <c r="G96" s="7706"/>
      <c r="H96" s="7706"/>
      <c r="I96" s="7706"/>
      <c r="J96" s="7706"/>
      <c r="K96" s="7706"/>
      <c r="L96" s="7706"/>
      <c r="M96" s="7706"/>
      <c r="N96" s="7706"/>
      <c r="O96" s="7707"/>
      <c r="P96" s="7719"/>
      <c r="Q96" s="7720"/>
      <c r="R96" s="7720"/>
      <c r="S96" s="7720"/>
      <c r="T96" s="7720"/>
      <c r="U96" s="7720"/>
      <c r="V96" s="7720"/>
      <c r="W96" s="7720"/>
      <c r="X96" s="7720"/>
      <c r="Y96" s="7720"/>
      <c r="Z96" s="7720"/>
      <c r="AA96" s="7720"/>
      <c r="AB96" s="7720"/>
      <c r="AC96" s="7720"/>
      <c r="AD96" s="7720"/>
      <c r="AE96" s="7720"/>
      <c r="AF96" s="7720"/>
      <c r="AG96" s="7720"/>
      <c r="AH96" s="7720"/>
      <c r="AI96" s="7720"/>
      <c r="AJ96" s="7721"/>
      <c r="AK96" s="7659"/>
      <c r="AL96" s="7718"/>
      <c r="AM96" s="7718"/>
      <c r="AN96" s="7718"/>
      <c r="AO96" s="7718"/>
      <c r="AP96" s="3350"/>
      <c r="BD96" s="3169"/>
      <c r="BE96" s="3169"/>
      <c r="BF96" s="3169"/>
      <c r="BG96" s="3169"/>
      <c r="BH96" s="3169"/>
      <c r="BI96" s="3169"/>
      <c r="BJ96" s="3169"/>
      <c r="BK96" s="3169"/>
      <c r="BL96" s="3169"/>
      <c r="BM96" s="3169"/>
      <c r="BN96" s="3169"/>
    </row>
    <row r="97" spans="1:67" ht="21.75" customHeight="1">
      <c r="A97" s="3350"/>
      <c r="B97" s="3333" t="s">
        <v>329</v>
      </c>
      <c r="C97" s="7705"/>
      <c r="D97" s="7706"/>
      <c r="E97" s="7706"/>
      <c r="F97" s="7706"/>
      <c r="G97" s="7706"/>
      <c r="H97" s="7706"/>
      <c r="I97" s="7706"/>
      <c r="J97" s="7706"/>
      <c r="K97" s="7706"/>
      <c r="L97" s="7706"/>
      <c r="M97" s="7706"/>
      <c r="N97" s="7706"/>
      <c r="O97" s="7707"/>
      <c r="P97" s="7719"/>
      <c r="Q97" s="7720"/>
      <c r="R97" s="7720"/>
      <c r="S97" s="7720"/>
      <c r="T97" s="7720"/>
      <c r="U97" s="7720"/>
      <c r="V97" s="7720"/>
      <c r="W97" s="7720"/>
      <c r="X97" s="7720"/>
      <c r="Y97" s="7720"/>
      <c r="Z97" s="7720"/>
      <c r="AA97" s="7720"/>
      <c r="AB97" s="7720"/>
      <c r="AC97" s="7720"/>
      <c r="AD97" s="7720"/>
      <c r="AE97" s="7720"/>
      <c r="AF97" s="7720"/>
      <c r="AG97" s="7720"/>
      <c r="AH97" s="7720"/>
      <c r="AI97" s="7720"/>
      <c r="AJ97" s="7721"/>
      <c r="AK97" s="7659"/>
      <c r="AL97" s="7718"/>
      <c r="AM97" s="7718"/>
      <c r="AN97" s="7718"/>
      <c r="AO97" s="7718"/>
      <c r="AP97" s="3350"/>
      <c r="BD97" s="3169"/>
      <c r="BE97" s="3169"/>
      <c r="BF97" s="3169"/>
      <c r="BG97" s="3169"/>
      <c r="BH97" s="3169"/>
      <c r="BI97" s="3169"/>
      <c r="BJ97" s="3169"/>
      <c r="BK97" s="3169"/>
      <c r="BL97" s="3169"/>
      <c r="BM97" s="3169"/>
      <c r="BN97" s="3169"/>
    </row>
    <row r="98" spans="1:67" s="268" customFormat="1" ht="16.5" customHeight="1">
      <c r="A98" s="3368"/>
      <c r="B98" s="3369"/>
      <c r="C98" s="6227" t="s">
        <v>2711</v>
      </c>
      <c r="D98" s="7155"/>
      <c r="E98" s="7155"/>
      <c r="F98" s="7155"/>
      <c r="G98" s="7155"/>
      <c r="H98" s="7709" t="s">
        <v>2712</v>
      </c>
      <c r="I98" s="7155"/>
      <c r="J98" s="7155"/>
      <c r="K98" s="7155"/>
      <c r="L98" s="7155"/>
      <c r="M98" s="7155"/>
      <c r="N98" s="7155"/>
      <c r="O98" s="7710"/>
      <c r="P98" s="6227" t="s">
        <v>2713</v>
      </c>
      <c r="Q98" s="6078"/>
      <c r="R98" s="6078"/>
      <c r="S98" s="6078"/>
      <c r="T98" s="6078"/>
      <c r="U98" s="6078"/>
      <c r="V98" s="6078"/>
      <c r="W98" s="6227" t="s">
        <v>2717</v>
      </c>
      <c r="X98" s="6078"/>
      <c r="Y98" s="6078"/>
      <c r="Z98" s="6078"/>
      <c r="AA98" s="6078"/>
      <c r="AB98" s="6078"/>
      <c r="AC98" s="6078"/>
      <c r="AD98" s="6079"/>
      <c r="AE98" s="7708" t="s">
        <v>2714</v>
      </c>
      <c r="AF98" s="6078"/>
      <c r="AG98" s="6078"/>
      <c r="AH98" s="6078"/>
      <c r="AI98" s="6078"/>
      <c r="AJ98" s="6078"/>
      <c r="AK98" s="6078"/>
      <c r="AL98" s="6078"/>
      <c r="AM98" s="6078"/>
      <c r="AN98" s="6078"/>
      <c r="AO98" s="6078"/>
      <c r="AP98" s="3350"/>
      <c r="AQ98" s="46"/>
      <c r="AR98" s="46"/>
      <c r="AS98" s="46"/>
      <c r="AT98" s="46"/>
      <c r="AU98" s="46"/>
      <c r="AV98" s="46"/>
      <c r="AW98" s="46"/>
      <c r="AX98" s="46"/>
      <c r="AY98" s="46"/>
      <c r="AZ98" s="46"/>
      <c r="BA98" s="46"/>
      <c r="BB98" s="46"/>
      <c r="BC98" s="46"/>
      <c r="BD98" s="3169"/>
      <c r="BE98" s="3370"/>
      <c r="BF98" s="3370"/>
      <c r="BG98" s="3370"/>
      <c r="BH98" s="3370"/>
      <c r="BI98" s="3370"/>
      <c r="BJ98" s="3370"/>
      <c r="BK98" s="3370"/>
      <c r="BL98" s="3370"/>
      <c r="BM98" s="3370"/>
      <c r="BN98" s="3370"/>
    </row>
    <row r="99" spans="1:67" s="268" customFormat="1" ht="23.25" customHeight="1">
      <c r="A99" s="3368"/>
      <c r="B99" s="3371"/>
      <c r="C99" s="7711"/>
      <c r="D99" s="7712"/>
      <c r="E99" s="7712"/>
      <c r="F99" s="7712"/>
      <c r="G99" s="7712"/>
      <c r="H99" s="7711"/>
      <c r="I99" s="7712"/>
      <c r="J99" s="7712"/>
      <c r="K99" s="7712"/>
      <c r="L99" s="7712"/>
      <c r="M99" s="7712"/>
      <c r="N99" s="7712"/>
      <c r="O99" s="7713"/>
      <c r="P99" s="7714"/>
      <c r="Q99" s="5681"/>
      <c r="R99" s="5681"/>
      <c r="S99" s="5681"/>
      <c r="T99" s="5681"/>
      <c r="U99" s="5681"/>
      <c r="V99" s="5681"/>
      <c r="W99" s="7714"/>
      <c r="X99" s="5681"/>
      <c r="Y99" s="5681"/>
      <c r="Z99" s="5681"/>
      <c r="AA99" s="5681"/>
      <c r="AB99" s="5681"/>
      <c r="AC99" s="5681"/>
      <c r="AD99" s="6080"/>
      <c r="AE99" s="7715" t="s">
        <v>2716</v>
      </c>
      <c r="AF99" s="7716"/>
      <c r="AG99" s="7716"/>
      <c r="AH99" s="7716"/>
      <c r="AI99" s="7716"/>
      <c r="AJ99" s="7717"/>
      <c r="AK99" s="7703" t="s">
        <v>2715</v>
      </c>
      <c r="AL99" s="7704"/>
      <c r="AM99" s="7704"/>
      <c r="AN99" s="7704"/>
      <c r="AO99" s="7704"/>
      <c r="AP99" s="3350"/>
      <c r="AQ99" s="46"/>
      <c r="AR99" s="46"/>
      <c r="AS99" s="46"/>
      <c r="AT99" s="46"/>
      <c r="AU99" s="46"/>
      <c r="AV99" s="46"/>
      <c r="AW99" s="46"/>
      <c r="AX99" s="46"/>
      <c r="AY99" s="46"/>
      <c r="AZ99" s="46"/>
      <c r="BA99" s="46"/>
      <c r="BB99" s="46"/>
      <c r="BC99" s="46"/>
      <c r="BD99" s="3169"/>
      <c r="BE99" s="3370"/>
      <c r="BF99" s="3370"/>
      <c r="BG99" s="3370"/>
      <c r="BH99" s="3370"/>
      <c r="BI99" s="3370"/>
      <c r="BJ99" s="3370"/>
      <c r="BK99" s="3370"/>
      <c r="BL99" s="3370"/>
      <c r="BM99" s="3370"/>
      <c r="BN99" s="3370"/>
      <c r="BO99" s="3370"/>
    </row>
    <row r="100" spans="1:67" ht="16.5" customHeight="1">
      <c r="A100" s="3350"/>
      <c r="B100" s="3333" t="s">
        <v>159</v>
      </c>
      <c r="C100" s="6800"/>
      <c r="D100" s="6801"/>
      <c r="E100" s="6801"/>
      <c r="F100" s="6801"/>
      <c r="G100" s="6802"/>
      <c r="H100" s="7698"/>
      <c r="I100" s="7699"/>
      <c r="J100" s="7699"/>
      <c r="K100" s="7699"/>
      <c r="L100" s="7700"/>
      <c r="M100" s="7701"/>
      <c r="N100" s="7701"/>
      <c r="O100" s="7702"/>
      <c r="P100" s="7659"/>
      <c r="Q100" s="7660"/>
      <c r="R100" s="7660"/>
      <c r="S100" s="7660"/>
      <c r="T100" s="7660"/>
      <c r="U100" s="7660"/>
      <c r="V100" s="7661"/>
      <c r="W100" s="7659"/>
      <c r="X100" s="7662"/>
      <c r="Y100" s="7662"/>
      <c r="Z100" s="7662"/>
      <c r="AA100" s="7663"/>
      <c r="AB100" s="7664"/>
      <c r="AC100" s="7664"/>
      <c r="AD100" s="7665"/>
      <c r="AE100" s="7659"/>
      <c r="AF100" s="7662"/>
      <c r="AG100" s="7662"/>
      <c r="AH100" s="7662"/>
      <c r="AI100" s="7663"/>
      <c r="AJ100" s="7664"/>
      <c r="AK100" s="6800"/>
      <c r="AL100" s="6801"/>
      <c r="AM100" s="6801"/>
      <c r="AN100" s="6801"/>
      <c r="AO100" s="6802"/>
      <c r="AP100" s="3350"/>
      <c r="BD100" s="3169"/>
      <c r="BE100" s="3169"/>
      <c r="BF100" s="3169"/>
      <c r="BG100" s="3169"/>
      <c r="BH100" s="3169"/>
      <c r="BI100" s="3169"/>
      <c r="BJ100" s="3169"/>
      <c r="BK100" s="3169"/>
      <c r="BL100" s="3169"/>
      <c r="BM100" s="3169"/>
      <c r="BN100" s="3169"/>
    </row>
    <row r="101" spans="1:67" ht="16.5" customHeight="1">
      <c r="A101" s="3350"/>
      <c r="B101" s="3333" t="s">
        <v>327</v>
      </c>
      <c r="C101" s="6800"/>
      <c r="D101" s="6801"/>
      <c r="E101" s="6801"/>
      <c r="F101" s="6801"/>
      <c r="G101" s="6802"/>
      <c r="H101" s="7698"/>
      <c r="I101" s="7699"/>
      <c r="J101" s="7699"/>
      <c r="K101" s="7699"/>
      <c r="L101" s="7700"/>
      <c r="M101" s="7701"/>
      <c r="N101" s="7701"/>
      <c r="O101" s="7702"/>
      <c r="P101" s="7659"/>
      <c r="Q101" s="7660"/>
      <c r="R101" s="7660"/>
      <c r="S101" s="7660"/>
      <c r="T101" s="7660"/>
      <c r="U101" s="7660"/>
      <c r="V101" s="7661"/>
      <c r="W101" s="7659"/>
      <c r="X101" s="7662"/>
      <c r="Y101" s="7662"/>
      <c r="Z101" s="7662"/>
      <c r="AA101" s="7663"/>
      <c r="AB101" s="7664"/>
      <c r="AC101" s="7664"/>
      <c r="AD101" s="7665"/>
      <c r="AE101" s="7659"/>
      <c r="AF101" s="7662"/>
      <c r="AG101" s="7662"/>
      <c r="AH101" s="7662"/>
      <c r="AI101" s="7663"/>
      <c r="AJ101" s="7664"/>
      <c r="AK101" s="6800"/>
      <c r="AL101" s="6801"/>
      <c r="AM101" s="6801"/>
      <c r="AN101" s="6801"/>
      <c r="AO101" s="6802"/>
      <c r="AP101" s="3350"/>
      <c r="BD101" s="3169"/>
      <c r="BE101" s="3169"/>
      <c r="BF101" s="3169"/>
      <c r="BG101" s="3169"/>
      <c r="BH101" s="3169"/>
      <c r="BI101" s="3169"/>
      <c r="BJ101" s="3169"/>
      <c r="BK101" s="3169"/>
      <c r="BL101" s="3169"/>
      <c r="BM101" s="3169"/>
      <c r="BN101" s="3169"/>
    </row>
    <row r="102" spans="1:67" ht="16.5" customHeight="1">
      <c r="A102" s="3350"/>
      <c r="B102" s="3333" t="s">
        <v>160</v>
      </c>
      <c r="C102" s="6800"/>
      <c r="D102" s="6801"/>
      <c r="E102" s="6801"/>
      <c r="F102" s="6801"/>
      <c r="G102" s="6802"/>
      <c r="H102" s="7698"/>
      <c r="I102" s="7699"/>
      <c r="J102" s="7699"/>
      <c r="K102" s="7699"/>
      <c r="L102" s="7700"/>
      <c r="M102" s="7701"/>
      <c r="N102" s="7701"/>
      <c r="O102" s="7702"/>
      <c r="P102" s="7659"/>
      <c r="Q102" s="7660"/>
      <c r="R102" s="7660"/>
      <c r="S102" s="7660"/>
      <c r="T102" s="7660"/>
      <c r="U102" s="7660"/>
      <c r="V102" s="7661"/>
      <c r="W102" s="7659"/>
      <c r="X102" s="7662"/>
      <c r="Y102" s="7662"/>
      <c r="Z102" s="7662"/>
      <c r="AA102" s="7663"/>
      <c r="AB102" s="7664"/>
      <c r="AC102" s="7664"/>
      <c r="AD102" s="7665"/>
      <c r="AE102" s="7659"/>
      <c r="AF102" s="7662"/>
      <c r="AG102" s="7662"/>
      <c r="AH102" s="7662"/>
      <c r="AI102" s="7663"/>
      <c r="AJ102" s="7664"/>
      <c r="AK102" s="6800"/>
      <c r="AL102" s="6801"/>
      <c r="AM102" s="6801"/>
      <c r="AN102" s="6801"/>
      <c r="AO102" s="6802"/>
      <c r="AP102" s="3350"/>
      <c r="BD102" s="3169"/>
      <c r="BE102" s="3169"/>
      <c r="BF102" s="3169"/>
      <c r="BG102" s="3169"/>
      <c r="BH102" s="3169"/>
      <c r="BI102" s="3169"/>
      <c r="BJ102" s="3169"/>
      <c r="BK102" s="3169"/>
      <c r="BL102" s="3169"/>
      <c r="BM102" s="3169"/>
      <c r="BN102" s="3169"/>
    </row>
    <row r="103" spans="1:67" ht="16.5" customHeight="1">
      <c r="A103" s="3350"/>
      <c r="B103" s="3333" t="s">
        <v>329</v>
      </c>
      <c r="C103" s="6800"/>
      <c r="D103" s="6801"/>
      <c r="E103" s="6801"/>
      <c r="F103" s="6801"/>
      <c r="G103" s="6802"/>
      <c r="H103" s="7698"/>
      <c r="I103" s="7699"/>
      <c r="J103" s="7699"/>
      <c r="K103" s="7699"/>
      <c r="L103" s="7700"/>
      <c r="M103" s="7701"/>
      <c r="N103" s="7701"/>
      <c r="O103" s="7702"/>
      <c r="P103" s="7659"/>
      <c r="Q103" s="7660"/>
      <c r="R103" s="7660"/>
      <c r="S103" s="7660"/>
      <c r="T103" s="7660"/>
      <c r="U103" s="7660"/>
      <c r="V103" s="7661"/>
      <c r="W103" s="7659"/>
      <c r="X103" s="7662"/>
      <c r="Y103" s="7662"/>
      <c r="Z103" s="7662"/>
      <c r="AA103" s="7663"/>
      <c r="AB103" s="7664"/>
      <c r="AC103" s="7664"/>
      <c r="AD103" s="7665"/>
      <c r="AE103" s="7659"/>
      <c r="AF103" s="7662"/>
      <c r="AG103" s="7662"/>
      <c r="AH103" s="7662"/>
      <c r="AI103" s="7663"/>
      <c r="AJ103" s="7664"/>
      <c r="AK103" s="6800"/>
      <c r="AL103" s="6801"/>
      <c r="AM103" s="6801"/>
      <c r="AN103" s="6801"/>
      <c r="AO103" s="6802"/>
      <c r="AP103" s="3350"/>
      <c r="BD103" s="3169"/>
      <c r="BE103" s="3169"/>
      <c r="BF103" s="3169"/>
      <c r="BG103" s="3169"/>
      <c r="BH103" s="3169"/>
      <c r="BI103" s="3169"/>
      <c r="BJ103" s="3169"/>
      <c r="BK103" s="3169"/>
      <c r="BL103" s="3169"/>
      <c r="BM103" s="3169"/>
      <c r="BN103" s="3169"/>
    </row>
    <row r="104" spans="1:67" s="3272" customFormat="1" ht="15.75">
      <c r="A104" s="3351"/>
      <c r="B104" s="7694" t="s">
        <v>130</v>
      </c>
      <c r="C104" s="7694"/>
      <c r="D104" s="7695"/>
      <c r="E104" s="1750"/>
      <c r="F104" s="3283" t="s">
        <v>2718</v>
      </c>
      <c r="G104" s="1750"/>
      <c r="H104" s="1750"/>
      <c r="I104" s="1750"/>
      <c r="J104" s="1750"/>
      <c r="K104" s="1750"/>
      <c r="L104" s="1750"/>
      <c r="M104" s="1750"/>
      <c r="N104" s="1750"/>
      <c r="O104" s="1750"/>
      <c r="P104" s="1750"/>
      <c r="Q104" s="1750"/>
      <c r="R104" s="1750"/>
      <c r="S104" s="1750"/>
      <c r="T104" s="1750"/>
      <c r="U104" s="1750"/>
      <c r="V104" s="1750"/>
      <c r="W104" s="1750"/>
      <c r="X104" s="1750"/>
      <c r="Y104" s="1750"/>
      <c r="Z104" s="1750"/>
      <c r="AA104" s="1750"/>
      <c r="AB104" s="1750"/>
      <c r="AC104" s="1750"/>
      <c r="AD104" s="1750"/>
      <c r="AE104" s="1750"/>
      <c r="AF104" s="1750"/>
      <c r="AG104" s="1750"/>
      <c r="AH104" s="1750"/>
      <c r="AI104" s="1750"/>
      <c r="AJ104" s="1750"/>
      <c r="AK104" s="1750"/>
      <c r="AL104" s="1750"/>
      <c r="AM104" s="1750"/>
      <c r="AN104" s="1750"/>
      <c r="AO104" s="1750"/>
      <c r="AP104" s="3350"/>
      <c r="BD104" s="3169"/>
      <c r="BE104" s="3169"/>
      <c r="BF104" s="3169"/>
      <c r="BG104" s="3169"/>
      <c r="BH104" s="3169"/>
      <c r="BI104" s="3169"/>
      <c r="BJ104" s="3169"/>
      <c r="BK104" s="3169"/>
      <c r="BL104" s="3169"/>
      <c r="BM104" s="3169"/>
      <c r="BN104" s="3169"/>
    </row>
    <row r="105" spans="1:67">
      <c r="A105" s="3350"/>
      <c r="B105" s="1936"/>
      <c r="C105" s="1936"/>
      <c r="D105" s="1936"/>
      <c r="E105" s="1936"/>
      <c r="F105" s="1936" t="s">
        <v>2719</v>
      </c>
      <c r="G105" s="1936"/>
      <c r="H105" s="1936"/>
      <c r="I105" s="1936"/>
      <c r="J105" s="1936"/>
      <c r="K105" s="1936"/>
      <c r="L105" s="1936"/>
      <c r="M105" s="1936"/>
      <c r="N105" s="1936"/>
      <c r="O105" s="1936"/>
      <c r="P105" s="1936"/>
      <c r="Q105" s="1936"/>
      <c r="R105" s="1936"/>
      <c r="S105" s="1936"/>
      <c r="T105" s="3373"/>
      <c r="U105" s="1936"/>
      <c r="V105" s="1936"/>
      <c r="W105" s="1936"/>
      <c r="X105" s="1936"/>
      <c r="Y105" s="1936"/>
      <c r="Z105" s="1936"/>
      <c r="AA105" s="1936"/>
      <c r="AB105" s="1936"/>
      <c r="AC105" s="1936"/>
      <c r="AD105" s="1936"/>
      <c r="AE105" s="1936"/>
      <c r="AF105" s="1936"/>
      <c r="AG105" s="1936"/>
      <c r="AH105" s="1936"/>
      <c r="AI105" s="1936"/>
      <c r="AJ105" s="1936"/>
      <c r="AK105" s="1936"/>
      <c r="AL105" s="1936"/>
      <c r="AM105" s="1936"/>
      <c r="AN105" s="1936"/>
      <c r="AO105" s="1936"/>
      <c r="AP105" s="3350"/>
      <c r="BD105" s="3169"/>
      <c r="BE105" s="3169"/>
      <c r="BF105" s="3169"/>
      <c r="BG105" s="3169"/>
      <c r="BH105" s="3169"/>
      <c r="BI105" s="3169"/>
      <c r="BJ105" s="3169"/>
      <c r="BK105" s="3169"/>
      <c r="BL105" s="3169"/>
      <c r="BM105" s="3169"/>
      <c r="BN105" s="3169"/>
    </row>
    <row r="106" spans="1:67">
      <c r="A106" s="3350"/>
      <c r="B106" s="1443" t="s">
        <v>2720</v>
      </c>
      <c r="C106" s="1443"/>
      <c r="D106" s="1443"/>
      <c r="E106" s="1443"/>
      <c r="F106" s="1443"/>
      <c r="G106" s="1443"/>
      <c r="H106" s="1443"/>
      <c r="I106" s="1443"/>
      <c r="J106" s="1443"/>
      <c r="K106" s="1443"/>
      <c r="L106" s="1443"/>
      <c r="M106" s="1443"/>
      <c r="N106" s="1443"/>
      <c r="O106" s="1443"/>
      <c r="P106" s="1443"/>
      <c r="Q106" s="1443"/>
      <c r="R106" s="1443"/>
      <c r="S106" s="1443"/>
      <c r="T106" s="1617"/>
      <c r="U106" s="1443"/>
      <c r="V106" s="1443"/>
      <c r="W106" s="1443"/>
      <c r="X106" s="1443"/>
      <c r="Y106" s="1443"/>
      <c r="Z106" s="1443"/>
      <c r="AA106" s="1443"/>
      <c r="AB106" s="1443"/>
      <c r="AC106" s="1443"/>
      <c r="AD106" s="1443"/>
      <c r="AE106" s="1443"/>
      <c r="AF106" s="1443"/>
      <c r="AG106" s="1443"/>
      <c r="AH106" s="1443"/>
      <c r="AI106" s="1443"/>
      <c r="AJ106" s="1443"/>
      <c r="AK106" s="1443"/>
      <c r="AL106" s="1443"/>
      <c r="AM106" s="1443"/>
      <c r="AN106" s="1443"/>
      <c r="AO106" s="1443"/>
      <c r="AP106" s="3350"/>
      <c r="BD106" s="3169"/>
      <c r="BE106" s="3169"/>
      <c r="BF106" s="3169"/>
      <c r="BG106" s="3169"/>
      <c r="BH106" s="3169"/>
      <c r="BI106" s="3169"/>
      <c r="BJ106" s="3169"/>
      <c r="BK106" s="3169"/>
      <c r="BL106" s="3169"/>
      <c r="BM106" s="3169"/>
      <c r="BN106" s="3169"/>
    </row>
    <row r="107" spans="1:67">
      <c r="A107" s="3350"/>
      <c r="B107" s="1443" t="s">
        <v>2721</v>
      </c>
      <c r="C107" s="1443"/>
      <c r="D107" s="1443"/>
      <c r="E107" s="1443"/>
      <c r="F107" s="1443"/>
      <c r="G107" s="1443"/>
      <c r="H107" s="1443"/>
      <c r="I107" s="1443"/>
      <c r="J107" s="1443"/>
      <c r="K107" s="1443"/>
      <c r="L107" s="1443"/>
      <c r="M107" s="1443"/>
      <c r="N107" s="1443"/>
      <c r="O107" s="1443"/>
      <c r="P107" s="1443"/>
      <c r="Q107" s="1443"/>
      <c r="R107" s="1443"/>
      <c r="S107" s="1443"/>
      <c r="T107" s="1617"/>
      <c r="U107" s="1443"/>
      <c r="V107" s="1443"/>
      <c r="W107" s="1443"/>
      <c r="X107" s="1443"/>
      <c r="Y107" s="1443"/>
      <c r="Z107" s="1443"/>
      <c r="AA107" s="1443"/>
      <c r="AB107" s="1443"/>
      <c r="AC107" s="1443"/>
      <c r="AD107" s="1443"/>
      <c r="AE107" s="7696"/>
      <c r="AF107" s="7696"/>
      <c r="AG107" s="7696"/>
      <c r="AH107" s="7696"/>
      <c r="AI107" s="7696"/>
      <c r="AJ107" s="7696"/>
      <c r="AK107" s="7696"/>
      <c r="AL107" s="7696"/>
      <c r="AM107" s="7696"/>
      <c r="AN107" s="7696"/>
      <c r="AO107" s="7696"/>
      <c r="AP107" s="3350"/>
      <c r="BD107" s="3169"/>
      <c r="BE107" s="3169"/>
      <c r="BF107" s="3169"/>
      <c r="BG107" s="3169"/>
      <c r="BH107" s="3169"/>
      <c r="BI107" s="3169"/>
      <c r="BJ107" s="3169"/>
      <c r="BK107" s="3169"/>
      <c r="BL107" s="3169"/>
      <c r="BM107" s="3169"/>
      <c r="BN107" s="3169"/>
    </row>
    <row r="108" spans="1:67" ht="10.5" customHeight="1">
      <c r="A108" s="3350"/>
      <c r="B108" s="1443"/>
      <c r="C108" s="1443"/>
      <c r="D108" s="1443"/>
      <c r="E108" s="1443"/>
      <c r="F108" s="1443"/>
      <c r="G108" s="1443"/>
      <c r="H108" s="1443"/>
      <c r="I108" s="1443"/>
      <c r="J108" s="1443"/>
      <c r="K108" s="1443"/>
      <c r="L108" s="1443"/>
      <c r="M108" s="1443"/>
      <c r="N108" s="1443"/>
      <c r="O108" s="1443"/>
      <c r="P108" s="1443"/>
      <c r="Q108" s="1443"/>
      <c r="R108" s="1443"/>
      <c r="S108" s="1443"/>
      <c r="T108" s="1617"/>
      <c r="U108" s="1443"/>
      <c r="V108" s="1443"/>
      <c r="W108" s="1443"/>
      <c r="X108" s="1443"/>
      <c r="Y108" s="1443"/>
      <c r="Z108" s="1443"/>
      <c r="AA108" s="1443"/>
      <c r="AB108" s="1443"/>
      <c r="AC108" s="1443"/>
      <c r="AD108" s="1443"/>
      <c r="AE108" s="1443"/>
      <c r="AF108" s="1443"/>
      <c r="AG108" s="1443"/>
      <c r="AH108" s="1443"/>
      <c r="AI108" s="1443"/>
      <c r="AJ108" s="1957"/>
      <c r="AK108" s="1957"/>
      <c r="AL108" s="1957"/>
      <c r="AM108" s="1957"/>
      <c r="AN108" s="1957"/>
      <c r="AO108" s="1957"/>
      <c r="AP108" s="3350"/>
      <c r="BD108" s="3169"/>
      <c r="BE108" s="3169"/>
      <c r="BF108" s="3169"/>
      <c r="BG108" s="3169"/>
      <c r="BH108" s="3169"/>
      <c r="BI108" s="3169"/>
      <c r="BJ108" s="3169"/>
      <c r="BK108" s="3169"/>
      <c r="BL108" s="3169"/>
      <c r="BM108" s="3169"/>
      <c r="BN108" s="3169"/>
    </row>
    <row r="109" spans="1:67" ht="15.75" customHeight="1">
      <c r="A109" s="3350"/>
      <c r="B109" s="1443" t="s">
        <v>2722</v>
      </c>
      <c r="C109" s="1443"/>
      <c r="D109" s="1443"/>
      <c r="E109" s="1443"/>
      <c r="F109" s="1443"/>
      <c r="G109" s="1443"/>
      <c r="H109" s="1443"/>
      <c r="I109" s="1443"/>
      <c r="J109" s="7687"/>
      <c r="K109" s="7688"/>
      <c r="L109" s="7688"/>
      <c r="M109" s="7688"/>
      <c r="N109" s="7688"/>
      <c r="O109" s="7688"/>
      <c r="P109" s="7688"/>
      <c r="Q109" s="7688"/>
      <c r="R109" s="7688"/>
      <c r="S109" s="7688"/>
      <c r="T109" s="7688"/>
      <c r="U109" s="7688"/>
      <c r="V109" s="7688"/>
      <c r="W109" s="7688"/>
      <c r="X109" s="7688"/>
      <c r="Y109" s="7688"/>
      <c r="Z109" s="7688"/>
      <c r="AA109" s="7688"/>
      <c r="AB109" s="7688"/>
      <c r="AC109" s="7688"/>
      <c r="AD109" s="7688"/>
      <c r="AE109" s="7688"/>
      <c r="AF109" s="7688"/>
      <c r="AG109" s="1443"/>
      <c r="AH109" s="1943" t="s">
        <v>123</v>
      </c>
      <c r="AI109" s="1443"/>
      <c r="AJ109" s="7697"/>
      <c r="AK109" s="7669"/>
      <c r="AL109" s="7669"/>
      <c r="AM109" s="7669"/>
      <c r="AN109" s="7669"/>
      <c r="AO109" s="7669"/>
      <c r="AP109" s="3350"/>
      <c r="BD109" s="3169"/>
      <c r="BE109" s="3169"/>
      <c r="BF109" s="3169"/>
      <c r="BG109" s="3169"/>
      <c r="BH109" s="3169"/>
      <c r="BI109" s="3169"/>
      <c r="BJ109" s="3169"/>
      <c r="BK109" s="3169"/>
      <c r="BL109" s="3169"/>
      <c r="BM109" s="3169"/>
      <c r="BN109" s="3169"/>
    </row>
    <row r="110" spans="1:67" s="3272" customFormat="1" ht="16.5" customHeight="1">
      <c r="A110" s="3351"/>
      <c r="B110" s="6207" t="s">
        <v>363</v>
      </c>
      <c r="C110" s="6207"/>
      <c r="D110" s="6208"/>
      <c r="E110" s="3273"/>
      <c r="F110" s="3273" t="s">
        <v>2689</v>
      </c>
      <c r="G110" s="3273"/>
      <c r="H110" s="3273"/>
      <c r="I110" s="3273"/>
      <c r="J110" s="3273"/>
      <c r="K110" s="3273"/>
      <c r="L110" s="3273"/>
      <c r="M110" s="3273"/>
      <c r="N110" s="3273"/>
      <c r="O110" s="3273"/>
      <c r="P110" s="3273"/>
      <c r="Q110" s="3273"/>
      <c r="R110" s="3273"/>
      <c r="S110" s="3273"/>
      <c r="T110" s="3273"/>
      <c r="U110" s="3273"/>
      <c r="V110" s="3273"/>
      <c r="W110" s="3273"/>
      <c r="X110" s="3273"/>
      <c r="Y110" s="3273"/>
      <c r="Z110" s="3273"/>
      <c r="AA110" s="3273"/>
      <c r="AB110" s="3273"/>
      <c r="AC110" s="3273"/>
      <c r="AD110" s="3273"/>
      <c r="AE110" s="3273"/>
      <c r="AF110" s="3273"/>
      <c r="AG110" s="3273"/>
      <c r="AH110" s="3273"/>
      <c r="AI110" s="3273"/>
      <c r="AJ110" s="3273"/>
      <c r="AK110" s="3273"/>
      <c r="AL110" s="3273"/>
      <c r="AM110" s="3273"/>
      <c r="AN110" s="3273"/>
      <c r="AO110" s="3273"/>
      <c r="AP110" s="3350"/>
      <c r="BD110" s="3169"/>
      <c r="BE110" s="3169"/>
      <c r="BF110" s="3169"/>
      <c r="BG110" s="3169"/>
      <c r="BH110" s="3169"/>
      <c r="BI110" s="3169"/>
      <c r="BJ110" s="3169"/>
      <c r="BK110" s="3169"/>
      <c r="BL110" s="3169"/>
      <c r="BM110" s="3169"/>
      <c r="BN110" s="3169"/>
    </row>
    <row r="111" spans="1:67" s="940" customFormat="1" ht="35.25" customHeight="1">
      <c r="A111" s="3374"/>
      <c r="B111" s="7685" t="s">
        <v>2723</v>
      </c>
      <c r="C111" s="7686"/>
      <c r="D111" s="7686"/>
      <c r="E111" s="7686"/>
      <c r="F111" s="7686"/>
      <c r="G111" s="7686"/>
      <c r="H111" s="7686"/>
      <c r="I111" s="7686"/>
      <c r="J111" s="7686"/>
      <c r="K111" s="7686"/>
      <c r="L111" s="7686"/>
      <c r="M111" s="7686"/>
      <c r="N111" s="7686"/>
      <c r="O111" s="7686"/>
      <c r="P111" s="7686"/>
      <c r="Q111" s="7686"/>
      <c r="R111" s="7686"/>
      <c r="S111" s="7686"/>
      <c r="T111" s="7686"/>
      <c r="U111" s="7686"/>
      <c r="V111" s="7686"/>
      <c r="W111" s="7686"/>
      <c r="X111" s="7686"/>
      <c r="Y111" s="7686"/>
      <c r="Z111" s="7686"/>
      <c r="AA111" s="7686"/>
      <c r="AB111" s="7686"/>
      <c r="AC111" s="7686"/>
      <c r="AD111" s="7686"/>
      <c r="AE111" s="7686"/>
      <c r="AF111" s="7686"/>
      <c r="AG111" s="7686"/>
      <c r="AH111" s="7686"/>
      <c r="AI111" s="7686"/>
      <c r="AJ111" s="7686"/>
      <c r="AK111" s="7686"/>
      <c r="AL111" s="7686"/>
      <c r="AM111" s="7686"/>
      <c r="AN111" s="7686"/>
      <c r="AO111" s="7686"/>
      <c r="AP111" s="3374"/>
      <c r="BD111" s="3375"/>
      <c r="BE111" s="3375"/>
      <c r="BF111" s="3375"/>
      <c r="BG111" s="3375"/>
      <c r="BH111" s="3375"/>
      <c r="BI111" s="3375"/>
      <c r="BJ111" s="3375"/>
      <c r="BK111" s="3375"/>
      <c r="BL111" s="3375"/>
      <c r="BM111" s="3375"/>
      <c r="BN111" s="3375"/>
    </row>
    <row r="112" spans="1:67" ht="67.5" customHeight="1">
      <c r="A112" s="3350"/>
      <c r="B112" s="7685" t="s">
        <v>2724</v>
      </c>
      <c r="C112" s="7686"/>
      <c r="D112" s="7686"/>
      <c r="E112" s="7686"/>
      <c r="F112" s="7686"/>
      <c r="G112" s="7686"/>
      <c r="H112" s="7686"/>
      <c r="I112" s="7686"/>
      <c r="J112" s="7686"/>
      <c r="K112" s="7686"/>
      <c r="L112" s="7686"/>
      <c r="M112" s="7686"/>
      <c r="N112" s="7686"/>
      <c r="O112" s="7686"/>
      <c r="P112" s="7686"/>
      <c r="Q112" s="7686"/>
      <c r="R112" s="7686"/>
      <c r="S112" s="7686"/>
      <c r="T112" s="7686"/>
      <c r="U112" s="7686"/>
      <c r="V112" s="7686"/>
      <c r="W112" s="7686"/>
      <c r="X112" s="7686"/>
      <c r="Y112" s="7686"/>
      <c r="Z112" s="7686"/>
      <c r="AA112" s="7686"/>
      <c r="AB112" s="7686"/>
      <c r="AC112" s="7686"/>
      <c r="AD112" s="7686"/>
      <c r="AE112" s="7686"/>
      <c r="AF112" s="7686"/>
      <c r="AG112" s="7686"/>
      <c r="AH112" s="7686"/>
      <c r="AI112" s="7686"/>
      <c r="AJ112" s="7686"/>
      <c r="AK112" s="7686"/>
      <c r="AL112" s="7686"/>
      <c r="AM112" s="7686"/>
      <c r="AN112" s="7686"/>
      <c r="AO112" s="7686"/>
      <c r="AP112" s="3350"/>
      <c r="BD112" s="3169"/>
      <c r="BE112" s="3169"/>
      <c r="BF112" s="3169"/>
      <c r="BG112" s="3169"/>
      <c r="BH112" s="3169"/>
      <c r="BI112" s="3169"/>
      <c r="BJ112" s="3169"/>
      <c r="BK112" s="3169"/>
      <c r="BL112" s="3169"/>
      <c r="BM112" s="3169"/>
      <c r="BN112" s="3169"/>
    </row>
    <row r="113" spans="1:66" ht="13.5" customHeight="1">
      <c r="A113" s="3350"/>
      <c r="B113" s="7691" t="s">
        <v>2725</v>
      </c>
      <c r="C113" s="7132"/>
      <c r="D113" s="1443"/>
      <c r="E113" s="1443"/>
      <c r="F113" s="1443"/>
      <c r="G113" s="7692"/>
      <c r="H113" s="7692"/>
      <c r="I113" s="7692"/>
      <c r="J113" s="7692"/>
      <c r="K113" s="7692"/>
      <c r="L113" s="7692"/>
      <c r="M113" s="7692"/>
      <c r="N113" s="7692"/>
      <c r="O113" s="7692"/>
      <c r="P113" s="7692"/>
      <c r="Q113" s="7692"/>
      <c r="R113" s="7692"/>
      <c r="S113" s="7692"/>
      <c r="T113" s="1617"/>
      <c r="U113" s="1443"/>
      <c r="V113" s="1443"/>
      <c r="W113" s="7668"/>
      <c r="X113" s="7669"/>
      <c r="Y113" s="7669"/>
      <c r="Z113" s="7669"/>
      <c r="AA113" s="7669"/>
      <c r="AB113" s="7669"/>
      <c r="AC113" s="7669"/>
      <c r="AD113" s="7669"/>
      <c r="AE113" s="7669"/>
      <c r="AF113" s="7669"/>
      <c r="AG113" s="1443"/>
      <c r="AH113" s="1443"/>
      <c r="AI113" s="1443"/>
      <c r="AJ113" s="1443"/>
      <c r="AK113" s="1443"/>
      <c r="AL113" s="1443"/>
      <c r="AM113" s="1443"/>
      <c r="AN113" s="1443"/>
      <c r="AO113" s="1443"/>
      <c r="AP113" s="3350"/>
      <c r="BD113" s="3169"/>
      <c r="BE113" s="3169"/>
      <c r="BF113" s="3169"/>
      <c r="BG113" s="3169"/>
      <c r="BH113" s="3169"/>
      <c r="BI113" s="3169"/>
      <c r="BJ113" s="3169"/>
      <c r="BK113" s="3169"/>
      <c r="BL113" s="3169"/>
      <c r="BM113" s="3169"/>
      <c r="BN113" s="3169"/>
    </row>
    <row r="114" spans="1:66" ht="13.5" customHeight="1">
      <c r="A114" s="3350"/>
      <c r="B114" s="5681"/>
      <c r="C114" s="6080"/>
      <c r="D114" s="1936" t="s">
        <v>2726</v>
      </c>
      <c r="E114" s="1936"/>
      <c r="F114" s="1936"/>
      <c r="G114" s="7693"/>
      <c r="H114" s="7693"/>
      <c r="I114" s="7693"/>
      <c r="J114" s="7693"/>
      <c r="K114" s="7693"/>
      <c r="L114" s="7693"/>
      <c r="M114" s="7693"/>
      <c r="N114" s="7693"/>
      <c r="O114" s="7693"/>
      <c r="P114" s="7693"/>
      <c r="Q114" s="7693"/>
      <c r="R114" s="7693"/>
      <c r="S114" s="7693"/>
      <c r="T114" s="3373"/>
      <c r="U114" s="3249" t="s">
        <v>2727</v>
      </c>
      <c r="V114" s="1936"/>
      <c r="W114" s="7667"/>
      <c r="X114" s="7667"/>
      <c r="Y114" s="7667"/>
      <c r="Z114" s="7667"/>
      <c r="AA114" s="7667"/>
      <c r="AB114" s="7667"/>
      <c r="AC114" s="7667"/>
      <c r="AD114" s="7667"/>
      <c r="AE114" s="7667"/>
      <c r="AF114" s="7667"/>
      <c r="AG114" s="1936"/>
      <c r="AH114" s="3249" t="s">
        <v>123</v>
      </c>
      <c r="AI114" s="1443"/>
      <c r="AJ114" s="7689"/>
      <c r="AK114" s="7690"/>
      <c r="AL114" s="7690"/>
      <c r="AM114" s="7690"/>
      <c r="AN114" s="7690"/>
      <c r="AO114" s="7690"/>
      <c r="AP114" s="3350"/>
      <c r="BD114" s="3169"/>
      <c r="BE114" s="3169"/>
      <c r="BF114" s="3169"/>
      <c r="BG114" s="3169"/>
      <c r="BH114" s="3169"/>
      <c r="BI114" s="3169"/>
      <c r="BJ114" s="3169"/>
      <c r="BK114" s="3169"/>
      <c r="BL114" s="3169"/>
      <c r="BM114" s="3169"/>
      <c r="BN114" s="3169"/>
    </row>
    <row r="115" spans="1:66">
      <c r="A115" s="3350"/>
      <c r="B115" s="1607" t="s">
        <v>2728</v>
      </c>
      <c r="C115" s="1443"/>
      <c r="D115" s="1443"/>
      <c r="E115" s="1443"/>
      <c r="F115" s="1443"/>
      <c r="G115" s="1443"/>
      <c r="H115" s="1443"/>
      <c r="I115" s="1443"/>
      <c r="J115" s="1443"/>
      <c r="K115" s="1443"/>
      <c r="L115" s="1443"/>
      <c r="M115" s="1443"/>
      <c r="N115" s="1443"/>
      <c r="O115" s="1443"/>
      <c r="P115" s="1443"/>
      <c r="Q115" s="1443"/>
      <c r="R115" s="1443"/>
      <c r="S115" s="1443"/>
      <c r="T115" s="1443"/>
      <c r="U115" s="1443"/>
      <c r="V115" s="1443"/>
      <c r="W115" s="1443"/>
      <c r="X115" s="1443"/>
      <c r="Y115" s="1443"/>
      <c r="Z115" s="1443"/>
      <c r="AA115" s="1443"/>
      <c r="AB115" s="1443"/>
      <c r="AC115" s="1443"/>
      <c r="AD115" s="1443"/>
      <c r="AE115" s="1443"/>
      <c r="AF115" s="1443"/>
      <c r="AG115" s="1443"/>
      <c r="AH115" s="1443"/>
      <c r="AI115" s="1964" t="s">
        <v>2172</v>
      </c>
      <c r="AJ115" s="1957"/>
      <c r="AK115" s="1957"/>
      <c r="AL115" s="1957"/>
      <c r="AM115" s="1957"/>
      <c r="AN115" s="1957"/>
      <c r="AO115" s="1957"/>
      <c r="AP115" s="3350"/>
      <c r="BD115" s="3169"/>
      <c r="BE115" s="3169"/>
      <c r="BF115" s="3169"/>
      <c r="BG115" s="3169"/>
      <c r="BH115" s="3169"/>
      <c r="BI115" s="3169"/>
      <c r="BJ115" s="3169"/>
      <c r="BK115" s="3169"/>
      <c r="BL115" s="3169"/>
      <c r="BM115" s="3169"/>
      <c r="BN115" s="3169"/>
    </row>
    <row r="116" spans="1:66" ht="16.5" customHeight="1">
      <c r="A116" s="3350"/>
      <c r="B116" s="7682"/>
      <c r="C116" s="7683"/>
      <c r="D116" s="7683"/>
      <c r="E116" s="7683"/>
      <c r="F116" s="7683"/>
      <c r="G116" s="7683"/>
      <c r="H116" s="7683"/>
      <c r="I116" s="7683"/>
      <c r="J116" s="7683"/>
      <c r="K116" s="7683"/>
      <c r="L116" s="7683"/>
      <c r="M116" s="7683"/>
      <c r="N116" s="7683"/>
      <c r="O116" s="7683"/>
      <c r="P116" s="7683"/>
      <c r="Q116" s="7683"/>
      <c r="R116" s="7683"/>
      <c r="S116" s="7683"/>
      <c r="T116" s="7683"/>
      <c r="U116" s="7683"/>
      <c r="V116" s="7683"/>
      <c r="W116" s="7683"/>
      <c r="X116" s="7683"/>
      <c r="Y116" s="7683"/>
      <c r="Z116" s="7683"/>
      <c r="AA116" s="7683"/>
      <c r="AB116" s="7683"/>
      <c r="AC116" s="7683"/>
      <c r="AD116" s="7683"/>
      <c r="AE116" s="7683"/>
      <c r="AF116" s="7683"/>
      <c r="AG116" s="7683"/>
      <c r="AH116" s="7684"/>
      <c r="AI116" s="7680"/>
      <c r="AJ116" s="7681"/>
      <c r="AK116" s="7681"/>
      <c r="AL116" s="7681"/>
      <c r="AM116" s="7681"/>
      <c r="AN116" s="7681"/>
      <c r="AO116" s="7681"/>
      <c r="AP116" s="3350"/>
      <c r="BD116" s="3169"/>
      <c r="BE116" s="3169"/>
      <c r="BF116" s="3169"/>
      <c r="BG116" s="3169"/>
      <c r="BH116" s="3169"/>
      <c r="BI116" s="3169"/>
      <c r="BJ116" s="3169"/>
      <c r="BK116" s="3169"/>
      <c r="BL116" s="3169"/>
      <c r="BM116" s="3169"/>
      <c r="BN116" s="3169"/>
    </row>
    <row r="117" spans="1:66">
      <c r="A117" s="3350"/>
      <c r="B117" s="1607" t="s">
        <v>2626</v>
      </c>
      <c r="C117" s="1443"/>
      <c r="D117" s="1443"/>
      <c r="E117" s="1443"/>
      <c r="F117" s="1443"/>
      <c r="G117" s="1443"/>
      <c r="H117" s="1443"/>
      <c r="I117" s="1443"/>
      <c r="J117" s="1443"/>
      <c r="K117" s="1443"/>
      <c r="L117" s="1443"/>
      <c r="M117" s="1443"/>
      <c r="N117" s="1443"/>
      <c r="O117" s="1443"/>
      <c r="P117" s="1443"/>
      <c r="Q117" s="1443"/>
      <c r="R117" s="1443"/>
      <c r="S117" s="1443"/>
      <c r="T117" s="1443"/>
      <c r="U117" s="1443"/>
      <c r="V117" s="1443"/>
      <c r="W117" s="1443"/>
      <c r="X117" s="1443"/>
      <c r="Y117" s="1443"/>
      <c r="Z117" s="1443"/>
      <c r="AA117" s="1443"/>
      <c r="AB117" s="1443"/>
      <c r="AC117" s="1443"/>
      <c r="AD117" s="1443"/>
      <c r="AE117" s="1443"/>
      <c r="AF117" s="1443"/>
      <c r="AG117" s="1443"/>
      <c r="AH117" s="1443"/>
      <c r="AI117" s="1443"/>
      <c r="AJ117" s="1443"/>
      <c r="AK117" s="1443"/>
      <c r="AL117" s="1443"/>
      <c r="AM117" s="1443"/>
      <c r="AN117" s="1443"/>
      <c r="AO117" s="1443"/>
      <c r="AP117" s="3350"/>
      <c r="BD117" s="3169"/>
      <c r="BE117" s="3169"/>
      <c r="BF117" s="3169"/>
      <c r="BG117" s="3169"/>
      <c r="BH117" s="3169"/>
      <c r="BI117" s="3169"/>
      <c r="BJ117" s="3169"/>
      <c r="BK117" s="3169"/>
      <c r="BL117" s="3169"/>
      <c r="BM117" s="3169"/>
      <c r="BN117" s="3169"/>
    </row>
    <row r="118" spans="1:66" ht="15" customHeight="1">
      <c r="A118" s="3350"/>
      <c r="B118" s="7666"/>
      <c r="C118" s="7667"/>
      <c r="D118" s="7667"/>
      <c r="E118" s="7667"/>
      <c r="F118" s="7667"/>
      <c r="G118" s="7667"/>
      <c r="H118" s="7667"/>
      <c r="I118" s="7667"/>
      <c r="J118" s="7667"/>
      <c r="K118" s="7667"/>
      <c r="L118" s="7667"/>
      <c r="M118" s="7667"/>
      <c r="N118" s="7667"/>
      <c r="O118" s="7667"/>
      <c r="P118" s="7667"/>
      <c r="Q118" s="7667"/>
      <c r="R118" s="7667"/>
      <c r="S118" s="7667"/>
      <c r="T118" s="7667"/>
      <c r="U118" s="7667"/>
      <c r="V118" s="7667"/>
      <c r="W118" s="7667"/>
      <c r="X118" s="7667"/>
      <c r="Y118" s="7667"/>
      <c r="Z118" s="7667"/>
      <c r="AA118" s="7667"/>
      <c r="AB118" s="7667"/>
      <c r="AC118" s="7667"/>
      <c r="AD118" s="7667"/>
      <c r="AE118" s="7667"/>
      <c r="AF118" s="7667"/>
      <c r="AG118" s="7667"/>
      <c r="AH118" s="7667"/>
      <c r="AI118" s="7667"/>
      <c r="AJ118" s="7667"/>
      <c r="AK118" s="7667"/>
      <c r="AL118" s="7667"/>
      <c r="AM118" s="7667"/>
      <c r="AN118" s="7667"/>
      <c r="AO118" s="7667"/>
      <c r="AP118" s="3350"/>
      <c r="BD118" s="3169"/>
      <c r="BE118" s="3169"/>
      <c r="BF118" s="3169"/>
      <c r="BG118" s="3169"/>
      <c r="BH118" s="3169"/>
      <c r="BI118" s="3169"/>
      <c r="BJ118" s="3169"/>
      <c r="BK118" s="3169"/>
      <c r="BL118" s="3169"/>
      <c r="BM118" s="3169"/>
      <c r="BN118" s="3169"/>
    </row>
    <row r="119" spans="1:66" s="3272" customFormat="1" ht="16.5" customHeight="1">
      <c r="A119" s="3351"/>
      <c r="B119" s="6207" t="s">
        <v>546</v>
      </c>
      <c r="C119" s="6207"/>
      <c r="D119" s="6208"/>
      <c r="E119" s="3273"/>
      <c r="F119" s="3372" t="s">
        <v>2729</v>
      </c>
      <c r="G119" s="3273"/>
      <c r="H119" s="3273"/>
      <c r="I119" s="3273"/>
      <c r="J119" s="3273"/>
      <c r="K119" s="3273"/>
      <c r="L119" s="3273"/>
      <c r="M119" s="3273"/>
      <c r="N119" s="3273"/>
      <c r="O119" s="3273"/>
      <c r="P119" s="3273"/>
      <c r="Q119" s="3273"/>
      <c r="R119" s="3273"/>
      <c r="S119" s="3273"/>
      <c r="T119" s="3273"/>
      <c r="U119" s="3273"/>
      <c r="V119" s="3273"/>
      <c r="W119" s="3273"/>
      <c r="X119" s="3273"/>
      <c r="Y119" s="3273"/>
      <c r="Z119" s="3273"/>
      <c r="AA119" s="3273"/>
      <c r="AB119" s="3273"/>
      <c r="AC119" s="3273"/>
      <c r="AD119" s="3273"/>
      <c r="AE119" s="3273"/>
      <c r="AF119" s="3273"/>
      <c r="AG119" s="3273"/>
      <c r="AH119" s="3273"/>
      <c r="AI119" s="3273"/>
      <c r="AJ119" s="3273"/>
      <c r="AK119" s="3273"/>
      <c r="AL119" s="3273"/>
      <c r="AM119" s="3273"/>
      <c r="AN119" s="3273"/>
      <c r="AO119" s="3273"/>
      <c r="AP119" s="3350"/>
      <c r="BD119" s="3169"/>
      <c r="BE119" s="3169"/>
      <c r="BF119" s="3169"/>
      <c r="BG119" s="3169"/>
      <c r="BH119" s="3169"/>
      <c r="BI119" s="3169"/>
      <c r="BJ119" s="3169"/>
      <c r="BK119" s="3169"/>
      <c r="BL119" s="3169"/>
      <c r="BM119" s="3169"/>
      <c r="BN119" s="3169"/>
    </row>
    <row r="120" spans="1:66">
      <c r="A120" s="3350"/>
      <c r="B120" s="1607" t="s">
        <v>2730</v>
      </c>
      <c r="C120" s="1443"/>
      <c r="D120" s="1443"/>
      <c r="E120" s="1443"/>
      <c r="F120" s="1443"/>
      <c r="G120" s="1443"/>
      <c r="H120" s="1443"/>
      <c r="I120" s="1443"/>
      <c r="J120" s="1443"/>
      <c r="K120" s="1443"/>
      <c r="L120" s="1443"/>
      <c r="M120" s="1443"/>
      <c r="N120" s="1443"/>
      <c r="O120" s="1443"/>
      <c r="P120" s="1443"/>
      <c r="Q120" s="1443"/>
      <c r="R120" s="1443"/>
      <c r="S120" s="1443"/>
      <c r="T120" s="1617"/>
      <c r="U120" s="1443"/>
      <c r="V120" s="1443"/>
      <c r="W120" s="1443"/>
      <c r="X120" s="1443"/>
      <c r="Y120" s="1443"/>
      <c r="Z120" s="1443"/>
      <c r="AA120" s="1443"/>
      <c r="AB120" s="1443"/>
      <c r="AC120" s="1443"/>
      <c r="AD120" s="1443"/>
      <c r="AE120" s="1443"/>
      <c r="AF120" s="1443"/>
      <c r="AG120" s="1443"/>
      <c r="AH120" s="1443"/>
      <c r="AI120" s="1443"/>
      <c r="AJ120" s="1443"/>
      <c r="AK120" s="1443"/>
      <c r="AL120" s="1443"/>
      <c r="AM120" s="1443"/>
      <c r="AN120" s="1443"/>
      <c r="AO120" s="1443"/>
      <c r="AP120" s="3350"/>
      <c r="BD120" s="3169"/>
      <c r="BE120" s="3169"/>
      <c r="BF120" s="3169"/>
      <c r="BG120" s="3169"/>
      <c r="BH120" s="3169"/>
      <c r="BI120" s="3169"/>
      <c r="BJ120" s="3169"/>
      <c r="BK120" s="3169"/>
      <c r="BL120" s="3169"/>
      <c r="BM120" s="3169"/>
      <c r="BN120" s="3169"/>
    </row>
    <row r="121" spans="1:66" ht="14.25" customHeight="1">
      <c r="A121" s="3350"/>
      <c r="B121" s="2378" t="s">
        <v>2731</v>
      </c>
      <c r="C121" s="1443"/>
      <c r="D121" s="1443"/>
      <c r="E121" s="1443"/>
      <c r="F121" s="1443"/>
      <c r="G121" s="1443"/>
      <c r="H121" s="1443"/>
      <c r="I121" s="1443"/>
      <c r="J121" s="1443"/>
      <c r="K121" s="1443"/>
      <c r="L121" s="1443"/>
      <c r="M121" s="1443"/>
      <c r="N121" s="1443"/>
      <c r="O121" s="1443"/>
      <c r="P121" s="7677"/>
      <c r="Q121" s="7677"/>
      <c r="R121" s="7677"/>
      <c r="S121" s="7677"/>
      <c r="T121" s="7677"/>
      <c r="U121" s="7677"/>
      <c r="V121" s="7677"/>
      <c r="W121" s="7677"/>
      <c r="X121" s="7677"/>
      <c r="Y121" s="7677"/>
      <c r="Z121" s="7677"/>
      <c r="AA121" s="7677"/>
      <c r="AB121" s="7677"/>
      <c r="AC121" s="7677"/>
      <c r="AD121" s="7677"/>
      <c r="AE121" s="7677"/>
      <c r="AF121" s="1443"/>
      <c r="AG121" s="1443"/>
      <c r="AH121" s="1443"/>
      <c r="AI121" s="1443"/>
      <c r="AJ121" s="1443"/>
      <c r="AK121" s="1443"/>
      <c r="AL121" s="1443"/>
      <c r="AM121" s="1443"/>
      <c r="AN121" s="1443"/>
      <c r="AO121" s="1443"/>
      <c r="AP121" s="3350"/>
      <c r="BD121" s="3169"/>
      <c r="BE121" s="3169"/>
      <c r="BF121" s="3169"/>
      <c r="BG121" s="3169"/>
      <c r="BH121" s="3169"/>
      <c r="BI121" s="3169"/>
      <c r="BJ121" s="3169"/>
      <c r="BK121" s="3169"/>
      <c r="BL121" s="3169"/>
      <c r="BM121" s="3169"/>
      <c r="BN121" s="3169"/>
    </row>
    <row r="122" spans="1:66" ht="11.25" customHeight="1">
      <c r="A122" s="3350"/>
      <c r="B122" s="1607" t="s">
        <v>2732</v>
      </c>
      <c r="C122" s="1443"/>
      <c r="D122" s="1443"/>
      <c r="E122" s="1443"/>
      <c r="F122" s="1443"/>
      <c r="G122" s="1443"/>
      <c r="H122" s="1443"/>
      <c r="I122" s="1443"/>
      <c r="J122" s="1443"/>
      <c r="K122" s="1443"/>
      <c r="L122" s="1443"/>
      <c r="M122" s="1443"/>
      <c r="N122" s="1443"/>
      <c r="O122" s="1443"/>
      <c r="P122" s="1443"/>
      <c r="Q122" s="1443"/>
      <c r="R122" s="1443"/>
      <c r="S122" s="1443"/>
      <c r="T122" s="1617"/>
      <c r="U122" s="1443"/>
      <c r="V122" s="1443"/>
      <c r="W122" s="1443"/>
      <c r="X122" s="1443"/>
      <c r="Y122" s="1443"/>
      <c r="Z122" s="1443"/>
      <c r="AA122" s="1443"/>
      <c r="AB122" s="1443"/>
      <c r="AC122" s="1443"/>
      <c r="AD122" s="1443"/>
      <c r="AE122" s="1443"/>
      <c r="AF122" s="1443"/>
      <c r="AG122" s="1443"/>
      <c r="AH122" s="1443"/>
      <c r="AI122" s="1443"/>
      <c r="AJ122" s="1443"/>
      <c r="AK122" s="1443"/>
      <c r="AL122" s="1443"/>
      <c r="AM122" s="1443"/>
      <c r="AN122" s="1443"/>
      <c r="AO122" s="1443"/>
      <c r="AP122" s="3350"/>
      <c r="BD122" s="3169"/>
      <c r="BE122" s="3169"/>
      <c r="BF122" s="3169"/>
      <c r="BG122" s="3169"/>
      <c r="BH122" s="3169"/>
      <c r="BI122" s="3169"/>
      <c r="BJ122" s="3169"/>
      <c r="BK122" s="3169"/>
      <c r="BL122" s="3169"/>
      <c r="BM122" s="3169"/>
      <c r="BN122" s="3169"/>
    </row>
    <row r="123" spans="1:66" ht="11.25" customHeight="1">
      <c r="A123" s="3350"/>
      <c r="B123" s="1607" t="s">
        <v>2733</v>
      </c>
      <c r="C123" s="1443"/>
      <c r="D123" s="1443"/>
      <c r="E123" s="1443"/>
      <c r="F123" s="1443"/>
      <c r="G123" s="1443"/>
      <c r="H123" s="1443"/>
      <c r="I123" s="1443"/>
      <c r="J123" s="1443"/>
      <c r="K123" s="1443"/>
      <c r="L123" s="1443"/>
      <c r="M123" s="1443"/>
      <c r="N123" s="1443"/>
      <c r="O123" s="1443"/>
      <c r="P123" s="1443"/>
      <c r="Q123" s="1443"/>
      <c r="R123" s="1443"/>
      <c r="S123" s="1443"/>
      <c r="T123" s="1617"/>
      <c r="U123" s="1443"/>
      <c r="V123" s="1443"/>
      <c r="W123" s="1443"/>
      <c r="X123" s="1443"/>
      <c r="Y123" s="1443"/>
      <c r="Z123" s="1443"/>
      <c r="AA123" s="1443"/>
      <c r="AB123" s="1443"/>
      <c r="AC123" s="1443"/>
      <c r="AD123" s="1443"/>
      <c r="AE123" s="1443"/>
      <c r="AF123" s="1443"/>
      <c r="AG123" s="1443"/>
      <c r="AH123" s="1443"/>
      <c r="AI123" s="1443"/>
      <c r="AJ123" s="1443"/>
      <c r="AK123" s="1443"/>
      <c r="AL123" s="1443"/>
      <c r="AM123" s="1443"/>
      <c r="AN123" s="1443"/>
      <c r="AO123" s="1443"/>
      <c r="AP123" s="3350"/>
      <c r="BD123" s="3169"/>
      <c r="BE123" s="3169"/>
      <c r="BF123" s="3169"/>
      <c r="BG123" s="3169"/>
      <c r="BH123" s="3169"/>
      <c r="BI123" s="3169"/>
      <c r="BJ123" s="3169"/>
      <c r="BK123" s="3169"/>
      <c r="BL123" s="3169"/>
      <c r="BM123" s="3169"/>
      <c r="BN123" s="3169"/>
    </row>
    <row r="124" spans="1:66" ht="11.25" customHeight="1">
      <c r="A124" s="3350"/>
      <c r="B124" s="1607" t="s">
        <v>2734</v>
      </c>
      <c r="C124" s="1443"/>
      <c r="D124" s="1443"/>
      <c r="E124" s="1443"/>
      <c r="F124" s="1443"/>
      <c r="G124" s="1443"/>
      <c r="H124" s="1443"/>
      <c r="I124" s="1443"/>
      <c r="J124" s="1443"/>
      <c r="K124" s="1443"/>
      <c r="L124" s="1443"/>
      <c r="M124" s="1443"/>
      <c r="N124" s="1443"/>
      <c r="O124" s="1443"/>
      <c r="P124" s="1443"/>
      <c r="Q124" s="1443"/>
      <c r="R124" s="1443"/>
      <c r="S124" s="1443"/>
      <c r="T124" s="1617"/>
      <c r="U124" s="1443"/>
      <c r="V124" s="1443"/>
      <c r="W124" s="1443"/>
      <c r="X124" s="1443"/>
      <c r="Y124" s="1443"/>
      <c r="Z124" s="1443"/>
      <c r="AA124" s="1443"/>
      <c r="AB124" s="1443"/>
      <c r="AC124" s="1443"/>
      <c r="AD124" s="1443"/>
      <c r="AE124" s="1443"/>
      <c r="AF124" s="1443"/>
      <c r="AG124" s="1443"/>
      <c r="AH124" s="1443"/>
      <c r="AI124" s="1443"/>
      <c r="AJ124" s="1443"/>
      <c r="AK124" s="3377" t="str">
        <f>IF(SUM(AK125,AL125)=2,"Check only one.",IF(SUM(AK125,AL125)=0,"Check one box.",""))</f>
        <v>Check one box.</v>
      </c>
      <c r="AL124" s="1443"/>
      <c r="AM124" s="1443"/>
      <c r="AN124" s="1443"/>
      <c r="AO124" s="1443"/>
      <c r="AP124" s="3350"/>
      <c r="BD124" s="3169"/>
      <c r="BE124" s="3169"/>
      <c r="BF124" s="3169"/>
      <c r="BG124" s="3169"/>
      <c r="BH124" s="3169"/>
      <c r="BI124" s="3169"/>
      <c r="BJ124" s="3169"/>
      <c r="BK124" s="3169"/>
      <c r="BL124" s="3169"/>
      <c r="BM124" s="3169"/>
      <c r="BN124" s="3169"/>
    </row>
    <row r="125" spans="1:66" ht="11.25" customHeight="1">
      <c r="A125" s="3350"/>
      <c r="B125" s="1607" t="s">
        <v>2735</v>
      </c>
      <c r="C125" s="1443"/>
      <c r="D125" s="1443"/>
      <c r="E125" s="1443"/>
      <c r="F125" s="1443"/>
      <c r="G125" s="1443"/>
      <c r="H125" s="1443"/>
      <c r="I125" s="1443"/>
      <c r="J125" s="1443"/>
      <c r="K125" s="1443"/>
      <c r="L125" s="1443"/>
      <c r="M125" s="1443"/>
      <c r="N125" s="1443"/>
      <c r="O125" s="1443"/>
      <c r="P125" s="1443"/>
      <c r="Q125" s="1443"/>
      <c r="R125" s="1443"/>
      <c r="S125" s="1443"/>
      <c r="T125" s="1617"/>
      <c r="U125" s="1443"/>
      <c r="V125" s="1443"/>
      <c r="W125" s="1443"/>
      <c r="X125" s="1443"/>
      <c r="Y125" s="1443"/>
      <c r="Z125" s="1443"/>
      <c r="AA125" s="1443"/>
      <c r="AB125" s="1443"/>
      <c r="AC125" s="1443"/>
      <c r="AD125" s="1443"/>
      <c r="AE125" s="1443"/>
      <c r="AF125" s="1443"/>
      <c r="AG125" s="1443"/>
      <c r="AH125" s="1444"/>
      <c r="AI125" s="3287" t="s">
        <v>307</v>
      </c>
      <c r="AJ125" s="1443"/>
      <c r="AK125" s="2914">
        <f>IF(AH125&lt;&gt;"",1,0)</f>
        <v>0</v>
      </c>
      <c r="AL125" s="1588">
        <f>IF(AM125&lt;&gt;"",1,0)</f>
        <v>0</v>
      </c>
      <c r="AM125" s="1444"/>
      <c r="AN125" s="3287" t="s">
        <v>308</v>
      </c>
      <c r="AO125" s="1443"/>
      <c r="AP125" s="3350"/>
      <c r="BD125" s="3169"/>
      <c r="BE125" s="3169"/>
      <c r="BF125" s="3169"/>
      <c r="BG125" s="3169"/>
      <c r="BH125" s="3169"/>
      <c r="BI125" s="3169"/>
      <c r="BJ125" s="3169"/>
      <c r="BK125" s="3169"/>
      <c r="BL125" s="3169"/>
      <c r="BM125" s="3169"/>
      <c r="BN125" s="3169"/>
    </row>
    <row r="126" spans="1:66" ht="5.25" customHeight="1">
      <c r="A126" s="3350"/>
      <c r="B126" s="3376"/>
      <c r="C126" s="1936"/>
      <c r="D126" s="1936"/>
      <c r="E126" s="1936"/>
      <c r="F126" s="1936"/>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6"/>
      <c r="AJ126" s="1936"/>
      <c r="AK126" s="1936"/>
      <c r="AL126" s="1936"/>
      <c r="AM126" s="1936"/>
      <c r="AN126" s="1936"/>
      <c r="AO126" s="1936"/>
      <c r="AP126" s="3350"/>
      <c r="BD126" s="3169"/>
      <c r="BE126" s="3169"/>
      <c r="BF126" s="3169"/>
      <c r="BG126" s="3169"/>
      <c r="BH126" s="3169"/>
      <c r="BI126" s="3169"/>
      <c r="BJ126" s="3169"/>
      <c r="BK126" s="3169"/>
      <c r="BL126" s="3169"/>
      <c r="BM126" s="3169"/>
      <c r="BN126" s="3169"/>
    </row>
    <row r="127" spans="1:66">
      <c r="A127" s="3350"/>
      <c r="B127" s="1592" t="s">
        <v>2624</v>
      </c>
      <c r="C127" s="1443"/>
      <c r="D127" s="1443"/>
      <c r="E127" s="1443"/>
      <c r="F127" s="1443"/>
      <c r="G127" s="1443"/>
      <c r="H127" s="1443"/>
      <c r="I127" s="1443"/>
      <c r="J127" s="1443"/>
      <c r="K127" s="1443"/>
      <c r="L127" s="1443"/>
      <c r="M127" s="1443"/>
      <c r="N127" s="1443"/>
      <c r="O127" s="1443"/>
      <c r="P127" s="1443"/>
      <c r="Q127" s="1443"/>
      <c r="R127" s="1443"/>
      <c r="S127" s="1443"/>
      <c r="T127" s="1617"/>
      <c r="U127" s="1443"/>
      <c r="V127" s="3378" t="s">
        <v>2736</v>
      </c>
      <c r="W127" s="1443"/>
      <c r="X127" s="1443"/>
      <c r="Y127" s="1443"/>
      <c r="Z127" s="1443"/>
      <c r="AA127" s="1443"/>
      <c r="AB127" s="1443"/>
      <c r="AC127" s="1443"/>
      <c r="AD127" s="1443"/>
      <c r="AE127" s="1443"/>
      <c r="AF127" s="1443"/>
      <c r="AG127" s="1443"/>
      <c r="AH127" s="1443"/>
      <c r="AI127" s="1443"/>
      <c r="AJ127" s="1443"/>
      <c r="AK127" s="1443"/>
      <c r="AL127" s="1443"/>
      <c r="AM127" s="1443"/>
      <c r="AN127" s="1443"/>
      <c r="AO127" s="1443"/>
      <c r="AP127" s="3350"/>
      <c r="BD127" s="3169"/>
      <c r="BE127" s="3169"/>
      <c r="BF127" s="3169"/>
      <c r="BG127" s="3169"/>
      <c r="BH127" s="3169"/>
      <c r="BI127" s="3169"/>
      <c r="BJ127" s="3169"/>
      <c r="BK127" s="3169"/>
      <c r="BL127" s="3169"/>
      <c r="BM127" s="3169"/>
      <c r="BN127" s="3169"/>
    </row>
    <row r="128" spans="1:66" ht="12.75" customHeight="1">
      <c r="A128" s="3350"/>
      <c r="B128" s="7678"/>
      <c r="C128" s="7678"/>
      <c r="D128" s="7678"/>
      <c r="E128" s="7678"/>
      <c r="F128" s="7678"/>
      <c r="G128" s="7678"/>
      <c r="H128" s="7678"/>
      <c r="I128" s="7678"/>
      <c r="J128" s="7678"/>
      <c r="K128" s="7678"/>
      <c r="L128" s="7678"/>
      <c r="M128" s="7678"/>
      <c r="N128" s="7678"/>
      <c r="O128" s="7678"/>
      <c r="P128" s="7678"/>
      <c r="Q128" s="7678"/>
      <c r="R128" s="7678"/>
      <c r="S128" s="7678"/>
      <c r="T128" s="7678"/>
      <c r="U128" s="7679"/>
      <c r="V128" s="7672"/>
      <c r="W128" s="7678"/>
      <c r="X128" s="7678"/>
      <c r="Y128" s="7678"/>
      <c r="Z128" s="7678"/>
      <c r="AA128" s="7678"/>
      <c r="AB128" s="7678"/>
      <c r="AC128" s="7678"/>
      <c r="AD128" s="7678"/>
      <c r="AE128" s="7678"/>
      <c r="AF128" s="7678"/>
      <c r="AG128" s="7678"/>
      <c r="AH128" s="7678"/>
      <c r="AI128" s="7678"/>
      <c r="AJ128" s="7678"/>
      <c r="AK128" s="7678"/>
      <c r="AL128" s="7678"/>
      <c r="AM128" s="7678"/>
      <c r="AN128" s="7678"/>
      <c r="AO128" s="7678"/>
      <c r="AP128" s="3350"/>
      <c r="BD128" s="3169"/>
      <c r="BE128" s="3169"/>
      <c r="BF128" s="3169"/>
      <c r="BG128" s="3169"/>
      <c r="BH128" s="3169"/>
      <c r="BI128" s="3169"/>
      <c r="BJ128" s="3169"/>
      <c r="BK128" s="3169"/>
      <c r="BL128" s="3169"/>
      <c r="BM128" s="3169"/>
      <c r="BN128" s="3169"/>
    </row>
    <row r="129" spans="1:66">
      <c r="A129" s="3350"/>
      <c r="B129" s="1592" t="s">
        <v>2625</v>
      </c>
      <c r="C129" s="1443"/>
      <c r="D129" s="1443"/>
      <c r="E129" s="1443"/>
      <c r="F129" s="1443"/>
      <c r="G129" s="1443"/>
      <c r="H129" s="1443"/>
      <c r="I129" s="1443"/>
      <c r="J129" s="1443"/>
      <c r="K129" s="1443"/>
      <c r="L129" s="1443"/>
      <c r="M129" s="1443"/>
      <c r="N129" s="1443"/>
      <c r="O129" s="1443"/>
      <c r="P129" s="1443"/>
      <c r="Q129" s="1443"/>
      <c r="R129" s="1443"/>
      <c r="S129" s="1443"/>
      <c r="T129" s="1617"/>
      <c r="U129" s="1443"/>
      <c r="V129" s="3379" t="s">
        <v>2626</v>
      </c>
      <c r="W129" s="1443"/>
      <c r="X129" s="1443"/>
      <c r="Y129" s="1443"/>
      <c r="Z129" s="1443"/>
      <c r="AA129" s="1443"/>
      <c r="AB129" s="1443"/>
      <c r="AC129" s="1443"/>
      <c r="AD129" s="1443"/>
      <c r="AE129" s="1443"/>
      <c r="AF129" s="1443"/>
      <c r="AG129" s="1443"/>
      <c r="AH129" s="1443"/>
      <c r="AI129" s="1443"/>
      <c r="AJ129" s="1443"/>
      <c r="AK129" s="1443"/>
      <c r="AL129" s="1443"/>
      <c r="AM129" s="1443"/>
      <c r="AN129" s="1443"/>
      <c r="AO129" s="1443"/>
      <c r="AP129" s="3350"/>
      <c r="BD129" s="3169"/>
      <c r="BE129" s="3169"/>
      <c r="BF129" s="3169"/>
      <c r="BG129" s="3169"/>
      <c r="BH129" s="3169"/>
      <c r="BI129" s="3169"/>
      <c r="BJ129" s="3169"/>
      <c r="BK129" s="3169"/>
      <c r="BL129" s="3169"/>
      <c r="BM129" s="3169"/>
      <c r="BN129" s="3169"/>
    </row>
    <row r="130" spans="1:66" ht="13.5" customHeight="1">
      <c r="A130" s="3350"/>
      <c r="B130" s="7678"/>
      <c r="C130" s="7678"/>
      <c r="D130" s="7678"/>
      <c r="E130" s="7678"/>
      <c r="F130" s="7678"/>
      <c r="G130" s="7678"/>
      <c r="H130" s="7678"/>
      <c r="I130" s="7678"/>
      <c r="J130" s="7678"/>
      <c r="K130" s="7678"/>
      <c r="L130" s="7678"/>
      <c r="M130" s="7678"/>
      <c r="N130" s="7678"/>
      <c r="O130" s="7678"/>
      <c r="P130" s="7678"/>
      <c r="Q130" s="7678"/>
      <c r="R130" s="7678"/>
      <c r="S130" s="7678"/>
      <c r="T130" s="7678"/>
      <c r="U130" s="7679"/>
      <c r="V130" s="7672"/>
      <c r="W130" s="7678"/>
      <c r="X130" s="7678"/>
      <c r="Y130" s="7678"/>
      <c r="Z130" s="7678"/>
      <c r="AA130" s="7678"/>
      <c r="AB130" s="7678"/>
      <c r="AC130" s="7678"/>
      <c r="AD130" s="7678"/>
      <c r="AE130" s="7678"/>
      <c r="AF130" s="7678"/>
      <c r="AG130" s="7678"/>
      <c r="AH130" s="7678"/>
      <c r="AI130" s="7678"/>
      <c r="AJ130" s="7678"/>
      <c r="AK130" s="7678"/>
      <c r="AL130" s="7678"/>
      <c r="AM130" s="7678"/>
      <c r="AN130" s="7678"/>
      <c r="AO130" s="7678"/>
      <c r="AP130" s="3350"/>
      <c r="BD130" s="3169"/>
      <c r="BE130" s="3169"/>
      <c r="BF130" s="3169"/>
      <c r="BG130" s="3169"/>
      <c r="BH130" s="3169"/>
      <c r="BI130" s="3169"/>
      <c r="BJ130" s="3169"/>
      <c r="BK130" s="3169"/>
      <c r="BL130" s="3169"/>
      <c r="BM130" s="3169"/>
      <c r="BN130" s="3169"/>
    </row>
    <row r="131" spans="1:66">
      <c r="A131" s="3350"/>
      <c r="B131" s="1592" t="s">
        <v>2737</v>
      </c>
      <c r="C131" s="1443"/>
      <c r="D131" s="1443"/>
      <c r="E131" s="1443"/>
      <c r="F131" s="1443"/>
      <c r="G131" s="1443"/>
      <c r="H131" s="1443"/>
      <c r="I131" s="1443"/>
      <c r="J131" s="1443"/>
      <c r="K131" s="1443"/>
      <c r="L131" s="1443"/>
      <c r="M131" s="1443"/>
      <c r="N131" s="1443"/>
      <c r="O131" s="1443"/>
      <c r="P131" s="1443"/>
      <c r="Q131" s="1443"/>
      <c r="R131" s="1443"/>
      <c r="S131" s="1443"/>
      <c r="T131" s="1617"/>
      <c r="U131" s="1958"/>
      <c r="V131" s="1443" t="s">
        <v>2727</v>
      </c>
      <c r="W131" s="1443"/>
      <c r="X131" s="1443"/>
      <c r="Y131" s="1443"/>
      <c r="Z131" s="1443"/>
      <c r="AA131" s="1443"/>
      <c r="AB131" s="1443"/>
      <c r="AC131" s="1443"/>
      <c r="AD131" s="1443"/>
      <c r="AE131" s="1443"/>
      <c r="AF131" s="1443"/>
      <c r="AG131" s="1443"/>
      <c r="AH131" s="1443"/>
      <c r="AI131" s="1443" t="s">
        <v>123</v>
      </c>
      <c r="AJ131" s="1443"/>
      <c r="AK131" s="1443"/>
      <c r="AL131" s="1443"/>
      <c r="AM131" s="1443"/>
      <c r="AN131" s="1443"/>
      <c r="AO131" s="1443"/>
      <c r="AP131" s="3350"/>
      <c r="BD131" s="3169"/>
      <c r="BE131" s="3169"/>
      <c r="BF131" s="3169"/>
      <c r="BG131" s="3169"/>
      <c r="BH131" s="3169"/>
      <c r="BI131" s="3169"/>
      <c r="BJ131" s="3169"/>
      <c r="BK131" s="3169"/>
      <c r="BL131" s="3169"/>
      <c r="BM131" s="3169"/>
      <c r="BN131" s="3169"/>
    </row>
    <row r="132" spans="1:66" ht="13.5" customHeight="1">
      <c r="A132" s="3350"/>
      <c r="B132" s="7670"/>
      <c r="C132" s="7670"/>
      <c r="D132" s="7670"/>
      <c r="E132" s="7670"/>
      <c r="F132" s="7670"/>
      <c r="G132" s="7670"/>
      <c r="H132" s="7670"/>
      <c r="I132" s="7670"/>
      <c r="J132" s="7670"/>
      <c r="K132" s="7670"/>
      <c r="L132" s="7670"/>
      <c r="M132" s="7670"/>
      <c r="N132" s="7670"/>
      <c r="O132" s="7670"/>
      <c r="P132" s="7670"/>
      <c r="Q132" s="7670"/>
      <c r="R132" s="7670"/>
      <c r="S132" s="7670"/>
      <c r="T132" s="7670"/>
      <c r="U132" s="7671"/>
      <c r="V132" s="7672"/>
      <c r="W132" s="7673"/>
      <c r="X132" s="7673"/>
      <c r="Y132" s="7673"/>
      <c r="Z132" s="7673"/>
      <c r="AA132" s="7673"/>
      <c r="AB132" s="7673"/>
      <c r="AC132" s="7673"/>
      <c r="AD132" s="7673"/>
      <c r="AE132" s="7673"/>
      <c r="AF132" s="7673"/>
      <c r="AG132" s="7673"/>
      <c r="AH132" s="7674"/>
      <c r="AI132" s="7675"/>
      <c r="AJ132" s="7676"/>
      <c r="AK132" s="7676"/>
      <c r="AL132" s="7676"/>
      <c r="AM132" s="7676"/>
      <c r="AN132" s="7676"/>
      <c r="AO132" s="7676"/>
      <c r="AP132" s="3350"/>
      <c r="BD132" s="3169"/>
      <c r="BE132" s="3169"/>
      <c r="BF132" s="3169"/>
      <c r="BG132" s="3169"/>
      <c r="BH132" s="3169"/>
      <c r="BI132" s="3169"/>
      <c r="BJ132" s="3169"/>
      <c r="BK132" s="3169"/>
      <c r="BL132" s="3169"/>
      <c r="BM132" s="3169"/>
      <c r="BN132" s="3169"/>
    </row>
    <row r="133" spans="1:66" ht="18">
      <c r="A133" s="3350"/>
      <c r="B133" s="3287"/>
      <c r="C133" s="3285"/>
      <c r="D133" s="1443"/>
      <c r="E133" s="1443"/>
      <c r="F133" s="1443"/>
      <c r="G133" s="1443"/>
      <c r="H133" s="1443"/>
      <c r="I133" s="1443"/>
      <c r="J133" s="1443"/>
      <c r="K133" s="1443"/>
      <c r="L133" s="1443"/>
      <c r="M133" s="1443"/>
      <c r="N133" s="1443"/>
      <c r="O133" s="1443"/>
      <c r="P133" s="1443"/>
      <c r="Q133" s="1443"/>
      <c r="R133" s="1443"/>
      <c r="S133" s="1443"/>
      <c r="T133" s="1443"/>
      <c r="U133" s="1443"/>
      <c r="V133" s="1443"/>
      <c r="W133" s="1443"/>
      <c r="X133" s="1443"/>
      <c r="Y133" s="1443"/>
      <c r="Z133" s="1443"/>
      <c r="AA133" s="1443"/>
      <c r="AB133" s="1443"/>
      <c r="AC133" s="1443"/>
      <c r="AD133" s="1443"/>
      <c r="AE133" s="1443"/>
      <c r="AF133" s="1443"/>
      <c r="AG133" s="1443"/>
      <c r="AH133" s="1443"/>
      <c r="AI133" s="1443"/>
      <c r="AJ133" s="1443"/>
      <c r="AK133" s="2541" t="s">
        <v>2638</v>
      </c>
      <c r="AL133" s="1443"/>
      <c r="AM133" s="1443"/>
      <c r="AN133" s="1443"/>
      <c r="AO133" s="2100" t="s">
        <v>2637</v>
      </c>
      <c r="AP133" s="3350"/>
      <c r="BD133" s="3169"/>
      <c r="BE133" s="3169"/>
      <c r="BF133" s="3169"/>
      <c r="BG133" s="3169"/>
      <c r="BH133" s="3169"/>
      <c r="BI133" s="3169"/>
      <c r="BJ133" s="3169"/>
      <c r="BK133" s="3169"/>
      <c r="BL133" s="3169"/>
      <c r="BM133" s="3169"/>
      <c r="BN133" s="3169"/>
    </row>
    <row r="134" spans="1:66">
      <c r="A134" s="3350"/>
      <c r="B134" s="3350"/>
      <c r="C134" s="3350"/>
      <c r="D134" s="3350"/>
      <c r="E134" s="3350"/>
      <c r="F134" s="3350"/>
      <c r="G134" s="3350"/>
      <c r="H134" s="3350"/>
      <c r="I134" s="3350"/>
      <c r="J134" s="3350"/>
      <c r="K134" s="3350"/>
      <c r="L134" s="3350"/>
      <c r="M134" s="3350"/>
      <c r="N134" s="3350"/>
      <c r="O134" s="3350"/>
      <c r="P134" s="3350"/>
      <c r="Q134" s="3350"/>
      <c r="R134" s="3350"/>
      <c r="S134" s="3350"/>
      <c r="T134" s="3350"/>
      <c r="U134" s="3350"/>
      <c r="V134" s="3350"/>
      <c r="W134" s="3350"/>
      <c r="X134" s="3350"/>
      <c r="Y134" s="3350"/>
      <c r="Z134" s="3350"/>
      <c r="AA134" s="3350"/>
      <c r="AB134" s="3350"/>
      <c r="AC134" s="3350"/>
      <c r="AD134" s="3350"/>
      <c r="AE134" s="3350"/>
      <c r="AF134" s="3350"/>
      <c r="AG134" s="3350"/>
      <c r="AH134" s="3350"/>
      <c r="AI134" s="3350"/>
      <c r="AJ134" s="3350"/>
      <c r="AK134" s="3350"/>
      <c r="AL134" s="3350"/>
      <c r="AM134" s="3350"/>
      <c r="AN134" s="3350"/>
      <c r="AO134" s="3350"/>
      <c r="AP134" s="3350"/>
      <c r="BD134" s="3169"/>
      <c r="BE134" s="3169"/>
      <c r="BF134" s="3169"/>
      <c r="BG134" s="3169"/>
      <c r="BH134" s="3169"/>
      <c r="BI134" s="3169"/>
      <c r="BJ134" s="3169"/>
      <c r="BK134" s="3169"/>
      <c r="BL134" s="3169"/>
      <c r="BM134" s="3169"/>
      <c r="BN134" s="3169"/>
    </row>
  </sheetData>
  <sheetProtection password="F07E" sheet="1" objects="1" scenarios="1"/>
  <mergeCells count="171">
    <mergeCell ref="D59:AO59"/>
    <mergeCell ref="B61:C61"/>
    <mergeCell ref="AN61:AO61"/>
    <mergeCell ref="AL61:AM61"/>
    <mergeCell ref="AL62:AM62"/>
    <mergeCell ref="AN62:AO62"/>
    <mergeCell ref="B63:C63"/>
    <mergeCell ref="B67:C67"/>
    <mergeCell ref="AL66:AM66"/>
    <mergeCell ref="AN66:AO66"/>
    <mergeCell ref="AL67:AM67"/>
    <mergeCell ref="AN67:AO67"/>
    <mergeCell ref="B48:C48"/>
    <mergeCell ref="AI48:AO48"/>
    <mergeCell ref="AI45:AO45"/>
    <mergeCell ref="B49:C49"/>
    <mergeCell ref="D52:AO52"/>
    <mergeCell ref="D54:AO54"/>
    <mergeCell ref="D56:AO56"/>
    <mergeCell ref="B57:C57"/>
    <mergeCell ref="B58:C58"/>
    <mergeCell ref="AC57:AO57"/>
    <mergeCell ref="AI58:AO58"/>
    <mergeCell ref="AA41:AG41"/>
    <mergeCell ref="AH41:AO41"/>
    <mergeCell ref="B42:D42"/>
    <mergeCell ref="B45:C45"/>
    <mergeCell ref="B47:C47"/>
    <mergeCell ref="AI47:AO47"/>
    <mergeCell ref="B41:C41"/>
    <mergeCell ref="D41:G41"/>
    <mergeCell ref="H41:L41"/>
    <mergeCell ref="M41:S41"/>
    <mergeCell ref="T41:Z41"/>
    <mergeCell ref="AA40:AG40"/>
    <mergeCell ref="B39:C39"/>
    <mergeCell ref="D39:G39"/>
    <mergeCell ref="H39:L39"/>
    <mergeCell ref="AH40:AO40"/>
    <mergeCell ref="B40:C40"/>
    <mergeCell ref="D40:G40"/>
    <mergeCell ref="H40:L40"/>
    <mergeCell ref="M40:S40"/>
    <mergeCell ref="T40:Z40"/>
    <mergeCell ref="B38:C38"/>
    <mergeCell ref="D38:G38"/>
    <mergeCell ref="H38:L38"/>
    <mergeCell ref="M38:S38"/>
    <mergeCell ref="T38:Z38"/>
    <mergeCell ref="AA38:AG38"/>
    <mergeCell ref="AH38:AO38"/>
    <mergeCell ref="M39:S39"/>
    <mergeCell ref="T39:Z39"/>
    <mergeCell ref="AA39:AG39"/>
    <mergeCell ref="AH39:AO39"/>
    <mergeCell ref="B31:C33"/>
    <mergeCell ref="D31:L33"/>
    <mergeCell ref="AD31:AO33"/>
    <mergeCell ref="M35:S36"/>
    <mergeCell ref="T35:Z36"/>
    <mergeCell ref="AA35:AG36"/>
    <mergeCell ref="AH35:AO36"/>
    <mergeCell ref="B37:C37"/>
    <mergeCell ref="D37:G37"/>
    <mergeCell ref="H37:L37"/>
    <mergeCell ref="M37:S37"/>
    <mergeCell ref="T37:Z37"/>
    <mergeCell ref="D35:G36"/>
    <mergeCell ref="H35:L36"/>
    <mergeCell ref="AA37:AG37"/>
    <mergeCell ref="AH37:AO37"/>
    <mergeCell ref="B22:C24"/>
    <mergeCell ref="D22:L24"/>
    <mergeCell ref="AD22:AO24"/>
    <mergeCell ref="B25:C27"/>
    <mergeCell ref="D25:L27"/>
    <mergeCell ref="AD25:AO27"/>
    <mergeCell ref="B28:C30"/>
    <mergeCell ref="D28:L30"/>
    <mergeCell ref="AD28:AO30"/>
    <mergeCell ref="AI3:AO3"/>
    <mergeCell ref="AI4:AM6"/>
    <mergeCell ref="AN4:AO6"/>
    <mergeCell ref="D19:L21"/>
    <mergeCell ref="AD19:AO21"/>
    <mergeCell ref="B5:G6"/>
    <mergeCell ref="B8:AH9"/>
    <mergeCell ref="AI8:AO9"/>
    <mergeCell ref="B14:D14"/>
    <mergeCell ref="E15:L18"/>
    <mergeCell ref="B15:D18"/>
    <mergeCell ref="M15:AC18"/>
    <mergeCell ref="AD15:AO18"/>
    <mergeCell ref="B19:C21"/>
    <mergeCell ref="B90:C93"/>
    <mergeCell ref="D90:O93"/>
    <mergeCell ref="AK90:AO93"/>
    <mergeCell ref="P90:AJ93"/>
    <mergeCell ref="B81:C81"/>
    <mergeCell ref="B83:C83"/>
    <mergeCell ref="B85:C85"/>
    <mergeCell ref="B72:AH73"/>
    <mergeCell ref="AI72:AO73"/>
    <mergeCell ref="B78:D78"/>
    <mergeCell ref="B79:C79"/>
    <mergeCell ref="C100:G100"/>
    <mergeCell ref="H100:O100"/>
    <mergeCell ref="AK99:AO99"/>
    <mergeCell ref="C94:O94"/>
    <mergeCell ref="C95:O95"/>
    <mergeCell ref="C96:O96"/>
    <mergeCell ref="C97:O97"/>
    <mergeCell ref="AE98:AO98"/>
    <mergeCell ref="H98:O99"/>
    <mergeCell ref="P98:V99"/>
    <mergeCell ref="W98:AD99"/>
    <mergeCell ref="C98:G99"/>
    <mergeCell ref="AE99:AJ99"/>
    <mergeCell ref="P100:V100"/>
    <mergeCell ref="W100:AD100"/>
    <mergeCell ref="AE100:AJ100"/>
    <mergeCell ref="AK94:AO94"/>
    <mergeCell ref="AK95:AO95"/>
    <mergeCell ref="AK96:AO96"/>
    <mergeCell ref="AK97:AO97"/>
    <mergeCell ref="P94:AJ94"/>
    <mergeCell ref="P95:AJ95"/>
    <mergeCell ref="P96:AJ96"/>
    <mergeCell ref="P97:AJ97"/>
    <mergeCell ref="AK100:AO100"/>
    <mergeCell ref="B111:AO111"/>
    <mergeCell ref="B112:AO112"/>
    <mergeCell ref="J109:AF109"/>
    <mergeCell ref="AJ114:AO114"/>
    <mergeCell ref="B113:C114"/>
    <mergeCell ref="G113:S114"/>
    <mergeCell ref="B104:D104"/>
    <mergeCell ref="AE107:AO107"/>
    <mergeCell ref="AJ109:AO109"/>
    <mergeCell ref="B110:D110"/>
    <mergeCell ref="P103:V103"/>
    <mergeCell ref="W103:AD103"/>
    <mergeCell ref="AE103:AJ103"/>
    <mergeCell ref="AK103:AO103"/>
    <mergeCell ref="C103:G103"/>
    <mergeCell ref="H103:O103"/>
    <mergeCell ref="C102:G102"/>
    <mergeCell ref="H102:O102"/>
    <mergeCell ref="C101:G101"/>
    <mergeCell ref="H101:O101"/>
    <mergeCell ref="P101:V101"/>
    <mergeCell ref="W101:AD101"/>
    <mergeCell ref="AE101:AJ101"/>
    <mergeCell ref="AK101:AO101"/>
    <mergeCell ref="P102:V102"/>
    <mergeCell ref="W102:AD102"/>
    <mergeCell ref="AE102:AJ102"/>
    <mergeCell ref="AK102:AO102"/>
    <mergeCell ref="B118:AO118"/>
    <mergeCell ref="W113:AF114"/>
    <mergeCell ref="B132:U132"/>
    <mergeCell ref="V132:AH132"/>
    <mergeCell ref="AI132:AO132"/>
    <mergeCell ref="B119:D119"/>
    <mergeCell ref="P121:AE121"/>
    <mergeCell ref="B128:U128"/>
    <mergeCell ref="V128:AO128"/>
    <mergeCell ref="B130:U130"/>
    <mergeCell ref="V130:AO130"/>
    <mergeCell ref="AI116:AO116"/>
    <mergeCell ref="B116:AH116"/>
  </mergeCells>
  <conditionalFormatting sqref="B8:AH9 W100:AO100 AJ109 B118 B116 AI116:AO116">
    <cfRule type="expression" dxfId="580" priority="99">
      <formula>NoColor</formula>
    </cfRule>
  </conditionalFormatting>
  <conditionalFormatting sqref="AI8:AO9">
    <cfRule type="expression" dxfId="579" priority="1">
      <formula>AND(NoSSN,NoColor)</formula>
    </cfRule>
    <cfRule type="expression" dxfId="578" priority="2">
      <formula>NoSSN</formula>
    </cfRule>
    <cfRule type="expression" dxfId="577" priority="98">
      <formula>NoColor</formula>
    </cfRule>
  </conditionalFormatting>
  <conditionalFormatting sqref="D19:L33">
    <cfRule type="expression" dxfId="576" priority="97">
      <formula>NoColor</formula>
    </cfRule>
  </conditionalFormatting>
  <conditionalFormatting sqref="M21:AC21">
    <cfRule type="expression" dxfId="575" priority="96">
      <formula>NoColor</formula>
    </cfRule>
  </conditionalFormatting>
  <conditionalFormatting sqref="M24:AC24">
    <cfRule type="expression" dxfId="574" priority="95">
      <formula>NoColor</formula>
    </cfRule>
  </conditionalFormatting>
  <conditionalFormatting sqref="M27:AC27">
    <cfRule type="expression" dxfId="573" priority="94">
      <formula>NoColor</formula>
    </cfRule>
  </conditionalFormatting>
  <conditionalFormatting sqref="M30:AC30">
    <cfRule type="expression" dxfId="572" priority="93">
      <formula>NoColor</formula>
    </cfRule>
  </conditionalFormatting>
  <conditionalFormatting sqref="M33:AC33">
    <cfRule type="expression" dxfId="571" priority="92">
      <formula>NoColor</formula>
    </cfRule>
  </conditionalFormatting>
  <conditionalFormatting sqref="T20">
    <cfRule type="expression" dxfId="570" priority="91">
      <formula>NoColor</formula>
    </cfRule>
  </conditionalFormatting>
  <conditionalFormatting sqref="T23">
    <cfRule type="expression" dxfId="569" priority="90">
      <formula>NoColor</formula>
    </cfRule>
  </conditionalFormatting>
  <conditionalFormatting sqref="T26">
    <cfRule type="expression" dxfId="568" priority="89">
      <formula>NoColor</formula>
    </cfRule>
  </conditionalFormatting>
  <conditionalFormatting sqref="T29">
    <cfRule type="expression" dxfId="567" priority="88">
      <formula>NoColor</formula>
    </cfRule>
  </conditionalFormatting>
  <conditionalFormatting sqref="T32">
    <cfRule type="expression" dxfId="566" priority="87">
      <formula>NoColor</formula>
    </cfRule>
  </conditionalFormatting>
  <conditionalFormatting sqref="AD19:AO33">
    <cfRule type="expression" dxfId="565" priority="86">
      <formula>NoColor</formula>
    </cfRule>
  </conditionalFormatting>
  <conditionalFormatting sqref="D37:AO41">
    <cfRule type="expression" dxfId="564" priority="85">
      <formula>NoColor</formula>
    </cfRule>
  </conditionalFormatting>
  <conditionalFormatting sqref="AI45:AO45">
    <cfRule type="expression" dxfId="563" priority="84">
      <formula>NoColor</formula>
    </cfRule>
  </conditionalFormatting>
  <conditionalFormatting sqref="AI47:AO47">
    <cfRule type="expression" dxfId="562" priority="83">
      <formula>NoColor</formula>
    </cfRule>
  </conditionalFormatting>
  <conditionalFormatting sqref="AI48:AO48">
    <cfRule type="expression" dxfId="561" priority="82">
      <formula>NoColor</formula>
    </cfRule>
  </conditionalFormatting>
  <conditionalFormatting sqref="D52:AO52">
    <cfRule type="expression" dxfId="560" priority="81">
      <formula>NoColor</formula>
    </cfRule>
  </conditionalFormatting>
  <conditionalFormatting sqref="D54:AO54">
    <cfRule type="expression" dxfId="559" priority="80">
      <formula>NoColor</formula>
    </cfRule>
  </conditionalFormatting>
  <conditionalFormatting sqref="D56:AO56">
    <cfRule type="expression" dxfId="558" priority="79">
      <formula>NoColor</formula>
    </cfRule>
  </conditionalFormatting>
  <conditionalFormatting sqref="D59:AO59">
    <cfRule type="expression" dxfId="557" priority="78">
      <formula>NoColor</formula>
    </cfRule>
  </conditionalFormatting>
  <conditionalFormatting sqref="AC57:AO57">
    <cfRule type="expression" dxfId="556" priority="77">
      <formula>NoColor</formula>
    </cfRule>
  </conditionalFormatting>
  <conditionalFormatting sqref="AI58:AO58">
    <cfRule type="expression" dxfId="555" priority="76">
      <formula>NoColor</formula>
    </cfRule>
  </conditionalFormatting>
  <conditionalFormatting sqref="AL62:AO62">
    <cfRule type="expression" dxfId="554" priority="75">
      <formula>NoColor</formula>
    </cfRule>
  </conditionalFormatting>
  <conditionalFormatting sqref="AL66:AO66">
    <cfRule type="expression" dxfId="553" priority="74">
      <formula>NoColor</formula>
    </cfRule>
  </conditionalFormatting>
  <conditionalFormatting sqref="AL67:AO67">
    <cfRule type="expression" dxfId="552" priority="73">
      <formula>NoColor</formula>
    </cfRule>
  </conditionalFormatting>
  <conditionalFormatting sqref="B72:AH73">
    <cfRule type="expression" dxfId="551" priority="72">
      <formula>NoColor</formula>
    </cfRule>
  </conditionalFormatting>
  <conditionalFormatting sqref="AI72:AO73">
    <cfRule type="expression" dxfId="550" priority="71">
      <formula>NoColor</formula>
    </cfRule>
  </conditionalFormatting>
  <conditionalFormatting sqref="AL81">
    <cfRule type="expression" dxfId="549" priority="60">
      <formula>NoColor</formula>
    </cfRule>
  </conditionalFormatting>
  <conditionalFormatting sqref="E81">
    <cfRule type="expression" dxfId="548" priority="69">
      <formula>NoColor</formula>
    </cfRule>
  </conditionalFormatting>
  <conditionalFormatting sqref="E83">
    <cfRule type="expression" dxfId="547" priority="68">
      <formula>NoColor</formula>
    </cfRule>
  </conditionalFormatting>
  <conditionalFormatting sqref="E85">
    <cfRule type="expression" dxfId="546" priority="67">
      <formula>NoColor</formula>
    </cfRule>
  </conditionalFormatting>
  <conditionalFormatting sqref="Q81">
    <cfRule type="expression" dxfId="545" priority="66">
      <formula>NoColor</formula>
    </cfRule>
  </conditionalFormatting>
  <conditionalFormatting sqref="Q83">
    <cfRule type="expression" dxfId="544" priority="65">
      <formula>NoColor</formula>
    </cfRule>
  </conditionalFormatting>
  <conditionalFormatting sqref="Q85">
    <cfRule type="expression" dxfId="543" priority="64">
      <formula>NoColor</formula>
    </cfRule>
  </conditionalFormatting>
  <conditionalFormatting sqref="AE81">
    <cfRule type="expression" dxfId="542" priority="63">
      <formula>NoColor</formula>
    </cfRule>
  </conditionalFormatting>
  <conditionalFormatting sqref="AE83">
    <cfRule type="expression" dxfId="541" priority="62">
      <formula>NoColor</formula>
    </cfRule>
  </conditionalFormatting>
  <conditionalFormatting sqref="AE85">
    <cfRule type="expression" dxfId="540" priority="61">
      <formula>NoColor</formula>
    </cfRule>
  </conditionalFormatting>
  <conditionalFormatting sqref="C94:P94 AK94">
    <cfRule type="expression" dxfId="539" priority="43">
      <formula>NoColor</formula>
    </cfRule>
  </conditionalFormatting>
  <conditionalFormatting sqref="C95:O95">
    <cfRule type="expression" dxfId="538" priority="39">
      <formula>NoColor</formula>
    </cfRule>
  </conditionalFormatting>
  <conditionalFormatting sqref="C100:P100">
    <cfRule type="expression" dxfId="537" priority="44">
      <formula>NoColor</formula>
    </cfRule>
  </conditionalFormatting>
  <conditionalFormatting sqref="P95">
    <cfRule type="expression" dxfId="536" priority="36">
      <formula>NoColor</formula>
    </cfRule>
  </conditionalFormatting>
  <conditionalFormatting sqref="C96:O96">
    <cfRule type="expression" dxfId="535" priority="38">
      <formula>NoColor</formula>
    </cfRule>
  </conditionalFormatting>
  <conditionalFormatting sqref="C97:O97">
    <cfRule type="expression" dxfId="534" priority="37">
      <formula>NoColor</formula>
    </cfRule>
  </conditionalFormatting>
  <conditionalFormatting sqref="P96">
    <cfRule type="expression" dxfId="533" priority="35">
      <formula>NoColor</formula>
    </cfRule>
  </conditionalFormatting>
  <conditionalFormatting sqref="P97">
    <cfRule type="expression" dxfId="532" priority="34">
      <formula>NoColor</formula>
    </cfRule>
  </conditionalFormatting>
  <conditionalFormatting sqref="AK95">
    <cfRule type="expression" dxfId="531" priority="33">
      <formula>NoColor</formula>
    </cfRule>
  </conditionalFormatting>
  <conditionalFormatting sqref="AK96">
    <cfRule type="expression" dxfId="530" priority="32">
      <formula>NoColor</formula>
    </cfRule>
  </conditionalFormatting>
  <conditionalFormatting sqref="AK97">
    <cfRule type="expression" dxfId="529" priority="31">
      <formula>NoColor</formula>
    </cfRule>
  </conditionalFormatting>
  <conditionalFormatting sqref="W101:AO101">
    <cfRule type="expression" dxfId="528" priority="27">
      <formula>NoColor</formula>
    </cfRule>
  </conditionalFormatting>
  <conditionalFormatting sqref="C101:P101">
    <cfRule type="expression" dxfId="527" priority="26">
      <formula>NoColor</formula>
    </cfRule>
  </conditionalFormatting>
  <conditionalFormatting sqref="W102:AO102">
    <cfRule type="expression" dxfId="526" priority="25">
      <formula>NoColor</formula>
    </cfRule>
  </conditionalFormatting>
  <conditionalFormatting sqref="C102:P102">
    <cfRule type="expression" dxfId="525" priority="24">
      <formula>NoColor</formula>
    </cfRule>
  </conditionalFormatting>
  <conditionalFormatting sqref="W103:AO103">
    <cfRule type="expression" dxfId="524" priority="23">
      <formula>NoColor</formula>
    </cfRule>
  </conditionalFormatting>
  <conditionalFormatting sqref="C103:P103">
    <cfRule type="expression" dxfId="523" priority="22">
      <formula>NoColor</formula>
    </cfRule>
  </conditionalFormatting>
  <conditionalFormatting sqref="AJ114">
    <cfRule type="expression" dxfId="522" priority="20">
      <formula>NoColor</formula>
    </cfRule>
  </conditionalFormatting>
  <conditionalFormatting sqref="W113">
    <cfRule type="expression" dxfId="521" priority="19">
      <formula>NoColor</formula>
    </cfRule>
  </conditionalFormatting>
  <conditionalFormatting sqref="AE107:AO107">
    <cfRule type="expression" dxfId="520" priority="14">
      <formula>NoColor</formula>
    </cfRule>
  </conditionalFormatting>
  <conditionalFormatting sqref="P121:AE121">
    <cfRule type="expression" dxfId="519" priority="13">
      <formula>NoColor</formula>
    </cfRule>
  </conditionalFormatting>
  <conditionalFormatting sqref="AH125">
    <cfRule type="expression" dxfId="518" priority="12">
      <formula>NoColor</formula>
    </cfRule>
  </conditionalFormatting>
  <conditionalFormatting sqref="B128:U128">
    <cfRule type="expression" dxfId="517" priority="11">
      <formula>NoColor</formula>
    </cfRule>
  </conditionalFormatting>
  <conditionalFormatting sqref="V128:AO128">
    <cfRule type="expression" dxfId="516" priority="10">
      <formula>NoColor</formula>
    </cfRule>
  </conditionalFormatting>
  <conditionalFormatting sqref="B130:U130">
    <cfRule type="expression" dxfId="515" priority="9">
      <formula>NoColor</formula>
    </cfRule>
  </conditionalFormatting>
  <conditionalFormatting sqref="V130:AO130">
    <cfRule type="expression" dxfId="514" priority="8">
      <formula>NoColor</formula>
    </cfRule>
  </conditionalFormatting>
  <conditionalFormatting sqref="B132:U132">
    <cfRule type="expression" dxfId="513" priority="7">
      <formula>NoColor</formula>
    </cfRule>
  </conditionalFormatting>
  <conditionalFormatting sqref="V132:AH132">
    <cfRule type="expression" dxfId="512" priority="6">
      <formula>NoColor</formula>
    </cfRule>
  </conditionalFormatting>
  <conditionalFormatting sqref="AI132:AO132">
    <cfRule type="expression" dxfId="511" priority="5">
      <formula>NoColor</formula>
    </cfRule>
  </conditionalFormatting>
  <conditionalFormatting sqref="AM125">
    <cfRule type="expression" dxfId="510" priority="4">
      <formula>NoColor</formula>
    </cfRule>
  </conditionalFormatting>
  <conditionalFormatting sqref="G113:S114">
    <cfRule type="expression" dxfId="509" priority="3">
      <formula>NoColor</formula>
    </cfRule>
  </conditionalFormatting>
  <pageMargins left="0.45" right="0.45" top="0.5" bottom="0.5" header="0" footer="0"/>
  <pageSetup scale="78" fitToHeight="0" orientation="portrait" r:id="rId1"/>
  <rowBreaks count="1" manualBreakCount="1">
    <brk id="68" max="16383"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19"/>
  <sheetViews>
    <sheetView zoomScaleNormal="100" zoomScaleSheetLayoutView="100" workbookViewId="0">
      <selection activeCell="AJ9" sqref="AJ9:AP10"/>
    </sheetView>
  </sheetViews>
  <sheetFormatPr defaultColWidth="3.42578125" defaultRowHeight="12.75"/>
  <cols>
    <col min="1" max="1" width="3.42578125" style="46"/>
    <col min="2" max="2" width="3.85546875" style="46" customWidth="1"/>
    <col min="3" max="3" width="2.7109375" style="46" customWidth="1"/>
    <col min="4" max="4" width="3.5703125" style="46" customWidth="1"/>
    <col min="5" max="5" width="2.28515625" style="46" customWidth="1"/>
    <col min="6" max="6" width="2.7109375" style="46" customWidth="1"/>
    <col min="7" max="7" width="5.5703125" style="46" customWidth="1"/>
    <col min="8" max="8" width="2.5703125" style="46" customWidth="1"/>
    <col min="9" max="9" width="3.42578125" style="46"/>
    <col min="10" max="10" width="4" style="46" customWidth="1"/>
    <col min="11" max="11" width="2.7109375" style="46" customWidth="1"/>
    <col min="12" max="13" width="3.42578125" style="46"/>
    <col min="14" max="16" width="2.42578125" style="46" customWidth="1"/>
    <col min="17" max="17" width="2.7109375" style="46" customWidth="1"/>
    <col min="18" max="21" width="3" style="46" customWidth="1"/>
    <col min="22" max="30" width="2.7109375" style="46" customWidth="1"/>
    <col min="31" max="31" width="3.42578125" style="46"/>
    <col min="32" max="34" width="3.140625" style="46" customWidth="1"/>
    <col min="35" max="35" width="3.42578125" style="46"/>
    <col min="36" max="36" width="2.28515625" style="46" customWidth="1"/>
    <col min="37" max="38" width="3.42578125" style="46" customWidth="1"/>
    <col min="39" max="39" width="3.85546875" style="46" customWidth="1"/>
    <col min="40" max="40" width="4.140625" style="46" customWidth="1"/>
    <col min="41" max="41" width="2.7109375" style="46" customWidth="1"/>
    <col min="42" max="42" width="3.85546875" style="46" customWidth="1"/>
    <col min="43" max="44" width="3.42578125" style="46"/>
    <col min="45" max="45" width="17.5703125" style="46" customWidth="1"/>
    <col min="46" max="46" width="6.28515625" style="46" customWidth="1"/>
    <col min="47" max="47" width="2.28515625" style="46" customWidth="1"/>
    <col min="48" max="48" width="7.140625" style="46" customWidth="1"/>
    <col min="49" max="49" width="2.28515625" style="46" customWidth="1"/>
    <col min="50" max="60" width="10.7109375" style="3169" customWidth="1"/>
    <col min="61" max="16384" width="3.42578125" style="46"/>
  </cols>
  <sheetData>
    <row r="1" spans="1:60" ht="15">
      <c r="A1" s="3350"/>
      <c r="B1" s="3350"/>
      <c r="C1" s="3350"/>
      <c r="D1" s="3350"/>
      <c r="E1" s="3350"/>
      <c r="F1" s="3350"/>
      <c r="G1" s="3350"/>
      <c r="H1" s="3350"/>
      <c r="I1" s="3350"/>
      <c r="J1" s="3350"/>
      <c r="K1" s="3350"/>
      <c r="L1" s="3350"/>
      <c r="M1" s="3350"/>
      <c r="N1" s="3350"/>
      <c r="O1" s="3350"/>
      <c r="P1" s="3350"/>
      <c r="Q1" s="3350"/>
      <c r="R1" s="3350"/>
      <c r="S1" s="3350"/>
      <c r="T1" s="3350"/>
      <c r="U1" s="3350"/>
      <c r="V1" s="3350"/>
      <c r="W1" s="3350"/>
      <c r="X1" s="3350"/>
      <c r="Y1" s="3350"/>
      <c r="Z1" s="3350"/>
      <c r="AA1" s="3350"/>
      <c r="AB1" s="3350"/>
      <c r="AC1" s="3350"/>
      <c r="AD1" s="3350"/>
      <c r="AE1" s="3350"/>
      <c r="AF1" s="3350"/>
      <c r="AG1" s="3350"/>
      <c r="AH1" s="3350"/>
      <c r="AI1" s="3350"/>
      <c r="AJ1" s="3350"/>
      <c r="AK1" s="3350"/>
      <c r="AL1" s="3350"/>
      <c r="AM1" s="3350"/>
      <c r="AN1" s="3350"/>
      <c r="AO1" s="3350"/>
      <c r="AP1" s="3350"/>
      <c r="AQ1" s="3350"/>
      <c r="AR1" s="3350"/>
      <c r="AS1" s="3350"/>
      <c r="AT1" s="3350"/>
      <c r="AX1" s="3168" t="s">
        <v>2552</v>
      </c>
    </row>
    <row r="2" spans="1:60" ht="15.75" customHeight="1">
      <c r="A2" s="3350"/>
      <c r="B2" s="7828" t="s">
        <v>2888</v>
      </c>
      <c r="C2" s="7829"/>
      <c r="D2" s="7829"/>
      <c r="E2" s="7829"/>
      <c r="F2" s="7829"/>
      <c r="G2" s="7829"/>
      <c r="H2" s="7830"/>
      <c r="I2" s="1610"/>
      <c r="J2" s="1443"/>
      <c r="K2" s="7831" t="s">
        <v>2902</v>
      </c>
      <c r="L2" s="5680"/>
      <c r="M2" s="5680"/>
      <c r="N2" s="5680"/>
      <c r="O2" s="5680"/>
      <c r="P2" s="5680"/>
      <c r="Q2" s="5680"/>
      <c r="R2" s="5680"/>
      <c r="S2" s="5680"/>
      <c r="T2" s="5680"/>
      <c r="U2" s="5680"/>
      <c r="V2" s="5680"/>
      <c r="W2" s="5680"/>
      <c r="X2" s="5680"/>
      <c r="Y2" s="5680"/>
      <c r="Z2" s="5680"/>
      <c r="AA2" s="5680"/>
      <c r="AB2" s="5680"/>
      <c r="AC2" s="5680"/>
      <c r="AD2" s="1443"/>
      <c r="AE2" s="1443"/>
      <c r="AF2" s="1443"/>
      <c r="AG2" s="1443"/>
      <c r="AH2" s="1443"/>
      <c r="AI2" s="1443"/>
      <c r="AJ2" s="6397" t="s">
        <v>169</v>
      </c>
      <c r="AK2" s="6398"/>
      <c r="AL2" s="6398"/>
      <c r="AM2" s="6398"/>
      <c r="AN2" s="6398"/>
      <c r="AO2" s="6398"/>
      <c r="AP2" s="6398"/>
      <c r="AQ2" s="3350"/>
      <c r="AR2" s="3350"/>
      <c r="AS2" s="3350"/>
      <c r="AT2" s="3350"/>
    </row>
    <row r="3" spans="1:60" ht="14.25" customHeight="1">
      <c r="A3" s="3350"/>
      <c r="B3" s="7828" t="s">
        <v>201</v>
      </c>
      <c r="C3" s="7829"/>
      <c r="D3" s="7829"/>
      <c r="E3" s="7829"/>
      <c r="F3" s="7829"/>
      <c r="G3" s="7829"/>
      <c r="H3" s="7830"/>
      <c r="I3" s="1610"/>
      <c r="J3" s="1443"/>
      <c r="K3" s="5680"/>
      <c r="L3" s="5680"/>
      <c r="M3" s="5680"/>
      <c r="N3" s="5680"/>
      <c r="O3" s="5680"/>
      <c r="P3" s="5680"/>
      <c r="Q3" s="5680"/>
      <c r="R3" s="5680"/>
      <c r="S3" s="5680"/>
      <c r="T3" s="5680"/>
      <c r="U3" s="5680"/>
      <c r="V3" s="5680"/>
      <c r="W3" s="5680"/>
      <c r="X3" s="5680"/>
      <c r="Y3" s="5680"/>
      <c r="Z3" s="5680"/>
      <c r="AA3" s="5680"/>
      <c r="AB3" s="5680"/>
      <c r="AC3" s="5680"/>
      <c r="AD3" s="1443"/>
      <c r="AE3" s="1443"/>
      <c r="AF3" s="1443"/>
      <c r="AG3" s="1443"/>
      <c r="AH3" s="1443"/>
      <c r="AI3" s="1443"/>
      <c r="AJ3" s="7832">
        <f>TaxYear</f>
        <v>2018</v>
      </c>
      <c r="AK3" s="7833"/>
      <c r="AL3" s="7833"/>
      <c r="AM3" s="7833"/>
      <c r="AN3" s="7833"/>
      <c r="AO3" s="7833"/>
      <c r="AP3" s="6078"/>
      <c r="AQ3" s="3350"/>
      <c r="AR3" s="3350"/>
      <c r="AS3" s="3350"/>
      <c r="AT3" s="3350"/>
    </row>
    <row r="4" spans="1:60" ht="9.75" customHeight="1">
      <c r="A4" s="3350"/>
      <c r="B4" s="1450"/>
      <c r="C4" s="1443"/>
      <c r="D4" s="1443"/>
      <c r="E4" s="1443"/>
      <c r="F4" s="1443"/>
      <c r="G4" s="1443"/>
      <c r="H4" s="1443"/>
      <c r="I4" s="1610"/>
      <c r="J4" s="1443"/>
      <c r="K4" s="1443"/>
      <c r="L4" s="1443"/>
      <c r="M4" s="1443"/>
      <c r="N4" s="3270"/>
      <c r="O4" s="1443"/>
      <c r="P4" s="1443"/>
      <c r="Q4" s="3270"/>
      <c r="R4" s="3270"/>
      <c r="S4" s="1443"/>
      <c r="T4" s="1443"/>
      <c r="U4" s="1443"/>
      <c r="V4" s="1443"/>
      <c r="W4" s="1443"/>
      <c r="X4" s="1443"/>
      <c r="Y4" s="1443"/>
      <c r="Z4" s="1443"/>
      <c r="AA4" s="1443"/>
      <c r="AB4" s="1443"/>
      <c r="AC4" s="1443"/>
      <c r="AD4" s="1443"/>
      <c r="AE4" s="1443"/>
      <c r="AF4" s="1443"/>
      <c r="AG4" s="1443"/>
      <c r="AH4" s="1443"/>
      <c r="AI4" s="1443"/>
      <c r="AJ4" s="7834"/>
      <c r="AK4" s="7835"/>
      <c r="AL4" s="7835"/>
      <c r="AM4" s="7835"/>
      <c r="AN4" s="7835"/>
      <c r="AO4" s="7835"/>
      <c r="AP4" s="5680"/>
      <c r="AQ4" s="3350"/>
      <c r="AR4" s="3350"/>
      <c r="AS4" s="3350"/>
      <c r="AT4" s="3350"/>
    </row>
    <row r="5" spans="1:60" ht="13.5" customHeight="1">
      <c r="A5" s="3350"/>
      <c r="B5" s="4079"/>
      <c r="C5" s="1443"/>
      <c r="D5" s="1443"/>
      <c r="E5" s="1443"/>
      <c r="F5" s="1443"/>
      <c r="G5" s="1443"/>
      <c r="H5" s="1443"/>
      <c r="I5" s="1610"/>
      <c r="J5" s="1443"/>
      <c r="K5" s="1443"/>
      <c r="L5" s="1960"/>
      <c r="M5" s="1960" t="s">
        <v>962</v>
      </c>
      <c r="N5" s="1607"/>
      <c r="O5" s="1443"/>
      <c r="P5" s="1443"/>
      <c r="Q5" s="1443"/>
      <c r="R5" s="1443"/>
      <c r="S5" s="1443"/>
      <c r="T5" s="1443"/>
      <c r="U5" s="1443"/>
      <c r="V5" s="1443"/>
      <c r="W5" s="1443"/>
      <c r="X5" s="1443"/>
      <c r="Y5" s="1443"/>
      <c r="Z5" s="1443"/>
      <c r="AA5" s="1443"/>
      <c r="AB5" s="1443"/>
      <c r="AC5" s="1443"/>
      <c r="AD5" s="1443"/>
      <c r="AE5" s="1443"/>
      <c r="AF5" s="1443"/>
      <c r="AG5" s="1443"/>
      <c r="AH5" s="1443"/>
      <c r="AI5" s="1443"/>
      <c r="AJ5" s="3553" t="s">
        <v>2597</v>
      </c>
      <c r="AK5" s="3555"/>
      <c r="AL5" s="3555"/>
      <c r="AM5" s="3555"/>
      <c r="AN5" s="3555"/>
      <c r="AO5" s="4021"/>
      <c r="AP5" s="3554"/>
      <c r="AQ5" s="3350"/>
      <c r="AR5" s="3350"/>
      <c r="AS5" s="3350"/>
      <c r="AT5" s="3350"/>
    </row>
    <row r="6" spans="1:60" ht="12" customHeight="1">
      <c r="A6" s="3350"/>
      <c r="B6" s="6405" t="s">
        <v>2674</v>
      </c>
      <c r="C6" s="5628"/>
      <c r="D6" s="5628"/>
      <c r="E6" s="5628"/>
      <c r="F6" s="5628"/>
      <c r="G6" s="5628"/>
      <c r="H6" s="6406"/>
      <c r="I6" s="1610"/>
      <c r="J6" s="1443"/>
      <c r="K6" s="3405" t="s">
        <v>2889</v>
      </c>
      <c r="L6" s="3405"/>
      <c r="M6" s="1443"/>
      <c r="N6" s="1443"/>
      <c r="O6" s="1443"/>
      <c r="P6" s="1443"/>
      <c r="Q6" s="1443"/>
      <c r="R6" s="1443"/>
      <c r="S6" s="1443"/>
      <c r="T6" s="1443"/>
      <c r="U6" s="1443"/>
      <c r="V6" s="1443"/>
      <c r="W6" s="1443"/>
      <c r="X6" s="1443"/>
      <c r="Y6" s="1443"/>
      <c r="Z6" s="1443"/>
      <c r="AA6" s="1443"/>
      <c r="AB6" s="1443"/>
      <c r="AC6" s="1443"/>
      <c r="AD6" s="1443"/>
      <c r="AE6" s="1443"/>
      <c r="AF6" s="1443"/>
      <c r="AG6" s="1443"/>
      <c r="AH6" s="1443"/>
      <c r="AI6" s="1443"/>
      <c r="AJ6" s="3556"/>
      <c r="AK6" s="6405" t="s">
        <v>2597</v>
      </c>
      <c r="AL6" s="6176"/>
      <c r="AM6" s="6176"/>
      <c r="AN6" s="7836">
        <v>47</v>
      </c>
      <c r="AO6" s="7691"/>
      <c r="AP6" s="3554"/>
      <c r="AQ6" s="3350"/>
      <c r="AR6" s="3350"/>
      <c r="AS6" s="3350"/>
      <c r="AT6" s="3350"/>
    </row>
    <row r="7" spans="1:60" ht="12" customHeight="1" thickBot="1">
      <c r="A7" s="3350"/>
      <c r="B7" s="5629"/>
      <c r="C7" s="5629"/>
      <c r="D7" s="5629"/>
      <c r="E7" s="5629"/>
      <c r="F7" s="5629"/>
      <c r="G7" s="5629"/>
      <c r="H7" s="6407"/>
      <c r="I7" s="1611"/>
      <c r="J7" s="2123"/>
      <c r="K7" s="1612"/>
      <c r="L7" s="1612"/>
      <c r="M7" s="1612"/>
      <c r="N7" s="1612"/>
      <c r="O7" s="1612"/>
      <c r="P7" s="1612"/>
      <c r="Q7" s="1612"/>
      <c r="R7" s="1612"/>
      <c r="S7" s="3565" t="s">
        <v>2887</v>
      </c>
      <c r="T7" s="1612"/>
      <c r="U7" s="1612"/>
      <c r="V7" s="1612"/>
      <c r="W7" s="1612"/>
      <c r="X7" s="1612"/>
      <c r="Y7" s="1612"/>
      <c r="Z7" s="1612"/>
      <c r="AA7" s="1612"/>
      <c r="AB7" s="1612"/>
      <c r="AC7" s="1612"/>
      <c r="AD7" s="1612"/>
      <c r="AE7" s="1612"/>
      <c r="AF7" s="1612"/>
      <c r="AG7" s="1612"/>
      <c r="AH7" s="1612"/>
      <c r="AI7" s="1612"/>
      <c r="AJ7" s="3557"/>
      <c r="AK7" s="6408"/>
      <c r="AL7" s="6408"/>
      <c r="AM7" s="6408"/>
      <c r="AN7" s="7837"/>
      <c r="AO7" s="6408"/>
      <c r="AP7" s="3558"/>
      <c r="AQ7" s="3350"/>
      <c r="AR7" s="3350"/>
      <c r="AS7" s="3350"/>
      <c r="AT7" s="3350"/>
    </row>
    <row r="8" spans="1:60">
      <c r="A8" s="3350"/>
      <c r="B8" s="1450" t="s">
        <v>63</v>
      </c>
      <c r="C8" s="1443"/>
      <c r="D8" s="1443"/>
      <c r="E8" s="1443"/>
      <c r="F8" s="1443"/>
      <c r="G8" s="1443"/>
      <c r="H8" s="1443"/>
      <c r="I8" s="1443"/>
      <c r="J8" s="1443"/>
      <c r="K8" s="1443"/>
      <c r="L8" s="1443"/>
      <c r="M8" s="1443"/>
      <c r="N8" s="1443"/>
      <c r="O8" s="1443"/>
      <c r="P8" s="1443"/>
      <c r="Q8" s="1443"/>
      <c r="R8" s="1443"/>
      <c r="S8" s="1443"/>
      <c r="T8" s="1443"/>
      <c r="U8" s="1443"/>
      <c r="V8" s="1443"/>
      <c r="W8" s="1443"/>
      <c r="X8" s="1443"/>
      <c r="Y8" s="1443"/>
      <c r="Z8" s="1443"/>
      <c r="AA8" s="1443"/>
      <c r="AB8" s="1443"/>
      <c r="AC8" s="1443"/>
      <c r="AD8" s="1443"/>
      <c r="AE8" s="1443"/>
      <c r="AF8" s="1443"/>
      <c r="AG8" s="1443"/>
      <c r="AH8" s="1443"/>
      <c r="AI8" s="1443"/>
      <c r="AJ8" s="4559" t="s">
        <v>99</v>
      </c>
      <c r="AK8" s="1605"/>
      <c r="AL8" s="1605"/>
      <c r="AM8" s="1605"/>
      <c r="AN8" s="1605"/>
      <c r="AO8" s="1605"/>
      <c r="AP8" s="1605"/>
      <c r="AQ8" s="3350"/>
      <c r="AR8" s="3350"/>
      <c r="AS8" s="3350"/>
      <c r="AT8" s="3350"/>
    </row>
    <row r="9" spans="1:60" ht="9.75" customHeight="1">
      <c r="A9" s="3350"/>
      <c r="B9" s="5600" t="str">
        <f>Names</f>
        <v/>
      </c>
      <c r="C9" s="5600"/>
      <c r="D9" s="5600"/>
      <c r="E9" s="5600"/>
      <c r="F9" s="5600"/>
      <c r="G9" s="5600"/>
      <c r="H9" s="5600"/>
      <c r="I9" s="5600"/>
      <c r="J9" s="5600"/>
      <c r="K9" s="5600"/>
      <c r="L9" s="5600"/>
      <c r="M9" s="5600"/>
      <c r="N9" s="5600"/>
      <c r="O9" s="5600"/>
      <c r="P9" s="5600"/>
      <c r="Q9" s="5600"/>
      <c r="R9" s="5600"/>
      <c r="S9" s="5600"/>
      <c r="T9" s="5600"/>
      <c r="U9" s="5600"/>
      <c r="V9" s="5600"/>
      <c r="W9" s="5600"/>
      <c r="X9" s="5600"/>
      <c r="Y9" s="5600"/>
      <c r="Z9" s="5600"/>
      <c r="AA9" s="5600"/>
      <c r="AB9" s="5600"/>
      <c r="AC9" s="5600"/>
      <c r="AD9" s="5600"/>
      <c r="AE9" s="5600"/>
      <c r="AF9" s="5600"/>
      <c r="AG9" s="5600"/>
      <c r="AH9" s="5600"/>
      <c r="AI9" s="5600"/>
      <c r="AJ9" s="7824">
        <f>IF(NoSSN,"",SS_Yours)</f>
        <v>0</v>
      </c>
      <c r="AK9" s="7825"/>
      <c r="AL9" s="7825"/>
      <c r="AM9" s="7825"/>
      <c r="AN9" s="7825"/>
      <c r="AO9" s="7825"/>
      <c r="AP9" s="7825"/>
      <c r="AQ9" s="3350"/>
      <c r="AR9" s="3350"/>
      <c r="AS9" s="3350"/>
      <c r="AT9" s="3350"/>
    </row>
    <row r="10" spans="1:60" ht="9.75" customHeight="1">
      <c r="A10" s="3350"/>
      <c r="B10" s="5600"/>
      <c r="C10" s="5600"/>
      <c r="D10" s="5600"/>
      <c r="E10" s="5600"/>
      <c r="F10" s="5600"/>
      <c r="G10" s="5600"/>
      <c r="H10" s="5600"/>
      <c r="I10" s="5600"/>
      <c r="J10" s="5600"/>
      <c r="K10" s="5600"/>
      <c r="L10" s="5600"/>
      <c r="M10" s="5600"/>
      <c r="N10" s="5600"/>
      <c r="O10" s="5600"/>
      <c r="P10" s="5600"/>
      <c r="Q10" s="5600"/>
      <c r="R10" s="5600"/>
      <c r="S10" s="5600"/>
      <c r="T10" s="5600"/>
      <c r="U10" s="5600"/>
      <c r="V10" s="5600"/>
      <c r="W10" s="5600"/>
      <c r="X10" s="5600"/>
      <c r="Y10" s="5600"/>
      <c r="Z10" s="5600"/>
      <c r="AA10" s="5600"/>
      <c r="AB10" s="5600"/>
      <c r="AC10" s="5600"/>
      <c r="AD10" s="5600"/>
      <c r="AE10" s="5600"/>
      <c r="AF10" s="5600"/>
      <c r="AG10" s="5600"/>
      <c r="AH10" s="5600"/>
      <c r="AI10" s="5600"/>
      <c r="AJ10" s="7826"/>
      <c r="AK10" s="7827"/>
      <c r="AL10" s="7827"/>
      <c r="AM10" s="7827"/>
      <c r="AN10" s="7827"/>
      <c r="AO10" s="7827"/>
      <c r="AP10" s="7827"/>
      <c r="AQ10" s="3350"/>
      <c r="AR10" s="3350"/>
      <c r="AS10" s="3350"/>
      <c r="AT10" s="3350"/>
    </row>
    <row r="11" spans="1:60" s="3272" customFormat="1" ht="16.5" customHeight="1">
      <c r="A11" s="3351"/>
      <c r="B11" s="6207" t="s">
        <v>58</v>
      </c>
      <c r="C11" s="6207"/>
      <c r="D11" s="6208"/>
      <c r="E11" s="3273"/>
      <c r="F11" s="3273"/>
      <c r="G11" s="3599" t="s">
        <v>1735</v>
      </c>
      <c r="H11" s="3273"/>
      <c r="I11" s="3273"/>
      <c r="J11" s="3273"/>
      <c r="K11" s="3273"/>
      <c r="L11" s="3273"/>
      <c r="M11" s="3273"/>
      <c r="N11" s="3273"/>
      <c r="O11" s="3273"/>
      <c r="P11" s="3273"/>
      <c r="Q11" s="3273"/>
      <c r="R11" s="3273"/>
      <c r="S11" s="3273"/>
      <c r="T11" s="3273"/>
      <c r="U11" s="3273"/>
      <c r="V11" s="3273"/>
      <c r="W11" s="3273"/>
      <c r="X11" s="3273"/>
      <c r="Y11" s="3273"/>
      <c r="Z11" s="3273"/>
      <c r="AA11" s="3273"/>
      <c r="AB11" s="3273"/>
      <c r="AC11" s="3273"/>
      <c r="AD11" s="3273"/>
      <c r="AE11" s="3273"/>
      <c r="AF11" s="3273"/>
      <c r="AG11" s="3273"/>
      <c r="AH11" s="3273"/>
      <c r="AI11" s="3273"/>
      <c r="AJ11" s="3273"/>
      <c r="AK11" s="3273"/>
      <c r="AL11" s="3273"/>
      <c r="AM11" s="3273"/>
      <c r="AN11" s="3273"/>
      <c r="AO11" s="3273"/>
      <c r="AP11" s="3273"/>
      <c r="AQ11" s="3350"/>
      <c r="AR11" s="3615"/>
      <c r="AS11" s="1945" t="str">
        <f>IF(Form2555_Used,"Check here to override and","")</f>
        <v/>
      </c>
      <c r="AT11" s="1945"/>
      <c r="AX11" s="3169"/>
      <c r="AY11" s="3169"/>
      <c r="AZ11" s="3169"/>
      <c r="BA11" s="3169"/>
      <c r="BB11" s="3169"/>
      <c r="BC11" s="3169"/>
      <c r="BD11" s="3169"/>
      <c r="BE11" s="3169"/>
      <c r="BF11" s="3169"/>
      <c r="BG11" s="3169"/>
      <c r="BH11" s="3169"/>
    </row>
    <row r="12" spans="1:60" s="3272" customFormat="1" ht="15" customHeight="1">
      <c r="A12" s="3351"/>
      <c r="B12" s="3372" t="s">
        <v>1449</v>
      </c>
      <c r="C12" s="3273"/>
      <c r="D12" s="3273"/>
      <c r="E12" s="3386" t="s">
        <v>3320</v>
      </c>
      <c r="F12" s="3273"/>
      <c r="G12" s="3273"/>
      <c r="H12" s="3273"/>
      <c r="I12" s="3273"/>
      <c r="J12" s="3273"/>
      <c r="K12" s="3273"/>
      <c r="L12" s="3273"/>
      <c r="M12" s="3273"/>
      <c r="N12" s="3273"/>
      <c r="O12" s="3273"/>
      <c r="P12" s="3273"/>
      <c r="Q12" s="3273"/>
      <c r="R12" s="3273"/>
      <c r="S12" s="3273"/>
      <c r="T12" s="3273"/>
      <c r="U12" s="3273"/>
      <c r="V12" s="3273"/>
      <c r="W12" s="3273"/>
      <c r="X12" s="3273"/>
      <c r="Y12" s="3273"/>
      <c r="Z12" s="3273"/>
      <c r="AA12" s="3273"/>
      <c r="AB12" s="3273"/>
      <c r="AC12" s="3273"/>
      <c r="AD12" s="3273"/>
      <c r="AE12" s="3273"/>
      <c r="AF12" s="3273"/>
      <c r="AG12" s="3273"/>
      <c r="AH12" s="3273"/>
      <c r="AI12" s="3273"/>
      <c r="AJ12" s="3273"/>
      <c r="AK12" s="3273"/>
      <c r="AL12" s="3273"/>
      <c r="AM12" s="3273"/>
      <c r="AN12" s="3273"/>
      <c r="AO12" s="3273"/>
      <c r="AP12" s="3273"/>
      <c r="AQ12" s="3350"/>
      <c r="AR12" s="1945"/>
      <c r="AS12" s="1945" t="str">
        <f>IF(Form2555_Used,"to continue with Part I.","")</f>
        <v/>
      </c>
      <c r="AT12" s="1945"/>
      <c r="AX12" s="3169"/>
      <c r="AY12" s="3169"/>
      <c r="AZ12" s="3169"/>
      <c r="BA12" s="3169"/>
      <c r="BB12" s="3169"/>
      <c r="BC12" s="3169"/>
      <c r="BD12" s="3169"/>
      <c r="BE12" s="3169"/>
      <c r="BF12" s="3169"/>
      <c r="BG12" s="3169"/>
      <c r="BH12" s="3169"/>
    </row>
    <row r="13" spans="1:60" ht="14.25" customHeight="1">
      <c r="A13" s="3350"/>
      <c r="B13" s="3560">
        <v>1</v>
      </c>
      <c r="C13" s="2719" t="s">
        <v>3321</v>
      </c>
      <c r="D13" s="3589"/>
      <c r="E13" s="3589"/>
      <c r="F13" s="3589"/>
      <c r="G13" s="3589"/>
      <c r="H13" s="3589"/>
      <c r="I13" s="3589"/>
      <c r="J13" s="3589"/>
      <c r="K13" s="3589"/>
      <c r="L13" s="3589"/>
      <c r="M13" s="3589"/>
      <c r="N13" s="3589"/>
      <c r="O13" s="3589"/>
      <c r="P13" s="3589"/>
      <c r="Q13" s="3589"/>
      <c r="R13" s="3589"/>
      <c r="S13" s="3589"/>
      <c r="T13" s="3589"/>
      <c r="U13" s="3589"/>
      <c r="V13" s="3589"/>
      <c r="W13" s="3589"/>
      <c r="X13" s="3589"/>
      <c r="Y13" s="3589"/>
      <c r="Z13" s="3589"/>
      <c r="AA13" s="3589"/>
      <c r="AB13" s="3589"/>
      <c r="AC13" s="3589"/>
      <c r="AD13" s="3589"/>
      <c r="AE13" s="3589"/>
      <c r="AF13" s="3589"/>
      <c r="AG13" s="3589"/>
      <c r="AH13" s="3589"/>
      <c r="AI13" s="3589"/>
      <c r="AJ13" s="2108"/>
      <c r="AK13" s="2110"/>
      <c r="AL13" s="7851" t="b">
        <f>AND(Form2555_Used,AR11="")</f>
        <v>0</v>
      </c>
      <c r="AM13" s="5811"/>
      <c r="AN13" s="5811"/>
      <c r="AO13" s="5811"/>
      <c r="AP13" s="5811"/>
      <c r="AQ13" s="3350"/>
      <c r="AR13" s="1945"/>
      <c r="AS13" s="1945"/>
      <c r="AT13" s="1945"/>
    </row>
    <row r="14" spans="1:60" ht="10.5" customHeight="1">
      <c r="A14" s="3350"/>
      <c r="B14" s="2719"/>
      <c r="C14" s="2719" t="s">
        <v>3322</v>
      </c>
      <c r="D14" s="3590"/>
      <c r="E14" s="3590"/>
      <c r="F14" s="3590"/>
      <c r="G14" s="3590"/>
      <c r="H14" s="3590"/>
      <c r="I14" s="3590"/>
      <c r="J14" s="3590"/>
      <c r="K14" s="3590"/>
      <c r="L14" s="3590"/>
      <c r="M14" s="3590"/>
      <c r="N14" s="3590"/>
      <c r="O14" s="3590"/>
      <c r="P14" s="3590"/>
      <c r="Q14" s="3590"/>
      <c r="R14" s="3590"/>
      <c r="S14" s="3590"/>
      <c r="T14" s="3590"/>
      <c r="U14" s="3590"/>
      <c r="V14" s="3590"/>
      <c r="W14" s="3590"/>
      <c r="X14" s="3590"/>
      <c r="Y14" s="3590"/>
      <c r="Z14" s="3590"/>
      <c r="AA14" s="3590"/>
      <c r="AB14" s="3590"/>
      <c r="AC14" s="3590"/>
      <c r="AD14" s="3590"/>
      <c r="AE14" s="3590"/>
      <c r="AF14" s="3590"/>
      <c r="AG14" s="3590"/>
      <c r="AH14" s="3590"/>
      <c r="AI14" s="3590"/>
      <c r="AJ14" s="3568"/>
      <c r="AK14" s="3570"/>
      <c r="AL14" s="2719"/>
      <c r="AM14" s="2719"/>
      <c r="AN14" s="2719"/>
      <c r="AO14" s="2719"/>
      <c r="AP14" s="2719"/>
      <c r="AQ14" s="3350"/>
      <c r="AR14" s="3350"/>
      <c r="AS14" s="3350"/>
      <c r="AT14" s="3350"/>
    </row>
    <row r="15" spans="1:60" ht="14.25" customHeight="1">
      <c r="A15" s="3350"/>
      <c r="B15" s="2719"/>
      <c r="C15" s="2713" t="s">
        <v>2890</v>
      </c>
      <c r="D15" s="3591"/>
      <c r="E15" s="3591"/>
      <c r="F15" s="3591"/>
      <c r="G15" s="3591"/>
      <c r="H15" s="7858" t="s">
        <v>2997</v>
      </c>
      <c r="I15" s="7859"/>
      <c r="J15" s="7859"/>
      <c r="K15" s="7859"/>
      <c r="L15" s="7859"/>
      <c r="M15" s="7859"/>
      <c r="N15" s="7859"/>
      <c r="O15" s="7859"/>
      <c r="P15" s="7859"/>
      <c r="Q15" s="7859"/>
      <c r="R15" s="7859"/>
      <c r="S15" s="7859"/>
      <c r="T15" s="7859"/>
      <c r="U15" s="7859"/>
      <c r="V15" s="7859"/>
      <c r="W15" s="7859"/>
      <c r="X15" s="7859"/>
      <c r="Y15" s="7859"/>
      <c r="Z15" s="7859"/>
      <c r="AA15" s="7859"/>
      <c r="AB15" s="7859"/>
      <c r="AC15" s="7859"/>
      <c r="AD15" s="7859"/>
      <c r="AE15" s="7859"/>
      <c r="AF15" s="7859"/>
      <c r="AG15" s="7859"/>
      <c r="AH15" s="3594"/>
      <c r="AI15" s="3594"/>
      <c r="AJ15" s="7815">
        <v>1</v>
      </c>
      <c r="AK15" s="6246"/>
      <c r="AL15" s="7816" t="str">
        <f>IF(AS15&lt;&gt;"",ROUND(AS15,0),IF(OR($AL$13,'Line 12a (CTC)'!E70&lt;&gt;""),"",CTC_WS_Line8))</f>
        <v/>
      </c>
      <c r="AM15" s="7817"/>
      <c r="AN15" s="7817"/>
      <c r="AO15" s="7817"/>
      <c r="AP15" s="7817"/>
      <c r="AQ15" s="3350"/>
      <c r="AR15" s="3350"/>
      <c r="AS15" s="4160"/>
      <c r="AT15" s="3350"/>
    </row>
    <row r="16" spans="1:60" ht="12.75" customHeight="1">
      <c r="A16" s="3350"/>
      <c r="B16" s="2719"/>
      <c r="C16" s="3590"/>
      <c r="D16" s="3590"/>
      <c r="E16" s="3591"/>
      <c r="F16" s="3591"/>
      <c r="G16" s="3591"/>
      <c r="H16" s="2753" t="s">
        <v>3323</v>
      </c>
      <c r="I16" s="3591"/>
      <c r="J16" s="3591"/>
      <c r="K16" s="3591"/>
      <c r="L16" s="3591"/>
      <c r="M16" s="3592"/>
      <c r="N16" s="3593"/>
      <c r="O16" s="3593"/>
      <c r="P16" s="3593"/>
      <c r="Q16" s="3593"/>
      <c r="R16" s="3593"/>
      <c r="S16" s="3593"/>
      <c r="T16" s="3593"/>
      <c r="U16" s="3593"/>
      <c r="V16" s="3593"/>
      <c r="W16" s="3593"/>
      <c r="X16" s="3593"/>
      <c r="Y16" s="3593"/>
      <c r="Z16" s="3593"/>
      <c r="AA16" s="3593"/>
      <c r="AB16" s="3593"/>
      <c r="AC16" s="3593"/>
      <c r="AD16" s="3593"/>
      <c r="AE16" s="3594"/>
      <c r="AF16" s="3594"/>
      <c r="AG16" s="3594"/>
      <c r="AH16" s="3594"/>
      <c r="AI16" s="3594"/>
      <c r="AJ16" s="3567"/>
      <c r="AK16" s="2740"/>
      <c r="AL16" s="2739"/>
      <c r="AM16" s="2739"/>
      <c r="AN16" s="2739"/>
      <c r="AO16" s="2739"/>
      <c r="AP16" s="2739"/>
      <c r="AQ16" s="3350"/>
      <c r="AR16" s="3350"/>
      <c r="AS16" s="3350"/>
      <c r="AT16" s="3350"/>
    </row>
    <row r="17" spans="1:60" ht="14.25" customHeight="1">
      <c r="A17" s="3350"/>
      <c r="B17" s="2719"/>
      <c r="C17" s="2713" t="s">
        <v>2891</v>
      </c>
      <c r="D17" s="3591"/>
      <c r="E17" s="3591"/>
      <c r="F17" s="3591"/>
      <c r="G17" s="3591"/>
      <c r="H17" s="7858" t="s">
        <v>2997</v>
      </c>
      <c r="I17" s="7859"/>
      <c r="J17" s="7859"/>
      <c r="K17" s="7859"/>
      <c r="L17" s="7859"/>
      <c r="M17" s="7859"/>
      <c r="N17" s="7859"/>
      <c r="O17" s="7859"/>
      <c r="P17" s="7859"/>
      <c r="Q17" s="7859"/>
      <c r="R17" s="7859"/>
      <c r="S17" s="7859"/>
      <c r="T17" s="7859"/>
      <c r="U17" s="7859"/>
      <c r="V17" s="7859"/>
      <c r="W17" s="7859"/>
      <c r="X17" s="7859"/>
      <c r="Y17" s="7859"/>
      <c r="Z17" s="7859"/>
      <c r="AA17" s="7859"/>
      <c r="AB17" s="7859"/>
      <c r="AC17" s="7859"/>
      <c r="AD17" s="7859"/>
      <c r="AE17" s="7859"/>
      <c r="AF17" s="7859"/>
      <c r="AG17" s="7859"/>
      <c r="AH17" s="3594"/>
      <c r="AI17" s="3594"/>
      <c r="AJ17" s="3568"/>
      <c r="AK17" s="3570"/>
      <c r="AL17" s="2719"/>
      <c r="AM17" s="2719"/>
      <c r="AN17" s="2719"/>
      <c r="AO17" s="2719"/>
      <c r="AP17" s="2719"/>
      <c r="AQ17" s="3350"/>
      <c r="AR17" s="3350"/>
      <c r="AS17" s="3350"/>
      <c r="AT17" s="3350"/>
    </row>
    <row r="18" spans="1:60" ht="12.75" customHeight="1">
      <c r="A18" s="3350"/>
      <c r="B18" s="2719"/>
      <c r="C18" s="3590"/>
      <c r="D18" s="3590"/>
      <c r="E18" s="3591"/>
      <c r="F18" s="3591"/>
      <c r="G18" s="3591"/>
      <c r="H18" s="2753" t="s">
        <v>3324</v>
      </c>
      <c r="I18" s="3591"/>
      <c r="J18" s="3591"/>
      <c r="K18" s="3591"/>
      <c r="L18" s="3591"/>
      <c r="M18" s="3592"/>
      <c r="N18" s="3593"/>
      <c r="O18" s="3593"/>
      <c r="P18" s="3593"/>
      <c r="Q18" s="3593"/>
      <c r="R18" s="3593"/>
      <c r="S18" s="3593"/>
      <c r="T18" s="3593"/>
      <c r="U18" s="3593"/>
      <c r="V18" s="3593"/>
      <c r="W18" s="3593"/>
      <c r="X18" s="3593"/>
      <c r="Y18" s="3593"/>
      <c r="Z18" s="3593"/>
      <c r="AA18" s="3593"/>
      <c r="AB18" s="3593"/>
      <c r="AC18" s="3593"/>
      <c r="AD18" s="3593"/>
      <c r="AE18" s="3594"/>
      <c r="AF18" s="3594"/>
      <c r="AG18" s="3594"/>
      <c r="AH18" s="3594"/>
      <c r="AI18" s="3594"/>
      <c r="AJ18" s="3568"/>
      <c r="AK18" s="3570"/>
      <c r="AL18" s="2719"/>
      <c r="AM18" s="2719"/>
      <c r="AN18" s="2719"/>
      <c r="AO18" s="2719"/>
      <c r="AP18" s="2719"/>
      <c r="AQ18" s="3350"/>
      <c r="AR18" s="3350"/>
      <c r="AS18" s="3350"/>
      <c r="AT18" s="3350"/>
    </row>
    <row r="19" spans="1:60" ht="15.75" customHeight="1">
      <c r="A19" s="3350"/>
      <c r="B19" s="3560">
        <v>2</v>
      </c>
      <c r="C19" s="2719" t="s">
        <v>3325</v>
      </c>
      <c r="D19" s="3590"/>
      <c r="E19" s="3591"/>
      <c r="F19" s="3591"/>
      <c r="G19" s="3591"/>
      <c r="H19" s="3591"/>
      <c r="I19" s="3591"/>
      <c r="J19" s="3591"/>
      <c r="K19" s="3591"/>
      <c r="L19" s="3591"/>
      <c r="M19" s="3592"/>
      <c r="N19" s="3593"/>
      <c r="O19" s="3593"/>
      <c r="P19" s="3593"/>
      <c r="Q19" s="3593"/>
      <c r="R19" s="3593"/>
      <c r="S19" s="3593"/>
      <c r="T19" s="3593"/>
      <c r="U19" s="3593"/>
      <c r="V19" s="3593"/>
      <c r="W19" s="3593"/>
      <c r="X19" s="3593"/>
      <c r="Y19" s="3593"/>
      <c r="Z19" s="3593"/>
      <c r="AA19" s="3593"/>
      <c r="AB19" s="3593"/>
      <c r="AC19" s="3593"/>
      <c r="AD19" s="3593"/>
      <c r="AE19" s="3594"/>
      <c r="AF19" s="3594"/>
      <c r="AG19" s="3594"/>
      <c r="AH19" s="3594"/>
      <c r="AI19" s="3588" t="s">
        <v>422</v>
      </c>
      <c r="AJ19" s="7815">
        <v>2</v>
      </c>
      <c r="AK19" s="6246"/>
      <c r="AL19" s="7838" t="str">
        <f>IF(AS19&lt;&gt;"",ROUND(AS19,0),IF(OR($AL$13,'Line 12a (CTC)'!E70&lt;&gt;""),"",IF('1040'!AL48&lt;&gt;"",ROUND('1040'!AL48,0),IF('1040'!M48="",0,'1040'!M48))))</f>
        <v/>
      </c>
      <c r="AM19" s="7839"/>
      <c r="AN19" s="7839"/>
      <c r="AO19" s="7839"/>
      <c r="AP19" s="7839"/>
      <c r="AQ19" s="3350"/>
      <c r="AR19" s="3350"/>
      <c r="AS19" s="4160"/>
      <c r="AT19" s="3350"/>
    </row>
    <row r="20" spans="1:60" ht="15.75" customHeight="1">
      <c r="A20" s="3350"/>
      <c r="B20" s="3560">
        <v>3</v>
      </c>
      <c r="C20" s="2719" t="s">
        <v>2904</v>
      </c>
      <c r="D20" s="3591"/>
      <c r="E20" s="3591"/>
      <c r="F20" s="3591"/>
      <c r="G20" s="3591"/>
      <c r="H20" s="3591"/>
      <c r="I20" s="3591"/>
      <c r="J20" s="3591"/>
      <c r="K20" s="2753" t="s">
        <v>2998</v>
      </c>
      <c r="L20" s="3591"/>
      <c r="M20" s="3592"/>
      <c r="N20" s="3592"/>
      <c r="O20" s="3592"/>
      <c r="P20" s="3592"/>
      <c r="Q20" s="3592"/>
      <c r="R20" s="3592"/>
      <c r="S20" s="3592"/>
      <c r="T20" s="3592"/>
      <c r="U20" s="3594"/>
      <c r="V20" s="3592"/>
      <c r="W20" s="3592"/>
      <c r="X20" s="3592"/>
      <c r="Y20" s="3592"/>
      <c r="Z20" s="3592"/>
      <c r="AA20" s="3592"/>
      <c r="AB20" s="3592"/>
      <c r="AC20" s="3592"/>
      <c r="AD20" s="3592"/>
      <c r="AE20" s="3594"/>
      <c r="AF20" s="3594"/>
      <c r="AG20" s="3594"/>
      <c r="AH20" s="3588"/>
      <c r="AI20" s="3588" t="s">
        <v>679</v>
      </c>
      <c r="AJ20" s="7815">
        <v>3</v>
      </c>
      <c r="AK20" s="6246"/>
      <c r="AL20" s="7816" t="str">
        <f>IF(AS20&lt;&gt;"",ROUND(AS20,0),IF(OR(AL15="",AL19=""),"",MAX(SUM(AL15,-AL19),0)))</f>
        <v/>
      </c>
      <c r="AM20" s="7817"/>
      <c r="AN20" s="7817"/>
      <c r="AO20" s="7817"/>
      <c r="AP20" s="7817"/>
      <c r="AQ20" s="3350"/>
      <c r="AR20" s="3350"/>
      <c r="AS20" s="4160"/>
      <c r="AT20" s="3350"/>
      <c r="AV20" s="1441" t="b">
        <f>(AL20=0)</f>
        <v>0</v>
      </c>
    </row>
    <row r="21" spans="1:60" ht="15.75" customHeight="1">
      <c r="A21" s="3350"/>
      <c r="B21" s="3560">
        <v>4</v>
      </c>
      <c r="C21" s="2719" t="s">
        <v>2999</v>
      </c>
      <c r="D21" s="3590"/>
      <c r="E21" s="3591"/>
      <c r="F21" s="3591"/>
      <c r="G21" s="3591"/>
      <c r="H21" s="3591"/>
      <c r="I21" s="3591"/>
      <c r="J21" s="3591"/>
      <c r="K21" s="3591"/>
      <c r="L21" s="3591"/>
      <c r="M21" s="3592"/>
      <c r="N21" s="3593"/>
      <c r="O21" s="3593"/>
      <c r="P21" s="3593"/>
      <c r="Q21" s="3593"/>
      <c r="R21" s="3593"/>
      <c r="S21" s="3593"/>
      <c r="T21" s="3593"/>
      <c r="U21" s="3593"/>
      <c r="V21" s="3593"/>
      <c r="W21" s="3593"/>
      <c r="X21" s="3593"/>
      <c r="Y21" s="3593"/>
      <c r="Z21" s="7860">
        <f>IF(AS21&lt;&gt;"",ROUND(AS21,0),'Line 12a (CTC)'!K26)</f>
        <v>0</v>
      </c>
      <c r="AA21" s="7860"/>
      <c r="AB21" s="7860"/>
      <c r="AC21" s="7860"/>
      <c r="AD21" s="3710" t="s">
        <v>1584</v>
      </c>
      <c r="AE21" s="3709" t="str">
        <f>TEXT(AL21,"$0,000")&amp;"."</f>
        <v>$1,400.</v>
      </c>
      <c r="AF21" s="3594"/>
      <c r="AG21" s="3594"/>
      <c r="AH21" s="3594"/>
      <c r="AI21" s="3588"/>
      <c r="AJ21" s="7843"/>
      <c r="AK21" s="7844"/>
      <c r="AL21" s="7841">
        <v>1400</v>
      </c>
      <c r="AM21" s="7842"/>
      <c r="AN21" s="7842"/>
      <c r="AO21" s="7842"/>
      <c r="AP21" s="7842"/>
      <c r="AQ21" s="3350"/>
      <c r="AR21" s="3350"/>
      <c r="AS21" s="4160"/>
      <c r="AT21" s="3350"/>
    </row>
    <row r="22" spans="1:60" ht="15.75" customHeight="1">
      <c r="A22" s="3350"/>
      <c r="B22" s="3560"/>
      <c r="C22" s="2719" t="s">
        <v>805</v>
      </c>
      <c r="D22" s="3590"/>
      <c r="E22" s="3591"/>
      <c r="F22" s="3591"/>
      <c r="G22" s="3591"/>
      <c r="H22" s="2719" t="s">
        <v>4035</v>
      </c>
      <c r="I22" s="3591"/>
      <c r="J22" s="3591"/>
      <c r="K22" s="3591"/>
      <c r="L22" s="3591"/>
      <c r="M22" s="3592"/>
      <c r="N22" s="3593"/>
      <c r="O22" s="3593"/>
      <c r="P22" s="3593"/>
      <c r="Q22" s="3593"/>
      <c r="R22" s="3593"/>
      <c r="S22" s="3593"/>
      <c r="T22" s="3593"/>
      <c r="U22" s="3593"/>
      <c r="V22" s="3593"/>
      <c r="W22" s="3593"/>
      <c r="X22" s="3593"/>
      <c r="Y22" s="3593"/>
      <c r="Z22" s="3593"/>
      <c r="AA22" s="3593"/>
      <c r="AB22" s="3593"/>
      <c r="AC22" s="3593"/>
      <c r="AD22" s="3593"/>
      <c r="AE22" s="3594"/>
      <c r="AF22" s="3594"/>
      <c r="AG22" s="3594"/>
      <c r="AH22" s="3594"/>
      <c r="AI22" s="3588" t="s">
        <v>677</v>
      </c>
      <c r="AJ22" s="7845">
        <v>4</v>
      </c>
      <c r="AK22" s="7846"/>
      <c r="AL22" s="7816">
        <f>IF(AS22&lt;&gt;"",ROUND(AS22,0),IF(AV20,"",Z21*$AL$21))</f>
        <v>0</v>
      </c>
      <c r="AM22" s="7840"/>
      <c r="AN22" s="7840"/>
      <c r="AO22" s="7840"/>
      <c r="AP22" s="7840"/>
      <c r="AQ22" s="3350"/>
      <c r="AR22" s="3350"/>
      <c r="AS22" s="4160"/>
      <c r="AT22" s="3350"/>
      <c r="AV22" s="1441" t="b">
        <f>(AL22=0)</f>
        <v>1</v>
      </c>
    </row>
    <row r="23" spans="1:60" ht="15.75" customHeight="1">
      <c r="A23" s="3350"/>
      <c r="B23" s="3560"/>
      <c r="C23" s="2719" t="s">
        <v>4109</v>
      </c>
      <c r="D23" s="3590"/>
      <c r="E23" s="3591"/>
      <c r="F23" s="3591"/>
      <c r="G23" s="3591"/>
      <c r="H23" s="3591"/>
      <c r="I23" s="3591"/>
      <c r="J23" s="3591"/>
      <c r="K23" s="3591"/>
      <c r="L23" s="3591"/>
      <c r="M23" s="3592"/>
      <c r="N23" s="3593"/>
      <c r="O23" s="3593"/>
      <c r="P23" s="3593"/>
      <c r="Q23" s="3593"/>
      <c r="R23" s="3593"/>
      <c r="S23" s="3593"/>
      <c r="T23" s="3593"/>
      <c r="U23" s="3593"/>
      <c r="V23" s="3593"/>
      <c r="W23" s="3593"/>
      <c r="X23" s="3593"/>
      <c r="Y23" s="3593"/>
      <c r="Z23" s="3593"/>
      <c r="AA23" s="3593"/>
      <c r="AB23" s="3593"/>
      <c r="AC23" s="3593"/>
      <c r="AD23" s="3593"/>
      <c r="AE23" s="3594"/>
      <c r="AF23" s="3594"/>
      <c r="AG23" s="3594"/>
      <c r="AH23" s="3594"/>
      <c r="AI23" s="3588"/>
      <c r="AJ23" s="3711"/>
      <c r="AK23" s="3712"/>
      <c r="AL23" s="7847"/>
      <c r="AM23" s="7848"/>
      <c r="AN23" s="7848"/>
      <c r="AO23" s="7848"/>
      <c r="AP23" s="7848"/>
      <c r="AQ23" s="3350"/>
      <c r="AR23" s="3350"/>
      <c r="AS23" s="3350"/>
      <c r="AT23" s="3350"/>
    </row>
    <row r="24" spans="1:60" ht="15.75" customHeight="1">
      <c r="A24" s="3350"/>
      <c r="B24" s="3560"/>
      <c r="C24" s="2719" t="s">
        <v>3000</v>
      </c>
      <c r="D24" s="3590"/>
      <c r="E24" s="3591"/>
      <c r="F24" s="3591"/>
      <c r="G24" s="3591"/>
      <c r="H24" s="3591"/>
      <c r="I24" s="3591"/>
      <c r="J24" s="3591"/>
      <c r="K24" s="3591"/>
      <c r="L24" s="3591"/>
      <c r="M24" s="3592"/>
      <c r="N24" s="3593"/>
      <c r="O24" s="3593"/>
      <c r="P24" s="3593"/>
      <c r="Q24" s="3593"/>
      <c r="R24" s="3593"/>
      <c r="S24" s="3593"/>
      <c r="T24" s="3593"/>
      <c r="U24" s="3593"/>
      <c r="V24" s="3593"/>
      <c r="W24" s="3593"/>
      <c r="X24" s="3593"/>
      <c r="Y24" s="3593"/>
      <c r="Z24" s="3593"/>
      <c r="AA24" s="3593"/>
      <c r="AB24" s="3593"/>
      <c r="AC24" s="3593"/>
      <c r="AD24" s="3593"/>
      <c r="AE24" s="3594"/>
      <c r="AF24" s="3594"/>
      <c r="AG24" s="3594"/>
      <c r="AH24" s="3594"/>
      <c r="AI24" s="3588"/>
      <c r="AJ24" s="3711"/>
      <c r="AK24" s="3712"/>
      <c r="AL24" s="3713"/>
      <c r="AM24" s="3714"/>
      <c r="AN24" s="3714"/>
      <c r="AO24" s="3714"/>
      <c r="AP24" s="3714"/>
      <c r="AQ24" s="3350"/>
      <c r="AR24" s="3350"/>
      <c r="AS24" s="3350"/>
      <c r="AT24" s="3350"/>
    </row>
    <row r="25" spans="1:60" ht="15.75" customHeight="1">
      <c r="A25" s="3350"/>
      <c r="B25" s="3559">
        <v>5</v>
      </c>
      <c r="C25" s="2719" t="s">
        <v>3001</v>
      </c>
      <c r="D25" s="3590"/>
      <c r="E25" s="3591"/>
      <c r="F25" s="3591"/>
      <c r="G25" s="3591"/>
      <c r="H25" s="3591"/>
      <c r="I25" s="3591"/>
      <c r="J25" s="3591"/>
      <c r="K25" s="3591"/>
      <c r="L25" s="3591"/>
      <c r="M25" s="3592"/>
      <c r="N25" s="3593"/>
      <c r="O25" s="3593"/>
      <c r="P25" s="3593"/>
      <c r="Q25" s="3593"/>
      <c r="R25" s="3593"/>
      <c r="S25" s="3593"/>
      <c r="T25" s="3593"/>
      <c r="U25" s="3593"/>
      <c r="V25" s="3593"/>
      <c r="W25" s="3593"/>
      <c r="X25" s="3593"/>
      <c r="Y25" s="3593"/>
      <c r="Z25" s="3593"/>
      <c r="AA25" s="3593"/>
      <c r="AB25" s="3593"/>
      <c r="AC25" s="3593"/>
      <c r="AD25" s="3593"/>
      <c r="AE25" s="3594"/>
      <c r="AF25" s="3594"/>
      <c r="AG25" s="3594"/>
      <c r="AH25" s="3594"/>
      <c r="AI25" s="3588" t="s">
        <v>764</v>
      </c>
      <c r="AJ25" s="7845">
        <v>5</v>
      </c>
      <c r="AK25" s="7846"/>
      <c r="AL25" s="7816" t="str">
        <f>IF(AS25&lt;&gt;"",ROUND(AS25,0),IF(OR(AV20,AV22),"",MIN(AL20,AL22)))</f>
        <v/>
      </c>
      <c r="AM25" s="7817"/>
      <c r="AN25" s="7817"/>
      <c r="AO25" s="7817"/>
      <c r="AP25" s="7817"/>
      <c r="AQ25" s="3350"/>
      <c r="AR25" s="3350"/>
      <c r="AS25" s="4160"/>
      <c r="AT25" s="3350"/>
    </row>
    <row r="26" spans="1:60" ht="15.75" customHeight="1">
      <c r="A26" s="3350"/>
      <c r="B26" s="3559" t="s">
        <v>497</v>
      </c>
      <c r="C26" s="2719" t="s">
        <v>2892</v>
      </c>
      <c r="D26" s="2753"/>
      <c r="E26" s="2753"/>
      <c r="F26" s="2753"/>
      <c r="G26" s="2753"/>
      <c r="H26" s="2753"/>
      <c r="I26" s="2753"/>
      <c r="J26" s="2753"/>
      <c r="K26" s="2753"/>
      <c r="L26" s="2753"/>
      <c r="M26" s="1607"/>
      <c r="N26" s="2254"/>
      <c r="O26" s="2254"/>
      <c r="P26" s="2254"/>
      <c r="Q26" s="2254"/>
      <c r="R26" s="2254"/>
      <c r="S26" s="2254"/>
      <c r="T26" s="2254"/>
      <c r="U26" s="2254"/>
      <c r="V26" s="2254"/>
      <c r="W26" s="2254"/>
      <c r="X26" s="2254"/>
      <c r="Y26" s="2254"/>
      <c r="Z26" s="2254"/>
      <c r="AA26" s="2254"/>
      <c r="AB26" s="3588" t="s">
        <v>422</v>
      </c>
      <c r="AC26" s="7815" t="s">
        <v>497</v>
      </c>
      <c r="AD26" s="6246"/>
      <c r="AE26" s="7816" t="str">
        <f>IF(AS26&lt;&gt;"",ROUND(AS26,0),IF(OR($AL$13,$AV$20,$AV$22,'Line 12a (CTC)'!E70&lt;&gt;""),"",Earned_Income))</f>
        <v/>
      </c>
      <c r="AF26" s="7817"/>
      <c r="AG26" s="7817"/>
      <c r="AH26" s="7817"/>
      <c r="AI26" s="7817"/>
      <c r="AJ26" s="3581"/>
      <c r="AK26" s="3584"/>
      <c r="AL26" s="2739"/>
      <c r="AM26" s="2739"/>
      <c r="AN26" s="2739"/>
      <c r="AO26" s="2739"/>
      <c r="AP26" s="2739"/>
      <c r="AQ26" s="3350"/>
      <c r="AR26" s="3350"/>
      <c r="AS26" s="4159"/>
      <c r="AT26" s="3350"/>
    </row>
    <row r="27" spans="1:60" ht="15.75" customHeight="1">
      <c r="A27" s="3350"/>
      <c r="B27" s="3563" t="s">
        <v>54</v>
      </c>
      <c r="C27" s="2719" t="s">
        <v>2893</v>
      </c>
      <c r="D27" s="3561"/>
      <c r="E27" s="1607"/>
      <c r="F27" s="1607"/>
      <c r="G27" s="1607"/>
      <c r="H27" s="1607"/>
      <c r="I27" s="1607"/>
      <c r="J27" s="1607"/>
      <c r="K27" s="1607"/>
      <c r="L27" s="1607"/>
      <c r="M27" s="1607"/>
      <c r="N27" s="3562"/>
      <c r="O27" s="3562"/>
      <c r="P27" s="3562"/>
      <c r="Q27" s="3562"/>
      <c r="R27" s="3562"/>
      <c r="S27" s="3562"/>
      <c r="T27" s="3562"/>
      <c r="U27" s="3562"/>
      <c r="V27" s="3562"/>
      <c r="W27" s="3562"/>
      <c r="X27" s="3562"/>
      <c r="Y27" s="3562"/>
      <c r="Z27" s="3562"/>
      <c r="AA27" s="3562"/>
      <c r="AB27" s="3562"/>
      <c r="AC27" s="3577"/>
      <c r="AD27" s="3587"/>
      <c r="AE27" s="3574"/>
      <c r="AF27" s="3575"/>
      <c r="AG27" s="3575"/>
      <c r="AH27" s="3575"/>
      <c r="AI27" s="3576"/>
      <c r="AJ27" s="3582"/>
      <c r="AK27" s="3585"/>
      <c r="AL27" s="2109"/>
      <c r="AM27" s="2109"/>
      <c r="AN27" s="2109"/>
      <c r="AO27" s="2109"/>
      <c r="AP27" s="2109"/>
      <c r="AQ27" s="3350"/>
      <c r="AR27" s="3350"/>
      <c r="AS27" s="3350"/>
      <c r="AT27" s="3350"/>
    </row>
    <row r="28" spans="1:60" ht="15.75" customHeight="1">
      <c r="A28" s="3350"/>
      <c r="B28" s="3562"/>
      <c r="C28" s="2719" t="s">
        <v>1121</v>
      </c>
      <c r="D28" s="1607"/>
      <c r="E28" s="1607"/>
      <c r="F28" s="1607"/>
      <c r="G28" s="1607"/>
      <c r="H28" s="1607"/>
      <c r="I28" s="1607"/>
      <c r="J28" s="1607"/>
      <c r="K28" s="1607"/>
      <c r="L28" s="1607"/>
      <c r="M28" s="1607"/>
      <c r="N28" s="1607"/>
      <c r="O28" s="1607"/>
      <c r="P28" s="1607"/>
      <c r="Q28" s="1607"/>
      <c r="R28" s="1607"/>
      <c r="S28" s="1607"/>
      <c r="T28" s="1607"/>
      <c r="U28" s="3588" t="s">
        <v>676</v>
      </c>
      <c r="V28" s="7815" t="s">
        <v>1173</v>
      </c>
      <c r="W28" s="6246"/>
      <c r="X28" s="7861"/>
      <c r="Y28" s="7862"/>
      <c r="Z28" s="7862"/>
      <c r="AA28" s="7862"/>
      <c r="AB28" s="7862"/>
      <c r="AC28" s="3596"/>
      <c r="AD28" s="3597"/>
      <c r="AE28" s="3569"/>
      <c r="AF28" s="3561"/>
      <c r="AG28" s="3561"/>
      <c r="AH28" s="3561"/>
      <c r="AI28" s="3571"/>
      <c r="AJ28" s="3582"/>
      <c r="AK28" s="3585"/>
      <c r="AL28" s="2109"/>
      <c r="AM28" s="2109"/>
      <c r="AN28" s="2109"/>
      <c r="AO28" s="2109"/>
      <c r="AP28" s="2109"/>
      <c r="AQ28" s="3350"/>
      <c r="AR28" s="3350"/>
      <c r="AS28" s="3350"/>
      <c r="AT28" s="3350"/>
    </row>
    <row r="29" spans="1:60" s="3080" customFormat="1" ht="20.25" customHeight="1">
      <c r="A29" s="3566"/>
      <c r="B29" s="3559">
        <v>7</v>
      </c>
      <c r="C29" s="2719" t="str">
        <f>"Is the amount on line 6a more than "&amp;TEXT(AE29,"$0,000")&amp;"?"</f>
        <v>Is the amount on line 6a more than $2,500?</v>
      </c>
      <c r="D29" s="3564"/>
      <c r="E29" s="3564"/>
      <c r="F29" s="3564"/>
      <c r="G29" s="3564"/>
      <c r="H29" s="3564"/>
      <c r="I29" s="3564"/>
      <c r="J29" s="3564"/>
      <c r="K29" s="3564"/>
      <c r="L29" s="3564"/>
      <c r="M29" s="3564"/>
      <c r="N29" s="3561"/>
      <c r="O29" s="3561"/>
      <c r="P29" s="3561"/>
      <c r="Q29" s="3561"/>
      <c r="R29" s="3561"/>
      <c r="S29" s="3561"/>
      <c r="T29" s="3561"/>
      <c r="U29" s="3561"/>
      <c r="V29" s="3561"/>
      <c r="W29" s="3561"/>
      <c r="X29" s="3561"/>
      <c r="Y29" s="3561"/>
      <c r="Z29" s="3561"/>
      <c r="AA29" s="3561"/>
      <c r="AB29" s="3561"/>
      <c r="AC29" s="3596"/>
      <c r="AD29" s="3597"/>
      <c r="AE29" s="6776">
        <v>2500</v>
      </c>
      <c r="AF29" s="6777"/>
      <c r="AG29" s="6777"/>
      <c r="AH29" s="6777"/>
      <c r="AI29" s="7852"/>
      <c r="AJ29" s="3583"/>
      <c r="AK29" s="3586"/>
      <c r="AL29" s="2707"/>
      <c r="AM29" s="2707"/>
      <c r="AN29" s="2707"/>
      <c r="AO29" s="2707"/>
      <c r="AP29" s="2707"/>
      <c r="AQ29" s="3566"/>
      <c r="AR29" s="3350"/>
      <c r="AS29" s="3350"/>
      <c r="AT29" s="3350"/>
      <c r="AX29" s="3176"/>
      <c r="AY29" s="3176"/>
      <c r="AZ29" s="3176"/>
      <c r="BA29" s="3176"/>
      <c r="BB29" s="3176"/>
      <c r="BC29" s="3176"/>
      <c r="BD29" s="3176"/>
      <c r="BE29" s="3176"/>
      <c r="BF29" s="3176"/>
      <c r="BG29" s="3176"/>
      <c r="BH29" s="3176"/>
    </row>
    <row r="30" spans="1:60" ht="11.25" customHeight="1">
      <c r="A30" s="3350"/>
      <c r="B30" s="3561"/>
      <c r="C30" s="4105" t="str">
        <f>IF(OR($AL$13,$AV$20,'Line 12a (CTC)'!E70&lt;&gt;""),"",IF(AE26&gt;AE29,"","X"))</f>
        <v/>
      </c>
      <c r="D30" s="3287" t="s">
        <v>472</v>
      </c>
      <c r="E30" s="1607"/>
      <c r="F30" s="1607"/>
      <c r="G30" s="1607" t="s">
        <v>3002</v>
      </c>
      <c r="H30" s="1607"/>
      <c r="I30" s="1607"/>
      <c r="J30" s="1607"/>
      <c r="K30" s="1607"/>
      <c r="L30" s="1607"/>
      <c r="M30" s="1607"/>
      <c r="N30" s="3562"/>
      <c r="O30" s="3562"/>
      <c r="P30" s="3562"/>
      <c r="Q30" s="3562"/>
      <c r="R30" s="3562"/>
      <c r="S30" s="3562"/>
      <c r="T30" s="3562"/>
      <c r="U30" s="3562"/>
      <c r="V30" s="3562"/>
      <c r="W30" s="3562"/>
      <c r="X30" s="3562"/>
      <c r="Y30" s="3562"/>
      <c r="Z30" s="3562"/>
      <c r="AA30" s="3562"/>
      <c r="AB30" s="3562"/>
      <c r="AC30" s="3596"/>
      <c r="AD30" s="3597"/>
      <c r="AE30" s="3569"/>
      <c r="AF30" s="3561"/>
      <c r="AG30" s="3561"/>
      <c r="AH30" s="3561"/>
      <c r="AI30" s="3571"/>
      <c r="AJ30" s="3583"/>
      <c r="AK30" s="3586"/>
      <c r="AL30" s="2707"/>
      <c r="AM30" s="2707"/>
      <c r="AN30" s="2707"/>
      <c r="AO30" s="2707"/>
      <c r="AP30" s="2707"/>
      <c r="AQ30" s="3350"/>
      <c r="AR30" s="3350"/>
      <c r="AS30" s="3350"/>
      <c r="AT30" s="3350"/>
    </row>
    <row r="31" spans="1:60" ht="6.75" customHeight="1">
      <c r="A31" s="3350"/>
      <c r="B31" s="3562"/>
      <c r="C31" s="3562"/>
      <c r="D31" s="1607"/>
      <c r="E31" s="1607"/>
      <c r="F31" s="1607"/>
      <c r="G31" s="3592"/>
      <c r="H31" s="1607"/>
      <c r="I31" s="1607"/>
      <c r="J31" s="1607"/>
      <c r="K31" s="1607"/>
      <c r="L31" s="1607"/>
      <c r="M31" s="1607"/>
      <c r="N31" s="1607"/>
      <c r="O31" s="1607"/>
      <c r="P31" s="1607"/>
      <c r="Q31" s="1607"/>
      <c r="R31" s="1607"/>
      <c r="S31" s="1607"/>
      <c r="T31" s="1607"/>
      <c r="U31" s="3561"/>
      <c r="V31" s="1607"/>
      <c r="W31" s="1607"/>
      <c r="X31" s="1607"/>
      <c r="Y31" s="1607"/>
      <c r="Z31" s="1607"/>
      <c r="AA31" s="1607"/>
      <c r="AB31" s="1607"/>
      <c r="AC31" s="7849">
        <v>7</v>
      </c>
      <c r="AD31" s="6245"/>
      <c r="AE31" s="7853" t="str">
        <f>IF(AS31&lt;&gt;"",ROUND(AS31,0),IF(OR($AL$13,$AV$20,$AV$22,'Line 12a (CTC)'!E70&lt;&gt;""),"",IF(AE26&gt;AE29,SUM(AE26,-AE29),"")))</f>
        <v/>
      </c>
      <c r="AF31" s="7854"/>
      <c r="AG31" s="7854"/>
      <c r="AH31" s="7854"/>
      <c r="AI31" s="7855"/>
      <c r="AJ31" s="3583"/>
      <c r="AK31" s="3586"/>
      <c r="AL31" s="2707"/>
      <c r="AM31" s="2707"/>
      <c r="AN31" s="2707"/>
      <c r="AO31" s="2707"/>
      <c r="AP31" s="2707"/>
      <c r="AQ31" s="3350"/>
      <c r="AR31" s="3350"/>
      <c r="AS31" s="7850"/>
      <c r="AT31" s="3350"/>
    </row>
    <row r="32" spans="1:60" ht="11.25" customHeight="1">
      <c r="A32" s="3350"/>
      <c r="B32" s="3562"/>
      <c r="C32" s="4105" t="str">
        <f>IF(OR($AL$13,$AV$20,'Line 12a (CTC)'!E70&lt;&gt;""),"",IF(AE26&gt;AE29,"X",""))</f>
        <v/>
      </c>
      <c r="D32" s="3287" t="s">
        <v>474</v>
      </c>
      <c r="E32" s="1607"/>
      <c r="F32" s="1607"/>
      <c r="G32" s="1607" t="str">
        <f>"Subtract "&amp;TEXT(AE29,"$0,000")&amp;" from the amount on line 6a. Enter the result"</f>
        <v>Subtract $2,500 from the amount on line 6a. Enter the result</v>
      </c>
      <c r="H32" s="1607"/>
      <c r="I32" s="1607"/>
      <c r="J32" s="1607"/>
      <c r="K32" s="1607"/>
      <c r="L32" s="1607"/>
      <c r="M32" s="1607"/>
      <c r="N32" s="2254"/>
      <c r="O32" s="2254"/>
      <c r="P32" s="2254"/>
      <c r="Q32" s="2254"/>
      <c r="R32" s="2254"/>
      <c r="S32" s="2254"/>
      <c r="T32" s="2254"/>
      <c r="U32" s="2254"/>
      <c r="V32" s="2254"/>
      <c r="W32" s="2254"/>
      <c r="X32" s="2254"/>
      <c r="Y32" s="2254"/>
      <c r="Z32" s="2254"/>
      <c r="AA32" s="2254"/>
      <c r="AB32" s="3588" t="s">
        <v>682</v>
      </c>
      <c r="AC32" s="5580"/>
      <c r="AD32" s="6246"/>
      <c r="AE32" s="7856"/>
      <c r="AF32" s="7840"/>
      <c r="AG32" s="7840"/>
      <c r="AH32" s="7840"/>
      <c r="AI32" s="7857"/>
      <c r="AJ32" s="3583"/>
      <c r="AK32" s="3586"/>
      <c r="AL32" s="2707"/>
      <c r="AM32" s="2707"/>
      <c r="AN32" s="2707"/>
      <c r="AO32" s="2707"/>
      <c r="AP32" s="2707"/>
      <c r="AQ32" s="3350"/>
      <c r="AR32" s="3350"/>
      <c r="AS32" s="7358"/>
      <c r="AT32" s="3350"/>
    </row>
    <row r="33" spans="1:60" ht="6.75" customHeight="1">
      <c r="A33" s="3350"/>
      <c r="B33" s="1615"/>
      <c r="C33" s="1607"/>
      <c r="D33" s="1607"/>
      <c r="E33" s="1607"/>
      <c r="F33" s="1607"/>
      <c r="G33" s="3592"/>
      <c r="H33" s="1607"/>
      <c r="I33" s="1607"/>
      <c r="J33" s="1607"/>
      <c r="K33" s="1607"/>
      <c r="L33" s="1607"/>
      <c r="M33" s="1607"/>
      <c r="N33" s="1607"/>
      <c r="O33" s="1607"/>
      <c r="P33" s="1607"/>
      <c r="Q33" s="1607"/>
      <c r="R33" s="1607"/>
      <c r="S33" s="1607"/>
      <c r="T33" s="1607"/>
      <c r="U33" s="1607"/>
      <c r="V33" s="1607"/>
      <c r="W33" s="1607"/>
      <c r="X33" s="1607"/>
      <c r="Y33" s="1607"/>
      <c r="Z33" s="1607"/>
      <c r="AA33" s="1607"/>
      <c r="AB33" s="1607"/>
      <c r="AC33" s="3562"/>
      <c r="AD33" s="3562"/>
      <c r="AE33" s="3562"/>
      <c r="AF33" s="3562"/>
      <c r="AG33" s="3562"/>
      <c r="AH33" s="3562"/>
      <c r="AI33" s="3562"/>
      <c r="AJ33" s="3583"/>
      <c r="AK33" s="3586"/>
      <c r="AL33" s="2707"/>
      <c r="AM33" s="2707"/>
      <c r="AN33" s="2707"/>
      <c r="AO33" s="2707"/>
      <c r="AP33" s="2707"/>
      <c r="AQ33" s="3350"/>
      <c r="AR33" s="3350"/>
      <c r="AS33" s="3350"/>
      <c r="AT33" s="3350"/>
    </row>
    <row r="34" spans="1:60" ht="15" customHeight="1">
      <c r="A34" s="3350"/>
      <c r="B34" s="3560">
        <v>8</v>
      </c>
      <c r="C34" s="2719" t="str">
        <f>"Multiply the amount on line 7 by "&amp;TEXT(AH35,"0%")&amp;" ("&amp;TEXT(AH35,"0.00")&amp;") and enter the result"</f>
        <v>Multiply the amount on line 7 by 15% (0.15) and enter the result</v>
      </c>
      <c r="D34" s="3593"/>
      <c r="E34" s="3593"/>
      <c r="F34" s="3593"/>
      <c r="G34" s="3562"/>
      <c r="H34" s="3562"/>
      <c r="I34" s="3562"/>
      <c r="J34" s="3562"/>
      <c r="K34" s="3562"/>
      <c r="L34" s="3562"/>
      <c r="M34" s="1607"/>
      <c r="N34" s="3562"/>
      <c r="O34" s="3562"/>
      <c r="P34" s="3562"/>
      <c r="Q34" s="3562"/>
      <c r="R34" s="3562"/>
      <c r="S34" s="3562"/>
      <c r="T34" s="3562"/>
      <c r="U34" s="3562"/>
      <c r="V34" s="3562"/>
      <c r="W34" s="3562"/>
      <c r="X34" s="3562"/>
      <c r="Y34" s="3562"/>
      <c r="Z34" s="3562"/>
      <c r="AA34" s="3562"/>
      <c r="AB34" s="3562"/>
      <c r="AC34" s="3562"/>
      <c r="AD34" s="3562"/>
      <c r="AE34" s="3562"/>
      <c r="AF34" s="3562"/>
      <c r="AG34" s="3562"/>
      <c r="AH34" s="3562"/>
      <c r="AI34" s="3588" t="s">
        <v>422</v>
      </c>
      <c r="AJ34" s="7815">
        <v>8</v>
      </c>
      <c r="AK34" s="6246"/>
      <c r="AL34" s="7816" t="str">
        <f>IF(AS34&lt;&gt;"",ROUND(AS34,0),IF(OR($AL$13,$AV$20,$AV$22,'Line 12a (CTC)'!E70&lt;&gt;""),"",IF(AE26&gt;AE29,ROUND(AH35*AE31,0),0)))</f>
        <v/>
      </c>
      <c r="AM34" s="7817"/>
      <c r="AN34" s="7817"/>
      <c r="AO34" s="7817"/>
      <c r="AP34" s="7817"/>
      <c r="AQ34" s="3350"/>
      <c r="AR34" s="3350"/>
      <c r="AS34" s="3614"/>
      <c r="AT34" s="3350"/>
      <c r="AV34" s="1441" t="b">
        <f>(AL34=0)</f>
        <v>0</v>
      </c>
    </row>
    <row r="35" spans="1:60" s="3080" customFormat="1" ht="20.25" customHeight="1">
      <c r="A35" s="3566"/>
      <c r="B35" s="3564"/>
      <c r="C35" s="3595" t="s">
        <v>2894</v>
      </c>
      <c r="D35" s="3593"/>
      <c r="E35" s="2719" t="str">
        <f>"On line 4, is the amount "&amp;TEXT(AF35,"$0,000")&amp;" or more?"</f>
        <v>On line 4, is the amount $4,200 or more?</v>
      </c>
      <c r="F35" s="3593"/>
      <c r="G35" s="3562"/>
      <c r="H35" s="3562"/>
      <c r="I35" s="3562"/>
      <c r="J35" s="3562"/>
      <c r="K35" s="3562"/>
      <c r="L35" s="3562"/>
      <c r="M35" s="3564"/>
      <c r="N35" s="3562"/>
      <c r="O35" s="3562"/>
      <c r="P35" s="3562"/>
      <c r="Q35" s="3562"/>
      <c r="R35" s="3562"/>
      <c r="S35" s="3562"/>
      <c r="T35" s="3562"/>
      <c r="U35" s="3562"/>
      <c r="V35" s="3562"/>
      <c r="W35" s="3562"/>
      <c r="X35" s="3562"/>
      <c r="Y35" s="3562"/>
      <c r="Z35" s="3562"/>
      <c r="AA35" s="3562"/>
      <c r="AB35" s="3562"/>
      <c r="AC35" s="3562"/>
      <c r="AD35" s="7868" t="b">
        <f>AL22&gt;=AF35</f>
        <v>0</v>
      </c>
      <c r="AE35" s="7869"/>
      <c r="AF35" s="7867">
        <v>4200</v>
      </c>
      <c r="AG35" s="7203"/>
      <c r="AH35" s="7867">
        <v>0.15</v>
      </c>
      <c r="AI35" s="7870"/>
      <c r="AJ35" s="3577"/>
      <c r="AK35" s="3578"/>
      <c r="AL35" s="3578"/>
      <c r="AM35" s="3578"/>
      <c r="AN35" s="3578"/>
      <c r="AO35" s="3578"/>
      <c r="AP35" s="3578"/>
      <c r="AQ35" s="3566"/>
      <c r="AR35" s="3580"/>
      <c r="AS35" s="3580"/>
      <c r="AT35" s="3350"/>
      <c r="AX35" s="3176"/>
      <c r="AY35" s="3176"/>
      <c r="AZ35" s="3176"/>
      <c r="BA35" s="3176"/>
      <c r="BB35" s="3176"/>
      <c r="BC35" s="3176"/>
      <c r="BD35" s="3176"/>
      <c r="BE35" s="3176"/>
      <c r="BF35" s="3176"/>
      <c r="BG35" s="3176"/>
      <c r="BH35" s="3176"/>
    </row>
    <row r="36" spans="1:60" ht="12" customHeight="1">
      <c r="A36" s="3350"/>
      <c r="B36" s="3561"/>
      <c r="C36" s="4105" t="str">
        <f>IF(OR($AL$13,$AV$20,CTWC_NotQualified),"",IF(NOT($AD$35),"X",""))</f>
        <v/>
      </c>
      <c r="D36" s="3598" t="s">
        <v>472</v>
      </c>
      <c r="E36" s="3592"/>
      <c r="F36" s="3592"/>
      <c r="G36" s="1607" t="s">
        <v>3326</v>
      </c>
      <c r="H36" s="1607"/>
      <c r="I36" s="1607"/>
      <c r="J36" s="1607"/>
      <c r="K36" s="1607"/>
      <c r="L36" s="1607"/>
      <c r="M36" s="1607"/>
      <c r="N36" s="3562"/>
      <c r="O36" s="3562"/>
      <c r="P36" s="3562"/>
      <c r="Q36" s="3562"/>
      <c r="R36" s="3562"/>
      <c r="S36" s="3562"/>
      <c r="T36" s="3562"/>
      <c r="U36" s="3562"/>
      <c r="V36" s="2719" t="s">
        <v>3327</v>
      </c>
      <c r="W36" s="3562"/>
      <c r="X36" s="3562"/>
      <c r="Y36" s="3562"/>
      <c r="Z36" s="3562"/>
      <c r="AA36" s="3562"/>
      <c r="AB36" s="3562"/>
      <c r="AC36" s="3562"/>
      <c r="AD36" s="3562"/>
      <c r="AE36" s="3561"/>
      <c r="AF36" s="3561"/>
      <c r="AG36" s="3561"/>
      <c r="AH36" s="7871"/>
      <c r="AI36" s="6245"/>
      <c r="AJ36" s="3579"/>
      <c r="AK36" s="3580"/>
      <c r="AL36" s="3580"/>
      <c r="AM36" s="3580"/>
      <c r="AN36" s="3580"/>
      <c r="AO36" s="3580"/>
      <c r="AP36" s="3580"/>
      <c r="AQ36" s="3580"/>
      <c r="AR36" s="3580"/>
      <c r="AS36" s="3616" t="str">
        <f>IF(OR(AV20,AV22),"",IF(AND(C36&lt;&gt;"",AV34),"Stop here. You cannot",IF(C36&lt;&gt;"","Skip Part II.","")))</f>
        <v/>
      </c>
      <c r="AT36" s="3580"/>
    </row>
    <row r="37" spans="1:60" ht="14.25" customHeight="1">
      <c r="A37" s="3350"/>
      <c r="B37" s="3562"/>
      <c r="C37" s="2719"/>
      <c r="D37" s="3592"/>
      <c r="E37" s="3592"/>
      <c r="F37" s="3592"/>
      <c r="G37" s="1607" t="s">
        <v>4036</v>
      </c>
      <c r="H37" s="1607"/>
      <c r="I37" s="1607"/>
      <c r="J37" s="1607"/>
      <c r="K37" s="1607"/>
      <c r="L37" s="1607"/>
      <c r="M37" s="1607"/>
      <c r="N37" s="1607"/>
      <c r="O37" s="1607"/>
      <c r="P37" s="1607"/>
      <c r="Q37" s="1607"/>
      <c r="R37" s="1607"/>
      <c r="S37" s="1607"/>
      <c r="T37" s="1607"/>
      <c r="U37" s="3561"/>
      <c r="V37" s="1607"/>
      <c r="W37" s="1607"/>
      <c r="X37" s="1607"/>
      <c r="Y37" s="1607"/>
      <c r="Z37" s="1607"/>
      <c r="AA37" s="1607"/>
      <c r="AB37" s="1607"/>
      <c r="AC37" s="1607"/>
      <c r="AD37" s="1607"/>
      <c r="AE37" s="7863">
        <f>IF(C36&lt;&gt;"",MIN(AL25,AL34),0)</f>
        <v>0</v>
      </c>
      <c r="AF37" s="7863"/>
      <c r="AG37" s="7863"/>
      <c r="AH37" s="7863"/>
      <c r="AI37" s="7864"/>
      <c r="AJ37" s="3579"/>
      <c r="AK37" s="3580"/>
      <c r="AL37" s="3580"/>
      <c r="AM37" s="3580"/>
      <c r="AN37" s="3580"/>
      <c r="AO37" s="3580"/>
      <c r="AP37" s="3580"/>
      <c r="AQ37" s="3580"/>
      <c r="AR37" s="3580"/>
      <c r="AS37" s="3616" t="str">
        <f>IF(AND(C36&lt;&gt;"",AV34),"claim this credit.","")</f>
        <v/>
      </c>
      <c r="AT37" s="3580"/>
    </row>
    <row r="38" spans="1:60" ht="6.75" customHeight="1">
      <c r="A38" s="3350"/>
      <c r="B38" s="3562"/>
      <c r="C38" s="3562"/>
      <c r="D38" s="3592"/>
      <c r="E38" s="3592"/>
      <c r="F38" s="3592"/>
      <c r="G38" s="3592"/>
      <c r="H38" s="1607"/>
      <c r="I38" s="1607"/>
      <c r="J38" s="1607"/>
      <c r="K38" s="1607"/>
      <c r="L38" s="1607"/>
      <c r="M38" s="1607"/>
      <c r="N38" s="1607"/>
      <c r="O38" s="1607"/>
      <c r="P38" s="1607"/>
      <c r="Q38" s="1607"/>
      <c r="R38" s="1607"/>
      <c r="S38" s="1607"/>
      <c r="T38" s="1607"/>
      <c r="U38" s="3561"/>
      <c r="V38" s="1607"/>
      <c r="W38" s="1607"/>
      <c r="X38" s="1607"/>
      <c r="Y38" s="1607"/>
      <c r="Z38" s="1607"/>
      <c r="AA38" s="1607"/>
      <c r="AB38" s="1607"/>
      <c r="AC38" s="1607"/>
      <c r="AD38" s="1607"/>
      <c r="AE38" s="3561"/>
      <c r="AF38" s="3561"/>
      <c r="AG38" s="3561"/>
      <c r="AH38" s="3561"/>
      <c r="AI38" s="3561"/>
      <c r="AJ38" s="3579"/>
      <c r="AK38" s="3580"/>
      <c r="AL38" s="3580"/>
      <c r="AM38" s="3580"/>
      <c r="AN38" s="3580"/>
      <c r="AO38" s="3580"/>
      <c r="AP38" s="3580"/>
      <c r="AQ38" s="3350"/>
      <c r="AR38" s="3350"/>
      <c r="AS38" s="3350"/>
      <c r="AT38" s="3350"/>
    </row>
    <row r="39" spans="1:60" ht="12" customHeight="1">
      <c r="A39" s="3350"/>
      <c r="B39" s="3562"/>
      <c r="C39" s="4105" t="str">
        <f>IF(OR($AL$13,$AV$20,CTWC_NotQualified),"",IF($AD$35,"X",""))</f>
        <v/>
      </c>
      <c r="D39" s="3598" t="s">
        <v>474</v>
      </c>
      <c r="E39" s="3592"/>
      <c r="F39" s="3592"/>
      <c r="G39" s="1607" t="s">
        <v>4110</v>
      </c>
      <c r="H39" s="1607"/>
      <c r="I39" s="1607"/>
      <c r="J39" s="1607"/>
      <c r="K39" s="1607"/>
      <c r="L39" s="1607"/>
      <c r="M39" s="1607"/>
      <c r="N39" s="2254"/>
      <c r="O39" s="2254"/>
      <c r="P39" s="2254"/>
      <c r="Q39" s="2254"/>
      <c r="R39" s="2254"/>
      <c r="S39" s="2254"/>
      <c r="T39" s="2254"/>
      <c r="U39" s="2254"/>
      <c r="V39" s="2254"/>
      <c r="W39" s="2254"/>
      <c r="X39" s="2254"/>
      <c r="Y39" s="2254"/>
      <c r="Z39" s="2254"/>
      <c r="AA39" s="2254"/>
      <c r="AB39" s="2254"/>
      <c r="AC39" s="2254"/>
      <c r="AD39" s="2254"/>
      <c r="AE39" s="3561"/>
      <c r="AF39" s="3561"/>
      <c r="AG39" s="3561"/>
      <c r="AH39" s="3561"/>
      <c r="AI39" s="3561"/>
      <c r="AJ39" s="3579"/>
      <c r="AK39" s="3580"/>
      <c r="AL39" s="3580"/>
      <c r="AM39" s="3580"/>
      <c r="AN39" s="3580"/>
      <c r="AO39" s="3580"/>
      <c r="AP39" s="3580"/>
      <c r="AQ39" s="3350"/>
      <c r="AR39" s="3350"/>
      <c r="AS39" s="3350"/>
      <c r="AT39" s="3350"/>
    </row>
    <row r="40" spans="1:60" ht="18.75" customHeight="1">
      <c r="A40" s="3350"/>
      <c r="B40" s="1615"/>
      <c r="C40" s="1607"/>
      <c r="D40" s="3592"/>
      <c r="E40" s="3592"/>
      <c r="F40" s="3592"/>
      <c r="G40" s="2378" t="s">
        <v>3328</v>
      </c>
      <c r="H40" s="1607"/>
      <c r="I40" s="1607"/>
      <c r="J40" s="1607"/>
      <c r="K40" s="1607"/>
      <c r="L40" s="1607"/>
      <c r="M40" s="1607"/>
      <c r="N40" s="1607"/>
      <c r="O40" s="1607"/>
      <c r="P40" s="1607"/>
      <c r="Q40" s="1607"/>
      <c r="R40" s="1607"/>
      <c r="S40" s="1607"/>
      <c r="T40" s="1607"/>
      <c r="U40" s="1607"/>
      <c r="V40" s="1607"/>
      <c r="W40" s="1607"/>
      <c r="X40" s="1607"/>
      <c r="Y40" s="1607"/>
      <c r="Z40" s="1607"/>
      <c r="AA40" s="1607"/>
      <c r="AB40" s="1607"/>
      <c r="AC40" s="1607"/>
      <c r="AD40" s="1607"/>
      <c r="AE40" s="7865">
        <f>IF(AND(C39&lt;&gt;"",AL34&gt;AL25),AL25,0)</f>
        <v>0</v>
      </c>
      <c r="AF40" s="7865"/>
      <c r="AG40" s="7865"/>
      <c r="AH40" s="7865"/>
      <c r="AI40" s="7866"/>
      <c r="AJ40" s="3416"/>
      <c r="AK40" s="3417"/>
      <c r="AL40" s="3417"/>
      <c r="AM40" s="3417"/>
      <c r="AN40" s="3417"/>
      <c r="AO40" s="3417"/>
      <c r="AP40" s="3417"/>
      <c r="AQ40" s="3350"/>
      <c r="AR40" s="3350"/>
      <c r="AS40" s="3624" t="str">
        <f>IF(C39&lt;&gt;"",IF(AL34&gt;=AL25,"Skip Part II.","Go to Line 7."),"")</f>
        <v/>
      </c>
      <c r="AT40" s="3350"/>
      <c r="AX40" s="3175"/>
    </row>
    <row r="41" spans="1:60" s="3272" customFormat="1" ht="15.75">
      <c r="A41" s="3351"/>
      <c r="B41" s="6207" t="s">
        <v>130</v>
      </c>
      <c r="C41" s="6207"/>
      <c r="D41" s="6208"/>
      <c r="E41" s="3273"/>
      <c r="F41" s="3273"/>
      <c r="G41" s="3372" t="s">
        <v>2896</v>
      </c>
      <c r="H41" s="3273"/>
      <c r="I41" s="3273"/>
      <c r="J41" s="3273"/>
      <c r="K41" s="3273"/>
      <c r="L41" s="3273"/>
      <c r="M41" s="3273"/>
      <c r="N41" s="3273"/>
      <c r="O41" s="3273"/>
      <c r="P41" s="3273"/>
      <c r="Q41" s="3273"/>
      <c r="R41" s="3273"/>
      <c r="S41" s="3273"/>
      <c r="T41" s="3273"/>
      <c r="U41" s="3273"/>
      <c r="V41" s="3273"/>
      <c r="W41" s="3273"/>
      <c r="X41" s="3273"/>
      <c r="Y41" s="3273"/>
      <c r="Z41" s="3273"/>
      <c r="AA41" s="3273"/>
      <c r="AB41" s="3273"/>
      <c r="AC41" s="3273"/>
      <c r="AD41" s="3273"/>
      <c r="AE41" s="7822" t="b">
        <f>AND(DependQualNumber&gt;=3,$C$39&lt;&gt;"",$AL$34&lt;$AL$20,NOT($AL$13))</f>
        <v>0</v>
      </c>
      <c r="AF41" s="7823"/>
      <c r="AG41" s="7823"/>
      <c r="AH41" s="7823"/>
      <c r="AI41" s="7823"/>
      <c r="AJ41" s="3273"/>
      <c r="AK41" s="3273"/>
      <c r="AL41" s="3273"/>
      <c r="AM41" s="3273"/>
      <c r="AN41" s="3273"/>
      <c r="AO41" s="3273"/>
      <c r="AP41" s="3273"/>
      <c r="AQ41" s="3350"/>
      <c r="AR41" s="3350"/>
      <c r="AS41" s="3350"/>
      <c r="AT41" s="3350"/>
      <c r="AU41" s="46"/>
      <c r="AV41" s="46"/>
      <c r="AW41" s="46"/>
      <c r="AX41" s="3169"/>
      <c r="AY41" s="3169"/>
      <c r="AZ41" s="3169"/>
      <c r="BA41" s="3169"/>
      <c r="BB41" s="3169"/>
      <c r="BC41" s="3169"/>
      <c r="BD41" s="3169"/>
      <c r="BE41" s="3169"/>
      <c r="BF41" s="3169"/>
      <c r="BG41" s="3169"/>
      <c r="BH41" s="3169"/>
    </row>
    <row r="42" spans="1:60" s="3272" customFormat="1" ht="13.5" customHeight="1">
      <c r="A42" s="3351"/>
      <c r="B42" s="4558">
        <v>9</v>
      </c>
      <c r="C42" s="2719" t="s">
        <v>2897</v>
      </c>
      <c r="D42" s="3600"/>
      <c r="E42" s="3600"/>
      <c r="F42" s="3600"/>
      <c r="G42" s="3600"/>
      <c r="H42" s="3600"/>
      <c r="I42" s="3600"/>
      <c r="J42" s="3600"/>
      <c r="K42" s="3600"/>
      <c r="L42" s="3600"/>
      <c r="M42" s="3600"/>
      <c r="N42" s="3600"/>
      <c r="O42" s="3600"/>
      <c r="P42" s="3600"/>
      <c r="Q42" s="3600"/>
      <c r="R42" s="3600"/>
      <c r="S42" s="3600"/>
      <c r="T42" s="3600"/>
      <c r="U42" s="3600"/>
      <c r="V42" s="3600"/>
      <c r="W42" s="3600"/>
      <c r="X42" s="3600"/>
      <c r="Y42" s="3600"/>
      <c r="Z42" s="3600"/>
      <c r="AA42" s="3600"/>
      <c r="AB42" s="3600"/>
      <c r="AC42" s="3572"/>
      <c r="AD42" s="3573"/>
      <c r="AE42" s="3569"/>
      <c r="AF42" s="3561"/>
      <c r="AG42" s="3561"/>
      <c r="AH42" s="3561"/>
      <c r="AI42" s="3571"/>
      <c r="AJ42" s="3582"/>
      <c r="AK42" s="3585"/>
      <c r="AL42" s="3567"/>
      <c r="AM42" s="2739"/>
      <c r="AN42" s="2739"/>
      <c r="AO42" s="2739"/>
      <c r="AP42" s="2739"/>
      <c r="AQ42" s="3351"/>
      <c r="AR42" s="3350"/>
      <c r="AS42" s="3350"/>
      <c r="AT42" s="3350"/>
      <c r="AX42" s="3184"/>
      <c r="AY42" s="3184"/>
      <c r="AZ42" s="3184"/>
      <c r="BA42" s="3184"/>
      <c r="BB42" s="3184"/>
      <c r="BC42" s="3184"/>
      <c r="BD42" s="3184"/>
      <c r="BE42" s="3184"/>
      <c r="BF42" s="3184"/>
      <c r="BG42" s="3184"/>
      <c r="BH42" s="3184"/>
    </row>
    <row r="43" spans="1:60" s="3272" customFormat="1" ht="13.5" customHeight="1">
      <c r="A43" s="3351"/>
      <c r="B43" s="4558"/>
      <c r="C43" s="2719" t="s">
        <v>2898</v>
      </c>
      <c r="D43" s="3601"/>
      <c r="E43" s="3601"/>
      <c r="F43" s="3601"/>
      <c r="G43" s="3601"/>
      <c r="H43" s="3601"/>
      <c r="I43" s="3601"/>
      <c r="J43" s="3601"/>
      <c r="K43" s="3601"/>
      <c r="L43" s="3601"/>
      <c r="M43" s="3601"/>
      <c r="N43" s="3601"/>
      <c r="O43" s="3601"/>
      <c r="P43" s="3601"/>
      <c r="Q43" s="3601"/>
      <c r="R43" s="3601"/>
      <c r="S43" s="3601"/>
      <c r="T43" s="3601"/>
      <c r="U43" s="3601"/>
      <c r="V43" s="3601"/>
      <c r="W43" s="3601"/>
      <c r="X43" s="3601"/>
      <c r="Y43" s="3601"/>
      <c r="Z43" s="3601"/>
      <c r="AA43" s="3601"/>
      <c r="AB43" s="3601"/>
      <c r="AC43" s="3572"/>
      <c r="AD43" s="3573"/>
      <c r="AE43" s="3569"/>
      <c r="AF43" s="3561"/>
      <c r="AG43" s="3561"/>
      <c r="AH43" s="3561"/>
      <c r="AI43" s="3571"/>
      <c r="AJ43" s="3582"/>
      <c r="AK43" s="3585"/>
      <c r="AL43" s="2108"/>
      <c r="AM43" s="2109"/>
      <c r="AN43" s="2109"/>
      <c r="AO43" s="2109"/>
      <c r="AP43" s="2109"/>
      <c r="AQ43" s="3351"/>
      <c r="AR43" s="3350"/>
      <c r="AS43" s="2940" t="s">
        <v>101</v>
      </c>
      <c r="AT43" s="3350"/>
      <c r="AX43" s="3184"/>
      <c r="AY43" s="3184"/>
      <c r="AZ43" s="3184"/>
      <c r="BA43" s="3184"/>
      <c r="BB43" s="3184"/>
      <c r="BC43" s="3184"/>
      <c r="BD43" s="3184"/>
      <c r="BE43" s="3184"/>
      <c r="BF43" s="3184"/>
      <c r="BG43" s="3184"/>
      <c r="BH43" s="3184"/>
    </row>
    <row r="44" spans="1:60" s="3272" customFormat="1" ht="13.5" customHeight="1">
      <c r="A44" s="3351"/>
      <c r="B44" s="4558"/>
      <c r="C44" s="2719" t="s">
        <v>2899</v>
      </c>
      <c r="D44" s="3601"/>
      <c r="E44" s="3601"/>
      <c r="F44" s="3601"/>
      <c r="G44" s="3601"/>
      <c r="H44" s="3601"/>
      <c r="I44" s="3601"/>
      <c r="J44" s="3601"/>
      <c r="K44" s="3601"/>
      <c r="L44" s="3601"/>
      <c r="M44" s="3601"/>
      <c r="N44" s="3601"/>
      <c r="O44" s="3601"/>
      <c r="P44" s="3601"/>
      <c r="Q44" s="3601"/>
      <c r="R44" s="3601"/>
      <c r="S44" s="3601"/>
      <c r="T44" s="3601"/>
      <c r="U44" s="3601"/>
      <c r="V44" s="3601"/>
      <c r="W44" s="3601"/>
      <c r="X44" s="3601"/>
      <c r="Y44" s="3601"/>
      <c r="Z44" s="3601"/>
      <c r="AA44" s="3601"/>
      <c r="AB44" s="3601"/>
      <c r="AC44" s="3572"/>
      <c r="AD44" s="3573"/>
      <c r="AE44" s="3569"/>
      <c r="AF44" s="3561"/>
      <c r="AG44" s="3561"/>
      <c r="AH44" s="3561"/>
      <c r="AI44" s="3571"/>
      <c r="AJ44" s="3582"/>
      <c r="AK44" s="3585"/>
      <c r="AL44" s="2108"/>
      <c r="AM44" s="2109"/>
      <c r="AN44" s="2109"/>
      <c r="AO44" s="2109"/>
      <c r="AP44" s="2109"/>
      <c r="AQ44" s="3350"/>
      <c r="AR44" s="3350"/>
      <c r="AS44" s="3350"/>
      <c r="AT44" s="3350"/>
      <c r="AX44" s="3184"/>
      <c r="AY44" s="3184"/>
      <c r="AZ44" s="3184"/>
      <c r="BA44" s="3184"/>
      <c r="BB44" s="3184"/>
      <c r="BC44" s="3184"/>
      <c r="BD44" s="3184"/>
      <c r="BE44" s="3184"/>
      <c r="BF44" s="3184"/>
      <c r="BG44" s="3184"/>
      <c r="BH44" s="3184"/>
    </row>
    <row r="45" spans="1:60" s="3272" customFormat="1" ht="13.5" customHeight="1">
      <c r="A45" s="3351"/>
      <c r="B45" s="4558"/>
      <c r="C45" s="2719" t="s">
        <v>2900</v>
      </c>
      <c r="D45" s="3601"/>
      <c r="E45" s="3602"/>
      <c r="F45" s="3602"/>
      <c r="G45" s="3602"/>
      <c r="H45" s="3602"/>
      <c r="I45" s="3602"/>
      <c r="J45" s="3602"/>
      <c r="K45" s="3602"/>
      <c r="L45" s="3602"/>
      <c r="M45" s="3603"/>
      <c r="N45" s="3604"/>
      <c r="O45" s="3604"/>
      <c r="P45" s="3604"/>
      <c r="Q45" s="3604"/>
      <c r="R45" s="3604"/>
      <c r="S45" s="3604"/>
      <c r="T45" s="3604"/>
      <c r="U45" s="3604"/>
      <c r="V45" s="3604"/>
      <c r="W45" s="3604"/>
      <c r="X45" s="3604"/>
      <c r="Y45" s="3604"/>
      <c r="Z45" s="3604"/>
      <c r="AA45" s="3604"/>
      <c r="AB45" s="3588" t="s">
        <v>857</v>
      </c>
      <c r="AC45" s="7815">
        <v>9</v>
      </c>
      <c r="AD45" s="6246"/>
      <c r="AE45" s="7816" t="str">
        <f>IF(AS45&lt;&gt;"",ROUND(AS45,0),IF($AE$41,AL117,""))</f>
        <v/>
      </c>
      <c r="AF45" s="7817"/>
      <c r="AG45" s="7817"/>
      <c r="AH45" s="7817"/>
      <c r="AI45" s="7817"/>
      <c r="AJ45" s="3582"/>
      <c r="AK45" s="3585"/>
      <c r="AL45" s="3608"/>
      <c r="AM45" s="3605"/>
      <c r="AN45" s="3605"/>
      <c r="AO45" s="3605"/>
      <c r="AP45" s="3605"/>
      <c r="AQ45" s="3350"/>
      <c r="AR45" s="3350"/>
      <c r="AS45" s="4159"/>
      <c r="AT45" s="3350"/>
      <c r="AX45" s="3184"/>
      <c r="AY45" s="3184"/>
      <c r="AZ45" s="3184"/>
      <c r="BA45" s="3184"/>
      <c r="BB45" s="3184"/>
      <c r="BC45" s="3184"/>
      <c r="BD45" s="3184"/>
      <c r="BE45" s="3184"/>
      <c r="BF45" s="3184"/>
      <c r="BG45" s="3184"/>
      <c r="BH45" s="3184"/>
    </row>
    <row r="46" spans="1:60" ht="6" customHeight="1">
      <c r="A46" s="3350"/>
      <c r="B46" s="4558"/>
      <c r="C46" s="3590"/>
      <c r="D46" s="3591"/>
      <c r="E46" s="3591"/>
      <c r="F46" s="3591"/>
      <c r="G46" s="3591"/>
      <c r="H46" s="3591"/>
      <c r="I46" s="3591"/>
      <c r="J46" s="3591"/>
      <c r="K46" s="3591"/>
      <c r="L46" s="3591"/>
      <c r="M46" s="3592"/>
      <c r="N46" s="3592"/>
      <c r="O46" s="3592"/>
      <c r="P46" s="3592"/>
      <c r="Q46" s="3592"/>
      <c r="R46" s="3592"/>
      <c r="S46" s="3592"/>
      <c r="T46" s="3592"/>
      <c r="U46" s="3594"/>
      <c r="V46" s="3592"/>
      <c r="W46" s="3592"/>
      <c r="X46" s="3592"/>
      <c r="Y46" s="3592"/>
      <c r="Z46" s="3592"/>
      <c r="AA46" s="3592"/>
      <c r="AB46" s="3592"/>
      <c r="AC46" s="3572"/>
      <c r="AD46" s="3573"/>
      <c r="AE46" s="3569"/>
      <c r="AF46" s="3561"/>
      <c r="AG46" s="3561"/>
      <c r="AH46" s="3561"/>
      <c r="AI46" s="3571"/>
      <c r="AJ46" s="3579"/>
      <c r="AK46" s="3607"/>
      <c r="AL46" s="3569"/>
      <c r="AM46" s="3561"/>
      <c r="AN46" s="3561"/>
      <c r="AO46" s="3561"/>
      <c r="AP46" s="3561"/>
      <c r="AQ46" s="3350"/>
      <c r="AR46" s="3350"/>
      <c r="AS46" s="3350"/>
      <c r="AT46" s="3350"/>
    </row>
    <row r="47" spans="1:60" ht="14.25" customHeight="1">
      <c r="A47" s="3350"/>
      <c r="B47" s="4558">
        <v>10</v>
      </c>
      <c r="C47" s="3606" t="s">
        <v>2890</v>
      </c>
      <c r="D47" s="3591"/>
      <c r="E47" s="3591"/>
      <c r="F47" s="3591"/>
      <c r="G47" s="3591"/>
      <c r="H47" s="2753" t="s">
        <v>4111</v>
      </c>
      <c r="I47" s="3617"/>
      <c r="J47" s="1815"/>
      <c r="K47" s="1815"/>
      <c r="L47" s="1815"/>
      <c r="M47" s="1815"/>
      <c r="N47" s="1815"/>
      <c r="O47" s="1815"/>
      <c r="P47" s="1815"/>
      <c r="Q47" s="1815"/>
      <c r="R47" s="1815"/>
      <c r="S47" s="1815"/>
      <c r="T47" s="1815"/>
      <c r="U47" s="1815"/>
      <c r="V47" s="1815"/>
      <c r="W47" s="1815"/>
      <c r="X47" s="1815"/>
      <c r="Y47" s="1815"/>
      <c r="Z47" s="1815"/>
      <c r="AA47" s="1815"/>
      <c r="AB47" s="1815"/>
      <c r="AC47" s="3572"/>
      <c r="AD47" s="3573"/>
      <c r="AE47" s="3569"/>
      <c r="AF47" s="3561"/>
      <c r="AG47" s="3561"/>
      <c r="AH47" s="3561"/>
      <c r="AI47" s="3571"/>
      <c r="AJ47" s="7811"/>
      <c r="AK47" s="7812"/>
      <c r="AL47" s="7813"/>
      <c r="AM47" s="7814"/>
      <c r="AN47" s="7814"/>
      <c r="AO47" s="7814"/>
      <c r="AP47" s="7814"/>
      <c r="AQ47" s="3350"/>
      <c r="AR47" s="3350"/>
      <c r="AS47" s="3350"/>
      <c r="AT47" s="3350"/>
    </row>
    <row r="48" spans="1:60">
      <c r="A48" s="3350"/>
      <c r="B48" s="4558"/>
      <c r="C48" s="2541"/>
      <c r="D48" s="1607"/>
      <c r="E48" s="1607"/>
      <c r="F48" s="1607"/>
      <c r="G48" s="1607"/>
      <c r="H48" s="2753" t="s">
        <v>4112</v>
      </c>
      <c r="I48" s="3617"/>
      <c r="J48" s="1815"/>
      <c r="K48" s="1815"/>
      <c r="L48" s="1815"/>
      <c r="M48" s="1815"/>
      <c r="N48" s="1815"/>
      <c r="O48" s="1815"/>
      <c r="P48" s="1815"/>
      <c r="Q48" s="1815"/>
      <c r="R48" s="1815"/>
      <c r="S48" s="1815"/>
      <c r="T48" s="1815"/>
      <c r="U48" s="1815"/>
      <c r="V48" s="1815"/>
      <c r="W48" s="1815"/>
      <c r="X48" s="1815"/>
      <c r="Y48" s="1815"/>
      <c r="Z48" s="1815"/>
      <c r="AA48" s="1815"/>
      <c r="AB48" s="1815"/>
      <c r="AC48" s="3572"/>
      <c r="AD48" s="3573"/>
      <c r="AE48" s="3569"/>
      <c r="AF48" s="3561"/>
      <c r="AG48" s="3561"/>
      <c r="AH48" s="3561"/>
      <c r="AI48" s="3571"/>
      <c r="AJ48" s="3416"/>
      <c r="AK48" s="3418"/>
      <c r="AL48" s="3419"/>
      <c r="AM48" s="1607"/>
      <c r="AN48" s="1607"/>
      <c r="AO48" s="1607"/>
      <c r="AP48" s="1607"/>
      <c r="AQ48" s="3350"/>
      <c r="AR48" s="3350"/>
      <c r="AS48" s="3350"/>
      <c r="AT48" s="3350"/>
    </row>
    <row r="49" spans="1:60">
      <c r="A49" s="3350"/>
      <c r="B49" s="4558"/>
      <c r="C49" s="3563"/>
      <c r="D49" s="1607"/>
      <c r="E49" s="1607"/>
      <c r="F49" s="1607"/>
      <c r="G49" s="1607"/>
      <c r="H49" s="2753" t="s">
        <v>3329</v>
      </c>
      <c r="I49" s="1607"/>
      <c r="J49" s="1607"/>
      <c r="K49" s="1607"/>
      <c r="L49" s="1607"/>
      <c r="M49" s="1607"/>
      <c r="N49" s="1607"/>
      <c r="O49" s="1607"/>
      <c r="P49" s="1607"/>
      <c r="Q49" s="1607"/>
      <c r="R49" s="1607"/>
      <c r="S49" s="1607"/>
      <c r="T49" s="1607"/>
      <c r="U49" s="1607"/>
      <c r="V49" s="1607"/>
      <c r="W49" s="1607"/>
      <c r="X49" s="1607"/>
      <c r="Y49" s="1607"/>
      <c r="Z49" s="1607"/>
      <c r="AA49" s="3563"/>
      <c r="AB49" s="1607"/>
      <c r="AC49" s="7815">
        <v>10</v>
      </c>
      <c r="AD49" s="6246"/>
      <c r="AE49" s="7816" t="str">
        <f>IF(AS49&lt;&gt;"",ROUND(AS49,0),IF($AE$41,SUM(SE_Deduct,'Sch. 4'!AC11),""))</f>
        <v/>
      </c>
      <c r="AF49" s="7817"/>
      <c r="AG49" s="7817"/>
      <c r="AH49" s="7817"/>
      <c r="AI49" s="7817"/>
      <c r="AJ49" s="3579"/>
      <c r="AK49" s="3607"/>
      <c r="AL49" s="3569"/>
      <c r="AM49" s="3561"/>
      <c r="AN49" s="3561"/>
      <c r="AO49" s="3561"/>
      <c r="AP49" s="3561"/>
      <c r="AQ49" s="3350"/>
      <c r="AR49" s="3350"/>
      <c r="AS49" s="4159"/>
      <c r="AT49" s="3350"/>
    </row>
    <row r="50" spans="1:60">
      <c r="A50" s="3350"/>
      <c r="B50" s="4558"/>
      <c r="C50" s="3563"/>
      <c r="D50" s="1607"/>
      <c r="E50" s="1607"/>
      <c r="F50" s="1607"/>
      <c r="G50" s="1607"/>
      <c r="H50" s="2753" t="s">
        <v>3330</v>
      </c>
      <c r="I50" s="1607"/>
      <c r="J50" s="1607"/>
      <c r="K50" s="1607"/>
      <c r="L50" s="1607"/>
      <c r="M50" s="1607"/>
      <c r="N50" s="1607"/>
      <c r="O50" s="1607"/>
      <c r="P50" s="1607"/>
      <c r="Q50" s="1607"/>
      <c r="R50" s="1607"/>
      <c r="S50" s="1607"/>
      <c r="T50" s="1607"/>
      <c r="U50" s="1607"/>
      <c r="V50" s="1607"/>
      <c r="W50" s="1607"/>
      <c r="X50" s="1607"/>
      <c r="Y50" s="1607"/>
      <c r="Z50" s="1607"/>
      <c r="AA50" s="3563"/>
      <c r="AB50" s="1607"/>
      <c r="AC50" s="3569"/>
      <c r="AD50" s="3708"/>
      <c r="AE50" s="3569"/>
      <c r="AF50" s="3561"/>
      <c r="AG50" s="3561"/>
      <c r="AH50" s="3561"/>
      <c r="AI50" s="3571"/>
      <c r="AJ50" s="3579"/>
      <c r="AK50" s="3607"/>
      <c r="AL50" s="3569"/>
      <c r="AM50" s="3561"/>
      <c r="AN50" s="3561"/>
      <c r="AO50" s="3561"/>
      <c r="AP50" s="3561"/>
      <c r="AQ50" s="3350"/>
      <c r="AR50" s="3350"/>
      <c r="AS50" s="3350"/>
      <c r="AT50" s="3350"/>
    </row>
    <row r="51" spans="1:60" ht="14.25" customHeight="1">
      <c r="A51" s="3350"/>
      <c r="B51" s="4558"/>
      <c r="C51" s="3606" t="s">
        <v>2891</v>
      </c>
      <c r="D51" s="3591"/>
      <c r="E51" s="3591"/>
      <c r="F51" s="3591"/>
      <c r="G51" s="3591"/>
      <c r="H51" s="2753" t="s">
        <v>3331</v>
      </c>
      <c r="I51" s="3617"/>
      <c r="J51" s="1815"/>
      <c r="K51" s="1815"/>
      <c r="L51" s="1815"/>
      <c r="M51" s="1815"/>
      <c r="N51" s="1815"/>
      <c r="O51" s="1815"/>
      <c r="P51" s="1815"/>
      <c r="Q51" s="1815"/>
      <c r="R51" s="1815"/>
      <c r="S51" s="1815"/>
      <c r="T51" s="1815"/>
      <c r="U51" s="1815"/>
      <c r="V51" s="1815"/>
      <c r="W51" s="1815"/>
      <c r="X51" s="1815"/>
      <c r="Y51" s="1815"/>
      <c r="Z51" s="1815"/>
      <c r="AA51" s="1815"/>
      <c r="AB51" s="1815"/>
      <c r="AC51" s="3572"/>
      <c r="AD51" s="3573"/>
      <c r="AE51" s="3569"/>
      <c r="AF51" s="3561"/>
      <c r="AG51" s="3561"/>
      <c r="AH51" s="3561"/>
      <c r="AI51" s="3571"/>
      <c r="AJ51" s="7811"/>
      <c r="AK51" s="7812"/>
      <c r="AL51" s="7813"/>
      <c r="AM51" s="7814"/>
      <c r="AN51" s="7814"/>
      <c r="AO51" s="7814"/>
      <c r="AP51" s="7814"/>
      <c r="AQ51" s="3350"/>
      <c r="AR51" s="3350"/>
      <c r="AS51" s="3350"/>
      <c r="AT51" s="3350"/>
    </row>
    <row r="52" spans="1:60">
      <c r="A52" s="3350"/>
      <c r="B52" s="4558"/>
      <c r="C52" s="2541"/>
      <c r="D52" s="1607"/>
      <c r="E52" s="1607"/>
      <c r="F52" s="1607"/>
      <c r="G52" s="1607"/>
      <c r="H52" s="2753" t="s">
        <v>3332</v>
      </c>
      <c r="I52" s="3617"/>
      <c r="J52" s="1815"/>
      <c r="K52" s="1815"/>
      <c r="L52" s="1815"/>
      <c r="M52" s="1815"/>
      <c r="N52" s="1815"/>
      <c r="O52" s="1815"/>
      <c r="P52" s="1815"/>
      <c r="Q52" s="1815"/>
      <c r="R52" s="1815"/>
      <c r="S52" s="1815"/>
      <c r="T52" s="1815"/>
      <c r="U52" s="1815"/>
      <c r="V52" s="1815"/>
      <c r="W52" s="1815"/>
      <c r="X52" s="1815"/>
      <c r="Y52" s="1815"/>
      <c r="Z52" s="1815"/>
      <c r="AA52" s="1815"/>
      <c r="AB52" s="1815"/>
      <c r="AC52" s="3572"/>
      <c r="AD52" s="3573"/>
      <c r="AE52" s="3569"/>
      <c r="AF52" s="3561"/>
      <c r="AG52" s="3561"/>
      <c r="AH52" s="3561"/>
      <c r="AI52" s="3571"/>
      <c r="AJ52" s="3416"/>
      <c r="AK52" s="3418"/>
      <c r="AL52" s="3419"/>
      <c r="AM52" s="1607"/>
      <c r="AN52" s="1607"/>
      <c r="AO52" s="1607"/>
      <c r="AP52" s="1607"/>
      <c r="AQ52" s="3350"/>
      <c r="AR52" s="3350"/>
      <c r="AS52" s="3350"/>
      <c r="AT52" s="3350"/>
    </row>
    <row r="53" spans="1:60">
      <c r="A53" s="3350"/>
      <c r="B53" s="4558"/>
      <c r="C53" s="3563"/>
      <c r="D53" s="1607"/>
      <c r="E53" s="1607"/>
      <c r="F53" s="1607"/>
      <c r="G53" s="1607"/>
      <c r="H53" s="2753" t="s">
        <v>3333</v>
      </c>
      <c r="I53" s="1607"/>
      <c r="J53" s="1607"/>
      <c r="K53" s="1607"/>
      <c r="L53" s="1607"/>
      <c r="M53" s="1607"/>
      <c r="N53" s="1607"/>
      <c r="O53" s="1607"/>
      <c r="P53" s="1607"/>
      <c r="Q53" s="1607"/>
      <c r="R53" s="1607"/>
      <c r="S53" s="1607"/>
      <c r="T53" s="1607"/>
      <c r="U53" s="1607"/>
      <c r="V53" s="1607"/>
      <c r="W53" s="1607"/>
      <c r="X53" s="1607"/>
      <c r="Y53" s="1607"/>
      <c r="Z53" s="1607"/>
      <c r="AA53" s="3563"/>
      <c r="AB53" s="1607"/>
      <c r="AC53" s="3572"/>
      <c r="AD53" s="3573"/>
      <c r="AE53" s="3569"/>
      <c r="AF53" s="3561"/>
      <c r="AG53" s="3561"/>
      <c r="AH53" s="3561"/>
      <c r="AI53" s="3571"/>
      <c r="AJ53" s="3579"/>
      <c r="AK53" s="3607"/>
      <c r="AL53" s="3569"/>
      <c r="AM53" s="3561"/>
      <c r="AN53" s="3561"/>
      <c r="AO53" s="3561"/>
      <c r="AP53" s="3561"/>
      <c r="AQ53" s="3350"/>
      <c r="AR53" s="3350"/>
      <c r="AS53" s="3350"/>
      <c r="AT53" s="3350"/>
    </row>
    <row r="54" spans="1:60" ht="15.75">
      <c r="A54" s="3350"/>
      <c r="B54" s="4558">
        <v>11</v>
      </c>
      <c r="C54" s="2719" t="s">
        <v>2394</v>
      </c>
      <c r="D54" s="1607"/>
      <c r="E54" s="1607"/>
      <c r="F54" s="1607"/>
      <c r="G54" s="1607"/>
      <c r="H54" s="1607"/>
      <c r="I54" s="1607"/>
      <c r="J54" s="1607"/>
      <c r="K54" s="1607"/>
      <c r="L54" s="1607"/>
      <c r="M54" s="1607"/>
      <c r="N54" s="1607"/>
      <c r="O54" s="1607"/>
      <c r="P54" s="1607"/>
      <c r="Q54" s="1607"/>
      <c r="R54" s="1607"/>
      <c r="S54" s="1607"/>
      <c r="T54" s="1607"/>
      <c r="U54" s="1607"/>
      <c r="V54" s="1607"/>
      <c r="W54" s="1607"/>
      <c r="X54" s="1607"/>
      <c r="Y54" s="1607"/>
      <c r="Z54" s="1607"/>
      <c r="AA54" s="1607"/>
      <c r="AB54" s="3588" t="s">
        <v>1311</v>
      </c>
      <c r="AC54" s="7815">
        <v>11</v>
      </c>
      <c r="AD54" s="6246"/>
      <c r="AE54" s="7816" t="str">
        <f>IF(AS54&lt;&gt;"",ROUND(AS54,0),IF($AE$41,SUM(AE45,AE49),""))</f>
        <v/>
      </c>
      <c r="AF54" s="7817"/>
      <c r="AG54" s="7817"/>
      <c r="AH54" s="7817"/>
      <c r="AI54" s="7817"/>
      <c r="AJ54" s="3416"/>
      <c r="AK54" s="3418"/>
      <c r="AL54" s="3419"/>
      <c r="AM54" s="1607"/>
      <c r="AN54" s="1607"/>
      <c r="AO54" s="1607"/>
      <c r="AP54" s="1607"/>
      <c r="AQ54" s="3350"/>
      <c r="AR54" s="3350"/>
      <c r="AS54" s="4159"/>
      <c r="AT54" s="3350"/>
    </row>
    <row r="55" spans="1:60" ht="14.25" customHeight="1">
      <c r="A55" s="3350"/>
      <c r="B55" s="4558">
        <v>12</v>
      </c>
      <c r="C55" s="3606" t="s">
        <v>2890</v>
      </c>
      <c r="D55" s="3591"/>
      <c r="E55" s="3591"/>
      <c r="F55" s="3591"/>
      <c r="G55" s="3591"/>
      <c r="H55" s="2753" t="s">
        <v>3334</v>
      </c>
      <c r="I55" s="3617"/>
      <c r="J55" s="1815"/>
      <c r="K55" s="1815"/>
      <c r="L55" s="1815"/>
      <c r="M55" s="1815"/>
      <c r="N55" s="1815"/>
      <c r="O55" s="1815"/>
      <c r="P55" s="1815"/>
      <c r="Q55" s="1815"/>
      <c r="R55" s="1815"/>
      <c r="S55" s="1815"/>
      <c r="T55" s="1815"/>
      <c r="U55" s="1815"/>
      <c r="V55" s="1815"/>
      <c r="W55" s="1815"/>
      <c r="X55" s="1815"/>
      <c r="Y55" s="1815"/>
      <c r="Z55" s="1815"/>
      <c r="AA55" s="1815"/>
      <c r="AB55" s="1815"/>
      <c r="AC55" s="3572"/>
      <c r="AD55" s="3573"/>
      <c r="AE55" s="3569"/>
      <c r="AF55" s="3561"/>
      <c r="AG55" s="3561"/>
      <c r="AH55" s="3561"/>
      <c r="AI55" s="3571"/>
      <c r="AJ55" s="7811"/>
      <c r="AK55" s="7812"/>
      <c r="AL55" s="7813"/>
      <c r="AM55" s="7814"/>
      <c r="AN55" s="7814"/>
      <c r="AO55" s="7814"/>
      <c r="AP55" s="7814"/>
      <c r="AQ55" s="3350"/>
      <c r="AR55" s="3350"/>
      <c r="AS55" s="3350"/>
      <c r="AT55" s="3350"/>
    </row>
    <row r="56" spans="1:60">
      <c r="A56" s="3350"/>
      <c r="B56" s="4558"/>
      <c r="C56" s="2541"/>
      <c r="D56" s="1607"/>
      <c r="E56" s="1607"/>
      <c r="F56" s="1607"/>
      <c r="G56" s="1607"/>
      <c r="H56" s="2753" t="s">
        <v>3335</v>
      </c>
      <c r="I56" s="3617"/>
      <c r="J56" s="1815"/>
      <c r="K56" s="1815"/>
      <c r="L56" s="1815"/>
      <c r="M56" s="1815"/>
      <c r="N56" s="1815"/>
      <c r="O56" s="1815"/>
      <c r="P56" s="1815"/>
      <c r="Q56" s="1815"/>
      <c r="R56" s="1815"/>
      <c r="S56" s="1815"/>
      <c r="T56" s="1815"/>
      <c r="U56" s="1815"/>
      <c r="V56" s="1815"/>
      <c r="W56" s="1815"/>
      <c r="X56" s="1815"/>
      <c r="Y56" s="1815"/>
      <c r="Z56" s="1815"/>
      <c r="AA56" s="1815"/>
      <c r="AB56" s="1815"/>
      <c r="AC56" s="3572"/>
      <c r="AD56" s="3573"/>
      <c r="AE56" s="3569"/>
      <c r="AF56" s="3561"/>
      <c r="AG56" s="3561"/>
      <c r="AH56" s="3561"/>
      <c r="AI56" s="3571"/>
      <c r="AJ56" s="3416"/>
      <c r="AK56" s="3418"/>
      <c r="AL56" s="3419"/>
      <c r="AM56" s="1607"/>
      <c r="AN56" s="1607"/>
      <c r="AO56" s="1607"/>
      <c r="AP56" s="1607"/>
      <c r="AQ56" s="3350"/>
      <c r="AR56" s="3350"/>
      <c r="AS56" s="3350"/>
      <c r="AT56" s="3350"/>
    </row>
    <row r="57" spans="1:60" ht="14.25" customHeight="1">
      <c r="A57" s="3350"/>
      <c r="B57" s="4558"/>
      <c r="C57" s="3606" t="s">
        <v>2891</v>
      </c>
      <c r="D57" s="3591"/>
      <c r="E57" s="3591"/>
      <c r="F57" s="3591"/>
      <c r="G57" s="3591"/>
      <c r="H57" s="2753" t="s">
        <v>2901</v>
      </c>
      <c r="I57" s="3617"/>
      <c r="J57" s="1815"/>
      <c r="K57" s="1815"/>
      <c r="L57" s="1815"/>
      <c r="M57" s="1815"/>
      <c r="N57" s="1815"/>
      <c r="O57" s="1815"/>
      <c r="P57" s="1815"/>
      <c r="Q57" s="1815"/>
      <c r="R57" s="1815"/>
      <c r="S57" s="1815"/>
      <c r="T57" s="1815"/>
      <c r="U57" s="1815"/>
      <c r="V57" s="1815"/>
      <c r="W57" s="1815"/>
      <c r="X57" s="1815"/>
      <c r="Y57" s="1815"/>
      <c r="Z57" s="1815"/>
      <c r="AA57" s="1815"/>
      <c r="AB57" s="1815"/>
      <c r="AC57" s="7815">
        <v>12</v>
      </c>
      <c r="AD57" s="6246"/>
      <c r="AE57" s="7816" t="str">
        <f>IF(AS57&lt;&gt;"",ROUND(AS57,0),IF($AE$41,ROUND(SUM(EIC,ExcessSSTax),0),""))</f>
        <v/>
      </c>
      <c r="AF57" s="7817"/>
      <c r="AG57" s="7817"/>
      <c r="AH57" s="7817"/>
      <c r="AI57" s="7817"/>
      <c r="AJ57" s="7811"/>
      <c r="AK57" s="7812"/>
      <c r="AL57" s="7813"/>
      <c r="AM57" s="7814"/>
      <c r="AN57" s="7814"/>
      <c r="AO57" s="7814"/>
      <c r="AP57" s="7814"/>
      <c r="AQ57" s="3350"/>
      <c r="AR57" s="3350"/>
      <c r="AS57" s="4159"/>
      <c r="AT57" s="3350"/>
    </row>
    <row r="58" spans="1:60" ht="15.75">
      <c r="A58" s="3350"/>
      <c r="B58" s="4558">
        <v>13</v>
      </c>
      <c r="C58" s="2719" t="s">
        <v>3003</v>
      </c>
      <c r="D58" s="1607"/>
      <c r="E58" s="1607"/>
      <c r="F58" s="1607"/>
      <c r="G58" s="1607"/>
      <c r="H58" s="3591"/>
      <c r="I58" s="1815"/>
      <c r="J58" s="1815"/>
      <c r="K58" s="1815"/>
      <c r="L58" s="1815"/>
      <c r="M58" s="1815"/>
      <c r="N58" s="1815"/>
      <c r="O58" s="1815"/>
      <c r="P58" s="1815"/>
      <c r="Q58" s="1815"/>
      <c r="R58" s="1815"/>
      <c r="S58" s="1815"/>
      <c r="T58" s="1815"/>
      <c r="U58" s="1815"/>
      <c r="V58" s="1815"/>
      <c r="W58" s="1815"/>
      <c r="X58" s="1815"/>
      <c r="Y58" s="1815"/>
      <c r="Z58" s="1815"/>
      <c r="AA58" s="1815"/>
      <c r="AB58" s="1815"/>
      <c r="AC58" s="3562"/>
      <c r="AD58" s="3562"/>
      <c r="AE58" s="3561"/>
      <c r="AF58" s="3561"/>
      <c r="AG58" s="3561"/>
      <c r="AH58" s="3561"/>
      <c r="AI58" s="3588" t="s">
        <v>492</v>
      </c>
      <c r="AJ58" s="7815">
        <v>13</v>
      </c>
      <c r="AK58" s="6246"/>
      <c r="AL58" s="7816" t="str">
        <f>IF(AS58&lt;&gt;"",ROUND(AS58,0),IF($AE$41,MAX(SUM(AE54,-AE57),0),""))</f>
        <v/>
      </c>
      <c r="AM58" s="7817"/>
      <c r="AN58" s="7817"/>
      <c r="AO58" s="7817"/>
      <c r="AP58" s="7817"/>
      <c r="AQ58" s="3350"/>
      <c r="AR58" s="3350"/>
      <c r="AS58" s="4159"/>
      <c r="AT58" s="3350"/>
    </row>
    <row r="59" spans="1:60" ht="15.75">
      <c r="A59" s="3350"/>
      <c r="B59" s="4558">
        <v>14</v>
      </c>
      <c r="C59" s="2719" t="s">
        <v>3004</v>
      </c>
      <c r="D59" s="1607"/>
      <c r="E59" s="1607"/>
      <c r="F59" s="1607"/>
      <c r="G59" s="1607"/>
      <c r="H59" s="3591"/>
      <c r="I59" s="1607"/>
      <c r="J59" s="1607"/>
      <c r="K59" s="1607"/>
      <c r="L59" s="1607"/>
      <c r="M59" s="1607"/>
      <c r="N59" s="1607"/>
      <c r="O59" s="1607"/>
      <c r="P59" s="1607"/>
      <c r="Q59" s="1607"/>
      <c r="R59" s="1607"/>
      <c r="S59" s="1607"/>
      <c r="T59" s="1607"/>
      <c r="U59" s="1607"/>
      <c r="V59" s="1607"/>
      <c r="W59" s="1607"/>
      <c r="X59" s="1607"/>
      <c r="Y59" s="1607"/>
      <c r="Z59" s="1607"/>
      <c r="AA59" s="3563"/>
      <c r="AB59" s="1607"/>
      <c r="AC59" s="3562"/>
      <c r="AD59" s="3562"/>
      <c r="AE59" s="3561"/>
      <c r="AF59" s="3561"/>
      <c r="AG59" s="3561"/>
      <c r="AH59" s="3561"/>
      <c r="AI59" s="3588" t="s">
        <v>1152</v>
      </c>
      <c r="AJ59" s="7815">
        <v>14</v>
      </c>
      <c r="AK59" s="6246"/>
      <c r="AL59" s="7816" t="str">
        <f>IF(AS59&lt;&gt;"",ROUND(AS59,0),IF($AE$41,MAX(AL34,AL58),""))</f>
        <v/>
      </c>
      <c r="AM59" s="7817"/>
      <c r="AN59" s="7817"/>
      <c r="AO59" s="7817"/>
      <c r="AP59" s="7817"/>
      <c r="AQ59" s="3350"/>
      <c r="AR59" s="3350"/>
      <c r="AS59" s="4159"/>
      <c r="AT59" s="3350"/>
    </row>
    <row r="60" spans="1:60" ht="14.25">
      <c r="A60" s="3350"/>
      <c r="B60" s="4558"/>
      <c r="C60" s="3618" t="s">
        <v>4037</v>
      </c>
      <c r="D60" s="1607"/>
      <c r="E60" s="1607"/>
      <c r="F60" s="1607"/>
      <c r="G60" s="1607"/>
      <c r="H60" s="3591"/>
      <c r="I60" s="1607"/>
      <c r="J60" s="1607"/>
      <c r="K60" s="1607"/>
      <c r="L60" s="1607"/>
      <c r="M60" s="1607"/>
      <c r="N60" s="1607"/>
      <c r="O60" s="1607"/>
      <c r="P60" s="1607"/>
      <c r="Q60" s="1607"/>
      <c r="R60" s="1607"/>
      <c r="S60" s="1607"/>
      <c r="T60" s="1607"/>
      <c r="U60" s="1607"/>
      <c r="V60" s="1607"/>
      <c r="W60" s="1607"/>
      <c r="X60" s="1607"/>
      <c r="Y60" s="1607"/>
      <c r="Z60" s="1607"/>
      <c r="AA60" s="3563"/>
      <c r="AB60" s="1607"/>
      <c r="AC60" s="3562"/>
      <c r="AD60" s="3562"/>
      <c r="AE60" s="7865">
        <f>MIN(AL25,AL59)</f>
        <v>0</v>
      </c>
      <c r="AF60" s="7865"/>
      <c r="AG60" s="7865"/>
      <c r="AH60" s="7865"/>
      <c r="AI60" s="7866"/>
      <c r="AJ60" s="3609"/>
      <c r="AK60" s="3610"/>
      <c r="AL60" s="3611"/>
      <c r="AM60" s="3612"/>
      <c r="AN60" s="3612"/>
      <c r="AO60" s="3612"/>
      <c r="AP60" s="3612"/>
      <c r="AQ60" s="3350"/>
      <c r="AR60" s="3350"/>
      <c r="AS60" s="3350"/>
      <c r="AT60" s="3350"/>
    </row>
    <row r="61" spans="1:60" s="3272" customFormat="1" ht="15.75">
      <c r="A61" s="3351"/>
      <c r="B61" s="6207" t="s">
        <v>363</v>
      </c>
      <c r="C61" s="6207"/>
      <c r="D61" s="6208"/>
      <c r="E61" s="3273"/>
      <c r="F61" s="3273"/>
      <c r="G61" s="3372" t="s">
        <v>2902</v>
      </c>
      <c r="H61" s="3273"/>
      <c r="I61" s="3273"/>
      <c r="J61" s="3273"/>
      <c r="K61" s="3273"/>
      <c r="L61" s="3273"/>
      <c r="M61" s="3273"/>
      <c r="N61" s="3273"/>
      <c r="O61" s="3273"/>
      <c r="P61" s="3273"/>
      <c r="Q61" s="3273"/>
      <c r="R61" s="3273"/>
      <c r="S61" s="3273"/>
      <c r="T61" s="3273"/>
      <c r="U61" s="3273"/>
      <c r="V61" s="3273"/>
      <c r="W61" s="3273"/>
      <c r="X61" s="3273"/>
      <c r="Y61" s="7820"/>
      <c r="Z61" s="7821"/>
      <c r="AA61" s="7821"/>
      <c r="AB61" s="7821"/>
      <c r="AC61" s="7821"/>
      <c r="AD61" s="7821"/>
      <c r="AE61" s="7820"/>
      <c r="AF61" s="7821"/>
      <c r="AG61" s="7821"/>
      <c r="AH61" s="7821"/>
      <c r="AI61" s="7821"/>
      <c r="AJ61" s="3631"/>
      <c r="AK61" s="3631"/>
      <c r="AL61" s="7818">
        <f>IF(OR($AL$13,$AV$20,AND(C36&lt;&gt;"",AL34=0)),0,IF(AND(C36&lt;&gt;"",AL34&lt;&gt;0),MIN(AL25,AL34),IF(AND(C39&lt;&gt;"",AL34&gt;AL25),AL25,MIN(AL25,AL59))))</f>
        <v>0</v>
      </c>
      <c r="AM61" s="7819"/>
      <c r="AN61" s="7819"/>
      <c r="AO61" s="7819"/>
      <c r="AP61" s="7819"/>
      <c r="AQ61" s="3350"/>
      <c r="AR61" s="3350"/>
      <c r="AS61" s="3350"/>
      <c r="AT61" s="3350"/>
      <c r="AU61" s="46"/>
      <c r="AV61" s="46"/>
      <c r="AW61" s="46"/>
      <c r="AX61" s="3169"/>
      <c r="AY61" s="3169"/>
      <c r="AZ61" s="3169"/>
      <c r="BA61" s="3169"/>
      <c r="BB61" s="3169"/>
      <c r="BC61" s="3169"/>
      <c r="BD61" s="3169"/>
      <c r="BE61" s="3169"/>
      <c r="BF61" s="3169"/>
      <c r="BG61" s="3169"/>
      <c r="BH61" s="3169"/>
    </row>
    <row r="62" spans="1:60" ht="15.75">
      <c r="A62" s="3350"/>
      <c r="B62" s="4558">
        <v>15</v>
      </c>
      <c r="C62" s="3606" t="s">
        <v>2903</v>
      </c>
      <c r="D62" s="1607"/>
      <c r="E62" s="1607"/>
      <c r="F62" s="1607"/>
      <c r="G62" s="1607"/>
      <c r="H62" s="1607"/>
      <c r="I62" s="1607"/>
      <c r="J62" s="1607"/>
      <c r="K62" s="1607"/>
      <c r="L62" s="1607"/>
      <c r="M62" s="1607"/>
      <c r="N62" s="1615"/>
      <c r="O62" s="1607"/>
      <c r="P62" s="1607"/>
      <c r="Q62" s="1607"/>
      <c r="R62" s="1607"/>
      <c r="S62" s="1607"/>
      <c r="T62" s="1607"/>
      <c r="U62" s="1607"/>
      <c r="V62" s="1607"/>
      <c r="W62" s="1607"/>
      <c r="X62" s="1607"/>
      <c r="Y62" s="1607"/>
      <c r="Z62" s="1607"/>
      <c r="AA62" s="1607"/>
      <c r="AB62" s="1607"/>
      <c r="AC62" s="1607"/>
      <c r="AD62" s="1607"/>
      <c r="AE62" s="1607"/>
      <c r="AF62" s="1607"/>
      <c r="AG62" s="1607"/>
      <c r="AH62" s="1607"/>
      <c r="AI62" s="3588" t="s">
        <v>1342</v>
      </c>
      <c r="AJ62" s="7815">
        <v>15</v>
      </c>
      <c r="AK62" s="6246"/>
      <c r="AL62" s="7816">
        <f>IF(AS62&lt;&gt;"",ROUND(AS62,0),IF(AV62,0,IF(AND(C36&lt;&gt;"",NOT(AV34)),AE37,IF(AND(C39&lt;&gt;"",AL34&gt;=AL25),AE40,IF(AE41,AE60,"")))))</f>
        <v>0</v>
      </c>
      <c r="AM62" s="7817"/>
      <c r="AN62" s="7817"/>
      <c r="AO62" s="7817"/>
      <c r="AP62" s="7817"/>
      <c r="AQ62" s="3350"/>
      <c r="AR62" s="3350"/>
      <c r="AS62" s="4159"/>
      <c r="AT62" s="3350"/>
      <c r="AV62" s="1441" t="b">
        <f>OR(AV20,AV22,AV34)</f>
        <v>1</v>
      </c>
    </row>
    <row r="63" spans="1:60">
      <c r="A63" s="3350"/>
      <c r="B63" s="3563"/>
      <c r="C63" s="3563"/>
      <c r="D63" s="1607"/>
      <c r="E63" s="1607"/>
      <c r="F63" s="1607"/>
      <c r="G63" s="1607"/>
      <c r="H63" s="1607"/>
      <c r="I63" s="1607"/>
      <c r="J63" s="1607"/>
      <c r="K63" s="1607"/>
      <c r="L63" s="1607"/>
      <c r="M63" s="1607"/>
      <c r="N63" s="1607"/>
      <c r="O63" s="1607"/>
      <c r="P63" s="1607"/>
      <c r="Q63" s="1607"/>
      <c r="R63" s="1607"/>
      <c r="S63" s="1607"/>
      <c r="T63" s="1607"/>
      <c r="U63" s="1607"/>
      <c r="V63" s="1607"/>
      <c r="W63" s="1607"/>
      <c r="X63" s="1607"/>
      <c r="Y63" s="1607"/>
      <c r="Z63" s="1607"/>
      <c r="AA63" s="1607"/>
      <c r="AB63" s="1607"/>
      <c r="AC63" s="1607"/>
      <c r="AD63" s="1607"/>
      <c r="AE63" s="1607"/>
      <c r="AF63" s="1607"/>
      <c r="AG63" s="1607"/>
      <c r="AH63" s="1607"/>
      <c r="AI63" s="1607"/>
      <c r="AJ63" s="1607"/>
      <c r="AK63" s="1607"/>
      <c r="AL63" s="1607"/>
      <c r="AM63" s="1607"/>
      <c r="AN63" s="1607"/>
      <c r="AO63" s="1607"/>
      <c r="AP63" s="1607"/>
      <c r="AQ63" s="3350"/>
      <c r="AR63" s="3350"/>
      <c r="AS63" s="3350"/>
      <c r="AT63" s="3350"/>
    </row>
    <row r="64" spans="1:60">
      <c r="A64" s="3350"/>
      <c r="B64" s="3563"/>
      <c r="C64" s="3563"/>
      <c r="D64" s="1607"/>
      <c r="E64" s="1607"/>
      <c r="F64" s="1607"/>
      <c r="G64" s="1607"/>
      <c r="H64" s="1607"/>
      <c r="I64" s="1607"/>
      <c r="J64" s="1607"/>
      <c r="K64" s="1607"/>
      <c r="L64" s="1607"/>
      <c r="M64" s="1607"/>
      <c r="N64" s="1607"/>
      <c r="O64" s="1607"/>
      <c r="P64" s="1607"/>
      <c r="Q64" s="1607"/>
      <c r="R64" s="1607"/>
      <c r="S64" s="1607"/>
      <c r="T64" s="1607"/>
      <c r="U64" s="1607"/>
      <c r="V64" s="1607"/>
      <c r="W64" s="1607"/>
      <c r="X64" s="1607"/>
      <c r="Y64" s="1607"/>
      <c r="Z64" s="1607"/>
      <c r="AA64" s="1607"/>
      <c r="AB64" s="1607"/>
      <c r="AC64" s="1607"/>
      <c r="AD64" s="1607"/>
      <c r="AE64" s="1607"/>
      <c r="AF64" s="1607"/>
      <c r="AG64" s="1607"/>
      <c r="AH64" s="1607"/>
      <c r="AI64" s="1607"/>
      <c r="AJ64" s="1607"/>
      <c r="AK64" s="1607"/>
      <c r="AL64" s="1943"/>
      <c r="AM64" s="3561"/>
      <c r="AN64" s="3561"/>
      <c r="AO64" s="3561"/>
      <c r="AP64" s="3561"/>
      <c r="AQ64" s="3350"/>
      <c r="AR64" s="3350"/>
      <c r="AS64" s="3350"/>
      <c r="AT64" s="3350"/>
    </row>
    <row r="65" spans="1:60">
      <c r="A65" s="3350"/>
      <c r="B65" s="3563"/>
      <c r="C65" s="3563"/>
      <c r="D65" s="1607"/>
      <c r="E65" s="1607"/>
      <c r="F65" s="1607"/>
      <c r="G65" s="1607"/>
      <c r="H65" s="1607"/>
      <c r="I65" s="1607"/>
      <c r="J65" s="1607"/>
      <c r="K65" s="1607"/>
      <c r="L65" s="1607"/>
      <c r="M65" s="1607"/>
      <c r="N65" s="1607"/>
      <c r="O65" s="1607"/>
      <c r="P65" s="1607"/>
      <c r="Q65" s="1607"/>
      <c r="R65" s="1607"/>
      <c r="S65" s="1607"/>
      <c r="T65" s="1607"/>
      <c r="U65" s="1607"/>
      <c r="V65" s="1607"/>
      <c r="W65" s="1607"/>
      <c r="X65" s="1607"/>
      <c r="Y65" s="1607"/>
      <c r="Z65" s="1607"/>
      <c r="AA65" s="1607"/>
      <c r="AB65" s="1607"/>
      <c r="AC65" s="1607"/>
      <c r="AD65" s="1607"/>
      <c r="AE65" s="1607"/>
      <c r="AF65" s="1607"/>
      <c r="AG65" s="1607"/>
      <c r="AH65" s="1607"/>
      <c r="AI65" s="1607"/>
      <c r="AJ65" s="1607"/>
      <c r="AK65" s="1607"/>
      <c r="AL65" s="1943"/>
      <c r="AM65" s="3561"/>
      <c r="AN65" s="3561"/>
      <c r="AO65" s="3561"/>
      <c r="AP65" s="3561"/>
      <c r="AQ65" s="3350"/>
      <c r="AR65" s="3350"/>
      <c r="AS65" s="3350"/>
      <c r="AT65" s="3350"/>
    </row>
    <row r="66" spans="1:60">
      <c r="A66" s="3350"/>
      <c r="B66" s="2377"/>
      <c r="C66" s="2541"/>
      <c r="D66" s="1607"/>
      <c r="E66" s="1607"/>
      <c r="F66" s="1607"/>
      <c r="G66" s="1607"/>
      <c r="H66" s="1607"/>
      <c r="I66" s="1607"/>
      <c r="J66" s="1607"/>
      <c r="K66" s="1607"/>
      <c r="L66" s="1607"/>
      <c r="M66" s="1607"/>
      <c r="N66" s="1607"/>
      <c r="O66" s="1607"/>
      <c r="P66" s="1607"/>
      <c r="Q66" s="1607"/>
      <c r="R66" s="1607"/>
      <c r="S66" s="1607"/>
      <c r="T66" s="1607"/>
      <c r="U66" s="1607"/>
      <c r="V66" s="1607"/>
      <c r="W66" s="1607"/>
      <c r="X66" s="1607"/>
      <c r="Y66" s="1607"/>
      <c r="Z66" s="1607"/>
      <c r="AA66" s="1607"/>
      <c r="AB66" s="1607"/>
      <c r="AC66" s="1607"/>
      <c r="AD66" s="1607"/>
      <c r="AE66" s="1607"/>
      <c r="AF66" s="1607"/>
      <c r="AG66" s="1607"/>
      <c r="AH66" s="1607"/>
      <c r="AI66" s="1607"/>
      <c r="AJ66" s="1607"/>
      <c r="AK66" s="1607"/>
      <c r="AL66" s="2541"/>
      <c r="AM66" s="1607"/>
      <c r="AN66" s="1607"/>
      <c r="AO66" s="1607"/>
      <c r="AP66" s="2541"/>
      <c r="AQ66" s="3350"/>
      <c r="AR66" s="3350"/>
      <c r="AS66" s="3350"/>
      <c r="AT66" s="3350"/>
    </row>
    <row r="67" spans="1:60" ht="13.5" thickBot="1">
      <c r="A67" s="3350"/>
      <c r="B67" s="1607"/>
      <c r="C67" s="1607"/>
      <c r="D67" s="1607"/>
      <c r="E67" s="1607"/>
      <c r="F67" s="1607"/>
      <c r="G67" s="1607"/>
      <c r="H67" s="1607"/>
      <c r="I67" s="1607"/>
      <c r="J67" s="1607"/>
      <c r="K67" s="1607"/>
      <c r="L67" s="1607"/>
      <c r="M67" s="1607"/>
      <c r="N67" s="1607"/>
      <c r="O67" s="1607"/>
      <c r="P67" s="1607"/>
      <c r="Q67" s="1607"/>
      <c r="R67" s="1607"/>
      <c r="S67" s="1607"/>
      <c r="T67" s="1607"/>
      <c r="U67" s="1617"/>
      <c r="V67" s="1607"/>
      <c r="W67" s="1607"/>
      <c r="X67" s="1607"/>
      <c r="Y67" s="1607"/>
      <c r="Z67" s="1607"/>
      <c r="AA67" s="1607"/>
      <c r="AB67" s="1607"/>
      <c r="AC67" s="1607"/>
      <c r="AD67" s="1607"/>
      <c r="AE67" s="1607"/>
      <c r="AF67" s="1607"/>
      <c r="AG67" s="1607"/>
      <c r="AH67" s="1607"/>
      <c r="AI67" s="1607"/>
      <c r="AJ67" s="1607"/>
      <c r="AK67" s="1607"/>
      <c r="AL67" s="1607"/>
      <c r="AM67" s="1607"/>
      <c r="AN67" s="1607"/>
      <c r="AO67" s="1607"/>
      <c r="AP67" s="1607"/>
      <c r="AQ67" s="3350"/>
      <c r="AR67" s="3350"/>
      <c r="AS67" s="3350"/>
      <c r="AT67" s="3350"/>
    </row>
    <row r="68" spans="1:60" ht="17.25" customHeight="1">
      <c r="A68" s="3350"/>
      <c r="B68" s="3716" t="s">
        <v>564</v>
      </c>
      <c r="C68" s="3717"/>
      <c r="D68" s="3718"/>
      <c r="E68" s="3718"/>
      <c r="F68" s="3718"/>
      <c r="G68" s="3718"/>
      <c r="H68" s="3718"/>
      <c r="I68" s="3718"/>
      <c r="J68" s="3718"/>
      <c r="K68" s="3718"/>
      <c r="L68" s="3718"/>
      <c r="M68" s="3718"/>
      <c r="N68" s="3718"/>
      <c r="O68" s="3718"/>
      <c r="P68" s="3718"/>
      <c r="Q68" s="3718"/>
      <c r="R68" s="3718"/>
      <c r="S68" s="3718"/>
      <c r="T68" s="3718"/>
      <c r="U68" s="3718"/>
      <c r="V68" s="3718"/>
      <c r="W68" s="3718"/>
      <c r="X68" s="3718"/>
      <c r="Y68" s="3718"/>
      <c r="Z68" s="3718"/>
      <c r="AA68" s="3719" t="s">
        <v>2895</v>
      </c>
      <c r="AB68" s="3718"/>
      <c r="AC68" s="3718"/>
      <c r="AD68" s="3718"/>
      <c r="AE68" s="3718"/>
      <c r="AF68" s="3718"/>
      <c r="AG68" s="3718"/>
      <c r="AH68" s="3718"/>
      <c r="AI68" s="3718"/>
      <c r="AJ68" s="3718"/>
      <c r="AK68" s="3718"/>
      <c r="AL68" s="3720"/>
      <c r="AM68" s="3718"/>
      <c r="AN68" s="3718"/>
      <c r="AO68" s="3718"/>
      <c r="AP68" s="3715" t="str">
        <f>"Schedule 8812 (Form 1040) "&amp;TaxYear</f>
        <v>Schedule 8812 (Form 1040) 2018</v>
      </c>
      <c r="AQ68" s="3350"/>
      <c r="AR68" s="3350"/>
      <c r="AS68" s="3350"/>
      <c r="AT68" s="3350"/>
    </row>
    <row r="69" spans="1:60" ht="40.5" customHeight="1">
      <c r="A69" s="3350"/>
      <c r="B69" s="3861" t="s">
        <v>3446</v>
      </c>
      <c r="C69" s="1443"/>
      <c r="D69" s="1443"/>
      <c r="E69" s="1443"/>
      <c r="F69" s="1443"/>
      <c r="G69" s="1443"/>
      <c r="H69" s="1443"/>
      <c r="I69" s="1443"/>
      <c r="J69" s="1443"/>
      <c r="K69" s="1443"/>
      <c r="L69" s="1443"/>
      <c r="M69" s="1443"/>
      <c r="N69" s="1443"/>
      <c r="O69" s="1443"/>
      <c r="P69" s="1443"/>
      <c r="Q69" s="1443"/>
      <c r="R69" s="1443"/>
      <c r="S69" s="1443"/>
      <c r="T69" s="1443"/>
      <c r="U69" s="1443"/>
      <c r="V69" s="1443"/>
      <c r="W69" s="1443"/>
      <c r="X69" s="1443"/>
      <c r="Y69" s="1443"/>
      <c r="Z69" s="1443"/>
      <c r="AA69" s="1443"/>
      <c r="AB69" s="1443"/>
      <c r="AC69" s="1443"/>
      <c r="AD69" s="1443"/>
      <c r="AE69" s="1443"/>
      <c r="AF69" s="1443"/>
      <c r="AG69" s="1443"/>
      <c r="AH69" s="1443"/>
      <c r="AI69" s="1443"/>
      <c r="AJ69" s="1443"/>
      <c r="AK69" s="1443"/>
      <c r="AL69" s="1443"/>
      <c r="AM69" s="4157" t="s">
        <v>200</v>
      </c>
      <c r="AN69" s="1443"/>
      <c r="AO69" s="1443"/>
      <c r="AP69" s="1443"/>
      <c r="AQ69" s="3350"/>
      <c r="AR69" s="3350"/>
      <c r="AS69" s="3350"/>
      <c r="AT69" s="3350"/>
    </row>
    <row r="70" spans="1:60" s="323" customFormat="1" ht="17.25" customHeight="1">
      <c r="A70" s="3350"/>
      <c r="B70" s="4158" t="s">
        <v>3447</v>
      </c>
      <c r="C70" s="4155"/>
      <c r="D70" s="4155"/>
      <c r="E70" s="4155"/>
      <c r="F70" s="4155"/>
      <c r="G70" s="4155"/>
      <c r="H70" s="4155"/>
      <c r="I70" s="4155"/>
      <c r="J70" s="4155"/>
      <c r="K70" s="4155"/>
      <c r="L70" s="4155"/>
      <c r="M70" s="4155"/>
      <c r="N70" s="4155"/>
      <c r="O70" s="4155"/>
      <c r="P70" s="4155"/>
      <c r="Q70" s="4155"/>
      <c r="R70" s="4155"/>
      <c r="S70" s="4155"/>
      <c r="T70" s="4155"/>
      <c r="U70" s="4155"/>
      <c r="V70" s="4155"/>
      <c r="W70" s="4155"/>
      <c r="X70" s="4155"/>
      <c r="Y70" s="4155"/>
      <c r="Z70" s="4155"/>
      <c r="AA70" s="4155"/>
      <c r="AB70" s="4155"/>
      <c r="AC70" s="4155"/>
      <c r="AD70" s="4155"/>
      <c r="AE70" s="4155"/>
      <c r="AF70" s="4155"/>
      <c r="AG70" s="4155"/>
      <c r="AH70" s="4155"/>
      <c r="AI70" s="4155"/>
      <c r="AJ70" s="4155"/>
      <c r="AK70" s="4155"/>
      <c r="AL70" s="4155"/>
      <c r="AM70" s="4155"/>
      <c r="AN70" s="4155"/>
      <c r="AO70" s="4155"/>
      <c r="AP70" s="4155"/>
      <c r="AQ70" s="3351"/>
      <c r="AR70" s="3350"/>
      <c r="AS70" s="3350"/>
      <c r="AT70" s="3350"/>
      <c r="AX70" s="4154"/>
      <c r="AY70" s="4154"/>
      <c r="AZ70" s="4154"/>
      <c r="BA70" s="4154"/>
      <c r="BB70" s="4154"/>
      <c r="BC70" s="4154"/>
      <c r="BD70" s="4154"/>
      <c r="BE70" s="4154"/>
      <c r="BF70" s="4154"/>
      <c r="BG70" s="4154"/>
      <c r="BH70" s="4154"/>
    </row>
    <row r="71" spans="1:60" ht="15">
      <c r="A71" s="3350"/>
      <c r="B71" s="1592"/>
      <c r="C71" s="1592"/>
      <c r="D71" s="1592"/>
      <c r="E71" s="1592"/>
      <c r="F71" s="1592"/>
      <c r="G71" s="1592"/>
      <c r="H71" s="1592"/>
      <c r="I71" s="1592"/>
      <c r="J71" s="1592"/>
      <c r="K71" s="1592"/>
      <c r="L71" s="1592"/>
      <c r="M71" s="1592"/>
      <c r="N71" s="1592"/>
      <c r="O71" s="1592"/>
      <c r="P71" s="1592"/>
      <c r="Q71" s="1592"/>
      <c r="R71" s="1592"/>
      <c r="S71" s="1592"/>
      <c r="T71" s="1592"/>
      <c r="U71" s="1592"/>
      <c r="V71" s="1592"/>
      <c r="W71" s="1592"/>
      <c r="X71" s="1592"/>
      <c r="Y71" s="1592"/>
      <c r="Z71" s="1592"/>
      <c r="AA71" s="1592"/>
      <c r="AB71" s="1592"/>
      <c r="AC71" s="1592"/>
      <c r="AD71" s="1592"/>
      <c r="AE71" s="1592"/>
      <c r="AF71" s="1592"/>
      <c r="AG71" s="1592"/>
      <c r="AH71" s="1592"/>
      <c r="AI71" s="1592"/>
      <c r="AJ71" s="1592"/>
      <c r="AK71" s="1592"/>
      <c r="AL71" s="1592"/>
      <c r="AM71" s="1592"/>
      <c r="AN71" s="1592"/>
      <c r="AO71" s="1592"/>
      <c r="AP71" s="1592"/>
      <c r="AQ71" s="3351"/>
      <c r="AR71" s="3350"/>
      <c r="AS71" s="2940" t="s">
        <v>101</v>
      </c>
      <c r="AT71" s="3350"/>
    </row>
    <row r="72" spans="1:60">
      <c r="A72" s="3350"/>
      <c r="B72" s="3405" t="s">
        <v>3448</v>
      </c>
      <c r="C72" s="3405"/>
      <c r="D72" s="1592"/>
      <c r="E72" s="1592"/>
      <c r="F72" s="1592"/>
      <c r="G72" s="1592"/>
      <c r="H72" s="1592"/>
      <c r="I72" s="1592"/>
      <c r="J72" s="1592"/>
      <c r="K72" s="1592"/>
      <c r="L72" s="1592"/>
      <c r="M72" s="1592"/>
      <c r="N72" s="1592"/>
      <c r="O72" s="1592"/>
      <c r="P72" s="1592"/>
      <c r="Q72" s="1592"/>
      <c r="R72" s="1592"/>
      <c r="S72" s="1592"/>
      <c r="T72" s="1592"/>
      <c r="U72" s="1592"/>
      <c r="V72" s="1592"/>
      <c r="W72" s="1592"/>
      <c r="X72" s="1592"/>
      <c r="Y72" s="1592"/>
      <c r="Z72" s="1592"/>
      <c r="AA72" s="1592"/>
      <c r="AB72" s="1592"/>
      <c r="AC72" s="1592"/>
      <c r="AD72" s="1592"/>
      <c r="AE72" s="1592"/>
      <c r="AF72" s="1592"/>
      <c r="AG72" s="1592"/>
      <c r="AH72" s="1592"/>
      <c r="AI72" s="1592"/>
      <c r="AJ72" s="1592"/>
      <c r="AK72" s="1592"/>
      <c r="AL72" s="1592"/>
      <c r="AM72" s="1592"/>
      <c r="AN72" s="1592"/>
      <c r="AO72" s="1592"/>
      <c r="AP72" s="1592"/>
      <c r="AQ72" s="3350"/>
      <c r="AR72" s="3350"/>
      <c r="AS72" s="3350"/>
      <c r="AT72" s="3350"/>
    </row>
    <row r="73" spans="1:60">
      <c r="A73" s="3350"/>
      <c r="B73" s="1592"/>
      <c r="C73" s="3405"/>
      <c r="D73" s="1592"/>
      <c r="E73" s="1592"/>
      <c r="F73" s="1592"/>
      <c r="G73" s="1592"/>
      <c r="H73" s="1592"/>
      <c r="I73" s="1592"/>
      <c r="J73" s="1592"/>
      <c r="K73" s="1592"/>
      <c r="L73" s="1592"/>
      <c r="M73" s="1592"/>
      <c r="N73" s="1592"/>
      <c r="O73" s="1592"/>
      <c r="P73" s="1592"/>
      <c r="Q73" s="1592"/>
      <c r="R73" s="1592"/>
      <c r="S73" s="1592"/>
      <c r="T73" s="1592"/>
      <c r="U73" s="1592"/>
      <c r="V73" s="1592"/>
      <c r="W73" s="1592"/>
      <c r="X73" s="1592"/>
      <c r="Y73" s="1592"/>
      <c r="Z73" s="1592"/>
      <c r="AA73" s="1592"/>
      <c r="AB73" s="1592"/>
      <c r="AC73" s="1592"/>
      <c r="AD73" s="1592"/>
      <c r="AE73" s="1592"/>
      <c r="AF73" s="1592"/>
      <c r="AG73" s="1592"/>
      <c r="AH73" s="1592"/>
      <c r="AI73" s="1592"/>
      <c r="AJ73" s="1592"/>
      <c r="AK73" s="1592"/>
      <c r="AL73" s="1592"/>
      <c r="AM73" s="1592"/>
      <c r="AN73" s="1592"/>
      <c r="AO73" s="1592"/>
      <c r="AP73" s="1592"/>
      <c r="AQ73" s="3350"/>
      <c r="AR73" s="3350"/>
      <c r="AS73" s="3350"/>
      <c r="AT73" s="3350"/>
    </row>
    <row r="74" spans="1:60" ht="15.75">
      <c r="A74" s="3350"/>
      <c r="B74" s="1592"/>
      <c r="C74" s="4156" t="s">
        <v>336</v>
      </c>
      <c r="D74" s="1592" t="s">
        <v>3449</v>
      </c>
      <c r="E74" s="1592"/>
      <c r="F74" s="1592"/>
      <c r="G74" s="1592"/>
      <c r="H74" s="1592"/>
      <c r="I74" s="1592"/>
      <c r="J74" s="1592"/>
      <c r="K74" s="1592"/>
      <c r="L74" s="1592"/>
      <c r="M74" s="1592"/>
      <c r="N74" s="1592"/>
      <c r="O74" s="1592"/>
      <c r="P74" s="1592"/>
      <c r="Q74" s="1592"/>
      <c r="R74" s="1592"/>
      <c r="S74" s="1592"/>
      <c r="T74" s="1592"/>
      <c r="U74" s="1592"/>
      <c r="V74" s="1592"/>
      <c r="W74" s="1592"/>
      <c r="X74" s="1592"/>
      <c r="Y74" s="1592"/>
      <c r="Z74" s="1592"/>
      <c r="AA74" s="1592"/>
      <c r="AB74" s="1592"/>
      <c r="AC74" s="1592"/>
      <c r="AD74" s="1592"/>
      <c r="AE74" s="1592"/>
      <c r="AF74" s="1592"/>
      <c r="AG74" s="1592"/>
      <c r="AH74" s="1592"/>
      <c r="AI74" s="1592"/>
      <c r="AJ74" s="3588" t="s">
        <v>104</v>
      </c>
      <c r="AK74" s="1804" t="str">
        <f>C74</f>
        <v>1.</v>
      </c>
      <c r="AL74" s="7804" t="str">
        <f>IF(AS74&lt;&gt;"",ROUND(AS74,0),IF(AE41,W2_SS_Tax_Withheld,""))</f>
        <v/>
      </c>
      <c r="AM74" s="7804"/>
      <c r="AN74" s="7804"/>
      <c r="AO74" s="7804"/>
      <c r="AP74" s="7804"/>
      <c r="AQ74" s="3350"/>
      <c r="AR74" s="3350"/>
      <c r="AS74" s="4159"/>
      <c r="AT74" s="3350"/>
    </row>
    <row r="75" spans="1:60">
      <c r="A75" s="3350"/>
      <c r="B75" s="1592"/>
      <c r="C75" s="3405"/>
      <c r="D75" s="1592"/>
      <c r="E75" s="1592"/>
      <c r="F75" s="1592"/>
      <c r="G75" s="1592"/>
      <c r="H75" s="1592"/>
      <c r="I75" s="1592"/>
      <c r="J75" s="1592"/>
      <c r="K75" s="1592"/>
      <c r="L75" s="1592"/>
      <c r="M75" s="1592"/>
      <c r="N75" s="1592"/>
      <c r="O75" s="1592"/>
      <c r="P75" s="1592"/>
      <c r="Q75" s="1592"/>
      <c r="R75" s="1592"/>
      <c r="S75" s="1592"/>
      <c r="T75" s="1592"/>
      <c r="U75" s="1592"/>
      <c r="V75" s="1592"/>
      <c r="W75" s="1592"/>
      <c r="X75" s="1592"/>
      <c r="Y75" s="1592"/>
      <c r="Z75" s="1592"/>
      <c r="AA75" s="1592"/>
      <c r="AB75" s="1592"/>
      <c r="AC75" s="1592"/>
      <c r="AD75" s="1592"/>
      <c r="AE75" s="1592"/>
      <c r="AF75" s="1592"/>
      <c r="AG75" s="1592"/>
      <c r="AH75" s="1592"/>
      <c r="AI75" s="1592"/>
      <c r="AJ75" s="1592"/>
      <c r="AK75" s="1592"/>
      <c r="AL75" s="1592"/>
      <c r="AM75" s="1592"/>
      <c r="AN75" s="1592"/>
      <c r="AO75" s="1592"/>
      <c r="AP75" s="1592"/>
      <c r="AQ75" s="3350"/>
      <c r="AR75" s="3350"/>
      <c r="AS75" s="3350"/>
      <c r="AT75" s="3350"/>
    </row>
    <row r="76" spans="1:60" ht="15.75">
      <c r="A76" s="3350"/>
      <c r="B76" s="1592"/>
      <c r="C76" s="4156" t="s">
        <v>0</v>
      </c>
      <c r="D76" s="1592" t="s">
        <v>3450</v>
      </c>
      <c r="E76" s="1592"/>
      <c r="F76" s="1592"/>
      <c r="G76" s="1592"/>
      <c r="H76" s="1592"/>
      <c r="I76" s="1592"/>
      <c r="J76" s="1592"/>
      <c r="K76" s="1592"/>
      <c r="L76" s="1592"/>
      <c r="M76" s="1592"/>
      <c r="N76" s="1592"/>
      <c r="O76" s="1592"/>
      <c r="P76" s="1592"/>
      <c r="Q76" s="1592"/>
      <c r="R76" s="1592"/>
      <c r="S76" s="1592"/>
      <c r="T76" s="1592"/>
      <c r="U76" s="1592"/>
      <c r="V76" s="1592"/>
      <c r="W76" s="1592"/>
      <c r="X76" s="1592"/>
      <c r="Y76" s="1592"/>
      <c r="Z76" s="1592"/>
      <c r="AA76" s="1592"/>
      <c r="AB76" s="1592"/>
      <c r="AC76" s="1592"/>
      <c r="AD76" s="1592"/>
      <c r="AE76" s="1592"/>
      <c r="AF76" s="1592"/>
      <c r="AG76" s="1592"/>
      <c r="AH76" s="1592"/>
      <c r="AI76" s="1592"/>
      <c r="AJ76" s="3588" t="s">
        <v>682</v>
      </c>
      <c r="AK76" s="1804" t="str">
        <f>C76</f>
        <v>2.</v>
      </c>
      <c r="AL76" s="7804" t="str">
        <f>IF(AS76&lt;&gt;"",ROUND(AS76,0),IF(AE41,MedCare_Tax_Withheld,""))</f>
        <v/>
      </c>
      <c r="AM76" s="7804"/>
      <c r="AN76" s="7804"/>
      <c r="AO76" s="7804"/>
      <c r="AP76" s="7804"/>
      <c r="AQ76" s="3350"/>
      <c r="AR76" s="3350"/>
      <c r="AS76" s="4159"/>
      <c r="AT76" s="3350"/>
    </row>
    <row r="77" spans="1:60">
      <c r="A77" s="3350"/>
      <c r="B77" s="1592"/>
      <c r="C77" s="3405"/>
      <c r="D77" s="1592"/>
      <c r="E77" s="1592"/>
      <c r="F77" s="1592"/>
      <c r="G77" s="1592"/>
      <c r="H77" s="1592"/>
      <c r="I77" s="1592"/>
      <c r="J77" s="1592"/>
      <c r="K77" s="1592"/>
      <c r="L77" s="1592"/>
      <c r="M77" s="1592"/>
      <c r="N77" s="1592"/>
      <c r="O77" s="1592"/>
      <c r="P77" s="1592"/>
      <c r="Q77" s="1592"/>
      <c r="R77" s="1592"/>
      <c r="S77" s="1592"/>
      <c r="T77" s="1592"/>
      <c r="U77" s="1592"/>
      <c r="V77" s="1592"/>
      <c r="W77" s="1592"/>
      <c r="X77" s="1592"/>
      <c r="Y77" s="1592"/>
      <c r="Z77" s="1592"/>
      <c r="AA77" s="1592"/>
      <c r="AB77" s="1592"/>
      <c r="AC77" s="1592"/>
      <c r="AD77" s="1592"/>
      <c r="AE77" s="1592"/>
      <c r="AF77" s="1592"/>
      <c r="AG77" s="1592"/>
      <c r="AH77" s="1592"/>
      <c r="AI77" s="1592"/>
      <c r="AJ77" s="1592"/>
      <c r="AK77" s="1592"/>
      <c r="AL77" s="1592"/>
      <c r="AM77" s="1592"/>
      <c r="AN77" s="1592"/>
      <c r="AO77" s="1592"/>
      <c r="AP77" s="1592"/>
      <c r="AQ77" s="3350"/>
      <c r="AR77" s="3350"/>
      <c r="AS77" s="3350"/>
      <c r="AT77" s="3350"/>
    </row>
    <row r="78" spans="1:60" ht="15.75">
      <c r="A78" s="3350"/>
      <c r="B78" s="1592"/>
      <c r="C78" s="4156" t="s">
        <v>1</v>
      </c>
      <c r="D78" s="1592" t="s">
        <v>3451</v>
      </c>
      <c r="E78" s="1592"/>
      <c r="F78" s="1592"/>
      <c r="G78" s="1592"/>
      <c r="H78" s="1592"/>
      <c r="I78" s="1592"/>
      <c r="J78" s="1592"/>
      <c r="K78" s="1592"/>
      <c r="L78" s="1592"/>
      <c r="M78" s="1592"/>
      <c r="N78" s="1592"/>
      <c r="O78" s="1592"/>
      <c r="P78" s="1592"/>
      <c r="Q78" s="1592"/>
      <c r="R78" s="1592"/>
      <c r="S78" s="1592"/>
      <c r="T78" s="1592"/>
      <c r="U78" s="1592"/>
      <c r="V78" s="1592"/>
      <c r="W78" s="1592"/>
      <c r="X78" s="1592"/>
      <c r="Y78" s="1592"/>
      <c r="Z78" s="1592"/>
      <c r="AA78" s="1592"/>
      <c r="AB78" s="1592"/>
      <c r="AC78" s="1592"/>
      <c r="AD78" s="1592"/>
      <c r="AE78" s="1592"/>
      <c r="AF78" s="1592"/>
      <c r="AG78" s="1592"/>
      <c r="AH78" s="1592"/>
      <c r="AI78" s="1592"/>
      <c r="AJ78" s="3588" t="s">
        <v>764</v>
      </c>
      <c r="AK78" s="1804" t="str">
        <f>C78</f>
        <v>3.</v>
      </c>
      <c r="AL78" s="7804" t="str">
        <f>IF(AS78&lt;&gt;"",ROUND(AS78,0),IF(AE41,'8959'!M28,""))</f>
        <v/>
      </c>
      <c r="AM78" s="7804"/>
      <c r="AN78" s="7804"/>
      <c r="AO78" s="7804"/>
      <c r="AP78" s="7804"/>
      <c r="AQ78" s="3350"/>
      <c r="AR78" s="3350"/>
      <c r="AS78" s="4159"/>
      <c r="AT78" s="3350"/>
    </row>
    <row r="79" spans="1:60">
      <c r="A79" s="3350"/>
      <c r="B79" s="1592"/>
      <c r="C79" s="3405"/>
      <c r="D79" s="1592"/>
      <c r="E79" s="1592"/>
      <c r="F79" s="1592"/>
      <c r="G79" s="1592"/>
      <c r="H79" s="1592"/>
      <c r="I79" s="1592"/>
      <c r="J79" s="1592"/>
      <c r="K79" s="1592"/>
      <c r="L79" s="1592"/>
      <c r="M79" s="1592"/>
      <c r="N79" s="1592"/>
      <c r="O79" s="1592"/>
      <c r="P79" s="1592"/>
      <c r="Q79" s="1592"/>
      <c r="R79" s="1592"/>
      <c r="S79" s="1592"/>
      <c r="T79" s="1592"/>
      <c r="U79" s="1592"/>
      <c r="V79" s="1592"/>
      <c r="W79" s="1592"/>
      <c r="X79" s="1592"/>
      <c r="Y79" s="1592"/>
      <c r="Z79" s="1592"/>
      <c r="AA79" s="1592"/>
      <c r="AB79" s="1592"/>
      <c r="AC79" s="1592"/>
      <c r="AD79" s="1592"/>
      <c r="AE79" s="1592"/>
      <c r="AF79" s="1592"/>
      <c r="AG79" s="1592"/>
      <c r="AH79" s="1592"/>
      <c r="AI79" s="1592"/>
      <c r="AJ79" s="1592"/>
      <c r="AK79" s="1592"/>
      <c r="AL79" s="1592"/>
      <c r="AM79" s="1592"/>
      <c r="AN79" s="1592"/>
      <c r="AO79" s="1592"/>
      <c r="AP79" s="1592"/>
      <c r="AQ79" s="3350"/>
      <c r="AR79" s="3350"/>
      <c r="AS79" s="3350"/>
      <c r="AT79" s="3350"/>
    </row>
    <row r="80" spans="1:60" ht="15.75">
      <c r="A80" s="3350"/>
      <c r="B80" s="1592"/>
      <c r="C80" s="4156" t="s">
        <v>455</v>
      </c>
      <c r="D80" s="1592" t="s">
        <v>3452</v>
      </c>
      <c r="E80" s="1592"/>
      <c r="F80" s="1592"/>
      <c r="G80" s="1592"/>
      <c r="H80" s="1592"/>
      <c r="I80" s="1592"/>
      <c r="J80" s="1592"/>
      <c r="K80" s="1592"/>
      <c r="L80" s="1592"/>
      <c r="M80" s="1592"/>
      <c r="N80" s="1592"/>
      <c r="O80" s="1592"/>
      <c r="P80" s="1592"/>
      <c r="Q80" s="1592"/>
      <c r="R80" s="1592"/>
      <c r="S80" s="1592"/>
      <c r="T80" s="1592"/>
      <c r="U80" s="1592"/>
      <c r="V80" s="1592"/>
      <c r="W80" s="1592"/>
      <c r="X80" s="1592"/>
      <c r="Y80" s="1592"/>
      <c r="Z80" s="1592"/>
      <c r="AA80" s="1592"/>
      <c r="AB80" s="1592"/>
      <c r="AC80" s="1592"/>
      <c r="AD80" s="1592"/>
      <c r="AE80" s="1592"/>
      <c r="AF80" s="1592"/>
      <c r="AG80" s="1592"/>
      <c r="AH80" s="1592"/>
      <c r="AI80" s="1592"/>
      <c r="AJ80" s="3588" t="s">
        <v>684</v>
      </c>
      <c r="AK80" s="1804" t="str">
        <f>C80</f>
        <v>4.</v>
      </c>
      <c r="AL80" s="7804" t="str">
        <f>IF(AS80&lt;&gt;"",ROUND(AS80,0),IF(AE41,SUM(AL74,AL76,AL78),""))</f>
        <v/>
      </c>
      <c r="AM80" s="7804"/>
      <c r="AN80" s="7804"/>
      <c r="AO80" s="7804"/>
      <c r="AP80" s="7804"/>
      <c r="AQ80" s="3350"/>
      <c r="AR80" s="3350"/>
      <c r="AS80" s="4159"/>
      <c r="AT80" s="3350"/>
    </row>
    <row r="81" spans="1:46">
      <c r="A81" s="3350"/>
      <c r="B81" s="1592"/>
      <c r="C81" s="3405"/>
      <c r="D81" s="1592"/>
      <c r="E81" s="1592"/>
      <c r="F81" s="1592"/>
      <c r="G81" s="1592"/>
      <c r="H81" s="1592"/>
      <c r="I81" s="1592"/>
      <c r="J81" s="1592"/>
      <c r="K81" s="1592"/>
      <c r="L81" s="1592"/>
      <c r="M81" s="1592"/>
      <c r="N81" s="1592"/>
      <c r="O81" s="1592"/>
      <c r="P81" s="1592"/>
      <c r="Q81" s="1592"/>
      <c r="R81" s="1592"/>
      <c r="S81" s="1592"/>
      <c r="T81" s="1592"/>
      <c r="U81" s="1592"/>
      <c r="V81" s="1592"/>
      <c r="W81" s="1592"/>
      <c r="X81" s="1592"/>
      <c r="Y81" s="1592"/>
      <c r="Z81" s="1592"/>
      <c r="AA81" s="1592"/>
      <c r="AB81" s="1592"/>
      <c r="AC81" s="1592"/>
      <c r="AD81" s="1592"/>
      <c r="AE81" s="1592"/>
      <c r="AF81" s="1592"/>
      <c r="AG81" s="1592"/>
      <c r="AH81" s="1592"/>
      <c r="AI81" s="1592"/>
      <c r="AJ81" s="1592"/>
      <c r="AK81" s="1592"/>
      <c r="AL81" s="1592"/>
      <c r="AM81" s="1592"/>
      <c r="AN81" s="1592"/>
      <c r="AO81" s="1592"/>
      <c r="AP81" s="1592"/>
      <c r="AQ81" s="3350"/>
      <c r="AR81" s="3350"/>
      <c r="AS81" s="3350"/>
      <c r="AT81" s="3350"/>
    </row>
    <row r="82" spans="1:46" ht="15.75">
      <c r="A82" s="3350"/>
      <c r="B82" s="1592"/>
      <c r="C82" s="4156" t="s">
        <v>35</v>
      </c>
      <c r="D82" s="1592" t="s">
        <v>3453</v>
      </c>
      <c r="E82" s="1592"/>
      <c r="F82" s="1592"/>
      <c r="G82" s="1592"/>
      <c r="H82" s="1592"/>
      <c r="I82" s="1592"/>
      <c r="J82" s="1592"/>
      <c r="K82" s="1592"/>
      <c r="L82" s="1592"/>
      <c r="M82" s="1592"/>
      <c r="N82" s="1592"/>
      <c r="O82" s="1592"/>
      <c r="P82" s="1592"/>
      <c r="Q82" s="1592"/>
      <c r="R82" s="1592"/>
      <c r="S82" s="1592"/>
      <c r="T82" s="1592"/>
      <c r="U82" s="1592"/>
      <c r="V82" s="1592"/>
      <c r="W82" s="1592"/>
      <c r="X82" s="1592"/>
      <c r="Y82" s="1592"/>
      <c r="Z82" s="1592"/>
      <c r="AA82" s="1592"/>
      <c r="AB82" s="1592"/>
      <c r="AC82" s="1592"/>
      <c r="AD82" s="1592"/>
      <c r="AE82" s="1592"/>
      <c r="AF82" s="1592"/>
      <c r="AG82" s="1592"/>
      <c r="AH82" s="1592"/>
      <c r="AI82" s="1592"/>
      <c r="AJ82" s="3588" t="s">
        <v>2680</v>
      </c>
      <c r="AK82" s="1804" t="str">
        <f>C82</f>
        <v>5.</v>
      </c>
      <c r="AL82" s="7804" t="str">
        <f>IF(AS82&lt;&gt;"",ROUND(AS82,0),IF(AE41,'8959'!M63,""))</f>
        <v/>
      </c>
      <c r="AM82" s="7804"/>
      <c r="AN82" s="7804"/>
      <c r="AO82" s="7804"/>
      <c r="AP82" s="7804"/>
      <c r="AQ82" s="3350"/>
      <c r="AR82" s="3350"/>
      <c r="AS82" s="4159"/>
      <c r="AT82" s="3350"/>
    </row>
    <row r="83" spans="1:46">
      <c r="A83" s="3350"/>
      <c r="B83" s="1592"/>
      <c r="C83" s="3405"/>
      <c r="D83" s="1592"/>
      <c r="E83" s="1592"/>
      <c r="F83" s="1592"/>
      <c r="G83" s="1592"/>
      <c r="H83" s="1592"/>
      <c r="I83" s="1592"/>
      <c r="J83" s="1592"/>
      <c r="K83" s="1592"/>
      <c r="L83" s="1592"/>
      <c r="M83" s="1592"/>
      <c r="N83" s="1592"/>
      <c r="O83" s="1592"/>
      <c r="P83" s="1592"/>
      <c r="Q83" s="1592"/>
      <c r="R83" s="1592"/>
      <c r="S83" s="1592"/>
      <c r="T83" s="1592"/>
      <c r="U83" s="1592"/>
      <c r="V83" s="1592"/>
      <c r="W83" s="1592"/>
      <c r="X83" s="1592"/>
      <c r="Y83" s="1592"/>
      <c r="Z83" s="1592"/>
      <c r="AA83" s="1592"/>
      <c r="AB83" s="1592"/>
      <c r="AC83" s="1592"/>
      <c r="AD83" s="1592"/>
      <c r="AE83" s="1592"/>
      <c r="AF83" s="1592"/>
      <c r="AG83" s="1592"/>
      <c r="AH83" s="1592"/>
      <c r="AI83" s="1592"/>
      <c r="AJ83" s="1592"/>
      <c r="AK83" s="1592"/>
      <c r="AL83" s="7806">
        <f>IF(AL82="",0,AL82)</f>
        <v>0</v>
      </c>
      <c r="AM83" s="7807"/>
      <c r="AN83" s="7807"/>
      <c r="AO83" s="7807"/>
      <c r="AP83" s="7807"/>
      <c r="AQ83" s="3350"/>
      <c r="AR83" s="3350"/>
      <c r="AS83" s="3350"/>
      <c r="AT83" s="3350"/>
    </row>
    <row r="84" spans="1:46" ht="15.75">
      <c r="A84" s="3350"/>
      <c r="B84" s="1592"/>
      <c r="C84" s="4156" t="s">
        <v>75</v>
      </c>
      <c r="D84" s="1592" t="s">
        <v>2026</v>
      </c>
      <c r="E84" s="1592"/>
      <c r="F84" s="1592"/>
      <c r="G84" s="1592"/>
      <c r="H84" s="1592"/>
      <c r="I84" s="1592"/>
      <c r="J84" s="1592"/>
      <c r="K84" s="1592"/>
      <c r="L84" s="1592"/>
      <c r="M84" s="1592"/>
      <c r="N84" s="1592"/>
      <c r="O84" s="1592"/>
      <c r="P84" s="1592"/>
      <c r="Q84" s="1592"/>
      <c r="R84" s="1592"/>
      <c r="S84" s="1592"/>
      <c r="T84" s="1592"/>
      <c r="U84" s="1592"/>
      <c r="V84" s="1592"/>
      <c r="W84" s="1592"/>
      <c r="X84" s="1592"/>
      <c r="Y84" s="1592"/>
      <c r="Z84" s="1592"/>
      <c r="AA84" s="1592"/>
      <c r="AB84" s="1592"/>
      <c r="AC84" s="1592"/>
      <c r="AD84" s="1592"/>
      <c r="AE84" s="1592"/>
      <c r="AF84" s="1592"/>
      <c r="AG84" s="1592"/>
      <c r="AH84" s="1592"/>
      <c r="AI84" s="1592"/>
      <c r="AJ84" s="3588" t="s">
        <v>1950</v>
      </c>
      <c r="AK84" s="1804" t="str">
        <f>C84</f>
        <v>6.</v>
      </c>
      <c r="AL84" s="7804" t="str">
        <f>IF(AS84&lt;&gt;"",ROUND(AS84,0),IF(AE41,SUM(AL80,-AL83),""))</f>
        <v/>
      </c>
      <c r="AM84" s="7804"/>
      <c r="AN84" s="7804"/>
      <c r="AO84" s="7804"/>
      <c r="AP84" s="7804"/>
      <c r="AQ84" s="3350"/>
      <c r="AR84" s="3350"/>
      <c r="AS84" s="4159"/>
      <c r="AT84" s="3350"/>
    </row>
    <row r="85" spans="1:46">
      <c r="A85" s="3350"/>
      <c r="B85" s="1953"/>
      <c r="C85" s="1953"/>
      <c r="D85" s="1953"/>
      <c r="E85" s="1953"/>
      <c r="F85" s="1953"/>
      <c r="G85" s="1953"/>
      <c r="H85" s="1953"/>
      <c r="I85" s="1953"/>
      <c r="J85" s="1953"/>
      <c r="K85" s="1953"/>
      <c r="L85" s="1953"/>
      <c r="M85" s="1953"/>
      <c r="N85" s="1953"/>
      <c r="O85" s="1953"/>
      <c r="P85" s="1953"/>
      <c r="Q85" s="1953"/>
      <c r="R85" s="1953"/>
      <c r="S85" s="1953"/>
      <c r="T85" s="1953"/>
      <c r="U85" s="1953"/>
      <c r="V85" s="1953"/>
      <c r="W85" s="1953"/>
      <c r="X85" s="1953"/>
      <c r="Y85" s="1953"/>
      <c r="Z85" s="1953"/>
      <c r="AA85" s="1953"/>
      <c r="AB85" s="1953"/>
      <c r="AC85" s="1953"/>
      <c r="AD85" s="1953"/>
      <c r="AE85" s="1953"/>
      <c r="AF85" s="1953"/>
      <c r="AG85" s="1953"/>
      <c r="AH85" s="1953"/>
      <c r="AI85" s="1953"/>
      <c r="AJ85" s="1953"/>
      <c r="AK85" s="1953"/>
      <c r="AL85" s="1953"/>
      <c r="AM85" s="1953"/>
      <c r="AN85" s="1953"/>
      <c r="AO85" s="1953"/>
      <c r="AP85" s="1953"/>
      <c r="AQ85" s="3350"/>
      <c r="AR85" s="3350"/>
      <c r="AS85" s="3350"/>
      <c r="AT85" s="3350"/>
    </row>
    <row r="86" spans="1:46">
      <c r="A86" s="3350"/>
      <c r="B86" s="1592"/>
      <c r="C86" s="1592"/>
      <c r="D86" s="1592"/>
      <c r="E86" s="1592"/>
      <c r="F86" s="1592"/>
      <c r="G86" s="1592"/>
      <c r="H86" s="1592"/>
      <c r="I86" s="1592"/>
      <c r="J86" s="1592"/>
      <c r="K86" s="1592"/>
      <c r="L86" s="1592"/>
      <c r="M86" s="1592"/>
      <c r="N86" s="1592"/>
      <c r="O86" s="1592"/>
      <c r="P86" s="1592"/>
      <c r="Q86" s="1592"/>
      <c r="R86" s="1592"/>
      <c r="S86" s="1592"/>
      <c r="T86" s="1592"/>
      <c r="U86" s="1592"/>
      <c r="V86" s="1592"/>
      <c r="W86" s="1592"/>
      <c r="X86" s="1592"/>
      <c r="Y86" s="1592"/>
      <c r="Z86" s="1592"/>
      <c r="AA86" s="1592"/>
      <c r="AB86" s="1592"/>
      <c r="AC86" s="1592"/>
      <c r="AD86" s="1592"/>
      <c r="AE86" s="1592"/>
      <c r="AF86" s="1592"/>
      <c r="AG86" s="1592"/>
      <c r="AH86" s="1592"/>
      <c r="AI86" s="1592"/>
      <c r="AJ86" s="1592"/>
      <c r="AK86" s="1592"/>
      <c r="AL86" s="1592"/>
      <c r="AM86" s="1592"/>
      <c r="AN86" s="1592"/>
      <c r="AO86" s="1592"/>
      <c r="AP86" s="1592"/>
      <c r="AQ86" s="3350"/>
      <c r="AR86" s="3350"/>
      <c r="AS86" s="3350"/>
      <c r="AT86" s="3350"/>
    </row>
    <row r="87" spans="1:46">
      <c r="A87" s="3350"/>
      <c r="B87" s="3405" t="s">
        <v>3454</v>
      </c>
      <c r="C87" s="1592"/>
      <c r="D87" s="1592"/>
      <c r="E87" s="1592"/>
      <c r="F87" s="1592"/>
      <c r="G87" s="1592"/>
      <c r="H87" s="1592"/>
      <c r="I87" s="1592"/>
      <c r="J87" s="1592"/>
      <c r="K87" s="1592"/>
      <c r="L87" s="1592"/>
      <c r="M87" s="1592"/>
      <c r="N87" s="1592"/>
      <c r="O87" s="1592"/>
      <c r="P87" s="1592"/>
      <c r="Q87" s="1592"/>
      <c r="R87" s="1592"/>
      <c r="S87" s="1592"/>
      <c r="T87" s="1592"/>
      <c r="U87" s="1592"/>
      <c r="V87" s="1592"/>
      <c r="W87" s="1592"/>
      <c r="X87" s="1592"/>
      <c r="Y87" s="1592"/>
      <c r="Z87" s="1592"/>
      <c r="AA87" s="1592"/>
      <c r="AB87" s="1592"/>
      <c r="AC87" s="1592"/>
      <c r="AD87" s="1592"/>
      <c r="AE87" s="1592"/>
      <c r="AF87" s="1592"/>
      <c r="AG87" s="1592"/>
      <c r="AH87" s="1592"/>
      <c r="AI87" s="1592"/>
      <c r="AJ87" s="1592"/>
      <c r="AK87" s="1592"/>
      <c r="AL87" s="1592"/>
      <c r="AM87" s="1592"/>
      <c r="AN87" s="1592"/>
      <c r="AO87" s="1592"/>
      <c r="AP87" s="1592"/>
      <c r="AQ87" s="3350"/>
      <c r="AR87" s="3350"/>
      <c r="AS87" s="3350"/>
      <c r="AT87" s="3350"/>
    </row>
    <row r="88" spans="1:46">
      <c r="A88" s="3350"/>
      <c r="B88" s="1592"/>
      <c r="C88" s="1592"/>
      <c r="D88" s="1592"/>
      <c r="E88" s="1592"/>
      <c r="F88" s="1592"/>
      <c r="G88" s="1592"/>
      <c r="H88" s="1592"/>
      <c r="I88" s="1592"/>
      <c r="J88" s="1592"/>
      <c r="K88" s="1592"/>
      <c r="L88" s="1592"/>
      <c r="M88" s="1592"/>
      <c r="N88" s="1592"/>
      <c r="O88" s="1592"/>
      <c r="P88" s="1592"/>
      <c r="Q88" s="1592"/>
      <c r="R88" s="1592"/>
      <c r="S88" s="1592"/>
      <c r="T88" s="1592"/>
      <c r="U88" s="1592"/>
      <c r="V88" s="1592"/>
      <c r="W88" s="1592"/>
      <c r="X88" s="1592"/>
      <c r="Y88" s="1592"/>
      <c r="Z88" s="1592"/>
      <c r="AA88" s="1592"/>
      <c r="AB88" s="1592"/>
      <c r="AC88" s="1592"/>
      <c r="AD88" s="1592"/>
      <c r="AE88" s="1592"/>
      <c r="AF88" s="1592"/>
      <c r="AG88" s="1592"/>
      <c r="AH88" s="1592"/>
      <c r="AI88" s="1592"/>
      <c r="AJ88" s="1592"/>
      <c r="AK88" s="1592"/>
      <c r="AL88" s="7808">
        <f>IF('8959'!M41="",0,'8959'!M41)</f>
        <v>0</v>
      </c>
      <c r="AM88" s="7809"/>
      <c r="AN88" s="7809"/>
      <c r="AO88" s="7809"/>
      <c r="AP88" s="7809"/>
      <c r="AQ88" s="3350"/>
      <c r="AR88" s="3350"/>
      <c r="AS88" s="3350"/>
      <c r="AT88" s="3350"/>
    </row>
    <row r="89" spans="1:46" ht="15.75">
      <c r="A89" s="3350"/>
      <c r="B89" s="1592"/>
      <c r="C89" s="4156" t="s">
        <v>76</v>
      </c>
      <c r="D89" s="1592" t="s">
        <v>3455</v>
      </c>
      <c r="E89" s="1592"/>
      <c r="F89" s="1592"/>
      <c r="G89" s="1592"/>
      <c r="H89" s="1592"/>
      <c r="I89" s="1592"/>
      <c r="J89" s="1592"/>
      <c r="K89" s="1592"/>
      <c r="L89" s="1592"/>
      <c r="M89" s="1592"/>
      <c r="N89" s="1592"/>
      <c r="O89" s="1592"/>
      <c r="P89" s="1592"/>
      <c r="Q89" s="1592"/>
      <c r="R89" s="1592"/>
      <c r="S89" s="1592"/>
      <c r="T89" s="1592"/>
      <c r="U89" s="1592"/>
      <c r="V89" s="1592"/>
      <c r="W89" s="1592"/>
      <c r="X89" s="1592"/>
      <c r="Y89" s="1592"/>
      <c r="Z89" s="1592"/>
      <c r="AA89" s="1592"/>
      <c r="AB89" s="1592"/>
      <c r="AC89" s="1592"/>
      <c r="AD89" s="1592"/>
      <c r="AE89" s="1592"/>
      <c r="AF89" s="1592"/>
      <c r="AG89" s="1592"/>
      <c r="AH89" s="1592"/>
      <c r="AI89" s="1592"/>
      <c r="AJ89" s="3588" t="s">
        <v>856</v>
      </c>
      <c r="AK89" s="1804" t="str">
        <f>C89</f>
        <v>7.</v>
      </c>
      <c r="AL89" s="7804" t="str">
        <f>IF(AS89&lt;&gt;"",ROUND(AS89,0),IF(AE41,AL88/2,""))</f>
        <v/>
      </c>
      <c r="AM89" s="7804"/>
      <c r="AN89" s="7804"/>
      <c r="AO89" s="7804"/>
      <c r="AP89" s="7804"/>
      <c r="AQ89" s="3350"/>
      <c r="AR89" s="3350"/>
      <c r="AS89" s="4159"/>
      <c r="AT89" s="3350"/>
    </row>
    <row r="90" spans="1:46">
      <c r="A90" s="3350"/>
      <c r="B90" s="1953"/>
      <c r="C90" s="1953"/>
      <c r="D90" s="1953"/>
      <c r="E90" s="1953"/>
      <c r="F90" s="1953"/>
      <c r="G90" s="1953"/>
      <c r="H90" s="1953"/>
      <c r="I90" s="1953"/>
      <c r="J90" s="1953"/>
      <c r="K90" s="1953"/>
      <c r="L90" s="1953"/>
      <c r="M90" s="1953"/>
      <c r="N90" s="1953"/>
      <c r="O90" s="1953"/>
      <c r="P90" s="1953"/>
      <c r="Q90" s="1953"/>
      <c r="R90" s="1953"/>
      <c r="S90" s="1953"/>
      <c r="T90" s="1953"/>
      <c r="U90" s="1953"/>
      <c r="V90" s="1953"/>
      <c r="W90" s="1953"/>
      <c r="X90" s="1953"/>
      <c r="Y90" s="1953"/>
      <c r="Z90" s="1953"/>
      <c r="AA90" s="1953"/>
      <c r="AB90" s="1953"/>
      <c r="AC90" s="1953"/>
      <c r="AD90" s="1953"/>
      <c r="AE90" s="1953"/>
      <c r="AF90" s="1953"/>
      <c r="AG90" s="1953"/>
      <c r="AH90" s="1953"/>
      <c r="AI90" s="1953"/>
      <c r="AJ90" s="1953"/>
      <c r="AK90" s="1953"/>
      <c r="AL90" s="1953"/>
      <c r="AM90" s="1953"/>
      <c r="AN90" s="1953"/>
      <c r="AO90" s="1953"/>
      <c r="AP90" s="1953"/>
      <c r="AQ90" s="3350"/>
      <c r="AR90" s="3350"/>
      <c r="AS90" s="3350"/>
      <c r="AT90" s="3350"/>
    </row>
    <row r="91" spans="1:46">
      <c r="A91" s="3350"/>
      <c r="B91" s="1592"/>
      <c r="C91" s="1592"/>
      <c r="D91" s="1592"/>
      <c r="E91" s="1592"/>
      <c r="F91" s="1592"/>
      <c r="G91" s="1592"/>
      <c r="H91" s="1592"/>
      <c r="I91" s="1592"/>
      <c r="J91" s="1592"/>
      <c r="K91" s="1592"/>
      <c r="L91" s="1592"/>
      <c r="M91" s="1592"/>
      <c r="N91" s="1592"/>
      <c r="O91" s="1592"/>
      <c r="P91" s="1592"/>
      <c r="Q91" s="1592"/>
      <c r="R91" s="1592"/>
      <c r="S91" s="1592"/>
      <c r="T91" s="1592"/>
      <c r="U91" s="1592"/>
      <c r="V91" s="1592"/>
      <c r="W91" s="1592"/>
      <c r="X91" s="1592"/>
      <c r="Y91" s="1592"/>
      <c r="Z91" s="1592"/>
      <c r="AA91" s="1592"/>
      <c r="AB91" s="1592"/>
      <c r="AC91" s="1592"/>
      <c r="AD91" s="1592"/>
      <c r="AE91" s="1592"/>
      <c r="AF91" s="1592"/>
      <c r="AG91" s="1592"/>
      <c r="AH91" s="1592"/>
      <c r="AI91" s="1592"/>
      <c r="AJ91" s="1592"/>
      <c r="AK91" s="1592"/>
      <c r="AL91" s="1592"/>
      <c r="AM91" s="1592"/>
      <c r="AN91" s="1592"/>
      <c r="AO91" s="1592"/>
      <c r="AP91" s="1592"/>
      <c r="AQ91" s="3350"/>
      <c r="AR91" s="3350"/>
      <c r="AS91" s="3350"/>
      <c r="AT91" s="3350"/>
    </row>
    <row r="92" spans="1:46">
      <c r="A92" s="3350"/>
      <c r="B92" s="1450" t="s">
        <v>3467</v>
      </c>
      <c r="C92" s="1450"/>
      <c r="D92" s="1443"/>
      <c r="E92" s="1443"/>
      <c r="F92" s="1443"/>
      <c r="G92" s="1443"/>
      <c r="H92" s="1443"/>
      <c r="I92" s="1443"/>
      <c r="J92" s="1443"/>
      <c r="K92" s="1443"/>
      <c r="L92" s="1443"/>
      <c r="M92" s="1443"/>
      <c r="N92" s="1443"/>
      <c r="O92" s="1443"/>
      <c r="P92" s="1443"/>
      <c r="Q92" s="1443"/>
      <c r="R92" s="1443"/>
      <c r="S92" s="1443"/>
      <c r="T92" s="1443"/>
      <c r="U92" s="1443"/>
      <c r="V92" s="1443"/>
      <c r="W92" s="1443"/>
      <c r="X92" s="1443"/>
      <c r="Y92" s="1443"/>
      <c r="Z92" s="1443"/>
      <c r="AA92" s="1443"/>
      <c r="AB92" s="1443"/>
      <c r="AC92" s="1443"/>
      <c r="AD92" s="1443"/>
      <c r="AE92" s="1443"/>
      <c r="AF92" s="1443"/>
      <c r="AG92" s="1443"/>
      <c r="AH92" s="1443"/>
      <c r="AI92" s="1443"/>
      <c r="AJ92" s="1443"/>
      <c r="AK92" s="1443"/>
      <c r="AL92" s="1443"/>
      <c r="AM92" s="1443"/>
      <c r="AN92" s="1443"/>
      <c r="AO92" s="1443"/>
      <c r="AP92" s="1443"/>
      <c r="AQ92" s="3350"/>
      <c r="AR92" s="3350"/>
      <c r="AS92" s="3350"/>
      <c r="AT92" s="3350"/>
    </row>
    <row r="93" spans="1:46">
      <c r="A93" s="3350"/>
      <c r="B93" s="1450" t="s">
        <v>3456</v>
      </c>
      <c r="C93" s="1450"/>
      <c r="D93" s="1443"/>
      <c r="E93" s="1443"/>
      <c r="F93" s="1443"/>
      <c r="G93" s="1443"/>
      <c r="H93" s="1443"/>
      <c r="I93" s="1443"/>
      <c r="J93" s="1443"/>
      <c r="K93" s="1443"/>
      <c r="L93" s="1443"/>
      <c r="M93" s="1443"/>
      <c r="N93" s="1443"/>
      <c r="O93" s="1443"/>
      <c r="P93" s="1443"/>
      <c r="Q93" s="1443"/>
      <c r="R93" s="1443"/>
      <c r="S93" s="1443"/>
      <c r="T93" s="1443"/>
      <c r="U93" s="1443"/>
      <c r="V93" s="1443"/>
      <c r="W93" s="1443"/>
      <c r="X93" s="1443"/>
      <c r="Y93" s="1443"/>
      <c r="Z93" s="1443"/>
      <c r="AA93" s="1443"/>
      <c r="AB93" s="1443"/>
      <c r="AC93" s="1443"/>
      <c r="AD93" s="1443"/>
      <c r="AE93" s="1443"/>
      <c r="AF93" s="1443"/>
      <c r="AG93" s="1443"/>
      <c r="AH93" s="1443"/>
      <c r="AI93" s="1443"/>
      <c r="AJ93" s="1443"/>
      <c r="AK93" s="1443"/>
      <c r="AL93" s="1443"/>
      <c r="AM93" s="1443"/>
      <c r="AN93" s="1443"/>
      <c r="AO93" s="1443"/>
      <c r="AP93" s="1443"/>
      <c r="AQ93" s="3350"/>
      <c r="AR93" s="3350"/>
      <c r="AS93" s="3350"/>
      <c r="AT93" s="3350"/>
    </row>
    <row r="94" spans="1:46">
      <c r="A94" s="3350"/>
      <c r="B94" s="1450" t="s">
        <v>3457</v>
      </c>
      <c r="C94" s="1450"/>
      <c r="D94" s="1443"/>
      <c r="E94" s="1443"/>
      <c r="F94" s="1443"/>
      <c r="G94" s="1443"/>
      <c r="H94" s="1443"/>
      <c r="I94" s="1443"/>
      <c r="J94" s="1443"/>
      <c r="K94" s="1443"/>
      <c r="L94" s="1443"/>
      <c r="M94" s="1443"/>
      <c r="N94" s="1443"/>
      <c r="O94" s="1443"/>
      <c r="P94" s="1443"/>
      <c r="Q94" s="1443"/>
      <c r="R94" s="1443"/>
      <c r="S94" s="1443"/>
      <c r="T94" s="1443"/>
      <c r="U94" s="1443"/>
      <c r="V94" s="1443"/>
      <c r="W94" s="1443"/>
      <c r="X94" s="1443"/>
      <c r="Y94" s="1443"/>
      <c r="Z94" s="1443"/>
      <c r="AA94" s="1443"/>
      <c r="AB94" s="1443"/>
      <c r="AC94" s="1443"/>
      <c r="AD94" s="1443"/>
      <c r="AE94" s="1443"/>
      <c r="AF94" s="1443"/>
      <c r="AG94" s="1443"/>
      <c r="AH94" s="1443"/>
      <c r="AI94" s="1443"/>
      <c r="AJ94" s="1443"/>
      <c r="AK94" s="1443"/>
      <c r="AL94" s="1443"/>
      <c r="AM94" s="1443"/>
      <c r="AN94" s="1443"/>
      <c r="AO94" s="1443"/>
      <c r="AP94" s="1443"/>
      <c r="AQ94" s="3350"/>
      <c r="AR94" s="3350"/>
      <c r="AS94" s="3350"/>
      <c r="AT94" s="3350"/>
    </row>
    <row r="95" spans="1:46">
      <c r="A95" s="3350"/>
      <c r="B95" s="1592"/>
      <c r="C95" s="1592"/>
      <c r="D95" s="1592"/>
      <c r="E95" s="1592"/>
      <c r="F95" s="1592"/>
      <c r="G95" s="1592"/>
      <c r="H95" s="1592"/>
      <c r="I95" s="1592"/>
      <c r="J95" s="1592"/>
      <c r="K95" s="1592"/>
      <c r="L95" s="1592"/>
      <c r="M95" s="1592"/>
      <c r="N95" s="1592"/>
      <c r="O95" s="1592"/>
      <c r="P95" s="1592"/>
      <c r="Q95" s="1592"/>
      <c r="R95" s="1592"/>
      <c r="S95" s="1592"/>
      <c r="T95" s="1592"/>
      <c r="U95" s="1592"/>
      <c r="V95" s="1592"/>
      <c r="W95" s="1592"/>
      <c r="X95" s="1592"/>
      <c r="Y95" s="1592"/>
      <c r="Z95" s="1592"/>
      <c r="AA95" s="1592"/>
      <c r="AB95" s="1592"/>
      <c r="AC95" s="1592"/>
      <c r="AD95" s="1592"/>
      <c r="AE95" s="1592"/>
      <c r="AF95" s="1592"/>
      <c r="AG95" s="1592"/>
      <c r="AH95" s="1592"/>
      <c r="AI95" s="1592"/>
      <c r="AJ95" s="1592"/>
      <c r="AK95" s="1592"/>
      <c r="AL95" s="1592"/>
      <c r="AM95" s="1592"/>
      <c r="AN95" s="1592"/>
      <c r="AO95" s="1592"/>
      <c r="AP95" s="1592"/>
      <c r="AQ95" s="3350"/>
      <c r="AR95" s="3350"/>
      <c r="AS95" s="3350"/>
      <c r="AT95" s="3350"/>
    </row>
    <row r="96" spans="1:46" ht="15.75">
      <c r="A96" s="3350"/>
      <c r="B96" s="1592"/>
      <c r="C96" s="4156" t="s">
        <v>232</v>
      </c>
      <c r="D96" s="1592" t="s">
        <v>3458</v>
      </c>
      <c r="E96" s="1592"/>
      <c r="F96" s="1592"/>
      <c r="G96" s="1592"/>
      <c r="H96" s="1592"/>
      <c r="I96" s="1592"/>
      <c r="J96" s="1592"/>
      <c r="K96" s="1592"/>
      <c r="L96" s="1592"/>
      <c r="M96" s="1592"/>
      <c r="N96" s="1592"/>
      <c r="O96" s="1592"/>
      <c r="P96" s="1592"/>
      <c r="Q96" s="1592"/>
      <c r="R96" s="1592"/>
      <c r="S96" s="1592"/>
      <c r="T96" s="1592"/>
      <c r="U96" s="1592"/>
      <c r="V96" s="1592"/>
      <c r="W96" s="1592"/>
      <c r="X96" s="1592"/>
      <c r="Y96" s="1592"/>
      <c r="Z96" s="1592"/>
      <c r="AA96" s="1592"/>
      <c r="AB96" s="1592"/>
      <c r="AC96" s="1592"/>
      <c r="AD96" s="1592"/>
      <c r="AE96" s="1592"/>
      <c r="AF96" s="1592"/>
      <c r="AG96" s="1592"/>
      <c r="AH96" s="1592"/>
      <c r="AI96" s="1592"/>
      <c r="AJ96" s="3588" t="s">
        <v>1342</v>
      </c>
      <c r="AK96" s="1804" t="str">
        <f>C96</f>
        <v>8.</v>
      </c>
      <c r="AL96" s="7810"/>
      <c r="AM96" s="7810"/>
      <c r="AN96" s="7810"/>
      <c r="AO96" s="7810"/>
      <c r="AP96" s="7810"/>
      <c r="AQ96" s="3350"/>
      <c r="AR96" s="3350"/>
      <c r="AS96" s="3350"/>
      <c r="AT96" s="3350"/>
    </row>
    <row r="97" spans="1:46">
      <c r="A97" s="3350"/>
      <c r="B97" s="1592"/>
      <c r="C97" s="3405"/>
      <c r="D97" s="1592"/>
      <c r="E97" s="1592"/>
      <c r="F97" s="1592"/>
      <c r="G97" s="1592"/>
      <c r="H97" s="1592"/>
      <c r="I97" s="1592"/>
      <c r="J97" s="1592"/>
      <c r="K97" s="1592"/>
      <c r="L97" s="1592"/>
      <c r="M97" s="1592"/>
      <c r="N97" s="1592"/>
      <c r="O97" s="1592"/>
      <c r="P97" s="1592"/>
      <c r="Q97" s="1592"/>
      <c r="R97" s="1592"/>
      <c r="S97" s="1592"/>
      <c r="T97" s="1592"/>
      <c r="U97" s="1592"/>
      <c r="V97" s="1592"/>
      <c r="W97" s="1592"/>
      <c r="X97" s="1592"/>
      <c r="Y97" s="1592"/>
      <c r="Z97" s="1592"/>
      <c r="AA97" s="1592"/>
      <c r="AB97" s="1592"/>
      <c r="AC97" s="1592"/>
      <c r="AD97" s="1592"/>
      <c r="AE97" s="1592"/>
      <c r="AF97" s="1592"/>
      <c r="AG97" s="1592"/>
      <c r="AH97" s="1592"/>
      <c r="AI97" s="1592"/>
      <c r="AJ97" s="1592"/>
      <c r="AK97" s="1592"/>
      <c r="AL97" s="1592"/>
      <c r="AM97" s="1592"/>
      <c r="AN97" s="1592"/>
      <c r="AO97" s="1592"/>
      <c r="AP97" s="1592"/>
      <c r="AQ97" s="3350"/>
      <c r="AR97" s="3350"/>
      <c r="AS97" s="3350"/>
      <c r="AT97" s="3350"/>
    </row>
    <row r="98" spans="1:46" ht="15.75">
      <c r="A98" s="3350"/>
      <c r="B98" s="1592"/>
      <c r="C98" s="4156" t="s">
        <v>233</v>
      </c>
      <c r="D98" s="1592" t="s">
        <v>3459</v>
      </c>
      <c r="E98" s="1592"/>
      <c r="F98" s="1592"/>
      <c r="G98" s="1592"/>
      <c r="H98" s="1592"/>
      <c r="I98" s="1592"/>
      <c r="J98" s="1592"/>
      <c r="K98" s="1592"/>
      <c r="L98" s="1592"/>
      <c r="M98" s="1592"/>
      <c r="N98" s="1592"/>
      <c r="O98" s="1592"/>
      <c r="P98" s="1592"/>
      <c r="Q98" s="1592"/>
      <c r="R98" s="1592"/>
      <c r="S98" s="1592"/>
      <c r="T98" s="1592"/>
      <c r="U98" s="1592"/>
      <c r="V98" s="1592"/>
      <c r="W98" s="1592"/>
      <c r="X98" s="1592"/>
      <c r="Y98" s="1592"/>
      <c r="Z98" s="1592"/>
      <c r="AA98" s="1592"/>
      <c r="AB98" s="1592"/>
      <c r="AC98" s="1592"/>
      <c r="AD98" s="1592"/>
      <c r="AE98" s="1592"/>
      <c r="AF98" s="1592"/>
      <c r="AG98" s="1592"/>
      <c r="AH98" s="1592"/>
      <c r="AI98" s="1592"/>
      <c r="AJ98" s="3588" t="s">
        <v>341</v>
      </c>
      <c r="AK98" s="1804" t="str">
        <f>C98</f>
        <v>9.</v>
      </c>
      <c r="AL98" s="7810"/>
      <c r="AM98" s="7810"/>
      <c r="AN98" s="7810"/>
      <c r="AO98" s="7810"/>
      <c r="AP98" s="7810"/>
      <c r="AQ98" s="3350"/>
      <c r="AR98" s="3350"/>
      <c r="AS98" s="3350"/>
      <c r="AT98" s="3350"/>
    </row>
    <row r="99" spans="1:46">
      <c r="A99" s="3350"/>
      <c r="B99" s="1592"/>
      <c r="C99" s="3405"/>
      <c r="D99" s="1592"/>
      <c r="E99" s="1592"/>
      <c r="F99" s="1592"/>
      <c r="G99" s="1592"/>
      <c r="H99" s="1592"/>
      <c r="I99" s="1592"/>
      <c r="J99" s="1592"/>
      <c r="K99" s="1592"/>
      <c r="L99" s="1592"/>
      <c r="M99" s="1592"/>
      <c r="N99" s="1592"/>
      <c r="O99" s="1592"/>
      <c r="P99" s="1592"/>
      <c r="Q99" s="1592"/>
      <c r="R99" s="1592"/>
      <c r="S99" s="1592"/>
      <c r="T99" s="1592"/>
      <c r="U99" s="1592"/>
      <c r="V99" s="1592"/>
      <c r="W99" s="1592"/>
      <c r="X99" s="1592"/>
      <c r="Y99" s="1592"/>
      <c r="Z99" s="1592"/>
      <c r="AA99" s="1592"/>
      <c r="AB99" s="1592"/>
      <c r="AC99" s="1592"/>
      <c r="AD99" s="1592"/>
      <c r="AE99" s="1592"/>
      <c r="AF99" s="1592"/>
      <c r="AG99" s="1592"/>
      <c r="AH99" s="1592"/>
      <c r="AI99" s="1592"/>
      <c r="AJ99" s="1592"/>
      <c r="AK99" s="1592"/>
      <c r="AL99" s="1592"/>
      <c r="AM99" s="1592"/>
      <c r="AN99" s="1592"/>
      <c r="AO99" s="1592"/>
      <c r="AP99" s="1592"/>
      <c r="AQ99" s="3350"/>
      <c r="AR99" s="3350"/>
      <c r="AS99" s="3350"/>
      <c r="AT99" s="3350"/>
    </row>
    <row r="100" spans="1:46">
      <c r="A100" s="3350"/>
      <c r="B100" s="1592"/>
      <c r="C100" s="4156" t="s">
        <v>337</v>
      </c>
      <c r="D100" s="1592" t="s">
        <v>3470</v>
      </c>
      <c r="E100" s="1592"/>
      <c r="F100" s="1592"/>
      <c r="G100" s="1592"/>
      <c r="H100" s="1592"/>
      <c r="I100" s="1592"/>
      <c r="J100" s="1592"/>
      <c r="K100" s="1592"/>
      <c r="L100" s="1592"/>
      <c r="M100" s="1592"/>
      <c r="N100" s="1592"/>
      <c r="O100" s="1592"/>
      <c r="P100" s="1592"/>
      <c r="Q100" s="1592"/>
      <c r="R100" s="1592"/>
      <c r="S100" s="1592"/>
      <c r="T100" s="1592"/>
      <c r="U100" s="1592"/>
      <c r="V100" s="1592"/>
      <c r="W100" s="1592"/>
      <c r="X100" s="1592"/>
      <c r="Y100" s="1592"/>
      <c r="Z100" s="1592"/>
      <c r="AA100" s="1592"/>
      <c r="AB100" s="1592"/>
      <c r="AC100" s="1592"/>
      <c r="AD100" s="1592"/>
      <c r="AE100" s="1592"/>
      <c r="AF100" s="1592"/>
      <c r="AG100" s="1592"/>
      <c r="AH100" s="1592"/>
      <c r="AI100" s="1592"/>
      <c r="AJ100" s="1592"/>
      <c r="AK100" s="1592"/>
      <c r="AL100" s="1592"/>
      <c r="AM100" s="1592"/>
      <c r="AN100" s="1592"/>
      <c r="AO100" s="1592"/>
      <c r="AP100" s="1592"/>
      <c r="AQ100" s="3350"/>
      <c r="AR100" s="3350"/>
      <c r="AS100" s="3350"/>
      <c r="AT100" s="3350"/>
    </row>
    <row r="101" spans="1:46" ht="15.75">
      <c r="A101" s="3350"/>
      <c r="B101" s="1592"/>
      <c r="C101" s="3405"/>
      <c r="D101" s="1592" t="s">
        <v>3468</v>
      </c>
      <c r="E101" s="1592"/>
      <c r="F101" s="1592"/>
      <c r="G101" s="1592"/>
      <c r="H101" s="1592"/>
      <c r="I101" s="1592"/>
      <c r="J101" s="1592"/>
      <c r="K101" s="1592"/>
      <c r="L101" s="1592"/>
      <c r="M101" s="1592"/>
      <c r="N101" s="1592"/>
      <c r="O101" s="1592"/>
      <c r="P101" s="1592"/>
      <c r="Q101" s="1592"/>
      <c r="R101" s="1592"/>
      <c r="S101" s="1592"/>
      <c r="T101" s="1592"/>
      <c r="U101" s="1592"/>
      <c r="V101" s="1592"/>
      <c r="W101" s="1592"/>
      <c r="X101" s="1592"/>
      <c r="Y101" s="1592"/>
      <c r="Z101" s="1592"/>
      <c r="AA101" s="1592"/>
      <c r="AB101" s="1592"/>
      <c r="AC101" s="1592"/>
      <c r="AD101" s="1592"/>
      <c r="AE101" s="1592"/>
      <c r="AF101" s="1592"/>
      <c r="AG101" s="1592"/>
      <c r="AH101" s="1592"/>
      <c r="AI101" s="1592"/>
      <c r="AJ101" s="3588" t="s">
        <v>679</v>
      </c>
      <c r="AK101" s="1804" t="str">
        <f>C100</f>
        <v>10.</v>
      </c>
      <c r="AL101" s="7804" t="str">
        <f>IF(AS101&lt;&gt;"",ROUND(AS101,0),IF(AE41,'8959'!M51,""))</f>
        <v/>
      </c>
      <c r="AM101" s="7804"/>
      <c r="AN101" s="7804"/>
      <c r="AO101" s="7804"/>
      <c r="AP101" s="7804"/>
      <c r="AQ101" s="3350"/>
      <c r="AR101" s="3350"/>
      <c r="AS101" s="4159"/>
      <c r="AT101" s="3350"/>
    </row>
    <row r="102" spans="1:46">
      <c r="A102" s="3350"/>
      <c r="B102" s="1592"/>
      <c r="C102" s="3405"/>
      <c r="D102" s="1592"/>
      <c r="E102" s="1592"/>
      <c r="F102" s="1592"/>
      <c r="G102" s="1592"/>
      <c r="H102" s="1592"/>
      <c r="I102" s="1592"/>
      <c r="J102" s="1592"/>
      <c r="K102" s="1592"/>
      <c r="L102" s="1592"/>
      <c r="M102" s="1592"/>
      <c r="N102" s="1592"/>
      <c r="O102" s="1592"/>
      <c r="P102" s="1592"/>
      <c r="Q102" s="1592"/>
      <c r="R102" s="1592"/>
      <c r="S102" s="1592"/>
      <c r="T102" s="1592"/>
      <c r="U102" s="1592"/>
      <c r="V102" s="1592"/>
      <c r="W102" s="1592"/>
      <c r="X102" s="1592"/>
      <c r="Y102" s="1592"/>
      <c r="Z102" s="1592"/>
      <c r="AA102" s="1592"/>
      <c r="AB102" s="1592"/>
      <c r="AC102" s="1592"/>
      <c r="AD102" s="1592"/>
      <c r="AE102" s="1592"/>
      <c r="AF102" s="1592"/>
      <c r="AG102" s="1592"/>
      <c r="AH102" s="1592"/>
      <c r="AI102" s="1592"/>
      <c r="AJ102" s="1592"/>
      <c r="AK102" s="1592"/>
      <c r="AL102" s="1592"/>
      <c r="AM102" s="1592"/>
      <c r="AN102" s="1592"/>
      <c r="AO102" s="1592"/>
      <c r="AP102" s="1592"/>
      <c r="AQ102" s="3350"/>
      <c r="AR102" s="3350"/>
      <c r="AS102" s="3350"/>
      <c r="AT102" s="3350"/>
    </row>
    <row r="103" spans="1:46" ht="15.75">
      <c r="A103" s="3350"/>
      <c r="B103" s="1592"/>
      <c r="C103" s="4156" t="s">
        <v>338</v>
      </c>
      <c r="D103" s="1592" t="s">
        <v>3460</v>
      </c>
      <c r="E103" s="1592"/>
      <c r="F103" s="1592"/>
      <c r="G103" s="1592"/>
      <c r="H103" s="1592"/>
      <c r="I103" s="1592"/>
      <c r="J103" s="1592"/>
      <c r="K103" s="1592"/>
      <c r="L103" s="1592"/>
      <c r="M103" s="1592"/>
      <c r="N103" s="1592"/>
      <c r="O103" s="1592"/>
      <c r="P103" s="1592"/>
      <c r="Q103" s="1592"/>
      <c r="R103" s="1592"/>
      <c r="S103" s="1592"/>
      <c r="T103" s="1592"/>
      <c r="U103" s="1592"/>
      <c r="V103" s="1592"/>
      <c r="W103" s="1592"/>
      <c r="X103" s="1592"/>
      <c r="Y103" s="1592"/>
      <c r="Z103" s="1592"/>
      <c r="AA103" s="1592"/>
      <c r="AB103" s="1592"/>
      <c r="AC103" s="1592"/>
      <c r="AD103" s="1592"/>
      <c r="AE103" s="1592"/>
      <c r="AF103" s="1592"/>
      <c r="AG103" s="1592"/>
      <c r="AH103" s="1592"/>
      <c r="AI103" s="1592"/>
      <c r="AJ103" s="3588" t="s">
        <v>684</v>
      </c>
      <c r="AK103" s="1804" t="str">
        <f>C103</f>
        <v>11.</v>
      </c>
      <c r="AL103" s="7804" t="str">
        <f>IF(AS103&lt;&gt;"",ROUND(AS103,0),IF(AE41,SUM(AL96,AL98,AL101),""))</f>
        <v/>
      </c>
      <c r="AM103" s="7804"/>
      <c r="AN103" s="7804"/>
      <c r="AO103" s="7804"/>
      <c r="AP103" s="7804"/>
      <c r="AQ103" s="3350"/>
      <c r="AR103" s="3350"/>
      <c r="AS103" s="4159"/>
      <c r="AT103" s="3350"/>
    </row>
    <row r="104" spans="1:46">
      <c r="A104" s="3350"/>
      <c r="B104" s="1592"/>
      <c r="C104" s="3405"/>
      <c r="D104" s="1592"/>
      <c r="E104" s="1592"/>
      <c r="F104" s="1592"/>
      <c r="G104" s="1592"/>
      <c r="H104" s="1592"/>
      <c r="I104" s="1592"/>
      <c r="J104" s="1592"/>
      <c r="K104" s="1592"/>
      <c r="L104" s="1592"/>
      <c r="M104" s="1592"/>
      <c r="N104" s="1592"/>
      <c r="O104" s="1592"/>
      <c r="P104" s="1592"/>
      <c r="Q104" s="1592"/>
      <c r="R104" s="1592"/>
      <c r="S104" s="1592"/>
      <c r="T104" s="1592"/>
      <c r="U104" s="1592"/>
      <c r="V104" s="1592"/>
      <c r="W104" s="1592"/>
      <c r="X104" s="1592"/>
      <c r="Y104" s="1592"/>
      <c r="Z104" s="1592"/>
      <c r="AA104" s="1592"/>
      <c r="AB104" s="1592"/>
      <c r="AC104" s="1592"/>
      <c r="AD104" s="1592"/>
      <c r="AE104" s="1592"/>
      <c r="AF104" s="1592"/>
      <c r="AG104" s="1592"/>
      <c r="AH104" s="1592"/>
      <c r="AI104" s="1592"/>
      <c r="AJ104" s="1592"/>
      <c r="AK104" s="1592"/>
      <c r="AL104" s="1592"/>
      <c r="AM104" s="1592"/>
      <c r="AN104" s="1592"/>
      <c r="AO104" s="1592"/>
      <c r="AP104" s="1592"/>
      <c r="AQ104" s="3350"/>
      <c r="AR104" s="3350"/>
      <c r="AS104" s="3350"/>
      <c r="AT104" s="3350"/>
    </row>
    <row r="105" spans="1:46" ht="15.75">
      <c r="A105" s="3350"/>
      <c r="B105" s="1592"/>
      <c r="C105" s="4156" t="s">
        <v>339</v>
      </c>
      <c r="D105" s="1592" t="s">
        <v>3461</v>
      </c>
      <c r="E105" s="1592"/>
      <c r="F105" s="1592"/>
      <c r="G105" s="1592"/>
      <c r="H105" s="1592"/>
      <c r="I105" s="1592"/>
      <c r="J105" s="1592"/>
      <c r="K105" s="1592"/>
      <c r="L105" s="1592"/>
      <c r="M105" s="1592"/>
      <c r="N105" s="1592"/>
      <c r="O105" s="1592"/>
      <c r="P105" s="1592"/>
      <c r="Q105" s="1592"/>
      <c r="R105" s="1592"/>
      <c r="S105" s="1592"/>
      <c r="T105" s="1592"/>
      <c r="U105" s="1592"/>
      <c r="V105" s="1592"/>
      <c r="W105" s="1592"/>
      <c r="X105" s="1592"/>
      <c r="Y105" s="1592"/>
      <c r="Z105" s="1592"/>
      <c r="AA105" s="1592"/>
      <c r="AB105" s="1592"/>
      <c r="AC105" s="1592"/>
      <c r="AD105" s="1592"/>
      <c r="AE105" s="1592"/>
      <c r="AF105" s="1592"/>
      <c r="AG105" s="1592"/>
      <c r="AH105" s="1592"/>
      <c r="AI105" s="1592"/>
      <c r="AJ105" s="3588" t="s">
        <v>679</v>
      </c>
      <c r="AK105" s="1804" t="str">
        <f>C105</f>
        <v>12.</v>
      </c>
      <c r="AL105" s="7810"/>
      <c r="AM105" s="7810"/>
      <c r="AN105" s="7810"/>
      <c r="AO105" s="7810"/>
      <c r="AP105" s="7810"/>
      <c r="AQ105" s="3350"/>
      <c r="AR105" s="3350"/>
      <c r="AS105" s="3350"/>
      <c r="AT105" s="3350"/>
    </row>
    <row r="106" spans="1:46">
      <c r="A106" s="3350"/>
      <c r="B106" s="1592"/>
      <c r="C106" s="3405"/>
      <c r="D106" s="1592"/>
      <c r="E106" s="1592"/>
      <c r="F106" s="1592"/>
      <c r="G106" s="1592"/>
      <c r="H106" s="1592"/>
      <c r="I106" s="1592"/>
      <c r="J106" s="1592"/>
      <c r="K106" s="1592"/>
      <c r="L106" s="1592"/>
      <c r="M106" s="1592"/>
      <c r="N106" s="1592"/>
      <c r="O106" s="1592"/>
      <c r="P106" s="1592"/>
      <c r="Q106" s="1592"/>
      <c r="R106" s="1592"/>
      <c r="S106" s="1592"/>
      <c r="T106" s="1592"/>
      <c r="U106" s="1592"/>
      <c r="V106" s="1592"/>
      <c r="W106" s="1592"/>
      <c r="X106" s="1592"/>
      <c r="Y106" s="1592"/>
      <c r="Z106" s="1592"/>
      <c r="AA106" s="1592"/>
      <c r="AB106" s="1592"/>
      <c r="AC106" s="1592"/>
      <c r="AD106" s="1592"/>
      <c r="AE106" s="1592"/>
      <c r="AF106" s="1592"/>
      <c r="AG106" s="1592"/>
      <c r="AH106" s="1592"/>
      <c r="AI106" s="1592"/>
      <c r="AJ106" s="1592"/>
      <c r="AK106" s="1592"/>
      <c r="AL106" s="1592"/>
      <c r="AM106" s="1592"/>
      <c r="AN106" s="1592"/>
      <c r="AO106" s="1592"/>
      <c r="AP106" s="1592"/>
      <c r="AQ106" s="3350"/>
      <c r="AR106" s="3350"/>
      <c r="AS106" s="3350"/>
      <c r="AT106" s="3350"/>
    </row>
    <row r="107" spans="1:46" ht="15.75">
      <c r="A107" s="3350"/>
      <c r="B107" s="1592"/>
      <c r="C107" s="4156" t="s">
        <v>498</v>
      </c>
      <c r="D107" s="1592" t="s">
        <v>3462</v>
      </c>
      <c r="E107" s="1592"/>
      <c r="F107" s="1592"/>
      <c r="G107" s="1592"/>
      <c r="H107" s="1592"/>
      <c r="I107" s="1592"/>
      <c r="J107" s="1592"/>
      <c r="K107" s="1592"/>
      <c r="L107" s="1592"/>
      <c r="M107" s="1592"/>
      <c r="N107" s="1592"/>
      <c r="O107" s="1592"/>
      <c r="P107" s="1592"/>
      <c r="Q107" s="1592"/>
      <c r="R107" s="1592"/>
      <c r="S107" s="1592"/>
      <c r="T107" s="1592"/>
      <c r="U107" s="1592"/>
      <c r="V107" s="1592"/>
      <c r="W107" s="1592"/>
      <c r="X107" s="1592"/>
      <c r="Y107" s="1592"/>
      <c r="Z107" s="1592"/>
      <c r="AA107" s="1592"/>
      <c r="AB107" s="1592"/>
      <c r="AC107" s="1592"/>
      <c r="AD107" s="1592"/>
      <c r="AE107" s="1592"/>
      <c r="AF107" s="1592"/>
      <c r="AG107" s="1592"/>
      <c r="AH107" s="1592"/>
      <c r="AI107" s="1592"/>
      <c r="AJ107" s="3588" t="s">
        <v>857</v>
      </c>
      <c r="AK107" s="1804" t="str">
        <f>C107</f>
        <v>13.</v>
      </c>
      <c r="AL107" s="7810"/>
      <c r="AM107" s="7810"/>
      <c r="AN107" s="7810"/>
      <c r="AO107" s="7810"/>
      <c r="AP107" s="7810"/>
      <c r="AQ107" s="3350"/>
      <c r="AR107" s="3350"/>
      <c r="AS107" s="3350"/>
      <c r="AT107" s="3350"/>
    </row>
    <row r="108" spans="1:46">
      <c r="A108" s="3350"/>
      <c r="B108" s="1592"/>
      <c r="C108" s="3405"/>
      <c r="D108" s="1592"/>
      <c r="E108" s="1592"/>
      <c r="F108" s="1592"/>
      <c r="G108" s="1592"/>
      <c r="H108" s="1592"/>
      <c r="I108" s="1592"/>
      <c r="J108" s="1592"/>
      <c r="K108" s="1592"/>
      <c r="L108" s="1592"/>
      <c r="M108" s="1592"/>
      <c r="N108" s="1592"/>
      <c r="O108" s="1592"/>
      <c r="P108" s="1592"/>
      <c r="Q108" s="1592"/>
      <c r="R108" s="1592"/>
      <c r="S108" s="1592"/>
      <c r="T108" s="1592"/>
      <c r="U108" s="1592"/>
      <c r="V108" s="1592"/>
      <c r="W108" s="1592"/>
      <c r="X108" s="1592"/>
      <c r="Y108" s="1592"/>
      <c r="Z108" s="1592"/>
      <c r="AA108" s="1592"/>
      <c r="AB108" s="1592"/>
      <c r="AC108" s="1592"/>
      <c r="AD108" s="1592"/>
      <c r="AE108" s="1592"/>
      <c r="AF108" s="1592"/>
      <c r="AG108" s="1592"/>
      <c r="AH108" s="1592"/>
      <c r="AI108" s="1592"/>
      <c r="AJ108" s="1592"/>
      <c r="AK108" s="1592"/>
      <c r="AL108" s="1592"/>
      <c r="AM108" s="1592"/>
      <c r="AN108" s="1592"/>
      <c r="AO108" s="1592"/>
      <c r="AP108" s="1592"/>
      <c r="AQ108" s="3350"/>
      <c r="AR108" s="3350"/>
      <c r="AS108" s="3350"/>
      <c r="AT108" s="3350"/>
    </row>
    <row r="109" spans="1:46">
      <c r="A109" s="3350"/>
      <c r="B109" s="1592"/>
      <c r="C109" s="4156" t="s">
        <v>499</v>
      </c>
      <c r="D109" s="1592" t="s">
        <v>3469</v>
      </c>
      <c r="E109" s="1592"/>
      <c r="F109" s="1592"/>
      <c r="G109" s="1592"/>
      <c r="H109" s="1592"/>
      <c r="I109" s="1592"/>
      <c r="J109" s="1592"/>
      <c r="K109" s="1592"/>
      <c r="L109" s="1592"/>
      <c r="M109" s="1592"/>
      <c r="N109" s="1592"/>
      <c r="O109" s="1592"/>
      <c r="P109" s="1592"/>
      <c r="Q109" s="1592"/>
      <c r="R109" s="1592"/>
      <c r="S109" s="1592"/>
      <c r="T109" s="1592"/>
      <c r="U109" s="1592"/>
      <c r="V109" s="1592"/>
      <c r="W109" s="1592"/>
      <c r="X109" s="1592"/>
      <c r="Y109" s="1592"/>
      <c r="Z109" s="1592"/>
      <c r="AA109" s="1592"/>
      <c r="AB109" s="1592"/>
      <c r="AC109" s="1592"/>
      <c r="AD109" s="1592"/>
      <c r="AE109" s="1592"/>
      <c r="AF109" s="1592"/>
      <c r="AG109" s="1592"/>
      <c r="AH109" s="1592"/>
      <c r="AI109" s="1592"/>
      <c r="AJ109" s="1592"/>
      <c r="AK109" s="1592"/>
      <c r="AL109" s="1592"/>
      <c r="AM109" s="1592"/>
      <c r="AN109" s="1592"/>
      <c r="AO109" s="1592"/>
      <c r="AP109" s="1592"/>
      <c r="AQ109" s="3350"/>
      <c r="AR109" s="3350"/>
      <c r="AS109" s="3350"/>
      <c r="AT109" s="3350"/>
    </row>
    <row r="110" spans="1:46" ht="15.75">
      <c r="A110" s="3350"/>
      <c r="B110" s="1592"/>
      <c r="C110" s="3405"/>
      <c r="D110" s="1592" t="s">
        <v>3463</v>
      </c>
      <c r="E110" s="1592"/>
      <c r="F110" s="1592"/>
      <c r="G110" s="1592"/>
      <c r="H110" s="1592"/>
      <c r="I110" s="1592"/>
      <c r="J110" s="1592"/>
      <c r="K110" s="1592"/>
      <c r="L110" s="1592"/>
      <c r="M110" s="1592"/>
      <c r="N110" s="1592"/>
      <c r="O110" s="1592"/>
      <c r="P110" s="1592"/>
      <c r="Q110" s="1592"/>
      <c r="R110" s="1592"/>
      <c r="S110" s="1592"/>
      <c r="T110" s="1592"/>
      <c r="U110" s="1592"/>
      <c r="V110" s="1592"/>
      <c r="W110" s="1592"/>
      <c r="X110" s="1592"/>
      <c r="Y110" s="1592"/>
      <c r="Z110" s="1592"/>
      <c r="AA110" s="1592"/>
      <c r="AB110" s="1592"/>
      <c r="AC110" s="1592"/>
      <c r="AD110" s="1592"/>
      <c r="AE110" s="1592"/>
      <c r="AF110" s="1592"/>
      <c r="AG110" s="1592"/>
      <c r="AH110" s="1592"/>
      <c r="AI110" s="1592"/>
      <c r="AJ110" s="3588" t="s">
        <v>679</v>
      </c>
      <c r="AK110" s="1804" t="str">
        <f>C109</f>
        <v>14.</v>
      </c>
      <c r="AL110" s="7810"/>
      <c r="AM110" s="7810"/>
      <c r="AN110" s="7810"/>
      <c r="AO110" s="7810"/>
      <c r="AP110" s="7810"/>
      <c r="AQ110" s="3350"/>
      <c r="AR110" s="3350"/>
      <c r="AS110" s="3350"/>
      <c r="AT110" s="3350"/>
    </row>
    <row r="111" spans="1:46">
      <c r="A111" s="3350"/>
      <c r="B111" s="1592"/>
      <c r="C111" s="3405"/>
      <c r="D111" s="1592"/>
      <c r="E111" s="1592"/>
      <c r="F111" s="1592"/>
      <c r="G111" s="1592"/>
      <c r="H111" s="1592"/>
      <c r="I111" s="1592"/>
      <c r="J111" s="1592"/>
      <c r="K111" s="1592"/>
      <c r="L111" s="1592"/>
      <c r="M111" s="1592"/>
      <c r="N111" s="1592"/>
      <c r="O111" s="1592"/>
      <c r="P111" s="1592"/>
      <c r="Q111" s="1592"/>
      <c r="R111" s="1592"/>
      <c r="S111" s="1592"/>
      <c r="T111" s="1592"/>
      <c r="U111" s="1592"/>
      <c r="V111" s="1592"/>
      <c r="W111" s="1592"/>
      <c r="X111" s="1592"/>
      <c r="Y111" s="1592"/>
      <c r="Z111" s="1592"/>
      <c r="AA111" s="1592"/>
      <c r="AB111" s="1592"/>
      <c r="AC111" s="1592"/>
      <c r="AD111" s="1592"/>
      <c r="AE111" s="1592"/>
      <c r="AF111" s="1592"/>
      <c r="AG111" s="1592"/>
      <c r="AH111" s="1592"/>
      <c r="AI111" s="1592"/>
      <c r="AJ111" s="1592"/>
      <c r="AK111" s="1592"/>
      <c r="AL111" s="1592"/>
      <c r="AM111" s="1592"/>
      <c r="AN111" s="1592"/>
      <c r="AO111" s="1592"/>
      <c r="AP111" s="1592"/>
      <c r="AQ111" s="3350"/>
      <c r="AR111" s="3350"/>
      <c r="AS111" s="3350"/>
      <c r="AT111" s="3350"/>
    </row>
    <row r="112" spans="1:46" ht="15.75">
      <c r="A112" s="3350"/>
      <c r="B112" s="1592"/>
      <c r="C112" s="4156" t="s">
        <v>500</v>
      </c>
      <c r="D112" s="1592" t="s">
        <v>3464</v>
      </c>
      <c r="E112" s="1592"/>
      <c r="F112" s="1592"/>
      <c r="G112" s="1592"/>
      <c r="H112" s="1592"/>
      <c r="I112" s="1592"/>
      <c r="J112" s="1592"/>
      <c r="K112" s="1592"/>
      <c r="L112" s="1592"/>
      <c r="M112" s="1592"/>
      <c r="N112" s="1592"/>
      <c r="O112" s="1592"/>
      <c r="P112" s="1592"/>
      <c r="Q112" s="1592"/>
      <c r="R112" s="1592"/>
      <c r="S112" s="1592"/>
      <c r="T112" s="1592"/>
      <c r="U112" s="1592"/>
      <c r="V112" s="1592"/>
      <c r="W112" s="1592"/>
      <c r="X112" s="1592"/>
      <c r="Y112" s="1592"/>
      <c r="Z112" s="1592"/>
      <c r="AA112" s="1592"/>
      <c r="AB112" s="1592"/>
      <c r="AC112" s="1592"/>
      <c r="AD112" s="1592"/>
      <c r="AE112" s="1592"/>
      <c r="AF112" s="1592"/>
      <c r="AG112" s="1592"/>
      <c r="AH112" s="1592"/>
      <c r="AI112" s="1592"/>
      <c r="AJ112" s="3588" t="s">
        <v>1950</v>
      </c>
      <c r="AK112" s="1804" t="str">
        <f>C112</f>
        <v>15.</v>
      </c>
      <c r="AL112" s="7804" t="str">
        <f>IF(AS112&lt;&gt;"",ROUND(AS112,0),IF(AE41,SUM(AL105,AL107,AL110),""))</f>
        <v/>
      </c>
      <c r="AM112" s="7805"/>
      <c r="AN112" s="7805"/>
      <c r="AO112" s="7805"/>
      <c r="AP112" s="7805"/>
      <c r="AQ112" s="3350"/>
      <c r="AR112" s="3350"/>
      <c r="AS112" s="4159"/>
      <c r="AT112" s="3350"/>
    </row>
    <row r="113" spans="1:46">
      <c r="A113" s="3350"/>
      <c r="B113" s="1953"/>
      <c r="C113" s="1953"/>
      <c r="D113" s="1953"/>
      <c r="E113" s="1953"/>
      <c r="F113" s="1953"/>
      <c r="G113" s="1953"/>
      <c r="H113" s="1953"/>
      <c r="I113" s="1953"/>
      <c r="J113" s="1953"/>
      <c r="K113" s="1953"/>
      <c r="L113" s="1953"/>
      <c r="M113" s="1953"/>
      <c r="N113" s="1953"/>
      <c r="O113" s="1953"/>
      <c r="P113" s="1953"/>
      <c r="Q113" s="1953"/>
      <c r="R113" s="1953"/>
      <c r="S113" s="1953"/>
      <c r="T113" s="1953"/>
      <c r="U113" s="1953"/>
      <c r="V113" s="1953"/>
      <c r="W113" s="1953"/>
      <c r="X113" s="1953"/>
      <c r="Y113" s="1953"/>
      <c r="Z113" s="1953"/>
      <c r="AA113" s="1953"/>
      <c r="AB113" s="1953"/>
      <c r="AC113" s="1953"/>
      <c r="AD113" s="1953"/>
      <c r="AE113" s="1953"/>
      <c r="AF113" s="1953"/>
      <c r="AG113" s="1953"/>
      <c r="AH113" s="1953"/>
      <c r="AI113" s="1953"/>
      <c r="AJ113" s="1953"/>
      <c r="AK113" s="1953"/>
      <c r="AL113" s="1953"/>
      <c r="AM113" s="1953"/>
      <c r="AN113" s="1953"/>
      <c r="AO113" s="1953"/>
      <c r="AP113" s="1953"/>
      <c r="AQ113" s="3350"/>
      <c r="AR113" s="3350"/>
      <c r="AS113" s="3350"/>
      <c r="AT113" s="3350"/>
    </row>
    <row r="114" spans="1:46">
      <c r="A114" s="3350"/>
      <c r="B114" s="1592"/>
      <c r="C114" s="1592"/>
      <c r="D114" s="1592"/>
      <c r="E114" s="1592"/>
      <c r="F114" s="1592"/>
      <c r="G114" s="1592"/>
      <c r="H114" s="1592"/>
      <c r="I114" s="1592"/>
      <c r="J114" s="1592"/>
      <c r="K114" s="1592"/>
      <c r="L114" s="1592"/>
      <c r="M114" s="1592"/>
      <c r="N114" s="1592"/>
      <c r="O114" s="1592"/>
      <c r="P114" s="1592"/>
      <c r="Q114" s="1592"/>
      <c r="R114" s="1592"/>
      <c r="S114" s="1592"/>
      <c r="T114" s="1592"/>
      <c r="U114" s="1592"/>
      <c r="V114" s="1592"/>
      <c r="W114" s="1592"/>
      <c r="X114" s="1592"/>
      <c r="Y114" s="1592"/>
      <c r="Z114" s="1592"/>
      <c r="AA114" s="1592"/>
      <c r="AB114" s="1592"/>
      <c r="AC114" s="1592"/>
      <c r="AD114" s="1592"/>
      <c r="AE114" s="1592"/>
      <c r="AF114" s="1592"/>
      <c r="AG114" s="1592"/>
      <c r="AH114" s="1592"/>
      <c r="AI114" s="1592"/>
      <c r="AJ114" s="1592"/>
      <c r="AK114" s="1592"/>
      <c r="AL114" s="1592"/>
      <c r="AM114" s="1592"/>
      <c r="AN114" s="1592"/>
      <c r="AO114" s="1592"/>
      <c r="AP114" s="1592"/>
      <c r="AQ114" s="3350"/>
      <c r="AR114" s="3350"/>
      <c r="AS114" s="3350"/>
      <c r="AT114" s="3350"/>
    </row>
    <row r="115" spans="1:46">
      <c r="A115" s="3350"/>
      <c r="B115" s="1592"/>
      <c r="C115" s="3405" t="s">
        <v>3465</v>
      </c>
      <c r="D115" s="1592"/>
      <c r="E115" s="1592"/>
      <c r="F115" s="1592"/>
      <c r="G115" s="1592"/>
      <c r="H115" s="1592"/>
      <c r="I115" s="1592"/>
      <c r="J115" s="1592"/>
      <c r="K115" s="1592"/>
      <c r="L115" s="1592"/>
      <c r="M115" s="1592"/>
      <c r="N115" s="1592"/>
      <c r="O115" s="1592"/>
      <c r="P115" s="1592"/>
      <c r="Q115" s="1592"/>
      <c r="R115" s="1592"/>
      <c r="S115" s="1592"/>
      <c r="T115" s="1592"/>
      <c r="U115" s="1592"/>
      <c r="V115" s="1592"/>
      <c r="W115" s="1592"/>
      <c r="X115" s="1592"/>
      <c r="Y115" s="1592"/>
      <c r="Z115" s="1592"/>
      <c r="AA115" s="1592"/>
      <c r="AB115" s="1592"/>
      <c r="AC115" s="1592"/>
      <c r="AD115" s="1592"/>
      <c r="AE115" s="1592"/>
      <c r="AF115" s="1592"/>
      <c r="AG115" s="1592"/>
      <c r="AH115" s="1592"/>
      <c r="AI115" s="1592"/>
      <c r="AJ115" s="1592"/>
      <c r="AK115" s="1592"/>
      <c r="AL115" s="1592"/>
      <c r="AM115" s="1592"/>
      <c r="AN115" s="1592"/>
      <c r="AO115" s="1592"/>
      <c r="AP115" s="1592"/>
      <c r="AQ115" s="3350"/>
      <c r="AR115" s="3350"/>
      <c r="AS115" s="3350"/>
      <c r="AT115" s="3350"/>
    </row>
    <row r="116" spans="1:46">
      <c r="A116" s="3350"/>
      <c r="B116" s="1592"/>
      <c r="C116" s="1592"/>
      <c r="D116" s="1592"/>
      <c r="E116" s="1592"/>
      <c r="F116" s="1592"/>
      <c r="G116" s="1592"/>
      <c r="H116" s="1592"/>
      <c r="I116" s="1592"/>
      <c r="J116" s="1592"/>
      <c r="K116" s="1592"/>
      <c r="L116" s="1592"/>
      <c r="M116" s="1592"/>
      <c r="N116" s="1592"/>
      <c r="O116" s="1592"/>
      <c r="P116" s="1592"/>
      <c r="Q116" s="1592"/>
      <c r="R116" s="1592"/>
      <c r="S116" s="1592"/>
      <c r="T116" s="1592"/>
      <c r="U116" s="1592"/>
      <c r="V116" s="1592"/>
      <c r="W116" s="1592"/>
      <c r="X116" s="1592"/>
      <c r="Y116" s="1592"/>
      <c r="Z116" s="1592"/>
      <c r="AA116" s="1592"/>
      <c r="AB116" s="1592"/>
      <c r="AC116" s="1592"/>
      <c r="AD116" s="1592"/>
      <c r="AE116" s="1592"/>
      <c r="AF116" s="1592"/>
      <c r="AG116" s="1592"/>
      <c r="AH116" s="1592"/>
      <c r="AI116" s="1592"/>
      <c r="AJ116" s="1592"/>
      <c r="AK116" s="1592"/>
      <c r="AL116" s="1592"/>
      <c r="AM116" s="1592"/>
      <c r="AN116" s="1592"/>
      <c r="AO116" s="1592"/>
      <c r="AP116" s="1592"/>
      <c r="AQ116" s="3350"/>
      <c r="AR116" s="3350"/>
      <c r="AS116" s="3350"/>
      <c r="AT116" s="3350"/>
    </row>
    <row r="117" spans="1:46" ht="15.75">
      <c r="A117" s="3350"/>
      <c r="B117" s="1592"/>
      <c r="C117" s="4156" t="s">
        <v>215</v>
      </c>
      <c r="D117" s="1592" t="s">
        <v>3466</v>
      </c>
      <c r="E117" s="1592"/>
      <c r="F117" s="1592"/>
      <c r="G117" s="1592"/>
      <c r="H117" s="1592"/>
      <c r="I117" s="1592"/>
      <c r="J117" s="1592"/>
      <c r="K117" s="1592"/>
      <c r="L117" s="1592"/>
      <c r="M117" s="1592"/>
      <c r="N117" s="1592"/>
      <c r="O117" s="1592"/>
      <c r="P117" s="1592"/>
      <c r="Q117" s="1592"/>
      <c r="R117" s="1592"/>
      <c r="S117" s="1592"/>
      <c r="T117" s="1592"/>
      <c r="U117" s="1592"/>
      <c r="V117" s="1592"/>
      <c r="W117" s="1592"/>
      <c r="X117" s="1592"/>
      <c r="Y117" s="1592"/>
      <c r="Z117" s="1592"/>
      <c r="AA117" s="1592"/>
      <c r="AB117" s="1592"/>
      <c r="AC117" s="1592"/>
      <c r="AD117" s="1592"/>
      <c r="AE117" s="1592"/>
      <c r="AF117" s="1592"/>
      <c r="AG117" s="1592"/>
      <c r="AH117" s="1592"/>
      <c r="AI117" s="1592"/>
      <c r="AJ117" s="3588" t="s">
        <v>676</v>
      </c>
      <c r="AK117" s="1804" t="str">
        <f>C117</f>
        <v>16.</v>
      </c>
      <c r="AL117" s="7804" t="str">
        <f>IF(AS117&lt;&gt;"",ROUND(AS117,0),IF(AE41,SUM(AL84,AL89,AL103,AL112),""))</f>
        <v/>
      </c>
      <c r="AM117" s="7805"/>
      <c r="AN117" s="7805"/>
      <c r="AO117" s="7805"/>
      <c r="AP117" s="7805"/>
      <c r="AQ117" s="3350"/>
      <c r="AR117" s="3350"/>
      <c r="AS117" s="4159"/>
      <c r="AT117" s="3350"/>
    </row>
    <row r="118" spans="1:46">
      <c r="A118" s="3350"/>
      <c r="B118" s="1953"/>
      <c r="C118" s="1953"/>
      <c r="D118" s="1953"/>
      <c r="E118" s="1953"/>
      <c r="F118" s="1953"/>
      <c r="G118" s="1953"/>
      <c r="H118" s="1953"/>
      <c r="I118" s="1953"/>
      <c r="J118" s="1953"/>
      <c r="K118" s="1953"/>
      <c r="L118" s="1953"/>
      <c r="M118" s="1953"/>
      <c r="N118" s="1953"/>
      <c r="O118" s="1953"/>
      <c r="P118" s="1953"/>
      <c r="Q118" s="1953"/>
      <c r="R118" s="1953"/>
      <c r="S118" s="1953"/>
      <c r="T118" s="1953"/>
      <c r="U118" s="1953"/>
      <c r="V118" s="1953"/>
      <c r="W118" s="1953"/>
      <c r="X118" s="1953"/>
      <c r="Y118" s="1953"/>
      <c r="Z118" s="1953"/>
      <c r="AA118" s="1953"/>
      <c r="AB118" s="1953"/>
      <c r="AC118" s="1953"/>
      <c r="AD118" s="1953"/>
      <c r="AE118" s="1953"/>
      <c r="AF118" s="1953"/>
      <c r="AG118" s="1953"/>
      <c r="AH118" s="1953"/>
      <c r="AI118" s="1953"/>
      <c r="AJ118" s="1953"/>
      <c r="AK118" s="1953"/>
      <c r="AL118" s="1953"/>
      <c r="AM118" s="1953"/>
      <c r="AN118" s="1953"/>
      <c r="AO118" s="1953"/>
      <c r="AP118" s="1953"/>
      <c r="AQ118" s="3350"/>
      <c r="AR118" s="3350"/>
      <c r="AS118" s="3350"/>
      <c r="AT118" s="3350"/>
    </row>
    <row r="119" spans="1:46">
      <c r="A119" s="3350"/>
      <c r="B119" s="3350"/>
      <c r="C119" s="3350"/>
      <c r="D119" s="3350"/>
      <c r="E119" s="3350"/>
      <c r="F119" s="3350"/>
      <c r="G119" s="3350"/>
      <c r="H119" s="3350"/>
      <c r="I119" s="3350"/>
      <c r="J119" s="3350"/>
      <c r="K119" s="3350"/>
      <c r="L119" s="3350"/>
      <c r="M119" s="3350"/>
      <c r="N119" s="3350"/>
      <c r="O119" s="3350"/>
      <c r="P119" s="3350"/>
      <c r="Q119" s="3350"/>
      <c r="R119" s="3350"/>
      <c r="S119" s="3350"/>
      <c r="T119" s="3350"/>
      <c r="U119" s="3350"/>
      <c r="V119" s="3350"/>
      <c r="W119" s="3350"/>
      <c r="X119" s="3350"/>
      <c r="Y119" s="3350"/>
      <c r="Z119" s="3350"/>
      <c r="AA119" s="3350"/>
      <c r="AB119" s="3350"/>
      <c r="AC119" s="3350"/>
      <c r="AD119" s="3350"/>
      <c r="AE119" s="3350"/>
      <c r="AF119" s="3350"/>
      <c r="AG119" s="3350"/>
      <c r="AH119" s="3350"/>
      <c r="AI119" s="3350"/>
      <c r="AJ119" s="3350"/>
      <c r="AK119" s="3350"/>
      <c r="AL119" s="3350"/>
      <c r="AM119" s="3350"/>
      <c r="AN119" s="3350"/>
      <c r="AO119" s="3350"/>
      <c r="AP119" s="3350"/>
      <c r="AQ119" s="3350"/>
      <c r="AR119" s="3350"/>
      <c r="AS119" s="3350"/>
      <c r="AT119" s="3350"/>
    </row>
  </sheetData>
  <sheetProtection password="F07E" sheet="1" objects="1" scenarios="1"/>
  <mergeCells count="92">
    <mergeCell ref="AE37:AI37"/>
    <mergeCell ref="AE40:AI40"/>
    <mergeCell ref="AE60:AI60"/>
    <mergeCell ref="AF35:AG35"/>
    <mergeCell ref="AD35:AE35"/>
    <mergeCell ref="AH35:AI35"/>
    <mergeCell ref="AH36:AI36"/>
    <mergeCell ref="AC54:AD54"/>
    <mergeCell ref="AE54:AI54"/>
    <mergeCell ref="AC31:AD32"/>
    <mergeCell ref="AS31:AS32"/>
    <mergeCell ref="AL13:AP13"/>
    <mergeCell ref="AE29:AI29"/>
    <mergeCell ref="AE26:AI26"/>
    <mergeCell ref="AE31:AI32"/>
    <mergeCell ref="H15:AG15"/>
    <mergeCell ref="H17:AG17"/>
    <mergeCell ref="AC26:AD26"/>
    <mergeCell ref="V28:W28"/>
    <mergeCell ref="Z21:AC21"/>
    <mergeCell ref="X28:AB28"/>
    <mergeCell ref="AJ15:AK15"/>
    <mergeCell ref="AL15:AP15"/>
    <mergeCell ref="AL34:AP34"/>
    <mergeCell ref="AJ19:AK19"/>
    <mergeCell ref="AL19:AP19"/>
    <mergeCell ref="AJ20:AK20"/>
    <mergeCell ref="AL20:AP20"/>
    <mergeCell ref="AJ34:AK34"/>
    <mergeCell ref="AL22:AP22"/>
    <mergeCell ref="AL21:AP21"/>
    <mergeCell ref="AL25:AP25"/>
    <mergeCell ref="AJ21:AK21"/>
    <mergeCell ref="AJ22:AK22"/>
    <mergeCell ref="AL23:AP23"/>
    <mergeCell ref="AJ25:AK25"/>
    <mergeCell ref="B11:D11"/>
    <mergeCell ref="AJ2:AP2"/>
    <mergeCell ref="B6:H7"/>
    <mergeCell ref="B9:AI10"/>
    <mergeCell ref="AJ9:AP10"/>
    <mergeCell ref="B2:H2"/>
    <mergeCell ref="B3:H3"/>
    <mergeCell ref="AO6:AO7"/>
    <mergeCell ref="K2:AC3"/>
    <mergeCell ref="AJ3:AP4"/>
    <mergeCell ref="AK6:AM7"/>
    <mergeCell ref="AN6:AN7"/>
    <mergeCell ref="AJ51:AK51"/>
    <mergeCell ref="AL51:AP51"/>
    <mergeCell ref="B41:D41"/>
    <mergeCell ref="AJ47:AK47"/>
    <mergeCell ref="AL47:AP47"/>
    <mergeCell ref="AC45:AD45"/>
    <mergeCell ref="AE45:AI45"/>
    <mergeCell ref="AE41:AI41"/>
    <mergeCell ref="AC49:AD49"/>
    <mergeCell ref="AE49:AI49"/>
    <mergeCell ref="AJ62:AK62"/>
    <mergeCell ref="AL62:AP62"/>
    <mergeCell ref="AJ58:AK58"/>
    <mergeCell ref="AL58:AP58"/>
    <mergeCell ref="AJ59:AK59"/>
    <mergeCell ref="AL59:AP59"/>
    <mergeCell ref="B61:D61"/>
    <mergeCell ref="AJ55:AK55"/>
    <mergeCell ref="AL55:AP55"/>
    <mergeCell ref="AC57:AD57"/>
    <mergeCell ref="AE57:AI57"/>
    <mergeCell ref="AJ57:AK57"/>
    <mergeCell ref="AL57:AP57"/>
    <mergeCell ref="AL61:AP61"/>
    <mergeCell ref="AE61:AI61"/>
    <mergeCell ref="Y61:AD61"/>
    <mergeCell ref="AL74:AP74"/>
    <mergeCell ref="AL76:AP76"/>
    <mergeCell ref="AL78:AP78"/>
    <mergeCell ref="AL80:AP80"/>
    <mergeCell ref="AL82:AP82"/>
    <mergeCell ref="AL117:AP117"/>
    <mergeCell ref="AL83:AP83"/>
    <mergeCell ref="AL88:AP88"/>
    <mergeCell ref="AL103:AP103"/>
    <mergeCell ref="AL105:AP105"/>
    <mergeCell ref="AL107:AP107"/>
    <mergeCell ref="AL110:AP110"/>
    <mergeCell ref="AL112:AP112"/>
    <mergeCell ref="AL84:AP84"/>
    <mergeCell ref="AL89:AP89"/>
    <mergeCell ref="AL96:AP96"/>
    <mergeCell ref="AL98:AP98"/>
    <mergeCell ref="AL101:AP101"/>
  </mergeCells>
  <conditionalFormatting sqref="B9:AI10 AE46:AI48 D20:M21 D23:M32 D22:G22 I22:M22">
    <cfRule type="expression" dxfId="508" priority="225">
      <formula>NoColor</formula>
    </cfRule>
  </conditionalFormatting>
  <conditionalFormatting sqref="D19:M19 D16:M16 D15:H15">
    <cfRule type="expression" dxfId="507" priority="223">
      <formula>NoColor</formula>
    </cfRule>
  </conditionalFormatting>
  <conditionalFormatting sqref="N26:AA26">
    <cfRule type="expression" dxfId="506" priority="220">
      <formula>NoColor</formula>
    </cfRule>
  </conditionalFormatting>
  <conditionalFormatting sqref="N32:AA32">
    <cfRule type="expression" dxfId="505" priority="218">
      <formula>NoColor</formula>
    </cfRule>
  </conditionalFormatting>
  <conditionalFormatting sqref="N29:AB29">
    <cfRule type="expression" dxfId="504" priority="219">
      <formula>NoColor</formula>
    </cfRule>
  </conditionalFormatting>
  <conditionalFormatting sqref="U31">
    <cfRule type="expression" dxfId="503" priority="213">
      <formula>NoColor</formula>
    </cfRule>
  </conditionalFormatting>
  <conditionalFormatting sqref="U20">
    <cfRule type="expression" dxfId="502" priority="215">
      <formula>NoColor</formula>
    </cfRule>
  </conditionalFormatting>
  <conditionalFormatting sqref="AL49:AP50">
    <cfRule type="expression" dxfId="501" priority="209">
      <formula>NoColor</formula>
    </cfRule>
  </conditionalFormatting>
  <conditionalFormatting sqref="AM65:AP65">
    <cfRule type="expression" dxfId="500" priority="199">
      <formula>NoColor</formula>
    </cfRule>
  </conditionalFormatting>
  <conditionalFormatting sqref="AM64:AP64">
    <cfRule type="expression" dxfId="499" priority="200">
      <formula>NoColor</formula>
    </cfRule>
  </conditionalFormatting>
  <conditionalFormatting sqref="AJ9:AP10">
    <cfRule type="expression" dxfId="498" priority="155">
      <formula>NoColor</formula>
    </cfRule>
  </conditionalFormatting>
  <conditionalFormatting sqref="D17:G18 I18:M18">
    <cfRule type="expression" dxfId="497" priority="151">
      <formula>NoColor</formula>
    </cfRule>
  </conditionalFormatting>
  <conditionalFormatting sqref="AE18:AI18 AH17:AI17">
    <cfRule type="expression" dxfId="496" priority="149">
      <formula>NoColor</formula>
    </cfRule>
  </conditionalFormatting>
  <conditionalFormatting sqref="C35">
    <cfRule type="expression" dxfId="495" priority="148">
      <formula>NoColor</formula>
    </cfRule>
  </conditionalFormatting>
  <conditionalFormatting sqref="D36:M36 D38:M39">
    <cfRule type="expression" dxfId="494" priority="147">
      <formula>NoColor</formula>
    </cfRule>
  </conditionalFormatting>
  <conditionalFormatting sqref="N39:AD39">
    <cfRule type="expression" dxfId="493" priority="146">
      <formula>NoColor</formula>
    </cfRule>
  </conditionalFormatting>
  <conditionalFormatting sqref="U38">
    <cfRule type="expression" dxfId="492" priority="145">
      <formula>NoColor</formula>
    </cfRule>
  </conditionalFormatting>
  <conditionalFormatting sqref="AE36:AH36 AE38:AI39">
    <cfRule type="expression" dxfId="491" priority="144">
      <formula>NoColor</formula>
    </cfRule>
  </conditionalFormatting>
  <conditionalFormatting sqref="D37:M37">
    <cfRule type="expression" dxfId="490" priority="143">
      <formula>NoColor</formula>
    </cfRule>
  </conditionalFormatting>
  <conditionalFormatting sqref="AE37">
    <cfRule type="expression" dxfId="489" priority="141">
      <formula>NoColor</formula>
    </cfRule>
  </conditionalFormatting>
  <conditionalFormatting sqref="U37">
    <cfRule type="expression" dxfId="488" priority="142">
      <formula>NoColor</formula>
    </cfRule>
  </conditionalFormatting>
  <conditionalFormatting sqref="AJ34">
    <cfRule type="expression" dxfId="487" priority="118">
      <formula>NoColor</formula>
    </cfRule>
  </conditionalFormatting>
  <conditionalFormatting sqref="U46">
    <cfRule type="expression" dxfId="486" priority="113">
      <formula>NoColor</formula>
    </cfRule>
  </conditionalFormatting>
  <conditionalFormatting sqref="V28">
    <cfRule type="expression" dxfId="485" priority="137">
      <formula>NoColor</formula>
    </cfRule>
  </conditionalFormatting>
  <conditionalFormatting sqref="AJ20">
    <cfRule type="expression" dxfId="484" priority="133">
      <formula>NoColor</formula>
    </cfRule>
  </conditionalFormatting>
  <conditionalFormatting sqref="AJ19">
    <cfRule type="expression" dxfId="483" priority="135">
      <formula>NoColor</formula>
    </cfRule>
  </conditionalFormatting>
  <conditionalFormatting sqref="AC26">
    <cfRule type="expression" dxfId="482" priority="131">
      <formula>NoColor</formula>
    </cfRule>
  </conditionalFormatting>
  <conditionalFormatting sqref="AC31">
    <cfRule type="expression" dxfId="481" priority="117">
      <formula>NoColor</formula>
    </cfRule>
  </conditionalFormatting>
  <conditionalFormatting sqref="D45:M46 D47:H47">
    <cfRule type="expression" dxfId="480" priority="114">
      <formula>NoColor</formula>
    </cfRule>
  </conditionalFormatting>
  <conditionalFormatting sqref="AL47 AL45:AP46">
    <cfRule type="expression" dxfId="479" priority="112">
      <formula>NoColor</formula>
    </cfRule>
  </conditionalFormatting>
  <conditionalFormatting sqref="AC45">
    <cfRule type="expression" dxfId="478" priority="111">
      <formula>NoColor</formula>
    </cfRule>
  </conditionalFormatting>
  <conditionalFormatting sqref="AE42:AI44">
    <cfRule type="expression" dxfId="477" priority="110">
      <formula>NoColor</formula>
    </cfRule>
  </conditionalFormatting>
  <conditionalFormatting sqref="H48">
    <cfRule type="expression" dxfId="476" priority="109">
      <formula>NoColor</formula>
    </cfRule>
  </conditionalFormatting>
  <conditionalFormatting sqref="H49:H50">
    <cfRule type="expression" dxfId="475" priority="108">
      <formula>NoColor</formula>
    </cfRule>
  </conditionalFormatting>
  <conditionalFormatting sqref="AL53:AP53">
    <cfRule type="expression" dxfId="474" priority="105">
      <formula>NoColor</formula>
    </cfRule>
  </conditionalFormatting>
  <conditionalFormatting sqref="D51:H51">
    <cfRule type="expression" dxfId="473" priority="104">
      <formula>NoColor</formula>
    </cfRule>
  </conditionalFormatting>
  <conditionalFormatting sqref="AL51">
    <cfRule type="expression" dxfId="472" priority="103">
      <formula>NoColor</formula>
    </cfRule>
  </conditionalFormatting>
  <conditionalFormatting sqref="H52">
    <cfRule type="expression" dxfId="471" priority="102">
      <formula>NoColor</formula>
    </cfRule>
  </conditionalFormatting>
  <conditionalFormatting sqref="H53">
    <cfRule type="expression" dxfId="470" priority="101">
      <formula>NoColor</formula>
    </cfRule>
  </conditionalFormatting>
  <conditionalFormatting sqref="AE58:AH59">
    <cfRule type="expression" dxfId="469" priority="74">
      <formula>NoColor</formula>
    </cfRule>
  </conditionalFormatting>
  <conditionalFormatting sqref="AE50:AI53">
    <cfRule type="expression" dxfId="468" priority="98">
      <formula>NoColor</formula>
    </cfRule>
  </conditionalFormatting>
  <conditionalFormatting sqref="AC54">
    <cfRule type="expression" dxfId="467" priority="97">
      <formula>NoColor</formula>
    </cfRule>
  </conditionalFormatting>
  <conditionalFormatting sqref="AL57">
    <cfRule type="expression" dxfId="466" priority="81">
      <formula>NoColor</formula>
    </cfRule>
  </conditionalFormatting>
  <conditionalFormatting sqref="H59:H60">
    <cfRule type="expression" dxfId="465" priority="76">
      <formula>NoColor</formula>
    </cfRule>
  </conditionalFormatting>
  <conditionalFormatting sqref="H58">
    <cfRule type="expression" dxfId="464" priority="77">
      <formula>NoColor</formula>
    </cfRule>
  </conditionalFormatting>
  <conditionalFormatting sqref="AC57">
    <cfRule type="expression" dxfId="463" priority="75">
      <formula>NoColor</formula>
    </cfRule>
  </conditionalFormatting>
  <conditionalFormatting sqref="AE55:AI56">
    <cfRule type="expression" dxfId="462" priority="88">
      <formula>NoColor</formula>
    </cfRule>
  </conditionalFormatting>
  <conditionalFormatting sqref="D55:H55">
    <cfRule type="expression" dxfId="461" priority="86">
      <formula>NoColor</formula>
    </cfRule>
  </conditionalFormatting>
  <conditionalFormatting sqref="AL55">
    <cfRule type="expression" dxfId="460" priority="85">
      <formula>NoColor</formula>
    </cfRule>
  </conditionalFormatting>
  <conditionalFormatting sqref="H56">
    <cfRule type="expression" dxfId="459" priority="84">
      <formula>NoColor</formula>
    </cfRule>
  </conditionalFormatting>
  <conditionalFormatting sqref="D57:G57">
    <cfRule type="expression" dxfId="458" priority="82">
      <formula>NoColor</formula>
    </cfRule>
  </conditionalFormatting>
  <conditionalFormatting sqref="AJ58">
    <cfRule type="expression" dxfId="457" priority="63">
      <formula>NoColor</formula>
    </cfRule>
  </conditionalFormatting>
  <conditionalFormatting sqref="AJ59">
    <cfRule type="expression" dxfId="456" priority="61">
      <formula>NoColor</formula>
    </cfRule>
  </conditionalFormatting>
  <conditionalFormatting sqref="AJ62">
    <cfRule type="expression" dxfId="455" priority="59">
      <formula>NoColor</formula>
    </cfRule>
  </conditionalFormatting>
  <conditionalFormatting sqref="AR11">
    <cfRule type="expression" dxfId="454" priority="56">
      <formula>Form2555_Used</formula>
    </cfRule>
  </conditionalFormatting>
  <conditionalFormatting sqref="AL13">
    <cfRule type="expression" dxfId="453" priority="54">
      <formula>NoColor</formula>
    </cfRule>
  </conditionalFormatting>
  <conditionalFormatting sqref="AL15:AP15">
    <cfRule type="expression" dxfId="452" priority="51">
      <formula>NoColor</formula>
    </cfRule>
  </conditionalFormatting>
  <conditionalFormatting sqref="AL19:AP19 AL21:AL24">
    <cfRule type="expression" dxfId="451" priority="50">
      <formula>NoColor</formula>
    </cfRule>
  </conditionalFormatting>
  <conditionalFormatting sqref="AL20:AP20">
    <cfRule type="expression" dxfId="450" priority="49">
      <formula>NoColor</formula>
    </cfRule>
  </conditionalFormatting>
  <conditionalFormatting sqref="AE26:AI26">
    <cfRule type="expression" dxfId="449" priority="48">
      <formula>NoColor</formula>
    </cfRule>
  </conditionalFormatting>
  <conditionalFormatting sqref="AE31:AI31">
    <cfRule type="expression" dxfId="448" priority="47">
      <formula>NoColor</formula>
    </cfRule>
  </conditionalFormatting>
  <conditionalFormatting sqref="X28:AB28">
    <cfRule type="expression" dxfId="447" priority="46">
      <formula>NoColor</formula>
    </cfRule>
  </conditionalFormatting>
  <conditionalFormatting sqref="AL34:AP34">
    <cfRule type="expression" dxfId="446" priority="45">
      <formula>NoColor</formula>
    </cfRule>
  </conditionalFormatting>
  <conditionalFormatting sqref="AS11:AS12">
    <cfRule type="expression" dxfId="445" priority="44">
      <formula>Form2555_Used</formula>
    </cfRule>
  </conditionalFormatting>
  <conditionalFormatting sqref="AT11">
    <cfRule type="expression" dxfId="444" priority="43">
      <formula>Form2555_Used</formula>
    </cfRule>
  </conditionalFormatting>
  <conditionalFormatting sqref="AT12">
    <cfRule type="expression" dxfId="443" priority="42">
      <formula>Form2555_Used</formula>
    </cfRule>
  </conditionalFormatting>
  <conditionalFormatting sqref="AE45:AI45">
    <cfRule type="expression" dxfId="442" priority="41">
      <formula>NoColor</formula>
    </cfRule>
  </conditionalFormatting>
  <conditionalFormatting sqref="AE54:AI54">
    <cfRule type="expression" dxfId="441" priority="38">
      <formula>NoColor</formula>
    </cfRule>
  </conditionalFormatting>
  <conditionalFormatting sqref="AE57:AI57">
    <cfRule type="expression" dxfId="440" priority="37">
      <formula>NoColor</formula>
    </cfRule>
  </conditionalFormatting>
  <conditionalFormatting sqref="AL58:AP58">
    <cfRule type="expression" dxfId="439" priority="36">
      <formula>NoColor</formula>
    </cfRule>
  </conditionalFormatting>
  <conditionalFormatting sqref="AS36">
    <cfRule type="expression" dxfId="438" priority="35">
      <formula>($C$36&lt;&gt;"")</formula>
    </cfRule>
  </conditionalFormatting>
  <conditionalFormatting sqref="AS37">
    <cfRule type="expression" dxfId="437" priority="33">
      <formula>AND($C$36&lt;&gt;"",$AL$34=0)</formula>
    </cfRule>
  </conditionalFormatting>
  <conditionalFormatting sqref="AS40">
    <cfRule type="expression" dxfId="436" priority="32">
      <formula>($C$39&lt;&gt;"")</formula>
    </cfRule>
  </conditionalFormatting>
  <conditionalFormatting sqref="AL59:AP59">
    <cfRule type="expression" dxfId="435" priority="31">
      <formula>NoColor</formula>
    </cfRule>
  </conditionalFormatting>
  <conditionalFormatting sqref="AL62:AP62">
    <cfRule type="expression" dxfId="434" priority="30">
      <formula>NoColor</formula>
    </cfRule>
  </conditionalFormatting>
  <conditionalFormatting sqref="K20">
    <cfRule type="expression" dxfId="433" priority="29">
      <formula>AND($AV$20,NOT(NoColor))</formula>
    </cfRule>
  </conditionalFormatting>
  <conditionalFormatting sqref="N62">
    <cfRule type="expression" dxfId="432" priority="20">
      <formula>($AL$61&gt;$AE$61)</formula>
    </cfRule>
  </conditionalFormatting>
  <conditionalFormatting sqref="E12">
    <cfRule type="expression" dxfId="431" priority="19">
      <formula>AL13</formula>
    </cfRule>
  </conditionalFormatting>
  <conditionalFormatting sqref="B12">
    <cfRule type="expression" dxfId="430" priority="18">
      <formula>AL13</formula>
    </cfRule>
  </conditionalFormatting>
  <conditionalFormatting sqref="H17">
    <cfRule type="expression" dxfId="429" priority="17">
      <formula>NoColor</formula>
    </cfRule>
  </conditionalFormatting>
  <conditionalFormatting sqref="H18">
    <cfRule type="expression" dxfId="428" priority="16">
      <formula>NoColor</formula>
    </cfRule>
  </conditionalFormatting>
  <conditionalFormatting sqref="Z21:AC21">
    <cfRule type="expression" dxfId="427" priority="15">
      <formula>NoColor</formula>
    </cfRule>
  </conditionalFormatting>
  <conditionalFormatting sqref="AL25:AP25">
    <cfRule type="expression" dxfId="426" priority="14">
      <formula>NoColor</formula>
    </cfRule>
  </conditionalFormatting>
  <conditionalFormatting sqref="AC49:AC50">
    <cfRule type="expression" dxfId="425" priority="13">
      <formula>NoColor</formula>
    </cfRule>
  </conditionalFormatting>
  <conditionalFormatting sqref="AE49:AI49">
    <cfRule type="expression" dxfId="424" priority="12">
      <formula>NoColor</formula>
    </cfRule>
  </conditionalFormatting>
  <conditionalFormatting sqref="H22">
    <cfRule type="expression" dxfId="423" priority="1">
      <formula>$AV$22</formula>
    </cfRule>
  </conditionalFormatting>
  <conditionalFormatting sqref="G36">
    <cfRule type="expression" dxfId="422" priority="9">
      <formula>AND(NOT(NoColor),$AV$34)</formula>
    </cfRule>
  </conditionalFormatting>
  <conditionalFormatting sqref="H57">
    <cfRule type="expression" dxfId="421" priority="8">
      <formula>NoColor</formula>
    </cfRule>
  </conditionalFormatting>
  <conditionalFormatting sqref="C30">
    <cfRule type="expression" dxfId="420" priority="7">
      <formula>NoColor</formula>
    </cfRule>
  </conditionalFormatting>
  <conditionalFormatting sqref="C32">
    <cfRule type="expression" dxfId="419" priority="6">
      <formula>NoColor</formula>
    </cfRule>
  </conditionalFormatting>
  <conditionalFormatting sqref="C36">
    <cfRule type="expression" dxfId="418" priority="5">
      <formula>NoColor</formula>
    </cfRule>
  </conditionalFormatting>
  <conditionalFormatting sqref="AL74:AP117">
    <cfRule type="expression" dxfId="417" priority="3">
      <formula>NoColor</formula>
    </cfRule>
  </conditionalFormatting>
  <conditionalFormatting sqref="C39">
    <cfRule type="expression" dxfId="416" priority="2">
      <formula>NoColor</formula>
    </cfRule>
  </conditionalFormatting>
  <pageMargins left="0.45" right="0.45" top="0.75" bottom="0.5" header="0" footer="0"/>
  <pageSetup scale="77" fitToHeight="0"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77"/>
  <sheetViews>
    <sheetView zoomScaleNormal="100" zoomScaleSheetLayoutView="130" workbookViewId="0">
      <selection activeCell="L15" sqref="L15"/>
    </sheetView>
  </sheetViews>
  <sheetFormatPr defaultRowHeight="12.75"/>
  <cols>
    <col min="1" max="1" width="2.42578125" style="46" customWidth="1"/>
    <col min="2" max="2" width="7.7109375" customWidth="1"/>
    <col min="3" max="3" width="10" customWidth="1"/>
    <col min="4" max="4" width="4.28515625" customWidth="1"/>
    <col min="5" max="5" width="8.42578125" customWidth="1"/>
    <col min="6" max="6" width="18.5703125" customWidth="1"/>
    <col min="7" max="7" width="8" customWidth="1"/>
    <col min="8" max="8" width="5.42578125" customWidth="1"/>
    <col min="9" max="9" width="5.28515625" customWidth="1"/>
    <col min="10" max="10" width="6" customWidth="1"/>
    <col min="11" max="11" width="15.7109375" customWidth="1"/>
    <col min="12" max="12" width="3.7109375" customWidth="1"/>
    <col min="13" max="13" width="14.140625" customWidth="1"/>
    <col min="14" max="14" width="2.5703125" customWidth="1"/>
    <col min="15" max="15" width="3" customWidth="1"/>
    <col min="16" max="16" width="9.7109375" style="277" customWidth="1"/>
    <col min="17" max="17" width="14.5703125" customWidth="1"/>
    <col min="18" max="18" width="2.28515625" style="1408" customWidth="1"/>
    <col min="19" max="19" width="6.7109375" style="3240" hidden="1" customWidth="1"/>
    <col min="20" max="20" width="6.28515625" style="3240" hidden="1" customWidth="1"/>
    <col min="21" max="22" width="7.42578125" style="3240" hidden="1" customWidth="1"/>
    <col min="23" max="23" width="3.28515625" style="3240" customWidth="1"/>
    <col min="24" max="24" width="13.42578125" style="244" customWidth="1"/>
    <col min="25" max="25" width="1.28515625" style="1701" customWidth="1"/>
    <col min="26" max="26" width="3.85546875" style="3211" customWidth="1"/>
    <col min="27" max="27" width="1.28515625" style="1701" customWidth="1"/>
    <col min="28" max="28" width="4.28515625" style="3211" customWidth="1"/>
    <col min="29" max="29" width="1.28515625" style="1701" customWidth="1"/>
    <col min="30" max="30" width="2.7109375" style="3211" customWidth="1"/>
    <col min="31" max="31" width="1.28515625" style="1701" customWidth="1"/>
    <col min="32" max="32" width="9.140625" style="3212" customWidth="1"/>
    <col min="33" max="34" width="3" style="1701" customWidth="1"/>
    <col min="35" max="36" width="7" style="1701" hidden="1" customWidth="1"/>
    <col min="37" max="37" width="6.28515625" style="1701" hidden="1" customWidth="1"/>
    <col min="38" max="45" width="10.7109375" style="3169" customWidth="1"/>
  </cols>
  <sheetData>
    <row r="1" spans="1:45" ht="12" customHeight="1">
      <c r="A1" s="1044"/>
      <c r="B1" s="1042"/>
      <c r="C1" s="1042"/>
      <c r="D1" s="1042"/>
      <c r="E1" s="1042"/>
      <c r="F1" s="1042"/>
      <c r="G1" s="1042"/>
      <c r="H1" s="1042"/>
      <c r="I1" s="1042"/>
      <c r="J1" s="1042"/>
      <c r="K1" s="1042"/>
      <c r="L1" s="1043"/>
      <c r="M1" s="635"/>
      <c r="N1" s="635"/>
      <c r="O1" s="1408"/>
      <c r="P1" s="3459"/>
      <c r="Q1" s="733"/>
      <c r="W1" s="3227"/>
      <c r="X1" s="3233"/>
      <c r="Y1" s="1766"/>
      <c r="Z1" s="3234"/>
      <c r="AA1" s="1766"/>
      <c r="AB1" s="3234"/>
      <c r="AC1" s="1766"/>
      <c r="AD1" s="3234"/>
      <c r="AE1" s="1766"/>
      <c r="AF1" s="3235"/>
      <c r="AG1" s="1766"/>
      <c r="AH1" s="1766"/>
      <c r="AI1" s="1766"/>
      <c r="AJ1" s="1766"/>
      <c r="AK1" s="1766"/>
      <c r="AL1" s="3168" t="s">
        <v>2552</v>
      </c>
    </row>
    <row r="2" spans="1:45" ht="17.25" customHeight="1">
      <c r="A2" s="1044"/>
      <c r="B2" s="2903"/>
      <c r="C2" s="2903"/>
      <c r="D2" s="2903"/>
      <c r="E2" s="5098" t="str">
        <f>IF(T5,"You can't deduct contributions if you are someone else's dependent.",IF(U5,"Your spouse can't deduct contributions if you are someone else's dependent.",IF(AND(File_Marr_Joint&lt;&gt;"",O9="",O10=""),"  Indicate in cells O9 &amp; O10 which taxpayer(s) are beneficiaries of an HSA",IF(O9="","  Indicate in cell O9 that you are the beneficiary of an HSA.",IF(AND(O9&lt;&gt;"",O10&lt;&gt;""),"  A separate Form 8889, for your spouse, is available below.","")))))</f>
        <v xml:space="preserve">  A separate Form 8889, for your spouse, is available below.</v>
      </c>
      <c r="F2" s="1042"/>
      <c r="G2" s="1042"/>
      <c r="H2" s="1042"/>
      <c r="I2" s="1042"/>
      <c r="J2" s="1042"/>
      <c r="K2" s="1042"/>
      <c r="L2" s="1043"/>
      <c r="M2" s="635"/>
      <c r="N2" s="635"/>
      <c r="O2" s="1408"/>
      <c r="P2" s="3459"/>
      <c r="Q2" s="733"/>
      <c r="W2" s="3227"/>
      <c r="X2" s="3233"/>
      <c r="Y2" s="1766"/>
      <c r="Z2" s="3234"/>
      <c r="AA2" s="1766"/>
      <c r="AB2" s="3234"/>
      <c r="AC2" s="1766"/>
      <c r="AD2" s="3234"/>
      <c r="AE2" s="1766"/>
      <c r="AF2" s="3235"/>
      <c r="AG2" s="1766"/>
      <c r="AH2" s="1766"/>
      <c r="AI2" s="1766"/>
      <c r="AJ2" s="1766"/>
      <c r="AK2" s="1766"/>
    </row>
    <row r="3" spans="1:45" ht="13.5" customHeight="1">
      <c r="A3" s="1045"/>
      <c r="B3" s="992"/>
      <c r="C3" s="635"/>
      <c r="D3" s="635"/>
      <c r="E3" s="635"/>
      <c r="F3" s="635"/>
      <c r="G3" s="948"/>
      <c r="H3" s="635"/>
      <c r="I3" s="635"/>
      <c r="J3" s="635"/>
      <c r="K3" s="635"/>
      <c r="L3" s="635"/>
      <c r="M3" s="635"/>
      <c r="N3" s="635"/>
      <c r="O3" s="1408"/>
      <c r="P3" s="3459"/>
      <c r="Q3" s="733"/>
      <c r="T3" s="7875" t="s">
        <v>4100</v>
      </c>
      <c r="U3" s="7875"/>
      <c r="W3" s="3227"/>
      <c r="X3" s="3233"/>
      <c r="Y3" s="1766"/>
      <c r="Z3" s="3234"/>
      <c r="AA3" s="1766"/>
      <c r="AB3" s="3234"/>
      <c r="AC3" s="1766"/>
      <c r="AD3" s="3234"/>
      <c r="AE3" s="1766"/>
      <c r="AF3" s="3235"/>
      <c r="AG3" s="1766"/>
      <c r="AH3" s="1766"/>
      <c r="AI3" s="1766"/>
      <c r="AJ3" s="1766"/>
      <c r="AK3" s="1766"/>
    </row>
    <row r="4" spans="1:45">
      <c r="A4" s="82"/>
      <c r="B4" s="4083"/>
      <c r="C4" s="24"/>
      <c r="D4" s="101"/>
      <c r="E4" s="24"/>
      <c r="F4" s="24"/>
      <c r="G4" s="2606"/>
      <c r="H4" s="24"/>
      <c r="I4" s="24"/>
      <c r="J4" s="24"/>
      <c r="K4" s="24"/>
      <c r="L4" s="7637" t="s">
        <v>94</v>
      </c>
      <c r="M4" s="7573"/>
      <c r="N4" s="635"/>
      <c r="O4" s="1408"/>
      <c r="P4" s="3459"/>
      <c r="Q4" s="733"/>
      <c r="T4" s="3211" t="s">
        <v>2143</v>
      </c>
      <c r="U4" s="3211" t="s">
        <v>2159</v>
      </c>
      <c r="W4" s="3227"/>
      <c r="X4" s="3233"/>
      <c r="Y4" s="1766"/>
      <c r="Z4" s="3234"/>
      <c r="AA4" s="1766"/>
      <c r="AB4" s="3234"/>
      <c r="AC4" s="1766"/>
      <c r="AD4" s="3234"/>
      <c r="AE4" s="1766"/>
      <c r="AF4" s="3235"/>
      <c r="AG4" s="1766"/>
      <c r="AH4" s="1766"/>
      <c r="AI4" s="1766"/>
      <c r="AJ4" s="1766"/>
      <c r="AK4" s="1766"/>
    </row>
    <row r="5" spans="1:45" ht="20.25" customHeight="1">
      <c r="A5" s="82"/>
      <c r="B5" s="7916" t="s">
        <v>331</v>
      </c>
      <c r="C5" s="7917">
        <v>8889</v>
      </c>
      <c r="D5" s="7918"/>
      <c r="E5" s="7650" t="s">
        <v>2382</v>
      </c>
      <c r="F5" s="5697"/>
      <c r="G5" s="5697"/>
      <c r="H5" s="5697"/>
      <c r="I5" s="5697"/>
      <c r="J5" s="5697"/>
      <c r="K5" s="5698"/>
      <c r="L5" s="6437">
        <f>TaxYear</f>
        <v>2018</v>
      </c>
      <c r="M5" s="7921"/>
      <c r="N5" s="713"/>
      <c r="O5" s="1876"/>
      <c r="P5" s="260"/>
      <c r="Q5" s="25" t="s">
        <v>100</v>
      </c>
      <c r="R5" s="1876"/>
      <c r="S5" s="3241"/>
      <c r="T5" s="4525" t="b">
        <f>(DependentYOU&lt;&gt;"")</f>
        <v>0</v>
      </c>
      <c r="U5" s="4525" t="b">
        <f>(DependentSPOUSE&lt;&gt;"")</f>
        <v>0</v>
      </c>
      <c r="V5" s="3241"/>
      <c r="W5" s="3228"/>
      <c r="X5" s="3236"/>
      <c r="Y5" s="1766"/>
      <c r="Z5" s="3234"/>
      <c r="AA5" s="1766"/>
      <c r="AB5" s="3234"/>
      <c r="AC5" s="1766"/>
      <c r="AD5" s="3234"/>
      <c r="AE5" s="1766"/>
      <c r="AF5" s="3235"/>
      <c r="AG5" s="1766"/>
      <c r="AH5" s="1766"/>
      <c r="AI5" s="1766"/>
      <c r="AJ5" s="1766"/>
      <c r="AK5" s="1766"/>
    </row>
    <row r="6" spans="1:45" ht="14.25" customHeight="1">
      <c r="A6" s="82"/>
      <c r="B6" s="6052"/>
      <c r="C6" s="7919"/>
      <c r="D6" s="7920"/>
      <c r="E6" s="5876"/>
      <c r="F6" s="7914"/>
      <c r="G6" s="7914"/>
      <c r="H6" s="7914"/>
      <c r="I6" s="7914"/>
      <c r="J6" s="7914"/>
      <c r="K6" s="7915"/>
      <c r="L6" s="7922"/>
      <c r="M6" s="7923"/>
      <c r="N6" s="714"/>
      <c r="O6" s="1592"/>
      <c r="P6" s="172"/>
      <c r="Q6" s="25" t="s">
        <v>468</v>
      </c>
      <c r="R6" s="1592"/>
      <c r="S6" s="3242"/>
      <c r="T6" s="3242"/>
      <c r="U6" s="3242"/>
      <c r="V6" s="3242"/>
      <c r="W6" s="3229"/>
      <c r="X6" s="1592"/>
      <c r="Y6" s="1766"/>
      <c r="Z6" s="3234"/>
      <c r="AA6" s="1766"/>
      <c r="AB6" s="3234"/>
      <c r="AC6" s="1766"/>
      <c r="AD6" s="3234"/>
      <c r="AE6" s="1766"/>
      <c r="AF6" s="3235"/>
      <c r="AG6" s="1766"/>
      <c r="AH6" s="1766"/>
      <c r="AI6" s="1766"/>
      <c r="AJ6" s="1766"/>
      <c r="AK6" s="1766"/>
    </row>
    <row r="7" spans="1:45" ht="12.75" customHeight="1">
      <c r="A7" s="82"/>
      <c r="B7" s="7464" t="s">
        <v>202</v>
      </c>
      <c r="C7" s="5843"/>
      <c r="D7" s="5769"/>
      <c r="E7" s="5876" t="s">
        <v>494</v>
      </c>
      <c r="F7" s="7914"/>
      <c r="G7" s="7914"/>
      <c r="H7" s="7914"/>
      <c r="I7" s="7914"/>
      <c r="J7" s="7914"/>
      <c r="K7" s="7915"/>
      <c r="L7" s="7463" t="s">
        <v>343</v>
      </c>
      <c r="M7" s="5768"/>
      <c r="N7" s="713"/>
      <c r="O7" s="7876" t="s">
        <v>3337</v>
      </c>
      <c r="P7" s="7876"/>
      <c r="Q7" s="4553" t="b">
        <f>AND(O9&lt;&gt;"",O10&lt;&gt;"")</f>
        <v>1</v>
      </c>
      <c r="R7" s="1592"/>
      <c r="S7" s="3243"/>
      <c r="T7" s="3243"/>
      <c r="U7" s="3243"/>
      <c r="V7" s="3243"/>
      <c r="W7" s="3230"/>
      <c r="X7" s="3515" t="s">
        <v>2868</v>
      </c>
      <c r="Y7" s="1766"/>
      <c r="Z7" s="3234"/>
      <c r="AA7" s="1766"/>
      <c r="AB7" s="3234"/>
      <c r="AC7" s="1766"/>
      <c r="AD7" s="3234"/>
      <c r="AE7" s="1766"/>
      <c r="AF7" s="3235"/>
      <c r="AG7" s="1766"/>
      <c r="AH7" s="1766"/>
      <c r="AI7" s="1766"/>
      <c r="AJ7" s="1766"/>
      <c r="AK7" s="1766"/>
    </row>
    <row r="8" spans="1:45" ht="12.75" customHeight="1" thickBot="1">
      <c r="A8" s="82"/>
      <c r="B8" s="7895" t="s">
        <v>450</v>
      </c>
      <c r="C8" s="7896"/>
      <c r="D8" s="7897"/>
      <c r="E8" s="7898" t="s">
        <v>2559</v>
      </c>
      <c r="F8" s="7899"/>
      <c r="G8" s="7899"/>
      <c r="H8" s="7899"/>
      <c r="I8" s="7899"/>
      <c r="J8" s="7899"/>
      <c r="K8" s="7900"/>
      <c r="L8" s="7901" t="s">
        <v>4147</v>
      </c>
      <c r="M8" s="7902"/>
      <c r="N8" s="713"/>
      <c r="O8" s="7876" t="s">
        <v>3336</v>
      </c>
      <c r="P8" s="7876"/>
      <c r="Q8" s="7879" t="str">
        <f>IF(AND(O9="",O10=""),"Indicate HSA beneficiary here.",IF($Q$7,"A separate "&amp;CHAR(10)&amp;"Form 8889 is available below.",""))</f>
        <v>A separate 
Form 8889 is available below.</v>
      </c>
      <c r="R8" s="1876"/>
      <c r="S8" s="3243"/>
      <c r="T8" s="3243"/>
      <c r="U8" s="3243"/>
      <c r="V8" s="3243"/>
      <c r="W8" s="3230"/>
      <c r="X8" s="6922" t="s">
        <v>2869</v>
      </c>
      <c r="Y8" s="6922"/>
      <c r="Z8" s="5863"/>
      <c r="AA8" s="5863"/>
      <c r="AB8" s="5863"/>
      <c r="AC8" s="5863"/>
      <c r="AD8" s="5863"/>
      <c r="AE8" s="5863"/>
      <c r="AF8" s="5863"/>
      <c r="AG8" s="5863"/>
      <c r="AH8" s="4547"/>
      <c r="AI8" s="1766"/>
      <c r="AJ8" s="1766"/>
      <c r="AK8" s="1766"/>
    </row>
    <row r="9" spans="1:45" ht="15" customHeight="1" thickBot="1">
      <c r="A9" s="82"/>
      <c r="B9" s="21" t="s">
        <v>495</v>
      </c>
      <c r="C9" s="168"/>
      <c r="D9" s="168"/>
      <c r="E9" s="141"/>
      <c r="F9" s="142"/>
      <c r="G9" s="151"/>
      <c r="H9" s="142"/>
      <c r="I9" s="142"/>
      <c r="J9" s="7903" t="s">
        <v>2383</v>
      </c>
      <c r="K9" s="7904"/>
      <c r="L9" s="7907">
        <f>IF(NoSSN,"",IF(O9&lt;&gt;"",SS_Yours,IF(O10&lt;&gt;"",SS_Spouse,SS_Yours)))</f>
        <v>0</v>
      </c>
      <c r="M9" s="5511"/>
      <c r="N9" s="713"/>
      <c r="O9" s="4557" t="s">
        <v>1584</v>
      </c>
      <c r="P9" s="4529" t="s">
        <v>2143</v>
      </c>
      <c r="Q9" s="7879"/>
      <c r="R9" s="1876"/>
      <c r="S9" s="12"/>
      <c r="T9" s="12"/>
      <c r="U9" s="12"/>
      <c r="V9" s="12"/>
      <c r="W9" s="3231"/>
      <c r="X9" s="7620"/>
      <c r="Y9" s="7620"/>
      <c r="Z9" s="7620"/>
      <c r="AA9" s="7620"/>
      <c r="AB9" s="7620"/>
      <c r="AC9" s="7620"/>
      <c r="AD9" s="7620"/>
      <c r="AE9" s="7620"/>
      <c r="AF9" s="7620"/>
      <c r="AG9" s="7620"/>
      <c r="AH9" s="4547"/>
      <c r="AI9" s="1766"/>
      <c r="AJ9" s="1766"/>
      <c r="AK9" s="1766"/>
    </row>
    <row r="10" spans="1:45" ht="15" customHeight="1">
      <c r="A10" s="82"/>
      <c r="B10" s="7609" t="str">
        <f>IF(O9&lt;&gt;"",NameYours,IF(O10&lt;&gt;"",NameSpouse,Names))</f>
        <v xml:space="preserve"> </v>
      </c>
      <c r="C10" s="5372"/>
      <c r="D10" s="5372"/>
      <c r="E10" s="5372"/>
      <c r="F10" s="5372"/>
      <c r="G10" s="5372"/>
      <c r="H10" s="5372"/>
      <c r="I10" s="5372"/>
      <c r="J10" s="7905"/>
      <c r="K10" s="7906"/>
      <c r="L10" s="5372"/>
      <c r="M10" s="5372"/>
      <c r="N10" s="713"/>
      <c r="O10" s="4557" t="s">
        <v>1584</v>
      </c>
      <c r="P10" s="4529" t="s">
        <v>2159</v>
      </c>
      <c r="Q10" s="7879"/>
      <c r="R10" s="1876"/>
      <c r="S10" s="12"/>
      <c r="T10" s="12"/>
      <c r="U10" s="12"/>
      <c r="V10" s="12"/>
      <c r="W10" s="3231"/>
      <c r="X10" s="7880" t="s">
        <v>2569</v>
      </c>
      <c r="Y10" s="7881"/>
      <c r="Z10" s="7881"/>
      <c r="AA10" s="7881"/>
      <c r="AB10" s="7881"/>
      <c r="AC10" s="7881"/>
      <c r="AD10" s="7881"/>
      <c r="AE10" s="7881"/>
      <c r="AF10" s="7881"/>
      <c r="AG10" s="7882"/>
      <c r="AH10" s="4554"/>
      <c r="AI10" s="1766"/>
      <c r="AJ10" s="1766"/>
      <c r="AK10" s="1766"/>
    </row>
    <row r="11" spans="1:45" ht="24.75" customHeight="1">
      <c r="A11" s="82"/>
      <c r="B11" s="4592" t="s">
        <v>4148</v>
      </c>
      <c r="C11" s="2112"/>
      <c r="D11" s="2112"/>
      <c r="E11" s="2112"/>
      <c r="F11" s="2112"/>
      <c r="G11" s="2112"/>
      <c r="H11" s="2112"/>
      <c r="I11" s="2112"/>
      <c r="J11" s="2876"/>
      <c r="K11" s="2876"/>
      <c r="L11" s="2112"/>
      <c r="M11" s="2112"/>
      <c r="N11" s="714"/>
      <c r="O11" s="1876"/>
      <c r="P11" s="172"/>
      <c r="Q11" s="4081"/>
      <c r="R11" s="1876"/>
      <c r="S11" s="12"/>
      <c r="T11" s="12"/>
      <c r="U11" s="12"/>
      <c r="V11" s="12"/>
      <c r="W11" s="3231"/>
      <c r="X11" s="3217"/>
      <c r="Y11" s="1607"/>
      <c r="Z11" s="7886" t="s">
        <v>2563</v>
      </c>
      <c r="AA11" s="1607"/>
      <c r="AB11" s="7886" t="s">
        <v>2562</v>
      </c>
      <c r="AC11" s="1607"/>
      <c r="AD11" s="7886" t="s">
        <v>4099</v>
      </c>
      <c r="AE11" s="1607"/>
      <c r="AF11" s="3223"/>
      <c r="AG11" s="3224"/>
      <c r="AH11" s="1607"/>
      <c r="AI11" s="1766"/>
      <c r="AJ11" s="1766"/>
      <c r="AK11" s="1766"/>
    </row>
    <row r="12" spans="1:45" ht="12.75" customHeight="1">
      <c r="A12" s="82"/>
      <c r="B12" s="746" t="s">
        <v>369</v>
      </c>
      <c r="C12" s="7893" t="s">
        <v>2399</v>
      </c>
      <c r="D12" s="7893"/>
      <c r="E12" s="7894"/>
      <c r="F12" s="7894"/>
      <c r="G12" s="7894"/>
      <c r="H12" s="7894"/>
      <c r="I12" s="7894"/>
      <c r="J12" s="7894"/>
      <c r="K12" s="7894"/>
      <c r="L12" s="7894"/>
      <c r="M12" s="7894"/>
      <c r="N12" s="715"/>
      <c r="O12" s="1876"/>
      <c r="P12" s="3305"/>
      <c r="Q12" s="733"/>
      <c r="R12" s="1876"/>
      <c r="S12" s="3244"/>
      <c r="T12" s="3244"/>
      <c r="U12" s="3244"/>
      <c r="V12" s="3244"/>
      <c r="W12" s="2561"/>
      <c r="X12" s="3218"/>
      <c r="Y12" s="1607"/>
      <c r="Z12" s="7887"/>
      <c r="AA12" s="1607"/>
      <c r="AB12" s="7887"/>
      <c r="AC12" s="1607"/>
      <c r="AD12" s="7887"/>
      <c r="AE12" s="1607"/>
      <c r="AF12" s="3223"/>
      <c r="AG12" s="3224"/>
      <c r="AH12" s="1607"/>
      <c r="AI12" s="1766"/>
      <c r="AJ12" s="1766"/>
      <c r="AK12" s="1766"/>
    </row>
    <row r="13" spans="1:45" ht="12" customHeight="1">
      <c r="A13" s="82"/>
      <c r="B13" s="2877"/>
      <c r="C13" s="7909" t="s">
        <v>2384</v>
      </c>
      <c r="D13" s="7909"/>
      <c r="E13" s="7910"/>
      <c r="F13" s="7910"/>
      <c r="G13" s="7910"/>
      <c r="H13" s="7910"/>
      <c r="I13" s="7910"/>
      <c r="J13" s="7910"/>
      <c r="K13" s="7910"/>
      <c r="L13" s="7910"/>
      <c r="M13" s="7910"/>
      <c r="N13" s="715"/>
      <c r="O13" s="1876"/>
      <c r="P13" s="3305">
        <f>SUM(P15,P17)</f>
        <v>0</v>
      </c>
      <c r="Q13" s="1631" t="b">
        <f>IF(P13=1,TRUE,FALSE)</f>
        <v>0</v>
      </c>
      <c r="R13" s="1876"/>
      <c r="S13" s="3244"/>
      <c r="T13" s="3244"/>
      <c r="U13" s="3244"/>
      <c r="V13" s="3244"/>
      <c r="W13" s="2561"/>
      <c r="X13" s="3218"/>
      <c r="Y13" s="1607"/>
      <c r="Z13" s="7887"/>
      <c r="AA13" s="1607"/>
      <c r="AB13" s="7887"/>
      <c r="AC13" s="1607"/>
      <c r="AD13" s="7887"/>
      <c r="AE13" s="1607"/>
      <c r="AF13" s="3223"/>
      <c r="AG13" s="3224"/>
      <c r="AH13" s="1607"/>
      <c r="AI13" s="1766"/>
      <c r="AJ13" s="1766"/>
      <c r="AK13" s="1766"/>
    </row>
    <row r="14" spans="1:45" ht="6" customHeight="1">
      <c r="A14" s="82"/>
      <c r="B14" s="2878"/>
      <c r="C14" s="2879"/>
      <c r="D14" s="2879"/>
      <c r="E14" s="2880"/>
      <c r="F14" s="2880"/>
      <c r="G14" s="2880"/>
      <c r="H14" s="2880"/>
      <c r="I14" s="2880"/>
      <c r="J14" s="2880"/>
      <c r="K14" s="2880"/>
      <c r="L14" s="2880"/>
      <c r="M14" s="2880"/>
      <c r="N14" s="715"/>
      <c r="O14" s="1876"/>
      <c r="P14" s="616"/>
      <c r="Q14" s="733"/>
      <c r="R14" s="1876"/>
      <c r="S14" s="3244"/>
      <c r="T14" s="3244"/>
      <c r="U14" s="3244"/>
      <c r="V14" s="3244"/>
      <c r="W14" s="2561"/>
      <c r="X14" s="3218"/>
      <c r="Y14" s="1607"/>
      <c r="Z14" s="7887"/>
      <c r="AA14" s="1607"/>
      <c r="AB14" s="7887"/>
      <c r="AC14" s="1607"/>
      <c r="AD14" s="7887"/>
      <c r="AE14" s="1607"/>
      <c r="AF14" s="3223"/>
      <c r="AG14" s="3224"/>
      <c r="AH14" s="1607"/>
      <c r="AI14" s="1766"/>
      <c r="AJ14" s="1766"/>
      <c r="AK14" s="1766"/>
    </row>
    <row r="15" spans="1:45" s="1068" customFormat="1" ht="12" customHeight="1">
      <c r="A15" s="82"/>
      <c r="B15" s="161">
        <v>1</v>
      </c>
      <c r="C15" s="280" t="s">
        <v>2385</v>
      </c>
      <c r="D15" s="280"/>
      <c r="E15" s="237"/>
      <c r="F15" s="237"/>
      <c r="G15" s="238"/>
      <c r="H15" s="238"/>
      <c r="I15" s="238"/>
      <c r="J15" s="238"/>
      <c r="K15" s="162"/>
      <c r="L15" s="2883"/>
      <c r="M15" s="2881" t="s">
        <v>2386</v>
      </c>
      <c r="N15" s="716"/>
      <c r="O15" s="2562"/>
      <c r="P15" s="3305">
        <f>IF(L15&lt;&gt;"",1,0)</f>
        <v>0</v>
      </c>
      <c r="Q15" s="7877" t="str">
        <f>IF(P13=0,"Check one box.",IF(P13=2,"Check only one box.",""))</f>
        <v>Check one box.</v>
      </c>
      <c r="R15" s="2562"/>
      <c r="S15" s="270"/>
      <c r="T15" s="270"/>
      <c r="U15" s="270"/>
      <c r="V15" s="270"/>
      <c r="W15" s="2562"/>
      <c r="X15" s="3219"/>
      <c r="Y15" s="1607"/>
      <c r="Z15" s="7887"/>
      <c r="AA15" s="1607"/>
      <c r="AB15" s="7887"/>
      <c r="AC15" s="1607"/>
      <c r="AD15" s="7887"/>
      <c r="AE15" s="1607"/>
      <c r="AF15" s="3223"/>
      <c r="AG15" s="3224"/>
      <c r="AH15" s="1607"/>
      <c r="AI15" s="1763"/>
      <c r="AJ15" s="1763"/>
      <c r="AK15" s="1763"/>
      <c r="AL15" s="3169"/>
      <c r="AM15" s="3169"/>
      <c r="AN15" s="3169"/>
      <c r="AO15" s="3169"/>
      <c r="AP15" s="3169"/>
      <c r="AQ15" s="3169"/>
      <c r="AR15" s="3169"/>
      <c r="AS15" s="3169"/>
    </row>
    <row r="16" spans="1:45" s="1068" customFormat="1" ht="5.25" customHeight="1">
      <c r="A16" s="82"/>
      <c r="B16" s="161"/>
      <c r="C16" s="7913" t="str">
        <f>TaxYear&amp;" (see instructions)"</f>
        <v>2018 (see instructions)</v>
      </c>
      <c r="D16" s="6052"/>
      <c r="E16" s="6052"/>
      <c r="F16" s="2882"/>
      <c r="G16" s="2882"/>
      <c r="H16" s="2882"/>
      <c r="I16" s="2882"/>
      <c r="J16" s="2882"/>
      <c r="K16" s="2882"/>
      <c r="L16" s="161"/>
      <c r="M16" s="472"/>
      <c r="N16" s="716"/>
      <c r="O16" s="2562"/>
      <c r="P16" s="3305"/>
      <c r="Q16" s="7878"/>
      <c r="R16" s="2562"/>
      <c r="S16" s="270"/>
      <c r="T16" s="270"/>
      <c r="U16" s="270"/>
      <c r="V16" s="270"/>
      <c r="W16" s="2562"/>
      <c r="X16" s="3219"/>
      <c r="Y16" s="1607"/>
      <c r="Z16" s="7887"/>
      <c r="AA16" s="1607"/>
      <c r="AB16" s="7887"/>
      <c r="AC16" s="1607"/>
      <c r="AD16" s="7887"/>
      <c r="AE16" s="1607"/>
      <c r="AF16" s="3223"/>
      <c r="AG16" s="3224"/>
      <c r="AH16" s="1607"/>
      <c r="AI16" s="1763"/>
      <c r="AJ16" s="1763"/>
      <c r="AK16" s="1763"/>
      <c r="AL16" s="3169"/>
      <c r="AM16" s="3169"/>
      <c r="AN16" s="3169"/>
      <c r="AO16" s="3169"/>
      <c r="AP16" s="3169"/>
      <c r="AQ16" s="3169"/>
      <c r="AR16" s="3169"/>
      <c r="AS16" s="3169"/>
    </row>
    <row r="17" spans="1:45" s="1068" customFormat="1" ht="12" customHeight="1">
      <c r="A17" s="82"/>
      <c r="B17" s="161"/>
      <c r="C17" s="6052"/>
      <c r="D17" s="6052"/>
      <c r="E17" s="6052"/>
      <c r="F17" s="2882"/>
      <c r="G17" s="2882"/>
      <c r="H17" s="2882"/>
      <c r="I17" s="2882"/>
      <c r="J17" s="2882"/>
      <c r="K17" s="4082" t="s">
        <v>1954</v>
      </c>
      <c r="L17" s="2883"/>
      <c r="M17" s="2881" t="s">
        <v>2387</v>
      </c>
      <c r="N17" s="716"/>
      <c r="O17" s="2562"/>
      <c r="P17" s="3305">
        <f>IF(L17&lt;&gt;"",1,0)</f>
        <v>0</v>
      </c>
      <c r="Q17" s="7878"/>
      <c r="R17" s="2562"/>
      <c r="S17" s="270"/>
      <c r="T17" s="270"/>
      <c r="U17" s="270"/>
      <c r="V17" s="270"/>
      <c r="W17" s="2562"/>
      <c r="X17" s="3219"/>
      <c r="Y17" s="1607"/>
      <c r="Z17" s="7887"/>
      <c r="AA17" s="1607"/>
      <c r="AB17" s="7887"/>
      <c r="AC17" s="1607"/>
      <c r="AD17" s="7887"/>
      <c r="AE17" s="1607"/>
      <c r="AF17" s="3223"/>
      <c r="AG17" s="3224"/>
      <c r="AH17" s="1607"/>
      <c r="AI17" s="1763"/>
      <c r="AJ17" s="1763"/>
      <c r="AK17" s="1763"/>
      <c r="AL17" s="3169"/>
      <c r="AM17" s="3169"/>
      <c r="AN17" s="3169"/>
      <c r="AO17" s="3169"/>
      <c r="AP17" s="3169"/>
      <c r="AQ17" s="3169"/>
      <c r="AR17" s="3169"/>
      <c r="AS17" s="3169"/>
    </row>
    <row r="18" spans="1:45" s="1068" customFormat="1" ht="4.5" customHeight="1">
      <c r="A18" s="82"/>
      <c r="B18" s="161"/>
      <c r="C18" s="661"/>
      <c r="D18" s="661"/>
      <c r="E18" s="661"/>
      <c r="F18" s="2882"/>
      <c r="G18" s="2882"/>
      <c r="H18" s="2882"/>
      <c r="I18" s="2882"/>
      <c r="J18" s="2882"/>
      <c r="K18" s="1689"/>
      <c r="L18" s="2884"/>
      <c r="M18" s="2881"/>
      <c r="N18" s="716"/>
      <c r="O18" s="2562"/>
      <c r="P18" s="3547"/>
      <c r="Q18" s="628"/>
      <c r="R18" s="2562"/>
      <c r="S18" s="270"/>
      <c r="T18" s="270"/>
      <c r="U18" s="270"/>
      <c r="V18" s="270"/>
      <c r="W18" s="2562"/>
      <c r="X18" s="3219"/>
      <c r="Y18" s="1607"/>
      <c r="Z18" s="7887"/>
      <c r="AA18" s="1607"/>
      <c r="AB18" s="7887"/>
      <c r="AC18" s="1607"/>
      <c r="AD18" s="7887"/>
      <c r="AE18" s="1607"/>
      <c r="AF18" s="3223"/>
      <c r="AG18" s="3224"/>
      <c r="AH18" s="1607"/>
      <c r="AI18" s="1763"/>
      <c r="AJ18" s="1763"/>
      <c r="AK18" s="1763"/>
      <c r="AL18" s="3169"/>
      <c r="AM18" s="3169"/>
      <c r="AN18" s="3169"/>
      <c r="AO18" s="3169"/>
      <c r="AP18" s="3169"/>
      <c r="AQ18" s="3169"/>
      <c r="AR18" s="3169"/>
      <c r="AS18" s="3169"/>
    </row>
    <row r="19" spans="1:45" s="1068" customFormat="1" ht="12" customHeight="1">
      <c r="A19" s="82"/>
      <c r="B19" s="162">
        <v>2</v>
      </c>
      <c r="C19" s="280" t="str">
        <f>"HSA contributions you made for "&amp;TaxYear&amp;" (or those made on your behalf), including those made"</f>
        <v>HSA contributions you made for 2018 (or those made on your behalf), including those made</v>
      </c>
      <c r="D19" s="280"/>
      <c r="E19" s="237"/>
      <c r="F19" s="237"/>
      <c r="G19" s="238"/>
      <c r="H19" s="238"/>
      <c r="I19" s="238"/>
      <c r="J19" s="238"/>
      <c r="K19" s="162"/>
      <c r="L19" s="899"/>
      <c r="M19" s="1753"/>
      <c r="N19" s="716"/>
      <c r="O19" s="2562"/>
      <c r="P19" s="3547"/>
      <c r="Q19" s="628"/>
      <c r="R19" s="2562"/>
      <c r="S19" s="270"/>
      <c r="T19" s="270"/>
      <c r="U19" s="270"/>
      <c r="V19" s="270"/>
      <c r="W19" s="2562"/>
      <c r="X19" s="3219"/>
      <c r="Y19" s="1607"/>
      <c r="Z19" s="7887"/>
      <c r="AA19" s="1607"/>
      <c r="AB19" s="7887"/>
      <c r="AC19" s="1607"/>
      <c r="AD19" s="7887"/>
      <c r="AE19" s="1607"/>
      <c r="AF19" s="3223"/>
      <c r="AG19" s="3224"/>
      <c r="AH19" s="1607"/>
      <c r="AI19" s="1763"/>
      <c r="AJ19" s="1763"/>
      <c r="AK19" s="1763"/>
      <c r="AL19" s="3169"/>
      <c r="AM19" s="3169"/>
      <c r="AN19" s="3169"/>
      <c r="AO19" s="3169"/>
      <c r="AP19" s="3169"/>
      <c r="AQ19" s="3169"/>
      <c r="AR19" s="3169"/>
      <c r="AS19" s="3169"/>
    </row>
    <row r="20" spans="1:45" ht="12" customHeight="1">
      <c r="A20" s="82"/>
      <c r="B20" s="162"/>
      <c r="C20" s="280" t="str">
        <f>"from  January  1, "&amp;TaxYear+1&amp;",  through  "&amp;TEXT(TaxDay,"mmmm d, yyyy")&amp;",  that  were  for  "&amp;TaxYear&amp;"."</f>
        <v>from  January  1, 2019,  through  April 15, 2019,  that  were  for  2018.</v>
      </c>
      <c r="D20" s="185"/>
      <c r="E20" s="237"/>
      <c r="F20" s="237"/>
      <c r="G20" s="238"/>
      <c r="H20" s="280"/>
      <c r="I20" s="280" t="s">
        <v>2421</v>
      </c>
      <c r="J20" s="238"/>
      <c r="K20" s="238"/>
      <c r="L20" s="637"/>
      <c r="M20" s="2295">
        <f>IF(M21="",0,ROUND(M21,0))</f>
        <v>0</v>
      </c>
      <c r="N20" s="717"/>
      <c r="O20" s="1450"/>
      <c r="P20" s="3547"/>
      <c r="Q20" s="628"/>
      <c r="R20" s="1450"/>
      <c r="S20" s="270"/>
      <c r="T20" s="270"/>
      <c r="U20" s="270"/>
      <c r="V20" s="270"/>
      <c r="W20" s="2562"/>
      <c r="X20" s="3220"/>
      <c r="Y20" s="1607"/>
      <c r="Z20" s="7887"/>
      <c r="AA20" s="1607"/>
      <c r="AB20" s="7887"/>
      <c r="AC20" s="1607"/>
      <c r="AD20" s="7887"/>
      <c r="AE20" s="1607"/>
      <c r="AF20" s="3223"/>
      <c r="AG20" s="3224"/>
      <c r="AH20" s="1607"/>
      <c r="AI20" s="1766"/>
      <c r="AJ20" s="3234" t="s">
        <v>2143</v>
      </c>
      <c r="AK20" s="3234" t="s">
        <v>4108</v>
      </c>
    </row>
    <row r="21" spans="1:45" ht="12" customHeight="1">
      <c r="A21" s="82"/>
      <c r="B21" s="162"/>
      <c r="C21" s="280" t="s">
        <v>2388</v>
      </c>
      <c r="D21" s="185"/>
      <c r="E21" s="237"/>
      <c r="F21" s="237"/>
      <c r="G21" s="238"/>
      <c r="H21" s="162"/>
      <c r="I21" s="162"/>
      <c r="J21" s="162"/>
      <c r="K21" s="161" t="s">
        <v>682</v>
      </c>
      <c r="L21" s="343">
        <f>B19</f>
        <v>2</v>
      </c>
      <c r="M21" s="1726"/>
      <c r="N21" s="717"/>
      <c r="O21" s="1450"/>
      <c r="P21" s="3547"/>
      <c r="Q21" s="628"/>
      <c r="R21" s="1450"/>
      <c r="S21" s="270" t="s">
        <v>2565</v>
      </c>
      <c r="T21" s="270"/>
      <c r="U21" s="270" t="s">
        <v>2564</v>
      </c>
      <c r="V21" s="270" t="s">
        <v>1882</v>
      </c>
      <c r="W21" s="2562"/>
      <c r="X21" s="3221">
        <f>TaxYear</f>
        <v>2018</v>
      </c>
      <c r="Y21" s="1607"/>
      <c r="Z21" s="7887"/>
      <c r="AA21" s="1607"/>
      <c r="AB21" s="7887"/>
      <c r="AC21" s="1607"/>
      <c r="AD21" s="7887"/>
      <c r="AE21" s="1607"/>
      <c r="AF21" s="3223"/>
      <c r="AG21" s="3224"/>
      <c r="AH21" s="1607"/>
      <c r="AI21" s="3234" t="s">
        <v>2564</v>
      </c>
      <c r="AJ21" s="3234" t="s">
        <v>1882</v>
      </c>
      <c r="AK21" s="3234" t="s">
        <v>1882</v>
      </c>
    </row>
    <row r="22" spans="1:45" s="1068" customFormat="1" ht="12" customHeight="1">
      <c r="A22" s="82"/>
      <c r="B22" s="162">
        <v>3</v>
      </c>
      <c r="C22" s="280" t="str">
        <f>"If  you  were under age "&amp;P22&amp;" at the  end of  "&amp;TaxYear&amp;", and  on  the first day of"</f>
        <v>If  you  were under age 55 at the  end of  2018, and  on  the first day of</v>
      </c>
      <c r="D22" s="280"/>
      <c r="E22" s="237"/>
      <c r="F22" s="237"/>
      <c r="G22" s="238"/>
      <c r="H22" s="2896"/>
      <c r="I22" s="2896" t="s">
        <v>2422</v>
      </c>
      <c r="J22" s="615" t="str">
        <f>"month during "&amp;TaxYear</f>
        <v>month during 2018</v>
      </c>
      <c r="K22" s="280"/>
      <c r="L22" s="2886"/>
      <c r="M22" s="3215"/>
      <c r="N22" s="716"/>
      <c r="O22" s="2562"/>
      <c r="P22" s="3305">
        <v>55</v>
      </c>
      <c r="Q22" s="628"/>
      <c r="R22" s="2562"/>
      <c r="S22" s="270" t="str">
        <f>"&lt;"&amp;P22</f>
        <v>&lt;55</v>
      </c>
      <c r="T22" s="3514" t="s">
        <v>868</v>
      </c>
      <c r="U22" s="2351">
        <v>3450</v>
      </c>
      <c r="V22" s="2351">
        <v>6900</v>
      </c>
      <c r="W22" s="3232"/>
      <c r="X22" s="3222" t="s">
        <v>1370</v>
      </c>
      <c r="Y22" s="1607"/>
      <c r="Z22" s="3226" t="s">
        <v>2561</v>
      </c>
      <c r="AA22" s="1607"/>
      <c r="AB22" s="3226" t="s">
        <v>2571</v>
      </c>
      <c r="AC22" s="1607"/>
      <c r="AD22" s="3226" t="str">
        <f>IF(L17&lt;&gt;"","F","S")</f>
        <v>S</v>
      </c>
      <c r="AE22" s="1607"/>
      <c r="AF22" s="3223">
        <f t="shared" ref="AF22:AF33" si="0">IF(OR(Z22="Y",Z22="y",AB22="N",AB22="n"),0,IF(OR(AD22="S",AD22="s"),$U$25,$V$25))</f>
        <v>4450</v>
      </c>
      <c r="AG22" s="3224"/>
      <c r="AH22" s="1607"/>
      <c r="AI22" s="1763">
        <f t="shared" ref="AI22:AI33" si="1">IF(AD22="S",1,0)</f>
        <v>1</v>
      </c>
      <c r="AJ22" s="1763">
        <f t="shared" ref="AJ22:AJ33" si="2">IF(AND(OR(AB22="y",AB22="Y"),OR(AD22="f",AD22="F")),1,0)</f>
        <v>0</v>
      </c>
      <c r="AK22" s="1763">
        <f t="shared" ref="AK22:AK33" si="3">MIN(1,SUM(AJ22,AJ94))</f>
        <v>0</v>
      </c>
      <c r="AL22" s="3169"/>
      <c r="AM22" s="3169"/>
      <c r="AN22" s="3169"/>
      <c r="AO22" s="3169"/>
      <c r="AP22" s="3169"/>
      <c r="AQ22" s="3169"/>
      <c r="AR22" s="3169"/>
      <c r="AS22" s="3169"/>
    </row>
    <row r="23" spans="1:45" ht="12" customHeight="1">
      <c r="A23" s="82"/>
      <c r="B23" s="162"/>
      <c r="C23" s="280" t="s">
        <v>3338</v>
      </c>
      <c r="D23" s="185"/>
      <c r="E23" s="237"/>
      <c r="F23" s="237"/>
      <c r="G23" s="238"/>
      <c r="H23" s="238"/>
      <c r="I23" s="238"/>
      <c r="J23" s="280"/>
      <c r="K23" s="280" t="str">
        <f>"enter "&amp;TEXT($U$22,"$0,000")</f>
        <v>enter $3,450</v>
      </c>
      <c r="L23" s="637"/>
      <c r="M23" s="3216"/>
      <c r="N23" s="717"/>
      <c r="O23" s="1450"/>
      <c r="P23" s="3548"/>
      <c r="Q23" s="628"/>
      <c r="R23" s="1450"/>
      <c r="S23" s="270" t="s">
        <v>2567</v>
      </c>
      <c r="T23" s="3514" t="s">
        <v>2866</v>
      </c>
      <c r="U23" s="2351">
        <v>4450</v>
      </c>
      <c r="V23" s="2351">
        <v>7900</v>
      </c>
      <c r="W23" s="3232"/>
      <c r="X23" s="3222" t="s">
        <v>1371</v>
      </c>
      <c r="Y23" s="1607"/>
      <c r="Z23" s="3226" t="str">
        <f>Z22</f>
        <v>N</v>
      </c>
      <c r="AA23" s="1607"/>
      <c r="AB23" s="3226" t="str">
        <f>AB22</f>
        <v>Y</v>
      </c>
      <c r="AC23" s="1607"/>
      <c r="AD23" s="3226" t="str">
        <f>AD22</f>
        <v>S</v>
      </c>
      <c r="AE23" s="1607"/>
      <c r="AF23" s="3223">
        <f t="shared" si="0"/>
        <v>4450</v>
      </c>
      <c r="AG23" s="3224"/>
      <c r="AH23" s="1607"/>
      <c r="AI23" s="1763">
        <f t="shared" si="1"/>
        <v>1</v>
      </c>
      <c r="AJ23" s="1763">
        <f t="shared" si="2"/>
        <v>0</v>
      </c>
      <c r="AK23" s="1763">
        <f t="shared" si="3"/>
        <v>0</v>
      </c>
    </row>
    <row r="24" spans="1:45" ht="12" customHeight="1">
      <c r="A24" s="82"/>
      <c r="B24" s="162"/>
      <c r="C24" s="280" t="str">
        <f>"("&amp;TEXT($V$22,"$0,000")&amp;" for family coverage)."</f>
        <v>($6,900 for family coverage).</v>
      </c>
      <c r="D24" s="185"/>
      <c r="E24" s="237"/>
      <c r="F24" s="280" t="s">
        <v>2560</v>
      </c>
      <c r="G24" s="238"/>
      <c r="H24" s="162"/>
      <c r="I24" s="162"/>
      <c r="J24" s="162"/>
      <c r="K24" s="161" t="s">
        <v>625</v>
      </c>
      <c r="L24" s="343">
        <f>B22</f>
        <v>3</v>
      </c>
      <c r="M24" s="3056" t="str">
        <f>IF(Q24&lt;&gt;"",ROUND(Q24,0),IF(OR(NOT(F8889_Line1),AND(M21="",K36="",M27="")),"",AF35))</f>
        <v/>
      </c>
      <c r="N24" s="717"/>
      <c r="O24" s="1450"/>
      <c r="P24" s="3548"/>
      <c r="Q24" s="470"/>
      <c r="R24" s="1450"/>
      <c r="S24" s="270" t="str">
        <f>"&gt;="&amp;P22</f>
        <v>&gt;=55</v>
      </c>
      <c r="T24" s="270" t="s">
        <v>2865</v>
      </c>
      <c r="U24" s="2351">
        <v>4450</v>
      </c>
      <c r="V24" s="2351">
        <v>6900</v>
      </c>
      <c r="W24" s="3232"/>
      <c r="X24" s="3222" t="s">
        <v>1372</v>
      </c>
      <c r="Y24" s="1607"/>
      <c r="Z24" s="3226" t="str">
        <f t="shared" ref="Z24:Z33" si="4">Z23</f>
        <v>N</v>
      </c>
      <c r="AA24" s="1607"/>
      <c r="AB24" s="3226" t="str">
        <f t="shared" ref="AB24:AB33" si="5">AB23</f>
        <v>Y</v>
      </c>
      <c r="AC24" s="1607"/>
      <c r="AD24" s="3226" t="str">
        <f t="shared" ref="AD24:AD33" si="6">AD23</f>
        <v>S</v>
      </c>
      <c r="AE24" s="1607"/>
      <c r="AF24" s="3223">
        <f t="shared" si="0"/>
        <v>4450</v>
      </c>
      <c r="AG24" s="3224"/>
      <c r="AH24" s="1607"/>
      <c r="AI24" s="1763">
        <f t="shared" si="1"/>
        <v>1</v>
      </c>
      <c r="AJ24" s="1763">
        <f t="shared" si="2"/>
        <v>0</v>
      </c>
      <c r="AK24" s="1763">
        <f t="shared" si="3"/>
        <v>0</v>
      </c>
    </row>
    <row r="25" spans="1:45" s="1068" customFormat="1" ht="12" customHeight="1">
      <c r="A25" s="82"/>
      <c r="B25" s="162">
        <v>4</v>
      </c>
      <c r="C25" s="280" t="str">
        <f>"Enter the amount you and your employer contributed to your Archer MSAs for "&amp;TaxYear&amp;" from Form"</f>
        <v>Enter the amount you and your employer contributed to your Archer MSAs for 2018 from Form</v>
      </c>
      <c r="D25" s="280"/>
      <c r="E25" s="237"/>
      <c r="F25" s="237"/>
      <c r="G25" s="238"/>
      <c r="H25" s="238"/>
      <c r="I25" s="238"/>
      <c r="J25" s="238"/>
      <c r="K25" s="162"/>
      <c r="L25" s="2886"/>
      <c r="M25" s="3213"/>
      <c r="N25" s="716"/>
      <c r="O25" s="2562"/>
      <c r="P25" s="3547"/>
      <c r="Q25" s="628"/>
      <c r="R25" s="2562"/>
      <c r="S25" s="4520" t="str">
        <f>YourAge</f>
        <v>?</v>
      </c>
      <c r="T25" s="4521" t="str">
        <f>IF($S$25&lt;$P$22,T22,IF($AI$36,T23,T24))</f>
        <v>Single*</v>
      </c>
      <c r="U25" s="4521">
        <f>IF($S$25&lt;$P$22,U22,IF($AI$36,U23,U24))</f>
        <v>4450</v>
      </c>
      <c r="V25" s="4521">
        <f>IF($S$25&lt;$P$22,V22,IF($AI$36,V23,V24))</f>
        <v>7900</v>
      </c>
      <c r="W25" s="2562"/>
      <c r="X25" s="3222" t="s">
        <v>1373</v>
      </c>
      <c r="Y25" s="1607"/>
      <c r="Z25" s="3226" t="str">
        <f t="shared" si="4"/>
        <v>N</v>
      </c>
      <c r="AA25" s="1607"/>
      <c r="AB25" s="3226" t="str">
        <f t="shared" si="5"/>
        <v>Y</v>
      </c>
      <c r="AC25" s="1607"/>
      <c r="AD25" s="3226" t="str">
        <f t="shared" si="6"/>
        <v>S</v>
      </c>
      <c r="AE25" s="1607"/>
      <c r="AF25" s="3223">
        <f t="shared" si="0"/>
        <v>4450</v>
      </c>
      <c r="AG25" s="3224"/>
      <c r="AH25" s="1607"/>
      <c r="AI25" s="1763">
        <f t="shared" si="1"/>
        <v>1</v>
      </c>
      <c r="AJ25" s="1763">
        <f t="shared" si="2"/>
        <v>0</v>
      </c>
      <c r="AK25" s="1763">
        <f t="shared" si="3"/>
        <v>0</v>
      </c>
      <c r="AL25" s="3169"/>
      <c r="AM25" s="3169"/>
      <c r="AN25" s="3169"/>
      <c r="AO25" s="3169"/>
      <c r="AP25" s="3169"/>
      <c r="AQ25" s="3169"/>
      <c r="AR25" s="3169"/>
      <c r="AS25" s="3169"/>
    </row>
    <row r="26" spans="1:45" ht="12" customHeight="1">
      <c r="A26" s="82"/>
      <c r="B26" s="162"/>
      <c r="C26" s="280" t="s">
        <v>2389</v>
      </c>
      <c r="D26" s="185"/>
      <c r="E26" s="237"/>
      <c r="F26" s="237"/>
      <c r="G26" s="238"/>
      <c r="H26" s="238"/>
      <c r="I26" s="238"/>
      <c r="J26" s="238"/>
      <c r="K26" s="238"/>
      <c r="L26" s="637"/>
      <c r="M26" s="3214"/>
      <c r="N26" s="717"/>
      <c r="O26" s="1450"/>
      <c r="P26" s="3548"/>
      <c r="Q26" s="628"/>
      <c r="R26" s="1450"/>
      <c r="S26" s="734" t="s">
        <v>2867</v>
      </c>
      <c r="T26" s="270"/>
      <c r="U26" s="270"/>
      <c r="V26" s="270"/>
      <c r="W26" s="2562"/>
      <c r="X26" s="3222" t="s">
        <v>1375</v>
      </c>
      <c r="Y26" s="1607"/>
      <c r="Z26" s="3226" t="str">
        <f t="shared" si="4"/>
        <v>N</v>
      </c>
      <c r="AA26" s="1607"/>
      <c r="AB26" s="3226" t="str">
        <f t="shared" si="5"/>
        <v>Y</v>
      </c>
      <c r="AC26" s="1607"/>
      <c r="AD26" s="3226" t="str">
        <f t="shared" si="6"/>
        <v>S</v>
      </c>
      <c r="AE26" s="1607"/>
      <c r="AF26" s="3223">
        <f t="shared" si="0"/>
        <v>4450</v>
      </c>
      <c r="AG26" s="3224"/>
      <c r="AH26" s="1607"/>
      <c r="AI26" s="1763">
        <f t="shared" si="1"/>
        <v>1</v>
      </c>
      <c r="AJ26" s="1763">
        <f t="shared" si="2"/>
        <v>0</v>
      </c>
      <c r="AK26" s="1763">
        <f t="shared" si="3"/>
        <v>0</v>
      </c>
    </row>
    <row r="27" spans="1:45" ht="12" customHeight="1">
      <c r="A27" s="82"/>
      <c r="B27" s="162"/>
      <c r="C27" s="280" t="str">
        <f>"during "&amp;TaxYear&amp;", also include any amount contributed to your spouse’s Archer MSAs"</f>
        <v>during 2018, also include any amount contributed to your spouse’s Archer MSAs</v>
      </c>
      <c r="D27" s="185"/>
      <c r="E27" s="237"/>
      <c r="F27" s="237"/>
      <c r="G27" s="238"/>
      <c r="H27" s="162"/>
      <c r="I27" s="162"/>
      <c r="J27" s="162"/>
      <c r="K27" s="161" t="s">
        <v>631</v>
      </c>
      <c r="L27" s="343">
        <f>B25</f>
        <v>4</v>
      </c>
      <c r="M27" s="1726"/>
      <c r="N27" s="717"/>
      <c r="O27" s="1450"/>
      <c r="P27" s="3548"/>
      <c r="Q27" s="628"/>
      <c r="R27" s="1450"/>
      <c r="S27" s="734"/>
      <c r="T27" s="270"/>
      <c r="U27" s="270"/>
      <c r="V27" s="270"/>
      <c r="W27" s="2562"/>
      <c r="X27" s="3222" t="s">
        <v>1377</v>
      </c>
      <c r="Y27" s="1607"/>
      <c r="Z27" s="3226" t="str">
        <f t="shared" si="4"/>
        <v>N</v>
      </c>
      <c r="AA27" s="1607"/>
      <c r="AB27" s="3226" t="str">
        <f t="shared" si="5"/>
        <v>Y</v>
      </c>
      <c r="AC27" s="1607"/>
      <c r="AD27" s="3226" t="str">
        <f t="shared" si="6"/>
        <v>S</v>
      </c>
      <c r="AE27" s="1607"/>
      <c r="AF27" s="3223">
        <f t="shared" si="0"/>
        <v>4450</v>
      </c>
      <c r="AG27" s="3224"/>
      <c r="AH27" s="1607"/>
      <c r="AI27" s="1763">
        <f t="shared" si="1"/>
        <v>1</v>
      </c>
      <c r="AJ27" s="1763">
        <f t="shared" si="2"/>
        <v>0</v>
      </c>
      <c r="AK27" s="1763">
        <f t="shared" si="3"/>
        <v>0</v>
      </c>
    </row>
    <row r="28" spans="1:45" ht="12.75" customHeight="1">
      <c r="A28" s="82"/>
      <c r="B28" s="161">
        <v>5</v>
      </c>
      <c r="C28" s="280" t="s">
        <v>576</v>
      </c>
      <c r="D28" s="280"/>
      <c r="E28" s="237"/>
      <c r="F28" s="237"/>
      <c r="G28" s="238"/>
      <c r="H28" s="238"/>
      <c r="I28" s="238"/>
      <c r="J28" s="238"/>
      <c r="K28" s="1553" t="s">
        <v>422</v>
      </c>
      <c r="L28" s="343">
        <f>B28</f>
        <v>5</v>
      </c>
      <c r="M28" s="1725">
        <f>MAX(0,SUM(M24,-M27))</f>
        <v>0</v>
      </c>
      <c r="N28" s="717"/>
      <c r="O28" s="1450"/>
      <c r="P28" s="3548"/>
      <c r="Q28" s="628"/>
      <c r="R28" s="1876"/>
      <c r="S28" s="734"/>
      <c r="T28" s="1407"/>
      <c r="U28" s="1407" t="s">
        <v>4649</v>
      </c>
      <c r="V28" s="3" t="b">
        <f>AK58&gt;1</f>
        <v>0</v>
      </c>
      <c r="W28" s="2562"/>
      <c r="X28" s="3222" t="s">
        <v>1379</v>
      </c>
      <c r="Y28" s="1607"/>
      <c r="Z28" s="3226" t="str">
        <f t="shared" si="4"/>
        <v>N</v>
      </c>
      <c r="AA28" s="1607"/>
      <c r="AB28" s="3226" t="str">
        <f t="shared" si="5"/>
        <v>Y</v>
      </c>
      <c r="AC28" s="1607"/>
      <c r="AD28" s="3226" t="str">
        <f t="shared" si="6"/>
        <v>S</v>
      </c>
      <c r="AE28" s="1607"/>
      <c r="AF28" s="3223">
        <f t="shared" si="0"/>
        <v>4450</v>
      </c>
      <c r="AG28" s="3224"/>
      <c r="AH28" s="1607"/>
      <c r="AI28" s="1763">
        <f t="shared" si="1"/>
        <v>1</v>
      </c>
      <c r="AJ28" s="1763">
        <f t="shared" si="2"/>
        <v>0</v>
      </c>
      <c r="AK28" s="1763">
        <f t="shared" si="3"/>
        <v>0</v>
      </c>
    </row>
    <row r="29" spans="1:45" s="1068" customFormat="1" ht="12" customHeight="1" thickBot="1">
      <c r="A29" s="82"/>
      <c r="B29" s="162">
        <v>6</v>
      </c>
      <c r="C29" s="280" t="s">
        <v>2390</v>
      </c>
      <c r="D29" s="280"/>
      <c r="E29" s="237"/>
      <c r="F29" s="237"/>
      <c r="G29" s="238"/>
      <c r="H29" s="238"/>
      <c r="I29" s="238"/>
      <c r="J29" s="238"/>
      <c r="K29" s="162"/>
      <c r="L29" s="2886"/>
      <c r="M29" s="3544"/>
      <c r="N29" s="716"/>
      <c r="O29" s="1450"/>
      <c r="P29" s="3548"/>
      <c r="Q29" s="628"/>
      <c r="R29" s="1876"/>
      <c r="S29" s="270"/>
      <c r="T29" s="270"/>
      <c r="U29" s="7908" t="s">
        <v>4103</v>
      </c>
      <c r="V29" s="7908"/>
      <c r="W29" s="2562"/>
      <c r="X29" s="3222" t="s">
        <v>1381</v>
      </c>
      <c r="Y29" s="1607"/>
      <c r="Z29" s="3226" t="str">
        <f t="shared" si="4"/>
        <v>N</v>
      </c>
      <c r="AA29" s="1607"/>
      <c r="AB29" s="3226" t="str">
        <f t="shared" si="5"/>
        <v>Y</v>
      </c>
      <c r="AC29" s="1607"/>
      <c r="AD29" s="3226" t="str">
        <f t="shared" si="6"/>
        <v>S</v>
      </c>
      <c r="AE29" s="1607"/>
      <c r="AF29" s="3223">
        <f t="shared" si="0"/>
        <v>4450</v>
      </c>
      <c r="AG29" s="3224"/>
      <c r="AH29" s="1607"/>
      <c r="AI29" s="1763">
        <f t="shared" si="1"/>
        <v>1</v>
      </c>
      <c r="AJ29" s="1763">
        <f t="shared" si="2"/>
        <v>0</v>
      </c>
      <c r="AK29" s="1763">
        <f t="shared" si="3"/>
        <v>0</v>
      </c>
      <c r="AL29" s="3169"/>
      <c r="AM29" s="3169"/>
      <c r="AN29" s="3169"/>
      <c r="AO29" s="3169"/>
      <c r="AP29" s="3169"/>
      <c r="AQ29" s="3169"/>
      <c r="AR29" s="3169"/>
      <c r="AS29" s="3169"/>
    </row>
    <row r="30" spans="1:45" ht="12" customHeight="1" thickBot="1">
      <c r="A30" s="82"/>
      <c r="B30" s="162"/>
      <c r="C30" s="280" t="str">
        <f>"family coverage under an HDHP at any time during "&amp;TaxYear&amp;", see the instructions for the amount to"</f>
        <v>family coverage under an HDHP at any time during 2018, see the instructions for the amount to</v>
      </c>
      <c r="D30" s="185"/>
      <c r="E30" s="237"/>
      <c r="F30" s="237"/>
      <c r="G30" s="238"/>
      <c r="H30" s="238"/>
      <c r="I30" s="238"/>
      <c r="J30" s="238"/>
      <c r="K30" s="238"/>
      <c r="L30" s="637"/>
      <c r="M30" s="4526"/>
      <c r="N30" s="717"/>
      <c r="O30" s="1450"/>
      <c r="P30" s="3548"/>
      <c r="Q30" s="628"/>
      <c r="R30" s="2562"/>
      <c r="S30" s="4549" t="s">
        <v>2143</v>
      </c>
      <c r="T30" s="270"/>
      <c r="U30" s="5114">
        <f>$Z$41/100</f>
        <v>0.91299999999999992</v>
      </c>
      <c r="V30" s="5115">
        <f>$AB$41/100</f>
        <v>8.7000000000000022E-2</v>
      </c>
      <c r="W30" s="2562"/>
      <c r="X30" s="3222" t="s">
        <v>1383</v>
      </c>
      <c r="Y30" s="1607"/>
      <c r="Z30" s="3226" t="str">
        <f t="shared" si="4"/>
        <v>N</v>
      </c>
      <c r="AA30" s="1607"/>
      <c r="AB30" s="3226" t="str">
        <f t="shared" si="5"/>
        <v>Y</v>
      </c>
      <c r="AC30" s="1607"/>
      <c r="AD30" s="3226" t="str">
        <f t="shared" si="6"/>
        <v>S</v>
      </c>
      <c r="AE30" s="1607"/>
      <c r="AF30" s="3223">
        <f t="shared" si="0"/>
        <v>4450</v>
      </c>
      <c r="AG30" s="3224"/>
      <c r="AH30" s="1607"/>
      <c r="AI30" s="1763">
        <f t="shared" si="1"/>
        <v>1</v>
      </c>
      <c r="AJ30" s="1763">
        <f t="shared" si="2"/>
        <v>0</v>
      </c>
      <c r="AK30" s="1763">
        <f t="shared" si="3"/>
        <v>0</v>
      </c>
    </row>
    <row r="31" spans="1:45" ht="12" customHeight="1">
      <c r="A31" s="82"/>
      <c r="B31" s="162"/>
      <c r="C31" s="280" t="s">
        <v>2391</v>
      </c>
      <c r="D31" s="185"/>
      <c r="E31" s="237"/>
      <c r="F31" s="237"/>
      <c r="G31" s="238"/>
      <c r="H31" s="162"/>
      <c r="I31" s="162"/>
      <c r="J31" s="162"/>
      <c r="K31" s="1553" t="s">
        <v>2432</v>
      </c>
      <c r="L31" s="343">
        <f>B29</f>
        <v>6</v>
      </c>
      <c r="M31" s="1725" t="str">
        <f>IF(Q31&lt;&gt;"",ROUND(Q31,0),IF(NOT(Q13),"",IF(T32,U32,IF(T33,U33,M28))))</f>
        <v/>
      </c>
      <c r="N31" s="717"/>
      <c r="O31" s="1450"/>
      <c r="P31" s="3548"/>
      <c r="Q31" s="470"/>
      <c r="R31" s="2562"/>
      <c r="S31" s="4538" t="s">
        <v>4106</v>
      </c>
      <c r="T31" s="4538" t="s">
        <v>4102</v>
      </c>
      <c r="U31" s="4520" t="s">
        <v>2143</v>
      </c>
      <c r="V31" s="4550" t="s">
        <v>2159</v>
      </c>
      <c r="W31" s="2562"/>
      <c r="X31" s="3222" t="s">
        <v>1385</v>
      </c>
      <c r="Y31" s="1607"/>
      <c r="Z31" s="3226" t="str">
        <f t="shared" si="4"/>
        <v>N</v>
      </c>
      <c r="AA31" s="1607"/>
      <c r="AB31" s="3226" t="str">
        <f t="shared" si="5"/>
        <v>Y</v>
      </c>
      <c r="AC31" s="1607"/>
      <c r="AD31" s="3226" t="str">
        <f t="shared" si="6"/>
        <v>S</v>
      </c>
      <c r="AE31" s="1607"/>
      <c r="AF31" s="3223">
        <f t="shared" si="0"/>
        <v>4450</v>
      </c>
      <c r="AG31" s="3224"/>
      <c r="AH31" s="1607"/>
      <c r="AI31" s="1763">
        <f t="shared" si="1"/>
        <v>1</v>
      </c>
      <c r="AJ31" s="1763">
        <f t="shared" si="2"/>
        <v>0</v>
      </c>
      <c r="AK31" s="1763">
        <f t="shared" si="3"/>
        <v>0</v>
      </c>
    </row>
    <row r="32" spans="1:45" s="1068" customFormat="1" ht="12" customHeight="1">
      <c r="A32" s="82"/>
      <c r="B32" s="162">
        <v>7</v>
      </c>
      <c r="C32" s="280" t="str">
        <f>"If you were age 55 or older at the end of "&amp;TaxYear&amp;", married, and you or your spouse had family"</f>
        <v>If you were age 55 or older at the end of 2018, married, and you or your spouse had family</v>
      </c>
      <c r="D32" s="280"/>
      <c r="E32" s="237"/>
      <c r="F32" s="237"/>
      <c r="G32" s="238"/>
      <c r="H32" s="238"/>
      <c r="I32" s="238"/>
      <c r="J32" s="238"/>
      <c r="K32" s="162"/>
      <c r="L32" s="2886"/>
      <c r="M32" s="1753"/>
      <c r="N32" s="716"/>
      <c r="O32" s="2562"/>
      <c r="P32" s="3547"/>
      <c r="Q32" s="628"/>
      <c r="R32" s="1450"/>
      <c r="S32" s="270" t="s">
        <v>4101</v>
      </c>
      <c r="T32" s="270" t="b">
        <f>AND($Q$7,$V$28,$AK$58=12)</f>
        <v>0</v>
      </c>
      <c r="U32" s="4537" t="str">
        <f>IF(T32,ROUND(M28*$Z$41/100,0),"---")</f>
        <v>---</v>
      </c>
      <c r="V32" s="4551" t="str">
        <f>V103</f>
        <v>---</v>
      </c>
      <c r="W32" s="2562"/>
      <c r="X32" s="3222" t="s">
        <v>1387</v>
      </c>
      <c r="Y32" s="1607"/>
      <c r="Z32" s="3226" t="str">
        <f t="shared" si="4"/>
        <v>N</v>
      </c>
      <c r="AA32" s="1607"/>
      <c r="AB32" s="3226" t="str">
        <f t="shared" si="5"/>
        <v>Y</v>
      </c>
      <c r="AC32" s="1607"/>
      <c r="AD32" s="3226" t="str">
        <f t="shared" si="6"/>
        <v>S</v>
      </c>
      <c r="AE32" s="1607"/>
      <c r="AF32" s="3223">
        <f t="shared" si="0"/>
        <v>4450</v>
      </c>
      <c r="AG32" s="3224"/>
      <c r="AH32" s="1607"/>
      <c r="AI32" s="1763">
        <f t="shared" si="1"/>
        <v>1</v>
      </c>
      <c r="AJ32" s="1763">
        <f t="shared" si="2"/>
        <v>0</v>
      </c>
      <c r="AK32" s="1763">
        <f t="shared" si="3"/>
        <v>0</v>
      </c>
      <c r="AL32" s="3169"/>
      <c r="AM32" s="3169"/>
      <c r="AN32" s="3169"/>
      <c r="AO32" s="3169"/>
      <c r="AP32" s="3169"/>
      <c r="AQ32" s="3169"/>
      <c r="AR32" s="3169"/>
      <c r="AS32" s="3169"/>
    </row>
    <row r="33" spans="1:45" ht="12" customHeight="1" thickBot="1">
      <c r="A33" s="82"/>
      <c r="B33" s="162"/>
      <c r="C33" s="280" t="str">
        <f>"coverage under an HDHP at any time during "&amp;TaxYear&amp;", enter your additional contribution amount"</f>
        <v>coverage under an HDHP at any time during 2018, enter your additional contribution amount</v>
      </c>
      <c r="D33" s="185"/>
      <c r="E33" s="237"/>
      <c r="F33" s="237"/>
      <c r="G33" s="238"/>
      <c r="H33" s="238"/>
      <c r="I33" s="238"/>
      <c r="J33" s="238"/>
      <c r="K33" s="238"/>
      <c r="L33" s="637"/>
      <c r="M33" s="555"/>
      <c r="N33" s="717"/>
      <c r="O33" s="1450"/>
      <c r="P33" s="3548"/>
      <c r="Q33" s="628"/>
      <c r="R33" s="1450"/>
      <c r="S33" s="270" t="s">
        <v>4104</v>
      </c>
      <c r="T33" s="270" t="b">
        <f>AND($Q$7,$V$28,$AK$58&gt;0,$AK$58&lt;12)</f>
        <v>0</v>
      </c>
      <c r="U33" s="2351" t="str">
        <f>IF(T33,U38,"---")</f>
        <v>---</v>
      </c>
      <c r="V33" s="4551" t="str">
        <f>V104</f>
        <v>---</v>
      </c>
      <c r="W33" s="2562"/>
      <c r="X33" s="3222" t="s">
        <v>1389</v>
      </c>
      <c r="Y33" s="1607"/>
      <c r="Z33" s="3226" t="str">
        <f t="shared" si="4"/>
        <v>N</v>
      </c>
      <c r="AA33" s="1607"/>
      <c r="AB33" s="3226" t="str">
        <f t="shared" si="5"/>
        <v>Y</v>
      </c>
      <c r="AC33" s="1607"/>
      <c r="AD33" s="3226" t="str">
        <f t="shared" si="6"/>
        <v>S</v>
      </c>
      <c r="AE33" s="1607"/>
      <c r="AF33" s="3225">
        <f t="shared" si="0"/>
        <v>4450</v>
      </c>
      <c r="AG33" s="3224"/>
      <c r="AH33" s="1607"/>
      <c r="AI33" s="3529">
        <f t="shared" si="1"/>
        <v>1</v>
      </c>
      <c r="AJ33" s="3529">
        <f t="shared" si="2"/>
        <v>0</v>
      </c>
      <c r="AK33" s="3529">
        <f t="shared" si="3"/>
        <v>0</v>
      </c>
    </row>
    <row r="34" spans="1:45" ht="12" customHeight="1" thickTop="1">
      <c r="A34" s="82"/>
      <c r="B34" s="162"/>
      <c r="C34" s="280" t="s">
        <v>2271</v>
      </c>
      <c r="D34" s="185"/>
      <c r="E34" s="237"/>
      <c r="F34" s="237"/>
      <c r="G34" s="238"/>
      <c r="H34" s="162"/>
      <c r="I34" s="162"/>
      <c r="J34" s="162"/>
      <c r="K34" s="1553" t="s">
        <v>764</v>
      </c>
      <c r="L34" s="343">
        <f>B32</f>
        <v>7</v>
      </c>
      <c r="M34" s="1725" t="str">
        <f>IF(Q34&lt;&gt;"",ROUND(Q34,0),IF(AND(F8889_Line1,OR(AJ35,AJ107),AJ36),ROUND((S34*AJ34)/12,0),""))</f>
        <v/>
      </c>
      <c r="N34" s="717"/>
      <c r="O34" s="1450"/>
      <c r="P34" s="3548"/>
      <c r="Q34" s="470"/>
      <c r="R34" s="2562"/>
      <c r="S34" s="2351">
        <v>1000</v>
      </c>
      <c r="T34" s="270"/>
      <c r="U34" s="4536"/>
      <c r="V34" s="270"/>
      <c r="W34" s="2562"/>
      <c r="X34" s="7883" t="s">
        <v>2568</v>
      </c>
      <c r="Y34" s="7884"/>
      <c r="Z34" s="7885"/>
      <c r="AA34" s="7885"/>
      <c r="AB34" s="7885"/>
      <c r="AC34" s="7885"/>
      <c r="AD34" s="7885"/>
      <c r="AE34" s="7885"/>
      <c r="AF34" s="3223">
        <f>SUM(AF22:AF33)</f>
        <v>53400</v>
      </c>
      <c r="AG34" s="3224"/>
      <c r="AH34" s="1607"/>
      <c r="AI34" s="1763">
        <f>SUM(AI22:AI33)</f>
        <v>12</v>
      </c>
      <c r="AJ34" s="1763">
        <f>SUM(AJ22:AJ33)</f>
        <v>0</v>
      </c>
      <c r="AK34" s="1763">
        <f>SUM(AK22:AK33)</f>
        <v>0</v>
      </c>
    </row>
    <row r="35" spans="1:45" ht="12.75" customHeight="1">
      <c r="A35" s="82"/>
      <c r="B35" s="161">
        <v>8</v>
      </c>
      <c r="C35" s="280" t="s">
        <v>2392</v>
      </c>
      <c r="D35" s="280"/>
      <c r="E35" s="237"/>
      <c r="F35" s="237"/>
      <c r="G35" s="238"/>
      <c r="H35" s="238"/>
      <c r="I35" s="238"/>
      <c r="J35" s="238"/>
      <c r="K35" s="1553" t="s">
        <v>764</v>
      </c>
      <c r="L35" s="343">
        <f>B35</f>
        <v>8</v>
      </c>
      <c r="M35" s="1725">
        <f>SUM(M31,M34)</f>
        <v>0</v>
      </c>
      <c r="N35" s="717"/>
      <c r="O35" s="2562"/>
      <c r="P35" s="3548"/>
      <c r="Q35" s="603"/>
      <c r="R35" s="1450"/>
      <c r="S35" s="270" t="s">
        <v>1731</v>
      </c>
      <c r="T35" s="2351"/>
      <c r="U35" s="2351">
        <f>SUM(AJ59,-M27)</f>
        <v>0</v>
      </c>
      <c r="V35" s="4551">
        <f>V106</f>
        <v>0</v>
      </c>
      <c r="W35" s="2562"/>
      <c r="X35" s="1610"/>
      <c r="Y35" s="1443"/>
      <c r="Z35" s="1443"/>
      <c r="AA35" s="1443"/>
      <c r="AB35" s="1443"/>
      <c r="AC35" s="1443"/>
      <c r="AD35" s="1443"/>
      <c r="AE35" s="4532" t="s">
        <v>2570</v>
      </c>
      <c r="AF35" s="3223">
        <f>ROUND(AF34/12,0)</f>
        <v>4450</v>
      </c>
      <c r="AG35" s="3224"/>
      <c r="AH35" s="1607"/>
      <c r="AI35" s="1763" t="b">
        <f>IF(AI34=12,TRUE,FALSE)</f>
        <v>1</v>
      </c>
      <c r="AJ35" s="1763" t="b">
        <f>IF(AJ34&gt;0,TRUE,FALSE)</f>
        <v>0</v>
      </c>
      <c r="AK35" s="1766"/>
    </row>
    <row r="36" spans="1:45" ht="12" customHeight="1" thickBot="1">
      <c r="A36" s="82"/>
      <c r="B36" s="162">
        <v>9</v>
      </c>
      <c r="C36" s="280" t="str">
        <f>"Employer contributions made to your HSAs for "&amp;TaxYear</f>
        <v>Employer contributions made to your HSAs for 2018</v>
      </c>
      <c r="D36" s="185"/>
      <c r="E36" s="237"/>
      <c r="F36" s="237"/>
      <c r="G36" s="1745"/>
      <c r="H36" s="162"/>
      <c r="I36" s="161" t="s">
        <v>625</v>
      </c>
      <c r="J36" s="2889">
        <f>B36</f>
        <v>9</v>
      </c>
      <c r="K36" s="1726"/>
      <c r="L36" s="2887"/>
      <c r="M36" s="1785" t="str">
        <f>IF(File_Marr_Joint&lt;&gt;"",G34,IF(File_Marr_Sep&lt;&gt;"",G35,IF(OR(File_Single&lt;&gt;"",File_Head&lt;&gt;"",File_Qual_Widow&lt;&gt;""),G36,"---")))</f>
        <v>---</v>
      </c>
      <c r="N36" s="717"/>
      <c r="O36" s="1450"/>
      <c r="P36" s="3548"/>
      <c r="Q36" s="603"/>
      <c r="R36" s="1450"/>
      <c r="S36" s="270" t="s">
        <v>1730</v>
      </c>
      <c r="T36" s="270"/>
      <c r="U36" s="2351">
        <f>ROUND(U35*Z41/100,0)</f>
        <v>0</v>
      </c>
      <c r="V36" s="4551">
        <f>V107</f>
        <v>0</v>
      </c>
      <c r="W36" s="2562"/>
      <c r="X36" s="7888" t="str">
        <f>IF(YourAge="?","Enter your birthdate on sheet '1040'.","")</f>
        <v>Enter your birthdate on sheet '1040'.</v>
      </c>
      <c r="Y36" s="7889"/>
      <c r="Z36" s="7890"/>
      <c r="AA36" s="7890"/>
      <c r="AB36" s="7890"/>
      <c r="AC36" s="7890"/>
      <c r="AD36" s="7890"/>
      <c r="AE36" s="7890"/>
      <c r="AF36" s="7890"/>
      <c r="AG36" s="7891"/>
      <c r="AH36" s="4556"/>
      <c r="AI36" s="1763" t="b">
        <f>IF(AND(YourAge&gt;=P22,OR(AND(File_Marr_Joint&lt;&gt;"",AI35),File_Marr_Joint="")),TRUE,FALSE)</f>
        <v>1</v>
      </c>
      <c r="AJ36" s="1763" t="b">
        <f>IF(AND(YourAge&gt;=P22,File_Marr_Joint&lt;&gt;""),TRUE,FALSE)</f>
        <v>0</v>
      </c>
      <c r="AK36" s="1766"/>
    </row>
    <row r="37" spans="1:45" ht="12" customHeight="1">
      <c r="A37" s="82"/>
      <c r="B37" s="162">
        <v>10</v>
      </c>
      <c r="C37" s="280" t="s">
        <v>2393</v>
      </c>
      <c r="D37" s="185"/>
      <c r="E37" s="237"/>
      <c r="F37" s="237"/>
      <c r="G37" s="1745"/>
      <c r="H37" s="162"/>
      <c r="I37" s="161" t="s">
        <v>906</v>
      </c>
      <c r="J37" s="2889">
        <f>B37</f>
        <v>10</v>
      </c>
      <c r="K37" s="1726"/>
      <c r="L37" s="2887"/>
      <c r="M37" s="1785" t="str">
        <f>IF(File_Marr_Joint&lt;&gt;"",G35,IF(File_Marr_Sep&lt;&gt;"",G36,IF(OR(File_Single&lt;&gt;"",File_Head&lt;&gt;"",File_Qual_Widow&lt;&gt;""),G37,"---")))</f>
        <v>---</v>
      </c>
      <c r="N37" s="717"/>
      <c r="O37" s="1450"/>
      <c r="P37" s="3548"/>
      <c r="Q37" s="603"/>
      <c r="R37" s="2562"/>
      <c r="S37" s="270" t="s">
        <v>4650</v>
      </c>
      <c r="T37" s="270"/>
      <c r="U37" s="2351">
        <f>SUM(U35,-V36)</f>
        <v>0</v>
      </c>
      <c r="V37" s="4551">
        <f>V108</f>
        <v>0</v>
      </c>
      <c r="W37" s="2562"/>
      <c r="X37" s="2562"/>
      <c r="Y37" s="1766"/>
      <c r="Z37" s="3234"/>
      <c r="AA37" s="1766"/>
      <c r="AB37" s="3234"/>
      <c r="AC37" s="1766"/>
      <c r="AD37" s="3234"/>
      <c r="AE37" s="1766"/>
      <c r="AF37" s="3235"/>
      <c r="AG37" s="1766"/>
      <c r="AH37" s="1766"/>
      <c r="AI37" s="1766"/>
      <c r="AJ37" s="1766"/>
      <c r="AK37" s="1766"/>
    </row>
    <row r="38" spans="1:45" ht="12.75" customHeight="1" thickBot="1">
      <c r="A38" s="82"/>
      <c r="B38" s="161">
        <v>11</v>
      </c>
      <c r="C38" s="280" t="s">
        <v>2394</v>
      </c>
      <c r="D38" s="280"/>
      <c r="E38" s="237"/>
      <c r="F38" s="237"/>
      <c r="G38" s="238"/>
      <c r="H38" s="238"/>
      <c r="I38" s="238"/>
      <c r="J38" s="238"/>
      <c r="K38" s="1553" t="s">
        <v>493</v>
      </c>
      <c r="L38" s="343">
        <f>B38</f>
        <v>11</v>
      </c>
      <c r="M38" s="1725">
        <f>SUM(K36,K37)</f>
        <v>0</v>
      </c>
      <c r="N38" s="717"/>
      <c r="O38" s="2562"/>
      <c r="P38" s="3548"/>
      <c r="Q38" s="603"/>
      <c r="R38" s="1450"/>
      <c r="S38" s="270" t="s">
        <v>4651</v>
      </c>
      <c r="T38" s="270"/>
      <c r="U38" s="2351">
        <f>U37</f>
        <v>0</v>
      </c>
      <c r="V38" s="4551">
        <f>V109</f>
        <v>0</v>
      </c>
      <c r="W38" s="2562"/>
      <c r="X38" s="1450"/>
      <c r="Y38" s="1766"/>
      <c r="Z38" s="3234"/>
      <c r="AA38" s="1766"/>
      <c r="AB38" s="3234"/>
      <c r="AC38" s="1766"/>
      <c r="AD38" s="3234"/>
      <c r="AE38" s="1766"/>
      <c r="AF38" s="3235"/>
      <c r="AG38" s="1766"/>
      <c r="AH38" s="1766"/>
      <c r="AI38" s="1766"/>
      <c r="AJ38" s="1766"/>
      <c r="AK38" s="1766"/>
    </row>
    <row r="39" spans="1:45" ht="12.75" customHeight="1">
      <c r="A39" s="82"/>
      <c r="B39" s="161">
        <v>12</v>
      </c>
      <c r="C39" s="280" t="s">
        <v>2395</v>
      </c>
      <c r="D39" s="280"/>
      <c r="E39" s="237"/>
      <c r="F39" s="237"/>
      <c r="G39" s="238"/>
      <c r="H39" s="238"/>
      <c r="I39" s="238"/>
      <c r="J39" s="238"/>
      <c r="K39" s="1553" t="s">
        <v>632</v>
      </c>
      <c r="L39" s="343">
        <f>B39</f>
        <v>12</v>
      </c>
      <c r="M39" s="1725">
        <f>MAX(0,SUM(M35,-M38))</f>
        <v>0</v>
      </c>
      <c r="N39" s="717"/>
      <c r="O39" s="2562"/>
      <c r="P39" s="3548"/>
      <c r="Q39" s="603"/>
      <c r="R39" s="1450"/>
      <c r="S39" s="3244"/>
      <c r="T39" s="3244"/>
      <c r="U39" s="3244"/>
      <c r="V39" s="3244"/>
      <c r="W39" s="2562"/>
      <c r="X39" s="4544"/>
      <c r="Y39" s="1759"/>
      <c r="Z39" s="7892" t="s">
        <v>4103</v>
      </c>
      <c r="AA39" s="7892"/>
      <c r="AB39" s="7892"/>
      <c r="AC39" s="1759"/>
      <c r="AD39" s="4545"/>
      <c r="AE39" s="1759"/>
      <c r="AF39" s="4546"/>
      <c r="AG39" s="1760"/>
      <c r="AH39" s="1766"/>
      <c r="AI39" s="1766"/>
      <c r="AJ39" s="1766"/>
      <c r="AK39" s="1766"/>
    </row>
    <row r="40" spans="1:45" s="1068" customFormat="1" ht="12" customHeight="1">
      <c r="A40" s="82"/>
      <c r="B40" s="161">
        <v>13</v>
      </c>
      <c r="C40" s="403" t="s">
        <v>4149</v>
      </c>
      <c r="D40" s="280"/>
      <c r="E40" s="237"/>
      <c r="F40" s="237"/>
      <c r="G40" s="238"/>
      <c r="H40" s="238"/>
      <c r="I40" s="238"/>
      <c r="J40" s="238"/>
      <c r="K40" s="162"/>
      <c r="L40" s="637"/>
      <c r="M40" s="1746">
        <v>8.9999999999999993E-3</v>
      </c>
      <c r="N40" s="716"/>
      <c r="O40" s="2562"/>
      <c r="P40" s="3547"/>
      <c r="Q40" s="603"/>
      <c r="R40" s="2562"/>
      <c r="S40" s="270"/>
      <c r="T40" s="270"/>
      <c r="U40" s="270"/>
      <c r="V40" s="270"/>
      <c r="W40" s="2562"/>
      <c r="X40" s="3220"/>
      <c r="Y40" s="1766"/>
      <c r="Z40" s="3234" t="s">
        <v>4105</v>
      </c>
      <c r="AA40" s="1766"/>
      <c r="AB40" s="3234" t="s">
        <v>4105</v>
      </c>
      <c r="AC40" s="1766"/>
      <c r="AD40" s="3234"/>
      <c r="AE40" s="1766"/>
      <c r="AF40" s="3235"/>
      <c r="AG40" s="1768"/>
      <c r="AH40" s="1766"/>
      <c r="AI40" s="1766"/>
      <c r="AJ40" s="1766"/>
      <c r="AK40" s="1766"/>
      <c r="AL40" s="3169"/>
      <c r="AM40" s="3169"/>
      <c r="AN40" s="3169"/>
      <c r="AO40" s="3169"/>
      <c r="AP40" s="3169"/>
      <c r="AQ40" s="3169"/>
      <c r="AR40" s="3169"/>
      <c r="AS40" s="3169"/>
    </row>
    <row r="41" spans="1:45" ht="11.25" customHeight="1">
      <c r="A41" s="82"/>
      <c r="B41" s="161"/>
      <c r="C41" s="403" t="s">
        <v>3339</v>
      </c>
      <c r="D41" s="185"/>
      <c r="E41" s="237"/>
      <c r="F41" s="237"/>
      <c r="G41" s="238"/>
      <c r="H41" s="238"/>
      <c r="I41" s="238"/>
      <c r="J41" s="238"/>
      <c r="K41" s="1553" t="s">
        <v>1311</v>
      </c>
      <c r="L41" s="637">
        <f>B40</f>
        <v>13</v>
      </c>
      <c r="M41" s="1727" t="str">
        <f>IF(Q41&lt;&gt;"",ROUND(Q41,0),IF(F8889_Line1,MIN(M20,M39),""))</f>
        <v/>
      </c>
      <c r="N41" s="717"/>
      <c r="O41" s="2562"/>
      <c r="P41" s="926"/>
      <c r="Q41" s="470"/>
      <c r="R41" s="2562"/>
      <c r="S41" s="270"/>
      <c r="T41" s="270"/>
      <c r="U41" s="270"/>
      <c r="V41" s="270"/>
      <c r="W41" s="2562"/>
      <c r="X41" s="4533" t="s">
        <v>2143</v>
      </c>
      <c r="Y41" s="1766"/>
      <c r="Z41" s="5116">
        <v>91.3</v>
      </c>
      <c r="AA41" s="1766"/>
      <c r="AB41" s="5117">
        <f>100-Z41</f>
        <v>8.7000000000000028</v>
      </c>
      <c r="AC41" s="1766"/>
      <c r="AD41" s="4534" t="s">
        <v>2159</v>
      </c>
      <c r="AE41" s="1766"/>
      <c r="AF41" s="3235"/>
      <c r="AG41" s="1768"/>
      <c r="AH41" s="1766"/>
      <c r="AI41" s="1766"/>
      <c r="AJ41" s="1766"/>
      <c r="AK41" s="1766"/>
    </row>
    <row r="42" spans="1:45" ht="13.5" customHeight="1" thickBot="1">
      <c r="A42" s="82"/>
      <c r="B42" s="161"/>
      <c r="C42" s="280" t="s">
        <v>4150</v>
      </c>
      <c r="D42" s="185"/>
      <c r="E42" s="237"/>
      <c r="F42" s="237"/>
      <c r="G42" s="238"/>
      <c r="H42" s="238"/>
      <c r="I42" s="238"/>
      <c r="J42" s="238"/>
      <c r="K42" s="1553"/>
      <c r="L42" s="2888"/>
      <c r="M42" s="4528" t="b">
        <f>IF(NOT(F8889_Line1),FALSE,IF(M21&gt;M41,TRUE,FALSE))</f>
        <v>0</v>
      </c>
      <c r="N42" s="717"/>
      <c r="O42" s="5089"/>
      <c r="P42" s="2605"/>
      <c r="Q42" s="2898"/>
      <c r="R42" s="2562"/>
      <c r="S42" s="270"/>
      <c r="T42" s="270"/>
      <c r="U42" s="270"/>
      <c r="V42" s="270"/>
      <c r="W42" s="3210"/>
      <c r="X42" s="3219"/>
      <c r="Y42" s="1766"/>
      <c r="Z42" s="4535"/>
      <c r="AA42" s="1766"/>
      <c r="AB42" s="4535"/>
      <c r="AC42" s="1766"/>
      <c r="AD42" s="3234"/>
      <c r="AE42" s="1766"/>
      <c r="AF42" s="3235"/>
      <c r="AG42" s="1768"/>
      <c r="AH42" s="1766"/>
      <c r="AI42" s="1766"/>
      <c r="AJ42" s="1766"/>
      <c r="AK42" s="1766"/>
    </row>
    <row r="43" spans="1:45" ht="13.5" thickBot="1">
      <c r="A43" s="82"/>
      <c r="B43" s="2875" t="s">
        <v>130</v>
      </c>
      <c r="C43" s="7893" t="s">
        <v>2398</v>
      </c>
      <c r="D43" s="7893"/>
      <c r="E43" s="7894"/>
      <c r="F43" s="7894"/>
      <c r="G43" s="7894"/>
      <c r="H43" s="7894"/>
      <c r="I43" s="7894"/>
      <c r="J43" s="7894"/>
      <c r="K43" s="7894"/>
      <c r="L43" s="7894"/>
      <c r="M43" s="7894"/>
      <c r="N43" s="715"/>
      <c r="O43" s="4527" t="str">
        <f>IF(M42,"Check here","")</f>
        <v/>
      </c>
      <c r="P43" s="616"/>
      <c r="Q43" s="2898"/>
      <c r="R43" s="2562"/>
      <c r="S43" s="270"/>
      <c r="T43" s="270"/>
      <c r="U43" s="270"/>
      <c r="V43" s="270"/>
      <c r="W43" s="3210"/>
      <c r="X43" s="4539"/>
      <c r="Y43" s="4540"/>
      <c r="Z43" s="4541"/>
      <c r="AA43" s="4540"/>
      <c r="AB43" s="4541"/>
      <c r="AC43" s="4540"/>
      <c r="AD43" s="4542"/>
      <c r="AE43" s="4540"/>
      <c r="AF43" s="4543"/>
      <c r="AG43" s="4540"/>
      <c r="AH43" s="1766"/>
      <c r="AI43" s="1766"/>
      <c r="AJ43" s="1766"/>
      <c r="AK43" s="1766"/>
    </row>
    <row r="44" spans="1:45" ht="12" customHeight="1">
      <c r="A44" s="82"/>
      <c r="B44" s="2877"/>
      <c r="C44" s="7909" t="s">
        <v>2397</v>
      </c>
      <c r="D44" s="7909"/>
      <c r="E44" s="7910"/>
      <c r="F44" s="7910"/>
      <c r="G44" s="7910"/>
      <c r="H44" s="7910"/>
      <c r="I44" s="7910"/>
      <c r="J44" s="7910"/>
      <c r="K44" s="7910"/>
      <c r="L44" s="7910"/>
      <c r="M44" s="7910"/>
      <c r="N44" s="715"/>
      <c r="O44" s="4527" t="str">
        <f>IF(M42,"to remove","")</f>
        <v/>
      </c>
      <c r="P44" s="2885"/>
      <c r="Q44" s="733"/>
      <c r="R44" s="2562"/>
      <c r="S44" s="270"/>
      <c r="T44" s="270"/>
      <c r="U44" s="270"/>
      <c r="V44" s="270"/>
      <c r="W44" s="2562"/>
      <c r="X44" s="7872" t="s">
        <v>4107</v>
      </c>
      <c r="Y44" s="7873"/>
      <c r="Z44" s="7873"/>
      <c r="AA44" s="7873"/>
      <c r="AB44" s="7873"/>
      <c r="AC44" s="7873"/>
      <c r="AD44" s="7873"/>
      <c r="AE44" s="7873"/>
      <c r="AF44" s="7873"/>
      <c r="AG44" s="7874"/>
      <c r="AH44" s="4555"/>
      <c r="AI44" s="1766"/>
      <c r="AJ44" s="3234" t="s">
        <v>2143</v>
      </c>
      <c r="AK44" s="1766"/>
    </row>
    <row r="45" spans="1:45" ht="12.75" customHeight="1">
      <c r="A45" s="82"/>
      <c r="B45" s="161" t="s">
        <v>2400</v>
      </c>
      <c r="C45" s="280" t="str">
        <f>"Total distributions you received in "&amp;TaxYear&amp;" from all HSAs (see instructions)"</f>
        <v>Total distributions you received in 2018 from all HSAs (see instructions)</v>
      </c>
      <c r="D45" s="280"/>
      <c r="E45" s="237"/>
      <c r="F45" s="237"/>
      <c r="G45" s="238"/>
      <c r="H45" s="238"/>
      <c r="I45" s="238"/>
      <c r="J45" s="238"/>
      <c r="K45" s="1553" t="s">
        <v>1100</v>
      </c>
      <c r="L45" s="256" t="str">
        <f>B45</f>
        <v>14a</v>
      </c>
      <c r="M45" s="1726"/>
      <c r="N45" s="717"/>
      <c r="O45" s="4527" t="str">
        <f>IF(M42,"emphasis.","")</f>
        <v/>
      </c>
      <c r="P45" s="3548"/>
      <c r="Q45" s="603"/>
      <c r="R45" s="2562"/>
      <c r="S45" s="270"/>
      <c r="T45" s="270"/>
      <c r="U45" s="270"/>
      <c r="V45" s="270"/>
      <c r="W45" s="2562"/>
      <c r="X45" s="3221">
        <f>TaxYear</f>
        <v>2018</v>
      </c>
      <c r="Y45" s="1766"/>
      <c r="Z45" s="3234"/>
      <c r="AA45" s="1766"/>
      <c r="AB45" s="3234"/>
      <c r="AC45" s="1766"/>
      <c r="AD45" s="3234"/>
      <c r="AE45" s="1766"/>
      <c r="AF45" s="3235"/>
      <c r="AG45" s="1768"/>
      <c r="AH45" s="1766"/>
      <c r="AI45" s="3234" t="s">
        <v>2564</v>
      </c>
      <c r="AJ45" s="3234" t="s">
        <v>1882</v>
      </c>
      <c r="AK45" s="1766"/>
    </row>
    <row r="46" spans="1:45" s="1068" customFormat="1" ht="12" customHeight="1">
      <c r="A46" s="82"/>
      <c r="B46" s="161" t="s">
        <v>54</v>
      </c>
      <c r="C46" s="403" t="s">
        <v>2402</v>
      </c>
      <c r="D46" s="280"/>
      <c r="E46" s="237"/>
      <c r="F46" s="237"/>
      <c r="G46" s="238"/>
      <c r="H46" s="238"/>
      <c r="I46" s="238"/>
      <c r="J46" s="238"/>
      <c r="K46" s="162"/>
      <c r="L46" s="899"/>
      <c r="M46" s="1753"/>
      <c r="N46" s="716"/>
      <c r="O46" s="2562"/>
      <c r="P46" s="3547"/>
      <c r="Q46" s="628"/>
      <c r="R46" s="2562"/>
      <c r="S46" s="270"/>
      <c r="T46" s="270"/>
      <c r="U46" s="270"/>
      <c r="V46" s="270"/>
      <c r="W46" s="2562"/>
      <c r="X46" s="3222" t="s">
        <v>1370</v>
      </c>
      <c r="Y46" s="1766"/>
      <c r="Z46" s="3234"/>
      <c r="AA46" s="3234"/>
      <c r="AB46" s="3234"/>
      <c r="AC46" s="1766"/>
      <c r="AD46" s="4524" t="str">
        <f>IF(OR(AD22="f",AD22="F"),"F","S")</f>
        <v>S</v>
      </c>
      <c r="AE46" s="1766"/>
      <c r="AF46" s="3223">
        <f>MAX(0,SUM(AF22,-$M$27))</f>
        <v>4450</v>
      </c>
      <c r="AG46" s="3224"/>
      <c r="AH46" s="1607"/>
      <c r="AI46" s="3223">
        <f t="shared" ref="AI46:AI57" si="7">IF(AD46="S",AF46,0)</f>
        <v>4450</v>
      </c>
      <c r="AJ46" s="3223">
        <f t="shared" ref="AJ46:AJ57" si="8">IF(AND(Z46&lt;&gt;"Y",LEFT(AD46,1)="F"),AF46,0)</f>
        <v>0</v>
      </c>
      <c r="AK46" s="1763">
        <f>MIN(1,SUM(AJ46,AJ113))</f>
        <v>0</v>
      </c>
      <c r="AL46" s="3169"/>
      <c r="AM46" s="3169"/>
      <c r="AN46" s="3169"/>
      <c r="AO46" s="3169"/>
      <c r="AP46" s="3169"/>
      <c r="AQ46" s="3169"/>
      <c r="AR46" s="3169"/>
      <c r="AS46" s="3169"/>
    </row>
    <row r="47" spans="1:45" ht="12" customHeight="1">
      <c r="A47" s="82"/>
      <c r="B47" s="162"/>
      <c r="C47" s="403" t="s">
        <v>2403</v>
      </c>
      <c r="D47" s="185"/>
      <c r="E47" s="237"/>
      <c r="F47" s="237"/>
      <c r="G47" s="238"/>
      <c r="H47" s="238"/>
      <c r="I47" s="238"/>
      <c r="J47" s="238"/>
      <c r="K47" s="238"/>
      <c r="L47" s="232"/>
      <c r="M47" s="555"/>
      <c r="N47" s="717"/>
      <c r="O47" s="1450"/>
      <c r="P47" s="3548"/>
      <c r="Q47" s="628"/>
      <c r="R47" s="1450"/>
      <c r="S47" s="3245"/>
      <c r="T47" s="3245"/>
      <c r="U47" s="3245"/>
      <c r="V47" s="3245"/>
      <c r="W47" s="2562"/>
      <c r="X47" s="3222" t="s">
        <v>1371</v>
      </c>
      <c r="Y47" s="1766"/>
      <c r="Z47" s="3234"/>
      <c r="AA47" s="3234"/>
      <c r="AB47" s="3234"/>
      <c r="AC47" s="1766"/>
      <c r="AD47" s="4524" t="str">
        <f t="shared" ref="AD47:AD57" si="9">IF(OR(AD23="f",AD23="F"),"F","S")</f>
        <v>S</v>
      </c>
      <c r="AE47" s="1766"/>
      <c r="AF47" s="3223">
        <f t="shared" ref="AF47:AF57" si="10">MAX(0,SUM(AF23,-$M$27))</f>
        <v>4450</v>
      </c>
      <c r="AG47" s="3224"/>
      <c r="AH47" s="1607"/>
      <c r="AI47" s="3223">
        <f t="shared" si="7"/>
        <v>4450</v>
      </c>
      <c r="AJ47" s="3223">
        <f t="shared" si="8"/>
        <v>0</v>
      </c>
      <c r="AK47" s="1763">
        <f t="shared" ref="AK47:AK57" si="11">MIN(1,SUM(AJ47,AJ114))</f>
        <v>0</v>
      </c>
    </row>
    <row r="48" spans="1:45" ht="12" customHeight="1">
      <c r="A48" s="82"/>
      <c r="B48" s="162"/>
      <c r="C48" s="403" t="s">
        <v>2404</v>
      </c>
      <c r="D48" s="185"/>
      <c r="E48" s="237"/>
      <c r="F48" s="237"/>
      <c r="G48" s="238"/>
      <c r="H48" s="162"/>
      <c r="I48" s="162"/>
      <c r="J48" s="162"/>
      <c r="K48" s="1553" t="s">
        <v>1048</v>
      </c>
      <c r="L48" s="256" t="s">
        <v>2401</v>
      </c>
      <c r="M48" s="1726"/>
      <c r="N48" s="717"/>
      <c r="O48" s="1450"/>
      <c r="P48" s="3548"/>
      <c r="Q48" s="628"/>
      <c r="R48" s="1450"/>
      <c r="S48" s="3245"/>
      <c r="T48" s="3245"/>
      <c r="U48" s="3245"/>
      <c r="V48" s="3245"/>
      <c r="W48" s="2562"/>
      <c r="X48" s="3222" t="s">
        <v>1372</v>
      </c>
      <c r="Y48" s="1766"/>
      <c r="Z48" s="3234"/>
      <c r="AA48" s="3234"/>
      <c r="AB48" s="3234"/>
      <c r="AC48" s="1766"/>
      <c r="AD48" s="4524" t="str">
        <f t="shared" si="9"/>
        <v>S</v>
      </c>
      <c r="AE48" s="1766"/>
      <c r="AF48" s="3223">
        <f t="shared" si="10"/>
        <v>4450</v>
      </c>
      <c r="AG48" s="3224"/>
      <c r="AH48" s="1607"/>
      <c r="AI48" s="3223">
        <f t="shared" si="7"/>
        <v>4450</v>
      </c>
      <c r="AJ48" s="3223">
        <f t="shared" si="8"/>
        <v>0</v>
      </c>
      <c r="AK48" s="1763">
        <f t="shared" si="11"/>
        <v>0</v>
      </c>
    </row>
    <row r="49" spans="1:45" ht="12.75" customHeight="1">
      <c r="A49" s="82"/>
      <c r="B49" s="161" t="s">
        <v>55</v>
      </c>
      <c r="C49" s="403" t="s">
        <v>2406</v>
      </c>
      <c r="D49" s="280"/>
      <c r="E49" s="237"/>
      <c r="F49" s="237"/>
      <c r="G49" s="238"/>
      <c r="H49" s="238"/>
      <c r="I49" s="238"/>
      <c r="J49" s="238"/>
      <c r="K49" s="1553" t="s">
        <v>2424</v>
      </c>
      <c r="L49" s="256" t="s">
        <v>2405</v>
      </c>
      <c r="M49" s="1725">
        <f>SUM(M45,-M48)</f>
        <v>0</v>
      </c>
      <c r="N49" s="717"/>
      <c r="O49" s="2562"/>
      <c r="P49" s="3548"/>
      <c r="Q49" s="628"/>
      <c r="R49" s="2562"/>
      <c r="S49" s="3244"/>
      <c r="T49" s="3244"/>
      <c r="U49" s="3244"/>
      <c r="V49" s="3244"/>
      <c r="W49" s="2562"/>
      <c r="X49" s="3222" t="s">
        <v>1373</v>
      </c>
      <c r="Y49" s="1766"/>
      <c r="Z49" s="3234"/>
      <c r="AA49" s="3234"/>
      <c r="AB49" s="3234"/>
      <c r="AC49" s="1766"/>
      <c r="AD49" s="4524" t="str">
        <f t="shared" si="9"/>
        <v>S</v>
      </c>
      <c r="AE49" s="1766"/>
      <c r="AF49" s="3223">
        <f t="shared" si="10"/>
        <v>4450</v>
      </c>
      <c r="AG49" s="3224"/>
      <c r="AH49" s="1607"/>
      <c r="AI49" s="3223">
        <f t="shared" si="7"/>
        <v>4450</v>
      </c>
      <c r="AJ49" s="3223">
        <f t="shared" si="8"/>
        <v>0</v>
      </c>
      <c r="AK49" s="1763">
        <f t="shared" si="11"/>
        <v>0</v>
      </c>
    </row>
    <row r="50" spans="1:45" ht="12.75" customHeight="1">
      <c r="A50" s="82"/>
      <c r="B50" s="161">
        <v>15</v>
      </c>
      <c r="C50" s="403" t="s">
        <v>2407</v>
      </c>
      <c r="D50" s="280"/>
      <c r="E50" s="237"/>
      <c r="F50" s="237"/>
      <c r="G50" s="238"/>
      <c r="H50" s="238"/>
      <c r="I50" s="238"/>
      <c r="J50" s="238"/>
      <c r="K50" s="1553" t="s">
        <v>678</v>
      </c>
      <c r="L50" s="343">
        <f>B50</f>
        <v>15</v>
      </c>
      <c r="M50" s="1726"/>
      <c r="N50" s="717"/>
      <c r="O50" s="2562"/>
      <c r="P50" s="3548"/>
      <c r="Q50" s="603"/>
      <c r="R50" s="2562"/>
      <c r="S50" s="3244"/>
      <c r="T50" s="3244"/>
      <c r="U50" s="3244"/>
      <c r="V50" s="3244"/>
      <c r="W50" s="2562"/>
      <c r="X50" s="3222" t="s">
        <v>1375</v>
      </c>
      <c r="Y50" s="1766"/>
      <c r="Z50" s="3234"/>
      <c r="AA50" s="3234"/>
      <c r="AB50" s="3234"/>
      <c r="AC50" s="1766"/>
      <c r="AD50" s="4524" t="str">
        <f t="shared" si="9"/>
        <v>S</v>
      </c>
      <c r="AE50" s="1766"/>
      <c r="AF50" s="3223">
        <f t="shared" si="10"/>
        <v>4450</v>
      </c>
      <c r="AG50" s="3224"/>
      <c r="AH50" s="1607"/>
      <c r="AI50" s="3223">
        <f t="shared" si="7"/>
        <v>4450</v>
      </c>
      <c r="AJ50" s="3223">
        <f t="shared" si="8"/>
        <v>0</v>
      </c>
      <c r="AK50" s="1763">
        <f t="shared" si="11"/>
        <v>0</v>
      </c>
    </row>
    <row r="51" spans="1:45" s="1068" customFormat="1" ht="12" customHeight="1">
      <c r="A51" s="82"/>
      <c r="B51" s="161">
        <v>16</v>
      </c>
      <c r="C51" s="403" t="s">
        <v>4151</v>
      </c>
      <c r="D51" s="280"/>
      <c r="E51" s="237"/>
      <c r="F51" s="237"/>
      <c r="G51" s="238"/>
      <c r="H51" s="238"/>
      <c r="I51" s="238"/>
      <c r="J51" s="238"/>
      <c r="K51" s="162"/>
      <c r="L51" s="899"/>
      <c r="M51" s="1753"/>
      <c r="N51" s="716"/>
      <c r="O51" s="2562"/>
      <c r="P51" s="3547"/>
      <c r="Q51" s="628"/>
      <c r="R51" s="2562"/>
      <c r="S51" s="270"/>
      <c r="T51" s="270"/>
      <c r="U51" s="270"/>
      <c r="V51" s="270"/>
      <c r="W51" s="2562"/>
      <c r="X51" s="3222" t="s">
        <v>1377</v>
      </c>
      <c r="Y51" s="1766"/>
      <c r="Z51" s="3234"/>
      <c r="AA51" s="3234"/>
      <c r="AB51" s="3234"/>
      <c r="AC51" s="1766"/>
      <c r="AD51" s="4524" t="str">
        <f t="shared" si="9"/>
        <v>S</v>
      </c>
      <c r="AE51" s="1766"/>
      <c r="AF51" s="3223">
        <f t="shared" si="10"/>
        <v>4450</v>
      </c>
      <c r="AG51" s="3224"/>
      <c r="AH51" s="1607"/>
      <c r="AI51" s="3223">
        <f t="shared" si="7"/>
        <v>4450</v>
      </c>
      <c r="AJ51" s="3223">
        <f t="shared" si="8"/>
        <v>0</v>
      </c>
      <c r="AK51" s="1763">
        <f t="shared" si="11"/>
        <v>0</v>
      </c>
      <c r="AL51" s="3169"/>
      <c r="AM51" s="3169"/>
      <c r="AN51" s="3169"/>
      <c r="AO51" s="3169"/>
      <c r="AP51" s="3169"/>
      <c r="AQ51" s="3169"/>
      <c r="AR51" s="3169"/>
      <c r="AS51" s="3169"/>
    </row>
    <row r="52" spans="1:45" ht="12" customHeight="1">
      <c r="A52" s="82"/>
      <c r="B52" s="162"/>
      <c r="C52" s="403" t="s">
        <v>3340</v>
      </c>
      <c r="D52" s="185"/>
      <c r="E52" s="237"/>
      <c r="F52" s="237"/>
      <c r="G52" s="238"/>
      <c r="H52" s="238"/>
      <c r="I52" s="238"/>
      <c r="J52" s="238"/>
      <c r="K52" s="238"/>
      <c r="L52" s="232"/>
      <c r="M52" s="555"/>
      <c r="N52" s="717"/>
      <c r="O52" s="1450"/>
      <c r="P52" s="3548"/>
      <c r="Q52" s="628"/>
      <c r="R52" s="1450"/>
      <c r="S52" s="270"/>
      <c r="T52" s="270"/>
      <c r="U52" s="270"/>
      <c r="V52" s="270"/>
      <c r="W52" s="2562"/>
      <c r="X52" s="3222" t="s">
        <v>1379</v>
      </c>
      <c r="Y52" s="1766"/>
      <c r="Z52" s="3234"/>
      <c r="AA52" s="3234"/>
      <c r="AB52" s="3234"/>
      <c r="AC52" s="1766"/>
      <c r="AD52" s="4524" t="str">
        <f t="shared" si="9"/>
        <v>S</v>
      </c>
      <c r="AE52" s="1766"/>
      <c r="AF52" s="3223">
        <f t="shared" si="10"/>
        <v>4450</v>
      </c>
      <c r="AG52" s="3224"/>
      <c r="AH52" s="1607"/>
      <c r="AI52" s="3223">
        <f t="shared" si="7"/>
        <v>4450</v>
      </c>
      <c r="AJ52" s="3223">
        <f t="shared" si="8"/>
        <v>0</v>
      </c>
      <c r="AK52" s="1763">
        <f t="shared" si="11"/>
        <v>0</v>
      </c>
    </row>
    <row r="53" spans="1:45" ht="12" customHeight="1">
      <c r="A53" s="82"/>
      <c r="B53" s="162"/>
      <c r="C53" s="403" t="s">
        <v>3341</v>
      </c>
      <c r="D53" s="185"/>
      <c r="E53" s="237"/>
      <c r="F53" s="237"/>
      <c r="G53" s="238"/>
      <c r="H53" s="162"/>
      <c r="I53" s="162"/>
      <c r="J53" s="162"/>
      <c r="K53" s="1553" t="s">
        <v>981</v>
      </c>
      <c r="L53" s="343">
        <f>B51</f>
        <v>16</v>
      </c>
      <c r="M53" s="1725">
        <f>IF(Q53&lt;&gt;"",ROUND(Q53,0),IF(SUM(M49,-M50)&lt;0,0,SUM(M49,-M50)))</f>
        <v>0</v>
      </c>
      <c r="N53" s="717"/>
      <c r="O53" s="1450"/>
      <c r="P53" s="3548"/>
      <c r="Q53" s="470"/>
      <c r="R53" s="1450"/>
      <c r="S53" s="270"/>
      <c r="T53" s="270"/>
      <c r="U53" s="270"/>
      <c r="V53" s="270"/>
      <c r="W53" s="2562"/>
      <c r="X53" s="3222" t="s">
        <v>1381</v>
      </c>
      <c r="Y53" s="1766"/>
      <c r="Z53" s="3234"/>
      <c r="AA53" s="3234"/>
      <c r="AB53" s="3234"/>
      <c r="AC53" s="1766"/>
      <c r="AD53" s="4524" t="str">
        <f t="shared" si="9"/>
        <v>S</v>
      </c>
      <c r="AE53" s="1766"/>
      <c r="AF53" s="3223">
        <f t="shared" si="10"/>
        <v>4450</v>
      </c>
      <c r="AG53" s="3224"/>
      <c r="AH53" s="1607"/>
      <c r="AI53" s="3223">
        <f t="shared" si="7"/>
        <v>4450</v>
      </c>
      <c r="AJ53" s="3223">
        <f t="shared" si="8"/>
        <v>0</v>
      </c>
      <c r="AK53" s="1763">
        <f t="shared" si="11"/>
        <v>0</v>
      </c>
    </row>
    <row r="54" spans="1:45" s="1068" customFormat="1" ht="12" customHeight="1" thickBot="1">
      <c r="A54" s="82"/>
      <c r="B54" s="161" t="s">
        <v>2408</v>
      </c>
      <c r="C54" s="403" t="s">
        <v>4152</v>
      </c>
      <c r="D54" s="280"/>
      <c r="E54" s="237"/>
      <c r="F54" s="237"/>
      <c r="G54" s="238"/>
      <c r="H54" s="238"/>
      <c r="I54" s="238"/>
      <c r="J54" s="238"/>
      <c r="K54" s="162"/>
      <c r="L54" s="2887"/>
      <c r="M54" s="1753"/>
      <c r="N54" s="716"/>
      <c r="O54" s="2562"/>
      <c r="P54" s="3547"/>
      <c r="Q54" s="2900" t="str">
        <f>IF($J$55&lt;&gt;"","Enter distributions","")</f>
        <v/>
      </c>
      <c r="R54" s="2562"/>
      <c r="S54" s="270"/>
      <c r="T54" s="270"/>
      <c r="U54" s="270"/>
      <c r="V54" s="270"/>
      <c r="W54" s="2562"/>
      <c r="X54" s="3222" t="s">
        <v>1383</v>
      </c>
      <c r="Y54" s="1766"/>
      <c r="Z54" s="3234"/>
      <c r="AA54" s="3234"/>
      <c r="AB54" s="3234"/>
      <c r="AC54" s="1766"/>
      <c r="AD54" s="4524" t="str">
        <f t="shared" si="9"/>
        <v>S</v>
      </c>
      <c r="AE54" s="1766"/>
      <c r="AF54" s="3223">
        <f t="shared" si="10"/>
        <v>4450</v>
      </c>
      <c r="AG54" s="3224"/>
      <c r="AH54" s="1607"/>
      <c r="AI54" s="3223">
        <f t="shared" si="7"/>
        <v>4450</v>
      </c>
      <c r="AJ54" s="3223">
        <f t="shared" si="8"/>
        <v>0</v>
      </c>
      <c r="AK54" s="1763">
        <f t="shared" si="11"/>
        <v>0</v>
      </c>
      <c r="AL54" s="3169"/>
      <c r="AM54" s="3169"/>
      <c r="AN54" s="3169"/>
      <c r="AO54" s="3169"/>
      <c r="AP54" s="3169"/>
      <c r="AQ54" s="3169"/>
      <c r="AR54" s="3169"/>
      <c r="AS54" s="3169"/>
    </row>
    <row r="55" spans="1:45" ht="12" customHeight="1" thickBot="1">
      <c r="A55" s="82"/>
      <c r="B55" s="162"/>
      <c r="C55" s="225" t="str">
        <f>" "&amp;TEXT($M$56,"0%")&amp;"  Tax"</f>
        <v xml:space="preserve"> 20%  Tax</v>
      </c>
      <c r="D55" s="185" t="s">
        <v>2425</v>
      </c>
      <c r="E55" s="237"/>
      <c r="F55" s="237"/>
      <c r="G55" s="238"/>
      <c r="H55" s="238"/>
      <c r="I55" s="4082" t="s">
        <v>2426</v>
      </c>
      <c r="J55" s="1500"/>
      <c r="K55" s="238"/>
      <c r="L55" s="2887"/>
      <c r="M55" s="555"/>
      <c r="N55" s="717"/>
      <c r="O55" s="1450"/>
      <c r="P55" s="3548"/>
      <c r="Q55" s="2900" t="str">
        <f>IF($J$55&lt;&gt;"","subject to","")</f>
        <v/>
      </c>
      <c r="R55" s="1450"/>
      <c r="S55" s="270"/>
      <c r="T55" s="270"/>
      <c r="U55" s="270"/>
      <c r="V55" s="270"/>
      <c r="W55" s="2562"/>
      <c r="X55" s="3222" t="s">
        <v>1385</v>
      </c>
      <c r="Y55" s="1766"/>
      <c r="Z55" s="3234"/>
      <c r="AA55" s="3234"/>
      <c r="AB55" s="3234"/>
      <c r="AC55" s="1766"/>
      <c r="AD55" s="4524" t="str">
        <f t="shared" si="9"/>
        <v>S</v>
      </c>
      <c r="AE55" s="1766"/>
      <c r="AF55" s="3223">
        <f t="shared" si="10"/>
        <v>4450</v>
      </c>
      <c r="AG55" s="3224"/>
      <c r="AH55" s="1607"/>
      <c r="AI55" s="3223">
        <f t="shared" si="7"/>
        <v>4450</v>
      </c>
      <c r="AJ55" s="3223">
        <f t="shared" si="8"/>
        <v>0</v>
      </c>
      <c r="AK55" s="1763">
        <f t="shared" si="11"/>
        <v>0</v>
      </c>
    </row>
    <row r="56" spans="1:45" s="1068" customFormat="1" ht="12" customHeight="1">
      <c r="A56" s="82"/>
      <c r="B56" s="161" t="s">
        <v>54</v>
      </c>
      <c r="C56" s="225" t="str">
        <f>"Additional "&amp;TEXT(M56,"0%")&amp;" tax"</f>
        <v>Additional 20% tax</v>
      </c>
      <c r="D56" s="280"/>
      <c r="E56" s="237"/>
      <c r="F56" s="403"/>
      <c r="G56" s="238"/>
      <c r="H56" s="238"/>
      <c r="I56" s="238"/>
      <c r="J56" s="238"/>
      <c r="K56" s="2895" t="str">
        <f>"(see instructions). Enter "&amp;TEXT($M$56,"0%")&amp;" ("&amp;TEXT($M$56,".00")&amp;") of the distributions included on line 16    "</f>
        <v xml:space="preserve">(see instructions). Enter 20% (.20) of the distributions included on line 16    </v>
      </c>
      <c r="L56" s="2887"/>
      <c r="M56" s="1785">
        <v>0.2</v>
      </c>
      <c r="N56" s="716"/>
      <c r="O56" s="2562"/>
      <c r="P56" s="3547"/>
      <c r="Q56" s="2900" t="str">
        <f>IF($J$55&lt;&gt;"","additional tax here:","")</f>
        <v/>
      </c>
      <c r="R56" s="2562"/>
      <c r="S56" s="270"/>
      <c r="T56" s="270"/>
      <c r="U56" s="270"/>
      <c r="V56" s="270"/>
      <c r="W56" s="2562"/>
      <c r="X56" s="3222" t="s">
        <v>1387</v>
      </c>
      <c r="Y56" s="1766"/>
      <c r="Z56" s="3234"/>
      <c r="AA56" s="3234"/>
      <c r="AB56" s="3234"/>
      <c r="AC56" s="1766"/>
      <c r="AD56" s="4524" t="str">
        <f t="shared" si="9"/>
        <v>S</v>
      </c>
      <c r="AE56" s="1766"/>
      <c r="AF56" s="3223">
        <f t="shared" si="10"/>
        <v>4450</v>
      </c>
      <c r="AG56" s="3224"/>
      <c r="AH56" s="1607"/>
      <c r="AI56" s="3223">
        <f t="shared" si="7"/>
        <v>4450</v>
      </c>
      <c r="AJ56" s="3223">
        <f t="shared" si="8"/>
        <v>0</v>
      </c>
      <c r="AK56" s="1763">
        <f t="shared" si="11"/>
        <v>0</v>
      </c>
      <c r="AL56" s="3169"/>
      <c r="AM56" s="3169"/>
      <c r="AN56" s="3169"/>
      <c r="AO56" s="3169"/>
      <c r="AP56" s="3169"/>
      <c r="AQ56" s="3169"/>
      <c r="AR56" s="3169"/>
      <c r="AS56" s="3169"/>
    </row>
    <row r="57" spans="1:45" ht="12" customHeight="1" thickBot="1">
      <c r="A57" s="82"/>
      <c r="B57" s="162"/>
      <c r="C57" s="403" t="str">
        <f>"that are subject to the additional "&amp;TEXT($M$56,"0%")&amp;" tax. Also include this amount in the total on Schedule 4"</f>
        <v>that are subject to the additional 20% tax. Also include this amount in the total on Schedule 4</v>
      </c>
      <c r="D57" s="185"/>
      <c r="E57" s="237"/>
      <c r="F57" s="237"/>
      <c r="G57" s="238"/>
      <c r="H57" s="238"/>
      <c r="I57" s="238"/>
      <c r="J57" s="238"/>
      <c r="K57" s="238"/>
      <c r="L57" s="2887"/>
      <c r="M57" s="555"/>
      <c r="N57" s="717"/>
      <c r="O57" s="1450"/>
      <c r="P57" s="3548"/>
      <c r="Q57" s="2901"/>
      <c r="R57" s="1450"/>
      <c r="S57" s="270"/>
      <c r="T57" s="270"/>
      <c r="U57" s="270"/>
      <c r="V57" s="270"/>
      <c r="W57" s="2562"/>
      <c r="X57" s="3222" t="s">
        <v>1389</v>
      </c>
      <c r="Y57" s="1766"/>
      <c r="Z57" s="3234"/>
      <c r="AA57" s="3234"/>
      <c r="AB57" s="3234"/>
      <c r="AC57" s="1766"/>
      <c r="AD57" s="4524" t="str">
        <f t="shared" si="9"/>
        <v>S</v>
      </c>
      <c r="AE57" s="1766"/>
      <c r="AF57" s="3225">
        <f t="shared" si="10"/>
        <v>4450</v>
      </c>
      <c r="AG57" s="3224"/>
      <c r="AH57" s="1607"/>
      <c r="AI57" s="3225">
        <f t="shared" si="7"/>
        <v>4450</v>
      </c>
      <c r="AJ57" s="3225">
        <f t="shared" si="8"/>
        <v>0</v>
      </c>
      <c r="AK57" s="3529">
        <f t="shared" si="11"/>
        <v>0</v>
      </c>
    </row>
    <row r="58" spans="1:45" ht="12" customHeight="1" thickTop="1">
      <c r="A58" s="82"/>
      <c r="B58" s="162"/>
      <c r="C58" s="403" t="s">
        <v>3342</v>
      </c>
      <c r="D58" s="185"/>
      <c r="E58" s="237"/>
      <c r="F58" s="237"/>
      <c r="G58" s="238"/>
      <c r="H58" s="162"/>
      <c r="I58" s="162"/>
      <c r="J58" s="162"/>
      <c r="K58" s="1553"/>
      <c r="L58" s="2887"/>
      <c r="M58" s="555"/>
      <c r="N58" s="717"/>
      <c r="O58" s="1450"/>
      <c r="P58" s="3548"/>
      <c r="Q58" s="628"/>
      <c r="R58" s="1450"/>
      <c r="S58" s="270"/>
      <c r="T58" s="270"/>
      <c r="U58" s="270"/>
      <c r="V58" s="270"/>
      <c r="W58" s="3210"/>
      <c r="X58" s="3219"/>
      <c r="Y58" s="1766"/>
      <c r="Z58" s="3234"/>
      <c r="AA58" s="3234"/>
      <c r="AB58" s="3234"/>
      <c r="AC58" s="1766"/>
      <c r="AD58" s="3234"/>
      <c r="AE58" s="1766"/>
      <c r="AF58" s="3223">
        <f>SUM(AF46:AF57)</f>
        <v>53400</v>
      </c>
      <c r="AG58" s="3224"/>
      <c r="AH58" s="1607"/>
      <c r="AI58" s="3223">
        <f>SUM(AI46:AI57)</f>
        <v>53400</v>
      </c>
      <c r="AJ58" s="3223">
        <f>SUM(AJ46:AJ57)</f>
        <v>0</v>
      </c>
      <c r="AK58" s="1763">
        <f>SUM(AK46:AK57)</f>
        <v>0</v>
      </c>
    </row>
    <row r="59" spans="1:45" ht="12.75" customHeight="1" thickBot="1">
      <c r="A59" s="82"/>
      <c r="B59" s="161"/>
      <c r="C59" s="403" t="s">
        <v>4153</v>
      </c>
      <c r="D59" s="185"/>
      <c r="E59" s="237"/>
      <c r="F59" s="237"/>
      <c r="G59" s="238"/>
      <c r="H59" s="238"/>
      <c r="I59" s="238"/>
      <c r="J59" s="238"/>
      <c r="K59" s="1553"/>
      <c r="L59" s="343" t="s">
        <v>2409</v>
      </c>
      <c r="M59" s="1725">
        <f>IF(Q59&lt;&gt;"",ROUND(Q59,0),IF($J$55&lt;&gt;"",ROUND($M$56*$Q$57,0),ROUND($M$56*M53,0)))</f>
        <v>0</v>
      </c>
      <c r="N59" s="717"/>
      <c r="O59" s="2562"/>
      <c r="P59" s="926"/>
      <c r="Q59" s="470"/>
      <c r="R59" s="2562"/>
      <c r="S59" s="270"/>
      <c r="T59" s="270"/>
      <c r="U59" s="270"/>
      <c r="V59" s="270"/>
      <c r="W59" s="2562"/>
      <c r="X59" s="3220"/>
      <c r="Y59" s="1766"/>
      <c r="Z59" s="3234"/>
      <c r="AA59" s="3234"/>
      <c r="AB59" s="3234"/>
      <c r="AC59" s="3234"/>
      <c r="AD59" s="3234"/>
      <c r="AE59" s="1766"/>
      <c r="AF59" s="3223">
        <f>ROUND(AF58/12,0)</f>
        <v>4450</v>
      </c>
      <c r="AG59" s="3224"/>
      <c r="AH59" s="1607"/>
      <c r="AI59" s="3223">
        <f>ROUND(AI58/12,0)</f>
        <v>4450</v>
      </c>
      <c r="AJ59" s="3223">
        <f>ROUND(AJ58/12,0)</f>
        <v>0</v>
      </c>
      <c r="AK59" s="1766"/>
    </row>
    <row r="60" spans="1:45" s="244" customFormat="1" ht="15" customHeight="1" thickBot="1">
      <c r="A60" s="82"/>
      <c r="B60" s="166" t="s">
        <v>564</v>
      </c>
      <c r="C60" s="272"/>
      <c r="D60" s="272"/>
      <c r="E60" s="272"/>
      <c r="F60" s="272"/>
      <c r="G60" s="605"/>
      <c r="H60" s="606"/>
      <c r="I60" s="605"/>
      <c r="J60" s="743" t="s">
        <v>2410</v>
      </c>
      <c r="K60" s="605"/>
      <c r="L60" s="607" t="s">
        <v>2411</v>
      </c>
      <c r="M60" s="1100" t="str">
        <f>"  ("&amp;TaxYear&amp;")"</f>
        <v xml:space="preserve">  (2018)</v>
      </c>
      <c r="N60" s="723"/>
      <c r="O60" s="1450"/>
      <c r="P60" s="3547"/>
      <c r="Q60" s="603"/>
      <c r="R60" s="1450"/>
      <c r="S60" s="270"/>
      <c r="T60" s="270"/>
      <c r="U60" s="270"/>
      <c r="V60" s="270"/>
      <c r="W60" s="2561"/>
      <c r="X60" s="4530"/>
      <c r="Y60" s="2610"/>
      <c r="Z60" s="4522"/>
      <c r="AA60" s="2610"/>
      <c r="AB60" s="4522"/>
      <c r="AC60" s="2610"/>
      <c r="AD60" s="4522"/>
      <c r="AE60" s="2610"/>
      <c r="AF60" s="4531"/>
      <c r="AG60" s="2611"/>
      <c r="AH60" s="1766"/>
      <c r="AI60" s="1766"/>
      <c r="AJ60" s="1766"/>
      <c r="AK60" s="1766"/>
      <c r="AL60" s="3169"/>
      <c r="AM60" s="3169"/>
      <c r="AN60" s="3169"/>
      <c r="AO60" s="3169"/>
      <c r="AP60" s="3169"/>
      <c r="AQ60" s="3169"/>
      <c r="AR60" s="3169"/>
      <c r="AS60" s="3169"/>
    </row>
    <row r="61" spans="1:45" s="244" customFormat="1" ht="19.5" customHeight="1">
      <c r="A61" s="82"/>
      <c r="B61" s="150" t="str">
        <f>"Form 8889   ("&amp;TaxYear&amp;")"</f>
        <v>Form 8889   (2018)</v>
      </c>
      <c r="C61" s="150"/>
      <c r="D61" s="150"/>
      <c r="E61" s="153"/>
      <c r="F61" s="153"/>
      <c r="G61" s="236"/>
      <c r="H61" s="651"/>
      <c r="I61" s="236"/>
      <c r="J61" s="2891"/>
      <c r="K61" s="236"/>
      <c r="L61" s="982"/>
      <c r="M61" s="2892" t="s">
        <v>3343</v>
      </c>
      <c r="N61" s="723"/>
      <c r="O61" s="1450"/>
      <c r="P61" s="3547"/>
      <c r="Q61" s="603"/>
      <c r="R61" s="1450"/>
      <c r="S61" s="270"/>
      <c r="T61" s="270"/>
      <c r="U61" s="270"/>
      <c r="V61" s="270"/>
      <c r="W61" s="1408"/>
      <c r="X61" s="1450"/>
      <c r="Y61" s="1766"/>
      <c r="Z61" s="3234"/>
      <c r="AA61" s="1766"/>
      <c r="AB61" s="3234"/>
      <c r="AC61" s="1766"/>
      <c r="AD61" s="3234"/>
      <c r="AE61" s="1766"/>
      <c r="AF61" s="3235"/>
      <c r="AG61" s="1766"/>
      <c r="AH61" s="1766"/>
      <c r="AI61" s="1766"/>
      <c r="AJ61" s="1766"/>
      <c r="AK61" s="1766"/>
      <c r="AL61" s="3169"/>
      <c r="AM61" s="3169"/>
      <c r="AN61" s="3169"/>
      <c r="AO61" s="3169"/>
      <c r="AP61" s="3169"/>
      <c r="AQ61" s="3169"/>
      <c r="AR61" s="3169"/>
      <c r="AS61" s="3169"/>
    </row>
    <row r="62" spans="1:45" ht="12.75" customHeight="1">
      <c r="A62" s="82"/>
      <c r="B62" s="2875" t="s">
        <v>363</v>
      </c>
      <c r="C62" s="7893" t="s">
        <v>2412</v>
      </c>
      <c r="D62" s="7893"/>
      <c r="E62" s="7894"/>
      <c r="F62" s="7894"/>
      <c r="G62" s="7894"/>
      <c r="H62" s="7894"/>
      <c r="I62" s="7894"/>
      <c r="J62" s="7894"/>
      <c r="K62" s="7894"/>
      <c r="L62" s="7894"/>
      <c r="M62" s="7894"/>
      <c r="N62" s="715"/>
      <c r="O62" s="1876"/>
      <c r="P62" s="616"/>
      <c r="Q62" s="733"/>
      <c r="R62" s="1876"/>
      <c r="S62" s="270"/>
      <c r="T62" s="270"/>
      <c r="U62" s="270"/>
      <c r="V62" s="270"/>
      <c r="W62" s="2562"/>
      <c r="X62" s="2562"/>
      <c r="Y62" s="1766"/>
      <c r="Z62" s="3234"/>
      <c r="AA62" s="1766"/>
      <c r="AB62" s="3234"/>
      <c r="AC62" s="1766"/>
      <c r="AD62" s="3234"/>
      <c r="AE62" s="1766"/>
      <c r="AF62" s="3235"/>
      <c r="AG62" s="1766"/>
      <c r="AH62" s="1766"/>
      <c r="AI62" s="1766"/>
      <c r="AJ62" s="1766"/>
      <c r="AK62" s="1766"/>
    </row>
    <row r="63" spans="1:45" ht="12" customHeight="1">
      <c r="A63" s="82"/>
      <c r="B63" s="2878"/>
      <c r="C63" s="7911" t="s">
        <v>2413</v>
      </c>
      <c r="D63" s="7911"/>
      <c r="E63" s="7912"/>
      <c r="F63" s="7912"/>
      <c r="G63" s="7912"/>
      <c r="H63" s="7912"/>
      <c r="I63" s="7912"/>
      <c r="J63" s="7912"/>
      <c r="K63" s="7912"/>
      <c r="L63" s="7912"/>
      <c r="M63" s="7912"/>
      <c r="N63" s="715"/>
      <c r="O63" s="1876"/>
      <c r="P63" s="2885"/>
      <c r="Q63" s="733"/>
      <c r="R63" s="1876"/>
      <c r="S63" s="270"/>
      <c r="T63" s="270"/>
      <c r="U63" s="270"/>
      <c r="V63" s="270"/>
      <c r="W63" s="2562"/>
      <c r="X63" s="1450"/>
      <c r="Y63" s="1766"/>
      <c r="Z63" s="3234"/>
      <c r="AA63" s="1766"/>
      <c r="AB63" s="3234"/>
      <c r="AC63" s="1766"/>
      <c r="AD63" s="3234"/>
      <c r="AE63" s="1766"/>
      <c r="AF63" s="3235"/>
      <c r="AG63" s="1766"/>
      <c r="AH63" s="1766"/>
      <c r="AI63" s="1763"/>
      <c r="AJ63" s="1763"/>
      <c r="AK63" s="1763"/>
    </row>
    <row r="64" spans="1:45" ht="12" customHeight="1">
      <c r="A64" s="82"/>
      <c r="B64" s="2890"/>
      <c r="C64" s="7909" t="s">
        <v>2414</v>
      </c>
      <c r="D64" s="7909"/>
      <c r="E64" s="7910"/>
      <c r="F64" s="7910"/>
      <c r="G64" s="7910"/>
      <c r="H64" s="7910"/>
      <c r="I64" s="7910"/>
      <c r="J64" s="7910"/>
      <c r="K64" s="7910"/>
      <c r="L64" s="7910"/>
      <c r="M64" s="7910"/>
      <c r="N64" s="715"/>
      <c r="O64" s="1876"/>
      <c r="P64" s="2885"/>
      <c r="Q64" s="733"/>
      <c r="R64" s="1876"/>
      <c r="S64" s="270"/>
      <c r="T64" s="270"/>
      <c r="U64" s="270"/>
      <c r="V64" s="270"/>
      <c r="W64" s="2562"/>
      <c r="X64" s="2562"/>
      <c r="Y64" s="1766"/>
      <c r="Z64" s="3234"/>
      <c r="AA64" s="1766"/>
      <c r="AB64" s="3234"/>
      <c r="AC64" s="1766"/>
      <c r="AD64" s="3234"/>
      <c r="AE64" s="1766"/>
      <c r="AF64" s="3235"/>
      <c r="AG64" s="1766"/>
      <c r="AH64" s="1766"/>
      <c r="AI64" s="1766"/>
      <c r="AJ64" s="1766"/>
      <c r="AK64" s="1766"/>
    </row>
    <row r="65" spans="1:45" ht="12" customHeight="1">
      <c r="A65" s="82"/>
      <c r="B65" s="162"/>
      <c r="C65" s="1748"/>
      <c r="D65" s="185"/>
      <c r="E65" s="237"/>
      <c r="F65" s="237"/>
      <c r="G65" s="238"/>
      <c r="H65" s="238"/>
      <c r="I65" s="238"/>
      <c r="J65" s="238"/>
      <c r="K65" s="238"/>
      <c r="L65" s="1747"/>
      <c r="M65" s="238"/>
      <c r="N65" s="717"/>
      <c r="O65" s="1450"/>
      <c r="P65" s="3548"/>
      <c r="Q65" s="603"/>
      <c r="R65" s="1450"/>
      <c r="S65" s="3245"/>
      <c r="T65" s="3245"/>
      <c r="U65" s="3245"/>
      <c r="V65" s="3245"/>
      <c r="W65" s="2561"/>
      <c r="X65" s="1450"/>
      <c r="Y65" s="1766"/>
      <c r="Z65" s="3234"/>
      <c r="AA65" s="1766"/>
      <c r="AB65" s="3234"/>
      <c r="AC65" s="1766"/>
      <c r="AD65" s="3234"/>
      <c r="AE65" s="1766"/>
      <c r="AF65" s="3235"/>
      <c r="AG65" s="1766"/>
      <c r="AH65" s="1766"/>
      <c r="AI65" s="1766"/>
      <c r="AJ65" s="1766"/>
      <c r="AK65" s="1766"/>
    </row>
    <row r="66" spans="1:45" s="1068" customFormat="1" ht="12" customHeight="1">
      <c r="A66" s="82"/>
      <c r="B66" s="161">
        <v>18</v>
      </c>
      <c r="C66" s="280" t="s">
        <v>2415</v>
      </c>
      <c r="D66" s="280"/>
      <c r="E66" s="237"/>
      <c r="F66" s="237"/>
      <c r="G66" s="238"/>
      <c r="H66" s="238"/>
      <c r="I66" s="238"/>
      <c r="J66" s="238"/>
      <c r="K66" s="1553" t="s">
        <v>2418</v>
      </c>
      <c r="L66" s="256">
        <f>B66</f>
        <v>18</v>
      </c>
      <c r="M66" s="1726"/>
      <c r="N66" s="716"/>
      <c r="O66" s="2562"/>
      <c r="P66" s="3547"/>
      <c r="Q66" s="603"/>
      <c r="R66" s="2562"/>
      <c r="S66" s="270"/>
      <c r="T66" s="270"/>
      <c r="U66" s="270"/>
      <c r="V66" s="270"/>
      <c r="W66" s="2562"/>
      <c r="X66" s="1876"/>
      <c r="Y66" s="1766"/>
      <c r="Z66" s="3234"/>
      <c r="AA66" s="1766"/>
      <c r="AB66" s="3234"/>
      <c r="AC66" s="1766"/>
      <c r="AD66" s="3234"/>
      <c r="AE66" s="1766"/>
      <c r="AF66" s="3235"/>
      <c r="AG66" s="1766"/>
      <c r="AH66" s="1766"/>
      <c r="AI66" s="1766"/>
      <c r="AJ66" s="1766"/>
      <c r="AK66" s="1766"/>
      <c r="AL66" s="3169"/>
      <c r="AM66" s="3169"/>
      <c r="AN66" s="3169"/>
      <c r="AO66" s="3169"/>
      <c r="AP66" s="3169"/>
      <c r="AQ66" s="3169"/>
      <c r="AR66" s="3169"/>
      <c r="AS66" s="3169"/>
    </row>
    <row r="67" spans="1:45" ht="12" customHeight="1">
      <c r="A67" s="82"/>
      <c r="B67" s="162"/>
      <c r="C67" s="1748"/>
      <c r="D67" s="185"/>
      <c r="E67" s="237"/>
      <c r="F67" s="237"/>
      <c r="G67" s="238"/>
      <c r="H67" s="238"/>
      <c r="I67" s="238"/>
      <c r="J67" s="238"/>
      <c r="K67" s="238"/>
      <c r="L67" s="1747"/>
      <c r="M67" s="238"/>
      <c r="N67" s="717"/>
      <c r="O67" s="1450"/>
      <c r="P67" s="3548"/>
      <c r="Q67" s="603"/>
      <c r="R67" s="1450"/>
      <c r="S67" s="270"/>
      <c r="T67" s="270"/>
      <c r="U67" s="270"/>
      <c r="V67" s="270"/>
      <c r="W67" s="2562"/>
      <c r="X67" s="1876"/>
      <c r="Y67" s="1766"/>
      <c r="Z67" s="3234"/>
      <c r="AA67" s="1766"/>
      <c r="AB67" s="3234"/>
      <c r="AC67" s="1766"/>
      <c r="AD67" s="3234"/>
      <c r="AE67" s="1766"/>
      <c r="AF67" s="3235"/>
      <c r="AG67" s="1766"/>
      <c r="AH67" s="1766"/>
      <c r="AI67" s="1766"/>
      <c r="AJ67" s="1766"/>
      <c r="AK67" s="1766"/>
    </row>
    <row r="68" spans="1:45" s="1068" customFormat="1" ht="12" customHeight="1">
      <c r="A68" s="82"/>
      <c r="B68" s="161">
        <v>19</v>
      </c>
      <c r="C68" s="403" t="s">
        <v>2416</v>
      </c>
      <c r="D68" s="280"/>
      <c r="E68" s="237"/>
      <c r="F68" s="237"/>
      <c r="G68" s="238"/>
      <c r="H68" s="238"/>
      <c r="I68" s="238"/>
      <c r="J68" s="238"/>
      <c r="K68" s="1553" t="s">
        <v>2417</v>
      </c>
      <c r="L68" s="256">
        <f>B68</f>
        <v>19</v>
      </c>
      <c r="M68" s="1726"/>
      <c r="N68" s="716"/>
      <c r="O68" s="2562"/>
      <c r="P68" s="3547"/>
      <c r="Q68" s="603"/>
      <c r="R68" s="2562"/>
      <c r="S68" s="3244"/>
      <c r="T68" s="3244"/>
      <c r="U68" s="3244"/>
      <c r="V68" s="3244"/>
      <c r="W68" s="2562"/>
      <c r="X68" s="1876"/>
      <c r="Y68" s="1766"/>
      <c r="Z68" s="3234"/>
      <c r="AA68" s="1766"/>
      <c r="AB68" s="3234"/>
      <c r="AC68" s="1766"/>
      <c r="AD68" s="3234"/>
      <c r="AE68" s="1766"/>
      <c r="AF68" s="3235"/>
      <c r="AG68" s="1766"/>
      <c r="AH68" s="1766"/>
      <c r="AI68" s="1766"/>
      <c r="AJ68" s="1766"/>
      <c r="AK68" s="1766"/>
      <c r="AL68" s="3169"/>
      <c r="AM68" s="3169"/>
      <c r="AN68" s="3169"/>
      <c r="AO68" s="3169"/>
      <c r="AP68" s="3169"/>
      <c r="AQ68" s="3169"/>
      <c r="AR68" s="3169"/>
      <c r="AS68" s="3169"/>
    </row>
    <row r="69" spans="1:45" s="1068" customFormat="1" ht="12" customHeight="1">
      <c r="A69" s="82"/>
      <c r="B69" s="161">
        <v>20</v>
      </c>
      <c r="C69" s="225" t="s">
        <v>4154</v>
      </c>
      <c r="D69" s="280"/>
      <c r="E69" s="237"/>
      <c r="F69" s="237"/>
      <c r="G69" s="238"/>
      <c r="H69" s="238"/>
      <c r="I69" s="238"/>
      <c r="J69" s="238"/>
      <c r="K69" s="162"/>
      <c r="L69" s="899"/>
      <c r="M69" s="1753"/>
      <c r="N69" s="716"/>
      <c r="O69" s="2562"/>
      <c r="P69" s="3547"/>
      <c r="Q69" s="628"/>
      <c r="R69" s="2562"/>
      <c r="S69" s="3244"/>
      <c r="T69" s="3244"/>
      <c r="U69" s="3244"/>
      <c r="V69" s="3244"/>
      <c r="W69" s="2562"/>
      <c r="X69" s="1450"/>
      <c r="Y69" s="1766"/>
      <c r="Z69" s="3234"/>
      <c r="AA69" s="1766"/>
      <c r="AB69" s="3234"/>
      <c r="AC69" s="1766"/>
      <c r="AD69" s="3234"/>
      <c r="AE69" s="1766"/>
      <c r="AF69" s="3235"/>
      <c r="AG69" s="1766"/>
      <c r="AH69" s="1766"/>
      <c r="AI69" s="1763"/>
      <c r="AJ69" s="1763"/>
      <c r="AK69" s="1763"/>
      <c r="AL69" s="3169"/>
      <c r="AM69" s="3169"/>
      <c r="AN69" s="3169"/>
      <c r="AO69" s="3169"/>
      <c r="AP69" s="3169"/>
      <c r="AQ69" s="3169"/>
      <c r="AR69" s="3169"/>
      <c r="AS69" s="3169"/>
    </row>
    <row r="70" spans="1:45" ht="12" customHeight="1">
      <c r="A70" s="82"/>
      <c r="B70" s="162"/>
      <c r="C70" s="403" t="s">
        <v>3344</v>
      </c>
      <c r="D70" s="185"/>
      <c r="E70" s="237"/>
      <c r="F70" s="237"/>
      <c r="G70" s="238"/>
      <c r="H70" s="238"/>
      <c r="I70" s="238"/>
      <c r="J70" s="238"/>
      <c r="K70" s="238"/>
      <c r="L70" s="232"/>
      <c r="M70" s="555"/>
      <c r="N70" s="717"/>
      <c r="O70" s="1450"/>
      <c r="P70" s="3548"/>
      <c r="Q70" s="628"/>
      <c r="R70" s="1450"/>
      <c r="S70" s="270"/>
      <c r="T70" s="270"/>
      <c r="U70" s="270"/>
      <c r="V70" s="270"/>
      <c r="W70" s="2562"/>
      <c r="X70" s="1450"/>
      <c r="Y70" s="1766"/>
      <c r="Z70" s="3234"/>
      <c r="AA70" s="1766"/>
      <c r="AB70" s="3234"/>
      <c r="AC70" s="1766"/>
      <c r="AD70" s="3234"/>
      <c r="AE70" s="1766"/>
      <c r="AF70" s="3235"/>
      <c r="AG70" s="1766"/>
      <c r="AH70" s="1766"/>
      <c r="AI70" s="1766"/>
      <c r="AJ70" s="1766"/>
      <c r="AK70" s="1766"/>
    </row>
    <row r="71" spans="1:45" ht="12" customHeight="1">
      <c r="A71" s="82"/>
      <c r="B71" s="162"/>
      <c r="C71" s="403" t="s">
        <v>3345</v>
      </c>
      <c r="D71" s="185"/>
      <c r="E71" s="237"/>
      <c r="F71" s="237"/>
      <c r="G71" s="238"/>
      <c r="H71" s="162"/>
      <c r="I71" s="162"/>
      <c r="J71" s="162"/>
      <c r="K71" s="1553" t="s">
        <v>2541</v>
      </c>
      <c r="L71" s="256">
        <f>B69</f>
        <v>20</v>
      </c>
      <c r="M71" s="1725">
        <f>IF(Q71&lt;&gt;"",ROUND(Q71,0),SUM(M66,M68))</f>
        <v>0</v>
      </c>
      <c r="N71" s="717"/>
      <c r="O71" s="1450"/>
      <c r="P71" s="3548"/>
      <c r="Q71" s="470"/>
      <c r="R71" s="1450"/>
      <c r="S71" s="270"/>
      <c r="T71" s="270"/>
      <c r="U71" s="270"/>
      <c r="V71" s="270"/>
      <c r="W71" s="2562"/>
      <c r="X71" s="2562"/>
      <c r="Y71" s="1766"/>
      <c r="Z71" s="3234"/>
      <c r="AA71" s="1766"/>
      <c r="AB71" s="3234"/>
      <c r="AC71" s="1766"/>
      <c r="AD71" s="3234"/>
      <c r="AE71" s="1766"/>
      <c r="AF71" s="3235"/>
      <c r="AG71" s="1766"/>
      <c r="AH71" s="1766"/>
      <c r="AI71" s="1766"/>
      <c r="AJ71" s="1766"/>
      <c r="AK71" s="1766"/>
    </row>
    <row r="72" spans="1:45" s="1068" customFormat="1" ht="12" customHeight="1">
      <c r="A72" s="82"/>
      <c r="B72" s="161">
        <v>21</v>
      </c>
      <c r="C72" s="225" t="s">
        <v>3346</v>
      </c>
      <c r="D72" s="280"/>
      <c r="E72" s="403" t="str">
        <f>"Multiply line 20 by "&amp;TEXT(M72,"0%")&amp;" ("&amp;TEXT(M72,".00")&amp;"). Include this amount in the total on Schedule 4"</f>
        <v>Multiply line 20 by 10% (.10). Include this amount in the total on Schedule 4</v>
      </c>
      <c r="F72" s="237"/>
      <c r="G72" s="238"/>
      <c r="H72" s="238"/>
      <c r="I72" s="238"/>
      <c r="J72" s="238"/>
      <c r="K72" s="162"/>
      <c r="L72" s="899"/>
      <c r="M72" s="2902">
        <v>0.1</v>
      </c>
      <c r="N72" s="716"/>
      <c r="O72" s="2562"/>
      <c r="P72" s="3547"/>
      <c r="Q72" s="628"/>
      <c r="R72" s="2562"/>
      <c r="S72" s="270"/>
      <c r="T72" s="270"/>
      <c r="U72" s="270"/>
      <c r="V72" s="270"/>
      <c r="W72" s="3227"/>
      <c r="X72" s="1450"/>
      <c r="Y72" s="1766"/>
      <c r="Z72" s="3234"/>
      <c r="AA72" s="1766"/>
      <c r="AB72" s="3234"/>
      <c r="AC72" s="1766"/>
      <c r="AD72" s="3234"/>
      <c r="AE72" s="1766"/>
      <c r="AF72" s="3235"/>
      <c r="AG72" s="1766"/>
      <c r="AH72" s="1766"/>
      <c r="AI72" s="1766"/>
      <c r="AJ72" s="1766"/>
      <c r="AK72" s="1766"/>
      <c r="AL72" s="3169"/>
      <c r="AM72" s="3169"/>
      <c r="AN72" s="3169"/>
      <c r="AO72" s="3169"/>
      <c r="AP72" s="3169"/>
      <c r="AQ72" s="3169"/>
      <c r="AR72" s="3169"/>
      <c r="AS72" s="3169"/>
    </row>
    <row r="73" spans="1:45" ht="12" customHeight="1">
      <c r="A73" s="82"/>
      <c r="B73" s="162"/>
      <c r="C73" s="403" t="s">
        <v>3347</v>
      </c>
      <c r="D73" s="185"/>
      <c r="E73" s="237"/>
      <c r="F73" s="237"/>
      <c r="G73" s="238"/>
      <c r="H73" s="238"/>
      <c r="I73" s="238"/>
      <c r="J73" s="238"/>
      <c r="K73" s="238"/>
      <c r="L73" s="232"/>
      <c r="M73" s="555"/>
      <c r="N73" s="717"/>
      <c r="O73" s="1450"/>
      <c r="P73" s="3548"/>
      <c r="Q73" s="628"/>
      <c r="R73" s="1450"/>
      <c r="S73" s="270"/>
      <c r="T73" s="270"/>
      <c r="U73" s="270"/>
      <c r="V73" s="270"/>
      <c r="W73" s="3227"/>
      <c r="X73" s="1450"/>
      <c r="Y73" s="1766"/>
      <c r="Z73" s="3234"/>
      <c r="AA73" s="1766"/>
      <c r="AB73" s="3234"/>
      <c r="AC73" s="1766"/>
      <c r="AD73" s="3234"/>
      <c r="AE73" s="1766"/>
      <c r="AF73" s="3235"/>
      <c r="AG73" s="1766"/>
      <c r="AH73" s="1766"/>
      <c r="AI73" s="1766"/>
      <c r="AJ73" s="1766"/>
      <c r="AK73" s="1766"/>
    </row>
    <row r="74" spans="1:45" s="661" customFormat="1" ht="12" customHeight="1" thickBot="1">
      <c r="A74" s="704"/>
      <c r="B74" s="4576"/>
      <c r="C74" s="4593" t="s">
        <v>4155</v>
      </c>
      <c r="D74" s="4577"/>
      <c r="E74" s="4575"/>
      <c r="F74" s="4575"/>
      <c r="G74" s="4578"/>
      <c r="H74" s="4576"/>
      <c r="I74" s="4576"/>
      <c r="J74" s="4576"/>
      <c r="K74" s="2899"/>
      <c r="L74" s="4579">
        <f>B72</f>
        <v>21</v>
      </c>
      <c r="M74" s="4580">
        <f>IF(Q74&lt;&gt;"",ROUND(Q74,0),M71*M72)</f>
        <v>0</v>
      </c>
      <c r="N74" s="4581"/>
      <c r="O74" s="2693"/>
      <c r="P74" s="4582"/>
      <c r="Q74" s="4583"/>
      <c r="R74" s="2693"/>
      <c r="S74" s="4525"/>
      <c r="T74" s="4525"/>
      <c r="U74" s="4525"/>
      <c r="V74" s="4525"/>
      <c r="W74" s="4584"/>
      <c r="X74" s="2693"/>
      <c r="Y74" s="2767"/>
      <c r="Z74" s="4585"/>
      <c r="AA74" s="2767"/>
      <c r="AB74" s="4585"/>
      <c r="AC74" s="2767"/>
      <c r="AD74" s="4585"/>
      <c r="AE74" s="2767"/>
      <c r="AF74" s="4586"/>
      <c r="AG74" s="2767"/>
      <c r="AH74" s="2767"/>
      <c r="AI74" s="2767"/>
      <c r="AJ74" s="2767"/>
      <c r="AK74" s="2767"/>
      <c r="AL74" s="3176"/>
      <c r="AM74" s="3176"/>
      <c r="AN74" s="3176"/>
      <c r="AO74" s="3176"/>
      <c r="AP74" s="3176"/>
      <c r="AQ74" s="3176"/>
      <c r="AR74" s="3176"/>
      <c r="AS74" s="3176"/>
    </row>
    <row r="75" spans="1:45" s="244" customFormat="1" ht="15" customHeight="1">
      <c r="A75" s="82"/>
      <c r="B75" s="166"/>
      <c r="C75" s="272"/>
      <c r="D75" s="272"/>
      <c r="E75" s="272"/>
      <c r="F75" s="272"/>
      <c r="G75" s="605"/>
      <c r="H75" s="606"/>
      <c r="I75" s="605"/>
      <c r="J75" s="743"/>
      <c r="K75" s="605"/>
      <c r="L75" s="607" t="s">
        <v>2411</v>
      </c>
      <c r="M75" s="1100" t="str">
        <f>"  ("&amp;TaxYear&amp;")"</f>
        <v xml:space="preserve">  (2018)</v>
      </c>
      <c r="N75" s="723"/>
      <c r="O75" s="1450"/>
      <c r="P75" s="3547"/>
      <c r="Q75" s="603"/>
      <c r="R75" s="1450"/>
      <c r="S75" s="270"/>
      <c r="T75" s="270"/>
      <c r="U75" s="270"/>
      <c r="V75" s="270"/>
      <c r="W75" s="3229"/>
      <c r="X75" s="3233"/>
      <c r="Y75" s="1766"/>
      <c r="Z75" s="3234"/>
      <c r="AA75" s="1766"/>
      <c r="AB75" s="3234"/>
      <c r="AC75" s="1766"/>
      <c r="AD75" s="3234"/>
      <c r="AE75" s="1766"/>
      <c r="AF75" s="3235"/>
      <c r="AG75" s="1766"/>
      <c r="AH75" s="1766"/>
      <c r="AI75" s="1766"/>
      <c r="AJ75" s="1766"/>
      <c r="AK75" s="1766"/>
      <c r="AL75" s="3169"/>
      <c r="AM75" s="3169"/>
      <c r="AN75" s="3169"/>
      <c r="AO75" s="3169"/>
      <c r="AP75" s="3169"/>
      <c r="AQ75" s="3169"/>
      <c r="AR75" s="3169"/>
      <c r="AS75" s="3169"/>
    </row>
    <row r="76" spans="1:45" ht="9" customHeight="1">
      <c r="A76" s="1045"/>
      <c r="B76" s="2907"/>
      <c r="C76" s="2908"/>
      <c r="D76" s="2908"/>
      <c r="E76" s="2908"/>
      <c r="F76" s="2908"/>
      <c r="G76" s="2909"/>
      <c r="H76" s="2908"/>
      <c r="I76" s="2908"/>
      <c r="J76" s="2908"/>
      <c r="K76" s="2908"/>
      <c r="L76" s="2908"/>
      <c r="M76" s="2908"/>
      <c r="N76" s="635"/>
      <c r="O76" s="1408"/>
      <c r="P76" s="3549"/>
      <c r="Q76" s="1408"/>
      <c r="S76" s="270"/>
      <c r="T76" s="270"/>
      <c r="U76" s="270"/>
      <c r="V76" s="270"/>
      <c r="W76" s="3230"/>
      <c r="X76" s="3233"/>
      <c r="Y76" s="1766"/>
      <c r="Z76" s="3234"/>
      <c r="AA76" s="1766"/>
      <c r="AB76" s="3234"/>
      <c r="AC76" s="1766"/>
      <c r="AD76" s="3234"/>
      <c r="AE76" s="1766"/>
      <c r="AF76" s="3235"/>
      <c r="AG76" s="1766"/>
      <c r="AH76" s="1766"/>
      <c r="AI76" s="1766"/>
      <c r="AJ76" s="1766"/>
      <c r="AK76" s="1766"/>
    </row>
    <row r="77" spans="1:45" ht="15.75">
      <c r="A77" s="82"/>
      <c r="B77" s="24"/>
      <c r="C77" s="24"/>
      <c r="D77" s="101"/>
      <c r="E77" s="24"/>
      <c r="F77" s="24"/>
      <c r="G77" s="24"/>
      <c r="H77" s="24"/>
      <c r="I77" s="24"/>
      <c r="J77" s="24"/>
      <c r="K77" s="24"/>
      <c r="L77" s="7637" t="s">
        <v>94</v>
      </c>
      <c r="M77" s="7573"/>
      <c r="N77" s="635"/>
      <c r="O77" s="1408"/>
      <c r="P77" s="3459"/>
      <c r="Q77" s="1408"/>
      <c r="W77" s="3230"/>
      <c r="X77" s="3236"/>
      <c r="Y77" s="1766"/>
      <c r="Z77" s="3234"/>
      <c r="AA77" s="1766"/>
      <c r="AB77" s="3234"/>
      <c r="AC77" s="1766"/>
      <c r="AD77" s="3234"/>
      <c r="AE77" s="1766"/>
      <c r="AF77" s="3235"/>
      <c r="AG77" s="1766"/>
      <c r="AH77" s="1766"/>
      <c r="AI77" s="1766"/>
      <c r="AJ77" s="1766"/>
      <c r="AK77" s="1766"/>
    </row>
    <row r="78" spans="1:45" ht="20.25" customHeight="1">
      <c r="A78" s="82"/>
      <c r="B78" s="7916" t="s">
        <v>331</v>
      </c>
      <c r="C78" s="7917">
        <v>8889</v>
      </c>
      <c r="D78" s="7918"/>
      <c r="E78" s="7650" t="s">
        <v>2382</v>
      </c>
      <c r="F78" s="5697"/>
      <c r="G78" s="5697"/>
      <c r="H78" s="5697"/>
      <c r="I78" s="5697"/>
      <c r="J78" s="5697"/>
      <c r="K78" s="5698"/>
      <c r="L78" s="6437">
        <f>TaxYear</f>
        <v>2018</v>
      </c>
      <c r="M78" s="7921"/>
      <c r="N78" s="713"/>
      <c r="O78" s="1876"/>
      <c r="P78" s="260"/>
      <c r="Q78" s="25" t="s">
        <v>100</v>
      </c>
      <c r="R78" s="1876"/>
      <c r="W78" s="3231"/>
      <c r="X78" s="1592"/>
      <c r="Y78" s="1766"/>
      <c r="Z78" s="3234"/>
      <c r="AA78" s="1766"/>
      <c r="AB78" s="3234"/>
      <c r="AC78" s="1766"/>
      <c r="AD78" s="3234"/>
      <c r="AE78" s="1766"/>
      <c r="AF78" s="3235"/>
      <c r="AG78" s="1766"/>
      <c r="AH78" s="1766"/>
      <c r="AI78" s="1766"/>
      <c r="AJ78" s="1766"/>
      <c r="AK78" s="1766"/>
    </row>
    <row r="79" spans="1:45" ht="14.25" customHeight="1">
      <c r="A79" s="82"/>
      <c r="B79" s="6052"/>
      <c r="C79" s="7919"/>
      <c r="D79" s="7920"/>
      <c r="E79" s="5876"/>
      <c r="F79" s="7914"/>
      <c r="G79" s="7914"/>
      <c r="H79" s="7914"/>
      <c r="I79" s="7914"/>
      <c r="J79" s="7914"/>
      <c r="K79" s="7915"/>
      <c r="L79" s="7922"/>
      <c r="M79" s="7923"/>
      <c r="N79" s="714"/>
      <c r="O79" s="1592"/>
      <c r="P79" s="172"/>
      <c r="Q79" s="25" t="s">
        <v>468</v>
      </c>
      <c r="R79" s="1592"/>
      <c r="S79" s="3241"/>
      <c r="T79" s="3241"/>
      <c r="U79" s="3241"/>
      <c r="V79" s="3241"/>
      <c r="W79" s="3231"/>
      <c r="X79" s="3237"/>
      <c r="Y79" s="1766"/>
      <c r="Z79" s="3234"/>
      <c r="AA79" s="1766"/>
      <c r="AB79" s="3234"/>
      <c r="AC79" s="1766"/>
      <c r="AD79" s="3234"/>
      <c r="AE79" s="1766"/>
      <c r="AF79" s="3235"/>
      <c r="AG79" s="1766"/>
      <c r="AH79" s="1766"/>
      <c r="AI79" s="1766"/>
      <c r="AJ79" s="1766"/>
      <c r="AK79" s="1766"/>
    </row>
    <row r="80" spans="1:45" ht="12.75" customHeight="1">
      <c r="A80" s="82"/>
      <c r="B80" s="7464" t="s">
        <v>202</v>
      </c>
      <c r="C80" s="5843"/>
      <c r="D80" s="5769"/>
      <c r="E80" s="5876" t="s">
        <v>494</v>
      </c>
      <c r="F80" s="7914"/>
      <c r="G80" s="7914"/>
      <c r="H80" s="7914"/>
      <c r="I80" s="7914"/>
      <c r="J80" s="7914"/>
      <c r="K80" s="7915"/>
      <c r="L80" s="7463" t="s">
        <v>343</v>
      </c>
      <c r="M80" s="5768"/>
      <c r="N80" s="713"/>
      <c r="O80" s="1592"/>
      <c r="P80" s="260"/>
      <c r="Q80" s="733"/>
      <c r="R80" s="1592"/>
      <c r="S80" s="3242"/>
      <c r="T80" s="3242"/>
      <c r="U80" s="3242"/>
      <c r="V80" s="3242"/>
      <c r="W80" s="3231"/>
      <c r="X80" s="3237"/>
      <c r="Y80" s="1766"/>
      <c r="Z80" s="3234"/>
      <c r="AA80" s="1766"/>
      <c r="AB80" s="3234"/>
      <c r="AC80" s="1766"/>
      <c r="AD80" s="3234"/>
      <c r="AE80" s="1766"/>
      <c r="AF80" s="3235"/>
      <c r="AG80" s="1766"/>
      <c r="AH80" s="1766"/>
      <c r="AI80" s="1766"/>
      <c r="AJ80" s="1766"/>
      <c r="AK80" s="1766"/>
    </row>
    <row r="81" spans="1:45" ht="12.75" customHeight="1" thickBot="1">
      <c r="A81" s="82"/>
      <c r="B81" s="7895" t="s">
        <v>450</v>
      </c>
      <c r="C81" s="7896"/>
      <c r="D81" s="7897"/>
      <c r="E81" s="7898" t="s">
        <v>2559</v>
      </c>
      <c r="F81" s="7899"/>
      <c r="G81" s="7899"/>
      <c r="H81" s="7899"/>
      <c r="I81" s="7899"/>
      <c r="J81" s="7899"/>
      <c r="K81" s="7900"/>
      <c r="L81" s="7901" t="s">
        <v>4147</v>
      </c>
      <c r="M81" s="7902"/>
      <c r="N81" s="714"/>
      <c r="O81" s="1876"/>
      <c r="P81" s="172"/>
      <c r="Q81" s="733"/>
      <c r="R81" s="1876"/>
      <c r="S81" s="3243"/>
      <c r="T81" s="3243"/>
      <c r="U81" s="3243"/>
      <c r="V81" s="3243"/>
      <c r="W81" s="2561"/>
      <c r="X81" s="3238"/>
      <c r="Y81" s="1766"/>
      <c r="Z81" s="3234"/>
      <c r="AA81" s="1766"/>
      <c r="AB81" s="3234"/>
      <c r="AC81" s="1766"/>
      <c r="AD81" s="3234"/>
      <c r="AE81" s="1766"/>
      <c r="AF81" s="3235"/>
      <c r="AG81" s="1766"/>
      <c r="AH81" s="1766"/>
      <c r="AI81" s="1766"/>
      <c r="AJ81" s="1766"/>
      <c r="AK81" s="1766"/>
    </row>
    <row r="82" spans="1:45" ht="15" customHeight="1">
      <c r="A82" s="82"/>
      <c r="B82" s="21" t="s">
        <v>495</v>
      </c>
      <c r="C82" s="168"/>
      <c r="D82" s="168"/>
      <c r="E82" s="141"/>
      <c r="F82" s="142"/>
      <c r="G82" s="151"/>
      <c r="H82" s="142"/>
      <c r="I82" s="142"/>
      <c r="J82" s="7903" t="s">
        <v>2383</v>
      </c>
      <c r="K82" s="7904"/>
      <c r="L82" s="7907">
        <f>IF(NoSSN,"",IF(AND($Q$7,$O$10),SS_Spouse,""))</f>
        <v>0</v>
      </c>
      <c r="M82" s="5511"/>
      <c r="N82" s="713"/>
      <c r="O82" s="1876"/>
      <c r="P82" s="260"/>
      <c r="Q82" s="733"/>
      <c r="R82" s="1876"/>
      <c r="S82" s="3243"/>
      <c r="T82" s="3243"/>
      <c r="U82" s="3243"/>
      <c r="V82" s="3243"/>
      <c r="W82" s="2561"/>
      <c r="X82" s="7880" t="s">
        <v>2569</v>
      </c>
      <c r="Y82" s="7881"/>
      <c r="Z82" s="7881"/>
      <c r="AA82" s="7881"/>
      <c r="AB82" s="7881"/>
      <c r="AC82" s="7881"/>
      <c r="AD82" s="7881"/>
      <c r="AE82" s="7881"/>
      <c r="AF82" s="7881"/>
      <c r="AG82" s="7882"/>
      <c r="AH82" s="4554"/>
      <c r="AI82" s="1766"/>
      <c r="AJ82" s="1766"/>
      <c r="AK82" s="1766"/>
    </row>
    <row r="83" spans="1:45" ht="15" customHeight="1">
      <c r="A83" s="82"/>
      <c r="B83" s="7609" t="str">
        <f>IF(AND($Q$7,$O$10),NameSpouse,"")</f>
        <v xml:space="preserve"> </v>
      </c>
      <c r="C83" s="5372"/>
      <c r="D83" s="5372"/>
      <c r="E83" s="5372"/>
      <c r="F83" s="5372"/>
      <c r="G83" s="5372"/>
      <c r="H83" s="5372"/>
      <c r="I83" s="5372"/>
      <c r="J83" s="7905"/>
      <c r="K83" s="7906"/>
      <c r="L83" s="5372"/>
      <c r="M83" s="5372"/>
      <c r="N83" s="714"/>
      <c r="O83" s="1876"/>
      <c r="P83" s="172"/>
      <c r="Q83" s="733"/>
      <c r="R83" s="1876"/>
      <c r="S83" s="12"/>
      <c r="T83" s="12"/>
      <c r="U83" s="12"/>
      <c r="V83" s="12"/>
      <c r="W83" s="2561"/>
      <c r="X83" s="3217"/>
      <c r="Y83" s="1607"/>
      <c r="Z83" s="7886" t="s">
        <v>2563</v>
      </c>
      <c r="AA83" s="1607"/>
      <c r="AB83" s="7886" t="s">
        <v>2562</v>
      </c>
      <c r="AC83" s="1607"/>
      <c r="AD83" s="7886" t="s">
        <v>4099</v>
      </c>
      <c r="AE83" s="1607"/>
      <c r="AF83" s="3223"/>
      <c r="AG83" s="3224"/>
      <c r="AH83" s="1607"/>
      <c r="AI83" s="1766"/>
      <c r="AJ83" s="1766"/>
      <c r="AK83" s="1766"/>
    </row>
    <row r="84" spans="1:45" ht="24.75" customHeight="1">
      <c r="A84" s="82"/>
      <c r="B84" s="2705" t="s">
        <v>4156</v>
      </c>
      <c r="C84" s="2112"/>
      <c r="D84" s="2112"/>
      <c r="E84" s="2112"/>
      <c r="F84" s="2112"/>
      <c r="G84" s="2112"/>
      <c r="H84" s="2112"/>
      <c r="I84" s="2112"/>
      <c r="J84" s="2876"/>
      <c r="K84" s="2876"/>
      <c r="L84" s="2112"/>
      <c r="M84" s="2112"/>
      <c r="N84" s="714"/>
      <c r="O84" s="1876"/>
      <c r="P84" s="172"/>
      <c r="Q84" s="733"/>
      <c r="R84" s="1876"/>
      <c r="S84" s="12"/>
      <c r="T84" s="12"/>
      <c r="U84" s="12"/>
      <c r="V84" s="12"/>
      <c r="W84" s="2562"/>
      <c r="X84" s="3218"/>
      <c r="Y84" s="1607"/>
      <c r="Z84" s="7887"/>
      <c r="AA84" s="1607"/>
      <c r="AB84" s="7887"/>
      <c r="AC84" s="1607"/>
      <c r="AD84" s="7887"/>
      <c r="AE84" s="1607"/>
      <c r="AF84" s="3223"/>
      <c r="AG84" s="3224"/>
      <c r="AH84" s="1607"/>
      <c r="AI84" s="1766"/>
      <c r="AJ84" s="1766"/>
      <c r="AK84" s="1766"/>
    </row>
    <row r="85" spans="1:45">
      <c r="A85" s="82"/>
      <c r="B85" s="746" t="s">
        <v>369</v>
      </c>
      <c r="C85" s="7893" t="s">
        <v>2399</v>
      </c>
      <c r="D85" s="7893"/>
      <c r="E85" s="7894"/>
      <c r="F85" s="7894"/>
      <c r="G85" s="7894"/>
      <c r="H85" s="7894"/>
      <c r="I85" s="7894"/>
      <c r="J85" s="7894"/>
      <c r="K85" s="7894"/>
      <c r="L85" s="7894"/>
      <c r="M85" s="7894"/>
      <c r="N85" s="715"/>
      <c r="O85" s="1876"/>
      <c r="P85" s="616"/>
      <c r="Q85" s="733"/>
      <c r="R85" s="1876"/>
      <c r="S85" s="12"/>
      <c r="T85" s="12"/>
      <c r="U85" s="12"/>
      <c r="V85" s="12"/>
      <c r="W85" s="2562"/>
      <c r="X85" s="3218"/>
      <c r="Y85" s="1607"/>
      <c r="Z85" s="7887"/>
      <c r="AA85" s="1607"/>
      <c r="AB85" s="7887"/>
      <c r="AC85" s="1607"/>
      <c r="AD85" s="7887"/>
      <c r="AE85" s="1607"/>
      <c r="AF85" s="3223"/>
      <c r="AG85" s="3224"/>
      <c r="AH85" s="1607"/>
      <c r="AI85" s="1766"/>
      <c r="AJ85" s="1766"/>
      <c r="AK85" s="1766"/>
    </row>
    <row r="86" spans="1:45" ht="12" customHeight="1">
      <c r="A86" s="82"/>
      <c r="B86" s="2877"/>
      <c r="C86" s="7909" t="s">
        <v>2384</v>
      </c>
      <c r="D86" s="7909"/>
      <c r="E86" s="7910"/>
      <c r="F86" s="7910"/>
      <c r="G86" s="7910"/>
      <c r="H86" s="7910"/>
      <c r="I86" s="7910"/>
      <c r="J86" s="7910"/>
      <c r="K86" s="7910"/>
      <c r="L86" s="7910"/>
      <c r="M86" s="7910"/>
      <c r="N86" s="715"/>
      <c r="O86" s="1876"/>
      <c r="P86" s="3550">
        <f>SUM(P88,P90)</f>
        <v>0</v>
      </c>
      <c r="Q86" s="4560" t="b">
        <f>(P86=1)</f>
        <v>0</v>
      </c>
      <c r="R86" s="1876"/>
      <c r="S86" s="3244"/>
      <c r="T86" s="3244"/>
      <c r="U86" s="3244"/>
      <c r="V86" s="3244"/>
      <c r="W86" s="2562"/>
      <c r="X86" s="3218"/>
      <c r="Y86" s="1607"/>
      <c r="Z86" s="7887"/>
      <c r="AA86" s="1607"/>
      <c r="AB86" s="7887"/>
      <c r="AC86" s="1607"/>
      <c r="AD86" s="7887"/>
      <c r="AE86" s="1607"/>
      <c r="AF86" s="3223"/>
      <c r="AG86" s="3224"/>
      <c r="AH86" s="1607"/>
      <c r="AI86" s="1766"/>
      <c r="AJ86" s="1766"/>
      <c r="AK86" s="1766"/>
    </row>
    <row r="87" spans="1:45" ht="6" customHeight="1">
      <c r="A87" s="82"/>
      <c r="B87" s="2878"/>
      <c r="C87" s="2879"/>
      <c r="D87" s="2879"/>
      <c r="E87" s="2880"/>
      <c r="F87" s="2880"/>
      <c r="G87" s="2880"/>
      <c r="H87" s="2880"/>
      <c r="I87" s="2880"/>
      <c r="J87" s="2880"/>
      <c r="K87" s="2880"/>
      <c r="L87" s="2880"/>
      <c r="M87" s="2880"/>
      <c r="N87" s="715"/>
      <c r="O87" s="1876"/>
      <c r="P87" s="3457"/>
      <c r="Q87" s="733"/>
      <c r="R87" s="1876"/>
      <c r="S87" s="3244"/>
      <c r="T87" s="3244"/>
      <c r="U87" s="3244"/>
      <c r="V87" s="3244"/>
      <c r="W87" s="2562"/>
      <c r="X87" s="3219"/>
      <c r="Y87" s="1607"/>
      <c r="Z87" s="7887"/>
      <c r="AA87" s="1607"/>
      <c r="AB87" s="7887"/>
      <c r="AC87" s="1607"/>
      <c r="AD87" s="7887"/>
      <c r="AE87" s="1607"/>
      <c r="AF87" s="3223"/>
      <c r="AG87" s="3224"/>
      <c r="AH87" s="1607"/>
      <c r="AI87" s="1766"/>
      <c r="AJ87" s="1766"/>
      <c r="AK87" s="1766"/>
    </row>
    <row r="88" spans="1:45" s="1068" customFormat="1" ht="12" customHeight="1">
      <c r="A88" s="82"/>
      <c r="B88" s="161">
        <v>1</v>
      </c>
      <c r="C88" s="280" t="s">
        <v>2385</v>
      </c>
      <c r="D88" s="280"/>
      <c r="E88" s="237"/>
      <c r="F88" s="237"/>
      <c r="G88" s="238"/>
      <c r="H88" s="238"/>
      <c r="I88" s="238"/>
      <c r="J88" s="238"/>
      <c r="K88" s="162"/>
      <c r="L88" s="2883"/>
      <c r="M88" s="2881" t="s">
        <v>2386</v>
      </c>
      <c r="N88" s="716"/>
      <c r="O88" s="2562"/>
      <c r="P88" s="3551">
        <f>IF(L88&lt;&gt;"",1,0)</f>
        <v>0</v>
      </c>
      <c r="Q88" s="7877" t="str">
        <f>IF(P86=0,"Check one box.",IF(P86=2,"Check only one box.",""))</f>
        <v>Check one box.</v>
      </c>
      <c r="R88" s="2562"/>
      <c r="S88" s="3244"/>
      <c r="T88" s="3244"/>
      <c r="U88" s="3244"/>
      <c r="V88" s="3244"/>
      <c r="W88" s="2562"/>
      <c r="X88" s="3219"/>
      <c r="Y88" s="1607"/>
      <c r="Z88" s="7887"/>
      <c r="AA88" s="1607"/>
      <c r="AB88" s="7887"/>
      <c r="AC88" s="1607"/>
      <c r="AD88" s="7887"/>
      <c r="AE88" s="1607"/>
      <c r="AF88" s="3223"/>
      <c r="AG88" s="3224"/>
      <c r="AH88" s="1607"/>
      <c r="AI88" s="1763"/>
      <c r="AJ88" s="1763"/>
      <c r="AK88" s="1763"/>
      <c r="AL88" s="3169"/>
      <c r="AM88" s="3169"/>
      <c r="AN88" s="3169"/>
      <c r="AO88" s="3169"/>
      <c r="AP88" s="3169"/>
      <c r="AQ88" s="3169"/>
      <c r="AR88" s="3169"/>
      <c r="AS88" s="3169"/>
    </row>
    <row r="89" spans="1:45" s="1068" customFormat="1" ht="5.25" customHeight="1">
      <c r="A89" s="82"/>
      <c r="B89" s="161"/>
      <c r="C89" s="7913" t="str">
        <f>TaxYear&amp;" (see instructions)"</f>
        <v>2018 (see instructions)</v>
      </c>
      <c r="D89" s="6052"/>
      <c r="E89" s="6052"/>
      <c r="F89" s="2882"/>
      <c r="G89" s="2882"/>
      <c r="H89" s="2882"/>
      <c r="I89" s="2882"/>
      <c r="J89" s="2882"/>
      <c r="K89" s="2882"/>
      <c r="L89" s="161"/>
      <c r="M89" s="472"/>
      <c r="N89" s="716"/>
      <c r="O89" s="2562"/>
      <c r="P89" s="3551"/>
      <c r="Q89" s="7878"/>
      <c r="R89" s="2562"/>
      <c r="S89" s="270"/>
      <c r="T89" s="270"/>
      <c r="U89" s="270"/>
      <c r="V89" s="270"/>
      <c r="W89" s="2562"/>
      <c r="X89" s="3219"/>
      <c r="Y89" s="1607"/>
      <c r="Z89" s="7887"/>
      <c r="AA89" s="1607"/>
      <c r="AB89" s="7887"/>
      <c r="AC89" s="1607"/>
      <c r="AD89" s="7887"/>
      <c r="AE89" s="1607"/>
      <c r="AF89" s="3223"/>
      <c r="AG89" s="3224"/>
      <c r="AH89" s="1607"/>
      <c r="AI89" s="1763"/>
      <c r="AJ89" s="1763"/>
      <c r="AK89" s="1763"/>
      <c r="AL89" s="3169"/>
      <c r="AM89" s="3169"/>
      <c r="AN89" s="3169"/>
      <c r="AO89" s="3169"/>
      <c r="AP89" s="3169"/>
      <c r="AQ89" s="3169"/>
      <c r="AR89" s="3169"/>
      <c r="AS89" s="3169"/>
    </row>
    <row r="90" spans="1:45" s="1068" customFormat="1" ht="12" customHeight="1">
      <c r="A90" s="82"/>
      <c r="B90" s="161"/>
      <c r="C90" s="6052"/>
      <c r="D90" s="6052"/>
      <c r="E90" s="6052"/>
      <c r="F90" s="2882"/>
      <c r="G90" s="2882"/>
      <c r="H90" s="2882"/>
      <c r="I90" s="2882"/>
      <c r="J90" s="2882"/>
      <c r="K90" s="2899" t="s">
        <v>4157</v>
      </c>
      <c r="L90" s="2883"/>
      <c r="M90" s="2881" t="s">
        <v>2387</v>
      </c>
      <c r="N90" s="716"/>
      <c r="O90" s="2562"/>
      <c r="P90" s="3551">
        <f>IF(L90&lt;&gt;"",1,0)</f>
        <v>0</v>
      </c>
      <c r="Q90" s="7878"/>
      <c r="R90" s="2562"/>
      <c r="S90" s="270"/>
      <c r="T90" s="270"/>
      <c r="U90" s="270"/>
      <c r="V90" s="270"/>
      <c r="W90" s="2562"/>
      <c r="X90" s="3219"/>
      <c r="Y90" s="1607"/>
      <c r="Z90" s="7887"/>
      <c r="AA90" s="1607"/>
      <c r="AB90" s="7887"/>
      <c r="AC90" s="1607"/>
      <c r="AD90" s="7887"/>
      <c r="AE90" s="1607"/>
      <c r="AF90" s="3223"/>
      <c r="AG90" s="3224"/>
      <c r="AH90" s="1607"/>
      <c r="AI90" s="1763"/>
      <c r="AJ90" s="1763"/>
      <c r="AK90" s="1763"/>
      <c r="AL90" s="3169"/>
      <c r="AM90" s="3169"/>
      <c r="AN90" s="3169"/>
      <c r="AO90" s="3169"/>
      <c r="AP90" s="3169"/>
      <c r="AQ90" s="3169"/>
      <c r="AR90" s="3169"/>
      <c r="AS90" s="3169"/>
    </row>
    <row r="91" spans="1:45" s="1068" customFormat="1" ht="4.5" customHeight="1">
      <c r="A91" s="82"/>
      <c r="B91" s="161"/>
      <c r="C91" s="661"/>
      <c r="D91" s="661"/>
      <c r="E91" s="661"/>
      <c r="F91" s="2882"/>
      <c r="G91" s="2882"/>
      <c r="H91" s="2882"/>
      <c r="I91" s="2882"/>
      <c r="J91" s="2882"/>
      <c r="K91" s="1689"/>
      <c r="L91" s="2884"/>
      <c r="M91" s="2881"/>
      <c r="N91" s="716"/>
      <c r="O91" s="2562"/>
      <c r="P91" s="3547"/>
      <c r="Q91" s="628"/>
      <c r="R91" s="2562"/>
      <c r="S91" s="270"/>
      <c r="T91" s="270"/>
      <c r="U91" s="270"/>
      <c r="V91" s="270"/>
      <c r="W91" s="2562"/>
      <c r="X91" s="3219"/>
      <c r="Y91" s="1607"/>
      <c r="Z91" s="7887"/>
      <c r="AA91" s="1607"/>
      <c r="AB91" s="7887"/>
      <c r="AC91" s="1607"/>
      <c r="AD91" s="7887"/>
      <c r="AE91" s="1607"/>
      <c r="AF91" s="3223"/>
      <c r="AG91" s="3224"/>
      <c r="AH91" s="1607"/>
      <c r="AI91" s="1763"/>
      <c r="AJ91" s="1763"/>
      <c r="AK91" s="1763"/>
      <c r="AL91" s="3169"/>
      <c r="AM91" s="3169"/>
      <c r="AN91" s="3169"/>
      <c r="AO91" s="3169"/>
      <c r="AP91" s="3169"/>
      <c r="AQ91" s="3169"/>
      <c r="AR91" s="3169"/>
      <c r="AS91" s="3169"/>
    </row>
    <row r="92" spans="1:45" s="1068" customFormat="1" ht="12" customHeight="1">
      <c r="A92" s="82"/>
      <c r="B92" s="162">
        <v>2</v>
      </c>
      <c r="C92" s="280" t="str">
        <f>"HSA contributions you made for "&amp;TaxYear&amp;" (or those made on your behalf), including those made"</f>
        <v>HSA contributions you made for 2018 (or those made on your behalf), including those made</v>
      </c>
      <c r="D92" s="280"/>
      <c r="E92" s="237"/>
      <c r="F92" s="237"/>
      <c r="G92" s="238"/>
      <c r="H92" s="238"/>
      <c r="I92" s="238"/>
      <c r="J92" s="238"/>
      <c r="K92" s="162"/>
      <c r="L92" s="899"/>
      <c r="M92" s="1753"/>
      <c r="N92" s="716"/>
      <c r="O92" s="2562"/>
      <c r="P92" s="3547"/>
      <c r="Q92" s="628"/>
      <c r="R92" s="2562"/>
      <c r="S92" s="270" t="s">
        <v>2565</v>
      </c>
      <c r="T92" s="270"/>
      <c r="U92" s="270" t="s">
        <v>2564</v>
      </c>
      <c r="V92" s="270" t="s">
        <v>1882</v>
      </c>
      <c r="W92" s="2562"/>
      <c r="X92" s="3220"/>
      <c r="Y92" s="1607"/>
      <c r="Z92" s="7887"/>
      <c r="AA92" s="1607"/>
      <c r="AB92" s="7887"/>
      <c r="AC92" s="1607"/>
      <c r="AD92" s="7887"/>
      <c r="AE92" s="1607"/>
      <c r="AF92" s="3223"/>
      <c r="AG92" s="3224"/>
      <c r="AH92" s="1607"/>
      <c r="AI92" s="1766"/>
      <c r="AJ92" s="3234" t="s">
        <v>2143</v>
      </c>
      <c r="AK92" s="1763"/>
      <c r="AL92" s="3169"/>
      <c r="AM92" s="3169"/>
      <c r="AN92" s="3169"/>
      <c r="AO92" s="3169"/>
      <c r="AP92" s="3169"/>
      <c r="AQ92" s="3169"/>
      <c r="AR92" s="3169"/>
      <c r="AS92" s="3169"/>
    </row>
    <row r="93" spans="1:45" ht="12" customHeight="1">
      <c r="A93" s="82"/>
      <c r="B93" s="162"/>
      <c r="C93" s="280" t="str">
        <f>"from  January  1, "&amp;TaxYear+1&amp;",  through  "&amp;TEXT(TaxDay,"mmmm d, yyyy")&amp;",  that  were  for  "&amp;TaxYear&amp;"."</f>
        <v>from  January  1, 2019,  through  April 15, 2019,  that  were  for  2018.</v>
      </c>
      <c r="D93" s="185"/>
      <c r="E93" s="237"/>
      <c r="F93" s="237"/>
      <c r="G93" s="238"/>
      <c r="H93" s="280"/>
      <c r="I93" s="280" t="s">
        <v>2421</v>
      </c>
      <c r="J93" s="238"/>
      <c r="K93" s="238"/>
      <c r="L93" s="637"/>
      <c r="M93" s="555"/>
      <c r="N93" s="717"/>
      <c r="O93" s="1450"/>
      <c r="P93" s="3548"/>
      <c r="Q93" s="628"/>
      <c r="R93" s="1450"/>
      <c r="S93" s="270" t="s">
        <v>2566</v>
      </c>
      <c r="T93" s="3514" t="s">
        <v>868</v>
      </c>
      <c r="U93" s="2351">
        <v>3450</v>
      </c>
      <c r="V93" s="2351">
        <v>6900</v>
      </c>
      <c r="W93" s="2562"/>
      <c r="X93" s="3221">
        <f>TaxYear</f>
        <v>2018</v>
      </c>
      <c r="Y93" s="1607"/>
      <c r="Z93" s="7887"/>
      <c r="AA93" s="1607"/>
      <c r="AB93" s="7887"/>
      <c r="AC93" s="1607"/>
      <c r="AD93" s="7887"/>
      <c r="AE93" s="1607"/>
      <c r="AF93" s="3223"/>
      <c r="AG93" s="3224"/>
      <c r="AH93" s="1607"/>
      <c r="AI93" s="3234" t="s">
        <v>2564</v>
      </c>
      <c r="AJ93" s="3234" t="s">
        <v>1882</v>
      </c>
      <c r="AK93" s="1766"/>
    </row>
    <row r="94" spans="1:45" ht="12" customHeight="1">
      <c r="A94" s="82"/>
      <c r="B94" s="162"/>
      <c r="C94" s="280" t="s">
        <v>2388</v>
      </c>
      <c r="D94" s="185"/>
      <c r="E94" s="237"/>
      <c r="F94" s="237"/>
      <c r="G94" s="238"/>
      <c r="H94" s="162"/>
      <c r="I94" s="162"/>
      <c r="J94" s="162"/>
      <c r="K94" s="161" t="s">
        <v>682</v>
      </c>
      <c r="L94" s="343">
        <f>B92</f>
        <v>2</v>
      </c>
      <c r="M94" s="1726"/>
      <c r="N94" s="717"/>
      <c r="O94" s="1450"/>
      <c r="P94" s="3548"/>
      <c r="Q94" s="628"/>
      <c r="R94" s="1450"/>
      <c r="S94" s="270" t="s">
        <v>2567</v>
      </c>
      <c r="T94" s="3514" t="s">
        <v>2866</v>
      </c>
      <c r="U94" s="2351">
        <v>4450</v>
      </c>
      <c r="V94" s="2351">
        <v>7900</v>
      </c>
      <c r="W94" s="2562"/>
      <c r="X94" s="3222" t="s">
        <v>1370</v>
      </c>
      <c r="Y94" s="1607"/>
      <c r="Z94" s="3226" t="s">
        <v>2561</v>
      </c>
      <c r="AA94" s="1607"/>
      <c r="AB94" s="3226" t="s">
        <v>2571</v>
      </c>
      <c r="AC94" s="1607"/>
      <c r="AD94" s="3226" t="str">
        <f>IF(L90&lt;&gt;"","F","S")</f>
        <v>S</v>
      </c>
      <c r="AE94" s="1607"/>
      <c r="AF94" s="3223">
        <f>IF(OR(Z94="Y",Z94="y"),0,IF(OR(AB94="N",AB94="n"),0,IF(AND(OR(AD94="F",AD94="f")),$V$96,$U$96)))</f>
        <v>4450</v>
      </c>
      <c r="AG94" s="3224"/>
      <c r="AH94" s="1607"/>
      <c r="AI94" s="1763">
        <f t="shared" ref="AI94:AI105" si="12">IF(AD94="S",1,0)</f>
        <v>1</v>
      </c>
      <c r="AJ94" s="1763">
        <f t="shared" ref="AJ94:AJ105" si="13">IF(AND(OR(AB94="y",AB94="Y"),OR(AD94="f",AD94="F")),1,0)</f>
        <v>0</v>
      </c>
      <c r="AK94" s="1766"/>
    </row>
    <row r="95" spans="1:45" s="1068" customFormat="1" ht="12" customHeight="1">
      <c r="A95" s="82"/>
      <c r="B95" s="162">
        <v>3</v>
      </c>
      <c r="C95" s="280" t="str">
        <f>"If  you  were under  age "&amp;P95&amp;" at the  end of  "&amp;TaxYear&amp;", and  on  the first day of"</f>
        <v>If  you  were under  age 55 at the  end of  2018, and  on  the first day of</v>
      </c>
      <c r="D95" s="280"/>
      <c r="E95" s="237"/>
      <c r="F95" s="237"/>
      <c r="G95" s="238"/>
      <c r="H95" s="2896"/>
      <c r="I95" s="2896" t="s">
        <v>2422</v>
      </c>
      <c r="J95" s="615" t="str">
        <f>"month during "&amp;TaxYear</f>
        <v>month during 2018</v>
      </c>
      <c r="K95" s="280"/>
      <c r="L95" s="2886"/>
      <c r="M95" s="2893"/>
      <c r="N95" s="716"/>
      <c r="O95" s="2562"/>
      <c r="P95" s="3305">
        <f>P22</f>
        <v>55</v>
      </c>
      <c r="Q95" s="628"/>
      <c r="R95" s="2562"/>
      <c r="S95" s="270" t="s">
        <v>2567</v>
      </c>
      <c r="T95" s="270" t="s">
        <v>2865</v>
      </c>
      <c r="U95" s="2351">
        <v>4450</v>
      </c>
      <c r="V95" s="2351">
        <f>V24</f>
        <v>6900</v>
      </c>
      <c r="W95" s="2562"/>
      <c r="X95" s="3222" t="s">
        <v>1371</v>
      </c>
      <c r="Y95" s="1607"/>
      <c r="Z95" s="3226" t="str">
        <f>Z94</f>
        <v>N</v>
      </c>
      <c r="AA95" s="1607"/>
      <c r="AB95" s="3226" t="str">
        <f>AB94</f>
        <v>Y</v>
      </c>
      <c r="AC95" s="1607"/>
      <c r="AD95" s="3226" t="str">
        <f>AD94</f>
        <v>S</v>
      </c>
      <c r="AE95" s="1607"/>
      <c r="AF95" s="3223">
        <f t="shared" ref="AF95:AF105" si="14">IF(OR(Z95="Y",Z95="y"),0,IF(OR(AB95="N",AB95="n"),0,IF(AND(OR(AD95="F",AD95="f")),$V$96,$U$96)))</f>
        <v>4450</v>
      </c>
      <c r="AG95" s="3224"/>
      <c r="AH95" s="1607"/>
      <c r="AI95" s="1763">
        <f t="shared" si="12"/>
        <v>1</v>
      </c>
      <c r="AJ95" s="1763">
        <f t="shared" si="13"/>
        <v>0</v>
      </c>
      <c r="AK95" s="1763"/>
      <c r="AL95" s="3169"/>
      <c r="AM95" s="3169"/>
      <c r="AN95" s="3169"/>
      <c r="AO95" s="3169"/>
      <c r="AP95" s="3169"/>
      <c r="AQ95" s="3169"/>
      <c r="AR95" s="3169"/>
      <c r="AS95" s="3169"/>
    </row>
    <row r="96" spans="1:45" ht="12" customHeight="1">
      <c r="A96" s="82"/>
      <c r="B96" s="162"/>
      <c r="C96" s="280" t="s">
        <v>3338</v>
      </c>
      <c r="D96" s="185"/>
      <c r="E96" s="237"/>
      <c r="F96" s="237"/>
      <c r="G96" s="238"/>
      <c r="H96" s="238"/>
      <c r="I96" s="238"/>
      <c r="J96" s="280"/>
      <c r="K96" s="280" t="str">
        <f>"enter "&amp;TEXT($U$22,"$0,000")</f>
        <v>enter $3,450</v>
      </c>
      <c r="L96" s="637"/>
      <c r="M96" s="2894"/>
      <c r="N96" s="717"/>
      <c r="O96" s="1450"/>
      <c r="P96" s="3548"/>
      <c r="Q96" s="628"/>
      <c r="R96" s="1450"/>
      <c r="S96" s="4520" t="str">
        <f>SpouseAge</f>
        <v>?</v>
      </c>
      <c r="T96" s="4521" t="str">
        <f>IF($S$96&lt;$P$95,T93,IF($AI$108,T94,T95))</f>
        <v>Single*</v>
      </c>
      <c r="U96" s="4521">
        <f>IF($S$96&lt;$P$95,U93,IF($AI$108,U94,U95))</f>
        <v>4450</v>
      </c>
      <c r="V96" s="4521">
        <f>IF($S$96&lt;$P$95,V93,IF($AI$108,V94,V95))</f>
        <v>7900</v>
      </c>
      <c r="W96" s="2562"/>
      <c r="X96" s="3222" t="s">
        <v>1372</v>
      </c>
      <c r="Y96" s="1607"/>
      <c r="Z96" s="3226" t="str">
        <f t="shared" ref="Z96:Z105" si="15">Z95</f>
        <v>N</v>
      </c>
      <c r="AA96" s="1607"/>
      <c r="AB96" s="3226" t="str">
        <f t="shared" ref="AB96:AB105" si="16">AB95</f>
        <v>Y</v>
      </c>
      <c r="AC96" s="1607"/>
      <c r="AD96" s="3226" t="str">
        <f t="shared" ref="AD96:AD105" si="17">AD95</f>
        <v>S</v>
      </c>
      <c r="AE96" s="1607"/>
      <c r="AF96" s="3223">
        <f t="shared" si="14"/>
        <v>4450</v>
      </c>
      <c r="AG96" s="3224"/>
      <c r="AH96" s="1607"/>
      <c r="AI96" s="1763">
        <f t="shared" si="12"/>
        <v>1</v>
      </c>
      <c r="AJ96" s="1763">
        <f t="shared" si="13"/>
        <v>0</v>
      </c>
      <c r="AK96" s="1766"/>
    </row>
    <row r="97" spans="1:45" ht="12" customHeight="1">
      <c r="A97" s="82"/>
      <c r="B97" s="162"/>
      <c r="C97" s="280" t="str">
        <f>"("&amp;TEXT($V$22,"$0,000")&amp;" for family coverage)."</f>
        <v>($6,900 for family coverage).</v>
      </c>
      <c r="D97" s="185"/>
      <c r="E97" s="237"/>
      <c r="F97" s="280" t="s">
        <v>2423</v>
      </c>
      <c r="G97" s="238"/>
      <c r="H97" s="162"/>
      <c r="I97" s="162"/>
      <c r="J97" s="162"/>
      <c r="K97" s="161" t="s">
        <v>682</v>
      </c>
      <c r="L97" s="343">
        <f>B95</f>
        <v>3</v>
      </c>
      <c r="M97" s="3056" t="str">
        <f>IF(Q97&lt;&gt;"",ROUND(Q97,0),IF(OR(NOT(Q86),M94=""),"",AF107))</f>
        <v/>
      </c>
      <c r="N97" s="717"/>
      <c r="O97" s="1450"/>
      <c r="P97" s="3548"/>
      <c r="Q97" s="470"/>
      <c r="R97" s="1450"/>
      <c r="S97" s="734" t="s">
        <v>2867</v>
      </c>
      <c r="T97" s="270"/>
      <c r="U97" s="270"/>
      <c r="V97" s="270"/>
      <c r="W97" s="2562"/>
      <c r="X97" s="3222" t="s">
        <v>1373</v>
      </c>
      <c r="Y97" s="1607"/>
      <c r="Z97" s="3226" t="str">
        <f t="shared" si="15"/>
        <v>N</v>
      </c>
      <c r="AA97" s="1607"/>
      <c r="AB97" s="3226" t="str">
        <f t="shared" si="16"/>
        <v>Y</v>
      </c>
      <c r="AC97" s="1607"/>
      <c r="AD97" s="3226" t="str">
        <f t="shared" si="17"/>
        <v>S</v>
      </c>
      <c r="AE97" s="1607"/>
      <c r="AF97" s="3223">
        <f t="shared" si="14"/>
        <v>4450</v>
      </c>
      <c r="AG97" s="3224"/>
      <c r="AH97" s="1607"/>
      <c r="AI97" s="1763">
        <f t="shared" si="12"/>
        <v>1</v>
      </c>
      <c r="AJ97" s="1763">
        <f t="shared" si="13"/>
        <v>0</v>
      </c>
      <c r="AK97" s="1766"/>
    </row>
    <row r="98" spans="1:45" s="1068" customFormat="1" ht="12" customHeight="1">
      <c r="A98" s="82"/>
      <c r="B98" s="162">
        <v>4</v>
      </c>
      <c r="C98" s="280" t="str">
        <f>"Enter the amount you and your employer contributed to your Archer MSAs for "&amp;TaxYear&amp;" from Form"</f>
        <v>Enter the amount you and your employer contributed to your Archer MSAs for 2018 from Form</v>
      </c>
      <c r="D98" s="280"/>
      <c r="E98" s="237"/>
      <c r="F98" s="237"/>
      <c r="G98" s="238"/>
      <c r="H98" s="238"/>
      <c r="I98" s="238"/>
      <c r="J98" s="238"/>
      <c r="K98" s="162"/>
      <c r="L98" s="2886"/>
      <c r="M98" s="1753"/>
      <c r="N98" s="716"/>
      <c r="O98" s="2562"/>
      <c r="P98" s="3547"/>
      <c r="Q98" s="628"/>
      <c r="R98" s="2562"/>
      <c r="S98" s="270"/>
      <c r="T98" s="270"/>
      <c r="U98" s="270"/>
      <c r="V98" s="270"/>
      <c r="W98" s="2562"/>
      <c r="X98" s="3222" t="s">
        <v>1375</v>
      </c>
      <c r="Y98" s="1607"/>
      <c r="Z98" s="3226" t="str">
        <f t="shared" si="15"/>
        <v>N</v>
      </c>
      <c r="AA98" s="1607"/>
      <c r="AB98" s="3226" t="str">
        <f t="shared" si="16"/>
        <v>Y</v>
      </c>
      <c r="AC98" s="1607"/>
      <c r="AD98" s="3226" t="str">
        <f t="shared" si="17"/>
        <v>S</v>
      </c>
      <c r="AE98" s="1607"/>
      <c r="AF98" s="3223">
        <f t="shared" si="14"/>
        <v>4450</v>
      </c>
      <c r="AG98" s="3224"/>
      <c r="AH98" s="1607"/>
      <c r="AI98" s="1763">
        <f t="shared" si="12"/>
        <v>1</v>
      </c>
      <c r="AJ98" s="1763">
        <f t="shared" si="13"/>
        <v>0</v>
      </c>
      <c r="AK98" s="1763"/>
      <c r="AL98" s="3169"/>
      <c r="AM98" s="3169"/>
      <c r="AN98" s="3169"/>
      <c r="AO98" s="3169"/>
      <c r="AP98" s="3169"/>
      <c r="AQ98" s="3169"/>
      <c r="AR98" s="3169"/>
      <c r="AS98" s="3169"/>
    </row>
    <row r="99" spans="1:45" ht="12" customHeight="1">
      <c r="A99" s="82"/>
      <c r="B99" s="162"/>
      <c r="C99" s="280" t="s">
        <v>2389</v>
      </c>
      <c r="D99" s="185"/>
      <c r="E99" s="237"/>
      <c r="F99" s="237"/>
      <c r="G99" s="238"/>
      <c r="H99" s="238"/>
      <c r="I99" s="238"/>
      <c r="J99" s="238"/>
      <c r="K99" s="238"/>
      <c r="L99" s="637"/>
      <c r="M99" s="555"/>
      <c r="N99" s="717"/>
      <c r="O99" s="1450"/>
      <c r="P99" s="3548"/>
      <c r="Q99" s="628"/>
      <c r="R99" s="1876"/>
      <c r="S99" s="270"/>
      <c r="T99" s="270"/>
      <c r="U99" s="270"/>
      <c r="V99" s="270"/>
      <c r="W99" s="2562"/>
      <c r="X99" s="3222" t="s">
        <v>1377</v>
      </c>
      <c r="Y99" s="1607"/>
      <c r="Z99" s="3226" t="str">
        <f t="shared" si="15"/>
        <v>N</v>
      </c>
      <c r="AA99" s="1607"/>
      <c r="AB99" s="3226" t="str">
        <f t="shared" si="16"/>
        <v>Y</v>
      </c>
      <c r="AC99" s="1607"/>
      <c r="AD99" s="3226" t="str">
        <f t="shared" si="17"/>
        <v>S</v>
      </c>
      <c r="AE99" s="1607"/>
      <c r="AF99" s="3223">
        <f t="shared" si="14"/>
        <v>4450</v>
      </c>
      <c r="AG99" s="3224"/>
      <c r="AH99" s="1607"/>
      <c r="AI99" s="1763">
        <f t="shared" si="12"/>
        <v>1</v>
      </c>
      <c r="AJ99" s="1763">
        <f t="shared" si="13"/>
        <v>0</v>
      </c>
      <c r="AK99" s="1766"/>
    </row>
    <row r="100" spans="1:45" ht="12" customHeight="1" thickBot="1">
      <c r="A100" s="82"/>
      <c r="B100" s="162"/>
      <c r="C100" s="280" t="str">
        <f>"during "&amp;TaxYear&amp;", also include any amount contributed to your spouse’s Archer MSAs"</f>
        <v>during 2018, also include any amount contributed to your spouse’s Archer MSAs</v>
      </c>
      <c r="D100" s="185"/>
      <c r="E100" s="237"/>
      <c r="F100" s="237"/>
      <c r="G100" s="238"/>
      <c r="H100" s="162"/>
      <c r="I100" s="162"/>
      <c r="J100" s="162"/>
      <c r="K100" s="161" t="s">
        <v>747</v>
      </c>
      <c r="L100" s="343">
        <f>B98</f>
        <v>4</v>
      </c>
      <c r="M100" s="1726"/>
      <c r="N100" s="717"/>
      <c r="O100" s="1450"/>
      <c r="P100" s="3548"/>
      <c r="Q100" s="628"/>
      <c r="R100" s="2562"/>
      <c r="S100" s="270"/>
      <c r="T100" s="270"/>
      <c r="U100" s="7908" t="s">
        <v>4103</v>
      </c>
      <c r="V100" s="7908"/>
      <c r="W100" s="2562"/>
      <c r="X100" s="3222" t="s">
        <v>1379</v>
      </c>
      <c r="Y100" s="1607"/>
      <c r="Z100" s="3226" t="str">
        <f t="shared" si="15"/>
        <v>N</v>
      </c>
      <c r="AA100" s="1607"/>
      <c r="AB100" s="3226" t="str">
        <f t="shared" si="16"/>
        <v>Y</v>
      </c>
      <c r="AC100" s="1607"/>
      <c r="AD100" s="3226" t="str">
        <f t="shared" si="17"/>
        <v>S</v>
      </c>
      <c r="AE100" s="1607"/>
      <c r="AF100" s="3223">
        <f t="shared" si="14"/>
        <v>4450</v>
      </c>
      <c r="AG100" s="3224"/>
      <c r="AH100" s="1607"/>
      <c r="AI100" s="1763">
        <f t="shared" si="12"/>
        <v>1</v>
      </c>
      <c r="AJ100" s="1763">
        <f t="shared" si="13"/>
        <v>0</v>
      </c>
      <c r="AK100" s="1766"/>
    </row>
    <row r="101" spans="1:45" ht="12.75" customHeight="1" thickBot="1">
      <c r="A101" s="82"/>
      <c r="B101" s="161">
        <v>5</v>
      </c>
      <c r="C101" s="280" t="s">
        <v>576</v>
      </c>
      <c r="D101" s="280"/>
      <c r="E101" s="237"/>
      <c r="F101" s="237"/>
      <c r="G101" s="238"/>
      <c r="H101" s="238"/>
      <c r="I101" s="238"/>
      <c r="J101" s="238"/>
      <c r="K101" s="1553" t="s">
        <v>422</v>
      </c>
      <c r="L101" s="343">
        <f>B101</f>
        <v>5</v>
      </c>
      <c r="M101" s="1725">
        <f>MAX(0,SUM(M97,-M100))</f>
        <v>0</v>
      </c>
      <c r="N101" s="717"/>
      <c r="O101" s="2562"/>
      <c r="P101" s="3548"/>
      <c r="Q101" s="628"/>
      <c r="R101" s="2562"/>
      <c r="S101" s="4549" t="s">
        <v>2159</v>
      </c>
      <c r="T101" s="270"/>
      <c r="U101" s="4552">
        <f>$Z$41/100</f>
        <v>0.91299999999999992</v>
      </c>
      <c r="V101" s="4548">
        <f>$AB$41/100</f>
        <v>8.7000000000000022E-2</v>
      </c>
      <c r="W101" s="2562"/>
      <c r="X101" s="3222" t="s">
        <v>1381</v>
      </c>
      <c r="Y101" s="1607"/>
      <c r="Z101" s="3226" t="str">
        <f t="shared" si="15"/>
        <v>N</v>
      </c>
      <c r="AA101" s="1607"/>
      <c r="AB101" s="3226" t="str">
        <f t="shared" si="16"/>
        <v>Y</v>
      </c>
      <c r="AC101" s="1607"/>
      <c r="AD101" s="3226" t="str">
        <f t="shared" si="17"/>
        <v>S</v>
      </c>
      <c r="AE101" s="1607"/>
      <c r="AF101" s="3223">
        <f t="shared" si="14"/>
        <v>4450</v>
      </c>
      <c r="AG101" s="3224"/>
      <c r="AH101" s="1607"/>
      <c r="AI101" s="1763">
        <f t="shared" si="12"/>
        <v>1</v>
      </c>
      <c r="AJ101" s="1763">
        <f t="shared" si="13"/>
        <v>0</v>
      </c>
      <c r="AK101" s="1766"/>
    </row>
    <row r="102" spans="1:45" s="1068" customFormat="1" ht="12" customHeight="1">
      <c r="A102" s="82"/>
      <c r="B102" s="162">
        <v>6</v>
      </c>
      <c r="C102" s="280" t="s">
        <v>2390</v>
      </c>
      <c r="D102" s="280"/>
      <c r="E102" s="237"/>
      <c r="F102" s="237"/>
      <c r="G102" s="238"/>
      <c r="H102" s="238"/>
      <c r="I102" s="238"/>
      <c r="J102" s="238"/>
      <c r="K102" s="162"/>
      <c r="L102" s="2886"/>
      <c r="M102" s="3544"/>
      <c r="N102" s="716"/>
      <c r="O102" s="2562"/>
      <c r="P102" s="3547"/>
      <c r="Q102" s="628"/>
      <c r="R102" s="1450"/>
      <c r="S102" s="4538" t="s">
        <v>4106</v>
      </c>
      <c r="T102" s="4538" t="s">
        <v>4102</v>
      </c>
      <c r="U102" s="4550" t="s">
        <v>2143</v>
      </c>
      <c r="V102" s="4520" t="s">
        <v>2159</v>
      </c>
      <c r="W102" s="2562"/>
      <c r="X102" s="3222" t="s">
        <v>1383</v>
      </c>
      <c r="Y102" s="1607"/>
      <c r="Z102" s="3226" t="str">
        <f t="shared" si="15"/>
        <v>N</v>
      </c>
      <c r="AA102" s="1607"/>
      <c r="AB102" s="3226" t="str">
        <f t="shared" si="16"/>
        <v>Y</v>
      </c>
      <c r="AC102" s="1607"/>
      <c r="AD102" s="3226" t="str">
        <f t="shared" si="17"/>
        <v>S</v>
      </c>
      <c r="AE102" s="1607"/>
      <c r="AF102" s="3223">
        <f t="shared" si="14"/>
        <v>4450</v>
      </c>
      <c r="AG102" s="3224"/>
      <c r="AH102" s="1607"/>
      <c r="AI102" s="1763">
        <f t="shared" si="12"/>
        <v>1</v>
      </c>
      <c r="AJ102" s="1763">
        <f t="shared" si="13"/>
        <v>0</v>
      </c>
      <c r="AK102" s="1763"/>
      <c r="AL102" s="3169"/>
      <c r="AM102" s="3169"/>
      <c r="AN102" s="3169"/>
      <c r="AO102" s="3169"/>
      <c r="AP102" s="3169"/>
      <c r="AQ102" s="3169"/>
      <c r="AR102" s="3169"/>
      <c r="AS102" s="3169"/>
    </row>
    <row r="103" spans="1:45" ht="12" customHeight="1">
      <c r="A103" s="82"/>
      <c r="B103" s="162"/>
      <c r="C103" s="280" t="str">
        <f>"family coverage under an HDHP at any time during "&amp;TaxYear&amp;", see the instructions for the amount to"</f>
        <v>family coverage under an HDHP at any time during 2018, see the instructions for the amount to</v>
      </c>
      <c r="D103" s="185"/>
      <c r="E103" s="237"/>
      <c r="F103" s="237"/>
      <c r="G103" s="238"/>
      <c r="H103" s="238"/>
      <c r="I103" s="238"/>
      <c r="J103" s="238"/>
      <c r="K103" s="238"/>
      <c r="L103" s="637"/>
      <c r="M103" s="3545"/>
      <c r="N103" s="717"/>
      <c r="O103" s="1450"/>
      <c r="P103" s="3548"/>
      <c r="Q103" s="628"/>
      <c r="R103" s="1450"/>
      <c r="S103" s="270" t="s">
        <v>4101</v>
      </c>
      <c r="T103" s="270" t="b">
        <f>AND($Q$7,$V$28,$AK$58=12)</f>
        <v>0</v>
      </c>
      <c r="U103" s="4551" t="str">
        <f>U32</f>
        <v>---</v>
      </c>
      <c r="V103" s="4537" t="str">
        <f>IF(T103,ROUND(M28*$AB$41/100,0),"---")</f>
        <v>---</v>
      </c>
      <c r="W103" s="2562"/>
      <c r="X103" s="3222" t="s">
        <v>1385</v>
      </c>
      <c r="Y103" s="1607"/>
      <c r="Z103" s="3226" t="str">
        <f t="shared" si="15"/>
        <v>N</v>
      </c>
      <c r="AA103" s="1607"/>
      <c r="AB103" s="3226" t="str">
        <f t="shared" si="16"/>
        <v>Y</v>
      </c>
      <c r="AC103" s="1607"/>
      <c r="AD103" s="3226" t="str">
        <f t="shared" si="17"/>
        <v>S</v>
      </c>
      <c r="AE103" s="1607"/>
      <c r="AF103" s="3223">
        <f t="shared" si="14"/>
        <v>4450</v>
      </c>
      <c r="AG103" s="3224"/>
      <c r="AH103" s="1607"/>
      <c r="AI103" s="1763">
        <f t="shared" si="12"/>
        <v>1</v>
      </c>
      <c r="AJ103" s="1763">
        <f t="shared" si="13"/>
        <v>0</v>
      </c>
      <c r="AK103" s="1766"/>
    </row>
    <row r="104" spans="1:45" ht="12" customHeight="1">
      <c r="A104" s="82"/>
      <c r="B104" s="162"/>
      <c r="C104" s="280" t="s">
        <v>2391</v>
      </c>
      <c r="D104" s="185"/>
      <c r="E104" s="237"/>
      <c r="F104" s="237"/>
      <c r="G104" s="238"/>
      <c r="H104" s="162"/>
      <c r="I104" s="162"/>
      <c r="J104" s="162"/>
      <c r="K104" s="1553" t="s">
        <v>684</v>
      </c>
      <c r="L104" s="343">
        <f>B102</f>
        <v>6</v>
      </c>
      <c r="M104" s="1725" t="str">
        <f>IF(Q104&lt;&gt;"",ROUND(Q104,0),IF(OR(AND(M94="",100=""),NOT(Q86)),"",IF(T103,V103,IF(T104,V104,M101))))</f>
        <v/>
      </c>
      <c r="N104" s="717"/>
      <c r="O104" s="1450"/>
      <c r="P104" s="3548"/>
      <c r="Q104" s="470"/>
      <c r="R104" s="1450"/>
      <c r="S104" s="270" t="s">
        <v>4104</v>
      </c>
      <c r="T104" s="270" t="b">
        <f>AND($Q$7,$V$28,$AK$58&gt;0,$AK$58&lt;12)</f>
        <v>0</v>
      </c>
      <c r="U104" s="4551" t="str">
        <f>U33</f>
        <v>---</v>
      </c>
      <c r="V104" s="4537" t="str">
        <f>IF(T104,V109,"---")</f>
        <v>---</v>
      </c>
      <c r="W104" s="2562"/>
      <c r="X104" s="3222" t="s">
        <v>1387</v>
      </c>
      <c r="Y104" s="1607"/>
      <c r="Z104" s="3226" t="str">
        <f t="shared" si="15"/>
        <v>N</v>
      </c>
      <c r="AA104" s="1607"/>
      <c r="AB104" s="3226" t="str">
        <f t="shared" si="16"/>
        <v>Y</v>
      </c>
      <c r="AC104" s="1607"/>
      <c r="AD104" s="3226" t="str">
        <f t="shared" si="17"/>
        <v>S</v>
      </c>
      <c r="AE104" s="1607"/>
      <c r="AF104" s="3223">
        <f t="shared" si="14"/>
        <v>4450</v>
      </c>
      <c r="AG104" s="3224"/>
      <c r="AH104" s="1607"/>
      <c r="AI104" s="1763">
        <f t="shared" si="12"/>
        <v>1</v>
      </c>
      <c r="AJ104" s="1763">
        <f t="shared" si="13"/>
        <v>0</v>
      </c>
      <c r="AK104" s="1766"/>
    </row>
    <row r="105" spans="1:45" s="1068" customFormat="1" ht="12" customHeight="1" thickBot="1">
      <c r="A105" s="82"/>
      <c r="B105" s="162">
        <v>7</v>
      </c>
      <c r="C105" s="280" t="str">
        <f>"If you were age 55 or older at the end of "&amp;TaxYear&amp;", married, and you or your spouse had family"</f>
        <v>If you were age 55 or older at the end of 2018, married, and you or your spouse had family</v>
      </c>
      <c r="D105" s="280"/>
      <c r="E105" s="237"/>
      <c r="F105" s="237"/>
      <c r="G105" s="238"/>
      <c r="H105" s="238"/>
      <c r="I105" s="238"/>
      <c r="J105" s="238"/>
      <c r="K105" s="162"/>
      <c r="L105" s="2886"/>
      <c r="M105" s="1753"/>
      <c r="N105" s="716"/>
      <c r="O105" s="2562"/>
      <c r="P105" s="3547"/>
      <c r="Q105" s="628"/>
      <c r="R105" s="2562"/>
      <c r="S105" s="2351">
        <v>1000</v>
      </c>
      <c r="T105" s="270"/>
      <c r="U105" s="270"/>
      <c r="V105" s="270"/>
      <c r="W105" s="2562"/>
      <c r="X105" s="3222" t="s">
        <v>1389</v>
      </c>
      <c r="Y105" s="1607"/>
      <c r="Z105" s="3226" t="str">
        <f t="shared" si="15"/>
        <v>N</v>
      </c>
      <c r="AA105" s="1607"/>
      <c r="AB105" s="3226" t="str">
        <f t="shared" si="16"/>
        <v>Y</v>
      </c>
      <c r="AC105" s="1607"/>
      <c r="AD105" s="3226" t="str">
        <f t="shared" si="17"/>
        <v>S</v>
      </c>
      <c r="AE105" s="1607"/>
      <c r="AF105" s="3225">
        <f t="shared" si="14"/>
        <v>4450</v>
      </c>
      <c r="AG105" s="3224"/>
      <c r="AH105" s="1607"/>
      <c r="AI105" s="3529">
        <f t="shared" si="12"/>
        <v>1</v>
      </c>
      <c r="AJ105" s="3529">
        <f t="shared" si="13"/>
        <v>0</v>
      </c>
      <c r="AK105" s="1763"/>
      <c r="AL105" s="3169"/>
      <c r="AM105" s="3169"/>
      <c r="AN105" s="3169"/>
      <c r="AO105" s="3169"/>
      <c r="AP105" s="3169"/>
      <c r="AQ105" s="3169"/>
      <c r="AR105" s="3169"/>
      <c r="AS105" s="3169"/>
    </row>
    <row r="106" spans="1:45" ht="12" customHeight="1" thickTop="1">
      <c r="A106" s="82"/>
      <c r="B106" s="162"/>
      <c r="C106" s="280" t="str">
        <f>"coverage under an HDHP at any time during "&amp;TaxYear&amp;", enter your additional contribution amount"</f>
        <v>coverage under an HDHP at any time during 2018, enter your additional contribution amount</v>
      </c>
      <c r="D106" s="185"/>
      <c r="E106" s="237"/>
      <c r="F106" s="237"/>
      <c r="G106" s="238"/>
      <c r="H106" s="238"/>
      <c r="I106" s="238"/>
      <c r="J106" s="238"/>
      <c r="K106" s="238"/>
      <c r="L106" s="637"/>
      <c r="M106" s="555"/>
      <c r="N106" s="717"/>
      <c r="O106" s="1450"/>
      <c r="P106" s="3548"/>
      <c r="Q106" s="628"/>
      <c r="R106" s="1450"/>
      <c r="S106" s="270" t="s">
        <v>1731</v>
      </c>
      <c r="T106" s="2351"/>
      <c r="U106" s="4551">
        <f>U35</f>
        <v>0</v>
      </c>
      <c r="V106" s="2351">
        <f>SUM(AJ59,-M100)</f>
        <v>0</v>
      </c>
      <c r="W106" s="2562"/>
      <c r="X106" s="7883" t="s">
        <v>2568</v>
      </c>
      <c r="Y106" s="7884"/>
      <c r="Z106" s="7885"/>
      <c r="AA106" s="7885"/>
      <c r="AB106" s="7885"/>
      <c r="AC106" s="7885"/>
      <c r="AD106" s="7885"/>
      <c r="AE106" s="7885"/>
      <c r="AF106" s="3223">
        <f>SUM(AF94:AF105)</f>
        <v>53400</v>
      </c>
      <c r="AG106" s="3224"/>
      <c r="AH106" s="1607"/>
      <c r="AI106" s="1763">
        <f>SUM(AI94:AI105)</f>
        <v>12</v>
      </c>
      <c r="AJ106" s="1763">
        <f>SUM(AJ94:AJ105)</f>
        <v>0</v>
      </c>
      <c r="AK106" s="1766"/>
    </row>
    <row r="107" spans="1:45" ht="12" customHeight="1">
      <c r="A107" s="82"/>
      <c r="B107" s="162"/>
      <c r="C107" s="280" t="s">
        <v>2271</v>
      </c>
      <c r="D107" s="185"/>
      <c r="E107" s="237"/>
      <c r="F107" s="237"/>
      <c r="G107" s="238"/>
      <c r="H107" s="162"/>
      <c r="I107" s="162"/>
      <c r="J107" s="162"/>
      <c r="K107" s="1553" t="s">
        <v>1152</v>
      </c>
      <c r="L107" s="343">
        <f>B105</f>
        <v>7</v>
      </c>
      <c r="M107" s="1725" t="str">
        <f>IF(Q107&lt;&gt;"",ROUND(Q107,0),IF(AND(Q86,OR(AJ35,AJ107),AJ108),ROUND((S105*AJ106)/12,0),""))</f>
        <v/>
      </c>
      <c r="N107" s="717"/>
      <c r="O107" s="1450"/>
      <c r="P107" s="3548"/>
      <c r="Q107" s="470"/>
      <c r="R107" s="1450"/>
      <c r="S107" s="270" t="s">
        <v>1730</v>
      </c>
      <c r="T107" s="270"/>
      <c r="U107" s="4551">
        <f>U36</f>
        <v>0</v>
      </c>
      <c r="V107" s="2351">
        <f>ROUND(V106*AB41/100,0)</f>
        <v>0</v>
      </c>
      <c r="W107" s="2562"/>
      <c r="X107" s="1610"/>
      <c r="Y107" s="1443"/>
      <c r="Z107" s="1443"/>
      <c r="AA107" s="1443"/>
      <c r="AB107" s="1443"/>
      <c r="AC107" s="1443"/>
      <c r="AD107" s="1443"/>
      <c r="AE107" s="4532" t="s">
        <v>2570</v>
      </c>
      <c r="AF107" s="3223">
        <f>ROUND(AF106/12,0)</f>
        <v>4450</v>
      </c>
      <c r="AG107" s="3224"/>
      <c r="AH107" s="1607"/>
      <c r="AI107" s="1763" t="b">
        <f>(AI106=12)</f>
        <v>1</v>
      </c>
      <c r="AJ107" s="1763" t="b">
        <f>AND(AJ106&gt;0,AJ106&lt;12)</f>
        <v>0</v>
      </c>
      <c r="AK107" s="1766"/>
    </row>
    <row r="108" spans="1:45" ht="12.75" customHeight="1" thickBot="1">
      <c r="A108" s="82"/>
      <c r="B108" s="161">
        <v>8</v>
      </c>
      <c r="C108" s="280" t="s">
        <v>2392</v>
      </c>
      <c r="D108" s="280"/>
      <c r="E108" s="237"/>
      <c r="F108" s="237"/>
      <c r="G108" s="238"/>
      <c r="H108" s="238"/>
      <c r="I108" s="238"/>
      <c r="J108" s="238"/>
      <c r="K108" s="1553" t="s">
        <v>1152</v>
      </c>
      <c r="L108" s="343">
        <f>B108</f>
        <v>8</v>
      </c>
      <c r="M108" s="1725">
        <f>SUM(M104,M107)</f>
        <v>0</v>
      </c>
      <c r="N108" s="717"/>
      <c r="O108" s="2562"/>
      <c r="P108" s="3548"/>
      <c r="Q108" s="603"/>
      <c r="R108" s="2562"/>
      <c r="S108" s="270" t="s">
        <v>4650</v>
      </c>
      <c r="T108" s="270"/>
      <c r="U108" s="4551">
        <f>U37</f>
        <v>0</v>
      </c>
      <c r="V108" s="2351">
        <f>SUM(V106,-U107)</f>
        <v>0</v>
      </c>
      <c r="W108" s="2562"/>
      <c r="X108" s="4530"/>
      <c r="Y108" s="2610"/>
      <c r="Z108" s="4522"/>
      <c r="AA108" s="2610"/>
      <c r="AB108" s="4522"/>
      <c r="AC108" s="2610"/>
      <c r="AD108" s="4522"/>
      <c r="AE108" s="2610"/>
      <c r="AF108" s="4531"/>
      <c r="AG108" s="2611"/>
      <c r="AH108" s="1766"/>
      <c r="AI108" s="1763" t="b">
        <f>AND(YourAge&gt;=P95,OR(AND(File_Marr_Joint&lt;&gt;"",AI107),File_Marr_Joint=""))</f>
        <v>1</v>
      </c>
      <c r="AJ108" s="1763" t="b">
        <f>AND(SpouseAge&gt;=P95,File_Marr_Joint&lt;&gt;"")</f>
        <v>0</v>
      </c>
      <c r="AK108" s="1766"/>
    </row>
    <row r="109" spans="1:45" ht="12" customHeight="1">
      <c r="A109" s="82"/>
      <c r="B109" s="162">
        <v>9</v>
      </c>
      <c r="C109" s="280" t="str">
        <f>"Employer contributions made to your HSAs for "&amp;TaxYear</f>
        <v>Employer contributions made to your HSAs for 2018</v>
      </c>
      <c r="D109" s="185"/>
      <c r="E109" s="237"/>
      <c r="F109" s="237"/>
      <c r="G109" s="1745"/>
      <c r="H109" s="162"/>
      <c r="I109" s="161" t="s">
        <v>625</v>
      </c>
      <c r="J109" s="2889">
        <f>B109</f>
        <v>9</v>
      </c>
      <c r="K109" s="1726"/>
      <c r="L109" s="2887"/>
      <c r="M109" s="1785" t="str">
        <f>IF(File_Marr_Joint&lt;&gt;"",G107,IF(File_Marr_Sep&lt;&gt;"",G108,IF(OR(File_Single&lt;&gt;"",File_Head&lt;&gt;"",File_Qual_Widow&lt;&gt;""),G109,"---")))</f>
        <v>---</v>
      </c>
      <c r="N109" s="717"/>
      <c r="O109" s="1450"/>
      <c r="P109" s="3548"/>
      <c r="Q109" s="603"/>
      <c r="R109" s="1450"/>
      <c r="S109" s="270" t="s">
        <v>4651</v>
      </c>
      <c r="T109" s="270"/>
      <c r="U109" s="4551">
        <f>U38</f>
        <v>0</v>
      </c>
      <c r="V109" s="2351">
        <f>V108</f>
        <v>0</v>
      </c>
      <c r="W109" s="2562"/>
      <c r="X109" s="1450"/>
      <c r="Y109" s="1766"/>
      <c r="Z109" s="3234"/>
      <c r="AA109" s="1766"/>
      <c r="AB109" s="3234"/>
      <c r="AC109" s="1766"/>
      <c r="AD109" s="3234"/>
      <c r="AE109" s="1766"/>
      <c r="AF109" s="3235"/>
      <c r="AG109" s="1766"/>
      <c r="AH109" s="1766"/>
      <c r="AI109" s="1766"/>
      <c r="AJ109" s="1766"/>
      <c r="AK109" s="1766"/>
    </row>
    <row r="110" spans="1:45" ht="12" customHeight="1" thickBot="1">
      <c r="A110" s="82"/>
      <c r="B110" s="162">
        <v>10</v>
      </c>
      <c r="C110" s="280" t="s">
        <v>2393</v>
      </c>
      <c r="D110" s="185"/>
      <c r="E110" s="237"/>
      <c r="F110" s="237"/>
      <c r="G110" s="1745"/>
      <c r="H110" s="162"/>
      <c r="I110" s="161" t="s">
        <v>906</v>
      </c>
      <c r="J110" s="2889">
        <f>B110</f>
        <v>10</v>
      </c>
      <c r="K110" s="1726"/>
      <c r="L110" s="2887"/>
      <c r="M110" s="1785" t="str">
        <f>IF(File_Marr_Joint&lt;&gt;"",G108,IF(File_Marr_Sep&lt;&gt;"",G109,IF(OR(File_Single&lt;&gt;"",File_Head&lt;&gt;"",File_Qual_Widow&lt;&gt;""),G110,"---")))</f>
        <v>---</v>
      </c>
      <c r="N110" s="717"/>
      <c r="O110" s="1450"/>
      <c r="P110" s="3548"/>
      <c r="Q110" s="603"/>
      <c r="R110" s="1450"/>
      <c r="S110" s="270"/>
      <c r="T110" s="270"/>
      <c r="U110" s="270"/>
      <c r="V110" s="270"/>
      <c r="W110" s="3210"/>
      <c r="X110" s="2562"/>
      <c r="Y110" s="1766"/>
      <c r="Z110" s="3234"/>
      <c r="AA110" s="1766"/>
      <c r="AB110" s="3234"/>
      <c r="AC110" s="1766"/>
      <c r="AD110" s="3234"/>
      <c r="AE110" s="1766"/>
      <c r="AF110" s="3235"/>
      <c r="AG110" s="1766"/>
      <c r="AH110" s="1766"/>
      <c r="AI110" s="1766"/>
      <c r="AJ110" s="1766"/>
      <c r="AK110" s="1766"/>
    </row>
    <row r="111" spans="1:45" ht="12.75" customHeight="1">
      <c r="A111" s="82"/>
      <c r="B111" s="161">
        <v>11</v>
      </c>
      <c r="C111" s="280" t="s">
        <v>2394</v>
      </c>
      <c r="D111" s="280"/>
      <c r="E111" s="237"/>
      <c r="F111" s="237"/>
      <c r="G111" s="238"/>
      <c r="H111" s="238"/>
      <c r="I111" s="238"/>
      <c r="J111" s="238"/>
      <c r="K111" s="1553" t="s">
        <v>493</v>
      </c>
      <c r="L111" s="343">
        <f>B111</f>
        <v>11</v>
      </c>
      <c r="M111" s="1725">
        <f>SUM(K109,K110)</f>
        <v>0</v>
      </c>
      <c r="N111" s="717"/>
      <c r="O111" s="2562"/>
      <c r="P111" s="3548"/>
      <c r="Q111" s="603"/>
      <c r="R111" s="2562"/>
      <c r="S111" s="270"/>
      <c r="T111" s="270"/>
      <c r="U111" s="270"/>
      <c r="V111" s="270"/>
      <c r="W111" s="3210"/>
      <c r="X111" s="7872" t="s">
        <v>4107</v>
      </c>
      <c r="Y111" s="7873"/>
      <c r="Z111" s="7873"/>
      <c r="AA111" s="7873"/>
      <c r="AB111" s="7873"/>
      <c r="AC111" s="7873"/>
      <c r="AD111" s="7873"/>
      <c r="AE111" s="7873"/>
      <c r="AF111" s="7873"/>
      <c r="AG111" s="7874"/>
      <c r="AH111" s="4555"/>
      <c r="AI111" s="1766"/>
      <c r="AJ111" s="3234" t="s">
        <v>2143</v>
      </c>
      <c r="AK111" s="3234" t="s">
        <v>4108</v>
      </c>
    </row>
    <row r="112" spans="1:45" ht="12.75" customHeight="1">
      <c r="A112" s="82"/>
      <c r="B112" s="161">
        <v>12</v>
      </c>
      <c r="C112" s="280" t="s">
        <v>2395</v>
      </c>
      <c r="D112" s="280"/>
      <c r="E112" s="237"/>
      <c r="F112" s="237"/>
      <c r="G112" s="238"/>
      <c r="H112" s="238"/>
      <c r="I112" s="238"/>
      <c r="J112" s="238"/>
      <c r="K112" s="1553" t="s">
        <v>632</v>
      </c>
      <c r="L112" s="343">
        <f>B112</f>
        <v>12</v>
      </c>
      <c r="M112" s="1725">
        <f>MAX(0,SUM(M108,-M111))</f>
        <v>0</v>
      </c>
      <c r="N112" s="717"/>
      <c r="O112" s="2562"/>
      <c r="P112" s="3548"/>
      <c r="Q112" s="603"/>
      <c r="R112" s="2562"/>
      <c r="S112" s="270"/>
      <c r="T112" s="270"/>
      <c r="U112" s="270"/>
      <c r="V112" s="270"/>
      <c r="W112" s="2561"/>
      <c r="X112" s="3221">
        <f>TaxYear</f>
        <v>2018</v>
      </c>
      <c r="Y112" s="1766"/>
      <c r="Z112" s="3234"/>
      <c r="AA112" s="1766"/>
      <c r="AB112" s="3234"/>
      <c r="AC112" s="1766"/>
      <c r="AD112" s="3234"/>
      <c r="AE112" s="1766"/>
      <c r="AF112" s="3235"/>
      <c r="AG112" s="1768"/>
      <c r="AH112" s="1766"/>
      <c r="AI112" s="3234" t="s">
        <v>2564</v>
      </c>
      <c r="AJ112" s="3234" t="s">
        <v>1882</v>
      </c>
      <c r="AK112" s="3234" t="s">
        <v>1882</v>
      </c>
    </row>
    <row r="113" spans="1:45" s="1068" customFormat="1" ht="12" customHeight="1">
      <c r="A113" s="82"/>
      <c r="B113" s="161">
        <v>13</v>
      </c>
      <c r="C113" s="403" t="s">
        <v>4158</v>
      </c>
      <c r="D113" s="280"/>
      <c r="E113" s="237"/>
      <c r="F113" s="237"/>
      <c r="G113" s="238"/>
      <c r="H113" s="238"/>
      <c r="I113" s="238"/>
      <c r="J113" s="238"/>
      <c r="K113" s="162"/>
      <c r="L113" s="637"/>
      <c r="M113" s="1746">
        <v>8.9999999999999993E-3</v>
      </c>
      <c r="N113" s="716"/>
      <c r="O113" s="2562"/>
      <c r="P113" s="3547"/>
      <c r="Q113" s="603"/>
      <c r="R113" s="2562"/>
      <c r="S113" s="270"/>
      <c r="T113" s="270"/>
      <c r="U113" s="270"/>
      <c r="V113" s="270"/>
      <c r="W113" s="2561"/>
      <c r="X113" s="3222" t="s">
        <v>1370</v>
      </c>
      <c r="Y113" s="1766"/>
      <c r="Z113" s="3234"/>
      <c r="AA113" s="3234"/>
      <c r="AB113" s="3234"/>
      <c r="AC113" s="1766"/>
      <c r="AD113" s="4524" t="str">
        <f>IF(OR(AD94="f",AD94="F"),"F","S")</f>
        <v>S</v>
      </c>
      <c r="AE113" s="1766"/>
      <c r="AF113" s="3223">
        <f>MAX(0,SUM(AF94,-$M$100))</f>
        <v>4450</v>
      </c>
      <c r="AG113" s="3224"/>
      <c r="AH113" s="1607"/>
      <c r="AI113" s="3223">
        <f>IF(AD113="S",1,0)</f>
        <v>1</v>
      </c>
      <c r="AJ113" s="3223">
        <f>IF(AND(Z113&lt;&gt;"Y",LEFT(AD113,1)="F"),AF113,0)</f>
        <v>0</v>
      </c>
      <c r="AK113" s="1763">
        <f t="shared" ref="AK113:AK124" si="18">MIN(1,SUM(AJ113,AJ183))</f>
        <v>0</v>
      </c>
      <c r="AL113" s="3169"/>
      <c r="AM113" s="3169"/>
      <c r="AN113" s="3169"/>
      <c r="AO113" s="3169"/>
      <c r="AP113" s="3169"/>
      <c r="AQ113" s="3169"/>
      <c r="AR113" s="3169"/>
      <c r="AS113" s="3169"/>
    </row>
    <row r="114" spans="1:45" ht="11.25" customHeight="1">
      <c r="A114" s="82"/>
      <c r="B114" s="161"/>
      <c r="C114" s="403" t="s">
        <v>3339</v>
      </c>
      <c r="D114" s="185"/>
      <c r="E114" s="237"/>
      <c r="F114" s="237"/>
      <c r="G114" s="238"/>
      <c r="H114" s="238"/>
      <c r="I114" s="238"/>
      <c r="J114" s="238"/>
      <c r="K114" s="1553" t="s">
        <v>763</v>
      </c>
      <c r="L114" s="637">
        <f>B113</f>
        <v>13</v>
      </c>
      <c r="M114" s="1727">
        <f>IF(Q114&lt;&gt;"",ROUND(Q114,0),IF(M94="",0,IF(Q86,MIN(M94,M112),"")))</f>
        <v>0</v>
      </c>
      <c r="N114" s="717"/>
      <c r="O114" s="2562"/>
      <c r="P114" s="926"/>
      <c r="Q114" s="470"/>
      <c r="R114" s="2562"/>
      <c r="S114" s="270"/>
      <c r="T114" s="270"/>
      <c r="U114" s="270"/>
      <c r="V114" s="270"/>
      <c r="W114" s="2562"/>
      <c r="X114" s="3222" t="s">
        <v>1371</v>
      </c>
      <c r="Y114" s="1766"/>
      <c r="Z114" s="3234"/>
      <c r="AA114" s="3234"/>
      <c r="AB114" s="3234"/>
      <c r="AC114" s="1766"/>
      <c r="AD114" s="4524" t="str">
        <f t="shared" ref="AD114:AD124" si="19">IF(OR(AD95="f",AD95="F"),"F","S")</f>
        <v>S</v>
      </c>
      <c r="AE114" s="1766"/>
      <c r="AF114" s="3223">
        <f t="shared" ref="AF114:AF124" si="20">MAX(0,SUM(AF95,-$M$100))</f>
        <v>4450</v>
      </c>
      <c r="AG114" s="3224"/>
      <c r="AH114" s="1607"/>
      <c r="AI114" s="3223">
        <f>IF(AD114="S",1,0)</f>
        <v>1</v>
      </c>
      <c r="AJ114" s="3223">
        <f t="shared" ref="AJ114:AJ124" si="21">IF(AND(Z114&lt;&gt;"Y",LEFT(AD114,1)="F"),AF114,0)</f>
        <v>0</v>
      </c>
      <c r="AK114" s="1763">
        <f t="shared" si="18"/>
        <v>0</v>
      </c>
    </row>
    <row r="115" spans="1:45" ht="11.25" customHeight="1">
      <c r="A115" s="82"/>
      <c r="B115" s="161"/>
      <c r="C115" s="280" t="s">
        <v>4150</v>
      </c>
      <c r="D115" s="185"/>
      <c r="E115" s="237"/>
      <c r="F115" s="237"/>
      <c r="G115" s="238"/>
      <c r="H115" s="238"/>
      <c r="I115" s="238"/>
      <c r="J115" s="238"/>
      <c r="K115" s="1553"/>
      <c r="L115" s="2888"/>
      <c r="M115" s="4528" t="b">
        <f>IF(NOT(Q86),FALSE,IF(M94&gt;M114,TRUE,FALSE))</f>
        <v>0</v>
      </c>
      <c r="N115" s="717"/>
      <c r="O115" s="5089"/>
      <c r="P115" s="2897"/>
      <c r="Q115" s="2898"/>
      <c r="R115" s="2562"/>
      <c r="S115" s="3245"/>
      <c r="T115" s="3245"/>
      <c r="U115" s="3245"/>
      <c r="V115" s="3245"/>
      <c r="W115" s="2562"/>
      <c r="X115" s="3222" t="s">
        <v>1372</v>
      </c>
      <c r="Y115" s="1766"/>
      <c r="Z115" s="3234"/>
      <c r="AA115" s="3234"/>
      <c r="AB115" s="3234"/>
      <c r="AC115" s="1766"/>
      <c r="AD115" s="4524" t="str">
        <f t="shared" si="19"/>
        <v>S</v>
      </c>
      <c r="AE115" s="1766"/>
      <c r="AF115" s="3223">
        <f t="shared" si="20"/>
        <v>4450</v>
      </c>
      <c r="AG115" s="3224"/>
      <c r="AH115" s="1607"/>
      <c r="AI115" s="3223">
        <f>IF(AD115="S",1,0)</f>
        <v>1</v>
      </c>
      <c r="AJ115" s="3223">
        <f t="shared" si="21"/>
        <v>0</v>
      </c>
      <c r="AK115" s="1763">
        <f t="shared" si="18"/>
        <v>0</v>
      </c>
    </row>
    <row r="116" spans="1:45">
      <c r="A116" s="82"/>
      <c r="B116" s="2875" t="s">
        <v>130</v>
      </c>
      <c r="C116" s="7893" t="s">
        <v>2398</v>
      </c>
      <c r="D116" s="7893"/>
      <c r="E116" s="7894"/>
      <c r="F116" s="7894"/>
      <c r="G116" s="7894"/>
      <c r="H116" s="7894"/>
      <c r="I116" s="7894"/>
      <c r="J116" s="7894"/>
      <c r="K116" s="7894"/>
      <c r="L116" s="7894"/>
      <c r="M116" s="7894"/>
      <c r="N116" s="715"/>
      <c r="O116" s="4527" t="str">
        <f>IF(M115,"Check here","")</f>
        <v/>
      </c>
      <c r="P116" s="616"/>
      <c r="Q116" s="2898"/>
      <c r="R116" s="1876"/>
      <c r="S116" s="3245"/>
      <c r="T116" s="3245"/>
      <c r="U116" s="3245"/>
      <c r="V116" s="3245"/>
      <c r="W116" s="2562"/>
      <c r="X116" s="3222" t="s">
        <v>1373</v>
      </c>
      <c r="Y116" s="1766"/>
      <c r="Z116" s="3234"/>
      <c r="AA116" s="3234"/>
      <c r="AB116" s="3234"/>
      <c r="AC116" s="1766"/>
      <c r="AD116" s="4524" t="str">
        <f t="shared" si="19"/>
        <v>S</v>
      </c>
      <c r="AE116" s="1766"/>
      <c r="AF116" s="3223">
        <f t="shared" si="20"/>
        <v>4450</v>
      </c>
      <c r="AG116" s="3224"/>
      <c r="AH116" s="1607"/>
      <c r="AI116" s="3223">
        <f>IF(AD116="S",AF116,0)</f>
        <v>4450</v>
      </c>
      <c r="AJ116" s="3223">
        <f t="shared" si="21"/>
        <v>0</v>
      </c>
      <c r="AK116" s="1763">
        <f t="shared" si="18"/>
        <v>0</v>
      </c>
    </row>
    <row r="117" spans="1:45" ht="12" customHeight="1">
      <c r="A117" s="82"/>
      <c r="B117" s="2877"/>
      <c r="C117" s="7909" t="s">
        <v>2397</v>
      </c>
      <c r="D117" s="7909"/>
      <c r="E117" s="7910"/>
      <c r="F117" s="7910"/>
      <c r="G117" s="7910"/>
      <c r="H117" s="7910"/>
      <c r="I117" s="7910"/>
      <c r="J117" s="7910"/>
      <c r="K117" s="7910"/>
      <c r="L117" s="7910"/>
      <c r="M117" s="7910"/>
      <c r="N117" s="715"/>
      <c r="O117" s="4527" t="str">
        <f>IF(M115,"to remove","")</f>
        <v/>
      </c>
      <c r="P117" s="2885"/>
      <c r="Q117" s="733"/>
      <c r="R117" s="1876"/>
      <c r="S117" s="3244"/>
      <c r="T117" s="3244"/>
      <c r="U117" s="3244"/>
      <c r="V117" s="3244"/>
      <c r="W117" s="2562"/>
      <c r="X117" s="3222" t="s">
        <v>1375</v>
      </c>
      <c r="Y117" s="1766"/>
      <c r="Z117" s="3234"/>
      <c r="AA117" s="3234"/>
      <c r="AB117" s="3234"/>
      <c r="AC117" s="1766"/>
      <c r="AD117" s="4524" t="str">
        <f t="shared" si="19"/>
        <v>S</v>
      </c>
      <c r="AE117" s="1766"/>
      <c r="AF117" s="3223">
        <f t="shared" si="20"/>
        <v>4450</v>
      </c>
      <c r="AG117" s="3224"/>
      <c r="AH117" s="1607"/>
      <c r="AI117" s="3223">
        <f t="shared" ref="AI117:AI124" si="22">IF(AD117="S",AF117,0)</f>
        <v>4450</v>
      </c>
      <c r="AJ117" s="3223">
        <f t="shared" si="21"/>
        <v>0</v>
      </c>
      <c r="AK117" s="1763">
        <f t="shared" si="18"/>
        <v>0</v>
      </c>
    </row>
    <row r="118" spans="1:45" ht="12.75" customHeight="1">
      <c r="A118" s="82"/>
      <c r="B118" s="161" t="s">
        <v>2400</v>
      </c>
      <c r="C118" s="280" t="str">
        <f>"Total distributions you received in "&amp;TaxYear&amp;" from all HSAs (see instructions)"</f>
        <v>Total distributions you received in 2018 from all HSAs (see instructions)</v>
      </c>
      <c r="D118" s="280"/>
      <c r="E118" s="237"/>
      <c r="F118" s="237"/>
      <c r="G118" s="238"/>
      <c r="H118" s="238"/>
      <c r="I118" s="238"/>
      <c r="J118" s="238"/>
      <c r="K118" s="1553" t="s">
        <v>1100</v>
      </c>
      <c r="L118" s="256" t="str">
        <f>B118</f>
        <v>14a</v>
      </c>
      <c r="M118" s="1726"/>
      <c r="N118" s="717"/>
      <c r="O118" s="4527" t="str">
        <f>IF(M115,"emphasis.","")</f>
        <v/>
      </c>
      <c r="P118" s="3548"/>
      <c r="Q118" s="603"/>
      <c r="R118" s="2562"/>
      <c r="S118" s="3244"/>
      <c r="T118" s="3244"/>
      <c r="U118" s="3244"/>
      <c r="V118" s="3244"/>
      <c r="W118" s="2562"/>
      <c r="X118" s="3222" t="s">
        <v>1377</v>
      </c>
      <c r="Y118" s="1766"/>
      <c r="Z118" s="3234"/>
      <c r="AA118" s="3234"/>
      <c r="AB118" s="3234"/>
      <c r="AC118" s="1766"/>
      <c r="AD118" s="4524" t="str">
        <f t="shared" si="19"/>
        <v>S</v>
      </c>
      <c r="AE118" s="1766"/>
      <c r="AF118" s="3223">
        <f t="shared" si="20"/>
        <v>4450</v>
      </c>
      <c r="AG118" s="3224"/>
      <c r="AH118" s="1607"/>
      <c r="AI118" s="3223">
        <f t="shared" si="22"/>
        <v>4450</v>
      </c>
      <c r="AJ118" s="3223">
        <f t="shared" si="21"/>
        <v>0</v>
      </c>
      <c r="AK118" s="1763">
        <f t="shared" si="18"/>
        <v>0</v>
      </c>
    </row>
    <row r="119" spans="1:45" s="1068" customFormat="1" ht="12" customHeight="1">
      <c r="A119" s="82"/>
      <c r="B119" s="161" t="s">
        <v>54</v>
      </c>
      <c r="C119" s="403" t="s">
        <v>2402</v>
      </c>
      <c r="D119" s="280"/>
      <c r="E119" s="237"/>
      <c r="F119" s="237"/>
      <c r="G119" s="238"/>
      <c r="H119" s="238"/>
      <c r="I119" s="238"/>
      <c r="J119" s="238"/>
      <c r="K119" s="162"/>
      <c r="L119" s="899"/>
      <c r="M119" s="1753"/>
      <c r="N119" s="716"/>
      <c r="O119" s="2562"/>
      <c r="P119" s="3547"/>
      <c r="Q119" s="628"/>
      <c r="R119" s="2562"/>
      <c r="S119" s="270"/>
      <c r="T119" s="270"/>
      <c r="U119" s="270"/>
      <c r="V119" s="270"/>
      <c r="W119" s="2562"/>
      <c r="X119" s="3222" t="s">
        <v>1379</v>
      </c>
      <c r="Y119" s="1766"/>
      <c r="Z119" s="3234"/>
      <c r="AA119" s="3234"/>
      <c r="AB119" s="3234"/>
      <c r="AC119" s="1766"/>
      <c r="AD119" s="4524" t="str">
        <f t="shared" si="19"/>
        <v>S</v>
      </c>
      <c r="AE119" s="1766"/>
      <c r="AF119" s="3223">
        <f t="shared" si="20"/>
        <v>4450</v>
      </c>
      <c r="AG119" s="3224"/>
      <c r="AH119" s="1607"/>
      <c r="AI119" s="3223">
        <f t="shared" si="22"/>
        <v>4450</v>
      </c>
      <c r="AJ119" s="3223">
        <f t="shared" si="21"/>
        <v>0</v>
      </c>
      <c r="AK119" s="1763">
        <f t="shared" si="18"/>
        <v>0</v>
      </c>
      <c r="AL119" s="3169"/>
      <c r="AM119" s="3169"/>
      <c r="AN119" s="3169"/>
      <c r="AO119" s="3169"/>
      <c r="AP119" s="3169"/>
      <c r="AQ119" s="3169"/>
      <c r="AR119" s="3169"/>
      <c r="AS119" s="3169"/>
    </row>
    <row r="120" spans="1:45" ht="12" customHeight="1">
      <c r="A120" s="82"/>
      <c r="B120" s="162"/>
      <c r="C120" s="403" t="s">
        <v>2403</v>
      </c>
      <c r="D120" s="185"/>
      <c r="E120" s="237"/>
      <c r="F120" s="237"/>
      <c r="G120" s="238"/>
      <c r="H120" s="238"/>
      <c r="I120" s="238"/>
      <c r="J120" s="238"/>
      <c r="K120" s="238"/>
      <c r="L120" s="232"/>
      <c r="M120" s="555"/>
      <c r="N120" s="717"/>
      <c r="O120" s="1450"/>
      <c r="P120" s="3548"/>
      <c r="Q120" s="628"/>
      <c r="R120" s="1450"/>
      <c r="S120" s="270"/>
      <c r="T120" s="270"/>
      <c r="U120" s="270"/>
      <c r="V120" s="270"/>
      <c r="W120" s="2562"/>
      <c r="X120" s="3222" t="s">
        <v>1381</v>
      </c>
      <c r="Y120" s="1766"/>
      <c r="Z120" s="3234"/>
      <c r="AA120" s="3234"/>
      <c r="AB120" s="3234"/>
      <c r="AC120" s="1766"/>
      <c r="AD120" s="4524" t="str">
        <f t="shared" si="19"/>
        <v>S</v>
      </c>
      <c r="AE120" s="1766"/>
      <c r="AF120" s="3223">
        <f t="shared" si="20"/>
        <v>4450</v>
      </c>
      <c r="AG120" s="3224"/>
      <c r="AH120" s="1607"/>
      <c r="AI120" s="3223">
        <f t="shared" si="22"/>
        <v>4450</v>
      </c>
      <c r="AJ120" s="3223">
        <f t="shared" si="21"/>
        <v>0</v>
      </c>
      <c r="AK120" s="1763">
        <f t="shared" si="18"/>
        <v>0</v>
      </c>
    </row>
    <row r="121" spans="1:45" ht="12" customHeight="1">
      <c r="A121" s="82"/>
      <c r="B121" s="162"/>
      <c r="C121" s="403" t="s">
        <v>2404</v>
      </c>
      <c r="D121" s="185"/>
      <c r="E121" s="237"/>
      <c r="F121" s="237"/>
      <c r="G121" s="238"/>
      <c r="H121" s="162"/>
      <c r="I121" s="162"/>
      <c r="J121" s="162"/>
      <c r="K121" s="1553" t="s">
        <v>1048</v>
      </c>
      <c r="L121" s="256" t="s">
        <v>2401</v>
      </c>
      <c r="M121" s="1726"/>
      <c r="N121" s="717"/>
      <c r="O121" s="1450"/>
      <c r="P121" s="3548"/>
      <c r="Q121" s="628"/>
      <c r="R121" s="1450"/>
      <c r="S121" s="270"/>
      <c r="T121" s="270"/>
      <c r="U121" s="270"/>
      <c r="V121" s="270"/>
      <c r="W121" s="2562"/>
      <c r="X121" s="3222" t="s">
        <v>1383</v>
      </c>
      <c r="Y121" s="1766"/>
      <c r="Z121" s="3234"/>
      <c r="AA121" s="3234"/>
      <c r="AB121" s="3234"/>
      <c r="AC121" s="1766"/>
      <c r="AD121" s="4524" t="str">
        <f t="shared" si="19"/>
        <v>S</v>
      </c>
      <c r="AE121" s="1766"/>
      <c r="AF121" s="3223">
        <f t="shared" si="20"/>
        <v>4450</v>
      </c>
      <c r="AG121" s="3224"/>
      <c r="AH121" s="1607"/>
      <c r="AI121" s="3223">
        <f t="shared" si="22"/>
        <v>4450</v>
      </c>
      <c r="AJ121" s="3223">
        <f t="shared" si="21"/>
        <v>0</v>
      </c>
      <c r="AK121" s="1763">
        <f t="shared" si="18"/>
        <v>0</v>
      </c>
    </row>
    <row r="122" spans="1:45" ht="12.75" customHeight="1">
      <c r="A122" s="82"/>
      <c r="B122" s="161" t="s">
        <v>55</v>
      </c>
      <c r="C122" s="403" t="s">
        <v>2406</v>
      </c>
      <c r="D122" s="280"/>
      <c r="E122" s="237"/>
      <c r="F122" s="237"/>
      <c r="G122" s="238"/>
      <c r="H122" s="238"/>
      <c r="I122" s="238"/>
      <c r="J122" s="238"/>
      <c r="K122" s="1553" t="s">
        <v>2424</v>
      </c>
      <c r="L122" s="256" t="s">
        <v>2405</v>
      </c>
      <c r="M122" s="1725">
        <f>SUM(M118,-M121)</f>
        <v>0</v>
      </c>
      <c r="N122" s="717"/>
      <c r="O122" s="2562"/>
      <c r="P122" s="3548"/>
      <c r="Q122" s="628"/>
      <c r="R122" s="2562"/>
      <c r="S122" s="270"/>
      <c r="T122" s="270"/>
      <c r="U122" s="270"/>
      <c r="V122" s="270"/>
      <c r="W122" s="2562"/>
      <c r="X122" s="3222" t="s">
        <v>1385</v>
      </c>
      <c r="Y122" s="1766"/>
      <c r="Z122" s="3234"/>
      <c r="AA122" s="3234"/>
      <c r="AB122" s="3234"/>
      <c r="AC122" s="1766"/>
      <c r="AD122" s="4524" t="str">
        <f t="shared" si="19"/>
        <v>S</v>
      </c>
      <c r="AE122" s="1766"/>
      <c r="AF122" s="3223">
        <f t="shared" si="20"/>
        <v>4450</v>
      </c>
      <c r="AG122" s="3224"/>
      <c r="AH122" s="1607"/>
      <c r="AI122" s="3223">
        <f t="shared" si="22"/>
        <v>4450</v>
      </c>
      <c r="AJ122" s="3223">
        <f t="shared" si="21"/>
        <v>0</v>
      </c>
      <c r="AK122" s="1763">
        <f t="shared" si="18"/>
        <v>0</v>
      </c>
    </row>
    <row r="123" spans="1:45" ht="12.75" customHeight="1">
      <c r="A123" s="82"/>
      <c r="B123" s="161">
        <v>15</v>
      </c>
      <c r="C123" s="403" t="s">
        <v>2407</v>
      </c>
      <c r="D123" s="280"/>
      <c r="E123" s="237"/>
      <c r="F123" s="237"/>
      <c r="G123" s="238"/>
      <c r="H123" s="238"/>
      <c r="I123" s="238"/>
      <c r="J123" s="238"/>
      <c r="K123" s="1553" t="s">
        <v>678</v>
      </c>
      <c r="L123" s="343">
        <f>B123</f>
        <v>15</v>
      </c>
      <c r="M123" s="1726"/>
      <c r="N123" s="717"/>
      <c r="O123" s="2562"/>
      <c r="P123" s="3548"/>
      <c r="Q123" s="603"/>
      <c r="R123" s="2562"/>
      <c r="S123" s="270"/>
      <c r="T123" s="270"/>
      <c r="U123" s="270"/>
      <c r="V123" s="270"/>
      <c r="W123" s="2562"/>
      <c r="X123" s="3222" t="s">
        <v>1387</v>
      </c>
      <c r="Y123" s="1766"/>
      <c r="Z123" s="3234"/>
      <c r="AA123" s="3234"/>
      <c r="AB123" s="3234"/>
      <c r="AC123" s="1766"/>
      <c r="AD123" s="4524" t="str">
        <f t="shared" si="19"/>
        <v>S</v>
      </c>
      <c r="AE123" s="1766"/>
      <c r="AF123" s="3223">
        <f t="shared" si="20"/>
        <v>4450</v>
      </c>
      <c r="AG123" s="3224"/>
      <c r="AH123" s="1607"/>
      <c r="AI123" s="3223">
        <f t="shared" si="22"/>
        <v>4450</v>
      </c>
      <c r="AJ123" s="3223">
        <f t="shared" si="21"/>
        <v>0</v>
      </c>
      <c r="AK123" s="1763">
        <f t="shared" si="18"/>
        <v>0</v>
      </c>
    </row>
    <row r="124" spans="1:45" s="1068" customFormat="1" ht="12" customHeight="1" thickBot="1">
      <c r="A124" s="82"/>
      <c r="B124" s="161">
        <v>16</v>
      </c>
      <c r="C124" s="280" t="s">
        <v>2427</v>
      </c>
      <c r="D124" s="280"/>
      <c r="E124" s="237"/>
      <c r="F124" s="237"/>
      <c r="G124" s="238"/>
      <c r="H124" s="238"/>
      <c r="I124" s="238"/>
      <c r="J124" s="238"/>
      <c r="K124" s="162"/>
      <c r="L124" s="899"/>
      <c r="M124" s="1753"/>
      <c r="N124" s="716"/>
      <c r="O124" s="2562"/>
      <c r="P124" s="3547"/>
      <c r="Q124" s="628"/>
      <c r="R124" s="2562"/>
      <c r="S124" s="270"/>
      <c r="T124" s="270"/>
      <c r="U124" s="270"/>
      <c r="V124" s="270"/>
      <c r="W124" s="2562"/>
      <c r="X124" s="3222" t="s">
        <v>1389</v>
      </c>
      <c r="Y124" s="1766"/>
      <c r="Z124" s="3234"/>
      <c r="AA124" s="3234"/>
      <c r="AB124" s="3234"/>
      <c r="AC124" s="1766"/>
      <c r="AD124" s="4524" t="str">
        <f t="shared" si="19"/>
        <v>S</v>
      </c>
      <c r="AE124" s="1766"/>
      <c r="AF124" s="3225">
        <f t="shared" si="20"/>
        <v>4450</v>
      </c>
      <c r="AG124" s="3224"/>
      <c r="AH124" s="1607"/>
      <c r="AI124" s="3225">
        <f t="shared" si="22"/>
        <v>4450</v>
      </c>
      <c r="AJ124" s="3225">
        <f t="shared" si="21"/>
        <v>0</v>
      </c>
      <c r="AK124" s="3529">
        <f t="shared" si="18"/>
        <v>0</v>
      </c>
      <c r="AL124" s="3169"/>
      <c r="AM124" s="3169"/>
      <c r="AN124" s="3169"/>
      <c r="AO124" s="3169"/>
      <c r="AP124" s="3169"/>
      <c r="AQ124" s="3169"/>
      <c r="AR124" s="3169"/>
      <c r="AS124" s="3169"/>
    </row>
    <row r="125" spans="1:45" ht="12" customHeight="1" thickTop="1">
      <c r="A125" s="82"/>
      <c r="B125" s="162"/>
      <c r="C125" s="403" t="s">
        <v>3340</v>
      </c>
      <c r="D125" s="185"/>
      <c r="E125" s="237"/>
      <c r="F125" s="237"/>
      <c r="G125" s="238"/>
      <c r="H125" s="238"/>
      <c r="I125" s="238"/>
      <c r="J125" s="238"/>
      <c r="K125" s="238"/>
      <c r="L125" s="232"/>
      <c r="M125" s="555"/>
      <c r="N125" s="717"/>
      <c r="O125" s="1450"/>
      <c r="P125" s="3548"/>
      <c r="Q125" s="628"/>
      <c r="R125" s="1450"/>
      <c r="S125" s="270"/>
      <c r="T125" s="270"/>
      <c r="U125" s="270"/>
      <c r="V125" s="270"/>
      <c r="W125" s="2562"/>
      <c r="X125" s="3219"/>
      <c r="Y125" s="1766"/>
      <c r="Z125" s="3234"/>
      <c r="AA125" s="3234"/>
      <c r="AB125" s="3234"/>
      <c r="AC125" s="1766"/>
      <c r="AD125" s="3234"/>
      <c r="AE125" s="1766"/>
      <c r="AF125" s="3223">
        <f>SUM(AF113:AF124)</f>
        <v>53400</v>
      </c>
      <c r="AG125" s="3224"/>
      <c r="AH125" s="1607"/>
      <c r="AI125" s="3223">
        <f>SUM(AI113:AI124)</f>
        <v>40053</v>
      </c>
      <c r="AJ125" s="3223">
        <f>SUM(AJ113:AJ124)</f>
        <v>0</v>
      </c>
      <c r="AK125" s="1763">
        <f>SUM(AK113:AK124)</f>
        <v>0</v>
      </c>
    </row>
    <row r="126" spans="1:45" ht="12" customHeight="1">
      <c r="A126" s="82"/>
      <c r="B126" s="162"/>
      <c r="C126" s="403" t="s">
        <v>3341</v>
      </c>
      <c r="D126" s="185"/>
      <c r="E126" s="237"/>
      <c r="F126" s="237"/>
      <c r="G126" s="238"/>
      <c r="H126" s="162"/>
      <c r="I126" s="162"/>
      <c r="J126" s="162"/>
      <c r="K126" s="1553" t="s">
        <v>981</v>
      </c>
      <c r="L126" s="343">
        <f>B124</f>
        <v>16</v>
      </c>
      <c r="M126" s="1725">
        <f>IF(Q126&lt;&gt;"",ROUND(Q126,0),IF(SUM(M122,-M123)&lt;0,0,SUM(M122,-M123)))</f>
        <v>0</v>
      </c>
      <c r="N126" s="717"/>
      <c r="O126" s="1450"/>
      <c r="P126" s="3548"/>
      <c r="Q126" s="470"/>
      <c r="R126" s="1450"/>
      <c r="S126" s="270"/>
      <c r="T126" s="270"/>
      <c r="U126" s="270"/>
      <c r="V126" s="270"/>
      <c r="W126" s="2562"/>
      <c r="X126" s="3220"/>
      <c r="Y126" s="3234"/>
      <c r="Z126" s="3234"/>
      <c r="AA126" s="3234"/>
      <c r="AB126" s="3234"/>
      <c r="AC126" s="3234"/>
      <c r="AD126" s="3234"/>
      <c r="AE126" s="1766"/>
      <c r="AF126" s="3223">
        <f>ROUND(AF125/12,0)</f>
        <v>4450</v>
      </c>
      <c r="AG126" s="3224"/>
      <c r="AH126" s="1607"/>
      <c r="AI126" s="3223">
        <f>ROUND(AI125/12,0)</f>
        <v>3338</v>
      </c>
      <c r="AJ126" s="3223">
        <f>ROUND(AJ125/12,0)</f>
        <v>0</v>
      </c>
      <c r="AK126" s="1766"/>
    </row>
    <row r="127" spans="1:45" s="1068" customFormat="1" ht="12" customHeight="1" thickBot="1">
      <c r="A127" s="82"/>
      <c r="B127" s="161" t="s">
        <v>2408</v>
      </c>
      <c r="C127" s="403" t="s">
        <v>4152</v>
      </c>
      <c r="D127" s="280"/>
      <c r="E127" s="237"/>
      <c r="F127" s="237"/>
      <c r="G127" s="238"/>
      <c r="H127" s="238"/>
      <c r="I127" s="238"/>
      <c r="J127" s="238"/>
      <c r="K127" s="162"/>
      <c r="L127" s="2887"/>
      <c r="M127" s="1753"/>
      <c r="N127" s="716"/>
      <c r="O127" s="2562"/>
      <c r="P127" s="3547"/>
      <c r="Q127" s="2900" t="str">
        <f>IF(J128&lt;&gt;"","Enter distributions","")</f>
        <v/>
      </c>
      <c r="R127" s="2562"/>
      <c r="S127" s="270"/>
      <c r="T127" s="270"/>
      <c r="U127" s="270"/>
      <c r="V127" s="270"/>
      <c r="W127" s="2562"/>
      <c r="X127" s="4530"/>
      <c r="Y127" s="2610"/>
      <c r="Z127" s="4522"/>
      <c r="AA127" s="2610"/>
      <c r="AB127" s="4522"/>
      <c r="AC127" s="2610"/>
      <c r="AD127" s="4522"/>
      <c r="AE127" s="2610"/>
      <c r="AF127" s="4531"/>
      <c r="AG127" s="2611"/>
      <c r="AH127" s="1766"/>
      <c r="AI127" s="1766"/>
      <c r="AJ127" s="1766"/>
      <c r="AK127" s="1766"/>
      <c r="AL127" s="3169"/>
      <c r="AM127" s="3169"/>
      <c r="AN127" s="3169"/>
      <c r="AO127" s="3169"/>
      <c r="AP127" s="3169"/>
      <c r="AQ127" s="3169"/>
      <c r="AR127" s="3169"/>
      <c r="AS127" s="3169"/>
    </row>
    <row r="128" spans="1:45" ht="12" customHeight="1" thickBot="1">
      <c r="A128" s="82"/>
      <c r="B128" s="162"/>
      <c r="C128" s="225" t="str">
        <f>" "&amp;TEXT($M$56,"0%")&amp;"  Tax"</f>
        <v xml:space="preserve"> 20%  Tax</v>
      </c>
      <c r="D128" s="403" t="s">
        <v>2425</v>
      </c>
      <c r="E128" s="237"/>
      <c r="F128" s="237"/>
      <c r="G128" s="238"/>
      <c r="H128" s="238"/>
      <c r="I128" s="4086" t="s">
        <v>513</v>
      </c>
      <c r="J128" s="1500"/>
      <c r="K128" s="238"/>
      <c r="L128" s="2887"/>
      <c r="M128" s="555"/>
      <c r="N128" s="717"/>
      <c r="O128" s="1450"/>
      <c r="P128" s="3548"/>
      <c r="Q128" s="2900" t="str">
        <f>IF(J128&lt;&gt;"","subject to","")</f>
        <v/>
      </c>
      <c r="R128" s="1450"/>
      <c r="S128" s="270"/>
      <c r="T128" s="270"/>
      <c r="U128" s="270"/>
      <c r="V128" s="270"/>
      <c r="W128" s="3210"/>
      <c r="X128" s="2562"/>
      <c r="Y128" s="1766"/>
      <c r="Z128" s="3234"/>
      <c r="AA128" s="1766"/>
      <c r="AB128" s="3234"/>
      <c r="AC128" s="1766"/>
      <c r="AD128" s="3234"/>
      <c r="AE128" s="1766"/>
      <c r="AF128" s="3235"/>
      <c r="AG128" s="1766"/>
      <c r="AH128" s="1766"/>
      <c r="AI128" s="1766"/>
      <c r="AJ128" s="1766"/>
      <c r="AK128" s="1766"/>
    </row>
    <row r="129" spans="1:45" s="1068" customFormat="1" ht="12" customHeight="1">
      <c r="A129" s="82"/>
      <c r="B129" s="161" t="s">
        <v>54</v>
      </c>
      <c r="C129" s="225" t="str">
        <f>"Additional "&amp;TEXT(M129,"0%")&amp;" tax"</f>
        <v>Additional 20% tax</v>
      </c>
      <c r="D129" s="280"/>
      <c r="E129" s="237"/>
      <c r="F129" s="403"/>
      <c r="G129" s="238"/>
      <c r="H129" s="238"/>
      <c r="I129" s="238"/>
      <c r="J129" s="238"/>
      <c r="K129" s="2895" t="str">
        <f>"(see instructions). Enter "&amp;TEXT($M$56,"0%")&amp;" ("&amp;TEXT($M$56,".00")&amp;") of the distributions included on line 16        "</f>
        <v xml:space="preserve">(see instructions). Enter 20% (.20) of the distributions included on line 16        </v>
      </c>
      <c r="L129" s="2887"/>
      <c r="M129" s="1785">
        <v>0.2</v>
      </c>
      <c r="N129" s="716"/>
      <c r="O129" s="2562"/>
      <c r="P129" s="3547"/>
      <c r="Q129" s="2900" t="str">
        <f>IF(J128&lt;&gt;"","additional tax here:","")</f>
        <v/>
      </c>
      <c r="R129" s="2562"/>
      <c r="S129" s="270"/>
      <c r="T129" s="270"/>
      <c r="U129" s="270"/>
      <c r="V129" s="270"/>
      <c r="W129" s="2562"/>
      <c r="X129" s="1450"/>
      <c r="Y129" s="1766"/>
      <c r="Z129" s="3234"/>
      <c r="AA129" s="1766"/>
      <c r="AB129" s="3234"/>
      <c r="AC129" s="1766"/>
      <c r="AD129" s="3234"/>
      <c r="AE129" s="1766"/>
      <c r="AF129" s="3235"/>
      <c r="AG129" s="1766"/>
      <c r="AH129" s="1766"/>
      <c r="AI129" s="1763"/>
      <c r="AJ129" s="1763"/>
      <c r="AK129" s="1763"/>
      <c r="AL129" s="3169"/>
      <c r="AM129" s="3169"/>
      <c r="AN129" s="3169"/>
      <c r="AO129" s="3169"/>
      <c r="AP129" s="3169"/>
      <c r="AQ129" s="3169"/>
      <c r="AR129" s="3169"/>
      <c r="AS129" s="3169"/>
    </row>
    <row r="130" spans="1:45" ht="12" customHeight="1">
      <c r="A130" s="82"/>
      <c r="B130" s="162"/>
      <c r="C130" s="403" t="str">
        <f>"that are subject to the additional "&amp;TEXT($M$56,"0%")&amp;" tax. Also include this amount in the total on Schedule 4"</f>
        <v>that are subject to the additional 20% tax. Also include this amount in the total on Schedule 4</v>
      </c>
      <c r="D130" s="185"/>
      <c r="E130" s="237"/>
      <c r="F130" s="237"/>
      <c r="G130" s="238"/>
      <c r="H130" s="238"/>
      <c r="I130" s="238"/>
      <c r="J130" s="238"/>
      <c r="K130" s="238"/>
      <c r="L130" s="2887"/>
      <c r="M130" s="555"/>
      <c r="N130" s="717"/>
      <c r="O130" s="1450"/>
      <c r="P130" s="3548"/>
      <c r="Q130" s="2901"/>
      <c r="R130" s="1450"/>
      <c r="S130" s="270"/>
      <c r="T130" s="270"/>
      <c r="U130" s="270"/>
      <c r="V130" s="270"/>
      <c r="W130" s="2562"/>
      <c r="X130" s="1450"/>
      <c r="Y130" s="1766"/>
      <c r="Z130" s="3234"/>
      <c r="AA130" s="1766"/>
      <c r="AB130" s="3234"/>
      <c r="AC130" s="1766"/>
      <c r="AD130" s="3234"/>
      <c r="AE130" s="1766"/>
      <c r="AF130" s="3235"/>
      <c r="AG130" s="1766"/>
      <c r="AH130" s="1766"/>
      <c r="AI130" s="1766"/>
      <c r="AJ130" s="1766"/>
      <c r="AK130" s="1766"/>
    </row>
    <row r="131" spans="1:45" ht="12" customHeight="1">
      <c r="A131" s="82"/>
      <c r="B131" s="162"/>
      <c r="C131" s="403" t="s">
        <v>3342</v>
      </c>
      <c r="D131" s="185"/>
      <c r="E131" s="237"/>
      <c r="F131" s="237"/>
      <c r="G131" s="238"/>
      <c r="H131" s="162"/>
      <c r="I131" s="162"/>
      <c r="J131" s="162"/>
      <c r="K131" s="1553"/>
      <c r="L131" s="2887"/>
      <c r="M131" s="555"/>
      <c r="N131" s="717"/>
      <c r="O131" s="1450"/>
      <c r="P131" s="3548"/>
      <c r="Q131" s="628"/>
      <c r="R131" s="1450"/>
      <c r="S131" s="270"/>
      <c r="T131" s="270"/>
      <c r="U131" s="270"/>
      <c r="V131" s="270"/>
      <c r="W131" s="2561"/>
      <c r="X131" s="3239"/>
      <c r="Y131" s="1766"/>
      <c r="Z131" s="3234"/>
      <c r="AA131" s="1766"/>
      <c r="AB131" s="3234"/>
      <c r="AC131" s="1766"/>
      <c r="AD131" s="3234"/>
      <c r="AE131" s="1766"/>
      <c r="AF131" s="3235"/>
      <c r="AG131" s="1766"/>
      <c r="AH131" s="1766"/>
      <c r="AI131" s="1766"/>
      <c r="AJ131" s="1766"/>
      <c r="AK131" s="1766"/>
    </row>
    <row r="132" spans="1:45" ht="12.75" customHeight="1" thickBot="1">
      <c r="A132" s="82"/>
      <c r="B132" s="161"/>
      <c r="C132" s="403" t="s">
        <v>4159</v>
      </c>
      <c r="D132" s="185"/>
      <c r="E132" s="237"/>
      <c r="F132" s="237"/>
      <c r="G132" s="238"/>
      <c r="H132" s="238"/>
      <c r="I132" s="238"/>
      <c r="J132" s="238"/>
      <c r="K132" s="1553"/>
      <c r="L132" s="343" t="s">
        <v>2409</v>
      </c>
      <c r="M132" s="1725">
        <f>IF(Q132&lt;&gt;"",ROUND(Q132,0),IF(J128&lt;&gt;"",ROUND(M129*Q130,0),ROUND($M$56*M126,0)))</f>
        <v>0</v>
      </c>
      <c r="N132" s="717"/>
      <c r="O132" s="2562"/>
      <c r="P132" s="926"/>
      <c r="Q132" s="470"/>
      <c r="R132" s="2562"/>
      <c r="S132" s="270"/>
      <c r="T132" s="270"/>
      <c r="U132" s="270"/>
      <c r="V132" s="270"/>
      <c r="W132" s="2561"/>
      <c r="X132" s="1450"/>
      <c r="Y132" s="1766"/>
      <c r="Z132" s="3234"/>
      <c r="AA132" s="1766"/>
      <c r="AB132" s="3234"/>
      <c r="AC132" s="1766"/>
      <c r="AD132" s="3234"/>
      <c r="AE132" s="1766"/>
      <c r="AF132" s="3235"/>
      <c r="AG132" s="1766"/>
      <c r="AH132" s="1766"/>
      <c r="AI132" s="1766"/>
      <c r="AJ132" s="1766"/>
      <c r="AK132" s="1766"/>
    </row>
    <row r="133" spans="1:45" s="244" customFormat="1" ht="15" customHeight="1">
      <c r="A133" s="82"/>
      <c r="B133" s="166" t="s">
        <v>564</v>
      </c>
      <c r="C133" s="272"/>
      <c r="D133" s="272"/>
      <c r="E133" s="272"/>
      <c r="F133" s="272"/>
      <c r="G133" s="605"/>
      <c r="H133" s="606"/>
      <c r="I133" s="605"/>
      <c r="J133" s="743" t="s">
        <v>2410</v>
      </c>
      <c r="K133" s="605"/>
      <c r="L133" s="607" t="s">
        <v>2411</v>
      </c>
      <c r="M133" s="1100" t="str">
        <f>"  ("&amp;TaxYear&amp;")"</f>
        <v xml:space="preserve">  (2018)</v>
      </c>
      <c r="N133" s="723"/>
      <c r="O133" s="1450"/>
      <c r="P133" s="3547"/>
      <c r="Q133" s="603"/>
      <c r="R133" s="1450"/>
      <c r="S133" s="3245"/>
      <c r="T133" s="3245"/>
      <c r="U133" s="3245"/>
      <c r="V133" s="3245"/>
      <c r="W133" s="2561"/>
      <c r="X133" s="1450"/>
      <c r="Y133" s="1766"/>
      <c r="Z133" s="3234"/>
      <c r="AA133" s="1766"/>
      <c r="AB133" s="3234"/>
      <c r="AC133" s="1766"/>
      <c r="AD133" s="3234"/>
      <c r="AE133" s="1766"/>
      <c r="AF133" s="3235"/>
      <c r="AG133" s="1766"/>
      <c r="AH133" s="1766"/>
      <c r="AI133" s="1766"/>
      <c r="AJ133" s="1766"/>
      <c r="AK133" s="1766"/>
      <c r="AL133" s="3169"/>
      <c r="AM133" s="3169"/>
      <c r="AN133" s="3169"/>
      <c r="AO133" s="3169"/>
      <c r="AP133" s="3169"/>
      <c r="AQ133" s="3169"/>
      <c r="AR133" s="3169"/>
      <c r="AS133" s="3169"/>
    </row>
    <row r="134" spans="1:45" s="244" customFormat="1" ht="19.5" customHeight="1">
      <c r="A134" s="82"/>
      <c r="B134" s="150" t="str">
        <f>"Form 8889   ("&amp;TaxYear&amp;")"</f>
        <v>Form 8889   (2018)</v>
      </c>
      <c r="C134" s="150"/>
      <c r="D134" s="150"/>
      <c r="E134" s="153"/>
      <c r="F134" s="153"/>
      <c r="G134" s="236"/>
      <c r="H134" s="651"/>
      <c r="I134" s="236"/>
      <c r="J134" s="2891"/>
      <c r="K134" s="236"/>
      <c r="L134" s="982"/>
      <c r="M134" s="2892" t="s">
        <v>3343</v>
      </c>
      <c r="N134" s="723"/>
      <c r="O134" s="1450"/>
      <c r="P134" s="3547"/>
      <c r="Q134" s="603"/>
      <c r="R134" s="1450"/>
      <c r="S134" s="270"/>
      <c r="T134" s="270"/>
      <c r="U134" s="270"/>
      <c r="V134" s="270"/>
      <c r="W134" s="2562"/>
      <c r="X134" s="1876"/>
      <c r="Y134" s="1766"/>
      <c r="Z134" s="3234"/>
      <c r="AA134" s="1766"/>
      <c r="AB134" s="3234"/>
      <c r="AC134" s="1766"/>
      <c r="AD134" s="3234"/>
      <c r="AE134" s="1766"/>
      <c r="AF134" s="3235"/>
      <c r="AG134" s="1766"/>
      <c r="AH134" s="1766"/>
      <c r="AI134" s="1766"/>
      <c r="AJ134" s="1766"/>
      <c r="AK134" s="1766"/>
      <c r="AL134" s="3169"/>
      <c r="AM134" s="3169"/>
      <c r="AN134" s="3169"/>
      <c r="AO134" s="3169"/>
      <c r="AP134" s="3169"/>
      <c r="AQ134" s="3169"/>
      <c r="AR134" s="3169"/>
      <c r="AS134" s="3169"/>
    </row>
    <row r="135" spans="1:45">
      <c r="A135" s="82"/>
      <c r="B135" s="2875" t="s">
        <v>363</v>
      </c>
      <c r="C135" s="7893" t="s">
        <v>2412</v>
      </c>
      <c r="D135" s="7893"/>
      <c r="E135" s="7894"/>
      <c r="F135" s="7894"/>
      <c r="G135" s="7894"/>
      <c r="H135" s="7894"/>
      <c r="I135" s="7894"/>
      <c r="J135" s="7894"/>
      <c r="K135" s="7894"/>
      <c r="L135" s="7894"/>
      <c r="M135" s="7894"/>
      <c r="N135" s="715"/>
      <c r="O135" s="1876"/>
      <c r="P135" s="616"/>
      <c r="Q135" s="733"/>
      <c r="R135" s="1876"/>
      <c r="S135" s="270"/>
      <c r="T135" s="270"/>
      <c r="U135" s="270"/>
      <c r="V135" s="270"/>
      <c r="W135" s="2562"/>
      <c r="X135" s="1876"/>
      <c r="Y135" s="1766"/>
      <c r="Z135" s="3234"/>
      <c r="AA135" s="1766"/>
      <c r="AB135" s="3234"/>
      <c r="AC135" s="1766"/>
      <c r="AD135" s="3234"/>
      <c r="AE135" s="1766"/>
      <c r="AF135" s="3235"/>
      <c r="AG135" s="1766"/>
      <c r="AH135" s="1766"/>
      <c r="AI135" s="1766"/>
      <c r="AJ135" s="1766"/>
      <c r="AK135" s="1766"/>
    </row>
    <row r="136" spans="1:45" ht="12" customHeight="1">
      <c r="A136" s="82"/>
      <c r="B136" s="2878"/>
      <c r="C136" s="7911" t="s">
        <v>2413</v>
      </c>
      <c r="D136" s="7911"/>
      <c r="E136" s="7912"/>
      <c r="F136" s="7912"/>
      <c r="G136" s="7912"/>
      <c r="H136" s="7912"/>
      <c r="I136" s="7912"/>
      <c r="J136" s="7912"/>
      <c r="K136" s="7912"/>
      <c r="L136" s="7912"/>
      <c r="M136" s="7912"/>
      <c r="N136" s="715"/>
      <c r="O136" s="1876"/>
      <c r="P136" s="2885"/>
      <c r="Q136" s="733"/>
      <c r="R136" s="1876"/>
      <c r="S136" s="3244"/>
      <c r="T136" s="3244"/>
      <c r="U136" s="3244"/>
      <c r="V136" s="3244"/>
      <c r="W136" s="2562"/>
      <c r="X136" s="1876"/>
      <c r="Y136" s="1766"/>
      <c r="Z136" s="3234"/>
      <c r="AA136" s="1766"/>
      <c r="AB136" s="3234"/>
      <c r="AC136" s="1766"/>
      <c r="AD136" s="3234"/>
      <c r="AE136" s="1766"/>
      <c r="AF136" s="3235"/>
      <c r="AG136" s="1766"/>
      <c r="AH136" s="1766"/>
      <c r="AI136" s="1766"/>
      <c r="AJ136" s="1766"/>
      <c r="AK136" s="1766"/>
    </row>
    <row r="137" spans="1:45" ht="12" customHeight="1">
      <c r="A137" s="82"/>
      <c r="B137" s="2890"/>
      <c r="C137" s="7909" t="s">
        <v>2414</v>
      </c>
      <c r="D137" s="7909"/>
      <c r="E137" s="7910"/>
      <c r="F137" s="7910"/>
      <c r="G137" s="7910"/>
      <c r="H137" s="7910"/>
      <c r="I137" s="7910"/>
      <c r="J137" s="7910"/>
      <c r="K137" s="7910"/>
      <c r="L137" s="7910"/>
      <c r="M137" s="7910"/>
      <c r="N137" s="715"/>
      <c r="O137" s="1876"/>
      <c r="P137" s="2885"/>
      <c r="Q137" s="733"/>
      <c r="R137" s="1876"/>
      <c r="S137" s="3244"/>
      <c r="T137" s="3244"/>
      <c r="U137" s="3244"/>
      <c r="V137" s="3244"/>
      <c r="W137" s="2562"/>
      <c r="X137" s="1450"/>
      <c r="Y137" s="1766"/>
      <c r="Z137" s="3234"/>
      <c r="AA137" s="1766"/>
      <c r="AB137" s="3234"/>
      <c r="AC137" s="1766"/>
      <c r="AD137" s="3234"/>
      <c r="AE137" s="1766"/>
      <c r="AF137" s="3235"/>
      <c r="AG137" s="1766"/>
      <c r="AH137" s="1766"/>
      <c r="AI137" s="1766"/>
      <c r="AJ137" s="1766"/>
      <c r="AK137" s="1766"/>
    </row>
    <row r="138" spans="1:45" ht="12" customHeight="1">
      <c r="A138" s="82"/>
      <c r="B138" s="162"/>
      <c r="C138" s="1748"/>
      <c r="D138" s="185"/>
      <c r="E138" s="237"/>
      <c r="F138" s="237"/>
      <c r="G138" s="238"/>
      <c r="H138" s="238"/>
      <c r="I138" s="238"/>
      <c r="J138" s="238"/>
      <c r="K138" s="238"/>
      <c r="L138" s="1747"/>
      <c r="M138" s="238"/>
      <c r="N138" s="717"/>
      <c r="O138" s="1450"/>
      <c r="P138" s="3548"/>
      <c r="Q138" s="603"/>
      <c r="R138" s="1450"/>
      <c r="S138" s="3244"/>
      <c r="T138" s="3244"/>
      <c r="U138" s="3244"/>
      <c r="V138" s="3244"/>
      <c r="W138" s="2562"/>
      <c r="X138" s="2562"/>
      <c r="Y138" s="1766"/>
      <c r="Z138" s="3234"/>
      <c r="AA138" s="1766"/>
      <c r="AB138" s="3234"/>
      <c r="AC138" s="1766"/>
      <c r="AD138" s="3234"/>
      <c r="AE138" s="1766"/>
      <c r="AF138" s="3235"/>
      <c r="AG138" s="1766"/>
      <c r="AH138" s="1766"/>
      <c r="AI138" s="1766"/>
      <c r="AJ138" s="1766"/>
      <c r="AK138" s="1766"/>
    </row>
    <row r="139" spans="1:45" s="1068" customFormat="1" ht="12" customHeight="1">
      <c r="A139" s="82"/>
      <c r="B139" s="161">
        <v>18</v>
      </c>
      <c r="C139" s="280" t="s">
        <v>2415</v>
      </c>
      <c r="D139" s="280"/>
      <c r="E139" s="237"/>
      <c r="F139" s="237"/>
      <c r="G139" s="238"/>
      <c r="H139" s="238"/>
      <c r="I139" s="238"/>
      <c r="J139" s="238"/>
      <c r="K139" s="1553" t="s">
        <v>2418</v>
      </c>
      <c r="L139" s="256">
        <f>B139</f>
        <v>18</v>
      </c>
      <c r="M139" s="1726"/>
      <c r="N139" s="716"/>
      <c r="O139" s="2562"/>
      <c r="P139" s="3547"/>
      <c r="Q139" s="603"/>
      <c r="R139" s="2562"/>
      <c r="S139" s="270"/>
      <c r="T139" s="270"/>
      <c r="U139" s="270"/>
      <c r="V139" s="270"/>
      <c r="W139" s="2562"/>
      <c r="X139" s="1450"/>
      <c r="Y139" s="1766"/>
      <c r="Z139" s="3234"/>
      <c r="AA139" s="1766"/>
      <c r="AB139" s="3234"/>
      <c r="AC139" s="1766"/>
      <c r="AD139" s="3234"/>
      <c r="AE139" s="1766"/>
      <c r="AF139" s="3235"/>
      <c r="AG139" s="1766"/>
      <c r="AH139" s="1766"/>
      <c r="AI139" s="1763"/>
      <c r="AJ139" s="1763"/>
      <c r="AK139" s="1763"/>
      <c r="AL139" s="3169"/>
      <c r="AM139" s="3169"/>
      <c r="AN139" s="3169"/>
      <c r="AO139" s="3169"/>
      <c r="AP139" s="3169"/>
      <c r="AQ139" s="3169"/>
      <c r="AR139" s="3169"/>
      <c r="AS139" s="3169"/>
    </row>
    <row r="140" spans="1:45" ht="12" customHeight="1">
      <c r="A140" s="82"/>
      <c r="B140" s="162"/>
      <c r="C140" s="1748"/>
      <c r="D140" s="185"/>
      <c r="E140" s="237"/>
      <c r="F140" s="237"/>
      <c r="G140" s="238"/>
      <c r="H140" s="238"/>
      <c r="I140" s="238"/>
      <c r="J140" s="238"/>
      <c r="K140" s="238"/>
      <c r="L140" s="1747"/>
      <c r="M140" s="238"/>
      <c r="N140" s="717"/>
      <c r="O140" s="1450"/>
      <c r="P140" s="3548"/>
      <c r="Q140" s="603"/>
      <c r="R140" s="1450"/>
      <c r="S140" s="270"/>
      <c r="T140" s="270"/>
      <c r="U140" s="270"/>
      <c r="V140" s="270"/>
      <c r="W140" s="2562"/>
      <c r="X140" s="2562"/>
      <c r="Y140" s="1766"/>
      <c r="Z140" s="3234"/>
      <c r="AA140" s="1766"/>
      <c r="AB140" s="3234"/>
      <c r="AC140" s="1766"/>
      <c r="AD140" s="3234"/>
      <c r="AE140" s="1766"/>
      <c r="AF140" s="3235"/>
      <c r="AG140" s="1766"/>
      <c r="AH140" s="1766"/>
      <c r="AI140" s="1766"/>
      <c r="AJ140" s="1766"/>
      <c r="AK140" s="1766"/>
    </row>
    <row r="141" spans="1:45" s="1068" customFormat="1" ht="12" customHeight="1">
      <c r="A141" s="82"/>
      <c r="B141" s="161">
        <v>19</v>
      </c>
      <c r="C141" s="403" t="s">
        <v>2416</v>
      </c>
      <c r="D141" s="280"/>
      <c r="E141" s="237"/>
      <c r="F141" s="237"/>
      <c r="G141" s="238"/>
      <c r="H141" s="238"/>
      <c r="I141" s="238"/>
      <c r="J141" s="238"/>
      <c r="K141" s="1553" t="s">
        <v>2417</v>
      </c>
      <c r="L141" s="256">
        <f>B141</f>
        <v>19</v>
      </c>
      <c r="M141" s="1726"/>
      <c r="N141" s="716"/>
      <c r="O141" s="2562"/>
      <c r="P141" s="3547"/>
      <c r="Q141" s="603"/>
      <c r="R141" s="2562"/>
      <c r="S141" s="270"/>
      <c r="T141" s="270"/>
      <c r="U141" s="270"/>
      <c r="V141" s="270"/>
      <c r="W141" s="2562"/>
      <c r="X141" s="2562"/>
      <c r="Y141" s="1766"/>
      <c r="Z141" s="3234"/>
      <c r="AA141" s="1766"/>
      <c r="AB141" s="3234"/>
      <c r="AC141" s="1766"/>
      <c r="AD141" s="3234"/>
      <c r="AE141" s="1766"/>
      <c r="AF141" s="3235"/>
      <c r="AG141" s="1766"/>
      <c r="AH141" s="1766"/>
      <c r="AI141" s="1766"/>
      <c r="AJ141" s="1766"/>
      <c r="AK141" s="1766"/>
      <c r="AL141" s="3169"/>
      <c r="AM141" s="3169"/>
      <c r="AN141" s="3169"/>
      <c r="AO141" s="3169"/>
      <c r="AP141" s="3169"/>
      <c r="AQ141" s="3169"/>
      <c r="AR141" s="3169"/>
      <c r="AS141" s="3169"/>
    </row>
    <row r="142" spans="1:45" s="1068" customFormat="1" ht="12" customHeight="1">
      <c r="A142" s="82"/>
      <c r="B142" s="161">
        <v>20</v>
      </c>
      <c r="C142" s="225" t="s">
        <v>4154</v>
      </c>
      <c r="D142" s="280"/>
      <c r="E142" s="237"/>
      <c r="F142" s="237"/>
      <c r="G142" s="238"/>
      <c r="H142" s="238"/>
      <c r="I142" s="238"/>
      <c r="J142" s="238"/>
      <c r="K142" s="162"/>
      <c r="L142" s="899"/>
      <c r="M142" s="1753"/>
      <c r="N142" s="716"/>
      <c r="O142" s="2562"/>
      <c r="P142" s="3547"/>
      <c r="Q142" s="628"/>
      <c r="R142" s="2562"/>
      <c r="S142" s="270"/>
      <c r="T142" s="270"/>
      <c r="U142" s="270"/>
      <c r="V142" s="270"/>
      <c r="W142" s="2562"/>
      <c r="X142" s="1450"/>
      <c r="Y142" s="1766"/>
      <c r="Z142" s="3234"/>
      <c r="AA142" s="1766"/>
      <c r="AB142" s="3234"/>
      <c r="AC142" s="1766"/>
      <c r="AD142" s="3234"/>
      <c r="AE142" s="1766"/>
      <c r="AF142" s="3235"/>
      <c r="AG142" s="1766"/>
      <c r="AH142" s="1766"/>
      <c r="AI142" s="1763"/>
      <c r="AJ142" s="1763"/>
      <c r="AK142" s="1763"/>
      <c r="AL142" s="3169"/>
      <c r="AM142" s="3169"/>
      <c r="AN142" s="3169"/>
      <c r="AO142" s="3169"/>
      <c r="AP142" s="3169"/>
      <c r="AQ142" s="3169"/>
      <c r="AR142" s="3169"/>
      <c r="AS142" s="3169"/>
    </row>
    <row r="143" spans="1:45" ht="12" customHeight="1">
      <c r="A143" s="82"/>
      <c r="B143" s="162"/>
      <c r="C143" s="403" t="s">
        <v>3344</v>
      </c>
      <c r="D143" s="185"/>
      <c r="E143" s="237"/>
      <c r="F143" s="237"/>
      <c r="G143" s="238"/>
      <c r="H143" s="238"/>
      <c r="I143" s="238"/>
      <c r="J143" s="238"/>
      <c r="K143" s="238"/>
      <c r="L143" s="232"/>
      <c r="M143" s="555"/>
      <c r="N143" s="717"/>
      <c r="O143" s="1450"/>
      <c r="P143" s="3548"/>
      <c r="Q143" s="628"/>
      <c r="R143" s="1450"/>
      <c r="S143" s="270"/>
      <c r="T143" s="270"/>
      <c r="U143" s="270"/>
      <c r="V143" s="270"/>
      <c r="W143" s="2562"/>
      <c r="X143" s="1450"/>
      <c r="Y143" s="1766"/>
      <c r="Z143" s="3234"/>
      <c r="AA143" s="1766"/>
      <c r="AB143" s="3234"/>
      <c r="AC143" s="1766"/>
      <c r="AD143" s="3234"/>
      <c r="AE143" s="1766"/>
      <c r="AF143" s="3235"/>
      <c r="AG143" s="1766"/>
      <c r="AH143" s="1766"/>
      <c r="AI143" s="1766"/>
      <c r="AJ143" s="1766"/>
      <c r="AK143" s="1766"/>
    </row>
    <row r="144" spans="1:45" ht="12" customHeight="1">
      <c r="A144" s="82"/>
      <c r="B144" s="162"/>
      <c r="C144" s="403" t="s">
        <v>3345</v>
      </c>
      <c r="D144" s="185"/>
      <c r="E144" s="237"/>
      <c r="F144" s="237"/>
      <c r="G144" s="238"/>
      <c r="H144" s="162"/>
      <c r="I144" s="162"/>
      <c r="J144" s="162"/>
      <c r="K144" s="1553" t="s">
        <v>2541</v>
      </c>
      <c r="L144" s="256">
        <f>B142</f>
        <v>20</v>
      </c>
      <c r="M144" s="1725">
        <f>IF(Q144&lt;&gt;"",ROUND(Q144,0),SUM(M139,M141))</f>
        <v>0</v>
      </c>
      <c r="N144" s="717"/>
      <c r="O144" s="1450"/>
      <c r="P144" s="3548"/>
      <c r="Q144" s="470"/>
      <c r="R144" s="1450"/>
      <c r="S144" s="270"/>
      <c r="T144" s="270"/>
      <c r="U144" s="270"/>
      <c r="V144" s="270"/>
      <c r="W144" s="2562"/>
      <c r="X144" s="2562"/>
      <c r="Y144" s="1766"/>
      <c r="Z144" s="3234"/>
      <c r="AA144" s="1766"/>
      <c r="AB144" s="3234"/>
      <c r="AC144" s="1766"/>
      <c r="AD144" s="3234"/>
      <c r="AE144" s="1766"/>
      <c r="AF144" s="3235"/>
      <c r="AG144" s="1766"/>
      <c r="AH144" s="1766"/>
      <c r="AI144" s="1766"/>
      <c r="AJ144" s="1766"/>
      <c r="AK144" s="1766"/>
    </row>
    <row r="145" spans="1:45" s="1068" customFormat="1" ht="12" customHeight="1">
      <c r="A145" s="82"/>
      <c r="B145" s="161">
        <v>21</v>
      </c>
      <c r="C145" s="225" t="s">
        <v>3346</v>
      </c>
      <c r="D145" s="280"/>
      <c r="E145" s="403" t="str">
        <f>"Multiply line 20 by "&amp;TEXT(M145,"0%")&amp;" ("&amp;TEXT(M145,".00")&amp;"). Include this amount in the total on Schedule 4"</f>
        <v>Multiply line 20 by 10% (.10). Include this amount in the total on Schedule 4</v>
      </c>
      <c r="F145" s="237"/>
      <c r="G145" s="238"/>
      <c r="H145" s="238"/>
      <c r="I145" s="238"/>
      <c r="J145" s="238"/>
      <c r="K145" s="162"/>
      <c r="L145" s="899"/>
      <c r="M145" s="2902">
        <v>0.1</v>
      </c>
      <c r="N145" s="716"/>
      <c r="O145" s="2562"/>
      <c r="P145" s="3547"/>
      <c r="Q145" s="628"/>
      <c r="R145" s="2562"/>
      <c r="S145" s="270"/>
      <c r="T145" s="270"/>
      <c r="U145" s="270"/>
      <c r="V145" s="270"/>
      <c r="W145" s="2562"/>
      <c r="X145" s="1450"/>
      <c r="Y145" s="1766"/>
      <c r="Z145" s="3234"/>
      <c r="AA145" s="1766"/>
      <c r="AB145" s="3234"/>
      <c r="AC145" s="1766"/>
      <c r="AD145" s="3234"/>
      <c r="AE145" s="1766"/>
      <c r="AF145" s="3235"/>
      <c r="AG145" s="1766"/>
      <c r="AH145" s="1766"/>
      <c r="AI145" s="1763"/>
      <c r="AJ145" s="1763"/>
      <c r="AK145" s="1763"/>
      <c r="AL145" s="3169"/>
      <c r="AM145" s="3169"/>
      <c r="AN145" s="3169"/>
      <c r="AO145" s="3169"/>
      <c r="AP145" s="3169"/>
      <c r="AQ145" s="3169"/>
      <c r="AR145" s="3169"/>
      <c r="AS145" s="3169"/>
    </row>
    <row r="146" spans="1:45" ht="12" customHeight="1">
      <c r="A146" s="82"/>
      <c r="B146" s="162"/>
      <c r="C146" s="403" t="s">
        <v>3347</v>
      </c>
      <c r="D146" s="185"/>
      <c r="E146" s="237"/>
      <c r="F146" s="237"/>
      <c r="G146" s="238"/>
      <c r="H146" s="238"/>
      <c r="I146" s="238"/>
      <c r="J146" s="238"/>
      <c r="K146" s="238"/>
      <c r="L146" s="232"/>
      <c r="M146" s="555"/>
      <c r="N146" s="717"/>
      <c r="O146" s="1450"/>
      <c r="P146" s="3548"/>
      <c r="Q146" s="628"/>
      <c r="R146" s="1450"/>
      <c r="S146" s="270"/>
      <c r="T146" s="270"/>
      <c r="U146" s="270"/>
      <c r="V146" s="270"/>
      <c r="W146" s="2562"/>
      <c r="X146" s="2562"/>
      <c r="Y146" s="2562"/>
      <c r="Z146" s="2562"/>
      <c r="AA146" s="2562"/>
      <c r="AB146" s="2562"/>
      <c r="AC146" s="2562"/>
      <c r="AD146" s="2562"/>
      <c r="AE146" s="2562"/>
      <c r="AF146" s="2562"/>
      <c r="AG146" s="2562"/>
      <c r="AH146" s="2562"/>
      <c r="AI146" s="270"/>
      <c r="AJ146" s="270"/>
      <c r="AK146" s="270"/>
    </row>
    <row r="147" spans="1:45" ht="12" customHeight="1" thickBot="1">
      <c r="A147" s="82"/>
      <c r="B147" s="162"/>
      <c r="C147" s="403" t="s">
        <v>4160</v>
      </c>
      <c r="D147" s="185"/>
      <c r="E147" s="237"/>
      <c r="F147" s="237"/>
      <c r="G147" s="238"/>
      <c r="H147" s="162"/>
      <c r="I147" s="162"/>
      <c r="J147" s="162"/>
      <c r="K147" s="1553"/>
      <c r="L147" s="256">
        <f>B145</f>
        <v>21</v>
      </c>
      <c r="M147" s="1725">
        <f>IF(Q147&lt;&gt;"",ROUND(Q147,0),M144*M145)</f>
        <v>0</v>
      </c>
      <c r="N147" s="717"/>
      <c r="O147" s="1450"/>
      <c r="P147" s="3548"/>
      <c r="Q147" s="470"/>
      <c r="R147" s="1450"/>
      <c r="S147" s="270"/>
      <c r="T147" s="270"/>
      <c r="U147" s="270"/>
      <c r="V147" s="270"/>
      <c r="W147" s="2562"/>
      <c r="X147" s="2562"/>
      <c r="Y147" s="2562"/>
      <c r="Z147" s="2562"/>
      <c r="AA147" s="2562"/>
      <c r="AB147" s="2562"/>
      <c r="AC147" s="2562"/>
      <c r="AD147" s="2562"/>
      <c r="AE147" s="2562"/>
      <c r="AF147" s="2562"/>
      <c r="AG147" s="2562"/>
      <c r="AH147" s="2562"/>
      <c r="AI147" s="270"/>
      <c r="AJ147" s="270"/>
      <c r="AK147" s="270"/>
    </row>
    <row r="148" spans="1:45" s="244" customFormat="1" ht="15" customHeight="1">
      <c r="A148" s="82"/>
      <c r="B148" s="166"/>
      <c r="C148" s="272"/>
      <c r="D148" s="272"/>
      <c r="E148" s="272"/>
      <c r="F148" s="272"/>
      <c r="G148" s="605"/>
      <c r="H148" s="606"/>
      <c r="I148" s="605"/>
      <c r="J148" s="743"/>
      <c r="K148" s="605"/>
      <c r="L148" s="607" t="s">
        <v>2411</v>
      </c>
      <c r="M148" s="1100" t="str">
        <f>"  ("&amp;TaxYear&amp;")"</f>
        <v xml:space="preserve">  (2018)</v>
      </c>
      <c r="N148" s="723"/>
      <c r="O148" s="1450"/>
      <c r="P148" s="3547"/>
      <c r="Q148" s="603"/>
      <c r="R148" s="1450"/>
      <c r="S148" s="270"/>
      <c r="T148" s="270"/>
      <c r="U148" s="270"/>
      <c r="V148" s="270"/>
      <c r="W148" s="2562"/>
      <c r="X148" s="2562"/>
      <c r="Y148" s="2562"/>
      <c r="Z148" s="2562"/>
      <c r="AA148" s="2562"/>
      <c r="AB148" s="2562"/>
      <c r="AC148" s="2562"/>
      <c r="AD148" s="2562"/>
      <c r="AE148" s="2562"/>
      <c r="AF148" s="2562"/>
      <c r="AG148" s="2562"/>
      <c r="AH148" s="2562"/>
      <c r="AI148" s="270"/>
      <c r="AJ148" s="270"/>
      <c r="AK148" s="270"/>
      <c r="AL148" s="3169"/>
      <c r="AM148" s="3169"/>
      <c r="AN148" s="3169"/>
      <c r="AO148" s="3169"/>
      <c r="AP148" s="3169"/>
      <c r="AQ148" s="3169"/>
      <c r="AR148" s="3169"/>
      <c r="AS148" s="3169"/>
    </row>
    <row r="149" spans="1:45" s="244" customFormat="1" ht="15" customHeight="1">
      <c r="A149" s="82"/>
      <c r="B149" s="726"/>
      <c r="C149" s="613"/>
      <c r="D149" s="613"/>
      <c r="E149" s="82"/>
      <c r="F149" s="82"/>
      <c r="G149" s="82"/>
      <c r="H149" s="82"/>
      <c r="I149" s="82"/>
      <c r="J149" s="727"/>
      <c r="K149" s="727"/>
      <c r="L149" s="727"/>
      <c r="M149" s="727"/>
      <c r="N149" s="724"/>
      <c r="O149" s="1450"/>
      <c r="P149" s="3547"/>
      <c r="Q149" s="603"/>
      <c r="R149" s="1450"/>
      <c r="S149" s="270"/>
      <c r="T149" s="270"/>
      <c r="U149" s="270"/>
      <c r="V149" s="270"/>
      <c r="W149" s="2562"/>
      <c r="X149" s="2562"/>
      <c r="Y149" s="2562"/>
      <c r="Z149" s="2562"/>
      <c r="AA149" s="2562"/>
      <c r="AB149" s="2562"/>
      <c r="AC149" s="2562"/>
      <c r="AD149" s="2562"/>
      <c r="AE149" s="2562"/>
      <c r="AF149" s="2562"/>
      <c r="AG149" s="2562"/>
      <c r="AH149" s="2562"/>
      <c r="AI149" s="270"/>
      <c r="AJ149" s="270"/>
      <c r="AK149" s="270"/>
      <c r="AL149" s="3169"/>
      <c r="AM149" s="3169"/>
      <c r="AN149" s="3169"/>
      <c r="AO149" s="3169"/>
      <c r="AP149" s="3169"/>
      <c r="AQ149" s="3169"/>
      <c r="AR149" s="3169"/>
      <c r="AS149" s="3169"/>
    </row>
    <row r="150" spans="1:45" s="244" customFormat="1" ht="24" customHeight="1" thickBot="1">
      <c r="A150" s="46"/>
      <c r="B150" s="154"/>
      <c r="C150" s="268"/>
      <c r="D150" s="268"/>
      <c r="E150" s="46"/>
      <c r="F150" s="46"/>
      <c r="G150" s="46"/>
      <c r="H150" s="46"/>
      <c r="I150" s="46"/>
      <c r="J150" s="273"/>
      <c r="K150" s="46"/>
      <c r="L150" s="2905"/>
      <c r="M150" s="46"/>
      <c r="N150" s="2904"/>
      <c r="O150" s="242"/>
      <c r="P150" s="1786"/>
      <c r="R150" s="1450"/>
      <c r="S150" s="270"/>
      <c r="T150" s="270"/>
      <c r="U150" s="270"/>
      <c r="V150" s="270"/>
      <c r="W150" s="270"/>
      <c r="X150" s="242"/>
      <c r="Y150" s="1701"/>
      <c r="Z150" s="3211"/>
      <c r="AA150" s="1701"/>
      <c r="AB150" s="3211"/>
      <c r="AC150" s="1701"/>
      <c r="AD150" s="3211"/>
      <c r="AE150" s="1701"/>
      <c r="AF150" s="3212"/>
      <c r="AG150" s="1701"/>
      <c r="AH150" s="1701"/>
      <c r="AI150" s="1701"/>
      <c r="AJ150" s="1701"/>
      <c r="AK150" s="1701"/>
      <c r="AL150" s="3169"/>
      <c r="AM150" s="3169"/>
      <c r="AN150" s="3169"/>
      <c r="AO150" s="3169"/>
      <c r="AP150" s="3169"/>
      <c r="AQ150" s="3169"/>
      <c r="AR150" s="3169"/>
      <c r="AS150" s="3169"/>
    </row>
    <row r="151" spans="1:45" s="244" customFormat="1" ht="15" customHeight="1" thickTop="1" thickBot="1">
      <c r="A151" s="46"/>
      <c r="B151" s="154"/>
      <c r="C151" s="7632" t="s">
        <v>2419</v>
      </c>
      <c r="D151" s="7633"/>
      <c r="E151" s="7633"/>
      <c r="F151" s="7633"/>
      <c r="G151" s="7634"/>
      <c r="H151" s="273"/>
      <c r="I151" s="273"/>
      <c r="J151"/>
      <c r="K151" s="2906" t="s">
        <v>2428</v>
      </c>
      <c r="L151" s="2906"/>
      <c r="M151" s="1642" t="s">
        <v>2154</v>
      </c>
      <c r="N151" s="2906"/>
      <c r="O151" s="242"/>
      <c r="P151" s="1642"/>
      <c r="R151" s="1450"/>
      <c r="S151" s="270"/>
      <c r="T151" s="270"/>
      <c r="U151" s="270"/>
      <c r="V151" s="270"/>
      <c r="W151" s="270"/>
      <c r="X151" s="242"/>
      <c r="Y151" s="1701"/>
      <c r="Z151" s="3211"/>
      <c r="AA151" s="1701"/>
      <c r="AB151" s="3211"/>
      <c r="AC151" s="1701"/>
      <c r="AD151" s="3211"/>
      <c r="AE151" s="1701"/>
      <c r="AF151" s="3212"/>
      <c r="AG151" s="1701"/>
      <c r="AH151" s="1701"/>
      <c r="AI151" s="1701"/>
      <c r="AJ151" s="1701"/>
      <c r="AK151" s="1701"/>
      <c r="AL151" s="3169"/>
      <c r="AM151" s="3169"/>
      <c r="AN151" s="3169"/>
      <c r="AO151" s="3169"/>
      <c r="AP151" s="3169"/>
      <c r="AQ151" s="3169"/>
      <c r="AR151" s="3169"/>
      <c r="AS151" s="3169"/>
    </row>
    <row r="152" spans="1:45" s="244" customFormat="1" ht="8.25" customHeight="1" thickTop="1" thickBot="1">
      <c r="A152" s="46"/>
      <c r="B152" s="154"/>
      <c r="C152" s="268"/>
      <c r="D152" s="268"/>
      <c r="E152" s="46"/>
      <c r="F152" s="46"/>
      <c r="G152" s="273"/>
      <c r="H152" s="273"/>
      <c r="I152" s="273"/>
      <c r="J152"/>
      <c r="K152" s="1601"/>
      <c r="L152" s="2904"/>
      <c r="M152" s="2904"/>
      <c r="N152" s="2904"/>
      <c r="O152" s="242"/>
      <c r="P152" s="1642"/>
      <c r="R152" s="1450"/>
      <c r="S152" s="270"/>
      <c r="T152" s="270"/>
      <c r="U152" s="270"/>
      <c r="V152" s="270"/>
      <c r="W152" s="270"/>
      <c r="X152" s="242"/>
      <c r="Y152" s="1701"/>
      <c r="Z152" s="3211"/>
      <c r="AA152" s="1701"/>
      <c r="AB152" s="3211"/>
      <c r="AC152" s="1701"/>
      <c r="AD152" s="3211"/>
      <c r="AE152" s="1701"/>
      <c r="AF152" s="3212"/>
      <c r="AG152" s="1701"/>
      <c r="AH152" s="1701"/>
      <c r="AI152" s="1701"/>
      <c r="AJ152" s="1701"/>
      <c r="AK152" s="1701"/>
      <c r="AL152" s="3169"/>
      <c r="AM152" s="3169"/>
      <c r="AN152" s="3169"/>
      <c r="AO152" s="3169"/>
      <c r="AP152" s="3169"/>
      <c r="AQ152" s="3169"/>
      <c r="AR152" s="3169"/>
      <c r="AS152" s="3169"/>
    </row>
    <row r="153" spans="1:45" s="244" customFormat="1" ht="17.25" customHeight="1" thickTop="1" thickBot="1">
      <c r="A153" s="46"/>
      <c r="B153" s="154"/>
      <c r="C153" s="7632" t="s">
        <v>2420</v>
      </c>
      <c r="D153" s="7633"/>
      <c r="E153" s="7633"/>
      <c r="F153" s="7633"/>
      <c r="G153" s="7634"/>
      <c r="H153" s="273"/>
      <c r="I153" s="273"/>
      <c r="J153"/>
      <c r="K153" s="1642" t="s">
        <v>2430</v>
      </c>
      <c r="L153" s="2904"/>
      <c r="M153" s="2904" t="s">
        <v>2431</v>
      </c>
      <c r="N153" s="2904"/>
      <c r="O153" s="242"/>
      <c r="P153" s="1642"/>
      <c r="R153" s="1450"/>
      <c r="S153" s="270"/>
      <c r="T153" s="270"/>
      <c r="U153" s="270"/>
      <c r="V153" s="270"/>
      <c r="W153" s="270"/>
      <c r="X153" s="242"/>
      <c r="Y153" s="1701"/>
      <c r="Z153" s="3211"/>
      <c r="AA153" s="1701"/>
      <c r="AB153" s="3211"/>
      <c r="AC153" s="1701"/>
      <c r="AD153" s="3211"/>
      <c r="AE153" s="1701"/>
      <c r="AF153" s="3212"/>
      <c r="AG153" s="1701"/>
      <c r="AH153" s="1701"/>
      <c r="AI153" s="1701"/>
      <c r="AJ153" s="1701"/>
      <c r="AK153" s="1701"/>
      <c r="AL153" s="3169"/>
      <c r="AM153" s="3169"/>
      <c r="AN153" s="3169"/>
      <c r="AO153" s="3169"/>
      <c r="AP153" s="3169"/>
      <c r="AQ153" s="3169"/>
      <c r="AR153" s="3169"/>
      <c r="AS153" s="3169"/>
    </row>
    <row r="154" spans="1:45" s="244" customFormat="1" ht="12.75" customHeight="1" thickTop="1">
      <c r="A154" s="46"/>
      <c r="B154"/>
      <c r="C154"/>
      <c r="D154"/>
      <c r="E154"/>
      <c r="F154"/>
      <c r="G154"/>
      <c r="H154"/>
      <c r="I154"/>
      <c r="J154"/>
      <c r="K154"/>
      <c r="L154"/>
      <c r="M154"/>
      <c r="N154"/>
      <c r="O154" s="242"/>
      <c r="P154" s="277"/>
      <c r="R154" s="1450"/>
      <c r="S154" s="270"/>
      <c r="T154" s="270"/>
      <c r="U154" s="270"/>
      <c r="V154" s="270"/>
      <c r="W154" s="270"/>
      <c r="X154" s="242"/>
      <c r="Y154" s="1701"/>
      <c r="Z154" s="3211"/>
      <c r="AA154" s="1701"/>
      <c r="AB154" s="3211"/>
      <c r="AC154" s="1701"/>
      <c r="AD154" s="3211"/>
      <c r="AE154" s="1701"/>
      <c r="AF154" s="3212"/>
      <c r="AG154" s="1701"/>
      <c r="AH154" s="1701"/>
      <c r="AI154" s="1701"/>
      <c r="AJ154" s="1701"/>
      <c r="AK154" s="1701"/>
      <c r="AL154" s="3169"/>
      <c r="AM154" s="3169"/>
      <c r="AN154" s="3169"/>
      <c r="AO154" s="3169"/>
      <c r="AP154" s="3169"/>
      <c r="AQ154" s="3169"/>
      <c r="AR154" s="3169"/>
      <c r="AS154" s="3169"/>
    </row>
    <row r="155" spans="1:45" s="244" customFormat="1" ht="12.75" customHeight="1">
      <c r="A155" s="46"/>
      <c r="B155"/>
      <c r="C155"/>
      <c r="D155"/>
      <c r="E155"/>
      <c r="F155"/>
      <c r="G155"/>
      <c r="H155"/>
      <c r="I155"/>
      <c r="J155"/>
      <c r="K155"/>
      <c r="L155"/>
      <c r="M155"/>
      <c r="N155"/>
      <c r="O155" s="242"/>
      <c r="P155" s="277"/>
      <c r="R155" s="1450"/>
      <c r="S155" s="270"/>
      <c r="T155" s="270"/>
      <c r="U155" s="270"/>
      <c r="V155" s="270"/>
      <c r="W155" s="270"/>
      <c r="X155" s="242"/>
      <c r="Y155" s="1701"/>
      <c r="Z155" s="3211"/>
      <c r="AA155" s="1701"/>
      <c r="AB155" s="3211"/>
      <c r="AC155" s="1701"/>
      <c r="AD155" s="3211"/>
      <c r="AE155" s="1701"/>
      <c r="AF155" s="3212"/>
      <c r="AG155" s="1701"/>
      <c r="AH155" s="1701"/>
      <c r="AI155" s="1701"/>
      <c r="AJ155" s="1701"/>
      <c r="AK155" s="1701"/>
      <c r="AL155" s="3169"/>
      <c r="AM155" s="3169"/>
      <c r="AN155" s="3169"/>
      <c r="AO155" s="3169"/>
      <c r="AP155" s="3169"/>
      <c r="AQ155" s="3169"/>
      <c r="AR155" s="3169"/>
      <c r="AS155" s="3169"/>
    </row>
    <row r="156" spans="1:45" s="244" customFormat="1" ht="12.75" hidden="1" customHeight="1">
      <c r="A156" s="46"/>
      <c r="B156"/>
      <c r="C156"/>
      <c r="D156"/>
      <c r="E156"/>
      <c r="F156"/>
      <c r="G156"/>
      <c r="H156" s="1701"/>
      <c r="I156" s="4090" t="s">
        <v>3351</v>
      </c>
      <c r="J156"/>
      <c r="K156"/>
      <c r="L156"/>
      <c r="M156"/>
      <c r="N156"/>
      <c r="O156" s="242"/>
      <c r="P156" s="277"/>
      <c r="R156" s="1450"/>
      <c r="S156" s="270"/>
      <c r="T156" s="270"/>
      <c r="U156" s="270"/>
      <c r="V156" s="270"/>
      <c r="W156" s="270"/>
      <c r="X156" s="242"/>
      <c r="Y156" s="1701"/>
      <c r="Z156" s="3211"/>
      <c r="AA156" s="1701"/>
      <c r="AB156" s="3211"/>
      <c r="AC156" s="1701"/>
      <c r="AD156" s="3211"/>
      <c r="AE156" s="1701"/>
      <c r="AF156" s="3212"/>
      <c r="AG156" s="1701"/>
      <c r="AH156" s="1701"/>
      <c r="AI156" s="1701"/>
      <c r="AJ156" s="1701"/>
      <c r="AK156" s="1701"/>
      <c r="AL156" s="3169"/>
      <c r="AM156" s="3169"/>
      <c r="AN156" s="3169"/>
      <c r="AO156" s="3169"/>
      <c r="AP156" s="3169"/>
      <c r="AQ156" s="3169"/>
      <c r="AR156" s="3169"/>
      <c r="AS156" s="3169"/>
    </row>
    <row r="157" spans="1:45" s="244" customFormat="1" ht="12.75" hidden="1" customHeight="1">
      <c r="A157" s="46"/>
      <c r="B157"/>
      <c r="C157"/>
      <c r="D157"/>
      <c r="E157"/>
      <c r="F157" s="1701"/>
      <c r="G157"/>
      <c r="H157"/>
      <c r="I157"/>
      <c r="J157" s="4088" t="s">
        <v>3348</v>
      </c>
      <c r="K157" s="4087">
        <f>ROUND(SUM(M41,M114),0)</f>
        <v>0</v>
      </c>
      <c r="L157"/>
      <c r="M157"/>
      <c r="N157"/>
      <c r="O157" s="242"/>
      <c r="P157" s="277"/>
      <c r="R157" s="1450"/>
      <c r="S157" s="270"/>
      <c r="T157" s="270"/>
      <c r="U157" s="270"/>
      <c r="V157" s="270"/>
      <c r="W157" s="1625"/>
      <c r="X157" s="242"/>
      <c r="Y157" s="1701"/>
      <c r="Z157" s="3211"/>
      <c r="AA157" s="1701"/>
      <c r="AB157" s="3211"/>
      <c r="AC157" s="1701"/>
      <c r="AD157" s="3211"/>
      <c r="AE157" s="1701"/>
      <c r="AF157" s="3212"/>
      <c r="AG157" s="1701"/>
      <c r="AH157" s="1701"/>
      <c r="AI157" s="1701"/>
      <c r="AJ157" s="1701"/>
      <c r="AK157" s="1701"/>
      <c r="AL157" s="3169"/>
      <c r="AM157" s="3169"/>
      <c r="AN157" s="3169"/>
      <c r="AO157" s="3169"/>
      <c r="AP157" s="3169"/>
      <c r="AQ157" s="3169"/>
      <c r="AR157" s="3169"/>
      <c r="AS157" s="3169"/>
    </row>
    <row r="158" spans="1:45" s="244" customFormat="1" ht="12.75" hidden="1" customHeight="1">
      <c r="A158" s="46"/>
      <c r="B158"/>
      <c r="C158"/>
      <c r="D158"/>
      <c r="E158"/>
      <c r="F158"/>
      <c r="G158"/>
      <c r="H158"/>
      <c r="I158"/>
      <c r="J158"/>
      <c r="K158" s="4085" t="s">
        <v>2428</v>
      </c>
      <c r="L158"/>
      <c r="M158"/>
      <c r="N158"/>
      <c r="O158" s="242"/>
      <c r="P158" s="277"/>
      <c r="R158" s="1450"/>
      <c r="S158" s="270"/>
      <c r="T158" s="270"/>
      <c r="U158" s="270"/>
      <c r="V158" s="270"/>
      <c r="W158" s="1625"/>
      <c r="X158" s="242"/>
      <c r="Y158" s="1701"/>
      <c r="Z158" s="3211"/>
      <c r="AA158" s="1701"/>
      <c r="AB158" s="3211"/>
      <c r="AC158" s="1701"/>
      <c r="AD158" s="3211"/>
      <c r="AE158" s="1701"/>
      <c r="AF158" s="3212"/>
      <c r="AG158" s="1701"/>
      <c r="AH158" s="1701"/>
      <c r="AI158" s="1701"/>
      <c r="AJ158" s="1701"/>
      <c r="AK158" s="1701"/>
      <c r="AL158" s="3169"/>
      <c r="AM158" s="3169"/>
      <c r="AN158" s="3169"/>
      <c r="AO158" s="3169"/>
      <c r="AP158" s="3169"/>
      <c r="AQ158" s="3169"/>
      <c r="AR158" s="3169"/>
      <c r="AS158" s="3169"/>
    </row>
    <row r="159" spans="1:45" s="244" customFormat="1" ht="12.75" hidden="1" customHeight="1">
      <c r="A159" s="46"/>
      <c r="B159"/>
      <c r="C159"/>
      <c r="D159"/>
      <c r="E159"/>
      <c r="F159"/>
      <c r="G159"/>
      <c r="H159"/>
      <c r="I159"/>
      <c r="J159"/>
      <c r="K159"/>
      <c r="L159"/>
      <c r="M159"/>
      <c r="N159"/>
      <c r="O159" s="242"/>
      <c r="P159" s="277"/>
      <c r="R159" s="1450"/>
      <c r="S159" s="270"/>
      <c r="T159" s="270"/>
      <c r="U159" s="270"/>
      <c r="V159" s="270"/>
      <c r="W159" s="1625"/>
      <c r="X159" s="242"/>
      <c r="Y159" s="1701"/>
      <c r="Z159" s="3211"/>
      <c r="AA159" s="1701"/>
      <c r="AB159" s="3211"/>
      <c r="AC159" s="1701"/>
      <c r="AD159" s="3211"/>
      <c r="AE159" s="1701"/>
      <c r="AF159" s="3212"/>
      <c r="AG159" s="1701"/>
      <c r="AH159" s="1701"/>
      <c r="AI159" s="1701"/>
      <c r="AJ159" s="1701"/>
      <c r="AK159" s="1701"/>
      <c r="AL159" s="3169"/>
      <c r="AM159" s="3169"/>
      <c r="AN159" s="3169"/>
      <c r="AO159" s="3169"/>
      <c r="AP159" s="3169"/>
      <c r="AQ159" s="3169"/>
      <c r="AR159" s="3169"/>
      <c r="AS159" s="3169"/>
    </row>
    <row r="160" spans="1:45" s="244" customFormat="1" ht="12.75" hidden="1" customHeight="1">
      <c r="A160" s="46"/>
      <c r="B160"/>
      <c r="C160"/>
      <c r="D160"/>
      <c r="E160"/>
      <c r="F160"/>
      <c r="G160"/>
      <c r="H160"/>
      <c r="I160"/>
      <c r="J160" s="4088" t="s">
        <v>3349</v>
      </c>
      <c r="K160" s="4087">
        <f>ROUND(SUM(M53,M126),0)</f>
        <v>0</v>
      </c>
      <c r="L160"/>
      <c r="M160" s="4087">
        <f>ROUND(SUM(M71,M144),0)</f>
        <v>0</v>
      </c>
      <c r="N160"/>
      <c r="O160" s="242"/>
      <c r="P160" s="2616" t="str">
        <f>IF(OR(K160&gt;0,F8889_Line20&gt;0),"HSA","")</f>
        <v/>
      </c>
      <c r="R160" s="1450"/>
      <c r="S160" s="270"/>
      <c r="T160" s="270"/>
      <c r="U160" s="270"/>
      <c r="V160" s="270"/>
      <c r="W160" s="1625"/>
      <c r="X160" s="1701"/>
      <c r="Y160" s="1701"/>
      <c r="Z160" s="1625"/>
      <c r="AA160" s="1701"/>
      <c r="AB160" s="1625"/>
      <c r="AC160" s="1701"/>
      <c r="AD160" s="1625"/>
      <c r="AE160" s="1701"/>
      <c r="AF160" s="3212"/>
      <c r="AG160" s="1701"/>
      <c r="AH160" s="1701"/>
      <c r="AI160" s="1701"/>
      <c r="AJ160" s="1701"/>
      <c r="AK160" s="1701"/>
      <c r="AL160" s="3169"/>
      <c r="AM160" s="3169"/>
      <c r="AN160" s="3169"/>
      <c r="AO160" s="3169"/>
      <c r="AP160" s="3169"/>
      <c r="AQ160" s="3169"/>
      <c r="AR160" s="3169"/>
      <c r="AS160" s="3169"/>
    </row>
    <row r="161" spans="1:45" s="1701" customFormat="1" hidden="1">
      <c r="A161" s="1075"/>
      <c r="K161" s="4085" t="s">
        <v>2154</v>
      </c>
      <c r="L161"/>
      <c r="M161" s="4085" t="s">
        <v>2376</v>
      </c>
      <c r="N161" s="4084"/>
      <c r="P161" s="2288"/>
      <c r="R161" s="1766"/>
      <c r="S161" s="270"/>
      <c r="T161" s="270"/>
      <c r="U161" s="270"/>
      <c r="V161" s="270"/>
      <c r="W161" s="1625"/>
      <c r="Z161" s="1625"/>
      <c r="AB161" s="1625"/>
      <c r="AD161" s="1625"/>
      <c r="AF161" s="3212"/>
      <c r="AL161" s="3175"/>
      <c r="AM161" s="3175"/>
      <c r="AN161" s="3175"/>
      <c r="AO161" s="3175"/>
      <c r="AP161" s="3175"/>
      <c r="AQ161" s="3175"/>
      <c r="AR161" s="3175"/>
      <c r="AS161" s="3175"/>
    </row>
    <row r="162" spans="1:45" s="1701" customFormat="1" hidden="1">
      <c r="A162" s="1075"/>
      <c r="K162"/>
      <c r="L162"/>
      <c r="M162"/>
      <c r="N162" s="1623"/>
      <c r="P162" s="2288"/>
      <c r="R162" s="1766"/>
      <c r="S162" s="1625"/>
      <c r="T162" s="1625"/>
      <c r="U162" s="1625"/>
      <c r="V162" s="1625"/>
      <c r="W162" s="1625"/>
      <c r="Z162" s="1625"/>
      <c r="AB162" s="1625"/>
      <c r="AD162" s="1625"/>
      <c r="AF162" s="3212"/>
      <c r="AL162" s="3175"/>
      <c r="AM162" s="3175"/>
      <c r="AN162" s="3175"/>
      <c r="AO162" s="3175"/>
      <c r="AP162" s="3175"/>
      <c r="AQ162" s="3175"/>
      <c r="AR162" s="3175"/>
      <c r="AS162" s="3175"/>
    </row>
    <row r="163" spans="1:45" s="1701" customFormat="1" ht="12.75" hidden="1" customHeight="1">
      <c r="A163" s="1075"/>
      <c r="J163" s="4088" t="s">
        <v>3350</v>
      </c>
      <c r="K163" s="4087">
        <f>SUM(M59,M132)</f>
        <v>0</v>
      </c>
      <c r="L163"/>
      <c r="M163" s="4087">
        <f>ROUND(SUM(M74,M147),0)</f>
        <v>0</v>
      </c>
      <c r="N163" s="1075"/>
      <c r="P163" s="2288" t="str">
        <f>IF(AND(F8889_Line17b&gt;0,F8889_Line21&gt;0),"HSA   HDHP",IF(F8889_Line17b&gt;0,"HSA",IF(F8889_Line21&gt;0,"HDHP","")))</f>
        <v/>
      </c>
      <c r="R163" s="1766"/>
      <c r="S163" s="1625"/>
      <c r="T163" s="1625"/>
      <c r="U163" s="1625"/>
      <c r="V163" s="1625"/>
      <c r="W163" s="1625"/>
      <c r="Z163" s="1625"/>
      <c r="AB163" s="1625"/>
      <c r="AD163" s="1625"/>
      <c r="AF163" s="3212"/>
      <c r="AL163" s="3175"/>
      <c r="AM163" s="3175"/>
      <c r="AN163" s="3175"/>
      <c r="AO163" s="3175"/>
      <c r="AP163" s="3175"/>
      <c r="AQ163" s="3175"/>
      <c r="AR163" s="3175"/>
      <c r="AS163" s="3175"/>
    </row>
    <row r="164" spans="1:45" s="1701" customFormat="1" ht="12.75" hidden="1" customHeight="1">
      <c r="A164" s="1075"/>
      <c r="K164" s="4085" t="s">
        <v>2429</v>
      </c>
      <c r="L164"/>
      <c r="M164" s="1623" t="s">
        <v>861</v>
      </c>
      <c r="P164" s="4089"/>
      <c r="R164" s="1766"/>
      <c r="S164" s="1625"/>
      <c r="T164" s="1625"/>
      <c r="U164" s="1625"/>
      <c r="V164" s="1625"/>
      <c r="W164" s="1625"/>
      <c r="Z164" s="1625"/>
      <c r="AB164" s="1625"/>
      <c r="AD164" s="1625"/>
      <c r="AF164" s="3212"/>
      <c r="AL164" s="3175"/>
      <c r="AM164" s="3175"/>
      <c r="AN164" s="3175"/>
      <c r="AO164" s="3175"/>
      <c r="AP164" s="3175"/>
      <c r="AQ164" s="3175"/>
      <c r="AR164" s="3175"/>
      <c r="AS164" s="3175"/>
    </row>
    <row r="165" spans="1:45" s="1701" customFormat="1">
      <c r="A165" s="1075"/>
      <c r="K165" s="4085"/>
      <c r="L165"/>
      <c r="M165"/>
      <c r="P165" s="1625"/>
      <c r="R165" s="1766"/>
      <c r="S165" s="1625"/>
      <c r="T165" s="1625"/>
      <c r="U165" s="1625"/>
      <c r="V165" s="1625"/>
      <c r="W165" s="1625"/>
      <c r="Z165" s="1625"/>
      <c r="AB165" s="1625"/>
      <c r="AD165" s="1625"/>
      <c r="AF165" s="3212"/>
      <c r="AL165" s="3175"/>
      <c r="AM165" s="3175"/>
      <c r="AN165" s="3175"/>
      <c r="AO165" s="3175"/>
      <c r="AP165" s="3175"/>
      <c r="AQ165" s="3175"/>
      <c r="AR165" s="3175"/>
      <c r="AS165" s="3175"/>
    </row>
    <row r="166" spans="1:45" s="1701" customFormat="1" ht="14.25" customHeight="1">
      <c r="A166" s="1075"/>
      <c r="L166"/>
      <c r="M166"/>
      <c r="P166" s="1625"/>
      <c r="R166" s="1766"/>
      <c r="S166" s="1625"/>
      <c r="T166" s="1625"/>
      <c r="U166" s="1625"/>
      <c r="V166" s="1625"/>
      <c r="W166" s="1625"/>
      <c r="Z166" s="1625"/>
      <c r="AB166" s="1625"/>
      <c r="AD166" s="1625"/>
      <c r="AF166" s="3212"/>
      <c r="AL166" s="3175"/>
      <c r="AM166" s="3175"/>
      <c r="AN166" s="3175"/>
      <c r="AO166" s="3175"/>
      <c r="AP166" s="3175"/>
      <c r="AQ166" s="3175"/>
      <c r="AR166" s="3175"/>
      <c r="AS166" s="3175"/>
    </row>
    <row r="167" spans="1:45" s="1701" customFormat="1">
      <c r="A167" s="1075"/>
      <c r="P167" s="1625"/>
      <c r="R167" s="1766"/>
      <c r="S167" s="1625"/>
      <c r="T167" s="1625"/>
      <c r="U167" s="1625"/>
      <c r="V167" s="1625"/>
      <c r="W167" s="3240"/>
      <c r="Z167" s="1625"/>
      <c r="AB167" s="1625"/>
      <c r="AD167" s="1625"/>
      <c r="AF167" s="3212"/>
      <c r="AL167" s="3175"/>
      <c r="AM167" s="3175"/>
      <c r="AN167" s="3175"/>
      <c r="AO167" s="3175"/>
      <c r="AP167" s="3175"/>
      <c r="AQ167" s="3175"/>
      <c r="AR167" s="3175"/>
      <c r="AS167" s="3175"/>
    </row>
    <row r="168" spans="1:45" s="1701" customFormat="1">
      <c r="A168" s="1075"/>
      <c r="P168" s="1625"/>
      <c r="R168" s="1766"/>
      <c r="S168" s="1625"/>
      <c r="T168" s="1625"/>
      <c r="U168" s="1625"/>
      <c r="V168" s="1625"/>
      <c r="W168" s="3240"/>
      <c r="Z168" s="1625"/>
      <c r="AB168" s="1625"/>
      <c r="AD168" s="1625"/>
      <c r="AF168" s="3212"/>
      <c r="AL168" s="3175"/>
      <c r="AM168" s="3175"/>
      <c r="AN168" s="3175"/>
      <c r="AO168" s="3175"/>
      <c r="AP168" s="3175"/>
      <c r="AQ168" s="3175"/>
      <c r="AR168" s="3175"/>
      <c r="AS168" s="3175"/>
    </row>
    <row r="169" spans="1:45" s="1701" customFormat="1">
      <c r="A169" s="1075"/>
      <c r="P169" s="1625"/>
      <c r="R169" s="1766"/>
      <c r="S169" s="1625"/>
      <c r="T169" s="1625"/>
      <c r="U169" s="1625"/>
      <c r="V169" s="1625"/>
      <c r="W169" s="3240"/>
      <c r="Z169" s="1625"/>
      <c r="AB169" s="1625"/>
      <c r="AD169" s="1625"/>
      <c r="AF169" s="3212"/>
      <c r="AL169" s="3175"/>
      <c r="AM169" s="3175"/>
      <c r="AN169" s="3175"/>
      <c r="AO169" s="3175"/>
      <c r="AP169" s="3175"/>
      <c r="AQ169" s="3175"/>
      <c r="AR169" s="3175"/>
      <c r="AS169" s="3175"/>
    </row>
    <row r="170" spans="1:45" s="1701" customFormat="1">
      <c r="A170" s="1075"/>
      <c r="P170" s="1625"/>
      <c r="R170" s="1766"/>
      <c r="S170" s="1625"/>
      <c r="T170" s="1625"/>
      <c r="U170" s="1625"/>
      <c r="V170" s="1625"/>
      <c r="W170" s="3240"/>
      <c r="X170" s="244"/>
      <c r="Z170" s="1625"/>
      <c r="AB170" s="1625"/>
      <c r="AD170" s="1625"/>
      <c r="AF170" s="3212"/>
      <c r="AL170" s="3175"/>
      <c r="AM170" s="3175"/>
      <c r="AN170" s="3175"/>
      <c r="AO170" s="3175"/>
      <c r="AP170" s="3175"/>
      <c r="AQ170" s="3175"/>
      <c r="AR170" s="3175"/>
      <c r="AS170" s="3175"/>
    </row>
    <row r="171" spans="1:45" s="244" customFormat="1">
      <c r="A171" s="46"/>
      <c r="B171"/>
      <c r="C171"/>
      <c r="D171"/>
      <c r="E171"/>
      <c r="F171"/>
      <c r="G171"/>
      <c r="H171"/>
      <c r="I171"/>
      <c r="J171"/>
      <c r="K171"/>
      <c r="L171"/>
      <c r="M171"/>
      <c r="N171"/>
      <c r="O171"/>
      <c r="P171" s="277"/>
      <c r="Q171"/>
      <c r="R171" s="1408"/>
      <c r="S171" s="3240"/>
      <c r="T171" s="3240"/>
      <c r="U171" s="3240"/>
      <c r="V171" s="3240"/>
      <c r="W171" s="3240"/>
      <c r="Y171" s="1701"/>
      <c r="Z171" s="3211"/>
      <c r="AA171" s="1701"/>
      <c r="AB171" s="3211"/>
      <c r="AC171" s="1701"/>
      <c r="AD171" s="3211"/>
      <c r="AE171" s="1701"/>
      <c r="AF171" s="3212"/>
      <c r="AG171" s="1701"/>
      <c r="AH171" s="1701"/>
      <c r="AI171" s="1701"/>
      <c r="AJ171" s="1701"/>
      <c r="AK171" s="1701"/>
      <c r="AL171" s="3169"/>
      <c r="AM171" s="3169"/>
      <c r="AN171" s="3169"/>
      <c r="AO171" s="3169"/>
      <c r="AP171" s="3169"/>
      <c r="AQ171" s="3169"/>
      <c r="AR171" s="3169"/>
      <c r="AS171" s="3169"/>
    </row>
    <row r="172" spans="1:45" s="244" customFormat="1">
      <c r="A172" s="46"/>
      <c r="B172"/>
      <c r="C172"/>
      <c r="D172"/>
      <c r="E172"/>
      <c r="F172"/>
      <c r="G172"/>
      <c r="H172"/>
      <c r="I172"/>
      <c r="J172"/>
      <c r="K172"/>
      <c r="L172"/>
      <c r="M172"/>
      <c r="N172"/>
      <c r="O172"/>
      <c r="P172" s="277"/>
      <c r="Q172"/>
      <c r="R172" s="1408"/>
      <c r="S172" s="3240"/>
      <c r="T172" s="3240"/>
      <c r="U172" s="3240"/>
      <c r="V172" s="3240"/>
      <c r="W172" s="3240"/>
      <c r="Y172" s="1701"/>
      <c r="Z172" s="3211"/>
      <c r="AA172" s="1701"/>
      <c r="AB172" s="3211"/>
      <c r="AC172" s="1701"/>
      <c r="AD172" s="3211"/>
      <c r="AE172" s="1701"/>
      <c r="AF172" s="3212"/>
      <c r="AG172" s="1701"/>
      <c r="AH172" s="1701"/>
      <c r="AI172" s="1701"/>
      <c r="AJ172" s="1701"/>
      <c r="AK172" s="1701"/>
      <c r="AL172" s="3169"/>
      <c r="AM172" s="3169"/>
      <c r="AN172" s="3169"/>
      <c r="AO172" s="3169"/>
      <c r="AP172" s="3169"/>
      <c r="AQ172" s="3169"/>
      <c r="AR172" s="3169"/>
      <c r="AS172" s="3169"/>
    </row>
    <row r="175" spans="1:45">
      <c r="K175" s="1075"/>
      <c r="L175" s="1701"/>
      <c r="M175" s="1701"/>
    </row>
    <row r="176" spans="1:45">
      <c r="K176" s="1701"/>
      <c r="L176" s="1701"/>
      <c r="M176" s="1701"/>
    </row>
    <row r="177" spans="11:13">
      <c r="K177" s="1701"/>
      <c r="M177" s="244"/>
    </row>
  </sheetData>
  <sheetProtection password="F07E" sheet="1" objects="1" scenarios="1"/>
  <mergeCells count="71">
    <mergeCell ref="L78:M79"/>
    <mergeCell ref="E79:K79"/>
    <mergeCell ref="Q88:Q90"/>
    <mergeCell ref="C89:E90"/>
    <mergeCell ref="U29:V29"/>
    <mergeCell ref="B7:D7"/>
    <mergeCell ref="E7:K7"/>
    <mergeCell ref="L7:M7"/>
    <mergeCell ref="B8:D8"/>
    <mergeCell ref="E8:K8"/>
    <mergeCell ref="L8:M8"/>
    <mergeCell ref="L4:M4"/>
    <mergeCell ref="B5:B6"/>
    <mergeCell ref="C5:D6"/>
    <mergeCell ref="E5:K5"/>
    <mergeCell ref="L5:M6"/>
    <mergeCell ref="E6:K6"/>
    <mergeCell ref="C151:G151"/>
    <mergeCell ref="C153:G153"/>
    <mergeCell ref="L9:M10"/>
    <mergeCell ref="B10:I10"/>
    <mergeCell ref="J9:K10"/>
    <mergeCell ref="C13:M13"/>
    <mergeCell ref="C12:M12"/>
    <mergeCell ref="C62:M62"/>
    <mergeCell ref="C16:E17"/>
    <mergeCell ref="B80:D80"/>
    <mergeCell ref="E80:K80"/>
    <mergeCell ref="L80:M80"/>
    <mergeCell ref="L77:M77"/>
    <mergeCell ref="B78:B79"/>
    <mergeCell ref="C78:D79"/>
    <mergeCell ref="E78:K78"/>
    <mergeCell ref="C136:M136"/>
    <mergeCell ref="C137:M137"/>
    <mergeCell ref="C85:M85"/>
    <mergeCell ref="C86:M86"/>
    <mergeCell ref="C117:M117"/>
    <mergeCell ref="C116:M116"/>
    <mergeCell ref="X44:AG44"/>
    <mergeCell ref="X82:AG82"/>
    <mergeCell ref="X34:AE34"/>
    <mergeCell ref="Z39:AB39"/>
    <mergeCell ref="C135:M135"/>
    <mergeCell ref="B81:D81"/>
    <mergeCell ref="E81:K81"/>
    <mergeCell ref="L81:M81"/>
    <mergeCell ref="J82:K83"/>
    <mergeCell ref="L82:M83"/>
    <mergeCell ref="B83:I83"/>
    <mergeCell ref="U100:V100"/>
    <mergeCell ref="C43:M43"/>
    <mergeCell ref="C44:M44"/>
    <mergeCell ref="C63:M63"/>
    <mergeCell ref="C64:M64"/>
    <mergeCell ref="X111:AG111"/>
    <mergeCell ref="T3:U3"/>
    <mergeCell ref="O7:P7"/>
    <mergeCell ref="O8:P8"/>
    <mergeCell ref="Q15:Q17"/>
    <mergeCell ref="X8:AG9"/>
    <mergeCell ref="Q8:Q10"/>
    <mergeCell ref="X10:AG10"/>
    <mergeCell ref="X106:AE106"/>
    <mergeCell ref="AB11:AB21"/>
    <mergeCell ref="Z11:Z21"/>
    <mergeCell ref="AD11:AD21"/>
    <mergeCell ref="Z83:Z93"/>
    <mergeCell ref="AB83:AB93"/>
    <mergeCell ref="AD83:AD93"/>
    <mergeCell ref="X36:AG36"/>
  </mergeCells>
  <conditionalFormatting sqref="B10 L9">
    <cfRule type="expression" dxfId="415" priority="118">
      <formula>IF(NoColor,1,0)</formula>
    </cfRule>
  </conditionalFormatting>
  <conditionalFormatting sqref="M41">
    <cfRule type="expression" dxfId="414" priority="115">
      <formula>IF(NoColor,1,0)</formula>
    </cfRule>
  </conditionalFormatting>
  <conditionalFormatting sqref="M21">
    <cfRule type="expression" dxfId="413" priority="92">
      <formula>IF(NoColor,1,0)</formula>
    </cfRule>
  </conditionalFormatting>
  <conditionalFormatting sqref="M27">
    <cfRule type="expression" dxfId="412" priority="66">
      <formula>IF(NoColor,1,0)</formula>
    </cfRule>
  </conditionalFormatting>
  <conditionalFormatting sqref="M39">
    <cfRule type="expression" dxfId="411" priority="82">
      <formula>IF(NoColor,1,0)</formula>
    </cfRule>
  </conditionalFormatting>
  <conditionalFormatting sqref="M28">
    <cfRule type="expression" dxfId="410" priority="89">
      <formula>IF(NoColor,1,0)</formula>
    </cfRule>
  </conditionalFormatting>
  <conditionalFormatting sqref="M35">
    <cfRule type="expression" dxfId="409" priority="86">
      <formula>IF(NoColor,1,0)</formula>
    </cfRule>
  </conditionalFormatting>
  <conditionalFormatting sqref="M122">
    <cfRule type="expression" dxfId="408" priority="43">
      <formula>IF(NoColor,1,0)</formula>
    </cfRule>
  </conditionalFormatting>
  <conditionalFormatting sqref="J55">
    <cfRule type="expression" dxfId="407" priority="73">
      <formula>IF(NoColor,1,0)</formula>
    </cfRule>
  </conditionalFormatting>
  <conditionalFormatting sqref="M71">
    <cfRule type="expression" dxfId="406" priority="69">
      <formula>IF(NoColor,1,0)</formula>
    </cfRule>
  </conditionalFormatting>
  <conditionalFormatting sqref="M49">
    <cfRule type="expression" dxfId="405" priority="78">
      <formula>IF(NoColor,1,0)</formula>
    </cfRule>
  </conditionalFormatting>
  <conditionalFormatting sqref="M126">
    <cfRule type="expression" dxfId="404" priority="42">
      <formula>IF(NoColor,1,0)</formula>
    </cfRule>
  </conditionalFormatting>
  <conditionalFormatting sqref="M53">
    <cfRule type="expression" dxfId="403" priority="76">
      <formula>IF(NoColor,1,0)</formula>
    </cfRule>
  </conditionalFormatting>
  <conditionalFormatting sqref="L15">
    <cfRule type="expression" dxfId="402" priority="75">
      <formula>IF(NoColor,1,0)</formula>
    </cfRule>
  </conditionalFormatting>
  <conditionalFormatting sqref="L17">
    <cfRule type="expression" dxfId="401" priority="74">
      <formula>IF(NoColor,1,0)</formula>
    </cfRule>
  </conditionalFormatting>
  <conditionalFormatting sqref="L90">
    <cfRule type="expression" dxfId="400" priority="40">
      <formula>IF(NoColor,1,0)</formula>
    </cfRule>
  </conditionalFormatting>
  <conditionalFormatting sqref="M74">
    <cfRule type="expression" dxfId="399" priority="68">
      <formula>IF(NoColor,1,0)</formula>
    </cfRule>
  </conditionalFormatting>
  <conditionalFormatting sqref="J128">
    <cfRule type="expression" dxfId="398" priority="39">
      <formula>IF(NoColor,1,0)</formula>
    </cfRule>
  </conditionalFormatting>
  <conditionalFormatting sqref="M24">
    <cfRule type="expression" dxfId="397" priority="67">
      <formula>IF(NoColor,1,0)</formula>
    </cfRule>
  </conditionalFormatting>
  <conditionalFormatting sqref="M31">
    <cfRule type="expression" dxfId="396" priority="64">
      <formula>IF(NoColor,1,0)</formula>
    </cfRule>
  </conditionalFormatting>
  <conditionalFormatting sqref="K36">
    <cfRule type="expression" dxfId="395" priority="62">
      <formula>IF(NoColor,1,0)</formula>
    </cfRule>
  </conditionalFormatting>
  <conditionalFormatting sqref="K37">
    <cfRule type="expression" dxfId="394" priority="61">
      <formula>IF(NoColor,1,0)</formula>
    </cfRule>
  </conditionalFormatting>
  <conditionalFormatting sqref="M38">
    <cfRule type="expression" dxfId="393" priority="60">
      <formula>IF(NoColor,1,0)</formula>
    </cfRule>
  </conditionalFormatting>
  <conditionalFormatting sqref="C42">
    <cfRule type="expression" dxfId="392" priority="59">
      <formula>IF(AND(NOT(NoColor),$M$42,$O$42=""),1,0)</formula>
    </cfRule>
  </conditionalFormatting>
  <conditionalFormatting sqref="M45">
    <cfRule type="expression" dxfId="391" priority="58">
      <formula>IF(NoColor,1,0)</formula>
    </cfRule>
  </conditionalFormatting>
  <conditionalFormatting sqref="M48">
    <cfRule type="expression" dxfId="390" priority="56">
      <formula>IF(NoColor,1,0)</formula>
    </cfRule>
  </conditionalFormatting>
  <conditionalFormatting sqref="M50">
    <cfRule type="expression" dxfId="389" priority="55">
      <formula>IF(NoColor,1,0)</formula>
    </cfRule>
  </conditionalFormatting>
  <conditionalFormatting sqref="M68">
    <cfRule type="expression" dxfId="388" priority="50">
      <formula>IF(NoColor,1,0)</formula>
    </cfRule>
  </conditionalFormatting>
  <conditionalFormatting sqref="M59">
    <cfRule type="expression" dxfId="387" priority="53">
      <formula>IF(NoColor,1,0)</formula>
    </cfRule>
  </conditionalFormatting>
  <conditionalFormatting sqref="Q57">
    <cfRule type="expression" dxfId="386" priority="52">
      <formula>IF(J55&lt;&gt;"",1,0)</formula>
    </cfRule>
  </conditionalFormatting>
  <conditionalFormatting sqref="M66">
    <cfRule type="expression" dxfId="385" priority="51">
      <formula>IF(NoColor,1,0)</formula>
    </cfRule>
  </conditionalFormatting>
  <conditionalFormatting sqref="M141">
    <cfRule type="expression" dxfId="384" priority="21">
      <formula>IF(NoColor,1,0)</formula>
    </cfRule>
  </conditionalFormatting>
  <conditionalFormatting sqref="B83 L82">
    <cfRule type="expression" dxfId="383" priority="49">
      <formula>IF(NoColor,1,0)</formula>
    </cfRule>
  </conditionalFormatting>
  <conditionalFormatting sqref="M114">
    <cfRule type="expression" dxfId="382" priority="48">
      <formula>IF(NoColor,1,0)</formula>
    </cfRule>
  </conditionalFormatting>
  <conditionalFormatting sqref="M94">
    <cfRule type="expression" dxfId="381" priority="47">
      <formula>IF(NoColor,1,0)</formula>
    </cfRule>
  </conditionalFormatting>
  <conditionalFormatting sqref="M112">
    <cfRule type="expression" dxfId="380" priority="44">
      <formula>IF(NoColor,1,0)</formula>
    </cfRule>
  </conditionalFormatting>
  <conditionalFormatting sqref="M101">
    <cfRule type="expression" dxfId="379" priority="46">
      <formula>IF(NoColor,1,0)</formula>
    </cfRule>
  </conditionalFormatting>
  <conditionalFormatting sqref="M108">
    <cfRule type="expression" dxfId="378" priority="45">
      <formula>IF(NoColor,1,0)</formula>
    </cfRule>
  </conditionalFormatting>
  <conditionalFormatting sqref="M144">
    <cfRule type="expression" dxfId="377" priority="38">
      <formula>IF(NoColor,1,0)</formula>
    </cfRule>
  </conditionalFormatting>
  <conditionalFormatting sqref="L88">
    <cfRule type="expression" dxfId="376" priority="41">
      <formula>IF(NoColor,1,0)</formula>
    </cfRule>
  </conditionalFormatting>
  <conditionalFormatting sqref="M147">
    <cfRule type="expression" dxfId="375" priority="37">
      <formula>IF(NoColor,1,0)</formula>
    </cfRule>
  </conditionalFormatting>
  <conditionalFormatting sqref="M100">
    <cfRule type="expression" dxfId="374" priority="35">
      <formula>IF(NoColor,1,0)</formula>
    </cfRule>
  </conditionalFormatting>
  <conditionalFormatting sqref="K109">
    <cfRule type="expression" dxfId="373" priority="32">
      <formula>IF(NoColor,1,0)</formula>
    </cfRule>
  </conditionalFormatting>
  <conditionalFormatting sqref="K110">
    <cfRule type="expression" dxfId="372" priority="31">
      <formula>IF(NoColor,1,0)</formula>
    </cfRule>
  </conditionalFormatting>
  <conditionalFormatting sqref="M111">
    <cfRule type="expression" dxfId="371" priority="30">
      <formula>IF(NoColor,1,0)</formula>
    </cfRule>
  </conditionalFormatting>
  <conditionalFormatting sqref="C115">
    <cfRule type="expression" dxfId="370" priority="29">
      <formula>IF(AND(NOT(NoColor),$M$115,$O$115=""),1,0)</formula>
    </cfRule>
  </conditionalFormatting>
  <conditionalFormatting sqref="M118">
    <cfRule type="expression" dxfId="369" priority="28">
      <formula>IF(NoColor,1,0)</formula>
    </cfRule>
  </conditionalFormatting>
  <conditionalFormatting sqref="M121">
    <cfRule type="expression" dxfId="368" priority="26">
      <formula>IF(NoColor,1,0)</formula>
    </cfRule>
  </conditionalFormatting>
  <conditionalFormatting sqref="M123">
    <cfRule type="expression" dxfId="367" priority="25">
      <formula>IF(NoColor,1,0)</formula>
    </cfRule>
  </conditionalFormatting>
  <conditionalFormatting sqref="M132">
    <cfRule type="expression" dxfId="366" priority="24">
      <formula>IF(NoColor,1,0)</formula>
    </cfRule>
  </conditionalFormatting>
  <conditionalFormatting sqref="Q130">
    <cfRule type="expression" dxfId="365" priority="23">
      <formula>IF(J128&lt;&gt;"",1,0)</formula>
    </cfRule>
  </conditionalFormatting>
  <conditionalFormatting sqref="M139">
    <cfRule type="expression" dxfId="364" priority="22">
      <formula>IF(NoColor,1,0)</formula>
    </cfRule>
  </conditionalFormatting>
  <conditionalFormatting sqref="M97">
    <cfRule type="expression" dxfId="363" priority="18">
      <formula>IF(NoColor,1,0)</formula>
    </cfRule>
  </conditionalFormatting>
  <conditionalFormatting sqref="M34">
    <cfRule type="expression" dxfId="362" priority="17">
      <formula>IF(NoColor,1,0)</formula>
    </cfRule>
  </conditionalFormatting>
  <conditionalFormatting sqref="M107">
    <cfRule type="expression" dxfId="361" priority="15">
      <formula>IF(NoColor,1,0)</formula>
    </cfRule>
  </conditionalFormatting>
  <conditionalFormatting sqref="O42">
    <cfRule type="expression" dxfId="360" priority="14">
      <formula>M42</formula>
    </cfRule>
  </conditionalFormatting>
  <conditionalFormatting sqref="O115">
    <cfRule type="expression" dxfId="359" priority="13">
      <formula>M115</formula>
    </cfRule>
  </conditionalFormatting>
  <conditionalFormatting sqref="X39:AH60">
    <cfRule type="expression" dxfId="358" priority="8">
      <formula>NOT($Q$7)</formula>
    </cfRule>
  </conditionalFormatting>
  <conditionalFormatting sqref="X111:AH127">
    <cfRule type="expression" dxfId="357" priority="7">
      <formula>NOT($Q$7)</formula>
    </cfRule>
  </conditionalFormatting>
  <conditionalFormatting sqref="O10:P10">
    <cfRule type="expression" dxfId="356" priority="6">
      <formula>NOT(File_Marr_Joint&lt;&gt;"")</formula>
    </cfRule>
  </conditionalFormatting>
  <conditionalFormatting sqref="A77:AG102 A103:S103 U103:AG104 A105:AG105 A110:AG149 A106:R106 W106:AG107 A107:T109 V108:AG109 A104:L104 N104:S104">
    <cfRule type="expression" dxfId="355" priority="5">
      <formula>NOT($Q$7)</formula>
    </cfRule>
  </conditionalFormatting>
  <conditionalFormatting sqref="U106:U109">
    <cfRule type="expression" dxfId="354" priority="4">
      <formula>NOT($Q$7)</formula>
    </cfRule>
  </conditionalFormatting>
  <conditionalFormatting sqref="M104">
    <cfRule type="expression" dxfId="353" priority="2">
      <formula>IF(NoColor,1,0)</formula>
    </cfRule>
  </conditionalFormatting>
  <conditionalFormatting sqref="M104">
    <cfRule type="expression" dxfId="352" priority="1">
      <formula>NOT($Q$7)</formula>
    </cfRule>
  </conditionalFormatting>
  <hyperlinks>
    <hyperlink ref="C151:G151" r:id="rId1" display="Download Form 8889"/>
    <hyperlink ref="C153:G153" r:id="rId2" display="Download Form 8889 Instructions"/>
  </hyperlinks>
  <printOptions horizontalCentered="1"/>
  <pageMargins left="0.44" right="0.25" top="0.72" bottom="0.25" header="0.27" footer="0.25"/>
  <pageSetup scale="94" fitToHeight="0" orientation="portrait" r:id="rId3"/>
  <headerFooter alignWithMargins="0"/>
  <rowBreaks count="3" manualBreakCount="3">
    <brk id="60" min="1" max="12" man="1"/>
    <brk id="75" max="16383" man="1"/>
    <brk id="133" min="1" max="12" man="1"/>
  </rowBreaks>
  <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C123"/>
  <sheetViews>
    <sheetView zoomScaleNormal="100" zoomScaleSheetLayoutView="100" workbookViewId="0">
      <selection activeCell="C25" sqref="C25"/>
    </sheetView>
  </sheetViews>
  <sheetFormatPr defaultColWidth="3.7109375" defaultRowHeight="12.75"/>
  <cols>
    <col min="1" max="1" width="3.7109375" style="1193"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85" customWidth="1"/>
    <col min="34" max="34" width="4.85546875" style="323" customWidth="1"/>
    <col min="35" max="35" width="8.5703125" style="323"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28"/>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28"/>
      <c r="AA1" s="1228"/>
      <c r="AB1" s="1228"/>
      <c r="AC1" s="1228"/>
      <c r="AD1" s="1228"/>
      <c r="AE1" s="1228"/>
      <c r="AF1" s="1228"/>
      <c r="AG1" s="1228"/>
    </row>
    <row r="2" spans="1:34">
      <c r="A2" s="82"/>
      <c r="B2" s="7963" t="s">
        <v>869</v>
      </c>
      <c r="C2" s="7964"/>
      <c r="D2" s="7964"/>
      <c r="E2" s="7964"/>
      <c r="F2" s="7964"/>
      <c r="G2" s="7964"/>
      <c r="H2" s="7964"/>
      <c r="I2" s="7964"/>
      <c r="J2" s="7964"/>
      <c r="K2" s="7964"/>
      <c r="L2" s="1425"/>
      <c r="M2" s="82"/>
      <c r="N2" s="82"/>
      <c r="O2" s="82"/>
      <c r="P2" s="82"/>
      <c r="Q2" s="82"/>
      <c r="R2" s="82"/>
      <c r="S2" s="82"/>
      <c r="T2" s="82"/>
      <c r="U2" s="82"/>
      <c r="V2" s="82"/>
      <c r="W2" s="82"/>
      <c r="X2" s="82"/>
      <c r="Y2" s="82"/>
      <c r="Z2" s="82"/>
      <c r="AA2" s="1098"/>
      <c r="AB2" s="82"/>
      <c r="AC2" s="82"/>
      <c r="AD2" s="82"/>
      <c r="AE2" s="82"/>
      <c r="AF2" s="82"/>
      <c r="AG2" s="1228"/>
    </row>
    <row r="3" spans="1:34">
      <c r="A3" s="1228"/>
      <c r="B3" s="1228"/>
      <c r="C3" s="1228"/>
      <c r="D3" s="1228"/>
      <c r="E3" s="1228"/>
      <c r="F3" s="1228"/>
      <c r="G3" s="1228"/>
      <c r="H3" s="1228"/>
      <c r="I3" s="1228"/>
      <c r="J3" s="1228"/>
      <c r="K3" s="1228"/>
      <c r="L3" s="1228"/>
      <c r="M3" s="1228"/>
      <c r="N3" s="1228"/>
      <c r="O3" s="1228"/>
      <c r="P3" s="1228"/>
      <c r="Q3" s="1228"/>
      <c r="R3" s="1228"/>
      <c r="S3" s="1228"/>
      <c r="T3" s="1228"/>
      <c r="U3" s="1228"/>
      <c r="V3" s="1228"/>
      <c r="W3" s="1228"/>
      <c r="X3" s="1228"/>
      <c r="Y3" s="1228"/>
      <c r="Z3" s="1228"/>
      <c r="AA3" s="1228"/>
      <c r="AB3" s="1228"/>
      <c r="AC3" s="1228"/>
      <c r="AD3" s="1228"/>
      <c r="AE3" s="1228"/>
      <c r="AF3" s="1228"/>
      <c r="AG3" s="1228"/>
    </row>
    <row r="4" spans="1:34" ht="11.25" customHeight="1">
      <c r="A4" s="1228"/>
      <c r="B4" s="7965" t="s">
        <v>731</v>
      </c>
      <c r="C4" s="7569"/>
      <c r="D4" s="7569"/>
      <c r="E4" s="7569"/>
      <c r="F4" s="7569"/>
      <c r="G4" s="24"/>
      <c r="H4" s="7973" t="s">
        <v>732</v>
      </c>
      <c r="I4" s="7974"/>
      <c r="J4" s="7974"/>
      <c r="K4" s="7974"/>
      <c r="L4" s="7974"/>
      <c r="M4" s="7974"/>
      <c r="N4" s="7974"/>
      <c r="O4" s="7974"/>
      <c r="P4" s="7974"/>
      <c r="Q4" s="7974"/>
      <c r="R4" s="7974"/>
      <c r="S4" s="7974"/>
      <c r="T4" s="7974"/>
      <c r="U4" s="7974"/>
      <c r="V4" s="7974"/>
      <c r="W4" s="7974"/>
      <c r="X4" s="7974"/>
      <c r="Y4" s="7974"/>
      <c r="Z4" s="7974"/>
      <c r="AA4" s="7975"/>
      <c r="AB4" s="7966" t="s">
        <v>169</v>
      </c>
      <c r="AC4" s="7573"/>
      <c r="AD4" s="7573"/>
      <c r="AE4" s="7573"/>
      <c r="AF4" s="7573"/>
      <c r="AG4" s="1228"/>
      <c r="AH4" s="1186"/>
    </row>
    <row r="5" spans="1:34" ht="11.25" customHeight="1">
      <c r="A5" s="1228"/>
      <c r="B5" s="7569"/>
      <c r="C5" s="7569"/>
      <c r="D5" s="7569"/>
      <c r="E5" s="7569"/>
      <c r="F5" s="7569"/>
      <c r="G5" s="24"/>
      <c r="H5" s="7976"/>
      <c r="I5" s="7974"/>
      <c r="J5" s="7974"/>
      <c r="K5" s="7974"/>
      <c r="L5" s="7974"/>
      <c r="M5" s="7974"/>
      <c r="N5" s="7974"/>
      <c r="O5" s="7974"/>
      <c r="P5" s="7974"/>
      <c r="Q5" s="7974"/>
      <c r="R5" s="7974"/>
      <c r="S5" s="7974"/>
      <c r="T5" s="7974"/>
      <c r="U5" s="7974"/>
      <c r="V5" s="7974"/>
      <c r="W5" s="7974"/>
      <c r="X5" s="7974"/>
      <c r="Y5" s="7974"/>
      <c r="Z5" s="7974"/>
      <c r="AA5" s="7975"/>
      <c r="AB5" s="7967">
        <f>TaxYear</f>
        <v>2018</v>
      </c>
      <c r="AC5" s="7569"/>
      <c r="AD5" s="7569"/>
      <c r="AE5" s="7569"/>
      <c r="AF5" s="7569"/>
      <c r="AG5" s="1228"/>
      <c r="AH5" s="1186"/>
    </row>
    <row r="6" spans="1:34" ht="11.25" customHeight="1">
      <c r="A6" s="1228"/>
      <c r="B6" s="7569"/>
      <c r="C6" s="7569"/>
      <c r="D6" s="7569"/>
      <c r="E6" s="7569"/>
      <c r="F6" s="7569"/>
      <c r="G6" s="24"/>
      <c r="H6" s="7977"/>
      <c r="I6" s="5527"/>
      <c r="J6" s="5527"/>
      <c r="K6" s="5527"/>
      <c r="L6" s="5527"/>
      <c r="M6" s="5527"/>
      <c r="N6" s="5527"/>
      <c r="O6" s="5527"/>
      <c r="P6" s="5527"/>
      <c r="Q6" s="5527"/>
      <c r="R6" s="5527"/>
      <c r="S6" s="5527"/>
      <c r="T6" s="5527"/>
      <c r="U6" s="5527"/>
      <c r="V6" s="5527"/>
      <c r="W6" s="5527"/>
      <c r="X6" s="5527"/>
      <c r="Y6" s="5527"/>
      <c r="Z6" s="5527"/>
      <c r="AA6" s="7469"/>
      <c r="AB6" s="7569"/>
      <c r="AC6" s="7569"/>
      <c r="AD6" s="7569"/>
      <c r="AE6" s="7569"/>
      <c r="AF6" s="7569"/>
      <c r="AG6" s="1228"/>
      <c r="AH6" s="1184"/>
    </row>
    <row r="7" spans="1:34" ht="11.25" customHeight="1">
      <c r="A7" s="1228"/>
      <c r="B7" s="24"/>
      <c r="C7" s="24"/>
      <c r="D7" s="24"/>
      <c r="E7" s="24"/>
      <c r="F7" s="24"/>
      <c r="G7" s="24"/>
      <c r="H7" s="7982" t="s">
        <v>2572</v>
      </c>
      <c r="I7" s="7983"/>
      <c r="J7" s="7983"/>
      <c r="K7" s="7983"/>
      <c r="L7" s="7983"/>
      <c r="M7" s="7983"/>
      <c r="N7" s="7983"/>
      <c r="O7" s="7983"/>
      <c r="P7" s="7983"/>
      <c r="Q7" s="7983"/>
      <c r="R7" s="7983"/>
      <c r="S7" s="7983"/>
      <c r="T7" s="7983"/>
      <c r="U7" s="7983"/>
      <c r="V7" s="7983"/>
      <c r="W7" s="7983"/>
      <c r="X7" s="7983"/>
      <c r="Y7" s="7983"/>
      <c r="Z7" s="7983"/>
      <c r="AA7" s="7984"/>
      <c r="AB7" s="7569"/>
      <c r="AC7" s="7569"/>
      <c r="AD7" s="7569"/>
      <c r="AE7" s="7569"/>
      <c r="AF7" s="7569"/>
      <c r="AG7" s="1228"/>
    </row>
    <row r="8" spans="1:34" ht="10.5" customHeight="1">
      <c r="A8" s="1228"/>
      <c r="B8" s="32" t="s">
        <v>202</v>
      </c>
      <c r="C8" s="24"/>
      <c r="D8" s="24"/>
      <c r="E8" s="24"/>
      <c r="F8" s="24"/>
      <c r="G8" s="24"/>
      <c r="H8" s="7982" t="s">
        <v>1301</v>
      </c>
      <c r="I8" s="7983"/>
      <c r="J8" s="7983"/>
      <c r="K8" s="7983"/>
      <c r="L8" s="7983"/>
      <c r="M8" s="7983"/>
      <c r="N8" s="7983"/>
      <c r="O8" s="7983"/>
      <c r="P8" s="7983"/>
      <c r="Q8" s="7983"/>
      <c r="R8" s="7983"/>
      <c r="S8" s="7983"/>
      <c r="T8" s="7983"/>
      <c r="U8" s="7983"/>
      <c r="V8" s="7983"/>
      <c r="W8" s="7983"/>
      <c r="X8" s="7983"/>
      <c r="Y8" s="7983"/>
      <c r="Z8" s="7983"/>
      <c r="AA8" s="7984"/>
      <c r="AB8" s="8005" t="s">
        <v>4038</v>
      </c>
      <c r="AC8" s="8006"/>
      <c r="AD8" s="8006"/>
      <c r="AE8" s="8012" t="s">
        <v>4194</v>
      </c>
      <c r="AF8" s="8013"/>
      <c r="AG8" s="1228"/>
    </row>
    <row r="9" spans="1:34" ht="10.5" customHeight="1" thickBot="1">
      <c r="A9" s="1228"/>
      <c r="B9" s="31" t="s">
        <v>450</v>
      </c>
      <c r="C9" s="39"/>
      <c r="D9" s="39"/>
      <c r="E9" s="39"/>
      <c r="F9" s="39"/>
      <c r="G9" s="39"/>
      <c r="H9" s="8009"/>
      <c r="I9" s="8010"/>
      <c r="J9" s="8010"/>
      <c r="K9" s="8010"/>
      <c r="L9" s="8010"/>
      <c r="M9" s="8010"/>
      <c r="N9" s="8010"/>
      <c r="O9" s="8010"/>
      <c r="P9" s="8010"/>
      <c r="Q9" s="8010"/>
      <c r="R9" s="8010"/>
      <c r="S9" s="8010"/>
      <c r="T9" s="8010"/>
      <c r="U9" s="8010"/>
      <c r="V9" s="8010"/>
      <c r="W9" s="8010"/>
      <c r="X9" s="8010"/>
      <c r="Y9" s="8010"/>
      <c r="Z9" s="8010"/>
      <c r="AA9" s="8011"/>
      <c r="AB9" s="8007"/>
      <c r="AC9" s="8008"/>
      <c r="AD9" s="8008"/>
      <c r="AE9" s="8014"/>
      <c r="AF9" s="8014"/>
      <c r="AG9" s="1228"/>
    </row>
    <row r="10" spans="1:34">
      <c r="A10" s="1228"/>
      <c r="B10" s="32" t="s">
        <v>63</v>
      </c>
      <c r="C10" s="24"/>
      <c r="D10" s="24"/>
      <c r="E10" s="24"/>
      <c r="F10" s="24"/>
      <c r="G10" s="24"/>
      <c r="H10" s="24"/>
      <c r="I10" s="24"/>
      <c r="J10" s="24"/>
      <c r="K10" s="24"/>
      <c r="L10" s="24"/>
      <c r="M10" s="24"/>
      <c r="N10" s="24"/>
      <c r="O10" s="24"/>
      <c r="P10" s="24"/>
      <c r="Q10" s="24"/>
      <c r="R10" s="24"/>
      <c r="S10" s="24"/>
      <c r="T10" s="24"/>
      <c r="U10" s="24"/>
      <c r="V10" s="1546" t="s">
        <v>899</v>
      </c>
      <c r="W10" s="24"/>
      <c r="X10" s="24"/>
      <c r="Y10" s="24"/>
      <c r="Z10" s="37"/>
      <c r="AA10" s="24"/>
      <c r="AB10" s="24"/>
      <c r="AC10" s="24"/>
      <c r="AD10" s="24"/>
      <c r="AE10" s="24"/>
      <c r="AF10" s="24"/>
      <c r="AG10" s="1228"/>
    </row>
    <row r="11" spans="1:34" ht="16.5" thickBot="1">
      <c r="A11" s="1228"/>
      <c r="B11" s="7970" t="str">
        <f>Names</f>
        <v/>
      </c>
      <c r="C11" s="7971"/>
      <c r="D11" s="7971"/>
      <c r="E11" s="7971"/>
      <c r="F11" s="7971"/>
      <c r="G11" s="7971"/>
      <c r="H11" s="7971"/>
      <c r="I11" s="7971"/>
      <c r="J11" s="7971"/>
      <c r="K11" s="7971"/>
      <c r="L11" s="7971"/>
      <c r="M11" s="7971"/>
      <c r="N11" s="7971"/>
      <c r="O11" s="7971"/>
      <c r="P11" s="7971"/>
      <c r="Q11" s="7971"/>
      <c r="R11" s="7971"/>
      <c r="S11" s="7971"/>
      <c r="T11" s="7971"/>
      <c r="U11" s="7972"/>
      <c r="V11" s="7968">
        <f>IF(NoSSN,"",SS_Yours)</f>
        <v>0</v>
      </c>
      <c r="W11" s="7969"/>
      <c r="X11" s="7969"/>
      <c r="Y11" s="7969"/>
      <c r="Z11" s="7969"/>
      <c r="AA11" s="7969"/>
      <c r="AB11" s="7969"/>
      <c r="AC11" s="7969"/>
      <c r="AD11" s="7969"/>
      <c r="AE11" s="7969"/>
      <c r="AF11" s="7969"/>
      <c r="AG11" s="1228"/>
    </row>
    <row r="12" spans="1:34" ht="12.75" customHeight="1">
      <c r="A12" s="1228"/>
      <c r="B12" s="8031" t="s">
        <v>1957</v>
      </c>
      <c r="C12" s="8032"/>
      <c r="D12" s="8032"/>
      <c r="E12" s="8032"/>
      <c r="F12" s="8032"/>
      <c r="G12" s="8032"/>
      <c r="H12" s="8032"/>
      <c r="I12" s="8032"/>
      <c r="J12" s="8032"/>
      <c r="K12" s="8032"/>
      <c r="L12" s="8032"/>
      <c r="M12" s="8032"/>
      <c r="N12" s="8032"/>
      <c r="O12" s="8032"/>
      <c r="P12" s="8032"/>
      <c r="Q12" s="8032"/>
      <c r="R12" s="8032"/>
      <c r="S12" s="8032"/>
      <c r="T12" s="8032"/>
      <c r="U12" s="8032"/>
      <c r="V12" s="8032"/>
      <c r="W12" s="8032"/>
      <c r="X12" s="8032"/>
      <c r="Y12" s="8032"/>
      <c r="Z12" s="8032"/>
      <c r="AA12" s="8032"/>
      <c r="AB12" s="8032"/>
      <c r="AC12" s="8032"/>
      <c r="AD12" s="8032"/>
      <c r="AE12" s="8032"/>
      <c r="AF12" s="8032"/>
      <c r="AG12" s="1228"/>
    </row>
    <row r="13" spans="1:34" ht="12.75" customHeight="1">
      <c r="A13" s="1228"/>
      <c r="B13" s="6088"/>
      <c r="C13" s="6088"/>
      <c r="D13" s="6088"/>
      <c r="E13" s="6088"/>
      <c r="F13" s="6088"/>
      <c r="G13" s="6088"/>
      <c r="H13" s="6088"/>
      <c r="I13" s="6088"/>
      <c r="J13" s="6088"/>
      <c r="K13" s="6088"/>
      <c r="L13" s="6088"/>
      <c r="M13" s="6088"/>
      <c r="N13" s="6088"/>
      <c r="O13" s="6088"/>
      <c r="P13" s="6088"/>
      <c r="Q13" s="6088"/>
      <c r="R13" s="6088"/>
      <c r="S13" s="6088"/>
      <c r="T13" s="6088"/>
      <c r="U13" s="6088"/>
      <c r="V13" s="6088"/>
      <c r="W13" s="6088"/>
      <c r="X13" s="6088"/>
      <c r="Y13" s="6088"/>
      <c r="Z13" s="6088"/>
      <c r="AA13" s="6088"/>
      <c r="AB13" s="6088"/>
      <c r="AC13" s="6088"/>
      <c r="AD13" s="6088"/>
      <c r="AE13" s="6088"/>
      <c r="AF13" s="6088"/>
      <c r="AG13" s="1228"/>
    </row>
    <row r="14" spans="1:34" ht="12.75" customHeight="1">
      <c r="A14" s="1228"/>
      <c r="B14" s="5809"/>
      <c r="C14" s="5809"/>
      <c r="D14" s="5809"/>
      <c r="E14" s="5809"/>
      <c r="F14" s="5809"/>
      <c r="G14" s="5809"/>
      <c r="H14" s="5809"/>
      <c r="I14" s="5809"/>
      <c r="J14" s="5809"/>
      <c r="K14" s="5809"/>
      <c r="L14" s="5809"/>
      <c r="M14" s="5809"/>
      <c r="N14" s="5809"/>
      <c r="O14" s="5809"/>
      <c r="P14" s="5809"/>
      <c r="Q14" s="5809"/>
      <c r="R14" s="5809"/>
      <c r="S14" s="5809"/>
      <c r="T14" s="5809"/>
      <c r="U14" s="5809"/>
      <c r="V14" s="5809"/>
      <c r="W14" s="5809"/>
      <c r="X14" s="5809"/>
      <c r="Y14" s="5809"/>
      <c r="Z14" s="5809"/>
      <c r="AA14" s="5809"/>
      <c r="AB14" s="5809"/>
      <c r="AC14" s="5809"/>
      <c r="AD14" s="5809"/>
      <c r="AE14" s="5809"/>
      <c r="AF14" s="5809"/>
      <c r="AG14" s="1228"/>
    </row>
    <row r="15" spans="1:34" ht="3.75" customHeight="1">
      <c r="A15" s="1228"/>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28"/>
    </row>
    <row r="16" spans="1:34" ht="15">
      <c r="A16" s="1228"/>
      <c r="B16" s="7978" t="s">
        <v>58</v>
      </c>
      <c r="C16" s="5615"/>
      <c r="D16" s="24"/>
      <c r="E16" s="354" t="s">
        <v>2574</v>
      </c>
      <c r="F16" s="24"/>
      <c r="G16" s="24"/>
      <c r="H16" s="24"/>
      <c r="I16" s="24"/>
      <c r="J16" s="24"/>
      <c r="K16" s="24"/>
      <c r="L16" s="24"/>
      <c r="M16" s="24"/>
      <c r="N16" s="24"/>
      <c r="O16" s="24"/>
      <c r="P16" s="24"/>
      <c r="Q16" s="24"/>
      <c r="R16" s="24"/>
      <c r="S16" s="24"/>
      <c r="T16" s="423" t="s">
        <v>2573</v>
      </c>
      <c r="U16" s="24"/>
      <c r="V16" s="24"/>
      <c r="W16" s="24"/>
      <c r="X16" s="423" t="s">
        <v>4201</v>
      </c>
      <c r="Y16" s="24"/>
      <c r="Z16" s="24"/>
      <c r="AA16" s="24"/>
      <c r="AB16" s="24"/>
      <c r="AC16" s="24"/>
      <c r="AD16" s="24"/>
      <c r="AE16" s="24"/>
      <c r="AF16" s="24"/>
      <c r="AG16" s="1228" t="b">
        <f>IF(SUM(AG35:AG54)&gt;0,TRUE,FALSE)</f>
        <v>0</v>
      </c>
    </row>
    <row r="17" spans="1:55" ht="11.25" customHeight="1">
      <c r="A17" s="1228"/>
      <c r="B17" s="24"/>
      <c r="C17" s="24"/>
      <c r="D17" s="24"/>
      <c r="E17" s="423" t="s">
        <v>4195</v>
      </c>
      <c r="F17" s="24"/>
      <c r="G17" s="24"/>
      <c r="H17" s="24"/>
      <c r="I17" s="24"/>
      <c r="J17" s="24"/>
      <c r="K17" s="24"/>
      <c r="L17" s="24"/>
      <c r="M17" s="24"/>
      <c r="N17" s="24"/>
      <c r="O17" s="24"/>
      <c r="P17" s="24"/>
      <c r="Q17" s="24"/>
      <c r="R17" s="24"/>
      <c r="S17" s="24"/>
      <c r="T17" s="423"/>
      <c r="U17" s="24"/>
      <c r="V17" s="24"/>
      <c r="W17" s="24"/>
      <c r="X17" s="74"/>
      <c r="Y17" s="24"/>
      <c r="Z17" s="24"/>
      <c r="AA17" s="24"/>
      <c r="AB17" s="24"/>
      <c r="AC17" s="24"/>
      <c r="AD17" s="24"/>
      <c r="AE17" s="24"/>
      <c r="AF17" s="24"/>
      <c r="AG17" s="1228"/>
    </row>
    <row r="18" spans="1:55" s="269" customFormat="1" ht="13.5" customHeight="1">
      <c r="A18" s="3246"/>
      <c r="B18" s="423"/>
      <c r="C18" s="423"/>
      <c r="D18" s="423"/>
      <c r="E18" s="3247" t="s">
        <v>2575</v>
      </c>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3246"/>
      <c r="AH18" s="1067"/>
      <c r="AI18" s="1067"/>
    </row>
    <row r="19" spans="1:55" s="269" customFormat="1" ht="13.5" customHeight="1">
      <c r="A19" s="3246"/>
      <c r="B19" s="423"/>
      <c r="C19" s="423"/>
      <c r="D19" s="423"/>
      <c r="E19" s="423" t="s">
        <v>1013</v>
      </c>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3246"/>
      <c r="AH19" s="1067"/>
      <c r="AI19" s="1067"/>
    </row>
    <row r="20" spans="1:55" s="269" customFormat="1" ht="13.5" customHeight="1">
      <c r="A20" s="3246"/>
      <c r="B20" s="3248"/>
      <c r="C20" s="3248"/>
      <c r="D20" s="3248"/>
      <c r="E20" s="3248" t="s">
        <v>4196</v>
      </c>
      <c r="F20" s="3248"/>
      <c r="G20" s="3248"/>
      <c r="H20" s="3248"/>
      <c r="I20" s="3248"/>
      <c r="J20" s="3248"/>
      <c r="K20" s="3248"/>
      <c r="L20" s="3248"/>
      <c r="M20" s="3248"/>
      <c r="N20" s="3248"/>
      <c r="O20" s="3248"/>
      <c r="P20" s="3248"/>
      <c r="Q20" s="3248"/>
      <c r="R20" s="3248"/>
      <c r="S20" s="3248"/>
      <c r="T20" s="3248"/>
      <c r="U20" s="3248"/>
      <c r="V20" s="3248"/>
      <c r="W20" s="3248"/>
      <c r="X20" s="3248"/>
      <c r="Y20" s="3248"/>
      <c r="Z20" s="3248"/>
      <c r="AA20" s="3248"/>
      <c r="AB20" s="3248"/>
      <c r="AC20" s="3248"/>
      <c r="AD20" s="3248"/>
      <c r="AE20" s="3248"/>
      <c r="AF20" s="3248"/>
      <c r="AG20" s="3246"/>
      <c r="AH20" s="1067"/>
      <c r="AI20" s="1067"/>
    </row>
    <row r="21" spans="1:55">
      <c r="A21" s="1228"/>
      <c r="B21" s="286" t="s">
        <v>888</v>
      </c>
      <c r="C21" s="60"/>
      <c r="D21" s="60"/>
      <c r="E21" s="60"/>
      <c r="F21" s="60"/>
      <c r="G21" s="60"/>
      <c r="H21" s="60"/>
      <c r="I21" s="60"/>
      <c r="J21" s="60"/>
      <c r="K21" s="286"/>
      <c r="L21" s="286" t="s">
        <v>887</v>
      </c>
      <c r="M21" s="60"/>
      <c r="N21" s="60"/>
      <c r="O21" s="60"/>
      <c r="P21" s="60"/>
      <c r="Q21" s="74" t="s">
        <v>886</v>
      </c>
      <c r="R21" s="60"/>
      <c r="S21" s="60"/>
      <c r="T21" s="60"/>
      <c r="U21" s="60"/>
      <c r="V21" s="60"/>
      <c r="W21" s="60"/>
      <c r="X21" s="60"/>
      <c r="Y21" s="60"/>
      <c r="Z21" s="60"/>
      <c r="AA21" s="60"/>
      <c r="AB21" s="60"/>
      <c r="AC21" s="60"/>
      <c r="AD21" s="60"/>
      <c r="AE21" s="60"/>
      <c r="AF21" s="60"/>
      <c r="AG21" s="1228"/>
    </row>
    <row r="22" spans="1:55">
      <c r="A22" s="1228"/>
      <c r="B22" s="74" t="s">
        <v>884</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28"/>
      <c r="BA22" s="7953" t="s">
        <v>957</v>
      </c>
      <c r="BB22" s="6273"/>
      <c r="BC22" s="6185"/>
    </row>
    <row r="23" spans="1:55">
      <c r="A23" s="1228"/>
      <c r="B23" s="74" t="s">
        <v>885</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28"/>
      <c r="BA23" s="7954" t="s">
        <v>956</v>
      </c>
      <c r="BB23" s="7954" t="s">
        <v>947</v>
      </c>
      <c r="BC23" s="7954" t="s">
        <v>948</v>
      </c>
    </row>
    <row r="24" spans="1:55" ht="4.5" customHeight="1" thickBot="1">
      <c r="A24" s="1228"/>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28"/>
      <c r="BA24" s="7955"/>
      <c r="BB24" s="7955"/>
      <c r="BC24" s="7955"/>
    </row>
    <row r="25" spans="1:55" ht="12" customHeight="1" thickBot="1">
      <c r="A25" s="1228"/>
      <c r="B25" s="1588">
        <f>IF(C25&lt;&gt;"",1,0)</f>
        <v>0</v>
      </c>
      <c r="C25" s="1587"/>
      <c r="D25" s="1085" t="s">
        <v>4198</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28"/>
      <c r="AJ25" s="7948"/>
      <c r="AK25" s="7949"/>
      <c r="AL25" s="7949"/>
      <c r="AM25" s="7949"/>
      <c r="AN25" s="7949"/>
      <c r="AO25" s="7949"/>
      <c r="AP25" s="7949"/>
      <c r="AQ25" s="7949"/>
      <c r="BA25" s="7955"/>
      <c r="BB25" s="7955"/>
      <c r="BC25" s="7955"/>
    </row>
    <row r="26" spans="1:55" ht="4.5" customHeight="1" thickBot="1">
      <c r="A26" s="1228"/>
      <c r="B26" s="1588"/>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28"/>
      <c r="BA26" s="7955"/>
      <c r="BB26" s="7955"/>
      <c r="BC26" s="7955"/>
    </row>
    <row r="27" spans="1:55" ht="11.25" customHeight="1" thickBot="1">
      <c r="A27" s="1228"/>
      <c r="B27" s="1588">
        <f>IF(C27&lt;&gt;"",1,0)</f>
        <v>0</v>
      </c>
      <c r="C27" s="1587"/>
      <c r="D27" s="1085" t="s">
        <v>4197</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28"/>
      <c r="AJ27" s="7948"/>
      <c r="AK27" s="7949"/>
      <c r="AL27" s="7949"/>
      <c r="AM27" s="7949"/>
      <c r="AN27" s="7949"/>
      <c r="AO27" s="7949"/>
      <c r="AP27" s="7949"/>
      <c r="AQ27" s="7949"/>
      <c r="BA27" s="7955"/>
      <c r="BB27" s="7955"/>
      <c r="BC27" s="7955"/>
    </row>
    <row r="28" spans="1:55" ht="4.5" customHeight="1" thickBot="1">
      <c r="A28" s="1228"/>
      <c r="B28" s="1588"/>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28"/>
      <c r="BA28" s="7955"/>
      <c r="BB28" s="7955"/>
      <c r="BC28" s="7955"/>
    </row>
    <row r="29" spans="1:55" ht="12" customHeight="1" thickBot="1">
      <c r="A29" s="1228">
        <f>SUM(B25:B29)</f>
        <v>0</v>
      </c>
      <c r="B29" s="1588">
        <f>IF(C29&lt;&gt;"",1,0)</f>
        <v>0</v>
      </c>
      <c r="C29" s="1587"/>
      <c r="D29" s="1085" t="s">
        <v>4199</v>
      </c>
      <c r="E29" s="60"/>
      <c r="F29" s="60"/>
      <c r="G29" s="60"/>
      <c r="H29" s="60"/>
      <c r="I29" s="60"/>
      <c r="J29" s="60"/>
      <c r="K29" s="60"/>
      <c r="L29" s="60"/>
      <c r="M29" s="60"/>
      <c r="N29" s="60"/>
      <c r="O29" s="60"/>
      <c r="P29" s="60"/>
      <c r="Q29" s="60"/>
      <c r="R29" s="7940" t="str">
        <f>IF(SpaceUsed_8949A_ST,"ERROR: DO NOT use the space bar to uncheck a box. Use the 'Delete' key.",IF(A29&gt;1,"Check only ONE box.",IF(A29&gt;0,"",IF(A29&lt;1,"Check ONE box.",""))))</f>
        <v>Check ONE box.</v>
      </c>
      <c r="S29" s="7941"/>
      <c r="T29" s="7941"/>
      <c r="U29" s="7941"/>
      <c r="V29" s="7941"/>
      <c r="W29" s="7941"/>
      <c r="X29" s="7941"/>
      <c r="Y29" s="7941"/>
      <c r="Z29" s="7941"/>
      <c r="AA29" s="7941"/>
      <c r="AB29" s="7941"/>
      <c r="AC29" s="7941"/>
      <c r="AD29" s="7941"/>
      <c r="AE29" s="7941"/>
      <c r="AF29" s="60"/>
      <c r="AG29" s="1228"/>
      <c r="AH29" s="1786" t="b">
        <f>IF(OR(F8949ASBOXA=CHAR(32),F8949ASBOXB=CHAR(32),F8949ASBOXC=CHAR(32)),TRUE,FALSE)</f>
        <v>0</v>
      </c>
      <c r="AJ29" s="7956" t="s">
        <v>3403</v>
      </c>
      <c r="AK29" s="7949"/>
      <c r="AL29" s="7949"/>
      <c r="AM29" s="7949"/>
      <c r="AN29" s="7949"/>
      <c r="AO29" s="7949"/>
      <c r="AP29" s="7949"/>
      <c r="AQ29" s="7949"/>
      <c r="BA29" s="7955"/>
      <c r="BB29" s="7955"/>
      <c r="BC29" s="7955"/>
    </row>
    <row r="30" spans="1:55" ht="3.75" customHeight="1">
      <c r="A30" s="1228"/>
      <c r="B30" s="287"/>
      <c r="C30" s="1187"/>
      <c r="D30" s="287"/>
      <c r="E30" s="287"/>
      <c r="F30" s="287"/>
      <c r="G30" s="287"/>
      <c r="H30" s="287"/>
      <c r="I30" s="287"/>
      <c r="J30" s="287"/>
      <c r="K30" s="287"/>
      <c r="L30" s="287"/>
      <c r="M30" s="287"/>
      <c r="N30" s="1187"/>
      <c r="O30" s="287"/>
      <c r="P30" s="287"/>
      <c r="Q30" s="287"/>
      <c r="R30" s="287"/>
      <c r="S30" s="287"/>
      <c r="T30" s="287"/>
      <c r="U30" s="287"/>
      <c r="V30" s="287"/>
      <c r="W30" s="287"/>
      <c r="X30" s="287"/>
      <c r="Y30" s="1187"/>
      <c r="Z30" s="287"/>
      <c r="AA30" s="287"/>
      <c r="AB30" s="287"/>
      <c r="AC30" s="287"/>
      <c r="AD30" s="287"/>
      <c r="AE30" s="287"/>
      <c r="AF30" s="287"/>
      <c r="AG30" s="1228"/>
      <c r="BA30" s="7955"/>
      <c r="BB30" s="7955"/>
      <c r="BC30" s="7955"/>
    </row>
    <row r="31" spans="1:55" ht="21" customHeight="1">
      <c r="A31" s="1228"/>
      <c r="B31" s="7979">
        <v>1</v>
      </c>
      <c r="C31" s="7985" t="s">
        <v>733</v>
      </c>
      <c r="D31" s="7986"/>
      <c r="E31" s="7986"/>
      <c r="F31" s="7986"/>
      <c r="G31" s="7986"/>
      <c r="H31" s="7986"/>
      <c r="I31" s="7987"/>
      <c r="J31" s="8002" t="s">
        <v>892</v>
      </c>
      <c r="K31" s="6365"/>
      <c r="L31" s="6149"/>
      <c r="M31" s="8002" t="s">
        <v>893</v>
      </c>
      <c r="N31" s="6365"/>
      <c r="O31" s="6365"/>
      <c r="P31" s="6149"/>
      <c r="Q31" s="8002" t="s">
        <v>894</v>
      </c>
      <c r="R31" s="6365"/>
      <c r="S31" s="6365"/>
      <c r="T31" s="6149"/>
      <c r="U31" s="7927" t="s">
        <v>898</v>
      </c>
      <c r="V31" s="7928"/>
      <c r="W31" s="7928"/>
      <c r="X31" s="7999"/>
      <c r="Y31" s="7993" t="s">
        <v>4208</v>
      </c>
      <c r="Z31" s="7994"/>
      <c r="AA31" s="7994"/>
      <c r="AB31" s="7995"/>
      <c r="AC31" s="7927" t="s">
        <v>897</v>
      </c>
      <c r="AD31" s="7928"/>
      <c r="AE31" s="7928"/>
      <c r="AF31" s="7928"/>
      <c r="AG31" s="1228"/>
      <c r="AJ31" s="7946" t="s">
        <v>870</v>
      </c>
      <c r="AK31" s="7946" t="s">
        <v>900</v>
      </c>
      <c r="AL31" s="7946" t="s">
        <v>901</v>
      </c>
      <c r="AM31" s="7946" t="s">
        <v>902</v>
      </c>
      <c r="AN31" s="7944" t="s">
        <v>903</v>
      </c>
      <c r="AO31" s="7950" t="s">
        <v>895</v>
      </c>
      <c r="AP31" s="6115"/>
      <c r="AQ31" s="7946" t="s">
        <v>934</v>
      </c>
      <c r="BA31" s="7955"/>
      <c r="BB31" s="7955"/>
      <c r="BC31" s="7955"/>
    </row>
    <row r="32" spans="1:55" ht="21" customHeight="1">
      <c r="A32" s="1228"/>
      <c r="B32" s="7980"/>
      <c r="C32" s="7988"/>
      <c r="D32" s="7989"/>
      <c r="E32" s="7989"/>
      <c r="F32" s="7989"/>
      <c r="G32" s="7989"/>
      <c r="H32" s="7989"/>
      <c r="I32" s="7990"/>
      <c r="J32" s="8003"/>
      <c r="K32" s="7268"/>
      <c r="L32" s="6151"/>
      <c r="M32" s="8003"/>
      <c r="N32" s="7268"/>
      <c r="O32" s="7268"/>
      <c r="P32" s="6151"/>
      <c r="Q32" s="8003"/>
      <c r="R32" s="7268"/>
      <c r="S32" s="7268"/>
      <c r="T32" s="6151"/>
      <c r="U32" s="7929"/>
      <c r="V32" s="7930"/>
      <c r="W32" s="7930"/>
      <c r="X32" s="8000"/>
      <c r="Y32" s="7996"/>
      <c r="Z32" s="7997"/>
      <c r="AA32" s="7997"/>
      <c r="AB32" s="7998"/>
      <c r="AC32" s="7929"/>
      <c r="AD32" s="7930"/>
      <c r="AE32" s="7930"/>
      <c r="AF32" s="7930"/>
      <c r="AG32" s="1228"/>
      <c r="AJ32" s="7946"/>
      <c r="AK32" s="7946"/>
      <c r="AL32" s="7946"/>
      <c r="AM32" s="7946"/>
      <c r="AN32" s="7944"/>
      <c r="AO32" s="6250"/>
      <c r="AP32" s="6120"/>
      <c r="AQ32" s="7946"/>
      <c r="BA32" s="7955"/>
      <c r="BB32" s="7955"/>
      <c r="BC32" s="7955"/>
    </row>
    <row r="33" spans="1:55" ht="18" customHeight="1">
      <c r="A33" s="1228"/>
      <c r="B33" s="5646"/>
      <c r="C33" s="7989"/>
      <c r="D33" s="7989"/>
      <c r="E33" s="7989"/>
      <c r="F33" s="7989"/>
      <c r="G33" s="7989"/>
      <c r="H33" s="7989"/>
      <c r="I33" s="7990"/>
      <c r="J33" s="6150"/>
      <c r="K33" s="7268"/>
      <c r="L33" s="6151"/>
      <c r="M33" s="6150"/>
      <c r="N33" s="7268"/>
      <c r="O33" s="7268"/>
      <c r="P33" s="6151"/>
      <c r="Q33" s="6150"/>
      <c r="R33" s="7268"/>
      <c r="S33" s="7268"/>
      <c r="T33" s="6151"/>
      <c r="U33" s="7931"/>
      <c r="V33" s="7930"/>
      <c r="W33" s="7930"/>
      <c r="X33" s="8000"/>
      <c r="Y33" s="6310" t="s">
        <v>4210</v>
      </c>
      <c r="Z33" s="6149"/>
      <c r="AA33" s="6310" t="s">
        <v>896</v>
      </c>
      <c r="AB33" s="6244"/>
      <c r="AC33" s="7931"/>
      <c r="AD33" s="7930"/>
      <c r="AE33" s="7930"/>
      <c r="AF33" s="7930"/>
      <c r="AG33" s="1228"/>
      <c r="AJ33" s="7947"/>
      <c r="AK33" s="7947"/>
      <c r="AL33" s="7947"/>
      <c r="AM33" s="7947"/>
      <c r="AN33" s="7945"/>
      <c r="AO33" s="7952" t="s">
        <v>904</v>
      </c>
      <c r="AP33" s="6223" t="s">
        <v>896</v>
      </c>
      <c r="AQ33" s="7947"/>
      <c r="BA33" s="7955"/>
      <c r="BB33" s="7955"/>
      <c r="BC33" s="7955"/>
    </row>
    <row r="34" spans="1:55" ht="18" customHeight="1">
      <c r="A34" s="1228"/>
      <c r="B34" s="7981"/>
      <c r="C34" s="7991"/>
      <c r="D34" s="7991"/>
      <c r="E34" s="7991"/>
      <c r="F34" s="7991"/>
      <c r="G34" s="7991"/>
      <c r="H34" s="7991"/>
      <c r="I34" s="7992"/>
      <c r="J34" s="6152"/>
      <c r="K34" s="8004"/>
      <c r="L34" s="6153"/>
      <c r="M34" s="6152"/>
      <c r="N34" s="8004"/>
      <c r="O34" s="8004"/>
      <c r="P34" s="6153"/>
      <c r="Q34" s="6152"/>
      <c r="R34" s="8004"/>
      <c r="S34" s="8004"/>
      <c r="T34" s="6153"/>
      <c r="U34" s="7932"/>
      <c r="V34" s="7933"/>
      <c r="W34" s="7933"/>
      <c r="X34" s="8001"/>
      <c r="Y34" s="6152"/>
      <c r="Z34" s="6153"/>
      <c r="AA34" s="5580"/>
      <c r="AB34" s="6246"/>
      <c r="AC34" s="7932"/>
      <c r="AD34" s="7933"/>
      <c r="AE34" s="7933"/>
      <c r="AF34" s="7933"/>
      <c r="AG34" s="1228"/>
      <c r="AJ34" s="7947"/>
      <c r="AK34" s="7947"/>
      <c r="AL34" s="7947"/>
      <c r="AM34" s="7947"/>
      <c r="AN34" s="7945"/>
      <c r="AO34" s="7951"/>
      <c r="AP34" s="7951"/>
      <c r="AQ34" s="7947"/>
      <c r="BA34" s="7955"/>
      <c r="BB34" s="7955"/>
      <c r="BC34" s="7955"/>
    </row>
    <row r="35" spans="1:55" ht="19.5" customHeight="1">
      <c r="A35" s="1228">
        <f t="shared" ref="A35:A54" si="0">IF(OR(U35&lt;&gt;"",Y35&lt;&gt;""),1,0)</f>
        <v>0</v>
      </c>
      <c r="B35" s="7957" t="str">
        <f>IF(AJ35="","",AJ35)</f>
        <v/>
      </c>
      <c r="C35" s="7958"/>
      <c r="D35" s="7958"/>
      <c r="E35" s="7958"/>
      <c r="F35" s="7958"/>
      <c r="G35" s="7958"/>
      <c r="H35" s="7958"/>
      <c r="I35" s="7959"/>
      <c r="J35" s="7960" t="str">
        <f>IF(AK35="","",AK35)</f>
        <v/>
      </c>
      <c r="K35" s="7961"/>
      <c r="L35" s="7961"/>
      <c r="M35" s="7960" t="str">
        <f>IF(AL35="","",AL35)</f>
        <v/>
      </c>
      <c r="N35" s="7961"/>
      <c r="O35" s="7961"/>
      <c r="P35" s="7962"/>
      <c r="Q35" s="5988" t="str">
        <f>IF(AM35="","",AM35)</f>
        <v/>
      </c>
      <c r="R35" s="7942"/>
      <c r="S35" s="7942"/>
      <c r="T35" s="7943"/>
      <c r="U35" s="5988" t="str">
        <f>IF(AN35="","",AN35)</f>
        <v/>
      </c>
      <c r="V35" s="7942"/>
      <c r="W35" s="7942"/>
      <c r="X35" s="7943"/>
      <c r="Y35" s="7924" t="str">
        <f>IF(AO35&lt;&gt;"",AO35,"")</f>
        <v/>
      </c>
      <c r="Z35" s="5495"/>
      <c r="AA35" s="7924" t="str">
        <f>IF(AP35="","",AP35)</f>
        <v/>
      </c>
      <c r="AB35" s="5495"/>
      <c r="AC35" s="7925" t="str">
        <f>IF(AQ35&lt;&gt;"",AQ35,IF(AND(Q35&lt;&gt;"",U35&lt;&gt;""),SUM(Q35,-U35,AA35),""))</f>
        <v/>
      </c>
      <c r="AD35" s="7926"/>
      <c r="AE35" s="7926"/>
      <c r="AF35" s="7926"/>
      <c r="AG35" s="1631">
        <f>IF(OR(J35="",M35=""),0,IF(OR(BA35,BB35,BC35),0,1))</f>
        <v>0</v>
      </c>
      <c r="AH35" s="1185"/>
      <c r="AI35" s="1185" t="e">
        <f t="shared" ref="AI35:AI54" si="1">M35-J35</f>
        <v>#VALUE!</v>
      </c>
      <c r="AJ35" s="1547"/>
      <c r="AK35" s="1551"/>
      <c r="AL35" s="1551"/>
      <c r="AM35" s="1549"/>
      <c r="AN35" s="1549"/>
      <c r="AO35" s="1550"/>
      <c r="AP35" s="1549"/>
      <c r="AQ35" s="1548"/>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28">
        <f t="shared" si="0"/>
        <v>0</v>
      </c>
      <c r="B36" s="7957" t="str">
        <f t="shared" ref="B36:B54" si="2">IF(AJ36="","",AJ36)</f>
        <v/>
      </c>
      <c r="C36" s="7958"/>
      <c r="D36" s="7958"/>
      <c r="E36" s="7958"/>
      <c r="F36" s="7958"/>
      <c r="G36" s="7958"/>
      <c r="H36" s="7958"/>
      <c r="I36" s="7959"/>
      <c r="J36" s="7960" t="str">
        <f t="shared" ref="J36:J54" si="3">IF(AK36="","",AK36)</f>
        <v/>
      </c>
      <c r="K36" s="7961"/>
      <c r="L36" s="7961"/>
      <c r="M36" s="7960" t="str">
        <f t="shared" ref="M36:M54" si="4">IF(AL36="","",AL36)</f>
        <v/>
      </c>
      <c r="N36" s="7961"/>
      <c r="O36" s="7961"/>
      <c r="P36" s="7962"/>
      <c r="Q36" s="5988" t="str">
        <f t="shared" ref="Q36:Q54" si="5">IF(AM36="","",AM36)</f>
        <v/>
      </c>
      <c r="R36" s="7942"/>
      <c r="S36" s="7942"/>
      <c r="T36" s="7943"/>
      <c r="U36" s="5988" t="str">
        <f t="shared" ref="U36:U54" si="6">IF(AN36="","",AN36)</f>
        <v/>
      </c>
      <c r="V36" s="7942"/>
      <c r="W36" s="7942"/>
      <c r="X36" s="7943"/>
      <c r="Y36" s="7924" t="str">
        <f>IF(AO36&lt;&gt;"",AO36,"")</f>
        <v/>
      </c>
      <c r="Z36" s="5495"/>
      <c r="AA36" s="7924" t="str">
        <f>IF(AP36="","",AP36)</f>
        <v/>
      </c>
      <c r="AB36" s="5495"/>
      <c r="AC36" s="7925" t="str">
        <f t="shared" ref="AC36:AC54" si="7">IF(AQ36&lt;&gt;"",AQ36,IF(AND(Q36&lt;&gt;"",U36&lt;&gt;""),SUM(Q36,-U36,AA36),""))</f>
        <v/>
      </c>
      <c r="AD36" s="7926"/>
      <c r="AE36" s="7926"/>
      <c r="AF36" s="7926"/>
      <c r="AG36" s="1631">
        <f t="shared" ref="AG36:AG54" si="8">IF(OR(J36="",M36=""),0,IF(OR(BA36,BB36,BC36),0,1))</f>
        <v>0</v>
      </c>
      <c r="AH36" s="1185"/>
      <c r="AI36" s="1185" t="e">
        <f t="shared" si="1"/>
        <v>#VALUE!</v>
      </c>
      <c r="AJ36" s="1547"/>
      <c r="AK36" s="1551"/>
      <c r="AL36" s="1551"/>
      <c r="AM36" s="1549"/>
      <c r="AN36" s="1549"/>
      <c r="AO36" s="1550"/>
      <c r="AP36" s="1549"/>
      <c r="AQ36" s="1548"/>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28">
        <f t="shared" si="0"/>
        <v>0</v>
      </c>
      <c r="B37" s="7957" t="str">
        <f t="shared" si="2"/>
        <v/>
      </c>
      <c r="C37" s="7958"/>
      <c r="D37" s="7958"/>
      <c r="E37" s="7958"/>
      <c r="F37" s="7958"/>
      <c r="G37" s="7958"/>
      <c r="H37" s="7958"/>
      <c r="I37" s="7959"/>
      <c r="J37" s="7960" t="str">
        <f t="shared" si="3"/>
        <v/>
      </c>
      <c r="K37" s="7961"/>
      <c r="L37" s="7961"/>
      <c r="M37" s="7960" t="str">
        <f t="shared" si="4"/>
        <v/>
      </c>
      <c r="N37" s="7961"/>
      <c r="O37" s="7961"/>
      <c r="P37" s="7962"/>
      <c r="Q37" s="5988" t="str">
        <f t="shared" si="5"/>
        <v/>
      </c>
      <c r="R37" s="7942"/>
      <c r="S37" s="7942"/>
      <c r="T37" s="7943"/>
      <c r="U37" s="5988" t="str">
        <f t="shared" si="6"/>
        <v/>
      </c>
      <c r="V37" s="7942"/>
      <c r="W37" s="7942"/>
      <c r="X37" s="7943"/>
      <c r="Y37" s="7924" t="str">
        <f>IF(AO37&lt;&gt;"",AO37,"")</f>
        <v/>
      </c>
      <c r="Z37" s="5495"/>
      <c r="AA37" s="7924" t="str">
        <f>IF(AP37="","",AP37)</f>
        <v/>
      </c>
      <c r="AB37" s="5495"/>
      <c r="AC37" s="7925" t="str">
        <f t="shared" si="7"/>
        <v/>
      </c>
      <c r="AD37" s="7926"/>
      <c r="AE37" s="7926"/>
      <c r="AF37" s="7926"/>
      <c r="AG37" s="1631">
        <f t="shared" si="8"/>
        <v>0</v>
      </c>
      <c r="AH37" s="1185"/>
      <c r="AI37" s="1185" t="e">
        <f t="shared" si="1"/>
        <v>#VALUE!</v>
      </c>
      <c r="AJ37" s="1547"/>
      <c r="AK37" s="1551"/>
      <c r="AL37" s="1551"/>
      <c r="AM37" s="1549"/>
      <c r="AN37" s="1549"/>
      <c r="AO37" s="1550"/>
      <c r="AP37" s="1549"/>
      <c r="AQ37" s="1548"/>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28">
        <f t="shared" si="0"/>
        <v>0</v>
      </c>
      <c r="B38" s="7957" t="str">
        <f t="shared" si="2"/>
        <v/>
      </c>
      <c r="C38" s="7958"/>
      <c r="D38" s="7958"/>
      <c r="E38" s="7958"/>
      <c r="F38" s="7958"/>
      <c r="G38" s="7958"/>
      <c r="H38" s="7958"/>
      <c r="I38" s="7959"/>
      <c r="J38" s="7960" t="str">
        <f t="shared" si="3"/>
        <v/>
      </c>
      <c r="K38" s="7961"/>
      <c r="L38" s="7961"/>
      <c r="M38" s="7960" t="str">
        <f t="shared" si="4"/>
        <v/>
      </c>
      <c r="N38" s="7961"/>
      <c r="O38" s="7961"/>
      <c r="P38" s="7962"/>
      <c r="Q38" s="5988" t="str">
        <f t="shared" si="5"/>
        <v/>
      </c>
      <c r="R38" s="7942"/>
      <c r="S38" s="7942"/>
      <c r="T38" s="7943"/>
      <c r="U38" s="5988" t="str">
        <f t="shared" si="6"/>
        <v/>
      </c>
      <c r="V38" s="7942"/>
      <c r="W38" s="7942"/>
      <c r="X38" s="7943"/>
      <c r="Y38" s="7924" t="str">
        <f t="shared" ref="Y38:Y54" si="18">IF(AO38&lt;&gt;"",AO38,"")</f>
        <v/>
      </c>
      <c r="Z38" s="5495"/>
      <c r="AA38" s="7924" t="str">
        <f t="shared" ref="AA38:AA54" si="19">IF(AP38="","",AP38)</f>
        <v/>
      </c>
      <c r="AB38" s="5495"/>
      <c r="AC38" s="7925" t="str">
        <f t="shared" si="7"/>
        <v/>
      </c>
      <c r="AD38" s="7926"/>
      <c r="AE38" s="7926"/>
      <c r="AF38" s="7926"/>
      <c r="AG38" s="1631">
        <f t="shared" si="8"/>
        <v>0</v>
      </c>
      <c r="AH38" s="1185"/>
      <c r="AI38" s="1185" t="e">
        <f t="shared" si="1"/>
        <v>#VALUE!</v>
      </c>
      <c r="AJ38" s="1547"/>
      <c r="AK38" s="1551"/>
      <c r="AL38" s="1551"/>
      <c r="AM38" s="1549"/>
      <c r="AN38" s="1549"/>
      <c r="AO38" s="1550"/>
      <c r="AP38" s="1549"/>
      <c r="AQ38" s="1548"/>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28">
        <f t="shared" si="0"/>
        <v>0</v>
      </c>
      <c r="B39" s="7957" t="str">
        <f t="shared" si="2"/>
        <v/>
      </c>
      <c r="C39" s="7958"/>
      <c r="D39" s="7958"/>
      <c r="E39" s="7958"/>
      <c r="F39" s="7958"/>
      <c r="G39" s="7958"/>
      <c r="H39" s="7958"/>
      <c r="I39" s="7959"/>
      <c r="J39" s="7960" t="str">
        <f t="shared" si="3"/>
        <v/>
      </c>
      <c r="K39" s="7961"/>
      <c r="L39" s="7961"/>
      <c r="M39" s="7960" t="str">
        <f t="shared" si="4"/>
        <v/>
      </c>
      <c r="N39" s="7961"/>
      <c r="O39" s="7961"/>
      <c r="P39" s="7962"/>
      <c r="Q39" s="5988" t="str">
        <f t="shared" si="5"/>
        <v/>
      </c>
      <c r="R39" s="7942"/>
      <c r="S39" s="7942"/>
      <c r="T39" s="7943"/>
      <c r="U39" s="5988" t="str">
        <f t="shared" si="6"/>
        <v/>
      </c>
      <c r="V39" s="7942"/>
      <c r="W39" s="7942"/>
      <c r="X39" s="7943"/>
      <c r="Y39" s="7924" t="str">
        <f t="shared" si="18"/>
        <v/>
      </c>
      <c r="Z39" s="5495"/>
      <c r="AA39" s="7924" t="str">
        <f t="shared" si="19"/>
        <v/>
      </c>
      <c r="AB39" s="5495"/>
      <c r="AC39" s="7925" t="str">
        <f t="shared" si="7"/>
        <v/>
      </c>
      <c r="AD39" s="7926"/>
      <c r="AE39" s="7926"/>
      <c r="AF39" s="7926"/>
      <c r="AG39" s="1631">
        <f t="shared" si="8"/>
        <v>0</v>
      </c>
      <c r="AH39" s="1185"/>
      <c r="AI39" s="1185" t="e">
        <f t="shared" si="1"/>
        <v>#VALUE!</v>
      </c>
      <c r="AJ39" s="1547"/>
      <c r="AK39" s="1551"/>
      <c r="AL39" s="1551"/>
      <c r="AM39" s="1549"/>
      <c r="AN39" s="1549"/>
      <c r="AO39" s="1550"/>
      <c r="AP39" s="1549"/>
      <c r="AQ39" s="1548"/>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28">
        <f t="shared" si="0"/>
        <v>0</v>
      </c>
      <c r="B40" s="7957" t="str">
        <f t="shared" si="2"/>
        <v/>
      </c>
      <c r="C40" s="7958"/>
      <c r="D40" s="7958"/>
      <c r="E40" s="7958"/>
      <c r="F40" s="7958"/>
      <c r="G40" s="7958"/>
      <c r="H40" s="7958"/>
      <c r="I40" s="7959"/>
      <c r="J40" s="7960" t="str">
        <f t="shared" si="3"/>
        <v/>
      </c>
      <c r="K40" s="7961"/>
      <c r="L40" s="7961"/>
      <c r="M40" s="7960" t="str">
        <f t="shared" si="4"/>
        <v/>
      </c>
      <c r="N40" s="7961"/>
      <c r="O40" s="7961"/>
      <c r="P40" s="7962"/>
      <c r="Q40" s="5988" t="str">
        <f t="shared" si="5"/>
        <v/>
      </c>
      <c r="R40" s="7942"/>
      <c r="S40" s="7942"/>
      <c r="T40" s="7943"/>
      <c r="U40" s="5988" t="str">
        <f t="shared" si="6"/>
        <v/>
      </c>
      <c r="V40" s="7942"/>
      <c r="W40" s="7942"/>
      <c r="X40" s="7943"/>
      <c r="Y40" s="7924" t="str">
        <f t="shared" si="18"/>
        <v/>
      </c>
      <c r="Z40" s="5495"/>
      <c r="AA40" s="7924" t="str">
        <f t="shared" si="19"/>
        <v/>
      </c>
      <c r="AB40" s="5495"/>
      <c r="AC40" s="7925" t="str">
        <f t="shared" si="7"/>
        <v/>
      </c>
      <c r="AD40" s="7926"/>
      <c r="AE40" s="7926"/>
      <c r="AF40" s="7926"/>
      <c r="AG40" s="1631">
        <f t="shared" si="8"/>
        <v>0</v>
      </c>
      <c r="AH40" s="1185"/>
      <c r="AI40" s="1185" t="e">
        <f t="shared" si="1"/>
        <v>#VALUE!</v>
      </c>
      <c r="AJ40" s="1547"/>
      <c r="AK40" s="1551"/>
      <c r="AL40" s="1551"/>
      <c r="AM40" s="1549"/>
      <c r="AN40" s="1549"/>
      <c r="AO40" s="1550"/>
      <c r="AP40" s="1549"/>
      <c r="AQ40" s="1548"/>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28">
        <f t="shared" si="0"/>
        <v>0</v>
      </c>
      <c r="B41" s="7957" t="str">
        <f t="shared" si="2"/>
        <v/>
      </c>
      <c r="C41" s="7958"/>
      <c r="D41" s="7958"/>
      <c r="E41" s="7958"/>
      <c r="F41" s="7958"/>
      <c r="G41" s="7958"/>
      <c r="H41" s="7958"/>
      <c r="I41" s="7959"/>
      <c r="J41" s="7960" t="str">
        <f>IF(AK41="","",AK41)</f>
        <v/>
      </c>
      <c r="K41" s="7961"/>
      <c r="L41" s="7961"/>
      <c r="M41" s="7960" t="str">
        <f>IF(AL41="","",AL41)</f>
        <v/>
      </c>
      <c r="N41" s="7961"/>
      <c r="O41" s="7961"/>
      <c r="P41" s="7962"/>
      <c r="Q41" s="5988" t="str">
        <f t="shared" si="5"/>
        <v/>
      </c>
      <c r="R41" s="7942"/>
      <c r="S41" s="7942"/>
      <c r="T41" s="7943"/>
      <c r="U41" s="5988" t="str">
        <f t="shared" si="6"/>
        <v/>
      </c>
      <c r="V41" s="7942"/>
      <c r="W41" s="7942"/>
      <c r="X41" s="7943"/>
      <c r="Y41" s="7924" t="str">
        <f t="shared" si="18"/>
        <v/>
      </c>
      <c r="Z41" s="5495"/>
      <c r="AA41" s="7924" t="str">
        <f t="shared" si="19"/>
        <v/>
      </c>
      <c r="AB41" s="5495"/>
      <c r="AC41" s="7925" t="str">
        <f t="shared" si="7"/>
        <v/>
      </c>
      <c r="AD41" s="7926"/>
      <c r="AE41" s="7926"/>
      <c r="AF41" s="7926"/>
      <c r="AG41" s="1631">
        <f t="shared" si="8"/>
        <v>0</v>
      </c>
      <c r="AH41" s="1185"/>
      <c r="AI41" s="1185" t="e">
        <f t="shared" si="1"/>
        <v>#VALUE!</v>
      </c>
      <c r="AJ41" s="1547"/>
      <c r="AK41" s="1551"/>
      <c r="AL41" s="1551"/>
      <c r="AM41" s="1549"/>
      <c r="AN41" s="1549"/>
      <c r="AO41" s="1550"/>
      <c r="AP41" s="1549"/>
      <c r="AQ41" s="1548"/>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28">
        <f t="shared" si="0"/>
        <v>0</v>
      </c>
      <c r="B42" s="7957" t="str">
        <f t="shared" si="2"/>
        <v/>
      </c>
      <c r="C42" s="7958"/>
      <c r="D42" s="7958"/>
      <c r="E42" s="7958"/>
      <c r="F42" s="7958"/>
      <c r="G42" s="7958"/>
      <c r="H42" s="7958"/>
      <c r="I42" s="7959"/>
      <c r="J42" s="7960" t="str">
        <f t="shared" si="3"/>
        <v/>
      </c>
      <c r="K42" s="7961"/>
      <c r="L42" s="7961"/>
      <c r="M42" s="7960" t="str">
        <f t="shared" si="4"/>
        <v/>
      </c>
      <c r="N42" s="7961"/>
      <c r="O42" s="7961"/>
      <c r="P42" s="7962"/>
      <c r="Q42" s="5988" t="str">
        <f t="shared" si="5"/>
        <v/>
      </c>
      <c r="R42" s="7942"/>
      <c r="S42" s="7942"/>
      <c r="T42" s="7943"/>
      <c r="U42" s="5988" t="str">
        <f t="shared" si="6"/>
        <v/>
      </c>
      <c r="V42" s="7942"/>
      <c r="W42" s="7942"/>
      <c r="X42" s="7943"/>
      <c r="Y42" s="7924" t="str">
        <f t="shared" si="18"/>
        <v/>
      </c>
      <c r="Z42" s="5495"/>
      <c r="AA42" s="7924" t="str">
        <f t="shared" si="19"/>
        <v/>
      </c>
      <c r="AB42" s="5495"/>
      <c r="AC42" s="7925" t="str">
        <f t="shared" si="7"/>
        <v/>
      </c>
      <c r="AD42" s="7926"/>
      <c r="AE42" s="7926"/>
      <c r="AF42" s="7926"/>
      <c r="AG42" s="1631">
        <f t="shared" si="8"/>
        <v>0</v>
      </c>
      <c r="AH42" s="1185"/>
      <c r="AI42" s="1185" t="e">
        <f t="shared" si="1"/>
        <v>#VALUE!</v>
      </c>
      <c r="AJ42" s="1547"/>
      <c r="AK42" s="1551"/>
      <c r="AL42" s="1551"/>
      <c r="AM42" s="1549"/>
      <c r="AN42" s="1549"/>
      <c r="AO42" s="1550"/>
      <c r="AP42" s="1549"/>
      <c r="AQ42" s="1548"/>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28">
        <f t="shared" si="0"/>
        <v>0</v>
      </c>
      <c r="B43" s="7957" t="str">
        <f t="shared" si="2"/>
        <v/>
      </c>
      <c r="C43" s="7958"/>
      <c r="D43" s="7958"/>
      <c r="E43" s="7958"/>
      <c r="F43" s="7958"/>
      <c r="G43" s="7958"/>
      <c r="H43" s="7958"/>
      <c r="I43" s="7959"/>
      <c r="J43" s="7960" t="str">
        <f t="shared" si="3"/>
        <v/>
      </c>
      <c r="K43" s="7961"/>
      <c r="L43" s="7961"/>
      <c r="M43" s="7960" t="str">
        <f t="shared" si="4"/>
        <v/>
      </c>
      <c r="N43" s="7961"/>
      <c r="O43" s="7961"/>
      <c r="P43" s="7962"/>
      <c r="Q43" s="5988" t="str">
        <f t="shared" si="5"/>
        <v/>
      </c>
      <c r="R43" s="7942"/>
      <c r="S43" s="7942"/>
      <c r="T43" s="7943"/>
      <c r="U43" s="5988" t="str">
        <f t="shared" si="6"/>
        <v/>
      </c>
      <c r="V43" s="7942"/>
      <c r="W43" s="7942"/>
      <c r="X43" s="7943"/>
      <c r="Y43" s="7924" t="str">
        <f t="shared" si="18"/>
        <v/>
      </c>
      <c r="Z43" s="5495"/>
      <c r="AA43" s="7924" t="str">
        <f t="shared" si="19"/>
        <v/>
      </c>
      <c r="AB43" s="5495"/>
      <c r="AC43" s="7925" t="str">
        <f t="shared" si="7"/>
        <v/>
      </c>
      <c r="AD43" s="7926"/>
      <c r="AE43" s="7926"/>
      <c r="AF43" s="7926"/>
      <c r="AG43" s="1631">
        <f t="shared" si="8"/>
        <v>0</v>
      </c>
      <c r="AH43" s="1185"/>
      <c r="AI43" s="1185" t="e">
        <f t="shared" si="1"/>
        <v>#VALUE!</v>
      </c>
      <c r="AJ43" s="1547"/>
      <c r="AK43" s="1551"/>
      <c r="AL43" s="1551"/>
      <c r="AM43" s="1549"/>
      <c r="AN43" s="1549"/>
      <c r="AO43" s="1550"/>
      <c r="AP43" s="1549"/>
      <c r="AQ43" s="1548"/>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28">
        <f t="shared" si="0"/>
        <v>0</v>
      </c>
      <c r="B44" s="7957" t="str">
        <f t="shared" si="2"/>
        <v/>
      </c>
      <c r="C44" s="7958"/>
      <c r="D44" s="7958"/>
      <c r="E44" s="7958"/>
      <c r="F44" s="7958"/>
      <c r="G44" s="7958"/>
      <c r="H44" s="7958"/>
      <c r="I44" s="7959"/>
      <c r="J44" s="7960" t="str">
        <f t="shared" si="3"/>
        <v/>
      </c>
      <c r="K44" s="7961"/>
      <c r="L44" s="7961"/>
      <c r="M44" s="7960" t="str">
        <f t="shared" si="4"/>
        <v/>
      </c>
      <c r="N44" s="7961"/>
      <c r="O44" s="7961"/>
      <c r="P44" s="7962"/>
      <c r="Q44" s="5988" t="str">
        <f t="shared" si="5"/>
        <v/>
      </c>
      <c r="R44" s="7942"/>
      <c r="S44" s="7942"/>
      <c r="T44" s="7943"/>
      <c r="U44" s="5988" t="str">
        <f t="shared" si="6"/>
        <v/>
      </c>
      <c r="V44" s="7942"/>
      <c r="W44" s="7942"/>
      <c r="X44" s="7943"/>
      <c r="Y44" s="7924" t="str">
        <f t="shared" si="18"/>
        <v/>
      </c>
      <c r="Z44" s="5495"/>
      <c r="AA44" s="7924" t="str">
        <f t="shared" si="19"/>
        <v/>
      </c>
      <c r="AB44" s="5495"/>
      <c r="AC44" s="7925" t="str">
        <f t="shared" si="7"/>
        <v/>
      </c>
      <c r="AD44" s="7926"/>
      <c r="AE44" s="7926"/>
      <c r="AF44" s="7926"/>
      <c r="AG44" s="1631">
        <f t="shared" si="8"/>
        <v>0</v>
      </c>
      <c r="AH44" s="1185"/>
      <c r="AI44" s="1185" t="e">
        <f t="shared" si="1"/>
        <v>#VALUE!</v>
      </c>
      <c r="AJ44" s="1547"/>
      <c r="AK44" s="1551"/>
      <c r="AL44" s="1551"/>
      <c r="AM44" s="1549"/>
      <c r="AN44" s="1549"/>
      <c r="AO44" s="1550"/>
      <c r="AP44" s="1549"/>
      <c r="AQ44" s="1548"/>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28">
        <f t="shared" si="0"/>
        <v>0</v>
      </c>
      <c r="B45" s="7957" t="str">
        <f t="shared" si="2"/>
        <v/>
      </c>
      <c r="C45" s="7958"/>
      <c r="D45" s="7958"/>
      <c r="E45" s="7958"/>
      <c r="F45" s="7958"/>
      <c r="G45" s="7958"/>
      <c r="H45" s="7958"/>
      <c r="I45" s="7959"/>
      <c r="J45" s="7960" t="str">
        <f t="shared" si="3"/>
        <v/>
      </c>
      <c r="K45" s="7961"/>
      <c r="L45" s="7961"/>
      <c r="M45" s="7960" t="str">
        <f t="shared" si="4"/>
        <v/>
      </c>
      <c r="N45" s="7961"/>
      <c r="O45" s="7961"/>
      <c r="P45" s="7962"/>
      <c r="Q45" s="5988" t="str">
        <f t="shared" si="5"/>
        <v/>
      </c>
      <c r="R45" s="7942"/>
      <c r="S45" s="7942"/>
      <c r="T45" s="7943"/>
      <c r="U45" s="5988" t="str">
        <f t="shared" si="6"/>
        <v/>
      </c>
      <c r="V45" s="7942"/>
      <c r="W45" s="7942"/>
      <c r="X45" s="7943"/>
      <c r="Y45" s="7924" t="str">
        <f t="shared" si="18"/>
        <v/>
      </c>
      <c r="Z45" s="5495"/>
      <c r="AA45" s="7924" t="str">
        <f t="shared" si="19"/>
        <v/>
      </c>
      <c r="AB45" s="5495"/>
      <c r="AC45" s="7925" t="str">
        <f t="shared" si="7"/>
        <v/>
      </c>
      <c r="AD45" s="7926"/>
      <c r="AE45" s="7926"/>
      <c r="AF45" s="7926"/>
      <c r="AG45" s="1631">
        <f t="shared" si="8"/>
        <v>0</v>
      </c>
      <c r="AH45" s="1185"/>
      <c r="AI45" s="1185" t="e">
        <f t="shared" si="1"/>
        <v>#VALUE!</v>
      </c>
      <c r="AJ45" s="1547"/>
      <c r="AK45" s="1551"/>
      <c r="AL45" s="1551"/>
      <c r="AM45" s="1549"/>
      <c r="AN45" s="1549"/>
      <c r="AO45" s="1550"/>
      <c r="AP45" s="1549"/>
      <c r="AQ45" s="1548"/>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28">
        <f t="shared" si="0"/>
        <v>0</v>
      </c>
      <c r="B46" s="7957" t="str">
        <f t="shared" si="2"/>
        <v/>
      </c>
      <c r="C46" s="7958"/>
      <c r="D46" s="7958"/>
      <c r="E46" s="7958"/>
      <c r="F46" s="7958"/>
      <c r="G46" s="7958"/>
      <c r="H46" s="7958"/>
      <c r="I46" s="7959"/>
      <c r="J46" s="7960" t="str">
        <f t="shared" si="3"/>
        <v/>
      </c>
      <c r="K46" s="7961"/>
      <c r="L46" s="7961"/>
      <c r="M46" s="7960" t="str">
        <f t="shared" si="4"/>
        <v/>
      </c>
      <c r="N46" s="7961"/>
      <c r="O46" s="7961"/>
      <c r="P46" s="7962"/>
      <c r="Q46" s="5988" t="str">
        <f t="shared" si="5"/>
        <v/>
      </c>
      <c r="R46" s="7942"/>
      <c r="S46" s="7942"/>
      <c r="T46" s="7943"/>
      <c r="U46" s="5988" t="str">
        <f t="shared" si="6"/>
        <v/>
      </c>
      <c r="V46" s="7942"/>
      <c r="W46" s="7942"/>
      <c r="X46" s="7943"/>
      <c r="Y46" s="7924" t="str">
        <f t="shared" si="18"/>
        <v/>
      </c>
      <c r="Z46" s="5495"/>
      <c r="AA46" s="7924" t="str">
        <f t="shared" si="19"/>
        <v/>
      </c>
      <c r="AB46" s="5495"/>
      <c r="AC46" s="7925" t="str">
        <f t="shared" si="7"/>
        <v/>
      </c>
      <c r="AD46" s="7926"/>
      <c r="AE46" s="7926"/>
      <c r="AF46" s="7926"/>
      <c r="AG46" s="1631">
        <f t="shared" si="8"/>
        <v>0</v>
      </c>
      <c r="AH46" s="1185"/>
      <c r="AI46" s="1185" t="e">
        <f t="shared" si="1"/>
        <v>#VALUE!</v>
      </c>
      <c r="AJ46" s="1547"/>
      <c r="AK46" s="1551"/>
      <c r="AL46" s="1551"/>
      <c r="AM46" s="1549"/>
      <c r="AN46" s="1549"/>
      <c r="AO46" s="1550"/>
      <c r="AP46" s="1549"/>
      <c r="AQ46" s="1548"/>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28">
        <f t="shared" si="0"/>
        <v>0</v>
      </c>
      <c r="B47" s="7957" t="str">
        <f t="shared" si="2"/>
        <v/>
      </c>
      <c r="C47" s="7958"/>
      <c r="D47" s="7958"/>
      <c r="E47" s="7958"/>
      <c r="F47" s="7958"/>
      <c r="G47" s="7958"/>
      <c r="H47" s="7958"/>
      <c r="I47" s="7959"/>
      <c r="J47" s="7960" t="str">
        <f t="shared" si="3"/>
        <v/>
      </c>
      <c r="K47" s="7961"/>
      <c r="L47" s="7961"/>
      <c r="M47" s="7960" t="str">
        <f t="shared" si="4"/>
        <v/>
      </c>
      <c r="N47" s="7961"/>
      <c r="O47" s="7961"/>
      <c r="P47" s="7962"/>
      <c r="Q47" s="5988" t="str">
        <f t="shared" si="5"/>
        <v/>
      </c>
      <c r="R47" s="7942"/>
      <c r="S47" s="7942"/>
      <c r="T47" s="7943"/>
      <c r="U47" s="5988" t="str">
        <f t="shared" si="6"/>
        <v/>
      </c>
      <c r="V47" s="7942"/>
      <c r="W47" s="7942"/>
      <c r="X47" s="7943"/>
      <c r="Y47" s="7924" t="str">
        <f t="shared" si="18"/>
        <v/>
      </c>
      <c r="Z47" s="5495"/>
      <c r="AA47" s="7924" t="str">
        <f t="shared" si="19"/>
        <v/>
      </c>
      <c r="AB47" s="5495"/>
      <c r="AC47" s="7925" t="str">
        <f t="shared" si="7"/>
        <v/>
      </c>
      <c r="AD47" s="7926"/>
      <c r="AE47" s="7926"/>
      <c r="AF47" s="7926"/>
      <c r="AG47" s="1631">
        <f t="shared" si="8"/>
        <v>0</v>
      </c>
      <c r="AH47" s="1185"/>
      <c r="AI47" s="1185" t="e">
        <f t="shared" si="1"/>
        <v>#VALUE!</v>
      </c>
      <c r="AJ47" s="1547"/>
      <c r="AK47" s="1551"/>
      <c r="AL47" s="1551"/>
      <c r="AM47" s="1549"/>
      <c r="AN47" s="1549"/>
      <c r="AO47" s="1550"/>
      <c r="AP47" s="1549"/>
      <c r="AQ47" s="1548"/>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28">
        <f t="shared" si="0"/>
        <v>0</v>
      </c>
      <c r="B48" s="7957" t="str">
        <f t="shared" si="2"/>
        <v/>
      </c>
      <c r="C48" s="7958"/>
      <c r="D48" s="7958"/>
      <c r="E48" s="7958"/>
      <c r="F48" s="7958"/>
      <c r="G48" s="7958"/>
      <c r="H48" s="7958"/>
      <c r="I48" s="7959"/>
      <c r="J48" s="7960" t="str">
        <f t="shared" si="3"/>
        <v/>
      </c>
      <c r="K48" s="7961"/>
      <c r="L48" s="7961"/>
      <c r="M48" s="7960" t="str">
        <f t="shared" si="4"/>
        <v/>
      </c>
      <c r="N48" s="7961"/>
      <c r="O48" s="7961"/>
      <c r="P48" s="7962"/>
      <c r="Q48" s="5988" t="str">
        <f t="shared" si="5"/>
        <v/>
      </c>
      <c r="R48" s="7942"/>
      <c r="S48" s="7942"/>
      <c r="T48" s="7943"/>
      <c r="U48" s="5988" t="str">
        <f t="shared" si="6"/>
        <v/>
      </c>
      <c r="V48" s="7942"/>
      <c r="W48" s="7942"/>
      <c r="X48" s="7943"/>
      <c r="Y48" s="7924" t="str">
        <f t="shared" si="18"/>
        <v/>
      </c>
      <c r="Z48" s="5495"/>
      <c r="AA48" s="7924" t="str">
        <f t="shared" si="19"/>
        <v/>
      </c>
      <c r="AB48" s="5495"/>
      <c r="AC48" s="7925" t="str">
        <f t="shared" si="7"/>
        <v/>
      </c>
      <c r="AD48" s="7926"/>
      <c r="AE48" s="7926"/>
      <c r="AF48" s="7926"/>
      <c r="AG48" s="1631">
        <f t="shared" si="8"/>
        <v>0</v>
      </c>
      <c r="AH48" s="1185"/>
      <c r="AI48" s="1185" t="e">
        <f t="shared" si="1"/>
        <v>#VALUE!</v>
      </c>
      <c r="AJ48" s="1547"/>
      <c r="AK48" s="1551"/>
      <c r="AL48" s="1551"/>
      <c r="AM48" s="1549"/>
      <c r="AN48" s="1549"/>
      <c r="AO48" s="1550"/>
      <c r="AP48" s="1549"/>
      <c r="AQ48" s="1548"/>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28">
        <f t="shared" si="0"/>
        <v>0</v>
      </c>
      <c r="B49" s="7957" t="str">
        <f t="shared" si="2"/>
        <v/>
      </c>
      <c r="C49" s="7958"/>
      <c r="D49" s="7958"/>
      <c r="E49" s="7958"/>
      <c r="F49" s="7958"/>
      <c r="G49" s="7958"/>
      <c r="H49" s="7958"/>
      <c r="I49" s="7959"/>
      <c r="J49" s="7960" t="str">
        <f t="shared" si="3"/>
        <v/>
      </c>
      <c r="K49" s="7961"/>
      <c r="L49" s="7961"/>
      <c r="M49" s="7960" t="str">
        <f t="shared" si="4"/>
        <v/>
      </c>
      <c r="N49" s="7961"/>
      <c r="O49" s="7961"/>
      <c r="P49" s="7962"/>
      <c r="Q49" s="5988" t="str">
        <f t="shared" si="5"/>
        <v/>
      </c>
      <c r="R49" s="7942"/>
      <c r="S49" s="7942"/>
      <c r="T49" s="7943"/>
      <c r="U49" s="5988" t="str">
        <f t="shared" si="6"/>
        <v/>
      </c>
      <c r="V49" s="7942"/>
      <c r="W49" s="7942"/>
      <c r="X49" s="7943"/>
      <c r="Y49" s="7924" t="str">
        <f t="shared" si="18"/>
        <v/>
      </c>
      <c r="Z49" s="5495"/>
      <c r="AA49" s="7924" t="str">
        <f t="shared" si="19"/>
        <v/>
      </c>
      <c r="AB49" s="5495"/>
      <c r="AC49" s="7925" t="str">
        <f t="shared" si="7"/>
        <v/>
      </c>
      <c r="AD49" s="7926"/>
      <c r="AE49" s="7926"/>
      <c r="AF49" s="7926"/>
      <c r="AG49" s="1631">
        <f t="shared" si="8"/>
        <v>0</v>
      </c>
      <c r="AH49" s="1185"/>
      <c r="AI49" s="1185" t="e">
        <f t="shared" si="1"/>
        <v>#VALUE!</v>
      </c>
      <c r="AJ49" s="1547"/>
      <c r="AK49" s="1551"/>
      <c r="AL49" s="1551"/>
      <c r="AM49" s="1549"/>
      <c r="AN49" s="1549"/>
      <c r="AO49" s="1550"/>
      <c r="AP49" s="1549"/>
      <c r="AQ49" s="1548"/>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28">
        <f t="shared" si="0"/>
        <v>0</v>
      </c>
      <c r="B50" s="7957" t="str">
        <f t="shared" si="2"/>
        <v/>
      </c>
      <c r="C50" s="7958"/>
      <c r="D50" s="7958"/>
      <c r="E50" s="7958"/>
      <c r="F50" s="7958"/>
      <c r="G50" s="7958"/>
      <c r="H50" s="7958"/>
      <c r="I50" s="7959"/>
      <c r="J50" s="7960" t="str">
        <f t="shared" si="3"/>
        <v/>
      </c>
      <c r="K50" s="7961"/>
      <c r="L50" s="7961"/>
      <c r="M50" s="7960" t="str">
        <f t="shared" si="4"/>
        <v/>
      </c>
      <c r="N50" s="7961"/>
      <c r="O50" s="7961"/>
      <c r="P50" s="7962"/>
      <c r="Q50" s="5988" t="str">
        <f t="shared" si="5"/>
        <v/>
      </c>
      <c r="R50" s="7942"/>
      <c r="S50" s="7942"/>
      <c r="T50" s="7943"/>
      <c r="U50" s="5988" t="str">
        <f t="shared" si="6"/>
        <v/>
      </c>
      <c r="V50" s="7942"/>
      <c r="W50" s="7942"/>
      <c r="X50" s="7943"/>
      <c r="Y50" s="7924" t="str">
        <f t="shared" si="18"/>
        <v/>
      </c>
      <c r="Z50" s="5495"/>
      <c r="AA50" s="7924" t="str">
        <f t="shared" si="19"/>
        <v/>
      </c>
      <c r="AB50" s="5495"/>
      <c r="AC50" s="7925" t="str">
        <f t="shared" si="7"/>
        <v/>
      </c>
      <c r="AD50" s="7926"/>
      <c r="AE50" s="7926"/>
      <c r="AF50" s="7926"/>
      <c r="AG50" s="1631">
        <f t="shared" si="8"/>
        <v>0</v>
      </c>
      <c r="AH50" s="1185"/>
      <c r="AI50" s="1185" t="e">
        <f t="shared" si="1"/>
        <v>#VALUE!</v>
      </c>
      <c r="AJ50" s="1547"/>
      <c r="AK50" s="1551"/>
      <c r="AL50" s="1551"/>
      <c r="AM50" s="1549"/>
      <c r="AN50" s="1549"/>
      <c r="AO50" s="1550"/>
      <c r="AP50" s="1549"/>
      <c r="AQ50" s="1548"/>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28">
        <f t="shared" si="0"/>
        <v>0</v>
      </c>
      <c r="B51" s="7957" t="str">
        <f t="shared" si="2"/>
        <v/>
      </c>
      <c r="C51" s="7958"/>
      <c r="D51" s="7958"/>
      <c r="E51" s="7958"/>
      <c r="F51" s="7958"/>
      <c r="G51" s="7958"/>
      <c r="H51" s="7958"/>
      <c r="I51" s="7959"/>
      <c r="J51" s="7960" t="str">
        <f t="shared" si="3"/>
        <v/>
      </c>
      <c r="K51" s="7961"/>
      <c r="L51" s="7961"/>
      <c r="M51" s="7960" t="str">
        <f t="shared" si="4"/>
        <v/>
      </c>
      <c r="N51" s="7961"/>
      <c r="O51" s="7961"/>
      <c r="P51" s="7962"/>
      <c r="Q51" s="5988" t="str">
        <f t="shared" si="5"/>
        <v/>
      </c>
      <c r="R51" s="7942"/>
      <c r="S51" s="7942"/>
      <c r="T51" s="7943"/>
      <c r="U51" s="5988" t="str">
        <f t="shared" si="6"/>
        <v/>
      </c>
      <c r="V51" s="7942"/>
      <c r="W51" s="7942"/>
      <c r="X51" s="7943"/>
      <c r="Y51" s="7924" t="str">
        <f t="shared" si="18"/>
        <v/>
      </c>
      <c r="Z51" s="5495"/>
      <c r="AA51" s="7924" t="str">
        <f t="shared" si="19"/>
        <v/>
      </c>
      <c r="AB51" s="5495"/>
      <c r="AC51" s="7925" t="str">
        <f t="shared" si="7"/>
        <v/>
      </c>
      <c r="AD51" s="7926"/>
      <c r="AE51" s="7926"/>
      <c r="AF51" s="7926"/>
      <c r="AG51" s="1631">
        <f t="shared" si="8"/>
        <v>0</v>
      </c>
      <c r="AH51" s="1185"/>
      <c r="AI51" s="1185" t="e">
        <f t="shared" si="1"/>
        <v>#VALUE!</v>
      </c>
      <c r="AJ51" s="1547"/>
      <c r="AK51" s="1551"/>
      <c r="AL51" s="1551"/>
      <c r="AM51" s="1549"/>
      <c r="AN51" s="1549"/>
      <c r="AO51" s="1550"/>
      <c r="AP51" s="1549"/>
      <c r="AQ51" s="1548"/>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28">
        <f t="shared" si="0"/>
        <v>0</v>
      </c>
      <c r="B52" s="7957" t="str">
        <f t="shared" si="2"/>
        <v/>
      </c>
      <c r="C52" s="7958"/>
      <c r="D52" s="7958"/>
      <c r="E52" s="7958"/>
      <c r="F52" s="7958"/>
      <c r="G52" s="7958"/>
      <c r="H52" s="7958"/>
      <c r="I52" s="7959"/>
      <c r="J52" s="7960" t="str">
        <f t="shared" si="3"/>
        <v/>
      </c>
      <c r="K52" s="7961"/>
      <c r="L52" s="7961"/>
      <c r="M52" s="7960" t="str">
        <f t="shared" si="4"/>
        <v/>
      </c>
      <c r="N52" s="7961"/>
      <c r="O52" s="7961"/>
      <c r="P52" s="7962"/>
      <c r="Q52" s="5988" t="str">
        <f>IF(AM52="","",AM52)</f>
        <v/>
      </c>
      <c r="R52" s="7942"/>
      <c r="S52" s="7942"/>
      <c r="T52" s="7943"/>
      <c r="U52" s="5988" t="str">
        <f t="shared" si="6"/>
        <v/>
      </c>
      <c r="V52" s="7942"/>
      <c r="W52" s="7942"/>
      <c r="X52" s="7943"/>
      <c r="Y52" s="7924" t="str">
        <f t="shared" si="18"/>
        <v/>
      </c>
      <c r="Z52" s="5495"/>
      <c r="AA52" s="7924" t="str">
        <f t="shared" si="19"/>
        <v/>
      </c>
      <c r="AB52" s="5495"/>
      <c r="AC52" s="7925" t="str">
        <f t="shared" si="7"/>
        <v/>
      </c>
      <c r="AD52" s="7926"/>
      <c r="AE52" s="7926"/>
      <c r="AF52" s="7926"/>
      <c r="AG52" s="1631">
        <f t="shared" si="8"/>
        <v>0</v>
      </c>
      <c r="AH52" s="1185"/>
      <c r="AI52" s="1185" t="e">
        <f t="shared" si="1"/>
        <v>#VALUE!</v>
      </c>
      <c r="AJ52" s="1547"/>
      <c r="AK52" s="1551"/>
      <c r="AL52" s="1551"/>
      <c r="AM52" s="1549"/>
      <c r="AN52" s="1549"/>
      <c r="AO52" s="1550"/>
      <c r="AP52" s="1549"/>
      <c r="AQ52" s="1548"/>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28">
        <f t="shared" si="0"/>
        <v>0</v>
      </c>
      <c r="B53" s="7957" t="str">
        <f t="shared" si="2"/>
        <v/>
      </c>
      <c r="C53" s="7958"/>
      <c r="D53" s="7958"/>
      <c r="E53" s="7958"/>
      <c r="F53" s="7958"/>
      <c r="G53" s="7958"/>
      <c r="H53" s="7958"/>
      <c r="I53" s="7959"/>
      <c r="J53" s="7960" t="str">
        <f t="shared" si="3"/>
        <v/>
      </c>
      <c r="K53" s="7961"/>
      <c r="L53" s="7961"/>
      <c r="M53" s="7960" t="str">
        <f t="shared" si="4"/>
        <v/>
      </c>
      <c r="N53" s="7961"/>
      <c r="O53" s="7961"/>
      <c r="P53" s="7962"/>
      <c r="Q53" s="5988" t="str">
        <f t="shared" si="5"/>
        <v/>
      </c>
      <c r="R53" s="7942"/>
      <c r="S53" s="7942"/>
      <c r="T53" s="7943"/>
      <c r="U53" s="5988" t="str">
        <f t="shared" si="6"/>
        <v/>
      </c>
      <c r="V53" s="7942"/>
      <c r="W53" s="7942"/>
      <c r="X53" s="7943"/>
      <c r="Y53" s="7924" t="str">
        <f t="shared" si="18"/>
        <v/>
      </c>
      <c r="Z53" s="5495"/>
      <c r="AA53" s="7924" t="str">
        <f t="shared" si="19"/>
        <v/>
      </c>
      <c r="AB53" s="5495"/>
      <c r="AC53" s="7925" t="str">
        <f t="shared" si="7"/>
        <v/>
      </c>
      <c r="AD53" s="7926"/>
      <c r="AE53" s="7926"/>
      <c r="AF53" s="7926"/>
      <c r="AG53" s="1631">
        <f t="shared" si="8"/>
        <v>0</v>
      </c>
      <c r="AH53" s="1185"/>
      <c r="AI53" s="1185" t="e">
        <f t="shared" si="1"/>
        <v>#VALUE!</v>
      </c>
      <c r="AJ53" s="1547"/>
      <c r="AK53" s="1551"/>
      <c r="AL53" s="1551"/>
      <c r="AM53" s="1549"/>
      <c r="AN53" s="1549"/>
      <c r="AO53" s="1550"/>
      <c r="AP53" s="1549"/>
      <c r="AQ53" s="1548"/>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28">
        <f t="shared" si="0"/>
        <v>0</v>
      </c>
      <c r="B54" s="7957" t="str">
        <f t="shared" si="2"/>
        <v/>
      </c>
      <c r="C54" s="7958"/>
      <c r="D54" s="7958"/>
      <c r="E54" s="7958"/>
      <c r="F54" s="7958"/>
      <c r="G54" s="7958"/>
      <c r="H54" s="7958"/>
      <c r="I54" s="7959"/>
      <c r="J54" s="7960" t="str">
        <f t="shared" si="3"/>
        <v/>
      </c>
      <c r="K54" s="7961"/>
      <c r="L54" s="7961"/>
      <c r="M54" s="7960" t="str">
        <f t="shared" si="4"/>
        <v/>
      </c>
      <c r="N54" s="7961"/>
      <c r="O54" s="7961"/>
      <c r="P54" s="7962"/>
      <c r="Q54" s="5988" t="str">
        <f t="shared" si="5"/>
        <v/>
      </c>
      <c r="R54" s="7942"/>
      <c r="S54" s="7942"/>
      <c r="T54" s="7943"/>
      <c r="U54" s="5988" t="str">
        <f t="shared" si="6"/>
        <v/>
      </c>
      <c r="V54" s="7942"/>
      <c r="W54" s="7942"/>
      <c r="X54" s="7943"/>
      <c r="Y54" s="7924" t="str">
        <f t="shared" si="18"/>
        <v/>
      </c>
      <c r="Z54" s="5495"/>
      <c r="AA54" s="7924" t="str">
        <f t="shared" si="19"/>
        <v/>
      </c>
      <c r="AB54" s="5495"/>
      <c r="AC54" s="7925" t="str">
        <f t="shared" si="7"/>
        <v/>
      </c>
      <c r="AD54" s="7926"/>
      <c r="AE54" s="7926"/>
      <c r="AF54" s="7926"/>
      <c r="AG54" s="1631">
        <f t="shared" si="8"/>
        <v>0</v>
      </c>
      <c r="AH54" s="1185"/>
      <c r="AI54" s="1185" t="e">
        <f t="shared" si="1"/>
        <v>#VALUE!</v>
      </c>
      <c r="AJ54" s="1547"/>
      <c r="AK54" s="1551"/>
      <c r="AL54" s="1551"/>
      <c r="AM54" s="1549"/>
      <c r="AN54" s="1549"/>
      <c r="AO54" s="1550"/>
      <c r="AP54" s="1549"/>
      <c r="AQ54" s="1548"/>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28">
        <f>SUM(A35:A54)</f>
        <v>0</v>
      </c>
      <c r="B55" s="8047">
        <v>2</v>
      </c>
      <c r="C55" s="8036" t="s">
        <v>2579</v>
      </c>
      <c r="D55" s="8037"/>
      <c r="E55" s="8037"/>
      <c r="F55" s="8037"/>
      <c r="G55" s="8037"/>
      <c r="H55" s="8037"/>
      <c r="I55" s="8037"/>
      <c r="J55" s="8037"/>
      <c r="K55" s="8037"/>
      <c r="L55" s="8037"/>
      <c r="M55" s="8037"/>
      <c r="N55" s="8037"/>
      <c r="O55" s="8037"/>
      <c r="P55" s="8037"/>
      <c r="Q55" s="7934" t="str">
        <f>IF(A55=0,"",ROUND(SUM(Q35:Q54),0))</f>
        <v/>
      </c>
      <c r="R55" s="8039"/>
      <c r="S55" s="8039"/>
      <c r="T55" s="7935"/>
      <c r="U55" s="7934" t="str">
        <f>IF(A55=0,"",ROUND(SUM(U35:U54),0))</f>
        <v/>
      </c>
      <c r="V55" s="8017"/>
      <c r="W55" s="8017"/>
      <c r="X55" s="8018"/>
      <c r="Y55" s="8025"/>
      <c r="Z55" s="8026"/>
      <c r="AA55" s="7934" t="str">
        <f>IF(A55=0,"",ROUND(SUM(AA35:AA54),0))</f>
        <v/>
      </c>
      <c r="AB55" s="7935"/>
      <c r="AC55" s="7934" t="str">
        <f>IF(A55=0,"",ROUND(SUM(AC35:AC54),0))</f>
        <v/>
      </c>
      <c r="AD55" s="8017"/>
      <c r="AE55" s="8017"/>
      <c r="AF55" s="8017"/>
      <c r="AG55" s="1228"/>
    </row>
    <row r="56" spans="1:55" ht="11.25" customHeight="1">
      <c r="A56" s="1228"/>
      <c r="B56" s="8048"/>
      <c r="C56" s="8038"/>
      <c r="D56" s="8038"/>
      <c r="E56" s="8038"/>
      <c r="F56" s="8038"/>
      <c r="G56" s="8038"/>
      <c r="H56" s="8038"/>
      <c r="I56" s="8038"/>
      <c r="J56" s="8038"/>
      <c r="K56" s="8038"/>
      <c r="L56" s="8038"/>
      <c r="M56" s="8038"/>
      <c r="N56" s="8038"/>
      <c r="O56" s="8038"/>
      <c r="P56" s="8038"/>
      <c r="Q56" s="7936"/>
      <c r="R56" s="8040"/>
      <c r="S56" s="8040"/>
      <c r="T56" s="7937"/>
      <c r="U56" s="8019"/>
      <c r="V56" s="8020"/>
      <c r="W56" s="8020"/>
      <c r="X56" s="8021"/>
      <c r="Y56" s="8027"/>
      <c r="Z56" s="8028"/>
      <c r="AA56" s="7936"/>
      <c r="AB56" s="7937"/>
      <c r="AC56" s="8019"/>
      <c r="AD56" s="8020"/>
      <c r="AE56" s="8020"/>
      <c r="AF56" s="8020"/>
      <c r="AG56" s="1228"/>
    </row>
    <row r="57" spans="1:55" ht="11.25" customHeight="1">
      <c r="A57" s="1228"/>
      <c r="B57" s="8048"/>
      <c r="C57" s="8038"/>
      <c r="D57" s="8038"/>
      <c r="E57" s="8038"/>
      <c r="F57" s="8038"/>
      <c r="G57" s="8038"/>
      <c r="H57" s="8038"/>
      <c r="I57" s="8038"/>
      <c r="J57" s="8038"/>
      <c r="K57" s="8038"/>
      <c r="L57" s="8038"/>
      <c r="M57" s="8038"/>
      <c r="N57" s="8038"/>
      <c r="O57" s="8038"/>
      <c r="P57" s="8038"/>
      <c r="Q57" s="7936"/>
      <c r="R57" s="8040"/>
      <c r="S57" s="8040"/>
      <c r="T57" s="7937"/>
      <c r="U57" s="8019"/>
      <c r="V57" s="8020"/>
      <c r="W57" s="8020"/>
      <c r="X57" s="8021"/>
      <c r="Y57" s="8027"/>
      <c r="Z57" s="8028"/>
      <c r="AA57" s="7936"/>
      <c r="AB57" s="7937"/>
      <c r="AC57" s="8019"/>
      <c r="AD57" s="8020"/>
      <c r="AE57" s="8020"/>
      <c r="AF57" s="8020"/>
      <c r="AG57" s="1228"/>
    </row>
    <row r="58" spans="1:55" ht="11.25" customHeight="1">
      <c r="A58" s="1228"/>
      <c r="B58" s="8048"/>
      <c r="C58" s="8038"/>
      <c r="D58" s="8038"/>
      <c r="E58" s="8038"/>
      <c r="F58" s="8038"/>
      <c r="G58" s="8038"/>
      <c r="H58" s="8038"/>
      <c r="I58" s="8038"/>
      <c r="J58" s="8038"/>
      <c r="K58" s="8038"/>
      <c r="L58" s="8038"/>
      <c r="M58" s="8038"/>
      <c r="N58" s="8038"/>
      <c r="O58" s="8038"/>
      <c r="P58" s="8038"/>
      <c r="Q58" s="7936"/>
      <c r="R58" s="8040"/>
      <c r="S58" s="8040"/>
      <c r="T58" s="7937"/>
      <c r="U58" s="8019"/>
      <c r="V58" s="8020"/>
      <c r="W58" s="8020"/>
      <c r="X58" s="8021"/>
      <c r="Y58" s="8027"/>
      <c r="Z58" s="8028"/>
      <c r="AA58" s="7936"/>
      <c r="AB58" s="7937"/>
      <c r="AC58" s="8019"/>
      <c r="AD58" s="8020"/>
      <c r="AE58" s="8020"/>
      <c r="AF58" s="8020"/>
      <c r="AG58" s="1228"/>
    </row>
    <row r="59" spans="1:55" ht="9" customHeight="1">
      <c r="A59" s="1228"/>
      <c r="B59" s="8048"/>
      <c r="C59" s="8038"/>
      <c r="D59" s="8038"/>
      <c r="E59" s="8038"/>
      <c r="F59" s="8038"/>
      <c r="G59" s="8038"/>
      <c r="H59" s="8038"/>
      <c r="I59" s="8038"/>
      <c r="J59" s="8038"/>
      <c r="K59" s="8038"/>
      <c r="L59" s="8038"/>
      <c r="M59" s="8038"/>
      <c r="N59" s="8038"/>
      <c r="O59" s="8038"/>
      <c r="P59" s="8038"/>
      <c r="Q59" s="7938"/>
      <c r="R59" s="8049"/>
      <c r="S59" s="8049"/>
      <c r="T59" s="7939"/>
      <c r="U59" s="8044"/>
      <c r="V59" s="8045"/>
      <c r="W59" s="8045"/>
      <c r="X59" s="8046"/>
      <c r="Y59" s="8029"/>
      <c r="Z59" s="8030"/>
      <c r="AA59" s="7938"/>
      <c r="AB59" s="7939"/>
      <c r="AC59" s="8019"/>
      <c r="AD59" s="8020"/>
      <c r="AE59" s="8020"/>
      <c r="AF59" s="8020"/>
      <c r="AG59" s="1228"/>
    </row>
    <row r="60" spans="1:55" ht="25.5" customHeight="1" thickBot="1">
      <c r="A60" s="1228"/>
      <c r="B60" s="8041" t="s">
        <v>4200</v>
      </c>
      <c r="C60" s="8042"/>
      <c r="D60" s="8042"/>
      <c r="E60" s="8042"/>
      <c r="F60" s="8042"/>
      <c r="G60" s="8042"/>
      <c r="H60" s="8042"/>
      <c r="I60" s="8042"/>
      <c r="J60" s="8042"/>
      <c r="K60" s="8042"/>
      <c r="L60" s="8042"/>
      <c r="M60" s="8042"/>
      <c r="N60" s="8042"/>
      <c r="O60" s="8042"/>
      <c r="P60" s="8042"/>
      <c r="Q60" s="8042"/>
      <c r="R60" s="8042"/>
      <c r="S60" s="8042"/>
      <c r="T60" s="8042"/>
      <c r="U60" s="8043"/>
      <c r="V60" s="8043"/>
      <c r="W60" s="8043"/>
      <c r="X60" s="8043"/>
      <c r="Y60" s="8042"/>
      <c r="Z60" s="8042"/>
      <c r="AA60" s="8042"/>
      <c r="AB60" s="8042"/>
      <c r="AC60" s="8042"/>
      <c r="AD60" s="8042"/>
      <c r="AE60" s="8042"/>
      <c r="AF60" s="8042"/>
      <c r="AG60" s="1228"/>
      <c r="AJ60" s="1075"/>
    </row>
    <row r="61" spans="1:55" ht="16.5" thickTop="1">
      <c r="A61" s="1228"/>
      <c r="B61" s="636" t="s">
        <v>564</v>
      </c>
      <c r="C61" s="24"/>
      <c r="D61" s="24"/>
      <c r="E61" s="24"/>
      <c r="F61" s="24"/>
      <c r="G61" s="24"/>
      <c r="H61" s="24"/>
      <c r="I61" s="24"/>
      <c r="J61" s="24"/>
      <c r="K61" s="24"/>
      <c r="L61" s="24"/>
      <c r="M61" s="24"/>
      <c r="N61" s="24"/>
      <c r="O61" s="24"/>
      <c r="P61" s="24"/>
      <c r="Q61" s="24"/>
      <c r="R61" s="24"/>
      <c r="S61" s="24"/>
      <c r="T61" s="24"/>
      <c r="U61" s="538" t="s">
        <v>734</v>
      </c>
      <c r="V61" s="24"/>
      <c r="W61" s="24"/>
      <c r="X61" s="24"/>
      <c r="Y61" s="24"/>
      <c r="Z61" s="24"/>
      <c r="AA61" s="24"/>
      <c r="AB61" s="24"/>
      <c r="AC61" s="24"/>
      <c r="AD61" s="1127" t="s">
        <v>761</v>
      </c>
      <c r="AE61" s="24"/>
      <c r="AF61" s="4609" t="str">
        <f>"("&amp;TaxYear&amp;")"</f>
        <v>(2018)</v>
      </c>
      <c r="AG61" s="1228"/>
    </row>
    <row r="62" spans="1:55" ht="15.75">
      <c r="A62" s="1228"/>
      <c r="B62" s="35" t="str">
        <f>"Form 8949 ("&amp;TaxYear&amp;")"</f>
        <v>Form 8949 (2018)</v>
      </c>
      <c r="C62" s="45"/>
      <c r="D62" s="45"/>
      <c r="E62" s="45"/>
      <c r="F62" s="45"/>
      <c r="G62" s="45"/>
      <c r="H62" s="45"/>
      <c r="I62" s="45"/>
      <c r="J62" s="45"/>
      <c r="K62" s="45"/>
      <c r="L62" s="45"/>
      <c r="M62" s="45"/>
      <c r="N62" s="45"/>
      <c r="O62" s="45"/>
      <c r="P62" s="45"/>
      <c r="Q62" s="45"/>
      <c r="R62" s="45"/>
      <c r="S62" s="45"/>
      <c r="T62" s="45"/>
      <c r="U62" s="45"/>
      <c r="V62" s="35" t="s">
        <v>736</v>
      </c>
      <c r="W62" s="45"/>
      <c r="X62" s="45"/>
      <c r="Y62" s="45"/>
      <c r="Z62" s="45"/>
      <c r="AA62" s="45"/>
      <c r="AB62" s="45"/>
      <c r="AC62" s="45"/>
      <c r="AD62" s="45"/>
      <c r="AE62" s="45"/>
      <c r="AF62" s="1188" t="s">
        <v>735</v>
      </c>
      <c r="AG62" s="1228"/>
    </row>
    <row r="63" spans="1:55">
      <c r="A63" s="1228"/>
      <c r="B63" s="32" t="s">
        <v>63</v>
      </c>
      <c r="C63" s="24"/>
      <c r="D63" s="24"/>
      <c r="E63" s="24"/>
      <c r="F63" s="24"/>
      <c r="G63" s="24"/>
      <c r="H63" s="24"/>
      <c r="I63" s="24"/>
      <c r="J63" s="24"/>
      <c r="K63" s="24"/>
      <c r="L63" s="24"/>
      <c r="M63" s="24"/>
      <c r="N63" s="24"/>
      <c r="O63" s="24"/>
      <c r="P63" s="24"/>
      <c r="Q63" s="24"/>
      <c r="R63" s="24"/>
      <c r="S63" s="24"/>
      <c r="T63" s="24"/>
      <c r="U63" s="24"/>
      <c r="V63" s="1546" t="s">
        <v>899</v>
      </c>
      <c r="W63" s="24"/>
      <c r="X63" s="24"/>
      <c r="Y63" s="24"/>
      <c r="Z63" s="37"/>
      <c r="AA63" s="24"/>
      <c r="AB63" s="24"/>
      <c r="AC63" s="24"/>
      <c r="AD63" s="24"/>
      <c r="AE63" s="24"/>
      <c r="AF63" s="24"/>
      <c r="AG63" s="1228"/>
    </row>
    <row r="64" spans="1:55" ht="16.5" thickBot="1">
      <c r="A64" s="1228"/>
      <c r="B64" s="7970" t="str">
        <f>Names</f>
        <v/>
      </c>
      <c r="C64" s="7971"/>
      <c r="D64" s="7971"/>
      <c r="E64" s="7971"/>
      <c r="F64" s="7971"/>
      <c r="G64" s="7971"/>
      <c r="H64" s="7971"/>
      <c r="I64" s="7971"/>
      <c r="J64" s="7971"/>
      <c r="K64" s="7971"/>
      <c r="L64" s="7971"/>
      <c r="M64" s="7971"/>
      <c r="N64" s="7971"/>
      <c r="O64" s="7971"/>
      <c r="P64" s="7971"/>
      <c r="Q64" s="7971"/>
      <c r="R64" s="7971"/>
      <c r="S64" s="7971"/>
      <c r="T64" s="7971"/>
      <c r="U64" s="7972"/>
      <c r="V64" s="7968">
        <f>SS_Yours</f>
        <v>0</v>
      </c>
      <c r="W64" s="7969"/>
      <c r="X64" s="7969"/>
      <c r="Y64" s="7969"/>
      <c r="Z64" s="7969"/>
      <c r="AA64" s="7969"/>
      <c r="AB64" s="7969"/>
      <c r="AC64" s="7969"/>
      <c r="AD64" s="7969"/>
      <c r="AE64" s="7969"/>
      <c r="AF64" s="7969"/>
      <c r="AG64" s="1228"/>
    </row>
    <row r="65" spans="1:55" ht="12.75" customHeight="1">
      <c r="A65" s="1228"/>
      <c r="B65" s="8031" t="s">
        <v>2586</v>
      </c>
      <c r="C65" s="8032"/>
      <c r="D65" s="8032"/>
      <c r="E65" s="8032"/>
      <c r="F65" s="8032"/>
      <c r="G65" s="8032"/>
      <c r="H65" s="8032"/>
      <c r="I65" s="8032"/>
      <c r="J65" s="8032"/>
      <c r="K65" s="8032"/>
      <c r="L65" s="8032"/>
      <c r="M65" s="8032"/>
      <c r="N65" s="8032"/>
      <c r="O65" s="8032"/>
      <c r="P65" s="8032"/>
      <c r="Q65" s="8032"/>
      <c r="R65" s="8032"/>
      <c r="S65" s="8032"/>
      <c r="T65" s="8032"/>
      <c r="U65" s="8032"/>
      <c r="V65" s="8032"/>
      <c r="W65" s="8032"/>
      <c r="X65" s="8032"/>
      <c r="Y65" s="8032"/>
      <c r="Z65" s="8032"/>
      <c r="AA65" s="8032"/>
      <c r="AB65" s="8032"/>
      <c r="AC65" s="8032"/>
      <c r="AD65" s="8032"/>
      <c r="AE65" s="8032"/>
      <c r="AF65" s="8032"/>
      <c r="AG65" s="1228"/>
    </row>
    <row r="66" spans="1:55" ht="12.75" customHeight="1">
      <c r="A66" s="1228"/>
      <c r="B66" s="6088"/>
      <c r="C66" s="6088"/>
      <c r="D66" s="6088"/>
      <c r="E66" s="6088"/>
      <c r="F66" s="6088"/>
      <c r="G66" s="6088"/>
      <c r="H66" s="6088"/>
      <c r="I66" s="6088"/>
      <c r="J66" s="6088"/>
      <c r="K66" s="6088"/>
      <c r="L66" s="6088"/>
      <c r="M66" s="6088"/>
      <c r="N66" s="6088"/>
      <c r="O66" s="6088"/>
      <c r="P66" s="6088"/>
      <c r="Q66" s="6088"/>
      <c r="R66" s="6088"/>
      <c r="S66" s="6088"/>
      <c r="T66" s="6088"/>
      <c r="U66" s="6088"/>
      <c r="V66" s="6088"/>
      <c r="W66" s="6088"/>
      <c r="X66" s="6088"/>
      <c r="Y66" s="6088"/>
      <c r="Z66" s="6088"/>
      <c r="AA66" s="6088"/>
      <c r="AB66" s="6088"/>
      <c r="AC66" s="6088"/>
      <c r="AD66" s="6088"/>
      <c r="AE66" s="6088"/>
      <c r="AF66" s="6088"/>
      <c r="AG66" s="1228"/>
    </row>
    <row r="67" spans="1:55" ht="12.75" customHeight="1">
      <c r="A67" s="1228"/>
      <c r="B67" s="5809"/>
      <c r="C67" s="5809"/>
      <c r="D67" s="5809"/>
      <c r="E67" s="5809"/>
      <c r="F67" s="5809"/>
      <c r="G67" s="5809"/>
      <c r="H67" s="5809"/>
      <c r="I67" s="5809"/>
      <c r="J67" s="5809"/>
      <c r="K67" s="5809"/>
      <c r="L67" s="5809"/>
      <c r="M67" s="5809"/>
      <c r="N67" s="5809"/>
      <c r="O67" s="5809"/>
      <c r="P67" s="5809"/>
      <c r="Q67" s="5809"/>
      <c r="R67" s="5809"/>
      <c r="S67" s="5809"/>
      <c r="T67" s="5809"/>
      <c r="U67" s="5809"/>
      <c r="V67" s="5809"/>
      <c r="W67" s="5809"/>
      <c r="X67" s="5809"/>
      <c r="Y67" s="5809"/>
      <c r="Z67" s="5809"/>
      <c r="AA67" s="5809"/>
      <c r="AB67" s="5809"/>
      <c r="AC67" s="5809"/>
      <c r="AD67" s="5809"/>
      <c r="AE67" s="5809"/>
      <c r="AF67" s="5809"/>
      <c r="AG67" s="1228"/>
    </row>
    <row r="68" spans="1:55" ht="3.75" customHeight="1">
      <c r="A68" s="1228"/>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28"/>
    </row>
    <row r="69" spans="1:55" ht="15">
      <c r="A69" s="1228"/>
      <c r="B69" s="7978" t="s">
        <v>130</v>
      </c>
      <c r="C69" s="5615"/>
      <c r="D69" s="24"/>
      <c r="E69" s="354" t="s">
        <v>2577</v>
      </c>
      <c r="F69" s="423"/>
      <c r="G69" s="423"/>
      <c r="H69" s="423"/>
      <c r="I69" s="423"/>
      <c r="J69" s="423"/>
      <c r="K69" s="423"/>
      <c r="L69" s="423"/>
      <c r="M69" s="423"/>
      <c r="N69" s="423"/>
      <c r="O69" s="423"/>
      <c r="P69" s="354"/>
      <c r="Q69" s="423"/>
      <c r="R69" s="423"/>
      <c r="S69" s="423"/>
      <c r="T69" s="423" t="s">
        <v>2576</v>
      </c>
      <c r="U69" s="423"/>
      <c r="V69" s="423"/>
      <c r="W69" s="423"/>
      <c r="X69" s="423"/>
      <c r="Y69" s="423" t="s">
        <v>4202</v>
      </c>
      <c r="Z69" s="423"/>
      <c r="AA69" s="423"/>
      <c r="AB69" s="423"/>
      <c r="AC69" s="423"/>
      <c r="AD69" s="423"/>
      <c r="AE69" s="423"/>
      <c r="AF69" s="423"/>
      <c r="AG69" s="1228" t="b">
        <f>IF(SUM(AG88:AG115)&gt;0,TRUE,FALSE)</f>
        <v>0</v>
      </c>
    </row>
    <row r="70" spans="1:55" ht="11.25" customHeight="1">
      <c r="A70" s="1228"/>
      <c r="B70" s="24"/>
      <c r="C70" s="24"/>
      <c r="D70" s="24"/>
      <c r="E70" s="423" t="s">
        <v>4203</v>
      </c>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1228"/>
    </row>
    <row r="71" spans="1:55" ht="13.5" customHeight="1">
      <c r="A71" s="1228"/>
      <c r="B71" s="24"/>
      <c r="C71" s="24"/>
      <c r="D71" s="24"/>
      <c r="E71" s="3247" t="s">
        <v>2578</v>
      </c>
      <c r="F71" s="24"/>
      <c r="G71" s="24"/>
      <c r="H71" s="24"/>
      <c r="I71" s="24"/>
      <c r="J71" s="24"/>
      <c r="K71" s="24"/>
      <c r="L71" s="24"/>
      <c r="M71" s="24"/>
      <c r="N71" s="24"/>
      <c r="O71" s="24"/>
      <c r="P71" s="24"/>
      <c r="Q71" s="24"/>
      <c r="R71" s="24"/>
      <c r="S71" s="24"/>
      <c r="T71" s="423"/>
      <c r="U71" s="24"/>
      <c r="V71" s="24"/>
      <c r="W71" s="24"/>
      <c r="X71" s="74"/>
      <c r="Y71" s="24"/>
      <c r="Z71" s="24"/>
      <c r="AA71" s="24"/>
      <c r="AB71" s="24"/>
      <c r="AC71" s="24"/>
      <c r="AD71" s="24"/>
      <c r="AE71" s="24"/>
      <c r="AF71" s="24"/>
      <c r="AG71" s="1228"/>
    </row>
    <row r="72" spans="1:55" ht="13.5" customHeight="1">
      <c r="A72" s="1228"/>
      <c r="B72" s="24"/>
      <c r="C72" s="24"/>
      <c r="D72" s="24"/>
      <c r="E72" s="423" t="s">
        <v>1014</v>
      </c>
      <c r="F72" s="24"/>
      <c r="G72" s="24"/>
      <c r="H72" s="24"/>
      <c r="I72" s="24"/>
      <c r="J72" s="24"/>
      <c r="K72" s="24"/>
      <c r="L72" s="24"/>
      <c r="M72" s="24"/>
      <c r="N72" s="24"/>
      <c r="O72" s="24"/>
      <c r="P72" s="24"/>
      <c r="Q72" s="24"/>
      <c r="R72" s="24"/>
      <c r="S72" s="24"/>
      <c r="T72" s="423"/>
      <c r="U72" s="24"/>
      <c r="V72" s="24"/>
      <c r="W72" s="24"/>
      <c r="X72" s="74"/>
      <c r="Y72" s="24"/>
      <c r="Z72" s="24"/>
      <c r="AA72" s="24"/>
      <c r="AB72" s="24"/>
      <c r="AC72" s="24"/>
      <c r="AD72" s="24"/>
      <c r="AE72" s="24"/>
      <c r="AF72" s="24"/>
      <c r="AG72" s="1228"/>
    </row>
    <row r="73" spans="1:55" ht="13.5" customHeight="1">
      <c r="A73" s="1228"/>
      <c r="B73" s="45"/>
      <c r="C73" s="45"/>
      <c r="D73" s="45"/>
      <c r="E73" s="3248" t="s">
        <v>4204</v>
      </c>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1228"/>
    </row>
    <row r="74" spans="1:55">
      <c r="A74" s="1228"/>
      <c r="B74" s="286" t="s">
        <v>1015</v>
      </c>
      <c r="C74" s="60"/>
      <c r="D74" s="60"/>
      <c r="E74" s="60"/>
      <c r="F74" s="60"/>
      <c r="G74" s="60"/>
      <c r="H74" s="60"/>
      <c r="I74" s="60"/>
      <c r="J74" s="60"/>
      <c r="K74" s="286" t="s">
        <v>887</v>
      </c>
      <c r="L74" s="60"/>
      <c r="M74" s="60"/>
      <c r="N74" s="60"/>
      <c r="O74" s="60"/>
      <c r="P74" s="74" t="s">
        <v>889</v>
      </c>
      <c r="Q74" s="60"/>
      <c r="R74" s="60"/>
      <c r="S74" s="60"/>
      <c r="T74" s="60"/>
      <c r="U74" s="60"/>
      <c r="V74" s="60"/>
      <c r="W74" s="60"/>
      <c r="X74" s="60"/>
      <c r="Y74" s="60"/>
      <c r="Z74" s="60"/>
      <c r="AA74" s="60"/>
      <c r="AB74" s="60"/>
      <c r="AC74" s="60"/>
      <c r="AD74" s="60"/>
      <c r="AE74" s="60"/>
      <c r="AF74" s="60"/>
      <c r="AG74" s="1228"/>
    </row>
    <row r="75" spans="1:55">
      <c r="A75" s="1228"/>
      <c r="B75" s="74" t="s">
        <v>890</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28"/>
      <c r="BA75" s="7953" t="s">
        <v>957</v>
      </c>
      <c r="BB75" s="6273"/>
      <c r="BC75" s="6185"/>
    </row>
    <row r="76" spans="1:55">
      <c r="A76" s="1228"/>
      <c r="B76" s="74" t="s">
        <v>891</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28"/>
      <c r="BA76" s="7954" t="s">
        <v>956</v>
      </c>
      <c r="BB76" s="7954" t="s">
        <v>947</v>
      </c>
      <c r="BC76" s="7954" t="s">
        <v>948</v>
      </c>
    </row>
    <row r="77" spans="1:55" ht="4.5" customHeight="1" thickBot="1">
      <c r="A77" s="1228"/>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28"/>
      <c r="BA77" s="7955"/>
      <c r="BB77" s="7955"/>
      <c r="BC77" s="7955"/>
    </row>
    <row r="78" spans="1:55" ht="12" customHeight="1" thickBot="1">
      <c r="A78" s="1228"/>
      <c r="B78" s="1588">
        <f>IF(C78&lt;&gt;"",1,0)</f>
        <v>0</v>
      </c>
      <c r="C78" s="1587"/>
      <c r="D78" s="1085" t="s">
        <v>4205</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28"/>
      <c r="AJ78" s="7948"/>
      <c r="AK78" s="7949"/>
      <c r="AL78" s="7949"/>
      <c r="AM78" s="7949"/>
      <c r="AN78" s="7949"/>
      <c r="AO78" s="7949"/>
      <c r="AP78" s="7949"/>
      <c r="AQ78" s="7949"/>
      <c r="BA78" s="7955"/>
      <c r="BB78" s="7955"/>
      <c r="BC78" s="7955"/>
    </row>
    <row r="79" spans="1:55" ht="4.5" customHeight="1" thickBot="1">
      <c r="A79" s="1228"/>
      <c r="B79" s="1545"/>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28"/>
      <c r="BA79" s="7955"/>
      <c r="BB79" s="7955"/>
      <c r="BC79" s="7955"/>
    </row>
    <row r="80" spans="1:55" ht="11.25" customHeight="1" thickBot="1">
      <c r="A80" s="1228"/>
      <c r="B80" s="1588">
        <f>IF(C80&lt;&gt;"",1,0)</f>
        <v>0</v>
      </c>
      <c r="C80" s="1587"/>
      <c r="D80" s="1085" t="s">
        <v>4206</v>
      </c>
      <c r="E80" s="60"/>
      <c r="F80" s="60"/>
      <c r="G80" s="60"/>
      <c r="H80" s="60"/>
      <c r="I80" s="60"/>
      <c r="J80" s="60"/>
      <c r="K80" s="60"/>
      <c r="L80" s="60"/>
      <c r="M80" s="60"/>
      <c r="N80" s="60"/>
      <c r="O80" s="60"/>
      <c r="P80" s="60"/>
      <c r="Q80" s="1592"/>
      <c r="R80" s="1592"/>
      <c r="S80" s="1592"/>
      <c r="T80" s="1592"/>
      <c r="U80" s="1592"/>
      <c r="V80" s="1592"/>
      <c r="W80" s="1592"/>
      <c r="X80" s="1592"/>
      <c r="Y80" s="1592"/>
      <c r="Z80" s="1592"/>
      <c r="AA80" s="1592"/>
      <c r="AB80" s="1592"/>
      <c r="AC80" s="1592"/>
      <c r="AD80" s="1592"/>
      <c r="AE80" s="60"/>
      <c r="AF80" s="60"/>
      <c r="AG80" s="1228"/>
      <c r="AJ80" s="7948"/>
      <c r="AK80" s="7949"/>
      <c r="AL80" s="7949"/>
      <c r="AM80" s="7949"/>
      <c r="AN80" s="7949"/>
      <c r="AO80" s="7949"/>
      <c r="AP80" s="7949"/>
      <c r="AQ80" s="7949"/>
      <c r="BA80" s="7955"/>
      <c r="BB80" s="7955"/>
      <c r="BC80" s="7955"/>
    </row>
    <row r="81" spans="1:55" ht="4.5" customHeight="1" thickBot="1">
      <c r="A81" s="1228"/>
      <c r="B81" s="1545"/>
      <c r="C81" s="60"/>
      <c r="D81" s="74"/>
      <c r="E81" s="60"/>
      <c r="F81" s="60"/>
      <c r="G81" s="60"/>
      <c r="H81" s="60"/>
      <c r="I81" s="60"/>
      <c r="J81" s="60"/>
      <c r="K81" s="60"/>
      <c r="L81" s="60"/>
      <c r="M81" s="60"/>
      <c r="N81" s="60"/>
      <c r="O81" s="60"/>
      <c r="P81" s="60"/>
      <c r="Q81" s="1592"/>
      <c r="R81" s="1592"/>
      <c r="S81" s="1592"/>
      <c r="T81" s="1592"/>
      <c r="U81" s="1592"/>
      <c r="V81" s="1592"/>
      <c r="W81" s="1592"/>
      <c r="X81" s="1592"/>
      <c r="Y81" s="1592"/>
      <c r="Z81" s="1592"/>
      <c r="AA81" s="1592"/>
      <c r="AB81" s="1592"/>
      <c r="AC81" s="1592"/>
      <c r="AD81" s="1592"/>
      <c r="AE81" s="60"/>
      <c r="AF81" s="60"/>
      <c r="AG81" s="1228"/>
      <c r="BA81" s="7955"/>
      <c r="BB81" s="7955"/>
      <c r="BC81" s="7955"/>
    </row>
    <row r="82" spans="1:55" ht="12" customHeight="1" thickBot="1">
      <c r="A82" s="1228">
        <f>SUM(B78:B82)</f>
        <v>0</v>
      </c>
      <c r="B82" s="1588">
        <f>IF(C82&lt;&gt;"",1,0)</f>
        <v>0</v>
      </c>
      <c r="C82" s="1587"/>
      <c r="D82" s="1085" t="s">
        <v>4207</v>
      </c>
      <c r="E82" s="60"/>
      <c r="F82" s="60"/>
      <c r="G82" s="60"/>
      <c r="H82" s="60"/>
      <c r="I82" s="60"/>
      <c r="J82" s="60"/>
      <c r="K82" s="60"/>
      <c r="L82" s="60"/>
      <c r="M82" s="60"/>
      <c r="N82" s="60"/>
      <c r="O82" s="60"/>
      <c r="P82" s="60"/>
      <c r="Q82" s="1593"/>
      <c r="R82" s="7940" t="str">
        <f>IF(SpaceUsed_8949A_LT,"ERROR: DO NOT use the space bar to uncheck a box. Use the 'Delete' key.",IF(A82&gt;1,"Check only ONE box.",IF(A82&gt;0,"",IF(A82&lt;1,"Check ONE box.",""))))</f>
        <v>Check ONE box.</v>
      </c>
      <c r="S82" s="7941"/>
      <c r="T82" s="7941"/>
      <c r="U82" s="7941"/>
      <c r="V82" s="7941"/>
      <c r="W82" s="7941"/>
      <c r="X82" s="7941"/>
      <c r="Y82" s="7941"/>
      <c r="Z82" s="7941"/>
      <c r="AA82" s="7941"/>
      <c r="AB82" s="7941"/>
      <c r="AC82" s="7941"/>
      <c r="AD82" s="7941"/>
      <c r="AE82" s="7941"/>
      <c r="AF82" s="60"/>
      <c r="AG82" s="1228"/>
      <c r="AH82" s="1786" t="b">
        <f>IF(OR(F8949ALBOXA=CHAR(32),F8949ALBOXB=CHAR(32),F8949ALBOXC=CHAR(32)),TRUE,FALSE)</f>
        <v>0</v>
      </c>
      <c r="AJ82" s="7956" t="s">
        <v>3403</v>
      </c>
      <c r="AK82" s="7949"/>
      <c r="AL82" s="7949"/>
      <c r="AM82" s="7949"/>
      <c r="AN82" s="7949"/>
      <c r="AO82" s="7949"/>
      <c r="AP82" s="7949"/>
      <c r="AQ82" s="7949"/>
      <c r="BA82" s="7955"/>
      <c r="BB82" s="7955"/>
      <c r="BC82" s="7955"/>
    </row>
    <row r="83" spans="1:55" ht="3.75" customHeight="1">
      <c r="A83" s="1228"/>
      <c r="B83" s="287"/>
      <c r="C83" s="1187"/>
      <c r="D83" s="287"/>
      <c r="E83" s="287"/>
      <c r="F83" s="287"/>
      <c r="G83" s="287"/>
      <c r="H83" s="287"/>
      <c r="I83" s="287"/>
      <c r="J83" s="287"/>
      <c r="K83" s="287"/>
      <c r="L83" s="287"/>
      <c r="M83" s="287"/>
      <c r="N83" s="1187"/>
      <c r="O83" s="287"/>
      <c r="P83" s="287"/>
      <c r="Q83" s="287"/>
      <c r="R83" s="287"/>
      <c r="S83" s="287"/>
      <c r="T83" s="287"/>
      <c r="U83" s="287"/>
      <c r="V83" s="287"/>
      <c r="W83" s="287"/>
      <c r="X83" s="287"/>
      <c r="Y83" s="1187"/>
      <c r="Z83" s="287"/>
      <c r="AA83" s="287"/>
      <c r="AB83" s="287"/>
      <c r="AC83" s="287"/>
      <c r="AD83" s="287"/>
      <c r="AE83" s="287"/>
      <c r="AF83" s="287"/>
      <c r="AG83" s="1228"/>
      <c r="BA83" s="7955"/>
      <c r="BB83" s="7955"/>
      <c r="BC83" s="7955"/>
    </row>
    <row r="84" spans="1:55" ht="21" customHeight="1">
      <c r="A84" s="1228"/>
      <c r="B84" s="7979">
        <v>1</v>
      </c>
      <c r="C84" s="7985" t="s">
        <v>733</v>
      </c>
      <c r="D84" s="7986"/>
      <c r="E84" s="7986"/>
      <c r="F84" s="7986"/>
      <c r="G84" s="7986"/>
      <c r="H84" s="7986"/>
      <c r="I84" s="7987"/>
      <c r="J84" s="8002" t="s">
        <v>4209</v>
      </c>
      <c r="K84" s="6365"/>
      <c r="L84" s="6149"/>
      <c r="M84" s="8002" t="s">
        <v>893</v>
      </c>
      <c r="N84" s="6365"/>
      <c r="O84" s="6365"/>
      <c r="P84" s="6149"/>
      <c r="Q84" s="8002" t="s">
        <v>894</v>
      </c>
      <c r="R84" s="6365"/>
      <c r="S84" s="6365"/>
      <c r="T84" s="6149"/>
      <c r="U84" s="7927" t="s">
        <v>898</v>
      </c>
      <c r="V84" s="7928"/>
      <c r="W84" s="7928"/>
      <c r="X84" s="7999"/>
      <c r="Y84" s="7993" t="s">
        <v>4208</v>
      </c>
      <c r="Z84" s="7994"/>
      <c r="AA84" s="7994"/>
      <c r="AB84" s="7995"/>
      <c r="AC84" s="7927" t="s">
        <v>897</v>
      </c>
      <c r="AD84" s="7928"/>
      <c r="AE84" s="7928"/>
      <c r="AF84" s="7928"/>
      <c r="AG84" s="1228"/>
      <c r="AJ84" s="7946" t="s">
        <v>870</v>
      </c>
      <c r="AK84" s="7946" t="s">
        <v>900</v>
      </c>
      <c r="AL84" s="7946" t="s">
        <v>901</v>
      </c>
      <c r="AM84" s="7946" t="s">
        <v>902</v>
      </c>
      <c r="AN84" s="7944" t="s">
        <v>903</v>
      </c>
      <c r="AO84" s="7950" t="s">
        <v>895</v>
      </c>
      <c r="AP84" s="6115"/>
      <c r="AQ84" s="7946" t="s">
        <v>905</v>
      </c>
      <c r="BA84" s="7955"/>
      <c r="BB84" s="7955"/>
      <c r="BC84" s="7955"/>
    </row>
    <row r="85" spans="1:55" ht="21" customHeight="1">
      <c r="A85" s="1228"/>
      <c r="B85" s="7980"/>
      <c r="C85" s="7988"/>
      <c r="D85" s="7989"/>
      <c r="E85" s="7989"/>
      <c r="F85" s="7989"/>
      <c r="G85" s="7989"/>
      <c r="H85" s="7989"/>
      <c r="I85" s="7990"/>
      <c r="J85" s="8003"/>
      <c r="K85" s="7268"/>
      <c r="L85" s="6151"/>
      <c r="M85" s="8003"/>
      <c r="N85" s="7268"/>
      <c r="O85" s="7268"/>
      <c r="P85" s="6151"/>
      <c r="Q85" s="8003"/>
      <c r="R85" s="7268"/>
      <c r="S85" s="7268"/>
      <c r="T85" s="6151"/>
      <c r="U85" s="7929"/>
      <c r="V85" s="7930"/>
      <c r="W85" s="7930"/>
      <c r="X85" s="8000"/>
      <c r="Y85" s="7996"/>
      <c r="Z85" s="7997"/>
      <c r="AA85" s="7997"/>
      <c r="AB85" s="7998"/>
      <c r="AC85" s="7929"/>
      <c r="AD85" s="7930"/>
      <c r="AE85" s="7930"/>
      <c r="AF85" s="7930"/>
      <c r="AG85" s="1228"/>
      <c r="AJ85" s="7946"/>
      <c r="AK85" s="7946"/>
      <c r="AL85" s="7946"/>
      <c r="AM85" s="7946"/>
      <c r="AN85" s="7944"/>
      <c r="AO85" s="6250"/>
      <c r="AP85" s="6120"/>
      <c r="AQ85" s="7946"/>
      <c r="BA85" s="7955"/>
      <c r="BB85" s="7955"/>
      <c r="BC85" s="7955"/>
    </row>
    <row r="86" spans="1:55" ht="18" customHeight="1">
      <c r="A86" s="1228"/>
      <c r="B86" s="5646"/>
      <c r="C86" s="7989"/>
      <c r="D86" s="7989"/>
      <c r="E86" s="7989"/>
      <c r="F86" s="7989"/>
      <c r="G86" s="7989"/>
      <c r="H86" s="7989"/>
      <c r="I86" s="7990"/>
      <c r="J86" s="6150"/>
      <c r="K86" s="7268"/>
      <c r="L86" s="6151"/>
      <c r="M86" s="6150"/>
      <c r="N86" s="7268"/>
      <c r="O86" s="7268"/>
      <c r="P86" s="6151"/>
      <c r="Q86" s="6150"/>
      <c r="R86" s="7268"/>
      <c r="S86" s="7268"/>
      <c r="T86" s="6151"/>
      <c r="U86" s="7931"/>
      <c r="V86" s="7930"/>
      <c r="W86" s="7930"/>
      <c r="X86" s="8000"/>
      <c r="Y86" s="6310" t="s">
        <v>4210</v>
      </c>
      <c r="Z86" s="6149"/>
      <c r="AA86" s="6310" t="s">
        <v>896</v>
      </c>
      <c r="AB86" s="6244"/>
      <c r="AC86" s="7931"/>
      <c r="AD86" s="7930"/>
      <c r="AE86" s="7930"/>
      <c r="AF86" s="7930"/>
      <c r="AG86" s="1228"/>
      <c r="AJ86" s="7947"/>
      <c r="AK86" s="7947"/>
      <c r="AL86" s="7947"/>
      <c r="AM86" s="7947"/>
      <c r="AN86" s="7945"/>
      <c r="AO86" s="7952" t="s">
        <v>904</v>
      </c>
      <c r="AP86" s="6223" t="s">
        <v>896</v>
      </c>
      <c r="AQ86" s="7947"/>
      <c r="BA86" s="7955"/>
      <c r="BB86" s="7955"/>
      <c r="BC86" s="7955"/>
    </row>
    <row r="87" spans="1:55" ht="18" customHeight="1">
      <c r="A87" s="1228"/>
      <c r="B87" s="7981"/>
      <c r="C87" s="7991"/>
      <c r="D87" s="7991"/>
      <c r="E87" s="7991"/>
      <c r="F87" s="7991"/>
      <c r="G87" s="7991"/>
      <c r="H87" s="7991"/>
      <c r="I87" s="7992"/>
      <c r="J87" s="6152"/>
      <c r="K87" s="8004"/>
      <c r="L87" s="6153"/>
      <c r="M87" s="6152"/>
      <c r="N87" s="8004"/>
      <c r="O87" s="8004"/>
      <c r="P87" s="6153"/>
      <c r="Q87" s="6152"/>
      <c r="R87" s="8004"/>
      <c r="S87" s="8004"/>
      <c r="T87" s="6153"/>
      <c r="U87" s="7932"/>
      <c r="V87" s="7933"/>
      <c r="W87" s="7933"/>
      <c r="X87" s="8001"/>
      <c r="Y87" s="6152"/>
      <c r="Z87" s="6153"/>
      <c r="AA87" s="5580"/>
      <c r="AB87" s="6246"/>
      <c r="AC87" s="7932"/>
      <c r="AD87" s="7933"/>
      <c r="AE87" s="7933"/>
      <c r="AF87" s="7933"/>
      <c r="AG87" s="1228"/>
      <c r="AJ87" s="7947"/>
      <c r="AK87" s="7947"/>
      <c r="AL87" s="7947"/>
      <c r="AM87" s="7947"/>
      <c r="AN87" s="7945"/>
      <c r="AO87" s="7951"/>
      <c r="AP87" s="7951"/>
      <c r="AQ87" s="7947"/>
      <c r="BA87" s="7955"/>
      <c r="BB87" s="7955"/>
      <c r="BC87" s="7955"/>
    </row>
    <row r="88" spans="1:55" ht="19.5" customHeight="1">
      <c r="A88" s="1228">
        <f>IF(OR(Q88&lt;&gt;"",U88&lt;&gt;"",AC88&lt;&gt;""),1,0)</f>
        <v>0</v>
      </c>
      <c r="B88" s="7957" t="str">
        <f>IF(AJ88="","",AJ88)</f>
        <v/>
      </c>
      <c r="C88" s="7958"/>
      <c r="D88" s="7958"/>
      <c r="E88" s="7958"/>
      <c r="F88" s="7958"/>
      <c r="G88" s="7958"/>
      <c r="H88" s="7958"/>
      <c r="I88" s="7959"/>
      <c r="J88" s="7960" t="str">
        <f>IF(AK88="","",AK88)</f>
        <v/>
      </c>
      <c r="K88" s="7961"/>
      <c r="L88" s="7961"/>
      <c r="M88" s="7960" t="str">
        <f>IF(AL88="","",AL88)</f>
        <v/>
      </c>
      <c r="N88" s="7961"/>
      <c r="O88" s="7961"/>
      <c r="P88" s="7962"/>
      <c r="Q88" s="5988" t="str">
        <f>IF(AM88="","",AM88)</f>
        <v/>
      </c>
      <c r="R88" s="7942"/>
      <c r="S88" s="7942"/>
      <c r="T88" s="7943"/>
      <c r="U88" s="5988" t="str">
        <f>IF(AN88="","",AN88)</f>
        <v/>
      </c>
      <c r="V88" s="7942"/>
      <c r="W88" s="7942"/>
      <c r="X88" s="7943"/>
      <c r="Y88" s="7924" t="str">
        <f>IF(AO88&lt;&gt;"",AO88,"")</f>
        <v/>
      </c>
      <c r="Z88" s="5495"/>
      <c r="AA88" s="7924" t="str">
        <f>IF(AP88="","",AP88)</f>
        <v/>
      </c>
      <c r="AB88" s="5495"/>
      <c r="AC88" s="7925" t="str">
        <f>IF(AQ88&lt;&gt;"",AQ88,IF(AND(Q88&lt;&gt;"",U88&lt;&gt;""),SUM(Q88,-U88,AA88),""))</f>
        <v/>
      </c>
      <c r="AD88" s="7926"/>
      <c r="AE88" s="7926"/>
      <c r="AF88" s="7926"/>
      <c r="AG88" s="1631">
        <f>IF(OR(J88="",M88=""),0,IF(OR(BA88,BB88,BC88),1,0))</f>
        <v>0</v>
      </c>
      <c r="AH88" s="1185"/>
      <c r="AI88" s="1185" t="e">
        <f>M88-J88</f>
        <v>#VALUE!</v>
      </c>
      <c r="AJ88" s="1547"/>
      <c r="AK88" s="1551"/>
      <c r="AL88" s="1551"/>
      <c r="AM88" s="1549"/>
      <c r="AN88" s="1549"/>
      <c r="AO88" s="1550"/>
      <c r="AP88" s="1549"/>
      <c r="AQ88" s="1548"/>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28">
        <f t="shared" ref="A89:A115" si="20">IF(OR(Q89&lt;&gt;"",U89&lt;&gt;"",AC89&lt;&gt;""),1,0)</f>
        <v>0</v>
      </c>
      <c r="B89" s="7957" t="str">
        <f t="shared" ref="B89:B115" si="21">IF(AJ89="","",AJ89)</f>
        <v/>
      </c>
      <c r="C89" s="7958"/>
      <c r="D89" s="7958"/>
      <c r="E89" s="7958"/>
      <c r="F89" s="7958"/>
      <c r="G89" s="7958"/>
      <c r="H89" s="7958"/>
      <c r="I89" s="7959"/>
      <c r="J89" s="7960" t="str">
        <f t="shared" ref="J89:J115" si="22">IF(AK89="","",AK89)</f>
        <v/>
      </c>
      <c r="K89" s="7961"/>
      <c r="L89" s="7961"/>
      <c r="M89" s="7960" t="str">
        <f t="shared" ref="M89:M115" si="23">IF(AL89="","",AL89)</f>
        <v/>
      </c>
      <c r="N89" s="7961"/>
      <c r="O89" s="7961"/>
      <c r="P89" s="7962"/>
      <c r="Q89" s="5988" t="str">
        <f t="shared" ref="Q89:Q115" si="24">IF(AM89="","",AM89)</f>
        <v/>
      </c>
      <c r="R89" s="7942"/>
      <c r="S89" s="7942"/>
      <c r="T89" s="7943"/>
      <c r="U89" s="5988" t="str">
        <f t="shared" ref="U89:U115" si="25">IF(AN89="","",AN89)</f>
        <v/>
      </c>
      <c r="V89" s="7942"/>
      <c r="W89" s="7942"/>
      <c r="X89" s="7943"/>
      <c r="Y89" s="7924" t="str">
        <f t="shared" ref="Y89:Y115" si="26">IF(AO89&lt;&gt;"",AO89,"")</f>
        <v/>
      </c>
      <c r="Z89" s="5495"/>
      <c r="AA89" s="7924" t="str">
        <f t="shared" ref="AA89:AA115" si="27">IF(AP89="","",AP89)</f>
        <v/>
      </c>
      <c r="AB89" s="5495"/>
      <c r="AC89" s="7925" t="str">
        <f t="shared" ref="AC89:AC115" si="28">IF(AQ89&lt;&gt;"",AQ89,IF(AND(Q89&lt;&gt;"",U89&lt;&gt;""),SUM(Q89,-U89,AA89),""))</f>
        <v/>
      </c>
      <c r="AD89" s="7926"/>
      <c r="AE89" s="7926"/>
      <c r="AF89" s="7926"/>
      <c r="AG89" s="1631">
        <f t="shared" ref="AG89:AG115" si="29">IF(OR(J89="",M89=""),0,IF(OR(BA89,BB89,BC89),1,0))</f>
        <v>0</v>
      </c>
      <c r="AH89" s="1185"/>
      <c r="AI89" s="1185" t="e">
        <f t="shared" ref="AI89:AI115" si="30">M89-J89</f>
        <v>#VALUE!</v>
      </c>
      <c r="AJ89" s="1547"/>
      <c r="AK89" s="1551"/>
      <c r="AL89" s="1551"/>
      <c r="AM89" s="1549"/>
      <c r="AN89" s="1549"/>
      <c r="AO89" s="1550"/>
      <c r="AP89" s="1549"/>
      <c r="AQ89" s="1548"/>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28">
        <f t="shared" si="20"/>
        <v>0</v>
      </c>
      <c r="B90" s="7957" t="str">
        <f t="shared" si="21"/>
        <v/>
      </c>
      <c r="C90" s="7958"/>
      <c r="D90" s="7958"/>
      <c r="E90" s="7958"/>
      <c r="F90" s="7958"/>
      <c r="G90" s="7958"/>
      <c r="H90" s="7958"/>
      <c r="I90" s="7959"/>
      <c r="J90" s="7960" t="str">
        <f t="shared" si="22"/>
        <v/>
      </c>
      <c r="K90" s="7961"/>
      <c r="L90" s="7961"/>
      <c r="M90" s="7960" t="str">
        <f t="shared" si="23"/>
        <v/>
      </c>
      <c r="N90" s="7961"/>
      <c r="O90" s="7961"/>
      <c r="P90" s="7962"/>
      <c r="Q90" s="5988" t="str">
        <f t="shared" si="24"/>
        <v/>
      </c>
      <c r="R90" s="7942"/>
      <c r="S90" s="7942"/>
      <c r="T90" s="7943"/>
      <c r="U90" s="5988" t="str">
        <f t="shared" si="25"/>
        <v/>
      </c>
      <c r="V90" s="7942"/>
      <c r="W90" s="7942"/>
      <c r="X90" s="7943"/>
      <c r="Y90" s="7924" t="str">
        <f t="shared" si="26"/>
        <v/>
      </c>
      <c r="Z90" s="5495"/>
      <c r="AA90" s="7924" t="str">
        <f t="shared" si="27"/>
        <v/>
      </c>
      <c r="AB90" s="5495"/>
      <c r="AC90" s="7925" t="str">
        <f t="shared" si="28"/>
        <v/>
      </c>
      <c r="AD90" s="7926"/>
      <c r="AE90" s="7926"/>
      <c r="AF90" s="7926"/>
      <c r="AG90" s="1631">
        <f t="shared" si="29"/>
        <v>0</v>
      </c>
      <c r="AH90" s="1185"/>
      <c r="AI90" s="1185" t="e">
        <f t="shared" si="30"/>
        <v>#VALUE!</v>
      </c>
      <c r="AJ90" s="1547"/>
      <c r="AK90" s="1551"/>
      <c r="AL90" s="1551"/>
      <c r="AM90" s="1549"/>
      <c r="AN90" s="1549"/>
      <c r="AO90" s="1550"/>
      <c r="AP90" s="1549"/>
      <c r="AQ90" s="1548"/>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28">
        <f t="shared" si="20"/>
        <v>0</v>
      </c>
      <c r="B91" s="7957" t="str">
        <f t="shared" si="21"/>
        <v/>
      </c>
      <c r="C91" s="7958"/>
      <c r="D91" s="7958"/>
      <c r="E91" s="7958"/>
      <c r="F91" s="7958"/>
      <c r="G91" s="7958"/>
      <c r="H91" s="7958"/>
      <c r="I91" s="7959"/>
      <c r="J91" s="7960" t="str">
        <f t="shared" si="22"/>
        <v/>
      </c>
      <c r="K91" s="7961"/>
      <c r="L91" s="7961"/>
      <c r="M91" s="7960" t="str">
        <f t="shared" si="23"/>
        <v/>
      </c>
      <c r="N91" s="7961"/>
      <c r="O91" s="7961"/>
      <c r="P91" s="7962"/>
      <c r="Q91" s="5988" t="str">
        <f t="shared" si="24"/>
        <v/>
      </c>
      <c r="R91" s="7942"/>
      <c r="S91" s="7942"/>
      <c r="T91" s="7943"/>
      <c r="U91" s="5988" t="str">
        <f t="shared" si="25"/>
        <v/>
      </c>
      <c r="V91" s="7942"/>
      <c r="W91" s="7942"/>
      <c r="X91" s="7943"/>
      <c r="Y91" s="7924" t="str">
        <f t="shared" si="26"/>
        <v/>
      </c>
      <c r="Z91" s="5495"/>
      <c r="AA91" s="7924" t="str">
        <f t="shared" si="27"/>
        <v/>
      </c>
      <c r="AB91" s="5495"/>
      <c r="AC91" s="7925" t="str">
        <f t="shared" si="28"/>
        <v/>
      </c>
      <c r="AD91" s="7926"/>
      <c r="AE91" s="7926"/>
      <c r="AF91" s="7926"/>
      <c r="AG91" s="1631">
        <f t="shared" si="29"/>
        <v>0</v>
      </c>
      <c r="AH91" s="1185"/>
      <c r="AI91" s="1185" t="e">
        <f t="shared" si="30"/>
        <v>#VALUE!</v>
      </c>
      <c r="AJ91" s="1547"/>
      <c r="AK91" s="1551"/>
      <c r="AL91" s="1551"/>
      <c r="AM91" s="1549"/>
      <c r="AN91" s="1549"/>
      <c r="AO91" s="1550"/>
      <c r="AP91" s="1549"/>
      <c r="AQ91" s="1548"/>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28">
        <f t="shared" si="20"/>
        <v>0</v>
      </c>
      <c r="B92" s="7957" t="str">
        <f t="shared" si="21"/>
        <v/>
      </c>
      <c r="C92" s="7958"/>
      <c r="D92" s="7958"/>
      <c r="E92" s="7958"/>
      <c r="F92" s="7958"/>
      <c r="G92" s="7958"/>
      <c r="H92" s="7958"/>
      <c r="I92" s="7959"/>
      <c r="J92" s="7960" t="str">
        <f t="shared" si="22"/>
        <v/>
      </c>
      <c r="K92" s="7961"/>
      <c r="L92" s="7961"/>
      <c r="M92" s="7960" t="str">
        <f t="shared" si="23"/>
        <v/>
      </c>
      <c r="N92" s="7961"/>
      <c r="O92" s="7961"/>
      <c r="P92" s="7962"/>
      <c r="Q92" s="5988" t="str">
        <f t="shared" si="24"/>
        <v/>
      </c>
      <c r="R92" s="7942"/>
      <c r="S92" s="7942"/>
      <c r="T92" s="7943"/>
      <c r="U92" s="5988" t="str">
        <f t="shared" si="25"/>
        <v/>
      </c>
      <c r="V92" s="7942"/>
      <c r="W92" s="7942"/>
      <c r="X92" s="7943"/>
      <c r="Y92" s="7924" t="str">
        <f t="shared" si="26"/>
        <v/>
      </c>
      <c r="Z92" s="5495"/>
      <c r="AA92" s="7924" t="str">
        <f t="shared" si="27"/>
        <v/>
      </c>
      <c r="AB92" s="5495"/>
      <c r="AC92" s="7925" t="str">
        <f t="shared" si="28"/>
        <v/>
      </c>
      <c r="AD92" s="7926"/>
      <c r="AE92" s="7926"/>
      <c r="AF92" s="7926"/>
      <c r="AG92" s="1631">
        <f t="shared" si="29"/>
        <v>0</v>
      </c>
      <c r="AH92" s="1185"/>
      <c r="AI92" s="1185" t="e">
        <f t="shared" si="30"/>
        <v>#VALUE!</v>
      </c>
      <c r="AJ92" s="1547"/>
      <c r="AK92" s="1551"/>
      <c r="AL92" s="1551"/>
      <c r="AM92" s="1549"/>
      <c r="AN92" s="1549"/>
      <c r="AO92" s="1550"/>
      <c r="AP92" s="1549"/>
      <c r="AQ92" s="1548"/>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28">
        <f t="shared" si="20"/>
        <v>0</v>
      </c>
      <c r="B93" s="7957" t="str">
        <f t="shared" si="21"/>
        <v/>
      </c>
      <c r="C93" s="7958"/>
      <c r="D93" s="7958"/>
      <c r="E93" s="7958"/>
      <c r="F93" s="7958"/>
      <c r="G93" s="7958"/>
      <c r="H93" s="7958"/>
      <c r="I93" s="7959"/>
      <c r="J93" s="7960" t="str">
        <f t="shared" si="22"/>
        <v/>
      </c>
      <c r="K93" s="7961"/>
      <c r="L93" s="7961"/>
      <c r="M93" s="7960" t="str">
        <f t="shared" si="23"/>
        <v/>
      </c>
      <c r="N93" s="7961"/>
      <c r="O93" s="7961"/>
      <c r="P93" s="7962"/>
      <c r="Q93" s="5988" t="str">
        <f t="shared" si="24"/>
        <v/>
      </c>
      <c r="R93" s="7942"/>
      <c r="S93" s="7942"/>
      <c r="T93" s="7943"/>
      <c r="U93" s="5988" t="str">
        <f t="shared" si="25"/>
        <v/>
      </c>
      <c r="V93" s="7942"/>
      <c r="W93" s="7942"/>
      <c r="X93" s="7943"/>
      <c r="Y93" s="7924" t="str">
        <f t="shared" si="26"/>
        <v/>
      </c>
      <c r="Z93" s="5495"/>
      <c r="AA93" s="7924" t="str">
        <f t="shared" si="27"/>
        <v/>
      </c>
      <c r="AB93" s="5495"/>
      <c r="AC93" s="7925" t="str">
        <f t="shared" si="28"/>
        <v/>
      </c>
      <c r="AD93" s="7926"/>
      <c r="AE93" s="7926"/>
      <c r="AF93" s="7926"/>
      <c r="AG93" s="1631">
        <f t="shared" si="29"/>
        <v>0</v>
      </c>
      <c r="AH93" s="1185"/>
      <c r="AI93" s="1185" t="e">
        <f t="shared" si="30"/>
        <v>#VALUE!</v>
      </c>
      <c r="AJ93" s="1547"/>
      <c r="AK93" s="1551"/>
      <c r="AL93" s="1551"/>
      <c r="AM93" s="1549"/>
      <c r="AN93" s="1549"/>
      <c r="AO93" s="1550"/>
      <c r="AP93" s="1549"/>
      <c r="AQ93" s="1548"/>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28">
        <f t="shared" si="20"/>
        <v>0</v>
      </c>
      <c r="B94" s="7957" t="str">
        <f t="shared" si="21"/>
        <v/>
      </c>
      <c r="C94" s="7958"/>
      <c r="D94" s="7958"/>
      <c r="E94" s="7958"/>
      <c r="F94" s="7958"/>
      <c r="G94" s="7958"/>
      <c r="H94" s="7958"/>
      <c r="I94" s="7959"/>
      <c r="J94" s="7960" t="str">
        <f t="shared" si="22"/>
        <v/>
      </c>
      <c r="K94" s="7961"/>
      <c r="L94" s="7961"/>
      <c r="M94" s="7960" t="str">
        <f t="shared" si="23"/>
        <v/>
      </c>
      <c r="N94" s="7961"/>
      <c r="O94" s="7961"/>
      <c r="P94" s="7962"/>
      <c r="Q94" s="5988" t="str">
        <f t="shared" si="24"/>
        <v/>
      </c>
      <c r="R94" s="7942"/>
      <c r="S94" s="7942"/>
      <c r="T94" s="7943"/>
      <c r="U94" s="5988" t="str">
        <f t="shared" si="25"/>
        <v/>
      </c>
      <c r="V94" s="7942"/>
      <c r="W94" s="7942"/>
      <c r="X94" s="7943"/>
      <c r="Y94" s="7924" t="str">
        <f t="shared" si="26"/>
        <v/>
      </c>
      <c r="Z94" s="5495"/>
      <c r="AA94" s="7924" t="str">
        <f t="shared" si="27"/>
        <v/>
      </c>
      <c r="AB94" s="5495"/>
      <c r="AC94" s="7925" t="str">
        <f t="shared" si="28"/>
        <v/>
      </c>
      <c r="AD94" s="7926"/>
      <c r="AE94" s="7926"/>
      <c r="AF94" s="7926"/>
      <c r="AG94" s="1631">
        <f t="shared" si="29"/>
        <v>0</v>
      </c>
      <c r="AH94" s="1185"/>
      <c r="AI94" s="1185" t="e">
        <f t="shared" si="30"/>
        <v>#VALUE!</v>
      </c>
      <c r="AJ94" s="1547"/>
      <c r="AK94" s="1551"/>
      <c r="AL94" s="1551"/>
      <c r="AM94" s="1549"/>
      <c r="AN94" s="1549"/>
      <c r="AO94" s="1550"/>
      <c r="AP94" s="1549"/>
      <c r="AQ94" s="1548"/>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28">
        <f t="shared" si="20"/>
        <v>0</v>
      </c>
      <c r="B95" s="7957" t="str">
        <f t="shared" si="21"/>
        <v/>
      </c>
      <c r="C95" s="7958"/>
      <c r="D95" s="7958"/>
      <c r="E95" s="7958"/>
      <c r="F95" s="7958"/>
      <c r="G95" s="7958"/>
      <c r="H95" s="7958"/>
      <c r="I95" s="7959"/>
      <c r="J95" s="7960" t="str">
        <f t="shared" si="22"/>
        <v/>
      </c>
      <c r="K95" s="7961"/>
      <c r="L95" s="7961"/>
      <c r="M95" s="7960" t="str">
        <f t="shared" si="23"/>
        <v/>
      </c>
      <c r="N95" s="7961"/>
      <c r="O95" s="7961"/>
      <c r="P95" s="7962"/>
      <c r="Q95" s="5988" t="str">
        <f t="shared" si="24"/>
        <v/>
      </c>
      <c r="R95" s="7942"/>
      <c r="S95" s="7942"/>
      <c r="T95" s="7943"/>
      <c r="U95" s="5988" t="str">
        <f t="shared" si="25"/>
        <v/>
      </c>
      <c r="V95" s="7942"/>
      <c r="W95" s="7942"/>
      <c r="X95" s="7943"/>
      <c r="Y95" s="7924" t="str">
        <f t="shared" si="26"/>
        <v/>
      </c>
      <c r="Z95" s="5495"/>
      <c r="AA95" s="7924" t="str">
        <f t="shared" si="27"/>
        <v/>
      </c>
      <c r="AB95" s="5495"/>
      <c r="AC95" s="7925" t="str">
        <f t="shared" si="28"/>
        <v/>
      </c>
      <c r="AD95" s="7926"/>
      <c r="AE95" s="7926"/>
      <c r="AF95" s="7926"/>
      <c r="AG95" s="1631">
        <f t="shared" si="29"/>
        <v>0</v>
      </c>
      <c r="AH95" s="1185"/>
      <c r="AI95" s="1185" t="e">
        <f t="shared" si="30"/>
        <v>#VALUE!</v>
      </c>
      <c r="AJ95" s="1547"/>
      <c r="AK95" s="1551"/>
      <c r="AL95" s="1551"/>
      <c r="AM95" s="1549"/>
      <c r="AN95" s="1549"/>
      <c r="AO95" s="1550"/>
      <c r="AP95" s="1549"/>
      <c r="AQ95" s="1548"/>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28">
        <f t="shared" si="20"/>
        <v>0</v>
      </c>
      <c r="B96" s="7957" t="str">
        <f t="shared" si="21"/>
        <v/>
      </c>
      <c r="C96" s="7958"/>
      <c r="D96" s="7958"/>
      <c r="E96" s="7958"/>
      <c r="F96" s="7958"/>
      <c r="G96" s="7958"/>
      <c r="H96" s="7958"/>
      <c r="I96" s="7959"/>
      <c r="J96" s="7960" t="str">
        <f t="shared" si="22"/>
        <v/>
      </c>
      <c r="K96" s="7961"/>
      <c r="L96" s="7961"/>
      <c r="M96" s="7960" t="str">
        <f t="shared" si="23"/>
        <v/>
      </c>
      <c r="N96" s="7961"/>
      <c r="O96" s="7961"/>
      <c r="P96" s="7962"/>
      <c r="Q96" s="5988" t="str">
        <f t="shared" si="24"/>
        <v/>
      </c>
      <c r="R96" s="7942"/>
      <c r="S96" s="7942"/>
      <c r="T96" s="7943"/>
      <c r="U96" s="5988" t="str">
        <f t="shared" si="25"/>
        <v/>
      </c>
      <c r="V96" s="7942"/>
      <c r="W96" s="7942"/>
      <c r="X96" s="7943"/>
      <c r="Y96" s="7924" t="str">
        <f t="shared" si="26"/>
        <v/>
      </c>
      <c r="Z96" s="5495"/>
      <c r="AA96" s="7924" t="str">
        <f t="shared" si="27"/>
        <v/>
      </c>
      <c r="AB96" s="5495"/>
      <c r="AC96" s="7925" t="str">
        <f t="shared" si="28"/>
        <v/>
      </c>
      <c r="AD96" s="7926"/>
      <c r="AE96" s="7926"/>
      <c r="AF96" s="7926"/>
      <c r="AG96" s="1631">
        <f t="shared" si="29"/>
        <v>0</v>
      </c>
      <c r="AH96" s="1185"/>
      <c r="AI96" s="1185" t="e">
        <f t="shared" si="30"/>
        <v>#VALUE!</v>
      </c>
      <c r="AJ96" s="1547"/>
      <c r="AK96" s="1551"/>
      <c r="AL96" s="1551"/>
      <c r="AM96" s="1549"/>
      <c r="AN96" s="1549"/>
      <c r="AO96" s="1550"/>
      <c r="AP96" s="1549"/>
      <c r="AQ96" s="1548"/>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28">
        <f t="shared" si="20"/>
        <v>0</v>
      </c>
      <c r="B97" s="7957" t="str">
        <f t="shared" si="21"/>
        <v/>
      </c>
      <c r="C97" s="7958"/>
      <c r="D97" s="7958"/>
      <c r="E97" s="7958"/>
      <c r="F97" s="7958"/>
      <c r="G97" s="7958"/>
      <c r="H97" s="7958"/>
      <c r="I97" s="7959"/>
      <c r="J97" s="7960" t="str">
        <f t="shared" si="22"/>
        <v/>
      </c>
      <c r="K97" s="7961"/>
      <c r="L97" s="7961"/>
      <c r="M97" s="7960" t="str">
        <f t="shared" si="23"/>
        <v/>
      </c>
      <c r="N97" s="7961"/>
      <c r="O97" s="7961"/>
      <c r="P97" s="7962"/>
      <c r="Q97" s="5988" t="str">
        <f t="shared" si="24"/>
        <v/>
      </c>
      <c r="R97" s="7942"/>
      <c r="S97" s="7942"/>
      <c r="T97" s="7943"/>
      <c r="U97" s="5988" t="str">
        <f t="shared" si="25"/>
        <v/>
      </c>
      <c r="V97" s="7942"/>
      <c r="W97" s="7942"/>
      <c r="X97" s="7943"/>
      <c r="Y97" s="7924" t="str">
        <f t="shared" si="26"/>
        <v/>
      </c>
      <c r="Z97" s="5495"/>
      <c r="AA97" s="7924" t="str">
        <f t="shared" si="27"/>
        <v/>
      </c>
      <c r="AB97" s="5495"/>
      <c r="AC97" s="7925" t="str">
        <f t="shared" si="28"/>
        <v/>
      </c>
      <c r="AD97" s="7926"/>
      <c r="AE97" s="7926"/>
      <c r="AF97" s="7926"/>
      <c r="AG97" s="1631">
        <f t="shared" si="29"/>
        <v>0</v>
      </c>
      <c r="AH97" s="1185"/>
      <c r="AI97" s="1185" t="e">
        <f t="shared" si="30"/>
        <v>#VALUE!</v>
      </c>
      <c r="AJ97" s="1547"/>
      <c r="AK97" s="1551"/>
      <c r="AL97" s="1551"/>
      <c r="AM97" s="1549"/>
      <c r="AN97" s="1549"/>
      <c r="AO97" s="1550"/>
      <c r="AP97" s="1549"/>
      <c r="AQ97" s="1548"/>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28">
        <f t="shared" si="20"/>
        <v>0</v>
      </c>
      <c r="B98" s="7957" t="str">
        <f t="shared" si="21"/>
        <v/>
      </c>
      <c r="C98" s="7958"/>
      <c r="D98" s="7958"/>
      <c r="E98" s="7958"/>
      <c r="F98" s="7958"/>
      <c r="G98" s="7958"/>
      <c r="H98" s="7958"/>
      <c r="I98" s="7959"/>
      <c r="J98" s="7960" t="str">
        <f t="shared" si="22"/>
        <v/>
      </c>
      <c r="K98" s="7961"/>
      <c r="L98" s="7961"/>
      <c r="M98" s="7960" t="str">
        <f t="shared" si="23"/>
        <v/>
      </c>
      <c r="N98" s="7961"/>
      <c r="O98" s="7961"/>
      <c r="P98" s="7962"/>
      <c r="Q98" s="5988" t="str">
        <f t="shared" si="24"/>
        <v/>
      </c>
      <c r="R98" s="7942"/>
      <c r="S98" s="7942"/>
      <c r="T98" s="7943"/>
      <c r="U98" s="5988" t="str">
        <f t="shared" si="25"/>
        <v/>
      </c>
      <c r="V98" s="7942"/>
      <c r="W98" s="7942"/>
      <c r="X98" s="7943"/>
      <c r="Y98" s="7924" t="str">
        <f t="shared" si="26"/>
        <v/>
      </c>
      <c r="Z98" s="5495"/>
      <c r="AA98" s="7924" t="str">
        <f t="shared" si="27"/>
        <v/>
      </c>
      <c r="AB98" s="5495"/>
      <c r="AC98" s="7925" t="str">
        <f t="shared" si="28"/>
        <v/>
      </c>
      <c r="AD98" s="7926"/>
      <c r="AE98" s="7926"/>
      <c r="AF98" s="7926"/>
      <c r="AG98" s="1631">
        <f t="shared" si="29"/>
        <v>0</v>
      </c>
      <c r="AH98" s="1185"/>
      <c r="AI98" s="1185" t="e">
        <f t="shared" si="30"/>
        <v>#VALUE!</v>
      </c>
      <c r="AJ98" s="1547"/>
      <c r="AK98" s="1551"/>
      <c r="AL98" s="1551"/>
      <c r="AM98" s="1549"/>
      <c r="AN98" s="1549"/>
      <c r="AO98" s="1550"/>
      <c r="AP98" s="1549"/>
      <c r="AQ98" s="1548"/>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28">
        <f t="shared" si="20"/>
        <v>0</v>
      </c>
      <c r="B99" s="7957" t="str">
        <f t="shared" si="21"/>
        <v/>
      </c>
      <c r="C99" s="7958"/>
      <c r="D99" s="7958"/>
      <c r="E99" s="7958"/>
      <c r="F99" s="7958"/>
      <c r="G99" s="7958"/>
      <c r="H99" s="7958"/>
      <c r="I99" s="7959"/>
      <c r="J99" s="7960" t="str">
        <f t="shared" si="22"/>
        <v/>
      </c>
      <c r="K99" s="7961"/>
      <c r="L99" s="7961"/>
      <c r="M99" s="7960" t="str">
        <f t="shared" si="23"/>
        <v/>
      </c>
      <c r="N99" s="7961"/>
      <c r="O99" s="7961"/>
      <c r="P99" s="7962"/>
      <c r="Q99" s="5988" t="str">
        <f t="shared" si="24"/>
        <v/>
      </c>
      <c r="R99" s="7942"/>
      <c r="S99" s="7942"/>
      <c r="T99" s="7943"/>
      <c r="U99" s="5988" t="str">
        <f t="shared" si="25"/>
        <v/>
      </c>
      <c r="V99" s="7942"/>
      <c r="W99" s="7942"/>
      <c r="X99" s="7943"/>
      <c r="Y99" s="7924" t="str">
        <f t="shared" si="26"/>
        <v/>
      </c>
      <c r="Z99" s="5495"/>
      <c r="AA99" s="7924" t="str">
        <f t="shared" si="27"/>
        <v/>
      </c>
      <c r="AB99" s="5495"/>
      <c r="AC99" s="7925" t="str">
        <f t="shared" si="28"/>
        <v/>
      </c>
      <c r="AD99" s="7926"/>
      <c r="AE99" s="7926"/>
      <c r="AF99" s="7926"/>
      <c r="AG99" s="1631">
        <f t="shared" si="29"/>
        <v>0</v>
      </c>
      <c r="AH99" s="1185"/>
      <c r="AI99" s="1185" t="e">
        <f t="shared" si="30"/>
        <v>#VALUE!</v>
      </c>
      <c r="AJ99" s="1547"/>
      <c r="AK99" s="1551"/>
      <c r="AL99" s="1551"/>
      <c r="AM99" s="1549"/>
      <c r="AN99" s="1549"/>
      <c r="AO99" s="1550"/>
      <c r="AP99" s="1549"/>
      <c r="AQ99" s="1548"/>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28">
        <f t="shared" si="20"/>
        <v>0</v>
      </c>
      <c r="B100" s="7957" t="str">
        <f t="shared" si="21"/>
        <v/>
      </c>
      <c r="C100" s="7958"/>
      <c r="D100" s="7958"/>
      <c r="E100" s="7958"/>
      <c r="F100" s="7958"/>
      <c r="G100" s="7958"/>
      <c r="H100" s="7958"/>
      <c r="I100" s="7959"/>
      <c r="J100" s="7960" t="str">
        <f t="shared" si="22"/>
        <v/>
      </c>
      <c r="K100" s="7961"/>
      <c r="L100" s="7961"/>
      <c r="M100" s="7960" t="str">
        <f t="shared" si="23"/>
        <v/>
      </c>
      <c r="N100" s="7961"/>
      <c r="O100" s="7961"/>
      <c r="P100" s="7962"/>
      <c r="Q100" s="5988" t="str">
        <f t="shared" si="24"/>
        <v/>
      </c>
      <c r="R100" s="7942"/>
      <c r="S100" s="7942"/>
      <c r="T100" s="7943"/>
      <c r="U100" s="5988" t="str">
        <f t="shared" si="25"/>
        <v/>
      </c>
      <c r="V100" s="7942"/>
      <c r="W100" s="7942"/>
      <c r="X100" s="7943"/>
      <c r="Y100" s="7924" t="str">
        <f t="shared" si="26"/>
        <v/>
      </c>
      <c r="Z100" s="5495"/>
      <c r="AA100" s="7924" t="str">
        <f t="shared" si="27"/>
        <v/>
      </c>
      <c r="AB100" s="5495"/>
      <c r="AC100" s="7925" t="str">
        <f t="shared" si="28"/>
        <v/>
      </c>
      <c r="AD100" s="7926"/>
      <c r="AE100" s="7926"/>
      <c r="AF100" s="7926"/>
      <c r="AG100" s="1631">
        <f t="shared" si="29"/>
        <v>0</v>
      </c>
      <c r="AH100" s="1185"/>
      <c r="AI100" s="1185" t="e">
        <f t="shared" si="30"/>
        <v>#VALUE!</v>
      </c>
      <c r="AJ100" s="1547"/>
      <c r="AK100" s="1551"/>
      <c r="AL100" s="1551"/>
      <c r="AM100" s="1549"/>
      <c r="AN100" s="1549"/>
      <c r="AO100" s="1550"/>
      <c r="AP100" s="1549"/>
      <c r="AQ100" s="1548"/>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28">
        <f t="shared" si="20"/>
        <v>0</v>
      </c>
      <c r="B101" s="7957" t="str">
        <f t="shared" si="21"/>
        <v/>
      </c>
      <c r="C101" s="7958"/>
      <c r="D101" s="7958"/>
      <c r="E101" s="7958"/>
      <c r="F101" s="7958"/>
      <c r="G101" s="7958"/>
      <c r="H101" s="7958"/>
      <c r="I101" s="7959"/>
      <c r="J101" s="7960" t="str">
        <f t="shared" si="22"/>
        <v/>
      </c>
      <c r="K101" s="7961"/>
      <c r="L101" s="7961"/>
      <c r="M101" s="7960" t="str">
        <f t="shared" si="23"/>
        <v/>
      </c>
      <c r="N101" s="7961"/>
      <c r="O101" s="7961"/>
      <c r="P101" s="7962"/>
      <c r="Q101" s="5988" t="str">
        <f t="shared" si="24"/>
        <v/>
      </c>
      <c r="R101" s="7942"/>
      <c r="S101" s="7942"/>
      <c r="T101" s="7943"/>
      <c r="U101" s="5988" t="str">
        <f t="shared" si="25"/>
        <v/>
      </c>
      <c r="V101" s="7942"/>
      <c r="W101" s="7942"/>
      <c r="X101" s="7943"/>
      <c r="Y101" s="7924" t="str">
        <f t="shared" si="26"/>
        <v/>
      </c>
      <c r="Z101" s="5495"/>
      <c r="AA101" s="7924" t="str">
        <f t="shared" si="27"/>
        <v/>
      </c>
      <c r="AB101" s="5495"/>
      <c r="AC101" s="7925" t="str">
        <f t="shared" si="28"/>
        <v/>
      </c>
      <c r="AD101" s="7926"/>
      <c r="AE101" s="7926"/>
      <c r="AF101" s="7926"/>
      <c r="AG101" s="1631">
        <f t="shared" si="29"/>
        <v>0</v>
      </c>
      <c r="AH101" s="1185"/>
      <c r="AI101" s="1185" t="e">
        <f t="shared" si="30"/>
        <v>#VALUE!</v>
      </c>
      <c r="AJ101" s="1547"/>
      <c r="AK101" s="1551"/>
      <c r="AL101" s="1551"/>
      <c r="AM101" s="1549"/>
      <c r="AN101" s="1549"/>
      <c r="AO101" s="1550"/>
      <c r="AP101" s="1549"/>
      <c r="AQ101" s="1548"/>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28">
        <f t="shared" si="20"/>
        <v>0</v>
      </c>
      <c r="B102" s="7957" t="str">
        <f t="shared" si="21"/>
        <v/>
      </c>
      <c r="C102" s="7958"/>
      <c r="D102" s="7958"/>
      <c r="E102" s="7958"/>
      <c r="F102" s="7958"/>
      <c r="G102" s="7958"/>
      <c r="H102" s="7958"/>
      <c r="I102" s="7959"/>
      <c r="J102" s="7960" t="str">
        <f t="shared" si="22"/>
        <v/>
      </c>
      <c r="K102" s="7961"/>
      <c r="L102" s="7961"/>
      <c r="M102" s="7960" t="str">
        <f t="shared" si="23"/>
        <v/>
      </c>
      <c r="N102" s="7961"/>
      <c r="O102" s="7961"/>
      <c r="P102" s="7962"/>
      <c r="Q102" s="5988" t="str">
        <f t="shared" si="24"/>
        <v/>
      </c>
      <c r="R102" s="7942"/>
      <c r="S102" s="7942"/>
      <c r="T102" s="7943"/>
      <c r="U102" s="5988" t="str">
        <f t="shared" si="25"/>
        <v/>
      </c>
      <c r="V102" s="7942"/>
      <c r="W102" s="7942"/>
      <c r="X102" s="7943"/>
      <c r="Y102" s="7924" t="str">
        <f t="shared" si="26"/>
        <v/>
      </c>
      <c r="Z102" s="5495"/>
      <c r="AA102" s="7924" t="str">
        <f t="shared" si="27"/>
        <v/>
      </c>
      <c r="AB102" s="5495"/>
      <c r="AC102" s="7925" t="str">
        <f t="shared" si="28"/>
        <v/>
      </c>
      <c r="AD102" s="7926"/>
      <c r="AE102" s="7926"/>
      <c r="AF102" s="7926"/>
      <c r="AG102" s="1631">
        <f t="shared" si="29"/>
        <v>0</v>
      </c>
      <c r="AH102" s="1185"/>
      <c r="AI102" s="1185" t="e">
        <f t="shared" si="30"/>
        <v>#VALUE!</v>
      </c>
      <c r="AJ102" s="1547"/>
      <c r="AK102" s="1551"/>
      <c r="AL102" s="1551"/>
      <c r="AM102" s="1549"/>
      <c r="AN102" s="1549"/>
      <c r="AO102" s="1550"/>
      <c r="AP102" s="1549"/>
      <c r="AQ102" s="1548"/>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28">
        <f t="shared" si="20"/>
        <v>0</v>
      </c>
      <c r="B103" s="7957" t="str">
        <f t="shared" si="21"/>
        <v/>
      </c>
      <c r="C103" s="7958"/>
      <c r="D103" s="7958"/>
      <c r="E103" s="7958"/>
      <c r="F103" s="7958"/>
      <c r="G103" s="7958"/>
      <c r="H103" s="7958"/>
      <c r="I103" s="7959"/>
      <c r="J103" s="7960" t="str">
        <f t="shared" si="22"/>
        <v/>
      </c>
      <c r="K103" s="7961"/>
      <c r="L103" s="7961"/>
      <c r="M103" s="7960" t="str">
        <f t="shared" si="23"/>
        <v/>
      </c>
      <c r="N103" s="7961"/>
      <c r="O103" s="7961"/>
      <c r="P103" s="7962"/>
      <c r="Q103" s="5988" t="str">
        <f t="shared" si="24"/>
        <v/>
      </c>
      <c r="R103" s="7942"/>
      <c r="S103" s="7942"/>
      <c r="T103" s="7943"/>
      <c r="U103" s="5988" t="str">
        <f t="shared" si="25"/>
        <v/>
      </c>
      <c r="V103" s="7942"/>
      <c r="W103" s="7942"/>
      <c r="X103" s="7943"/>
      <c r="Y103" s="7924" t="str">
        <f t="shared" si="26"/>
        <v/>
      </c>
      <c r="Z103" s="5495"/>
      <c r="AA103" s="7924" t="str">
        <f t="shared" si="27"/>
        <v/>
      </c>
      <c r="AB103" s="5495"/>
      <c r="AC103" s="7925" t="str">
        <f t="shared" si="28"/>
        <v/>
      </c>
      <c r="AD103" s="7926"/>
      <c r="AE103" s="7926"/>
      <c r="AF103" s="7926"/>
      <c r="AG103" s="1631">
        <f t="shared" si="29"/>
        <v>0</v>
      </c>
      <c r="AH103" s="1185"/>
      <c r="AI103" s="1185" t="e">
        <f t="shared" si="30"/>
        <v>#VALUE!</v>
      </c>
      <c r="AJ103" s="1547"/>
      <c r="AK103" s="1551"/>
      <c r="AL103" s="1551"/>
      <c r="AM103" s="1549"/>
      <c r="AN103" s="1549"/>
      <c r="AO103" s="1550"/>
      <c r="AP103" s="1549"/>
      <c r="AQ103" s="1548"/>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28">
        <f t="shared" si="20"/>
        <v>0</v>
      </c>
      <c r="B104" s="7957" t="str">
        <f t="shared" si="21"/>
        <v/>
      </c>
      <c r="C104" s="7958"/>
      <c r="D104" s="7958"/>
      <c r="E104" s="7958"/>
      <c r="F104" s="7958"/>
      <c r="G104" s="7958"/>
      <c r="H104" s="7958"/>
      <c r="I104" s="7959"/>
      <c r="J104" s="7960" t="str">
        <f t="shared" si="22"/>
        <v/>
      </c>
      <c r="K104" s="7961"/>
      <c r="L104" s="7961"/>
      <c r="M104" s="7960" t="str">
        <f t="shared" si="23"/>
        <v/>
      </c>
      <c r="N104" s="7961"/>
      <c r="O104" s="7961"/>
      <c r="P104" s="7962"/>
      <c r="Q104" s="5988" t="str">
        <f t="shared" si="24"/>
        <v/>
      </c>
      <c r="R104" s="7942"/>
      <c r="S104" s="7942"/>
      <c r="T104" s="7943"/>
      <c r="U104" s="5988" t="str">
        <f t="shared" si="25"/>
        <v/>
      </c>
      <c r="V104" s="7942"/>
      <c r="W104" s="7942"/>
      <c r="X104" s="7943"/>
      <c r="Y104" s="7924" t="str">
        <f t="shared" si="26"/>
        <v/>
      </c>
      <c r="Z104" s="5495"/>
      <c r="AA104" s="7924" t="str">
        <f t="shared" si="27"/>
        <v/>
      </c>
      <c r="AB104" s="5495"/>
      <c r="AC104" s="7925" t="str">
        <f t="shared" si="28"/>
        <v/>
      </c>
      <c r="AD104" s="7926"/>
      <c r="AE104" s="7926"/>
      <c r="AF104" s="7926"/>
      <c r="AG104" s="1631">
        <f t="shared" si="29"/>
        <v>0</v>
      </c>
      <c r="AH104" s="1185"/>
      <c r="AI104" s="1185" t="e">
        <f t="shared" si="30"/>
        <v>#VALUE!</v>
      </c>
      <c r="AJ104" s="1547"/>
      <c r="AK104" s="1551"/>
      <c r="AL104" s="1551"/>
      <c r="AM104" s="1549"/>
      <c r="AN104" s="1549"/>
      <c r="AO104" s="1550"/>
      <c r="AP104" s="1549"/>
      <c r="AQ104" s="1548"/>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28">
        <f t="shared" si="20"/>
        <v>0</v>
      </c>
      <c r="B105" s="7957" t="str">
        <f t="shared" si="21"/>
        <v/>
      </c>
      <c r="C105" s="7958"/>
      <c r="D105" s="7958"/>
      <c r="E105" s="7958"/>
      <c r="F105" s="7958"/>
      <c r="G105" s="7958"/>
      <c r="H105" s="7958"/>
      <c r="I105" s="7959"/>
      <c r="J105" s="7960" t="str">
        <f t="shared" si="22"/>
        <v/>
      </c>
      <c r="K105" s="7961"/>
      <c r="L105" s="7961"/>
      <c r="M105" s="7960" t="str">
        <f t="shared" si="23"/>
        <v/>
      </c>
      <c r="N105" s="7961"/>
      <c r="O105" s="7961"/>
      <c r="P105" s="7962"/>
      <c r="Q105" s="5988" t="str">
        <f t="shared" si="24"/>
        <v/>
      </c>
      <c r="R105" s="7942"/>
      <c r="S105" s="7942"/>
      <c r="T105" s="7943"/>
      <c r="U105" s="5988" t="str">
        <f t="shared" si="25"/>
        <v/>
      </c>
      <c r="V105" s="7942"/>
      <c r="W105" s="7942"/>
      <c r="X105" s="7943"/>
      <c r="Y105" s="7924" t="str">
        <f t="shared" si="26"/>
        <v/>
      </c>
      <c r="Z105" s="5495"/>
      <c r="AA105" s="7924" t="str">
        <f t="shared" si="27"/>
        <v/>
      </c>
      <c r="AB105" s="5495"/>
      <c r="AC105" s="7925" t="str">
        <f t="shared" si="28"/>
        <v/>
      </c>
      <c r="AD105" s="7926"/>
      <c r="AE105" s="7926"/>
      <c r="AF105" s="7926"/>
      <c r="AG105" s="1631">
        <f t="shared" si="29"/>
        <v>0</v>
      </c>
      <c r="AH105" s="1185"/>
      <c r="AI105" s="1185" t="e">
        <f t="shared" si="30"/>
        <v>#VALUE!</v>
      </c>
      <c r="AJ105" s="1547"/>
      <c r="AK105" s="1551"/>
      <c r="AL105" s="1551"/>
      <c r="AM105" s="1549"/>
      <c r="AN105" s="1549"/>
      <c r="AO105" s="1550"/>
      <c r="AP105" s="1549"/>
      <c r="AQ105" s="1548"/>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28">
        <f t="shared" si="20"/>
        <v>0</v>
      </c>
      <c r="B106" s="7957" t="str">
        <f t="shared" si="21"/>
        <v/>
      </c>
      <c r="C106" s="7958"/>
      <c r="D106" s="7958"/>
      <c r="E106" s="7958"/>
      <c r="F106" s="7958"/>
      <c r="G106" s="7958"/>
      <c r="H106" s="7958"/>
      <c r="I106" s="7959"/>
      <c r="J106" s="7960" t="str">
        <f t="shared" si="22"/>
        <v/>
      </c>
      <c r="K106" s="7961"/>
      <c r="L106" s="7961"/>
      <c r="M106" s="7960" t="str">
        <f t="shared" si="23"/>
        <v/>
      </c>
      <c r="N106" s="7961"/>
      <c r="O106" s="7961"/>
      <c r="P106" s="7962"/>
      <c r="Q106" s="5988" t="str">
        <f t="shared" si="24"/>
        <v/>
      </c>
      <c r="R106" s="7942"/>
      <c r="S106" s="7942"/>
      <c r="T106" s="7943"/>
      <c r="U106" s="5988" t="str">
        <f t="shared" si="25"/>
        <v/>
      </c>
      <c r="V106" s="7942"/>
      <c r="W106" s="7942"/>
      <c r="X106" s="7943"/>
      <c r="Y106" s="7924" t="str">
        <f t="shared" si="26"/>
        <v/>
      </c>
      <c r="Z106" s="5495"/>
      <c r="AA106" s="7924" t="str">
        <f t="shared" si="27"/>
        <v/>
      </c>
      <c r="AB106" s="5495"/>
      <c r="AC106" s="7925" t="str">
        <f t="shared" si="28"/>
        <v/>
      </c>
      <c r="AD106" s="7926"/>
      <c r="AE106" s="7926"/>
      <c r="AF106" s="7926"/>
      <c r="AG106" s="1631">
        <f t="shared" si="29"/>
        <v>0</v>
      </c>
      <c r="AH106" s="1185"/>
      <c r="AI106" s="1185" t="e">
        <f t="shared" si="30"/>
        <v>#VALUE!</v>
      </c>
      <c r="AJ106" s="1547"/>
      <c r="AK106" s="1551"/>
      <c r="AL106" s="1551"/>
      <c r="AM106" s="1549"/>
      <c r="AN106" s="1549"/>
      <c r="AO106" s="1550"/>
      <c r="AP106" s="1549"/>
      <c r="AQ106" s="1548"/>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28">
        <f t="shared" si="20"/>
        <v>0</v>
      </c>
      <c r="B107" s="7957" t="str">
        <f t="shared" si="21"/>
        <v/>
      </c>
      <c r="C107" s="7958"/>
      <c r="D107" s="7958"/>
      <c r="E107" s="7958"/>
      <c r="F107" s="7958"/>
      <c r="G107" s="7958"/>
      <c r="H107" s="7958"/>
      <c r="I107" s="7959"/>
      <c r="J107" s="7960" t="str">
        <f t="shared" si="22"/>
        <v/>
      </c>
      <c r="K107" s="7961"/>
      <c r="L107" s="7961"/>
      <c r="M107" s="7960" t="str">
        <f t="shared" si="23"/>
        <v/>
      </c>
      <c r="N107" s="7961"/>
      <c r="O107" s="7961"/>
      <c r="P107" s="7962"/>
      <c r="Q107" s="5988" t="str">
        <f t="shared" si="24"/>
        <v/>
      </c>
      <c r="R107" s="7942"/>
      <c r="S107" s="7942"/>
      <c r="T107" s="7943"/>
      <c r="U107" s="5988" t="str">
        <f t="shared" si="25"/>
        <v/>
      </c>
      <c r="V107" s="7942"/>
      <c r="W107" s="7942"/>
      <c r="X107" s="7943"/>
      <c r="Y107" s="7924" t="str">
        <f t="shared" si="26"/>
        <v/>
      </c>
      <c r="Z107" s="5495"/>
      <c r="AA107" s="7924" t="str">
        <f t="shared" si="27"/>
        <v/>
      </c>
      <c r="AB107" s="5495"/>
      <c r="AC107" s="7925" t="str">
        <f t="shared" si="28"/>
        <v/>
      </c>
      <c r="AD107" s="7926"/>
      <c r="AE107" s="7926"/>
      <c r="AF107" s="7926"/>
      <c r="AG107" s="1631">
        <f t="shared" si="29"/>
        <v>0</v>
      </c>
      <c r="AH107" s="1185"/>
      <c r="AI107" s="1185" t="e">
        <f t="shared" si="30"/>
        <v>#VALUE!</v>
      </c>
      <c r="AJ107" s="1547"/>
      <c r="AK107" s="1551"/>
      <c r="AL107" s="1551"/>
      <c r="AM107" s="1549"/>
      <c r="AN107" s="1549"/>
      <c r="AO107" s="1550"/>
      <c r="AP107" s="1549"/>
      <c r="AQ107" s="1548"/>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28">
        <f t="shared" si="20"/>
        <v>0</v>
      </c>
      <c r="B108" s="7957" t="str">
        <f t="shared" si="21"/>
        <v/>
      </c>
      <c r="C108" s="7958"/>
      <c r="D108" s="7958"/>
      <c r="E108" s="7958"/>
      <c r="F108" s="7958"/>
      <c r="G108" s="7958"/>
      <c r="H108" s="7958"/>
      <c r="I108" s="7959"/>
      <c r="J108" s="7960" t="str">
        <f t="shared" si="22"/>
        <v/>
      </c>
      <c r="K108" s="7961"/>
      <c r="L108" s="7961"/>
      <c r="M108" s="7960" t="str">
        <f t="shared" si="23"/>
        <v/>
      </c>
      <c r="N108" s="7961"/>
      <c r="O108" s="7961"/>
      <c r="P108" s="7962"/>
      <c r="Q108" s="5988" t="str">
        <f t="shared" si="24"/>
        <v/>
      </c>
      <c r="R108" s="7942"/>
      <c r="S108" s="7942"/>
      <c r="T108" s="7943"/>
      <c r="U108" s="5988" t="str">
        <f t="shared" si="25"/>
        <v/>
      </c>
      <c r="V108" s="7942"/>
      <c r="W108" s="7942"/>
      <c r="X108" s="7943"/>
      <c r="Y108" s="7924" t="str">
        <f t="shared" si="26"/>
        <v/>
      </c>
      <c r="Z108" s="5495"/>
      <c r="AA108" s="7924" t="str">
        <f t="shared" si="27"/>
        <v/>
      </c>
      <c r="AB108" s="5495"/>
      <c r="AC108" s="7925" t="str">
        <f t="shared" si="28"/>
        <v/>
      </c>
      <c r="AD108" s="7926"/>
      <c r="AE108" s="7926"/>
      <c r="AF108" s="7926"/>
      <c r="AG108" s="1631">
        <f t="shared" si="29"/>
        <v>0</v>
      </c>
      <c r="AH108" s="1185"/>
      <c r="AI108" s="1185" t="e">
        <f t="shared" si="30"/>
        <v>#VALUE!</v>
      </c>
      <c r="AJ108" s="1547"/>
      <c r="AK108" s="1551"/>
      <c r="AL108" s="1551"/>
      <c r="AM108" s="1549"/>
      <c r="AN108" s="1549"/>
      <c r="AO108" s="1550"/>
      <c r="AP108" s="1549"/>
      <c r="AQ108" s="1548"/>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28">
        <f t="shared" si="20"/>
        <v>0</v>
      </c>
      <c r="B109" s="7957" t="str">
        <f t="shared" si="21"/>
        <v/>
      </c>
      <c r="C109" s="7958"/>
      <c r="D109" s="7958"/>
      <c r="E109" s="7958"/>
      <c r="F109" s="7958"/>
      <c r="G109" s="7958"/>
      <c r="H109" s="7958"/>
      <c r="I109" s="7959"/>
      <c r="J109" s="7960" t="str">
        <f t="shared" si="22"/>
        <v/>
      </c>
      <c r="K109" s="7961"/>
      <c r="L109" s="7961"/>
      <c r="M109" s="7960" t="str">
        <f t="shared" si="23"/>
        <v/>
      </c>
      <c r="N109" s="7961"/>
      <c r="O109" s="7961"/>
      <c r="P109" s="7962"/>
      <c r="Q109" s="5988" t="str">
        <f t="shared" si="24"/>
        <v/>
      </c>
      <c r="R109" s="7942"/>
      <c r="S109" s="7942"/>
      <c r="T109" s="7943"/>
      <c r="U109" s="5988" t="str">
        <f t="shared" si="25"/>
        <v/>
      </c>
      <c r="V109" s="7942"/>
      <c r="W109" s="7942"/>
      <c r="X109" s="7943"/>
      <c r="Y109" s="7924" t="str">
        <f t="shared" si="26"/>
        <v/>
      </c>
      <c r="Z109" s="5495"/>
      <c r="AA109" s="7924" t="str">
        <f t="shared" si="27"/>
        <v/>
      </c>
      <c r="AB109" s="5495"/>
      <c r="AC109" s="7925" t="str">
        <f t="shared" si="28"/>
        <v/>
      </c>
      <c r="AD109" s="7926"/>
      <c r="AE109" s="7926"/>
      <c r="AF109" s="7926"/>
      <c r="AG109" s="1631">
        <f t="shared" si="29"/>
        <v>0</v>
      </c>
      <c r="AH109" s="1185"/>
      <c r="AI109" s="1185" t="e">
        <f t="shared" si="30"/>
        <v>#VALUE!</v>
      </c>
      <c r="AJ109" s="1547"/>
      <c r="AK109" s="1551"/>
      <c r="AL109" s="1551"/>
      <c r="AM109" s="1549"/>
      <c r="AN109" s="1549"/>
      <c r="AO109" s="1550"/>
      <c r="AP109" s="1549"/>
      <c r="AQ109" s="1548"/>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28">
        <f t="shared" si="20"/>
        <v>0</v>
      </c>
      <c r="B110" s="7957" t="str">
        <f t="shared" si="21"/>
        <v/>
      </c>
      <c r="C110" s="7958"/>
      <c r="D110" s="7958"/>
      <c r="E110" s="7958"/>
      <c r="F110" s="7958"/>
      <c r="G110" s="7958"/>
      <c r="H110" s="7958"/>
      <c r="I110" s="7959"/>
      <c r="J110" s="7960" t="str">
        <f t="shared" si="22"/>
        <v/>
      </c>
      <c r="K110" s="7961"/>
      <c r="L110" s="7961"/>
      <c r="M110" s="7960" t="str">
        <f t="shared" si="23"/>
        <v/>
      </c>
      <c r="N110" s="7961"/>
      <c r="O110" s="7961"/>
      <c r="P110" s="7962"/>
      <c r="Q110" s="5988" t="str">
        <f t="shared" si="24"/>
        <v/>
      </c>
      <c r="R110" s="7942"/>
      <c r="S110" s="7942"/>
      <c r="T110" s="7943"/>
      <c r="U110" s="5988" t="str">
        <f t="shared" si="25"/>
        <v/>
      </c>
      <c r="V110" s="7942"/>
      <c r="W110" s="7942"/>
      <c r="X110" s="7943"/>
      <c r="Y110" s="7924" t="str">
        <f t="shared" si="26"/>
        <v/>
      </c>
      <c r="Z110" s="5495"/>
      <c r="AA110" s="7924" t="str">
        <f t="shared" si="27"/>
        <v/>
      </c>
      <c r="AB110" s="5495"/>
      <c r="AC110" s="7925" t="str">
        <f t="shared" si="28"/>
        <v/>
      </c>
      <c r="AD110" s="7926"/>
      <c r="AE110" s="7926"/>
      <c r="AF110" s="7926"/>
      <c r="AG110" s="1631">
        <f t="shared" si="29"/>
        <v>0</v>
      </c>
      <c r="AH110" s="1185"/>
      <c r="AI110" s="1185" t="e">
        <f t="shared" si="30"/>
        <v>#VALUE!</v>
      </c>
      <c r="AJ110" s="1547"/>
      <c r="AK110" s="1551"/>
      <c r="AL110" s="1551"/>
      <c r="AM110" s="1549"/>
      <c r="AN110" s="1549"/>
      <c r="AO110" s="1550"/>
      <c r="AP110" s="1549"/>
      <c r="AQ110" s="1548"/>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28">
        <f t="shared" si="20"/>
        <v>0</v>
      </c>
      <c r="B111" s="7957" t="str">
        <f t="shared" si="21"/>
        <v/>
      </c>
      <c r="C111" s="7958"/>
      <c r="D111" s="7958"/>
      <c r="E111" s="7958"/>
      <c r="F111" s="7958"/>
      <c r="G111" s="7958"/>
      <c r="H111" s="7958"/>
      <c r="I111" s="7959"/>
      <c r="J111" s="7960" t="str">
        <f t="shared" si="22"/>
        <v/>
      </c>
      <c r="K111" s="7961"/>
      <c r="L111" s="7961"/>
      <c r="M111" s="7960" t="str">
        <f t="shared" si="23"/>
        <v/>
      </c>
      <c r="N111" s="7961"/>
      <c r="O111" s="7961"/>
      <c r="P111" s="7962"/>
      <c r="Q111" s="5988" t="str">
        <f t="shared" si="24"/>
        <v/>
      </c>
      <c r="R111" s="7942"/>
      <c r="S111" s="7942"/>
      <c r="T111" s="7943"/>
      <c r="U111" s="5988" t="str">
        <f t="shared" si="25"/>
        <v/>
      </c>
      <c r="V111" s="7942"/>
      <c r="W111" s="7942"/>
      <c r="X111" s="7943"/>
      <c r="Y111" s="7924" t="str">
        <f t="shared" si="26"/>
        <v/>
      </c>
      <c r="Z111" s="5495"/>
      <c r="AA111" s="7924" t="str">
        <f t="shared" si="27"/>
        <v/>
      </c>
      <c r="AB111" s="5495"/>
      <c r="AC111" s="7925" t="str">
        <f t="shared" si="28"/>
        <v/>
      </c>
      <c r="AD111" s="7926"/>
      <c r="AE111" s="7926"/>
      <c r="AF111" s="7926"/>
      <c r="AG111" s="1631">
        <f t="shared" si="29"/>
        <v>0</v>
      </c>
      <c r="AH111" s="1185"/>
      <c r="AI111" s="1185" t="e">
        <f t="shared" si="30"/>
        <v>#VALUE!</v>
      </c>
      <c r="AJ111" s="1547"/>
      <c r="AK111" s="1551"/>
      <c r="AL111" s="1551"/>
      <c r="AM111" s="1549"/>
      <c r="AN111" s="1549"/>
      <c r="AO111" s="1550"/>
      <c r="AP111" s="1549"/>
      <c r="AQ111" s="1548"/>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28">
        <f t="shared" si="20"/>
        <v>0</v>
      </c>
      <c r="B112" s="7957" t="str">
        <f t="shared" si="21"/>
        <v/>
      </c>
      <c r="C112" s="7958"/>
      <c r="D112" s="7958"/>
      <c r="E112" s="7958"/>
      <c r="F112" s="7958"/>
      <c r="G112" s="7958"/>
      <c r="H112" s="7958"/>
      <c r="I112" s="7959"/>
      <c r="J112" s="7960" t="str">
        <f t="shared" si="22"/>
        <v/>
      </c>
      <c r="K112" s="7961"/>
      <c r="L112" s="7961"/>
      <c r="M112" s="7960" t="str">
        <f t="shared" si="23"/>
        <v/>
      </c>
      <c r="N112" s="7961"/>
      <c r="O112" s="7961"/>
      <c r="P112" s="7962"/>
      <c r="Q112" s="5988" t="str">
        <f t="shared" si="24"/>
        <v/>
      </c>
      <c r="R112" s="7942"/>
      <c r="S112" s="7942"/>
      <c r="T112" s="7943"/>
      <c r="U112" s="5988" t="str">
        <f t="shared" si="25"/>
        <v/>
      </c>
      <c r="V112" s="7942"/>
      <c r="W112" s="7942"/>
      <c r="X112" s="7943"/>
      <c r="Y112" s="7924" t="str">
        <f t="shared" si="26"/>
        <v/>
      </c>
      <c r="Z112" s="5495"/>
      <c r="AA112" s="7924" t="str">
        <f t="shared" si="27"/>
        <v/>
      </c>
      <c r="AB112" s="5495"/>
      <c r="AC112" s="7925" t="str">
        <f t="shared" si="28"/>
        <v/>
      </c>
      <c r="AD112" s="7926"/>
      <c r="AE112" s="7926"/>
      <c r="AF112" s="7926"/>
      <c r="AG112" s="1631">
        <f t="shared" si="29"/>
        <v>0</v>
      </c>
      <c r="AH112" s="1185"/>
      <c r="AI112" s="1185" t="e">
        <f t="shared" si="30"/>
        <v>#VALUE!</v>
      </c>
      <c r="AJ112" s="1547"/>
      <c r="AK112" s="1551"/>
      <c r="AL112" s="1551"/>
      <c r="AM112" s="1549"/>
      <c r="AN112" s="1549"/>
      <c r="AO112" s="1550"/>
      <c r="AP112" s="1549"/>
      <c r="AQ112" s="1548"/>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28">
        <f t="shared" si="20"/>
        <v>0</v>
      </c>
      <c r="B113" s="7957" t="str">
        <f t="shared" si="21"/>
        <v/>
      </c>
      <c r="C113" s="7958"/>
      <c r="D113" s="7958"/>
      <c r="E113" s="7958"/>
      <c r="F113" s="7958"/>
      <c r="G113" s="7958"/>
      <c r="H113" s="7958"/>
      <c r="I113" s="7959"/>
      <c r="J113" s="7960" t="str">
        <f t="shared" si="22"/>
        <v/>
      </c>
      <c r="K113" s="7961"/>
      <c r="L113" s="7961"/>
      <c r="M113" s="7960" t="str">
        <f t="shared" si="23"/>
        <v/>
      </c>
      <c r="N113" s="7961"/>
      <c r="O113" s="7961"/>
      <c r="P113" s="7962"/>
      <c r="Q113" s="5988" t="str">
        <f t="shared" si="24"/>
        <v/>
      </c>
      <c r="R113" s="7942"/>
      <c r="S113" s="7942"/>
      <c r="T113" s="7943"/>
      <c r="U113" s="5988" t="str">
        <f t="shared" si="25"/>
        <v/>
      </c>
      <c r="V113" s="7942"/>
      <c r="W113" s="7942"/>
      <c r="X113" s="7943"/>
      <c r="Y113" s="7924" t="str">
        <f t="shared" si="26"/>
        <v/>
      </c>
      <c r="Z113" s="5495"/>
      <c r="AA113" s="7924" t="str">
        <f t="shared" si="27"/>
        <v/>
      </c>
      <c r="AB113" s="5495"/>
      <c r="AC113" s="7925" t="str">
        <f t="shared" si="28"/>
        <v/>
      </c>
      <c r="AD113" s="7926"/>
      <c r="AE113" s="7926"/>
      <c r="AF113" s="7926"/>
      <c r="AG113" s="1631">
        <f t="shared" si="29"/>
        <v>0</v>
      </c>
      <c r="AH113" s="1185"/>
      <c r="AI113" s="1185" t="e">
        <f t="shared" si="30"/>
        <v>#VALUE!</v>
      </c>
      <c r="AJ113" s="1547"/>
      <c r="AK113" s="1551"/>
      <c r="AL113" s="1551"/>
      <c r="AM113" s="1549"/>
      <c r="AN113" s="1549"/>
      <c r="AO113" s="1550"/>
      <c r="AP113" s="1549"/>
      <c r="AQ113" s="1548"/>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28">
        <f t="shared" si="20"/>
        <v>0</v>
      </c>
      <c r="B114" s="7957" t="str">
        <f t="shared" si="21"/>
        <v/>
      </c>
      <c r="C114" s="7958"/>
      <c r="D114" s="7958"/>
      <c r="E114" s="7958"/>
      <c r="F114" s="7958"/>
      <c r="G114" s="7958"/>
      <c r="H114" s="7958"/>
      <c r="I114" s="7959"/>
      <c r="J114" s="7960" t="str">
        <f t="shared" si="22"/>
        <v/>
      </c>
      <c r="K114" s="7961"/>
      <c r="L114" s="7961"/>
      <c r="M114" s="7960" t="str">
        <f t="shared" si="23"/>
        <v/>
      </c>
      <c r="N114" s="7961"/>
      <c r="O114" s="7961"/>
      <c r="P114" s="7962"/>
      <c r="Q114" s="5988" t="str">
        <f t="shared" si="24"/>
        <v/>
      </c>
      <c r="R114" s="7942"/>
      <c r="S114" s="7942"/>
      <c r="T114" s="7943"/>
      <c r="U114" s="5988" t="str">
        <f t="shared" si="25"/>
        <v/>
      </c>
      <c r="V114" s="7942"/>
      <c r="W114" s="7942"/>
      <c r="X114" s="7943"/>
      <c r="Y114" s="7924" t="str">
        <f t="shared" si="26"/>
        <v/>
      </c>
      <c r="Z114" s="5495"/>
      <c r="AA114" s="7924" t="str">
        <f t="shared" si="27"/>
        <v/>
      </c>
      <c r="AB114" s="5495"/>
      <c r="AC114" s="7925" t="str">
        <f t="shared" si="28"/>
        <v/>
      </c>
      <c r="AD114" s="7926"/>
      <c r="AE114" s="7926"/>
      <c r="AF114" s="7926"/>
      <c r="AG114" s="1631">
        <f t="shared" si="29"/>
        <v>0</v>
      </c>
      <c r="AH114" s="1185"/>
      <c r="AI114" s="1185" t="e">
        <f t="shared" si="30"/>
        <v>#VALUE!</v>
      </c>
      <c r="AJ114" s="1547"/>
      <c r="AK114" s="1551"/>
      <c r="AL114" s="1551"/>
      <c r="AM114" s="1549"/>
      <c r="AN114" s="1549"/>
      <c r="AO114" s="1550"/>
      <c r="AP114" s="1549"/>
      <c r="AQ114" s="1548"/>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28">
        <f t="shared" si="20"/>
        <v>0</v>
      </c>
      <c r="B115" s="7957" t="str">
        <f t="shared" si="21"/>
        <v/>
      </c>
      <c r="C115" s="7958"/>
      <c r="D115" s="7958"/>
      <c r="E115" s="7958"/>
      <c r="F115" s="7958"/>
      <c r="G115" s="7958"/>
      <c r="H115" s="7958"/>
      <c r="I115" s="7959"/>
      <c r="J115" s="7960" t="str">
        <f t="shared" si="22"/>
        <v/>
      </c>
      <c r="K115" s="7961"/>
      <c r="L115" s="7961"/>
      <c r="M115" s="7960" t="str">
        <f t="shared" si="23"/>
        <v/>
      </c>
      <c r="N115" s="7961"/>
      <c r="O115" s="7961"/>
      <c r="P115" s="7962"/>
      <c r="Q115" s="5988" t="str">
        <f t="shared" si="24"/>
        <v/>
      </c>
      <c r="R115" s="7942"/>
      <c r="S115" s="7942"/>
      <c r="T115" s="7943"/>
      <c r="U115" s="5988" t="str">
        <f t="shared" si="25"/>
        <v/>
      </c>
      <c r="V115" s="7942"/>
      <c r="W115" s="7942"/>
      <c r="X115" s="7943"/>
      <c r="Y115" s="7924" t="str">
        <f t="shared" si="26"/>
        <v/>
      </c>
      <c r="Z115" s="5495"/>
      <c r="AA115" s="7924" t="str">
        <f t="shared" si="27"/>
        <v/>
      </c>
      <c r="AB115" s="5495"/>
      <c r="AC115" s="7925" t="str">
        <f t="shared" si="28"/>
        <v/>
      </c>
      <c r="AD115" s="7926"/>
      <c r="AE115" s="7926"/>
      <c r="AF115" s="7926"/>
      <c r="AG115" s="1631">
        <f t="shared" si="29"/>
        <v>0</v>
      </c>
      <c r="AH115" s="1185"/>
      <c r="AI115" s="1185" t="e">
        <f t="shared" si="30"/>
        <v>#VALUE!</v>
      </c>
      <c r="AJ115" s="1547"/>
      <c r="AK115" s="1551"/>
      <c r="AL115" s="1551"/>
      <c r="AM115" s="1549"/>
      <c r="AN115" s="1549"/>
      <c r="AO115" s="1550"/>
      <c r="AP115" s="1549"/>
      <c r="AQ115" s="1548"/>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28">
        <f>SUM(A88:A115)</f>
        <v>0</v>
      </c>
      <c r="B116" s="8015">
        <v>2</v>
      </c>
      <c r="C116" s="8036" t="s">
        <v>1151</v>
      </c>
      <c r="D116" s="8037"/>
      <c r="E116" s="8037"/>
      <c r="F116" s="8037"/>
      <c r="G116" s="8037"/>
      <c r="H116" s="8037"/>
      <c r="I116" s="8037"/>
      <c r="J116" s="8037"/>
      <c r="K116" s="8037"/>
      <c r="L116" s="8037"/>
      <c r="M116" s="8037"/>
      <c r="N116" s="8037"/>
      <c r="O116" s="8037"/>
      <c r="P116" s="8037"/>
      <c r="Q116" s="7934" t="str">
        <f>IF(A116=0,"",ROUND(SUM(Q88:Q115),0))</f>
        <v/>
      </c>
      <c r="R116" s="8039"/>
      <c r="S116" s="8039"/>
      <c r="T116" s="7935"/>
      <c r="U116" s="7934" t="str">
        <f>IF(A116=0,"",ROUND(SUM(U88:U115),0))</f>
        <v/>
      </c>
      <c r="V116" s="8017"/>
      <c r="W116" s="8017"/>
      <c r="X116" s="8018"/>
      <c r="Y116" s="8025"/>
      <c r="Z116" s="8026"/>
      <c r="AA116" s="7934" t="str">
        <f>IF(A116=0,"",ROUND(SUM(AA88:AA115),0))</f>
        <v/>
      </c>
      <c r="AB116" s="7935"/>
      <c r="AC116" s="7934" t="str">
        <f>IF(A116=0,"",ROUND(SUM(AC88:AC115),0))</f>
        <v/>
      </c>
      <c r="AD116" s="8017"/>
      <c r="AE116" s="8017"/>
      <c r="AF116" s="8017"/>
      <c r="AG116" s="1228"/>
    </row>
    <row r="117" spans="1:55" ht="11.25" customHeight="1">
      <c r="A117" s="1228"/>
      <c r="B117" s="8016"/>
      <c r="C117" s="8038"/>
      <c r="D117" s="8038"/>
      <c r="E117" s="8038"/>
      <c r="F117" s="8038"/>
      <c r="G117" s="8038"/>
      <c r="H117" s="8038"/>
      <c r="I117" s="8038"/>
      <c r="J117" s="8038"/>
      <c r="K117" s="8038"/>
      <c r="L117" s="8038"/>
      <c r="M117" s="8038"/>
      <c r="N117" s="8038"/>
      <c r="O117" s="8038"/>
      <c r="P117" s="8038"/>
      <c r="Q117" s="7936"/>
      <c r="R117" s="8040"/>
      <c r="S117" s="8040"/>
      <c r="T117" s="7937"/>
      <c r="U117" s="8019"/>
      <c r="V117" s="8020"/>
      <c r="W117" s="8020"/>
      <c r="X117" s="8021"/>
      <c r="Y117" s="8027"/>
      <c r="Z117" s="8028"/>
      <c r="AA117" s="7936"/>
      <c r="AB117" s="7937"/>
      <c r="AC117" s="8019"/>
      <c r="AD117" s="8020"/>
      <c r="AE117" s="8020"/>
      <c r="AF117" s="8020"/>
      <c r="AG117" s="1228"/>
    </row>
    <row r="118" spans="1:55" ht="11.25" customHeight="1">
      <c r="A118" s="1228"/>
      <c r="B118" s="8016"/>
      <c r="C118" s="8038"/>
      <c r="D118" s="8038"/>
      <c r="E118" s="8038"/>
      <c r="F118" s="8038"/>
      <c r="G118" s="8038"/>
      <c r="H118" s="8038"/>
      <c r="I118" s="8038"/>
      <c r="J118" s="8038"/>
      <c r="K118" s="8038"/>
      <c r="L118" s="8038"/>
      <c r="M118" s="8038"/>
      <c r="N118" s="8038"/>
      <c r="O118" s="8038"/>
      <c r="P118" s="8038"/>
      <c r="Q118" s="7936"/>
      <c r="R118" s="8040"/>
      <c r="S118" s="8040"/>
      <c r="T118" s="7937"/>
      <c r="U118" s="8019"/>
      <c r="V118" s="8020"/>
      <c r="W118" s="8020"/>
      <c r="X118" s="8021"/>
      <c r="Y118" s="8027"/>
      <c r="Z118" s="8028"/>
      <c r="AA118" s="7936"/>
      <c r="AB118" s="7937"/>
      <c r="AC118" s="8019"/>
      <c r="AD118" s="8020"/>
      <c r="AE118" s="8020"/>
      <c r="AF118" s="8020"/>
      <c r="AG118" s="1228"/>
    </row>
    <row r="119" spans="1:55" ht="11.25" customHeight="1">
      <c r="A119" s="1228"/>
      <c r="B119" s="8016"/>
      <c r="C119" s="8038"/>
      <c r="D119" s="8038"/>
      <c r="E119" s="8038"/>
      <c r="F119" s="8038"/>
      <c r="G119" s="8038"/>
      <c r="H119" s="8038"/>
      <c r="I119" s="8038"/>
      <c r="J119" s="8038"/>
      <c r="K119" s="8038"/>
      <c r="L119" s="8038"/>
      <c r="M119" s="8038"/>
      <c r="N119" s="8038"/>
      <c r="O119" s="8038"/>
      <c r="P119" s="8038"/>
      <c r="Q119" s="7936"/>
      <c r="R119" s="8040"/>
      <c r="S119" s="8040"/>
      <c r="T119" s="7937"/>
      <c r="U119" s="8019"/>
      <c r="V119" s="8020"/>
      <c r="W119" s="8020"/>
      <c r="X119" s="8021"/>
      <c r="Y119" s="8027"/>
      <c r="Z119" s="8028"/>
      <c r="AA119" s="7936"/>
      <c r="AB119" s="7937"/>
      <c r="AC119" s="8019"/>
      <c r="AD119" s="8020"/>
      <c r="AE119" s="8020"/>
      <c r="AF119" s="8020"/>
      <c r="AG119" s="1228"/>
    </row>
    <row r="120" spans="1:55" ht="6" customHeight="1" thickBot="1">
      <c r="A120" s="1228"/>
      <c r="B120" s="8016"/>
      <c r="C120" s="8038"/>
      <c r="D120" s="8038"/>
      <c r="E120" s="8038"/>
      <c r="F120" s="8038"/>
      <c r="G120" s="8038"/>
      <c r="H120" s="8038"/>
      <c r="I120" s="8038"/>
      <c r="J120" s="8038"/>
      <c r="K120" s="8038"/>
      <c r="L120" s="8038"/>
      <c r="M120" s="8038"/>
      <c r="N120" s="8038"/>
      <c r="O120" s="8038"/>
      <c r="P120" s="8038"/>
      <c r="Q120" s="7936"/>
      <c r="R120" s="8040"/>
      <c r="S120" s="8040"/>
      <c r="T120" s="7937"/>
      <c r="U120" s="8022"/>
      <c r="V120" s="8023"/>
      <c r="W120" s="8023"/>
      <c r="X120" s="8024"/>
      <c r="Y120" s="8029"/>
      <c r="Z120" s="8030"/>
      <c r="AA120" s="7938"/>
      <c r="AB120" s="7939"/>
      <c r="AC120" s="8019"/>
      <c r="AD120" s="8020"/>
      <c r="AE120" s="8020"/>
      <c r="AF120" s="8020"/>
      <c r="AG120" s="1228"/>
    </row>
    <row r="121" spans="1:55" ht="25.5" customHeight="1" thickBot="1">
      <c r="A121" s="1228"/>
      <c r="B121" s="8033" t="s">
        <v>1958</v>
      </c>
      <c r="C121" s="8034"/>
      <c r="D121" s="8034"/>
      <c r="E121" s="8034"/>
      <c r="F121" s="8034"/>
      <c r="G121" s="8034"/>
      <c r="H121" s="8034"/>
      <c r="I121" s="8034"/>
      <c r="J121" s="8034"/>
      <c r="K121" s="8034"/>
      <c r="L121" s="8034"/>
      <c r="M121" s="8034"/>
      <c r="N121" s="8034"/>
      <c r="O121" s="8034"/>
      <c r="P121" s="8034"/>
      <c r="Q121" s="8034"/>
      <c r="R121" s="8034"/>
      <c r="S121" s="8034"/>
      <c r="T121" s="8034"/>
      <c r="U121" s="8035"/>
      <c r="V121" s="8035"/>
      <c r="W121" s="8035"/>
      <c r="X121" s="8035"/>
      <c r="Y121" s="8034"/>
      <c r="Z121" s="8034"/>
      <c r="AA121" s="8034"/>
      <c r="AB121" s="8034"/>
      <c r="AC121" s="8034"/>
      <c r="AD121" s="8034"/>
      <c r="AE121" s="8034"/>
      <c r="AF121" s="8034"/>
      <c r="AG121" s="1228"/>
    </row>
    <row r="122" spans="1:55" ht="14.25" customHeight="1" thickTop="1">
      <c r="A122" s="1228"/>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27"/>
      <c r="AD122" s="1127" t="s">
        <v>761</v>
      </c>
      <c r="AE122" s="24"/>
      <c r="AF122" s="4609" t="str">
        <f>"("&amp;TaxYear&amp;")"</f>
        <v>(2018)</v>
      </c>
      <c r="AG122" s="1228"/>
    </row>
    <row r="123" spans="1:55">
      <c r="A123" s="1228"/>
      <c r="B123" s="1228"/>
      <c r="C123" s="1228"/>
      <c r="D123" s="1228"/>
      <c r="E123" s="1228"/>
      <c r="F123" s="1228"/>
      <c r="G123" s="1228"/>
      <c r="H123" s="1228"/>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228"/>
    </row>
  </sheetData>
  <sheetProtection password="F07E" sheet="1" objects="1" scenarios="1"/>
  <mergeCells count="471">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0:Z100"/>
    <mergeCell ref="Q102:T102"/>
    <mergeCell ref="U102:X102"/>
    <mergeCell ref="J104:L104"/>
    <mergeCell ref="M104:P104"/>
    <mergeCell ref="Q104:T104"/>
    <mergeCell ref="U104:X104"/>
    <mergeCell ref="M101:P101"/>
    <mergeCell ref="Q101:T101"/>
    <mergeCell ref="J101:L101"/>
    <mergeCell ref="U101:X101"/>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48:I48"/>
    <mergeCell ref="J51:L51"/>
    <mergeCell ref="B49:I49"/>
    <mergeCell ref="J49:L49"/>
    <mergeCell ref="M49:P49"/>
    <mergeCell ref="J48:L48"/>
    <mergeCell ref="M48:P48"/>
    <mergeCell ref="M51:P51"/>
    <mergeCell ref="Q51:T51"/>
    <mergeCell ref="B51:I51"/>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s>
  <conditionalFormatting sqref="P69">
    <cfRule type="expression" dxfId="351" priority="536" stopIfTrue="1">
      <formula>IF(AND($L$2="",$AG$69),TRUE,FALSE)</formula>
    </cfRule>
  </conditionalFormatting>
  <conditionalFormatting sqref="T16:T19">
    <cfRule type="expression" dxfId="350" priority="128" stopIfTrue="1">
      <formula>IF(AND($L$2="",$AG$16),TRUE,FALSE)</formula>
    </cfRule>
  </conditionalFormatting>
  <conditionalFormatting sqref="T69">
    <cfRule type="expression" dxfId="349" priority="127" stopIfTrue="1">
      <formula>IF(AND($L$2="",$AG$69),TRUE,FALSE)</formula>
    </cfRule>
  </conditionalFormatting>
  <conditionalFormatting sqref="L2">
    <cfRule type="expression" dxfId="348" priority="574" stopIfTrue="1">
      <formula>IF(OR($AG$16,$AG$69),1,0)</formula>
    </cfRule>
  </conditionalFormatting>
  <conditionalFormatting sqref="B2">
    <cfRule type="expression" dxfId="347" priority="575" stopIfTrue="1">
      <formula>IF(OR($AG$16,$AG$69),1,0)</formula>
    </cfRule>
  </conditionalFormatting>
  <conditionalFormatting sqref="M36">
    <cfRule type="expression" dxfId="346" priority="47" stopIfTrue="1">
      <formula>IF(AND($L$2="",AG36&gt;0),TRUE,FALSE)</formula>
    </cfRule>
  </conditionalFormatting>
  <conditionalFormatting sqref="J36">
    <cfRule type="expression" dxfId="345" priority="46" stopIfTrue="1">
      <formula>IF(AND($L$2="",AG36&lt;&gt;0),TRUE,FALSE)</formula>
    </cfRule>
  </conditionalFormatting>
  <conditionalFormatting sqref="M37">
    <cfRule type="expression" dxfId="344" priority="45" stopIfTrue="1">
      <formula>IF(AND($L$2="",AG37&gt;0),TRUE,FALSE)</formula>
    </cfRule>
  </conditionalFormatting>
  <conditionalFormatting sqref="J37">
    <cfRule type="expression" dxfId="343" priority="44" stopIfTrue="1">
      <formula>IF(AND($L$2="",AG37&lt;&gt;0),TRUE,FALSE)</formula>
    </cfRule>
  </conditionalFormatting>
  <conditionalFormatting sqref="M38:M40 M42:M54">
    <cfRule type="expression" dxfId="342" priority="43" stopIfTrue="1">
      <formula>IF(AND($L$2="",AG38&gt;0),TRUE,FALSE)</formula>
    </cfRule>
  </conditionalFormatting>
  <conditionalFormatting sqref="J38:J40 J42:J54">
    <cfRule type="expression" dxfId="341" priority="42" stopIfTrue="1">
      <formula>IF(AND($L$2="",AG38&lt;&gt;0),TRUE,FALSE)</formula>
    </cfRule>
  </conditionalFormatting>
  <conditionalFormatting sqref="J41">
    <cfRule type="expression" dxfId="340" priority="41" stopIfTrue="1">
      <formula>IF(AND($L$2="",AG41&lt;&gt;0),TRUE,FALSE)</formula>
    </cfRule>
  </conditionalFormatting>
  <conditionalFormatting sqref="M41">
    <cfRule type="expression" dxfId="339" priority="40" stopIfTrue="1">
      <formula>IF(AND($L$2="",AG41&gt;0),TRUE,FALSE)</formula>
    </cfRule>
  </conditionalFormatting>
  <conditionalFormatting sqref="J35">
    <cfRule type="expression" dxfId="338" priority="34" stopIfTrue="1">
      <formula>IF(AND($L$2="",AG35&lt;&gt;0),TRUE,FALSE)</formula>
    </cfRule>
  </conditionalFormatting>
  <conditionalFormatting sqref="M35">
    <cfRule type="expression" dxfId="337" priority="33" stopIfTrue="1">
      <formula>IF(AND($L$2="",AG35&gt;0),TRUE,FALSE)</formula>
    </cfRule>
  </conditionalFormatting>
  <conditionalFormatting sqref="B11:AF11">
    <cfRule type="expression" dxfId="336" priority="32">
      <formula>IF(NoColor,1,0)</formula>
    </cfRule>
  </conditionalFormatting>
  <conditionalFormatting sqref="C25">
    <cfRule type="expression" dxfId="335" priority="31">
      <formula>IF(NoColor,1,0)</formula>
    </cfRule>
  </conditionalFormatting>
  <conditionalFormatting sqref="AA55:AF59">
    <cfRule type="expression" dxfId="334" priority="26">
      <formula>IF(NoColor,1,0)</formula>
    </cfRule>
  </conditionalFormatting>
  <conditionalFormatting sqref="B35:AF54">
    <cfRule type="expression" dxfId="333" priority="28">
      <formula>IF(NoColor,1,0)</formula>
    </cfRule>
  </conditionalFormatting>
  <conditionalFormatting sqref="Q55:X59">
    <cfRule type="expression" dxfId="332" priority="27">
      <formula>IF(NoColor,1,0)</formula>
    </cfRule>
  </conditionalFormatting>
  <conditionalFormatting sqref="B64:AF64">
    <cfRule type="expression" dxfId="331" priority="25">
      <formula>IF(NoColor,1,0)</formula>
    </cfRule>
  </conditionalFormatting>
  <conditionalFormatting sqref="C78">
    <cfRule type="expression" dxfId="330" priority="24">
      <formula>IF(NoColor,1,0)</formula>
    </cfRule>
  </conditionalFormatting>
  <conditionalFormatting sqref="J88:J115">
    <cfRule type="expression" dxfId="329" priority="21" stopIfTrue="1">
      <formula>IF(AND($L$2="",AG88&lt;&gt;0),TRUE,FALSE)</formula>
    </cfRule>
  </conditionalFormatting>
  <conditionalFormatting sqref="M88:M115">
    <cfRule type="expression" dxfId="328" priority="20" stopIfTrue="1">
      <formula>IF(AND($L$2="",AG88&gt;0),TRUE,FALSE)</formula>
    </cfRule>
  </conditionalFormatting>
  <conditionalFormatting sqref="B88:AB115">
    <cfRule type="expression" dxfId="327" priority="19">
      <formula>IF(NoColor,1,0)</formula>
    </cfRule>
  </conditionalFormatting>
  <conditionalFormatting sqref="Q116:X120">
    <cfRule type="expression" dxfId="326" priority="15">
      <formula>IF(NoColor,1,0)</formula>
    </cfRule>
  </conditionalFormatting>
  <conditionalFormatting sqref="AA116:AF120">
    <cfRule type="expression" dxfId="325" priority="14">
      <formula>IF(NoColor,1,0)</formula>
    </cfRule>
  </conditionalFormatting>
  <conditionalFormatting sqref="C27">
    <cfRule type="expression" dxfId="324" priority="13">
      <formula>IF(NoColor,1,0)</formula>
    </cfRule>
  </conditionalFormatting>
  <conditionalFormatting sqref="C29">
    <cfRule type="expression" dxfId="323" priority="12">
      <formula>IF(NoColor,1,0)</formula>
    </cfRule>
  </conditionalFormatting>
  <conditionalFormatting sqref="C80">
    <cfRule type="expression" dxfId="322" priority="11">
      <formula>IF(NoColor,1,0)</formula>
    </cfRule>
  </conditionalFormatting>
  <conditionalFormatting sqref="C82">
    <cfRule type="expression" dxfId="321" priority="10">
      <formula>IF(NoColor,1,0)</formula>
    </cfRule>
  </conditionalFormatting>
  <conditionalFormatting sqref="AC88:AF115">
    <cfRule type="expression" dxfId="320" priority="9">
      <formula>IF(NoColor,1,0)</formula>
    </cfRule>
  </conditionalFormatting>
  <conditionalFormatting sqref="T70:T72">
    <cfRule type="expression" dxfId="319" priority="8" stopIfTrue="1">
      <formula>IF(AND($L$2="",$AG$16),TRUE,FALSE)</formula>
    </cfRule>
  </conditionalFormatting>
  <conditionalFormatting sqref="K74">
    <cfRule type="expression" dxfId="318" priority="4">
      <formula>IF($A$82&gt;1,1,0)</formula>
    </cfRule>
  </conditionalFormatting>
  <conditionalFormatting sqref="B74">
    <cfRule type="expression" dxfId="317" priority="3">
      <formula>(A82=0)</formula>
    </cfRule>
  </conditionalFormatting>
  <conditionalFormatting sqref="B21">
    <cfRule type="expression" dxfId="316" priority="2">
      <formula>(A29=0)</formula>
    </cfRule>
  </conditionalFormatting>
  <conditionalFormatting sqref="L21">
    <cfRule type="expression" dxfId="315" priority="1">
      <formula>(A29&gt;1)</formula>
    </cfRule>
  </conditionalFormatting>
  <printOptions horizontalCentered="1"/>
  <pageMargins left="0.2" right="0.2" top="0.3" bottom="0.25" header="0" footer="0"/>
  <pageSetup scale="80" fitToHeight="2" orientation="portrait" r:id="rId1"/>
  <rowBreaks count="1" manualBreakCount="1">
    <brk id="61" min="1" max="31"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193"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623" customWidth="1"/>
    <col min="34" max="34" width="4.85546875" style="323" customWidth="1"/>
    <col min="35" max="35" width="8.5703125" style="323"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28"/>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28"/>
      <c r="AA1" s="1228"/>
      <c r="AB1" s="1228"/>
      <c r="AC1" s="1228"/>
      <c r="AD1" s="1228"/>
      <c r="AE1" s="1228"/>
      <c r="AF1" s="1228"/>
      <c r="AG1" s="1113"/>
    </row>
    <row r="2" spans="1:34">
      <c r="A2" s="82"/>
      <c r="B2" s="7963" t="s">
        <v>869</v>
      </c>
      <c r="C2" s="7964"/>
      <c r="D2" s="7964"/>
      <c r="E2" s="7964"/>
      <c r="F2" s="7964"/>
      <c r="G2" s="7964"/>
      <c r="H2" s="7964"/>
      <c r="I2" s="7964"/>
      <c r="J2" s="7964"/>
      <c r="K2" s="7964"/>
      <c r="L2" s="1425"/>
      <c r="M2" s="82"/>
      <c r="N2" s="82"/>
      <c r="O2" s="82"/>
      <c r="P2" s="82"/>
      <c r="Q2" s="82"/>
      <c r="R2" s="82"/>
      <c r="S2" s="82"/>
      <c r="T2" s="82"/>
      <c r="U2" s="82"/>
      <c r="V2" s="82"/>
      <c r="W2" s="82"/>
      <c r="X2" s="82"/>
      <c r="Y2" s="82"/>
      <c r="Z2" s="82"/>
      <c r="AA2" s="1098"/>
      <c r="AB2" s="82"/>
      <c r="AC2" s="82"/>
      <c r="AD2" s="82"/>
      <c r="AE2" s="82"/>
      <c r="AF2" s="82"/>
      <c r="AG2" s="1113"/>
    </row>
    <row r="3" spans="1:34">
      <c r="A3" s="1228"/>
      <c r="B3" s="1228"/>
      <c r="C3" s="1228"/>
      <c r="D3" s="1228"/>
      <c r="E3" s="1228"/>
      <c r="F3" s="1228"/>
      <c r="G3" s="1228"/>
      <c r="H3" s="1228"/>
      <c r="I3" s="1228"/>
      <c r="J3" s="1228"/>
      <c r="K3" s="1228"/>
      <c r="L3" s="1228"/>
      <c r="M3" s="1228"/>
      <c r="N3" s="1228"/>
      <c r="O3" s="1228"/>
      <c r="P3" s="1228"/>
      <c r="Q3" s="1228"/>
      <c r="R3" s="1228"/>
      <c r="S3" s="1228"/>
      <c r="T3" s="1228"/>
      <c r="U3" s="1228"/>
      <c r="V3" s="1228"/>
      <c r="W3" s="1228"/>
      <c r="X3" s="1228"/>
      <c r="Y3" s="1228"/>
      <c r="Z3" s="1228"/>
      <c r="AA3" s="1228"/>
      <c r="AB3" s="1228"/>
      <c r="AC3" s="1228"/>
      <c r="AD3" s="1228"/>
      <c r="AE3" s="1228"/>
      <c r="AF3" s="1228"/>
      <c r="AG3" s="1113"/>
    </row>
    <row r="4" spans="1:34" ht="11.25" customHeight="1">
      <c r="A4" s="1228"/>
      <c r="B4" s="7965" t="s">
        <v>731</v>
      </c>
      <c r="C4" s="7569"/>
      <c r="D4" s="7569"/>
      <c r="E4" s="7569"/>
      <c r="F4" s="7569"/>
      <c r="G4" s="24"/>
      <c r="H4" s="7973" t="s">
        <v>732</v>
      </c>
      <c r="I4" s="7974"/>
      <c r="J4" s="7974"/>
      <c r="K4" s="7974"/>
      <c r="L4" s="7974"/>
      <c r="M4" s="7974"/>
      <c r="N4" s="7974"/>
      <c r="O4" s="7974"/>
      <c r="P4" s="7974"/>
      <c r="Q4" s="7974"/>
      <c r="R4" s="7974"/>
      <c r="S4" s="7974"/>
      <c r="T4" s="7974"/>
      <c r="U4" s="7974"/>
      <c r="V4" s="7974"/>
      <c r="W4" s="7974"/>
      <c r="X4" s="7974"/>
      <c r="Y4" s="7974"/>
      <c r="Z4" s="7974"/>
      <c r="AA4" s="7975"/>
      <c r="AB4" s="7966" t="s">
        <v>169</v>
      </c>
      <c r="AC4" s="7573"/>
      <c r="AD4" s="7573"/>
      <c r="AE4" s="7573"/>
      <c r="AF4" s="7573"/>
      <c r="AG4" s="1113"/>
      <c r="AH4" s="1186"/>
    </row>
    <row r="5" spans="1:34" ht="11.25" customHeight="1">
      <c r="A5" s="1228"/>
      <c r="B5" s="7569"/>
      <c r="C5" s="7569"/>
      <c r="D5" s="7569"/>
      <c r="E5" s="7569"/>
      <c r="F5" s="7569"/>
      <c r="G5" s="24"/>
      <c r="H5" s="7976"/>
      <c r="I5" s="7974"/>
      <c r="J5" s="7974"/>
      <c r="K5" s="7974"/>
      <c r="L5" s="7974"/>
      <c r="M5" s="7974"/>
      <c r="N5" s="7974"/>
      <c r="O5" s="7974"/>
      <c r="P5" s="7974"/>
      <c r="Q5" s="7974"/>
      <c r="R5" s="7974"/>
      <c r="S5" s="7974"/>
      <c r="T5" s="7974"/>
      <c r="U5" s="7974"/>
      <c r="V5" s="7974"/>
      <c r="W5" s="7974"/>
      <c r="X5" s="7974"/>
      <c r="Y5" s="7974"/>
      <c r="Z5" s="7974"/>
      <c r="AA5" s="7975"/>
      <c r="AB5" s="7967">
        <f>TaxYear</f>
        <v>2018</v>
      </c>
      <c r="AC5" s="7569"/>
      <c r="AD5" s="7569"/>
      <c r="AE5" s="7569"/>
      <c r="AF5" s="7569"/>
      <c r="AG5" s="1113"/>
      <c r="AH5" s="1186"/>
    </row>
    <row r="6" spans="1:34" ht="11.25" customHeight="1">
      <c r="A6" s="1228"/>
      <c r="B6" s="7569"/>
      <c r="C6" s="7569"/>
      <c r="D6" s="7569"/>
      <c r="E6" s="7569"/>
      <c r="F6" s="7569"/>
      <c r="G6" s="24"/>
      <c r="H6" s="7977"/>
      <c r="I6" s="5527"/>
      <c r="J6" s="5527"/>
      <c r="K6" s="5527"/>
      <c r="L6" s="5527"/>
      <c r="M6" s="5527"/>
      <c r="N6" s="5527"/>
      <c r="O6" s="5527"/>
      <c r="P6" s="5527"/>
      <c r="Q6" s="5527"/>
      <c r="R6" s="5527"/>
      <c r="S6" s="5527"/>
      <c r="T6" s="5527"/>
      <c r="U6" s="5527"/>
      <c r="V6" s="5527"/>
      <c r="W6" s="5527"/>
      <c r="X6" s="5527"/>
      <c r="Y6" s="5527"/>
      <c r="Z6" s="5527"/>
      <c r="AA6" s="7469"/>
      <c r="AB6" s="7569"/>
      <c r="AC6" s="7569"/>
      <c r="AD6" s="7569"/>
      <c r="AE6" s="7569"/>
      <c r="AF6" s="7569"/>
      <c r="AG6" s="1113"/>
      <c r="AH6" s="1184"/>
    </row>
    <row r="7" spans="1:34" ht="11.25" customHeight="1">
      <c r="A7" s="1228"/>
      <c r="B7" s="24"/>
      <c r="C7" s="24"/>
      <c r="D7" s="24"/>
      <c r="E7" s="24"/>
      <c r="F7" s="24"/>
      <c r="G7" s="24"/>
      <c r="H7" s="7982" t="s">
        <v>2572</v>
      </c>
      <c r="I7" s="7983"/>
      <c r="J7" s="7983"/>
      <c r="K7" s="7983"/>
      <c r="L7" s="7983"/>
      <c r="M7" s="7983"/>
      <c r="N7" s="7983"/>
      <c r="O7" s="7983"/>
      <c r="P7" s="7983"/>
      <c r="Q7" s="7983"/>
      <c r="R7" s="7983"/>
      <c r="S7" s="7983"/>
      <c r="T7" s="7983"/>
      <c r="U7" s="7983"/>
      <c r="V7" s="7983"/>
      <c r="W7" s="7983"/>
      <c r="X7" s="7983"/>
      <c r="Y7" s="7983"/>
      <c r="Z7" s="7983"/>
      <c r="AA7" s="7984"/>
      <c r="AB7" s="7569"/>
      <c r="AC7" s="7569"/>
      <c r="AD7" s="7569"/>
      <c r="AE7" s="7569"/>
      <c r="AF7" s="7569"/>
      <c r="AG7" s="1113"/>
    </row>
    <row r="8" spans="1:34" ht="10.5" customHeight="1">
      <c r="A8" s="1228"/>
      <c r="B8" s="32" t="s">
        <v>202</v>
      </c>
      <c r="C8" s="24"/>
      <c r="D8" s="24"/>
      <c r="E8" s="24"/>
      <c r="F8" s="24"/>
      <c r="G8" s="24"/>
      <c r="H8" s="7982" t="s">
        <v>1301</v>
      </c>
      <c r="I8" s="7983"/>
      <c r="J8" s="7983"/>
      <c r="K8" s="7983"/>
      <c r="L8" s="7983"/>
      <c r="M8" s="7983"/>
      <c r="N8" s="7983"/>
      <c r="O8" s="7983"/>
      <c r="P8" s="7983"/>
      <c r="Q8" s="7983"/>
      <c r="R8" s="7983"/>
      <c r="S8" s="7983"/>
      <c r="T8" s="7983"/>
      <c r="U8" s="7983"/>
      <c r="V8" s="7983"/>
      <c r="W8" s="7983"/>
      <c r="X8" s="7983"/>
      <c r="Y8" s="7983"/>
      <c r="Z8" s="7983"/>
      <c r="AA8" s="7984"/>
      <c r="AB8" s="8005" t="s">
        <v>4038</v>
      </c>
      <c r="AC8" s="8050"/>
      <c r="AD8" s="8050"/>
      <c r="AE8" s="8012" t="s">
        <v>4194</v>
      </c>
      <c r="AF8" s="8012"/>
      <c r="AG8" s="1113"/>
    </row>
    <row r="9" spans="1:34" ht="10.5" customHeight="1" thickBot="1">
      <c r="A9" s="1228"/>
      <c r="B9" s="31" t="s">
        <v>450</v>
      </c>
      <c r="C9" s="39"/>
      <c r="D9" s="39"/>
      <c r="E9" s="39"/>
      <c r="F9" s="39"/>
      <c r="G9" s="39"/>
      <c r="H9" s="8009"/>
      <c r="I9" s="8010"/>
      <c r="J9" s="8010"/>
      <c r="K9" s="8010"/>
      <c r="L9" s="8010"/>
      <c r="M9" s="8010"/>
      <c r="N9" s="8010"/>
      <c r="O9" s="8010"/>
      <c r="P9" s="8010"/>
      <c r="Q9" s="8010"/>
      <c r="R9" s="8010"/>
      <c r="S9" s="8010"/>
      <c r="T9" s="8010"/>
      <c r="U9" s="8010"/>
      <c r="V9" s="8010"/>
      <c r="W9" s="8010"/>
      <c r="X9" s="8010"/>
      <c r="Y9" s="8010"/>
      <c r="Z9" s="8010"/>
      <c r="AA9" s="8011"/>
      <c r="AB9" s="8051"/>
      <c r="AC9" s="8052"/>
      <c r="AD9" s="8052"/>
      <c r="AE9" s="8053"/>
      <c r="AF9" s="8053"/>
      <c r="AG9" s="1113"/>
    </row>
    <row r="10" spans="1:34">
      <c r="A10" s="1228"/>
      <c r="B10" s="32" t="s">
        <v>63</v>
      </c>
      <c r="C10" s="24"/>
      <c r="D10" s="24"/>
      <c r="E10" s="24"/>
      <c r="F10" s="24"/>
      <c r="G10" s="24"/>
      <c r="H10" s="24"/>
      <c r="I10" s="24"/>
      <c r="J10" s="24"/>
      <c r="K10" s="24"/>
      <c r="L10" s="24"/>
      <c r="M10" s="24"/>
      <c r="N10" s="24"/>
      <c r="O10" s="24"/>
      <c r="P10" s="24"/>
      <c r="Q10" s="24"/>
      <c r="R10" s="24"/>
      <c r="S10" s="24"/>
      <c r="T10" s="24"/>
      <c r="U10" s="24"/>
      <c r="V10" s="1546" t="s">
        <v>899</v>
      </c>
      <c r="W10" s="24"/>
      <c r="X10" s="24"/>
      <c r="Y10" s="24"/>
      <c r="Z10" s="37"/>
      <c r="AA10" s="24"/>
      <c r="AB10" s="24"/>
      <c r="AC10" s="24"/>
      <c r="AD10" s="24"/>
      <c r="AE10" s="24"/>
      <c r="AF10" s="24"/>
      <c r="AG10" s="1113"/>
    </row>
    <row r="11" spans="1:34" ht="16.5" thickBot="1">
      <c r="A11" s="1228"/>
      <c r="B11" s="7970" t="str">
        <f>Names</f>
        <v/>
      </c>
      <c r="C11" s="7971"/>
      <c r="D11" s="7971"/>
      <c r="E11" s="7971"/>
      <c r="F11" s="7971"/>
      <c r="G11" s="7971"/>
      <c r="H11" s="7971"/>
      <c r="I11" s="7971"/>
      <c r="J11" s="7971"/>
      <c r="K11" s="7971"/>
      <c r="L11" s="7971"/>
      <c r="M11" s="7971"/>
      <c r="N11" s="7971"/>
      <c r="O11" s="7971"/>
      <c r="P11" s="7971"/>
      <c r="Q11" s="7971"/>
      <c r="R11" s="7971"/>
      <c r="S11" s="7971"/>
      <c r="T11" s="7971"/>
      <c r="U11" s="7972"/>
      <c r="V11" s="7968">
        <f>IF(NoSSN,"",SS_Yours)</f>
        <v>0</v>
      </c>
      <c r="W11" s="7969"/>
      <c r="X11" s="7969"/>
      <c r="Y11" s="7969"/>
      <c r="Z11" s="7969"/>
      <c r="AA11" s="7969"/>
      <c r="AB11" s="7969"/>
      <c r="AC11" s="7969"/>
      <c r="AD11" s="7969"/>
      <c r="AE11" s="7969"/>
      <c r="AF11" s="7969"/>
      <c r="AG11" s="1113"/>
    </row>
    <row r="12" spans="1:34" ht="12.75" customHeight="1">
      <c r="A12" s="1228"/>
      <c r="B12" s="8031" t="s">
        <v>1957</v>
      </c>
      <c r="C12" s="8032"/>
      <c r="D12" s="8032"/>
      <c r="E12" s="8032"/>
      <c r="F12" s="8032"/>
      <c r="G12" s="8032"/>
      <c r="H12" s="8032"/>
      <c r="I12" s="8032"/>
      <c r="J12" s="8032"/>
      <c r="K12" s="8032"/>
      <c r="L12" s="8032"/>
      <c r="M12" s="8032"/>
      <c r="N12" s="8032"/>
      <c r="O12" s="8032"/>
      <c r="P12" s="8032"/>
      <c r="Q12" s="8032"/>
      <c r="R12" s="8032"/>
      <c r="S12" s="8032"/>
      <c r="T12" s="8032"/>
      <c r="U12" s="8032"/>
      <c r="V12" s="8032"/>
      <c r="W12" s="8032"/>
      <c r="X12" s="8032"/>
      <c r="Y12" s="8032"/>
      <c r="Z12" s="8032"/>
      <c r="AA12" s="8032"/>
      <c r="AB12" s="8032"/>
      <c r="AC12" s="8032"/>
      <c r="AD12" s="8032"/>
      <c r="AE12" s="8032"/>
      <c r="AF12" s="8032"/>
      <c r="AG12" s="1113"/>
    </row>
    <row r="13" spans="1:34" ht="12.75" customHeight="1">
      <c r="A13" s="1228"/>
      <c r="B13" s="6088"/>
      <c r="C13" s="6088"/>
      <c r="D13" s="6088"/>
      <c r="E13" s="6088"/>
      <c r="F13" s="6088"/>
      <c r="G13" s="6088"/>
      <c r="H13" s="6088"/>
      <c r="I13" s="6088"/>
      <c r="J13" s="6088"/>
      <c r="K13" s="6088"/>
      <c r="L13" s="6088"/>
      <c r="M13" s="6088"/>
      <c r="N13" s="6088"/>
      <c r="O13" s="6088"/>
      <c r="P13" s="6088"/>
      <c r="Q13" s="6088"/>
      <c r="R13" s="6088"/>
      <c r="S13" s="6088"/>
      <c r="T13" s="6088"/>
      <c r="U13" s="6088"/>
      <c r="V13" s="6088"/>
      <c r="W13" s="6088"/>
      <c r="X13" s="6088"/>
      <c r="Y13" s="6088"/>
      <c r="Z13" s="6088"/>
      <c r="AA13" s="6088"/>
      <c r="AB13" s="6088"/>
      <c r="AC13" s="6088"/>
      <c r="AD13" s="6088"/>
      <c r="AE13" s="6088"/>
      <c r="AF13" s="6088"/>
      <c r="AG13" s="1113"/>
    </row>
    <row r="14" spans="1:34" ht="12.75" customHeight="1">
      <c r="A14" s="1228"/>
      <c r="B14" s="5809"/>
      <c r="C14" s="5809"/>
      <c r="D14" s="5809"/>
      <c r="E14" s="5809"/>
      <c r="F14" s="5809"/>
      <c r="G14" s="5809"/>
      <c r="H14" s="5809"/>
      <c r="I14" s="5809"/>
      <c r="J14" s="5809"/>
      <c r="K14" s="5809"/>
      <c r="L14" s="5809"/>
      <c r="M14" s="5809"/>
      <c r="N14" s="5809"/>
      <c r="O14" s="5809"/>
      <c r="P14" s="5809"/>
      <c r="Q14" s="5809"/>
      <c r="R14" s="5809"/>
      <c r="S14" s="5809"/>
      <c r="T14" s="5809"/>
      <c r="U14" s="5809"/>
      <c r="V14" s="5809"/>
      <c r="W14" s="5809"/>
      <c r="X14" s="5809"/>
      <c r="Y14" s="5809"/>
      <c r="Z14" s="5809"/>
      <c r="AA14" s="5809"/>
      <c r="AB14" s="5809"/>
      <c r="AC14" s="5809"/>
      <c r="AD14" s="5809"/>
      <c r="AE14" s="5809"/>
      <c r="AF14" s="5809"/>
      <c r="AG14" s="1113"/>
    </row>
    <row r="15" spans="1:34" ht="3.75" customHeight="1">
      <c r="A15" s="1228"/>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113"/>
    </row>
    <row r="16" spans="1:34" ht="15">
      <c r="A16" s="1228"/>
      <c r="B16" s="7978" t="s">
        <v>58</v>
      </c>
      <c r="C16" s="5615"/>
      <c r="D16" s="24"/>
      <c r="E16" s="354" t="s">
        <v>2574</v>
      </c>
      <c r="F16" s="24"/>
      <c r="G16" s="24"/>
      <c r="H16" s="24"/>
      <c r="I16" s="24"/>
      <c r="J16" s="24"/>
      <c r="K16" s="24"/>
      <c r="L16" s="24"/>
      <c r="M16" s="24"/>
      <c r="N16" s="24"/>
      <c r="O16" s="24"/>
      <c r="P16" s="24"/>
      <c r="Q16" s="24"/>
      <c r="R16" s="24"/>
      <c r="S16" s="24"/>
      <c r="T16" s="423" t="s">
        <v>2573</v>
      </c>
      <c r="U16" s="24"/>
      <c r="V16" s="24"/>
      <c r="W16" s="24"/>
      <c r="X16" s="423" t="s">
        <v>4201</v>
      </c>
      <c r="Y16" s="24"/>
      <c r="Z16" s="24"/>
      <c r="AA16" s="24"/>
      <c r="AB16" s="24"/>
      <c r="AC16" s="24"/>
      <c r="AD16" s="24"/>
      <c r="AE16" s="24"/>
      <c r="AF16" s="24"/>
      <c r="AG16" s="1631" t="b">
        <f>IF(SUM(AG35:AG54)&gt;0,TRUE,FALSE)</f>
        <v>0</v>
      </c>
    </row>
    <row r="17" spans="1:55" ht="11.25" customHeight="1">
      <c r="A17" s="1228"/>
      <c r="B17" s="24"/>
      <c r="C17" s="24"/>
      <c r="D17" s="24"/>
      <c r="E17" s="423" t="s">
        <v>4195</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113"/>
    </row>
    <row r="18" spans="1:55" s="269" customFormat="1" ht="13.5" customHeight="1">
      <c r="A18" s="3246"/>
      <c r="B18" s="423"/>
      <c r="C18" s="423"/>
      <c r="D18" s="423"/>
      <c r="E18" s="3247" t="s">
        <v>2575</v>
      </c>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3246"/>
      <c r="AH18" s="1067"/>
      <c r="AI18" s="1067"/>
    </row>
    <row r="19" spans="1:55" s="269" customFormat="1" ht="13.5" customHeight="1">
      <c r="A19" s="3246"/>
      <c r="B19" s="423"/>
      <c r="C19" s="423"/>
      <c r="D19" s="423"/>
      <c r="E19" s="423" t="s">
        <v>1013</v>
      </c>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3246"/>
      <c r="AH19" s="1067"/>
      <c r="AI19" s="1067"/>
    </row>
    <row r="20" spans="1:55" s="269" customFormat="1" ht="13.5" customHeight="1">
      <c r="A20" s="3246"/>
      <c r="B20" s="3248"/>
      <c r="C20" s="3248"/>
      <c r="D20" s="3248"/>
      <c r="E20" s="3248" t="s">
        <v>4196</v>
      </c>
      <c r="F20" s="3248"/>
      <c r="G20" s="3248"/>
      <c r="H20" s="3248"/>
      <c r="I20" s="3248"/>
      <c r="J20" s="3248"/>
      <c r="K20" s="3248"/>
      <c r="L20" s="3248"/>
      <c r="M20" s="3248"/>
      <c r="N20" s="3248"/>
      <c r="O20" s="3248"/>
      <c r="P20" s="3248"/>
      <c r="Q20" s="3248"/>
      <c r="R20" s="3248"/>
      <c r="S20" s="3248"/>
      <c r="T20" s="3248"/>
      <c r="U20" s="3248"/>
      <c r="V20" s="3248"/>
      <c r="W20" s="3248"/>
      <c r="X20" s="3248"/>
      <c r="Y20" s="3248"/>
      <c r="Z20" s="3248"/>
      <c r="AA20" s="3248"/>
      <c r="AB20" s="3248"/>
      <c r="AC20" s="3248"/>
      <c r="AD20" s="3248"/>
      <c r="AE20" s="3248"/>
      <c r="AF20" s="3248"/>
      <c r="AG20" s="3246"/>
      <c r="AH20" s="1067"/>
      <c r="AI20" s="1067"/>
    </row>
    <row r="21" spans="1:55">
      <c r="A21" s="1228"/>
      <c r="B21" s="286" t="s">
        <v>888</v>
      </c>
      <c r="C21" s="60"/>
      <c r="D21" s="60"/>
      <c r="E21" s="60"/>
      <c r="F21" s="60"/>
      <c r="G21" s="60"/>
      <c r="H21" s="60"/>
      <c r="I21" s="60"/>
      <c r="J21" s="60"/>
      <c r="K21" s="286"/>
      <c r="L21" s="286" t="s">
        <v>887</v>
      </c>
      <c r="M21" s="60"/>
      <c r="N21" s="60"/>
      <c r="O21" s="60"/>
      <c r="P21" s="60"/>
      <c r="Q21" s="74" t="s">
        <v>886</v>
      </c>
      <c r="R21" s="60"/>
      <c r="S21" s="60"/>
      <c r="T21" s="60"/>
      <c r="U21" s="60"/>
      <c r="V21" s="60"/>
      <c r="W21" s="60"/>
      <c r="X21" s="60"/>
      <c r="Y21" s="60"/>
      <c r="Z21" s="60"/>
      <c r="AA21" s="60"/>
      <c r="AB21" s="60"/>
      <c r="AC21" s="60"/>
      <c r="AD21" s="60"/>
      <c r="AE21" s="60"/>
      <c r="AF21" s="60"/>
      <c r="AG21" s="1113"/>
    </row>
    <row r="22" spans="1:55">
      <c r="A22" s="1228"/>
      <c r="B22" s="74" t="s">
        <v>884</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113"/>
      <c r="BA22" s="7953" t="s">
        <v>957</v>
      </c>
      <c r="BB22" s="6273"/>
      <c r="BC22" s="6185"/>
    </row>
    <row r="23" spans="1:55">
      <c r="A23" s="1228"/>
      <c r="B23" s="74" t="s">
        <v>885</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113"/>
      <c r="BA23" s="7954" t="s">
        <v>956</v>
      </c>
      <c r="BB23" s="7954" t="s">
        <v>947</v>
      </c>
      <c r="BC23" s="7954" t="s">
        <v>948</v>
      </c>
    </row>
    <row r="24" spans="1:55" ht="4.5" customHeight="1" thickBot="1">
      <c r="A24" s="1228"/>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113"/>
      <c r="BA24" s="7955"/>
      <c r="BB24" s="7955"/>
      <c r="BC24" s="7955"/>
    </row>
    <row r="25" spans="1:55" ht="12" customHeight="1" thickBot="1">
      <c r="A25" s="1228"/>
      <c r="B25" s="1588">
        <f>IF(C25&lt;&gt;"",1,0)</f>
        <v>0</v>
      </c>
      <c r="C25" s="1587"/>
      <c r="D25" s="1085" t="s">
        <v>4198</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113"/>
      <c r="AJ25" s="7948"/>
      <c r="AK25" s="7949"/>
      <c r="AL25" s="7949"/>
      <c r="AM25" s="7949"/>
      <c r="AN25" s="7949"/>
      <c r="AO25" s="7949"/>
      <c r="AP25" s="7949"/>
      <c r="AQ25" s="7949"/>
      <c r="BA25" s="7955"/>
      <c r="BB25" s="7955"/>
      <c r="BC25" s="7955"/>
    </row>
    <row r="26" spans="1:55" ht="4.5" customHeight="1" thickBot="1">
      <c r="A26" s="1228"/>
      <c r="B26" s="1588"/>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113"/>
      <c r="BA26" s="7955"/>
      <c r="BB26" s="7955"/>
      <c r="BC26" s="7955"/>
    </row>
    <row r="27" spans="1:55" ht="11.25" customHeight="1" thickBot="1">
      <c r="A27" s="1228"/>
      <c r="B27" s="1588">
        <f>IF(C27&lt;&gt;"",1,0)</f>
        <v>0</v>
      </c>
      <c r="C27" s="1587"/>
      <c r="D27" s="1085" t="s">
        <v>4197</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113"/>
      <c r="AJ27" s="7948"/>
      <c r="AK27" s="7949"/>
      <c r="AL27" s="7949"/>
      <c r="AM27" s="7949"/>
      <c r="AN27" s="7949"/>
      <c r="AO27" s="7949"/>
      <c r="AP27" s="7949"/>
      <c r="AQ27" s="7949"/>
      <c r="BA27" s="7955"/>
      <c r="BB27" s="7955"/>
      <c r="BC27" s="7955"/>
    </row>
    <row r="28" spans="1:55" ht="4.5" customHeight="1" thickBot="1">
      <c r="A28" s="1228"/>
      <c r="B28" s="1588"/>
      <c r="C28" s="60"/>
      <c r="D28" s="74"/>
      <c r="E28" s="60"/>
      <c r="F28" s="60"/>
      <c r="G28" s="60"/>
      <c r="H28" s="60"/>
      <c r="I28" s="60"/>
      <c r="J28" s="60"/>
      <c r="K28" s="60"/>
      <c r="L28" s="60"/>
      <c r="M28" s="60"/>
      <c r="N28" s="60"/>
      <c r="O28" s="60"/>
      <c r="P28" s="60"/>
      <c r="Q28" s="60"/>
      <c r="R28" s="7940"/>
      <c r="S28" s="7941"/>
      <c r="T28" s="7941"/>
      <c r="U28" s="7941"/>
      <c r="V28" s="7941"/>
      <c r="W28" s="7941"/>
      <c r="X28" s="7941"/>
      <c r="Y28" s="7941"/>
      <c r="Z28" s="7941"/>
      <c r="AA28" s="7941"/>
      <c r="AB28" s="7941"/>
      <c r="AC28" s="7941"/>
      <c r="AD28" s="7941"/>
      <c r="AE28" s="7941"/>
      <c r="AF28" s="60"/>
      <c r="AG28" s="1113"/>
      <c r="BA28" s="7955"/>
      <c r="BB28" s="7955"/>
      <c r="BC28" s="7955"/>
    </row>
    <row r="29" spans="1:55" ht="12" customHeight="1" thickBot="1">
      <c r="A29" s="1228">
        <f>SUM(B25:B29)</f>
        <v>0</v>
      </c>
      <c r="B29" s="1588">
        <f>IF(C29&lt;&gt;"",1,0)</f>
        <v>0</v>
      </c>
      <c r="C29" s="1587"/>
      <c r="D29" s="1085" t="s">
        <v>4199</v>
      </c>
      <c r="E29" s="60"/>
      <c r="F29" s="60"/>
      <c r="G29" s="60"/>
      <c r="H29" s="60"/>
      <c r="I29" s="60"/>
      <c r="J29" s="60"/>
      <c r="K29" s="60"/>
      <c r="L29" s="60"/>
      <c r="M29" s="60"/>
      <c r="N29" s="60"/>
      <c r="O29" s="60"/>
      <c r="P29" s="60"/>
      <c r="Q29" s="60"/>
      <c r="R29" s="7940" t="str">
        <f>IF(SpaceUsed_8949B_ST,"ERROR: DO NOT use the space bar to uncheck a box. Use the 'Delete' key.",IF(A29&gt;1,"Check only ONE box.",IF(A29&gt;0,"",IF(A29&lt;1,"Check ONE box.",""))))</f>
        <v>Check ONE box.</v>
      </c>
      <c r="S29" s="7941"/>
      <c r="T29" s="7941"/>
      <c r="U29" s="7941"/>
      <c r="V29" s="7941"/>
      <c r="W29" s="7941"/>
      <c r="X29" s="7941"/>
      <c r="Y29" s="7941"/>
      <c r="Z29" s="7941"/>
      <c r="AA29" s="7941"/>
      <c r="AB29" s="7941"/>
      <c r="AC29" s="7941"/>
      <c r="AD29" s="7941"/>
      <c r="AE29" s="7941"/>
      <c r="AF29" s="60"/>
      <c r="AG29" s="1113"/>
      <c r="AH29" s="1786" t="b">
        <f>IF(OR(F8949BSBOXA=CHAR(32),F8949BSBOXB=CHAR(32),F8949BSBOXC=CHAR(32)),TRUE,FALSE)</f>
        <v>0</v>
      </c>
      <c r="AJ29" s="7956" t="s">
        <v>3403</v>
      </c>
      <c r="AK29" s="7949"/>
      <c r="AL29" s="7949"/>
      <c r="AM29" s="7949"/>
      <c r="AN29" s="7949"/>
      <c r="AO29" s="7949"/>
      <c r="AP29" s="7949"/>
      <c r="AQ29" s="7949"/>
      <c r="BA29" s="7955"/>
      <c r="BB29" s="7955"/>
      <c r="BC29" s="7955"/>
    </row>
    <row r="30" spans="1:55" ht="3.75" customHeight="1">
      <c r="A30" s="1228"/>
      <c r="B30" s="287"/>
      <c r="C30" s="1187"/>
      <c r="D30" s="287"/>
      <c r="E30" s="287"/>
      <c r="F30" s="287"/>
      <c r="G30" s="287"/>
      <c r="H30" s="287"/>
      <c r="I30" s="287"/>
      <c r="J30" s="287"/>
      <c r="K30" s="287"/>
      <c r="L30" s="287"/>
      <c r="M30" s="287"/>
      <c r="N30" s="1187"/>
      <c r="O30" s="287"/>
      <c r="P30" s="287"/>
      <c r="Q30" s="287"/>
      <c r="R30" s="287"/>
      <c r="S30" s="287"/>
      <c r="T30" s="287"/>
      <c r="U30" s="287"/>
      <c r="V30" s="287"/>
      <c r="W30" s="287"/>
      <c r="X30" s="287"/>
      <c r="Y30" s="1187"/>
      <c r="Z30" s="287"/>
      <c r="AA30" s="287"/>
      <c r="AB30" s="287"/>
      <c r="AC30" s="287"/>
      <c r="AD30" s="287"/>
      <c r="AE30" s="287"/>
      <c r="AF30" s="287"/>
      <c r="AG30" s="1113"/>
      <c r="BA30" s="7955"/>
      <c r="BB30" s="7955"/>
      <c r="BC30" s="7955"/>
    </row>
    <row r="31" spans="1:55" ht="21" customHeight="1">
      <c r="A31" s="1228"/>
      <c r="B31" s="7979">
        <v>1</v>
      </c>
      <c r="C31" s="7985" t="s">
        <v>733</v>
      </c>
      <c r="D31" s="7986"/>
      <c r="E31" s="7986"/>
      <c r="F31" s="7986"/>
      <c r="G31" s="7986"/>
      <c r="H31" s="7986"/>
      <c r="I31" s="7987"/>
      <c r="J31" s="8002" t="s">
        <v>892</v>
      </c>
      <c r="K31" s="6365"/>
      <c r="L31" s="6149"/>
      <c r="M31" s="8002" t="s">
        <v>893</v>
      </c>
      <c r="N31" s="6365"/>
      <c r="O31" s="6365"/>
      <c r="P31" s="6149"/>
      <c r="Q31" s="8002" t="s">
        <v>894</v>
      </c>
      <c r="R31" s="6365"/>
      <c r="S31" s="6365"/>
      <c r="T31" s="6149"/>
      <c r="U31" s="7927" t="s">
        <v>898</v>
      </c>
      <c r="V31" s="7928"/>
      <c r="W31" s="7928"/>
      <c r="X31" s="7999"/>
      <c r="Y31" s="7993" t="s">
        <v>4208</v>
      </c>
      <c r="Z31" s="7994"/>
      <c r="AA31" s="7994"/>
      <c r="AB31" s="7995"/>
      <c r="AC31" s="7927" t="s">
        <v>897</v>
      </c>
      <c r="AD31" s="7928"/>
      <c r="AE31" s="7928"/>
      <c r="AF31" s="7928"/>
      <c r="AG31" s="1113"/>
      <c r="AJ31" s="7946" t="s">
        <v>870</v>
      </c>
      <c r="AK31" s="7946" t="s">
        <v>900</v>
      </c>
      <c r="AL31" s="7946" t="s">
        <v>901</v>
      </c>
      <c r="AM31" s="7946" t="s">
        <v>902</v>
      </c>
      <c r="AN31" s="7944" t="s">
        <v>903</v>
      </c>
      <c r="AO31" s="7950" t="s">
        <v>895</v>
      </c>
      <c r="AP31" s="6115"/>
      <c r="AQ31" s="7946" t="s">
        <v>934</v>
      </c>
      <c r="BA31" s="7955"/>
      <c r="BB31" s="7955"/>
      <c r="BC31" s="7955"/>
    </row>
    <row r="32" spans="1:55" ht="21" customHeight="1">
      <c r="A32" s="1228"/>
      <c r="B32" s="7980"/>
      <c r="C32" s="7988"/>
      <c r="D32" s="7989"/>
      <c r="E32" s="7989"/>
      <c r="F32" s="7989"/>
      <c r="G32" s="7989"/>
      <c r="H32" s="7989"/>
      <c r="I32" s="7990"/>
      <c r="J32" s="8003"/>
      <c r="K32" s="7268"/>
      <c r="L32" s="6151"/>
      <c r="M32" s="8003"/>
      <c r="N32" s="7268"/>
      <c r="O32" s="7268"/>
      <c r="P32" s="6151"/>
      <c r="Q32" s="8003"/>
      <c r="R32" s="7268"/>
      <c r="S32" s="7268"/>
      <c r="T32" s="6151"/>
      <c r="U32" s="7929"/>
      <c r="V32" s="7930"/>
      <c r="W32" s="7930"/>
      <c r="X32" s="8000"/>
      <c r="Y32" s="7996"/>
      <c r="Z32" s="7997"/>
      <c r="AA32" s="7997"/>
      <c r="AB32" s="7998"/>
      <c r="AC32" s="7929"/>
      <c r="AD32" s="7930"/>
      <c r="AE32" s="7930"/>
      <c r="AF32" s="7930"/>
      <c r="AG32" s="1113"/>
      <c r="AJ32" s="7946"/>
      <c r="AK32" s="7946"/>
      <c r="AL32" s="7946"/>
      <c r="AM32" s="7946"/>
      <c r="AN32" s="7944"/>
      <c r="AO32" s="6250"/>
      <c r="AP32" s="6120"/>
      <c r="AQ32" s="7946"/>
      <c r="BA32" s="7955"/>
      <c r="BB32" s="7955"/>
      <c r="BC32" s="7955"/>
    </row>
    <row r="33" spans="1:55" ht="18" customHeight="1">
      <c r="A33" s="1228"/>
      <c r="B33" s="5646"/>
      <c r="C33" s="7989"/>
      <c r="D33" s="7989"/>
      <c r="E33" s="7989"/>
      <c r="F33" s="7989"/>
      <c r="G33" s="7989"/>
      <c r="H33" s="7989"/>
      <c r="I33" s="7990"/>
      <c r="J33" s="6150"/>
      <c r="K33" s="7268"/>
      <c r="L33" s="6151"/>
      <c r="M33" s="6150"/>
      <c r="N33" s="7268"/>
      <c r="O33" s="7268"/>
      <c r="P33" s="6151"/>
      <c r="Q33" s="6150"/>
      <c r="R33" s="7268"/>
      <c r="S33" s="7268"/>
      <c r="T33" s="6151"/>
      <c r="U33" s="7931"/>
      <c r="V33" s="7930"/>
      <c r="W33" s="7930"/>
      <c r="X33" s="8000"/>
      <c r="Y33" s="6310" t="s">
        <v>4210</v>
      </c>
      <c r="Z33" s="6149"/>
      <c r="AA33" s="6310" t="s">
        <v>896</v>
      </c>
      <c r="AB33" s="6244"/>
      <c r="AC33" s="7931"/>
      <c r="AD33" s="7930"/>
      <c r="AE33" s="7930"/>
      <c r="AF33" s="7930"/>
      <c r="AG33" s="1113"/>
      <c r="AJ33" s="7947"/>
      <c r="AK33" s="7947"/>
      <c r="AL33" s="7947"/>
      <c r="AM33" s="7947"/>
      <c r="AN33" s="7945"/>
      <c r="AO33" s="7952" t="s">
        <v>904</v>
      </c>
      <c r="AP33" s="6223" t="s">
        <v>896</v>
      </c>
      <c r="AQ33" s="7947"/>
      <c r="BA33" s="7955"/>
      <c r="BB33" s="7955"/>
      <c r="BC33" s="7955"/>
    </row>
    <row r="34" spans="1:55" ht="18" customHeight="1">
      <c r="A34" s="1228"/>
      <c r="B34" s="7981"/>
      <c r="C34" s="7991"/>
      <c r="D34" s="7991"/>
      <c r="E34" s="7991"/>
      <c r="F34" s="7991"/>
      <c r="G34" s="7991"/>
      <c r="H34" s="7991"/>
      <c r="I34" s="7992"/>
      <c r="J34" s="6152"/>
      <c r="K34" s="8004"/>
      <c r="L34" s="6153"/>
      <c r="M34" s="6152"/>
      <c r="N34" s="8004"/>
      <c r="O34" s="8004"/>
      <c r="P34" s="6153"/>
      <c r="Q34" s="6152"/>
      <c r="R34" s="8004"/>
      <c r="S34" s="8004"/>
      <c r="T34" s="6153"/>
      <c r="U34" s="7932"/>
      <c r="V34" s="7933"/>
      <c r="W34" s="7933"/>
      <c r="X34" s="8001"/>
      <c r="Y34" s="6152"/>
      <c r="Z34" s="6153"/>
      <c r="AA34" s="5580"/>
      <c r="AB34" s="6246"/>
      <c r="AC34" s="7932"/>
      <c r="AD34" s="7933"/>
      <c r="AE34" s="7933"/>
      <c r="AF34" s="7933"/>
      <c r="AG34" s="1113"/>
      <c r="AJ34" s="7947"/>
      <c r="AK34" s="7947"/>
      <c r="AL34" s="7947"/>
      <c r="AM34" s="7947"/>
      <c r="AN34" s="7945"/>
      <c r="AO34" s="7951"/>
      <c r="AP34" s="7951"/>
      <c r="AQ34" s="7947"/>
      <c r="BA34" s="7955"/>
      <c r="BB34" s="7955"/>
      <c r="BC34" s="7955"/>
    </row>
    <row r="35" spans="1:55" ht="19.5" customHeight="1">
      <c r="A35" s="1228">
        <f>IF(OR(U35&lt;&gt;"",Y35&lt;&gt;"",AC35&lt;&gt;""),1,0)</f>
        <v>0</v>
      </c>
      <c r="B35" s="7957" t="str">
        <f t="shared" ref="B35:B54" si="0">IF(AJ35="","",AJ35)</f>
        <v/>
      </c>
      <c r="C35" s="7958"/>
      <c r="D35" s="7958"/>
      <c r="E35" s="7958"/>
      <c r="F35" s="7958"/>
      <c r="G35" s="7958"/>
      <c r="H35" s="7958"/>
      <c r="I35" s="7959"/>
      <c r="J35" s="7960" t="str">
        <f t="shared" ref="J35:J54" si="1">IF(AK35="","",AK35)</f>
        <v/>
      </c>
      <c r="K35" s="7961"/>
      <c r="L35" s="7961"/>
      <c r="M35" s="7960" t="str">
        <f t="shared" ref="M35:M54" si="2">IF(AL35="","",AL35)</f>
        <v/>
      </c>
      <c r="N35" s="7961"/>
      <c r="O35" s="7961"/>
      <c r="P35" s="7962"/>
      <c r="Q35" s="5988" t="str">
        <f t="shared" ref="Q35:Q54" si="3">IF(AM35="","",AM35)</f>
        <v/>
      </c>
      <c r="R35" s="7942"/>
      <c r="S35" s="7942"/>
      <c r="T35" s="7943"/>
      <c r="U35" s="5988" t="str">
        <f t="shared" ref="U35:U54" si="4">IF(AN35="","",AN35)</f>
        <v/>
      </c>
      <c r="V35" s="7942"/>
      <c r="W35" s="7942"/>
      <c r="X35" s="7943"/>
      <c r="Y35" s="7924" t="str">
        <f>IF(AO35&lt;&gt;"",AO35,"")</f>
        <v/>
      </c>
      <c r="Z35" s="5495"/>
      <c r="AA35" s="7924" t="str">
        <f>IF(AP35="","",AP35)</f>
        <v/>
      </c>
      <c r="AB35" s="5495"/>
      <c r="AC35" s="7925" t="str">
        <f>IF(AQ35&lt;&gt;"",AQ35,IF(AND(Q35&lt;&gt;"",U35&lt;&gt;""),SUM(Q35,-U35,AA35),""))</f>
        <v/>
      </c>
      <c r="AD35" s="7926"/>
      <c r="AE35" s="7926"/>
      <c r="AF35" s="7926"/>
      <c r="AG35" s="1631">
        <f>IF(OR(J35="",M35=""),0,IF(OR(BA35,BB35,BC35),0,1))</f>
        <v>0</v>
      </c>
      <c r="AH35" s="1185"/>
      <c r="AI35" s="1185" t="e">
        <f t="shared" ref="AI35:AI54" si="5">M35-J35</f>
        <v>#VALUE!</v>
      </c>
      <c r="AJ35" s="1547"/>
      <c r="AK35" s="1551"/>
      <c r="AL35" s="1551"/>
      <c r="AM35" s="1549"/>
      <c r="AN35" s="1549"/>
      <c r="AO35" s="1550"/>
      <c r="AP35" s="1549"/>
      <c r="AQ35" s="1548"/>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28">
        <f t="shared" ref="A36:A54" si="6">IF(OR(U36&lt;&gt;"",Y36&lt;&gt;"",AC36&lt;&gt;""),1,0)</f>
        <v>0</v>
      </c>
      <c r="B36" s="7957" t="str">
        <f t="shared" si="0"/>
        <v/>
      </c>
      <c r="C36" s="7958"/>
      <c r="D36" s="7958"/>
      <c r="E36" s="7958"/>
      <c r="F36" s="7958"/>
      <c r="G36" s="7958"/>
      <c r="H36" s="7958"/>
      <c r="I36" s="7959"/>
      <c r="J36" s="7960" t="str">
        <f t="shared" si="1"/>
        <v/>
      </c>
      <c r="K36" s="7961"/>
      <c r="L36" s="7961"/>
      <c r="M36" s="7960" t="str">
        <f t="shared" si="2"/>
        <v/>
      </c>
      <c r="N36" s="7961"/>
      <c r="O36" s="7961"/>
      <c r="P36" s="7962"/>
      <c r="Q36" s="5988" t="str">
        <f t="shared" si="3"/>
        <v/>
      </c>
      <c r="R36" s="7942"/>
      <c r="S36" s="7942"/>
      <c r="T36" s="7943"/>
      <c r="U36" s="5988" t="str">
        <f t="shared" si="4"/>
        <v/>
      </c>
      <c r="V36" s="7942"/>
      <c r="W36" s="7942"/>
      <c r="X36" s="7943"/>
      <c r="Y36" s="7924" t="str">
        <f>IF(AO36&lt;&gt;"",AO36,"")</f>
        <v/>
      </c>
      <c r="Z36" s="5495"/>
      <c r="AA36" s="7924" t="str">
        <f>IF(AP36="","",AP36)</f>
        <v/>
      </c>
      <c r="AB36" s="5495"/>
      <c r="AC36" s="7925" t="str">
        <f t="shared" ref="AC36:AC54" si="7">IF(AQ36&lt;&gt;"",AQ36,IF(AND(Q36&lt;&gt;"",U36&lt;&gt;""),SUM(Q36,-U36,AA36),""))</f>
        <v/>
      </c>
      <c r="AD36" s="7926"/>
      <c r="AE36" s="7926"/>
      <c r="AF36" s="7926"/>
      <c r="AG36" s="1631">
        <f t="shared" ref="AG36:AG54" si="8">IF(OR(J36="",M36=""),0,IF(OR(BA36,BB36,BC36),0,1))</f>
        <v>0</v>
      </c>
      <c r="AH36" s="1185"/>
      <c r="AI36" s="1185" t="e">
        <f t="shared" si="5"/>
        <v>#VALUE!</v>
      </c>
      <c r="AJ36" s="1547"/>
      <c r="AK36" s="1551"/>
      <c r="AL36" s="1551"/>
      <c r="AM36" s="1549"/>
      <c r="AN36" s="1549"/>
      <c r="AO36" s="1550"/>
      <c r="AP36" s="1549"/>
      <c r="AQ36" s="1548"/>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28">
        <f t="shared" si="6"/>
        <v>0</v>
      </c>
      <c r="B37" s="7957" t="str">
        <f t="shared" si="0"/>
        <v/>
      </c>
      <c r="C37" s="7958"/>
      <c r="D37" s="7958"/>
      <c r="E37" s="7958"/>
      <c r="F37" s="7958"/>
      <c r="G37" s="7958"/>
      <c r="H37" s="7958"/>
      <c r="I37" s="7959"/>
      <c r="J37" s="7960" t="str">
        <f t="shared" si="1"/>
        <v/>
      </c>
      <c r="K37" s="7961"/>
      <c r="L37" s="7961"/>
      <c r="M37" s="7960" t="str">
        <f t="shared" si="2"/>
        <v/>
      </c>
      <c r="N37" s="7961"/>
      <c r="O37" s="7961"/>
      <c r="P37" s="7962"/>
      <c r="Q37" s="5988" t="str">
        <f t="shared" si="3"/>
        <v/>
      </c>
      <c r="R37" s="7942"/>
      <c r="S37" s="7942"/>
      <c r="T37" s="7943"/>
      <c r="U37" s="5988" t="str">
        <f t="shared" si="4"/>
        <v/>
      </c>
      <c r="V37" s="7942"/>
      <c r="W37" s="7942"/>
      <c r="X37" s="7943"/>
      <c r="Y37" s="7924" t="str">
        <f>IF(AO37&lt;&gt;"",AO37,"")</f>
        <v/>
      </c>
      <c r="Z37" s="5495"/>
      <c r="AA37" s="7924" t="str">
        <f>IF(AP37="","",AP37)</f>
        <v/>
      </c>
      <c r="AB37" s="5495"/>
      <c r="AC37" s="7925" t="str">
        <f t="shared" si="7"/>
        <v/>
      </c>
      <c r="AD37" s="7926"/>
      <c r="AE37" s="7926"/>
      <c r="AF37" s="7926"/>
      <c r="AG37" s="1631">
        <f t="shared" si="8"/>
        <v>0</v>
      </c>
      <c r="AH37" s="1185"/>
      <c r="AI37" s="1185" t="e">
        <f t="shared" si="5"/>
        <v>#VALUE!</v>
      </c>
      <c r="AJ37" s="1547"/>
      <c r="AK37" s="1551"/>
      <c r="AL37" s="1551"/>
      <c r="AM37" s="1549"/>
      <c r="AN37" s="1549"/>
      <c r="AO37" s="1550"/>
      <c r="AP37" s="1549"/>
      <c r="AQ37" s="1548"/>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28">
        <f t="shared" si="6"/>
        <v>0</v>
      </c>
      <c r="B38" s="7957" t="str">
        <f t="shared" si="0"/>
        <v/>
      </c>
      <c r="C38" s="7958"/>
      <c r="D38" s="7958"/>
      <c r="E38" s="7958"/>
      <c r="F38" s="7958"/>
      <c r="G38" s="7958"/>
      <c r="H38" s="7958"/>
      <c r="I38" s="7959"/>
      <c r="J38" s="7960" t="str">
        <f t="shared" si="1"/>
        <v/>
      </c>
      <c r="K38" s="7961"/>
      <c r="L38" s="7961"/>
      <c r="M38" s="7960" t="str">
        <f t="shared" si="2"/>
        <v/>
      </c>
      <c r="N38" s="7961"/>
      <c r="O38" s="7961"/>
      <c r="P38" s="7962"/>
      <c r="Q38" s="5988" t="str">
        <f t="shared" si="3"/>
        <v/>
      </c>
      <c r="R38" s="7942"/>
      <c r="S38" s="7942"/>
      <c r="T38" s="7943"/>
      <c r="U38" s="5988" t="str">
        <f t="shared" si="4"/>
        <v/>
      </c>
      <c r="V38" s="7942"/>
      <c r="W38" s="7942"/>
      <c r="X38" s="7943"/>
      <c r="Y38" s="7924" t="str">
        <f t="shared" ref="Y38:Y54" si="18">IF(AO38&lt;&gt;"",AO38,"")</f>
        <v/>
      </c>
      <c r="Z38" s="5495"/>
      <c r="AA38" s="7924" t="str">
        <f t="shared" ref="AA38:AA54" si="19">IF(AP38="","",AP38)</f>
        <v/>
      </c>
      <c r="AB38" s="5495"/>
      <c r="AC38" s="7925" t="str">
        <f t="shared" si="7"/>
        <v/>
      </c>
      <c r="AD38" s="7926"/>
      <c r="AE38" s="7926"/>
      <c r="AF38" s="7926"/>
      <c r="AG38" s="1631">
        <f t="shared" si="8"/>
        <v>0</v>
      </c>
      <c r="AH38" s="1185"/>
      <c r="AI38" s="1185" t="e">
        <f t="shared" si="5"/>
        <v>#VALUE!</v>
      </c>
      <c r="AJ38" s="1547"/>
      <c r="AK38" s="1551"/>
      <c r="AL38" s="1551"/>
      <c r="AM38" s="1549"/>
      <c r="AN38" s="1549"/>
      <c r="AO38" s="1550"/>
      <c r="AP38" s="1549"/>
      <c r="AQ38" s="1548"/>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28">
        <f t="shared" si="6"/>
        <v>0</v>
      </c>
      <c r="B39" s="7957" t="str">
        <f t="shared" si="0"/>
        <v/>
      </c>
      <c r="C39" s="7958"/>
      <c r="D39" s="7958"/>
      <c r="E39" s="7958"/>
      <c r="F39" s="7958"/>
      <c r="G39" s="7958"/>
      <c r="H39" s="7958"/>
      <c r="I39" s="7959"/>
      <c r="J39" s="7960" t="str">
        <f t="shared" si="1"/>
        <v/>
      </c>
      <c r="K39" s="7961"/>
      <c r="L39" s="7961"/>
      <c r="M39" s="7960" t="str">
        <f t="shared" si="2"/>
        <v/>
      </c>
      <c r="N39" s="7961"/>
      <c r="O39" s="7961"/>
      <c r="P39" s="7962"/>
      <c r="Q39" s="5988" t="str">
        <f t="shared" si="3"/>
        <v/>
      </c>
      <c r="R39" s="7942"/>
      <c r="S39" s="7942"/>
      <c r="T39" s="7943"/>
      <c r="U39" s="5988" t="str">
        <f t="shared" si="4"/>
        <v/>
      </c>
      <c r="V39" s="7942"/>
      <c r="W39" s="7942"/>
      <c r="X39" s="7943"/>
      <c r="Y39" s="7924" t="str">
        <f t="shared" si="18"/>
        <v/>
      </c>
      <c r="Z39" s="5495"/>
      <c r="AA39" s="7924" t="str">
        <f t="shared" si="19"/>
        <v/>
      </c>
      <c r="AB39" s="5495"/>
      <c r="AC39" s="7925" t="str">
        <f t="shared" si="7"/>
        <v/>
      </c>
      <c r="AD39" s="7926"/>
      <c r="AE39" s="7926"/>
      <c r="AF39" s="7926"/>
      <c r="AG39" s="1631">
        <f t="shared" si="8"/>
        <v>0</v>
      </c>
      <c r="AH39" s="1185"/>
      <c r="AI39" s="1185" t="e">
        <f t="shared" si="5"/>
        <v>#VALUE!</v>
      </c>
      <c r="AJ39" s="1547"/>
      <c r="AK39" s="1551"/>
      <c r="AL39" s="1551"/>
      <c r="AM39" s="1549"/>
      <c r="AN39" s="1549"/>
      <c r="AO39" s="1550"/>
      <c r="AP39" s="1549"/>
      <c r="AQ39" s="1548"/>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28">
        <f t="shared" si="6"/>
        <v>0</v>
      </c>
      <c r="B40" s="7957" t="str">
        <f t="shared" si="0"/>
        <v/>
      </c>
      <c r="C40" s="7958"/>
      <c r="D40" s="7958"/>
      <c r="E40" s="7958"/>
      <c r="F40" s="7958"/>
      <c r="G40" s="7958"/>
      <c r="H40" s="7958"/>
      <c r="I40" s="7959"/>
      <c r="J40" s="7960" t="str">
        <f t="shared" si="1"/>
        <v/>
      </c>
      <c r="K40" s="7961"/>
      <c r="L40" s="7961"/>
      <c r="M40" s="7960" t="str">
        <f t="shared" si="2"/>
        <v/>
      </c>
      <c r="N40" s="7961"/>
      <c r="O40" s="7961"/>
      <c r="P40" s="7962"/>
      <c r="Q40" s="5988" t="str">
        <f t="shared" si="3"/>
        <v/>
      </c>
      <c r="R40" s="7942"/>
      <c r="S40" s="7942"/>
      <c r="T40" s="7943"/>
      <c r="U40" s="5988" t="str">
        <f t="shared" si="4"/>
        <v/>
      </c>
      <c r="V40" s="7942"/>
      <c r="W40" s="7942"/>
      <c r="X40" s="7943"/>
      <c r="Y40" s="7924" t="str">
        <f t="shared" si="18"/>
        <v/>
      </c>
      <c r="Z40" s="5495"/>
      <c r="AA40" s="7924" t="str">
        <f t="shared" si="19"/>
        <v/>
      </c>
      <c r="AB40" s="5495"/>
      <c r="AC40" s="7925" t="str">
        <f t="shared" si="7"/>
        <v/>
      </c>
      <c r="AD40" s="7926"/>
      <c r="AE40" s="7926"/>
      <c r="AF40" s="7926"/>
      <c r="AG40" s="1631">
        <f t="shared" si="8"/>
        <v>0</v>
      </c>
      <c r="AH40" s="1185"/>
      <c r="AI40" s="1185" t="e">
        <f t="shared" si="5"/>
        <v>#VALUE!</v>
      </c>
      <c r="AJ40" s="1547"/>
      <c r="AK40" s="1551"/>
      <c r="AL40" s="1551"/>
      <c r="AM40" s="1549"/>
      <c r="AN40" s="1549"/>
      <c r="AO40" s="1550"/>
      <c r="AP40" s="1549"/>
      <c r="AQ40" s="1548"/>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28">
        <f t="shared" si="6"/>
        <v>0</v>
      </c>
      <c r="B41" s="7957" t="str">
        <f t="shared" si="0"/>
        <v/>
      </c>
      <c r="C41" s="7958"/>
      <c r="D41" s="7958"/>
      <c r="E41" s="7958"/>
      <c r="F41" s="7958"/>
      <c r="G41" s="7958"/>
      <c r="H41" s="7958"/>
      <c r="I41" s="7959"/>
      <c r="J41" s="7960" t="str">
        <f t="shared" si="1"/>
        <v/>
      </c>
      <c r="K41" s="7961"/>
      <c r="L41" s="7961"/>
      <c r="M41" s="7960" t="str">
        <f t="shared" si="2"/>
        <v/>
      </c>
      <c r="N41" s="7961"/>
      <c r="O41" s="7961"/>
      <c r="P41" s="7962"/>
      <c r="Q41" s="5988" t="str">
        <f t="shared" si="3"/>
        <v/>
      </c>
      <c r="R41" s="7942"/>
      <c r="S41" s="7942"/>
      <c r="T41" s="7943"/>
      <c r="U41" s="5988" t="str">
        <f t="shared" si="4"/>
        <v/>
      </c>
      <c r="V41" s="7942"/>
      <c r="W41" s="7942"/>
      <c r="X41" s="7943"/>
      <c r="Y41" s="7924" t="str">
        <f t="shared" si="18"/>
        <v/>
      </c>
      <c r="Z41" s="5495"/>
      <c r="AA41" s="7924" t="str">
        <f t="shared" si="19"/>
        <v/>
      </c>
      <c r="AB41" s="5495"/>
      <c r="AC41" s="7925" t="str">
        <f t="shared" si="7"/>
        <v/>
      </c>
      <c r="AD41" s="7926"/>
      <c r="AE41" s="7926"/>
      <c r="AF41" s="7926"/>
      <c r="AG41" s="1631">
        <f t="shared" si="8"/>
        <v>0</v>
      </c>
      <c r="AH41" s="1185"/>
      <c r="AI41" s="1185" t="e">
        <f t="shared" si="5"/>
        <v>#VALUE!</v>
      </c>
      <c r="AJ41" s="1547"/>
      <c r="AK41" s="1551"/>
      <c r="AL41" s="1551"/>
      <c r="AM41" s="1549"/>
      <c r="AN41" s="1549"/>
      <c r="AO41" s="1550"/>
      <c r="AP41" s="1549"/>
      <c r="AQ41" s="1548"/>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28">
        <f t="shared" si="6"/>
        <v>0</v>
      </c>
      <c r="B42" s="7957" t="str">
        <f t="shared" si="0"/>
        <v/>
      </c>
      <c r="C42" s="7958"/>
      <c r="D42" s="7958"/>
      <c r="E42" s="7958"/>
      <c r="F42" s="7958"/>
      <c r="G42" s="7958"/>
      <c r="H42" s="7958"/>
      <c r="I42" s="7959"/>
      <c r="J42" s="7960" t="str">
        <f t="shared" si="1"/>
        <v/>
      </c>
      <c r="K42" s="7961"/>
      <c r="L42" s="7961"/>
      <c r="M42" s="7960" t="str">
        <f t="shared" si="2"/>
        <v/>
      </c>
      <c r="N42" s="7961"/>
      <c r="O42" s="7961"/>
      <c r="P42" s="7962"/>
      <c r="Q42" s="5988" t="str">
        <f t="shared" si="3"/>
        <v/>
      </c>
      <c r="R42" s="7942"/>
      <c r="S42" s="7942"/>
      <c r="T42" s="7943"/>
      <c r="U42" s="5988" t="str">
        <f t="shared" si="4"/>
        <v/>
      </c>
      <c r="V42" s="7942"/>
      <c r="W42" s="7942"/>
      <c r="X42" s="7943"/>
      <c r="Y42" s="7924" t="str">
        <f t="shared" si="18"/>
        <v/>
      </c>
      <c r="Z42" s="5495"/>
      <c r="AA42" s="7924" t="str">
        <f t="shared" si="19"/>
        <v/>
      </c>
      <c r="AB42" s="5495"/>
      <c r="AC42" s="7925" t="str">
        <f t="shared" si="7"/>
        <v/>
      </c>
      <c r="AD42" s="7926"/>
      <c r="AE42" s="7926"/>
      <c r="AF42" s="7926"/>
      <c r="AG42" s="1631">
        <f t="shared" si="8"/>
        <v>0</v>
      </c>
      <c r="AH42" s="1185"/>
      <c r="AI42" s="1185" t="e">
        <f t="shared" si="5"/>
        <v>#VALUE!</v>
      </c>
      <c r="AJ42" s="1547"/>
      <c r="AK42" s="1551"/>
      <c r="AL42" s="1551"/>
      <c r="AM42" s="1549"/>
      <c r="AN42" s="1549"/>
      <c r="AO42" s="1550"/>
      <c r="AP42" s="1549"/>
      <c r="AQ42" s="1548"/>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28">
        <f t="shared" si="6"/>
        <v>0</v>
      </c>
      <c r="B43" s="7957" t="str">
        <f t="shared" si="0"/>
        <v/>
      </c>
      <c r="C43" s="7958"/>
      <c r="D43" s="7958"/>
      <c r="E43" s="7958"/>
      <c r="F43" s="7958"/>
      <c r="G43" s="7958"/>
      <c r="H43" s="7958"/>
      <c r="I43" s="7959"/>
      <c r="J43" s="7960" t="str">
        <f t="shared" si="1"/>
        <v/>
      </c>
      <c r="K43" s="7961"/>
      <c r="L43" s="7961"/>
      <c r="M43" s="7960" t="str">
        <f t="shared" si="2"/>
        <v/>
      </c>
      <c r="N43" s="7961"/>
      <c r="O43" s="7961"/>
      <c r="P43" s="7962"/>
      <c r="Q43" s="5988" t="str">
        <f t="shared" si="3"/>
        <v/>
      </c>
      <c r="R43" s="7942"/>
      <c r="S43" s="7942"/>
      <c r="T43" s="7943"/>
      <c r="U43" s="5988" t="str">
        <f t="shared" si="4"/>
        <v/>
      </c>
      <c r="V43" s="7942"/>
      <c r="W43" s="7942"/>
      <c r="X43" s="7943"/>
      <c r="Y43" s="7924" t="str">
        <f t="shared" si="18"/>
        <v/>
      </c>
      <c r="Z43" s="5495"/>
      <c r="AA43" s="7924" t="str">
        <f t="shared" si="19"/>
        <v/>
      </c>
      <c r="AB43" s="5495"/>
      <c r="AC43" s="7925" t="str">
        <f t="shared" si="7"/>
        <v/>
      </c>
      <c r="AD43" s="7926"/>
      <c r="AE43" s="7926"/>
      <c r="AF43" s="7926"/>
      <c r="AG43" s="1631">
        <f t="shared" si="8"/>
        <v>0</v>
      </c>
      <c r="AH43" s="1185"/>
      <c r="AI43" s="1185" t="e">
        <f t="shared" si="5"/>
        <v>#VALUE!</v>
      </c>
      <c r="AJ43" s="1547"/>
      <c r="AK43" s="1551"/>
      <c r="AL43" s="1551"/>
      <c r="AM43" s="1549"/>
      <c r="AN43" s="1549"/>
      <c r="AO43" s="1550"/>
      <c r="AP43" s="1549"/>
      <c r="AQ43" s="1548"/>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28">
        <f t="shared" si="6"/>
        <v>0</v>
      </c>
      <c r="B44" s="7957" t="str">
        <f t="shared" si="0"/>
        <v/>
      </c>
      <c r="C44" s="7958"/>
      <c r="D44" s="7958"/>
      <c r="E44" s="7958"/>
      <c r="F44" s="7958"/>
      <c r="G44" s="7958"/>
      <c r="H44" s="7958"/>
      <c r="I44" s="7959"/>
      <c r="J44" s="7960" t="str">
        <f t="shared" si="1"/>
        <v/>
      </c>
      <c r="K44" s="7961"/>
      <c r="L44" s="7961"/>
      <c r="M44" s="7960" t="str">
        <f t="shared" si="2"/>
        <v/>
      </c>
      <c r="N44" s="7961"/>
      <c r="O44" s="7961"/>
      <c r="P44" s="7962"/>
      <c r="Q44" s="5988" t="str">
        <f t="shared" si="3"/>
        <v/>
      </c>
      <c r="R44" s="7942"/>
      <c r="S44" s="7942"/>
      <c r="T44" s="7943"/>
      <c r="U44" s="5988" t="str">
        <f t="shared" si="4"/>
        <v/>
      </c>
      <c r="V44" s="7942"/>
      <c r="W44" s="7942"/>
      <c r="X44" s="7943"/>
      <c r="Y44" s="7924" t="str">
        <f t="shared" si="18"/>
        <v/>
      </c>
      <c r="Z44" s="5495"/>
      <c r="AA44" s="7924" t="str">
        <f t="shared" si="19"/>
        <v/>
      </c>
      <c r="AB44" s="5495"/>
      <c r="AC44" s="7925" t="str">
        <f t="shared" si="7"/>
        <v/>
      </c>
      <c r="AD44" s="7926"/>
      <c r="AE44" s="7926"/>
      <c r="AF44" s="7926"/>
      <c r="AG44" s="1631">
        <f t="shared" si="8"/>
        <v>0</v>
      </c>
      <c r="AH44" s="1185"/>
      <c r="AI44" s="1185" t="e">
        <f t="shared" si="5"/>
        <v>#VALUE!</v>
      </c>
      <c r="AJ44" s="1547"/>
      <c r="AK44" s="1551"/>
      <c r="AL44" s="1551"/>
      <c r="AM44" s="1549"/>
      <c r="AN44" s="1549"/>
      <c r="AO44" s="1550"/>
      <c r="AP44" s="1549"/>
      <c r="AQ44" s="1548"/>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28">
        <f t="shared" si="6"/>
        <v>0</v>
      </c>
      <c r="B45" s="7957" t="str">
        <f t="shared" si="0"/>
        <v/>
      </c>
      <c r="C45" s="7958"/>
      <c r="D45" s="7958"/>
      <c r="E45" s="7958"/>
      <c r="F45" s="7958"/>
      <c r="G45" s="7958"/>
      <c r="H45" s="7958"/>
      <c r="I45" s="7959"/>
      <c r="J45" s="7960" t="str">
        <f t="shared" si="1"/>
        <v/>
      </c>
      <c r="K45" s="7961"/>
      <c r="L45" s="7961"/>
      <c r="M45" s="7960" t="str">
        <f t="shared" si="2"/>
        <v/>
      </c>
      <c r="N45" s="7961"/>
      <c r="O45" s="7961"/>
      <c r="P45" s="7962"/>
      <c r="Q45" s="5988" t="str">
        <f t="shared" si="3"/>
        <v/>
      </c>
      <c r="R45" s="7942"/>
      <c r="S45" s="7942"/>
      <c r="T45" s="7943"/>
      <c r="U45" s="5988" t="str">
        <f t="shared" si="4"/>
        <v/>
      </c>
      <c r="V45" s="7942"/>
      <c r="W45" s="7942"/>
      <c r="X45" s="7943"/>
      <c r="Y45" s="7924" t="str">
        <f t="shared" si="18"/>
        <v/>
      </c>
      <c r="Z45" s="5495"/>
      <c r="AA45" s="7924" t="str">
        <f t="shared" si="19"/>
        <v/>
      </c>
      <c r="AB45" s="5495"/>
      <c r="AC45" s="7925" t="str">
        <f t="shared" si="7"/>
        <v/>
      </c>
      <c r="AD45" s="7926"/>
      <c r="AE45" s="7926"/>
      <c r="AF45" s="7926"/>
      <c r="AG45" s="1631">
        <f t="shared" si="8"/>
        <v>0</v>
      </c>
      <c r="AH45" s="1185"/>
      <c r="AI45" s="1185" t="e">
        <f t="shared" si="5"/>
        <v>#VALUE!</v>
      </c>
      <c r="AJ45" s="1547"/>
      <c r="AK45" s="1551"/>
      <c r="AL45" s="1551"/>
      <c r="AM45" s="1549"/>
      <c r="AN45" s="1549"/>
      <c r="AO45" s="1550"/>
      <c r="AP45" s="1549"/>
      <c r="AQ45" s="1548"/>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28">
        <f t="shared" si="6"/>
        <v>0</v>
      </c>
      <c r="B46" s="7957" t="str">
        <f t="shared" si="0"/>
        <v/>
      </c>
      <c r="C46" s="7958"/>
      <c r="D46" s="7958"/>
      <c r="E46" s="7958"/>
      <c r="F46" s="7958"/>
      <c r="G46" s="7958"/>
      <c r="H46" s="7958"/>
      <c r="I46" s="7959"/>
      <c r="J46" s="7960" t="str">
        <f t="shared" si="1"/>
        <v/>
      </c>
      <c r="K46" s="7961"/>
      <c r="L46" s="7961"/>
      <c r="M46" s="7960" t="str">
        <f t="shared" si="2"/>
        <v/>
      </c>
      <c r="N46" s="7961"/>
      <c r="O46" s="7961"/>
      <c r="P46" s="7962"/>
      <c r="Q46" s="5988" t="str">
        <f t="shared" si="3"/>
        <v/>
      </c>
      <c r="R46" s="7942"/>
      <c r="S46" s="7942"/>
      <c r="T46" s="7943"/>
      <c r="U46" s="5988" t="str">
        <f t="shared" si="4"/>
        <v/>
      </c>
      <c r="V46" s="7942"/>
      <c r="W46" s="7942"/>
      <c r="X46" s="7943"/>
      <c r="Y46" s="7924" t="str">
        <f t="shared" si="18"/>
        <v/>
      </c>
      <c r="Z46" s="5495"/>
      <c r="AA46" s="7924" t="str">
        <f t="shared" si="19"/>
        <v/>
      </c>
      <c r="AB46" s="5495"/>
      <c r="AC46" s="7925" t="str">
        <f t="shared" si="7"/>
        <v/>
      </c>
      <c r="AD46" s="7926"/>
      <c r="AE46" s="7926"/>
      <c r="AF46" s="7926"/>
      <c r="AG46" s="1631">
        <f t="shared" si="8"/>
        <v>0</v>
      </c>
      <c r="AH46" s="1185"/>
      <c r="AI46" s="1185" t="e">
        <f t="shared" si="5"/>
        <v>#VALUE!</v>
      </c>
      <c r="AJ46" s="1547"/>
      <c r="AK46" s="1551"/>
      <c r="AL46" s="1551"/>
      <c r="AM46" s="1549"/>
      <c r="AN46" s="1549"/>
      <c r="AO46" s="1550"/>
      <c r="AP46" s="1549"/>
      <c r="AQ46" s="1548"/>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28">
        <f t="shared" si="6"/>
        <v>0</v>
      </c>
      <c r="B47" s="7957" t="str">
        <f t="shared" si="0"/>
        <v/>
      </c>
      <c r="C47" s="7958"/>
      <c r="D47" s="7958"/>
      <c r="E47" s="7958"/>
      <c r="F47" s="7958"/>
      <c r="G47" s="7958"/>
      <c r="H47" s="7958"/>
      <c r="I47" s="7959"/>
      <c r="J47" s="7960" t="str">
        <f t="shared" si="1"/>
        <v/>
      </c>
      <c r="K47" s="7961"/>
      <c r="L47" s="7961"/>
      <c r="M47" s="7960" t="str">
        <f t="shared" si="2"/>
        <v/>
      </c>
      <c r="N47" s="7961"/>
      <c r="O47" s="7961"/>
      <c r="P47" s="7962"/>
      <c r="Q47" s="5988" t="str">
        <f t="shared" si="3"/>
        <v/>
      </c>
      <c r="R47" s="7942"/>
      <c r="S47" s="7942"/>
      <c r="T47" s="7943"/>
      <c r="U47" s="5988" t="str">
        <f t="shared" si="4"/>
        <v/>
      </c>
      <c r="V47" s="7942"/>
      <c r="W47" s="7942"/>
      <c r="X47" s="7943"/>
      <c r="Y47" s="7924" t="str">
        <f t="shared" si="18"/>
        <v/>
      </c>
      <c r="Z47" s="5495"/>
      <c r="AA47" s="7924" t="str">
        <f t="shared" si="19"/>
        <v/>
      </c>
      <c r="AB47" s="5495"/>
      <c r="AC47" s="7925" t="str">
        <f t="shared" si="7"/>
        <v/>
      </c>
      <c r="AD47" s="7926"/>
      <c r="AE47" s="7926"/>
      <c r="AF47" s="7926"/>
      <c r="AG47" s="1631">
        <f t="shared" si="8"/>
        <v>0</v>
      </c>
      <c r="AH47" s="1185"/>
      <c r="AI47" s="1185" t="e">
        <f t="shared" si="5"/>
        <v>#VALUE!</v>
      </c>
      <c r="AJ47" s="1547"/>
      <c r="AK47" s="1551"/>
      <c r="AL47" s="1551"/>
      <c r="AM47" s="1549"/>
      <c r="AN47" s="1549"/>
      <c r="AO47" s="1550"/>
      <c r="AP47" s="1549"/>
      <c r="AQ47" s="1548"/>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28">
        <f t="shared" si="6"/>
        <v>0</v>
      </c>
      <c r="B48" s="7957" t="str">
        <f t="shared" si="0"/>
        <v/>
      </c>
      <c r="C48" s="7958"/>
      <c r="D48" s="7958"/>
      <c r="E48" s="7958"/>
      <c r="F48" s="7958"/>
      <c r="G48" s="7958"/>
      <c r="H48" s="7958"/>
      <c r="I48" s="7959"/>
      <c r="J48" s="7960" t="str">
        <f t="shared" si="1"/>
        <v/>
      </c>
      <c r="K48" s="7961"/>
      <c r="L48" s="7961"/>
      <c r="M48" s="7960" t="str">
        <f t="shared" si="2"/>
        <v/>
      </c>
      <c r="N48" s="7961"/>
      <c r="O48" s="7961"/>
      <c r="P48" s="7962"/>
      <c r="Q48" s="5988" t="str">
        <f t="shared" si="3"/>
        <v/>
      </c>
      <c r="R48" s="7942"/>
      <c r="S48" s="7942"/>
      <c r="T48" s="7943"/>
      <c r="U48" s="5988" t="str">
        <f t="shared" si="4"/>
        <v/>
      </c>
      <c r="V48" s="7942"/>
      <c r="W48" s="7942"/>
      <c r="X48" s="7943"/>
      <c r="Y48" s="7924" t="str">
        <f t="shared" si="18"/>
        <v/>
      </c>
      <c r="Z48" s="5495"/>
      <c r="AA48" s="7924" t="str">
        <f t="shared" si="19"/>
        <v/>
      </c>
      <c r="AB48" s="5495"/>
      <c r="AC48" s="7925" t="str">
        <f t="shared" si="7"/>
        <v/>
      </c>
      <c r="AD48" s="7926"/>
      <c r="AE48" s="7926"/>
      <c r="AF48" s="7926"/>
      <c r="AG48" s="1631">
        <f t="shared" si="8"/>
        <v>0</v>
      </c>
      <c r="AH48" s="1185"/>
      <c r="AI48" s="1185" t="e">
        <f t="shared" si="5"/>
        <v>#VALUE!</v>
      </c>
      <c r="AJ48" s="1547"/>
      <c r="AK48" s="1551"/>
      <c r="AL48" s="1551"/>
      <c r="AM48" s="1549"/>
      <c r="AN48" s="1549"/>
      <c r="AO48" s="1550"/>
      <c r="AP48" s="1549"/>
      <c r="AQ48" s="1548"/>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28">
        <f t="shared" si="6"/>
        <v>0</v>
      </c>
      <c r="B49" s="7957" t="str">
        <f t="shared" si="0"/>
        <v/>
      </c>
      <c r="C49" s="7958"/>
      <c r="D49" s="7958"/>
      <c r="E49" s="7958"/>
      <c r="F49" s="7958"/>
      <c r="G49" s="7958"/>
      <c r="H49" s="7958"/>
      <c r="I49" s="7959"/>
      <c r="J49" s="7960" t="str">
        <f t="shared" si="1"/>
        <v/>
      </c>
      <c r="K49" s="7961"/>
      <c r="L49" s="7961"/>
      <c r="M49" s="7960" t="str">
        <f t="shared" si="2"/>
        <v/>
      </c>
      <c r="N49" s="7961"/>
      <c r="O49" s="7961"/>
      <c r="P49" s="7962"/>
      <c r="Q49" s="5988" t="str">
        <f t="shared" si="3"/>
        <v/>
      </c>
      <c r="R49" s="7942"/>
      <c r="S49" s="7942"/>
      <c r="T49" s="7943"/>
      <c r="U49" s="5988" t="str">
        <f t="shared" si="4"/>
        <v/>
      </c>
      <c r="V49" s="7942"/>
      <c r="W49" s="7942"/>
      <c r="X49" s="7943"/>
      <c r="Y49" s="7924" t="str">
        <f t="shared" si="18"/>
        <v/>
      </c>
      <c r="Z49" s="5495"/>
      <c r="AA49" s="7924" t="str">
        <f t="shared" si="19"/>
        <v/>
      </c>
      <c r="AB49" s="5495"/>
      <c r="AC49" s="7925" t="str">
        <f t="shared" si="7"/>
        <v/>
      </c>
      <c r="AD49" s="7926"/>
      <c r="AE49" s="7926"/>
      <c r="AF49" s="7926"/>
      <c r="AG49" s="1631">
        <f t="shared" si="8"/>
        <v>0</v>
      </c>
      <c r="AH49" s="1185"/>
      <c r="AI49" s="1185" t="e">
        <f t="shared" si="5"/>
        <v>#VALUE!</v>
      </c>
      <c r="AJ49" s="1547"/>
      <c r="AK49" s="1551"/>
      <c r="AL49" s="1551"/>
      <c r="AM49" s="1549"/>
      <c r="AN49" s="1549"/>
      <c r="AO49" s="1550"/>
      <c r="AP49" s="1549"/>
      <c r="AQ49" s="1548"/>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28">
        <f t="shared" si="6"/>
        <v>0</v>
      </c>
      <c r="B50" s="7957" t="str">
        <f t="shared" si="0"/>
        <v/>
      </c>
      <c r="C50" s="7958"/>
      <c r="D50" s="7958"/>
      <c r="E50" s="7958"/>
      <c r="F50" s="7958"/>
      <c r="G50" s="7958"/>
      <c r="H50" s="7958"/>
      <c r="I50" s="7959"/>
      <c r="J50" s="7960" t="str">
        <f t="shared" si="1"/>
        <v/>
      </c>
      <c r="K50" s="7961"/>
      <c r="L50" s="7961"/>
      <c r="M50" s="7960" t="str">
        <f t="shared" si="2"/>
        <v/>
      </c>
      <c r="N50" s="7961"/>
      <c r="O50" s="7961"/>
      <c r="P50" s="7962"/>
      <c r="Q50" s="5988" t="str">
        <f t="shared" si="3"/>
        <v/>
      </c>
      <c r="R50" s="7942"/>
      <c r="S50" s="7942"/>
      <c r="T50" s="7943"/>
      <c r="U50" s="5988" t="str">
        <f t="shared" si="4"/>
        <v/>
      </c>
      <c r="V50" s="7942"/>
      <c r="W50" s="7942"/>
      <c r="X50" s="7943"/>
      <c r="Y50" s="7924" t="str">
        <f t="shared" si="18"/>
        <v/>
      </c>
      <c r="Z50" s="5495"/>
      <c r="AA50" s="7924" t="str">
        <f t="shared" si="19"/>
        <v/>
      </c>
      <c r="AB50" s="5495"/>
      <c r="AC50" s="7925" t="str">
        <f t="shared" si="7"/>
        <v/>
      </c>
      <c r="AD50" s="7926"/>
      <c r="AE50" s="7926"/>
      <c r="AF50" s="7926"/>
      <c r="AG50" s="1631">
        <f t="shared" si="8"/>
        <v>0</v>
      </c>
      <c r="AH50" s="1185"/>
      <c r="AI50" s="1185" t="e">
        <f t="shared" si="5"/>
        <v>#VALUE!</v>
      </c>
      <c r="AJ50" s="1547"/>
      <c r="AK50" s="1551"/>
      <c r="AL50" s="1551"/>
      <c r="AM50" s="1549"/>
      <c r="AN50" s="1549"/>
      <c r="AO50" s="1550"/>
      <c r="AP50" s="1549"/>
      <c r="AQ50" s="1548"/>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28">
        <f t="shared" si="6"/>
        <v>0</v>
      </c>
      <c r="B51" s="7957" t="str">
        <f t="shared" si="0"/>
        <v/>
      </c>
      <c r="C51" s="7958"/>
      <c r="D51" s="7958"/>
      <c r="E51" s="7958"/>
      <c r="F51" s="7958"/>
      <c r="G51" s="7958"/>
      <c r="H51" s="7958"/>
      <c r="I51" s="7959"/>
      <c r="J51" s="7960" t="str">
        <f t="shared" si="1"/>
        <v/>
      </c>
      <c r="K51" s="7961"/>
      <c r="L51" s="7961"/>
      <c r="M51" s="7960" t="str">
        <f t="shared" si="2"/>
        <v/>
      </c>
      <c r="N51" s="7961"/>
      <c r="O51" s="7961"/>
      <c r="P51" s="7962"/>
      <c r="Q51" s="5988" t="str">
        <f t="shared" si="3"/>
        <v/>
      </c>
      <c r="R51" s="7942"/>
      <c r="S51" s="7942"/>
      <c r="T51" s="7943"/>
      <c r="U51" s="5988" t="str">
        <f t="shared" si="4"/>
        <v/>
      </c>
      <c r="V51" s="7942"/>
      <c r="W51" s="7942"/>
      <c r="X51" s="7943"/>
      <c r="Y51" s="7924" t="str">
        <f t="shared" si="18"/>
        <v/>
      </c>
      <c r="Z51" s="5495"/>
      <c r="AA51" s="7924" t="str">
        <f t="shared" si="19"/>
        <v/>
      </c>
      <c r="AB51" s="5495"/>
      <c r="AC51" s="7925" t="str">
        <f t="shared" si="7"/>
        <v/>
      </c>
      <c r="AD51" s="7926"/>
      <c r="AE51" s="7926"/>
      <c r="AF51" s="7926"/>
      <c r="AG51" s="1631">
        <f t="shared" si="8"/>
        <v>0</v>
      </c>
      <c r="AH51" s="1185"/>
      <c r="AI51" s="1185" t="e">
        <f t="shared" si="5"/>
        <v>#VALUE!</v>
      </c>
      <c r="AJ51" s="1547"/>
      <c r="AK51" s="1551"/>
      <c r="AL51" s="1551"/>
      <c r="AM51" s="1549"/>
      <c r="AN51" s="1549"/>
      <c r="AO51" s="1550"/>
      <c r="AP51" s="1549"/>
      <c r="AQ51" s="1548"/>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28">
        <f t="shared" si="6"/>
        <v>0</v>
      </c>
      <c r="B52" s="7957" t="str">
        <f t="shared" si="0"/>
        <v/>
      </c>
      <c r="C52" s="7958"/>
      <c r="D52" s="7958"/>
      <c r="E52" s="7958"/>
      <c r="F52" s="7958"/>
      <c r="G52" s="7958"/>
      <c r="H52" s="7958"/>
      <c r="I52" s="7959"/>
      <c r="J52" s="7960" t="str">
        <f t="shared" si="1"/>
        <v/>
      </c>
      <c r="K52" s="7961"/>
      <c r="L52" s="7961"/>
      <c r="M52" s="7960" t="str">
        <f t="shared" si="2"/>
        <v/>
      </c>
      <c r="N52" s="7961"/>
      <c r="O52" s="7961"/>
      <c r="P52" s="7962"/>
      <c r="Q52" s="5988" t="str">
        <f t="shared" si="3"/>
        <v/>
      </c>
      <c r="R52" s="7942"/>
      <c r="S52" s="7942"/>
      <c r="T52" s="7943"/>
      <c r="U52" s="5988" t="str">
        <f t="shared" si="4"/>
        <v/>
      </c>
      <c r="V52" s="7942"/>
      <c r="W52" s="7942"/>
      <c r="X52" s="7943"/>
      <c r="Y52" s="7924" t="str">
        <f t="shared" si="18"/>
        <v/>
      </c>
      <c r="Z52" s="5495"/>
      <c r="AA52" s="7924" t="str">
        <f t="shared" si="19"/>
        <v/>
      </c>
      <c r="AB52" s="5495"/>
      <c r="AC52" s="7925" t="str">
        <f t="shared" si="7"/>
        <v/>
      </c>
      <c r="AD52" s="7926"/>
      <c r="AE52" s="7926"/>
      <c r="AF52" s="7926"/>
      <c r="AG52" s="1631">
        <f t="shared" si="8"/>
        <v>0</v>
      </c>
      <c r="AH52" s="1185"/>
      <c r="AI52" s="1185" t="e">
        <f t="shared" si="5"/>
        <v>#VALUE!</v>
      </c>
      <c r="AJ52" s="1547"/>
      <c r="AK52" s="1551"/>
      <c r="AL52" s="1551"/>
      <c r="AM52" s="1549"/>
      <c r="AN52" s="1549"/>
      <c r="AO52" s="1550"/>
      <c r="AP52" s="1549"/>
      <c r="AQ52" s="1548"/>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28">
        <f t="shared" si="6"/>
        <v>0</v>
      </c>
      <c r="B53" s="7957" t="str">
        <f t="shared" si="0"/>
        <v/>
      </c>
      <c r="C53" s="7958"/>
      <c r="D53" s="7958"/>
      <c r="E53" s="7958"/>
      <c r="F53" s="7958"/>
      <c r="G53" s="7958"/>
      <c r="H53" s="7958"/>
      <c r="I53" s="7959"/>
      <c r="J53" s="7960" t="str">
        <f t="shared" si="1"/>
        <v/>
      </c>
      <c r="K53" s="7961"/>
      <c r="L53" s="7961"/>
      <c r="M53" s="7960" t="str">
        <f t="shared" si="2"/>
        <v/>
      </c>
      <c r="N53" s="7961"/>
      <c r="O53" s="7961"/>
      <c r="P53" s="7962"/>
      <c r="Q53" s="5988" t="str">
        <f t="shared" si="3"/>
        <v/>
      </c>
      <c r="R53" s="7942"/>
      <c r="S53" s="7942"/>
      <c r="T53" s="7943"/>
      <c r="U53" s="5988" t="str">
        <f t="shared" si="4"/>
        <v/>
      </c>
      <c r="V53" s="7942"/>
      <c r="W53" s="7942"/>
      <c r="X53" s="7943"/>
      <c r="Y53" s="7924" t="str">
        <f t="shared" si="18"/>
        <v/>
      </c>
      <c r="Z53" s="5495"/>
      <c r="AA53" s="7924" t="str">
        <f t="shared" si="19"/>
        <v/>
      </c>
      <c r="AB53" s="5495"/>
      <c r="AC53" s="7925" t="str">
        <f t="shared" si="7"/>
        <v/>
      </c>
      <c r="AD53" s="7926"/>
      <c r="AE53" s="7926"/>
      <c r="AF53" s="7926"/>
      <c r="AG53" s="1631">
        <f t="shared" si="8"/>
        <v>0</v>
      </c>
      <c r="AH53" s="1185"/>
      <c r="AI53" s="1185" t="e">
        <f t="shared" si="5"/>
        <v>#VALUE!</v>
      </c>
      <c r="AJ53" s="1547"/>
      <c r="AK53" s="1551"/>
      <c r="AL53" s="1551"/>
      <c r="AM53" s="1549"/>
      <c r="AN53" s="1549"/>
      <c r="AO53" s="1550"/>
      <c r="AP53" s="1549"/>
      <c r="AQ53" s="1548"/>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28">
        <f t="shared" si="6"/>
        <v>0</v>
      </c>
      <c r="B54" s="7957" t="str">
        <f t="shared" si="0"/>
        <v/>
      </c>
      <c r="C54" s="7958"/>
      <c r="D54" s="7958"/>
      <c r="E54" s="7958"/>
      <c r="F54" s="7958"/>
      <c r="G54" s="7958"/>
      <c r="H54" s="7958"/>
      <c r="I54" s="7959"/>
      <c r="J54" s="7960" t="str">
        <f t="shared" si="1"/>
        <v/>
      </c>
      <c r="K54" s="7961"/>
      <c r="L54" s="7961"/>
      <c r="M54" s="7960" t="str">
        <f t="shared" si="2"/>
        <v/>
      </c>
      <c r="N54" s="7961"/>
      <c r="O54" s="7961"/>
      <c r="P54" s="7962"/>
      <c r="Q54" s="5988" t="str">
        <f t="shared" si="3"/>
        <v/>
      </c>
      <c r="R54" s="7942"/>
      <c r="S54" s="7942"/>
      <c r="T54" s="7943"/>
      <c r="U54" s="5988" t="str">
        <f t="shared" si="4"/>
        <v/>
      </c>
      <c r="V54" s="7942"/>
      <c r="W54" s="7942"/>
      <c r="X54" s="7943"/>
      <c r="Y54" s="7924" t="str">
        <f t="shared" si="18"/>
        <v/>
      </c>
      <c r="Z54" s="5495"/>
      <c r="AA54" s="7924" t="str">
        <f t="shared" si="19"/>
        <v/>
      </c>
      <c r="AB54" s="5495"/>
      <c r="AC54" s="7925" t="str">
        <f t="shared" si="7"/>
        <v/>
      </c>
      <c r="AD54" s="7926"/>
      <c r="AE54" s="7926"/>
      <c r="AF54" s="7926"/>
      <c r="AG54" s="1631">
        <f t="shared" si="8"/>
        <v>0</v>
      </c>
      <c r="AH54" s="1185"/>
      <c r="AI54" s="1185" t="e">
        <f t="shared" si="5"/>
        <v>#VALUE!</v>
      </c>
      <c r="AJ54" s="1547"/>
      <c r="AK54" s="1551"/>
      <c r="AL54" s="1551"/>
      <c r="AM54" s="1549"/>
      <c r="AN54" s="1549"/>
      <c r="AO54" s="1550"/>
      <c r="AP54" s="1549"/>
      <c r="AQ54" s="1548"/>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28">
        <f>SUM(A35:A54)</f>
        <v>0</v>
      </c>
      <c r="B55" s="8047">
        <v>2</v>
      </c>
      <c r="C55" s="8036" t="s">
        <v>2579</v>
      </c>
      <c r="D55" s="8037"/>
      <c r="E55" s="8037"/>
      <c r="F55" s="8037"/>
      <c r="G55" s="8037"/>
      <c r="H55" s="8037"/>
      <c r="I55" s="8037"/>
      <c r="J55" s="8037"/>
      <c r="K55" s="8037"/>
      <c r="L55" s="8037"/>
      <c r="M55" s="8037"/>
      <c r="N55" s="8037"/>
      <c r="O55" s="8037"/>
      <c r="P55" s="8037"/>
      <c r="Q55" s="7934" t="str">
        <f>IF(A55=0,"",ROUND(SUM(Q35:Q54),0))</f>
        <v/>
      </c>
      <c r="R55" s="8039"/>
      <c r="S55" s="8039"/>
      <c r="T55" s="7935"/>
      <c r="U55" s="7934" t="str">
        <f>IF(A55=0,"",ROUND(SUM(U35:U54),0))</f>
        <v/>
      </c>
      <c r="V55" s="8017"/>
      <c r="W55" s="8017"/>
      <c r="X55" s="8018"/>
      <c r="Y55" s="8025"/>
      <c r="Z55" s="8026"/>
      <c r="AA55" s="7934" t="str">
        <f>IF(A55=0,"",ROUND(SUM(AA35:AA54),0))</f>
        <v/>
      </c>
      <c r="AB55" s="7935"/>
      <c r="AC55" s="7934" t="str">
        <f>IF(A55=0,"",ROUND(SUM(AC35:AC54),0))</f>
        <v/>
      </c>
      <c r="AD55" s="8017"/>
      <c r="AE55" s="8017"/>
      <c r="AF55" s="8017"/>
      <c r="AG55" s="1113"/>
    </row>
    <row r="56" spans="1:55" ht="11.25" customHeight="1">
      <c r="A56" s="1228"/>
      <c r="B56" s="8048"/>
      <c r="C56" s="8038"/>
      <c r="D56" s="8038"/>
      <c r="E56" s="8038"/>
      <c r="F56" s="8038"/>
      <c r="G56" s="8038"/>
      <c r="H56" s="8038"/>
      <c r="I56" s="8038"/>
      <c r="J56" s="8038"/>
      <c r="K56" s="8038"/>
      <c r="L56" s="8038"/>
      <c r="M56" s="8038"/>
      <c r="N56" s="8038"/>
      <c r="O56" s="8038"/>
      <c r="P56" s="8038"/>
      <c r="Q56" s="7936"/>
      <c r="R56" s="8040"/>
      <c r="S56" s="8040"/>
      <c r="T56" s="7937"/>
      <c r="U56" s="8019"/>
      <c r="V56" s="8020"/>
      <c r="W56" s="8020"/>
      <c r="X56" s="8021"/>
      <c r="Y56" s="8027"/>
      <c r="Z56" s="8028"/>
      <c r="AA56" s="7936"/>
      <c r="AB56" s="7937"/>
      <c r="AC56" s="8019"/>
      <c r="AD56" s="8020"/>
      <c r="AE56" s="8020"/>
      <c r="AF56" s="8020"/>
      <c r="AG56" s="1113"/>
    </row>
    <row r="57" spans="1:55" ht="11.25" customHeight="1">
      <c r="A57" s="1228"/>
      <c r="B57" s="8048"/>
      <c r="C57" s="8038"/>
      <c r="D57" s="8038"/>
      <c r="E57" s="8038"/>
      <c r="F57" s="8038"/>
      <c r="G57" s="8038"/>
      <c r="H57" s="8038"/>
      <c r="I57" s="8038"/>
      <c r="J57" s="8038"/>
      <c r="K57" s="8038"/>
      <c r="L57" s="8038"/>
      <c r="M57" s="8038"/>
      <c r="N57" s="8038"/>
      <c r="O57" s="8038"/>
      <c r="P57" s="8038"/>
      <c r="Q57" s="7936"/>
      <c r="R57" s="8040"/>
      <c r="S57" s="8040"/>
      <c r="T57" s="7937"/>
      <c r="U57" s="8019"/>
      <c r="V57" s="8020"/>
      <c r="W57" s="8020"/>
      <c r="X57" s="8021"/>
      <c r="Y57" s="8027"/>
      <c r="Z57" s="8028"/>
      <c r="AA57" s="7936"/>
      <c r="AB57" s="7937"/>
      <c r="AC57" s="8019"/>
      <c r="AD57" s="8020"/>
      <c r="AE57" s="8020"/>
      <c r="AF57" s="8020"/>
      <c r="AG57" s="1113"/>
    </row>
    <row r="58" spans="1:55" ht="11.25" customHeight="1">
      <c r="A58" s="1228"/>
      <c r="B58" s="8048"/>
      <c r="C58" s="8038"/>
      <c r="D58" s="8038"/>
      <c r="E58" s="8038"/>
      <c r="F58" s="8038"/>
      <c r="G58" s="8038"/>
      <c r="H58" s="8038"/>
      <c r="I58" s="8038"/>
      <c r="J58" s="8038"/>
      <c r="K58" s="8038"/>
      <c r="L58" s="8038"/>
      <c r="M58" s="8038"/>
      <c r="N58" s="8038"/>
      <c r="O58" s="8038"/>
      <c r="P58" s="8038"/>
      <c r="Q58" s="7936"/>
      <c r="R58" s="8040"/>
      <c r="S58" s="8040"/>
      <c r="T58" s="7937"/>
      <c r="U58" s="8019"/>
      <c r="V58" s="8020"/>
      <c r="W58" s="8020"/>
      <c r="X58" s="8021"/>
      <c r="Y58" s="8027"/>
      <c r="Z58" s="8028"/>
      <c r="AA58" s="7936"/>
      <c r="AB58" s="7937"/>
      <c r="AC58" s="8019"/>
      <c r="AD58" s="8020"/>
      <c r="AE58" s="8020"/>
      <c r="AF58" s="8020"/>
      <c r="AG58" s="1113"/>
    </row>
    <row r="59" spans="1:55" ht="9" customHeight="1">
      <c r="A59" s="1228"/>
      <c r="B59" s="8048"/>
      <c r="C59" s="8038"/>
      <c r="D59" s="8038"/>
      <c r="E59" s="8038"/>
      <c r="F59" s="8038"/>
      <c r="G59" s="8038"/>
      <c r="H59" s="8038"/>
      <c r="I59" s="8038"/>
      <c r="J59" s="8038"/>
      <c r="K59" s="8038"/>
      <c r="L59" s="8038"/>
      <c r="M59" s="8038"/>
      <c r="N59" s="8038"/>
      <c r="O59" s="8038"/>
      <c r="P59" s="8038"/>
      <c r="Q59" s="7936"/>
      <c r="R59" s="8040"/>
      <c r="S59" s="8040"/>
      <c r="T59" s="7937"/>
      <c r="U59" s="8044"/>
      <c r="V59" s="8045"/>
      <c r="W59" s="8045"/>
      <c r="X59" s="8046"/>
      <c r="Y59" s="8029"/>
      <c r="Z59" s="8030"/>
      <c r="AA59" s="7938"/>
      <c r="AB59" s="7939"/>
      <c r="AC59" s="8019"/>
      <c r="AD59" s="8020"/>
      <c r="AE59" s="8020"/>
      <c r="AF59" s="8020"/>
      <c r="AG59" s="1113"/>
    </row>
    <row r="60" spans="1:55" ht="25.5" customHeight="1" thickBot="1">
      <c r="A60" s="1228"/>
      <c r="B60" s="8041" t="s">
        <v>4200</v>
      </c>
      <c r="C60" s="8042"/>
      <c r="D60" s="8042"/>
      <c r="E60" s="8042"/>
      <c r="F60" s="8042"/>
      <c r="G60" s="8042"/>
      <c r="H60" s="8042"/>
      <c r="I60" s="8042"/>
      <c r="J60" s="8042"/>
      <c r="K60" s="8042"/>
      <c r="L60" s="8042"/>
      <c r="M60" s="8042"/>
      <c r="N60" s="8042"/>
      <c r="O60" s="8042"/>
      <c r="P60" s="8042"/>
      <c r="Q60" s="8042"/>
      <c r="R60" s="8042"/>
      <c r="S60" s="8042"/>
      <c r="T60" s="8042"/>
      <c r="U60" s="8043"/>
      <c r="V60" s="8043"/>
      <c r="W60" s="8043"/>
      <c r="X60" s="8043"/>
      <c r="Y60" s="8042"/>
      <c r="Z60" s="8042"/>
      <c r="AA60" s="8042"/>
      <c r="AB60" s="8042"/>
      <c r="AC60" s="8042"/>
      <c r="AD60" s="8042"/>
      <c r="AE60" s="8042"/>
      <c r="AF60" s="8042"/>
      <c r="AG60" s="1113"/>
      <c r="AJ60" s="1075"/>
    </row>
    <row r="61" spans="1:55" ht="16.5" thickTop="1">
      <c r="A61" s="1228"/>
      <c r="B61" s="636" t="s">
        <v>564</v>
      </c>
      <c r="C61" s="24"/>
      <c r="D61" s="24"/>
      <c r="E61" s="24"/>
      <c r="F61" s="24"/>
      <c r="G61" s="24"/>
      <c r="H61" s="24"/>
      <c r="I61" s="24"/>
      <c r="J61" s="24"/>
      <c r="K61" s="24"/>
      <c r="L61" s="24"/>
      <c r="M61" s="24"/>
      <c r="N61" s="24"/>
      <c r="O61" s="24"/>
      <c r="P61" s="24"/>
      <c r="Q61" s="24"/>
      <c r="R61" s="24"/>
      <c r="S61" s="24"/>
      <c r="T61" s="24"/>
      <c r="U61" s="538" t="s">
        <v>734</v>
      </c>
      <c r="V61" s="24"/>
      <c r="W61" s="24"/>
      <c r="X61" s="24"/>
      <c r="Y61" s="24"/>
      <c r="Z61" s="24"/>
      <c r="AA61" s="24"/>
      <c r="AB61" s="24"/>
      <c r="AC61" s="24"/>
      <c r="AD61" s="1127" t="s">
        <v>761</v>
      </c>
      <c r="AE61" s="24"/>
      <c r="AF61" s="4609" t="str">
        <f>"("&amp;TaxYear&amp;")"</f>
        <v>(2018)</v>
      </c>
      <c r="AG61" s="1113"/>
    </row>
    <row r="62" spans="1:55" ht="15.75">
      <c r="A62" s="1228"/>
      <c r="B62" s="35" t="str">
        <f>"Form 8949 ("&amp;TaxYear&amp;")"</f>
        <v>Form 8949 (2018)</v>
      </c>
      <c r="C62" s="45"/>
      <c r="D62" s="45"/>
      <c r="E62" s="45"/>
      <c r="F62" s="45"/>
      <c r="G62" s="45"/>
      <c r="H62" s="45"/>
      <c r="I62" s="45"/>
      <c r="J62" s="45"/>
      <c r="K62" s="45"/>
      <c r="L62" s="45"/>
      <c r="M62" s="45"/>
      <c r="N62" s="45"/>
      <c r="O62" s="45"/>
      <c r="P62" s="45"/>
      <c r="Q62" s="45"/>
      <c r="R62" s="45"/>
      <c r="S62" s="45"/>
      <c r="T62" s="45"/>
      <c r="U62" s="45"/>
      <c r="V62" s="35" t="s">
        <v>736</v>
      </c>
      <c r="W62" s="45"/>
      <c r="X62" s="45"/>
      <c r="Y62" s="45"/>
      <c r="Z62" s="45"/>
      <c r="AA62" s="45"/>
      <c r="AB62" s="45"/>
      <c r="AC62" s="45"/>
      <c r="AD62" s="45"/>
      <c r="AE62" s="45"/>
      <c r="AF62" s="1188" t="s">
        <v>182</v>
      </c>
      <c r="AG62" s="1113"/>
    </row>
    <row r="63" spans="1:55">
      <c r="A63" s="1228"/>
      <c r="B63" s="32" t="s">
        <v>63</v>
      </c>
      <c r="C63" s="24"/>
      <c r="D63" s="24"/>
      <c r="E63" s="24"/>
      <c r="F63" s="24"/>
      <c r="G63" s="24"/>
      <c r="H63" s="24"/>
      <c r="I63" s="24"/>
      <c r="J63" s="24"/>
      <c r="K63" s="24"/>
      <c r="L63" s="24"/>
      <c r="M63" s="24"/>
      <c r="N63" s="24"/>
      <c r="O63" s="24"/>
      <c r="P63" s="24"/>
      <c r="Q63" s="24"/>
      <c r="R63" s="24"/>
      <c r="S63" s="24"/>
      <c r="T63" s="24"/>
      <c r="U63" s="24"/>
      <c r="V63" s="1546" t="s">
        <v>899</v>
      </c>
      <c r="W63" s="24"/>
      <c r="X63" s="24"/>
      <c r="Y63" s="24"/>
      <c r="Z63" s="37"/>
      <c r="AA63" s="24"/>
      <c r="AB63" s="24"/>
      <c r="AC63" s="24"/>
      <c r="AD63" s="24"/>
      <c r="AE63" s="24"/>
      <c r="AF63" s="24"/>
      <c r="AG63" s="1113"/>
    </row>
    <row r="64" spans="1:55" ht="16.5" thickBot="1">
      <c r="A64" s="1228"/>
      <c r="B64" s="7970" t="str">
        <f>Names</f>
        <v/>
      </c>
      <c r="C64" s="7971"/>
      <c r="D64" s="7971"/>
      <c r="E64" s="7971"/>
      <c r="F64" s="7971"/>
      <c r="G64" s="7971"/>
      <c r="H64" s="7971"/>
      <c r="I64" s="7971"/>
      <c r="J64" s="7971"/>
      <c r="K64" s="7971"/>
      <c r="L64" s="7971"/>
      <c r="M64" s="7971"/>
      <c r="N64" s="7971"/>
      <c r="O64" s="7971"/>
      <c r="P64" s="7971"/>
      <c r="Q64" s="7971"/>
      <c r="R64" s="7971"/>
      <c r="S64" s="7971"/>
      <c r="T64" s="7971"/>
      <c r="U64" s="7972"/>
      <c r="V64" s="7968">
        <f>SS_Yours</f>
        <v>0</v>
      </c>
      <c r="W64" s="7969"/>
      <c r="X64" s="7969"/>
      <c r="Y64" s="7969"/>
      <c r="Z64" s="7969"/>
      <c r="AA64" s="7969"/>
      <c r="AB64" s="7969"/>
      <c r="AC64" s="7969"/>
      <c r="AD64" s="7969"/>
      <c r="AE64" s="7969"/>
      <c r="AF64" s="7969"/>
      <c r="AG64" s="1113"/>
    </row>
    <row r="65" spans="1:55" ht="12.75" customHeight="1">
      <c r="A65" s="1228"/>
      <c r="B65" s="8031" t="s">
        <v>2586</v>
      </c>
      <c r="C65" s="8032"/>
      <c r="D65" s="8032"/>
      <c r="E65" s="8032"/>
      <c r="F65" s="8032"/>
      <c r="G65" s="8032"/>
      <c r="H65" s="8032"/>
      <c r="I65" s="8032"/>
      <c r="J65" s="8032"/>
      <c r="K65" s="8032"/>
      <c r="L65" s="8032"/>
      <c r="M65" s="8032"/>
      <c r="N65" s="8032"/>
      <c r="O65" s="8032"/>
      <c r="P65" s="8032"/>
      <c r="Q65" s="8032"/>
      <c r="R65" s="8032"/>
      <c r="S65" s="8032"/>
      <c r="T65" s="8032"/>
      <c r="U65" s="8032"/>
      <c r="V65" s="8032"/>
      <c r="W65" s="8032"/>
      <c r="X65" s="8032"/>
      <c r="Y65" s="8032"/>
      <c r="Z65" s="8032"/>
      <c r="AA65" s="8032"/>
      <c r="AB65" s="8032"/>
      <c r="AC65" s="8032"/>
      <c r="AD65" s="8032"/>
      <c r="AE65" s="8032"/>
      <c r="AF65" s="8032"/>
      <c r="AG65" s="1113"/>
    </row>
    <row r="66" spans="1:55" ht="12.75" customHeight="1">
      <c r="A66" s="1228"/>
      <c r="B66" s="6088"/>
      <c r="C66" s="6088"/>
      <c r="D66" s="6088"/>
      <c r="E66" s="6088"/>
      <c r="F66" s="6088"/>
      <c r="G66" s="6088"/>
      <c r="H66" s="6088"/>
      <c r="I66" s="6088"/>
      <c r="J66" s="6088"/>
      <c r="K66" s="6088"/>
      <c r="L66" s="6088"/>
      <c r="M66" s="6088"/>
      <c r="N66" s="6088"/>
      <c r="O66" s="6088"/>
      <c r="P66" s="6088"/>
      <c r="Q66" s="6088"/>
      <c r="R66" s="6088"/>
      <c r="S66" s="6088"/>
      <c r="T66" s="6088"/>
      <c r="U66" s="6088"/>
      <c r="V66" s="6088"/>
      <c r="W66" s="6088"/>
      <c r="X66" s="6088"/>
      <c r="Y66" s="6088"/>
      <c r="Z66" s="6088"/>
      <c r="AA66" s="6088"/>
      <c r="AB66" s="6088"/>
      <c r="AC66" s="6088"/>
      <c r="AD66" s="6088"/>
      <c r="AE66" s="6088"/>
      <c r="AF66" s="6088"/>
      <c r="AG66" s="1113"/>
    </row>
    <row r="67" spans="1:55" ht="12.75" customHeight="1">
      <c r="A67" s="1228"/>
      <c r="B67" s="5809"/>
      <c r="C67" s="5809"/>
      <c r="D67" s="5809"/>
      <c r="E67" s="5809"/>
      <c r="F67" s="5809"/>
      <c r="G67" s="5809"/>
      <c r="H67" s="5809"/>
      <c r="I67" s="5809"/>
      <c r="J67" s="5809"/>
      <c r="K67" s="5809"/>
      <c r="L67" s="5809"/>
      <c r="M67" s="5809"/>
      <c r="N67" s="5809"/>
      <c r="O67" s="5809"/>
      <c r="P67" s="5809"/>
      <c r="Q67" s="5809"/>
      <c r="R67" s="5809"/>
      <c r="S67" s="5809"/>
      <c r="T67" s="5809"/>
      <c r="U67" s="5809"/>
      <c r="V67" s="5809"/>
      <c r="W67" s="5809"/>
      <c r="X67" s="5809"/>
      <c r="Y67" s="5809"/>
      <c r="Z67" s="5809"/>
      <c r="AA67" s="5809"/>
      <c r="AB67" s="5809"/>
      <c r="AC67" s="5809"/>
      <c r="AD67" s="5809"/>
      <c r="AE67" s="5809"/>
      <c r="AF67" s="5809"/>
      <c r="AG67" s="1113"/>
    </row>
    <row r="68" spans="1:55" ht="3.75" customHeight="1">
      <c r="A68" s="1228"/>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113"/>
    </row>
    <row r="69" spans="1:55" ht="15">
      <c r="A69" s="1228"/>
      <c r="B69" s="7978" t="s">
        <v>130</v>
      </c>
      <c r="C69" s="5615"/>
      <c r="D69" s="24"/>
      <c r="E69" s="354" t="s">
        <v>2577</v>
      </c>
      <c r="F69" s="423"/>
      <c r="G69" s="423"/>
      <c r="H69" s="423"/>
      <c r="I69" s="423"/>
      <c r="J69" s="423"/>
      <c r="K69" s="423"/>
      <c r="L69" s="423"/>
      <c r="M69" s="423"/>
      <c r="N69" s="423"/>
      <c r="O69" s="423"/>
      <c r="P69" s="354"/>
      <c r="Q69" s="423"/>
      <c r="R69" s="423"/>
      <c r="S69" s="423"/>
      <c r="T69" s="423" t="s">
        <v>2576</v>
      </c>
      <c r="U69" s="423"/>
      <c r="V69" s="423"/>
      <c r="W69" s="423"/>
      <c r="X69" s="423"/>
      <c r="Y69" s="423" t="s">
        <v>4202</v>
      </c>
      <c r="Z69" s="423"/>
      <c r="AA69" s="423"/>
      <c r="AB69" s="423"/>
      <c r="AC69" s="423"/>
      <c r="AD69" s="423"/>
      <c r="AE69" s="423"/>
      <c r="AF69" s="423"/>
      <c r="AG69" s="1631" t="b">
        <f>IF(SUM(AG88:AG115)&gt;0,TRUE,FALSE)</f>
        <v>0</v>
      </c>
    </row>
    <row r="70" spans="1:55" ht="11.25" customHeight="1">
      <c r="A70" s="1228"/>
      <c r="B70" s="24"/>
      <c r="C70" s="24"/>
      <c r="D70" s="24"/>
      <c r="E70" s="423" t="s">
        <v>4203</v>
      </c>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1113"/>
    </row>
    <row r="71" spans="1:55" s="269" customFormat="1" ht="13.5" customHeight="1">
      <c r="A71" s="3246"/>
      <c r="B71" s="423"/>
      <c r="C71" s="423"/>
      <c r="D71" s="423"/>
      <c r="E71" s="3247" t="s">
        <v>2578</v>
      </c>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3246"/>
      <c r="AH71" s="1067"/>
      <c r="AI71" s="1067"/>
    </row>
    <row r="72" spans="1:55" s="269" customFormat="1" ht="13.5" customHeight="1">
      <c r="A72" s="3246"/>
      <c r="B72" s="423"/>
      <c r="C72" s="423"/>
      <c r="D72" s="423"/>
      <c r="E72" s="423" t="s">
        <v>1014</v>
      </c>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3246"/>
      <c r="AH72" s="1067"/>
      <c r="AI72" s="1067"/>
    </row>
    <row r="73" spans="1:55" s="269" customFormat="1" ht="13.5" customHeight="1">
      <c r="A73" s="3246"/>
      <c r="B73" s="3248"/>
      <c r="C73" s="3248"/>
      <c r="D73" s="3248"/>
      <c r="E73" s="3248" t="s">
        <v>4204</v>
      </c>
      <c r="F73" s="3248"/>
      <c r="G73" s="3248"/>
      <c r="H73" s="3248"/>
      <c r="I73" s="3248"/>
      <c r="J73" s="3248"/>
      <c r="K73" s="3248"/>
      <c r="L73" s="3248"/>
      <c r="M73" s="3248"/>
      <c r="N73" s="3248"/>
      <c r="O73" s="3248"/>
      <c r="P73" s="3248"/>
      <c r="Q73" s="3248"/>
      <c r="R73" s="3248"/>
      <c r="S73" s="3248"/>
      <c r="T73" s="3248"/>
      <c r="U73" s="3248"/>
      <c r="V73" s="3248"/>
      <c r="W73" s="3248"/>
      <c r="X73" s="3248"/>
      <c r="Y73" s="3248"/>
      <c r="Z73" s="3248"/>
      <c r="AA73" s="3248"/>
      <c r="AB73" s="3248"/>
      <c r="AC73" s="3248"/>
      <c r="AD73" s="3248"/>
      <c r="AE73" s="3248"/>
      <c r="AF73" s="3248"/>
      <c r="AG73" s="3246"/>
      <c r="AH73" s="1067"/>
      <c r="AI73" s="1067"/>
    </row>
    <row r="74" spans="1:55">
      <c r="A74" s="1228"/>
      <c r="B74" s="286" t="s">
        <v>1015</v>
      </c>
      <c r="C74" s="60"/>
      <c r="D74" s="60"/>
      <c r="E74" s="60"/>
      <c r="F74" s="60"/>
      <c r="G74" s="60"/>
      <c r="H74" s="60"/>
      <c r="I74" s="60"/>
      <c r="J74" s="60"/>
      <c r="K74" s="286" t="s">
        <v>887</v>
      </c>
      <c r="L74" s="60"/>
      <c r="M74" s="60"/>
      <c r="N74" s="60"/>
      <c r="O74" s="60"/>
      <c r="P74" s="74" t="s">
        <v>889</v>
      </c>
      <c r="Q74" s="60"/>
      <c r="R74" s="60"/>
      <c r="S74" s="60"/>
      <c r="T74" s="60"/>
      <c r="U74" s="60"/>
      <c r="V74" s="60"/>
      <c r="W74" s="60"/>
      <c r="X74" s="60"/>
      <c r="Y74" s="60"/>
      <c r="Z74" s="60"/>
      <c r="AA74" s="60"/>
      <c r="AB74" s="60"/>
      <c r="AC74" s="60"/>
      <c r="AD74" s="60"/>
      <c r="AE74" s="60"/>
      <c r="AF74" s="60"/>
      <c r="AG74" s="1113"/>
    </row>
    <row r="75" spans="1:55">
      <c r="A75" s="1228"/>
      <c r="B75" s="74" t="s">
        <v>890</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113"/>
      <c r="BA75" s="7953" t="s">
        <v>957</v>
      </c>
      <c r="BB75" s="6273"/>
      <c r="BC75" s="6185"/>
    </row>
    <row r="76" spans="1:55">
      <c r="A76" s="1228"/>
      <c r="B76" s="74" t="s">
        <v>891</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113"/>
      <c r="BA76" s="7954" t="s">
        <v>956</v>
      </c>
      <c r="BB76" s="7954" t="s">
        <v>947</v>
      </c>
      <c r="BC76" s="7954" t="s">
        <v>948</v>
      </c>
    </row>
    <row r="77" spans="1:55" ht="4.5" customHeight="1" thickBot="1">
      <c r="A77" s="1228"/>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113"/>
      <c r="BA77" s="7955"/>
      <c r="BB77" s="7955"/>
      <c r="BC77" s="7955"/>
    </row>
    <row r="78" spans="1:55" ht="12" customHeight="1" thickBot="1">
      <c r="A78" s="1228"/>
      <c r="B78" s="1588">
        <f>IF(C78&lt;&gt;"",1,0)</f>
        <v>0</v>
      </c>
      <c r="C78" s="1587"/>
      <c r="D78" s="1085" t="s">
        <v>4205</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113"/>
      <c r="AJ78" s="7948"/>
      <c r="AK78" s="7949"/>
      <c r="AL78" s="7949"/>
      <c r="AM78" s="7949"/>
      <c r="AN78" s="7949"/>
      <c r="AO78" s="7949"/>
      <c r="AP78" s="7949"/>
      <c r="AQ78" s="7949"/>
      <c r="BA78" s="7955"/>
      <c r="BB78" s="7955"/>
      <c r="BC78" s="7955"/>
    </row>
    <row r="79" spans="1:55" ht="4.5" customHeight="1" thickBot="1">
      <c r="A79" s="1228"/>
      <c r="B79" s="1545"/>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113"/>
      <c r="BA79" s="7955"/>
      <c r="BB79" s="7955"/>
      <c r="BC79" s="7955"/>
    </row>
    <row r="80" spans="1:55" ht="11.25" customHeight="1" thickBot="1">
      <c r="A80" s="1228"/>
      <c r="B80" s="1588">
        <f>IF(C80&lt;&gt;"",1,0)</f>
        <v>0</v>
      </c>
      <c r="C80" s="1587"/>
      <c r="D80" s="1085" t="s">
        <v>4206</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113"/>
      <c r="AJ80" s="7948"/>
      <c r="AK80" s="7949"/>
      <c r="AL80" s="7949"/>
      <c r="AM80" s="7949"/>
      <c r="AN80" s="7949"/>
      <c r="AO80" s="7949"/>
      <c r="AP80" s="7949"/>
      <c r="AQ80" s="7949"/>
      <c r="BA80" s="7955"/>
      <c r="BB80" s="7955"/>
      <c r="BC80" s="7955"/>
    </row>
    <row r="81" spans="1:55" ht="4.5" customHeight="1" thickBot="1">
      <c r="A81" s="1228"/>
      <c r="B81" s="1545"/>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113"/>
      <c r="BA81" s="7955"/>
      <c r="BB81" s="7955"/>
      <c r="BC81" s="7955"/>
    </row>
    <row r="82" spans="1:55" ht="12" customHeight="1" thickBot="1">
      <c r="A82" s="1228">
        <f>SUM(B78:B82)</f>
        <v>0</v>
      </c>
      <c r="B82" s="1588">
        <f>IF(C82&lt;&gt;"",1,0)</f>
        <v>0</v>
      </c>
      <c r="C82" s="1587"/>
      <c r="D82" s="1085" t="s">
        <v>4207</v>
      </c>
      <c r="E82" s="60"/>
      <c r="F82" s="60"/>
      <c r="G82" s="60"/>
      <c r="H82" s="60"/>
      <c r="I82" s="60"/>
      <c r="J82" s="60"/>
      <c r="K82" s="60"/>
      <c r="L82" s="60"/>
      <c r="M82" s="60"/>
      <c r="N82" s="60"/>
      <c r="O82" s="60"/>
      <c r="P82" s="60"/>
      <c r="Q82" s="60"/>
      <c r="R82" s="7940" t="str">
        <f>IF(SpaceUsed_8949B_LT,"ERROR: DO NOT use the space bar to uncheck a box. Use the 'Delete' key.",IF(A82&gt;1,"Check only ONE box.",IF(A82&gt;0,"",IF(A82&lt;1,"Check ONE box.",""))))</f>
        <v>Check ONE box.</v>
      </c>
      <c r="S82" s="7941"/>
      <c r="T82" s="7941"/>
      <c r="U82" s="7941"/>
      <c r="V82" s="7941"/>
      <c r="W82" s="7941"/>
      <c r="X82" s="7941"/>
      <c r="Y82" s="7941"/>
      <c r="Z82" s="7941"/>
      <c r="AA82" s="7941"/>
      <c r="AB82" s="7941"/>
      <c r="AC82" s="7941"/>
      <c r="AD82" s="7941"/>
      <c r="AE82" s="7941"/>
      <c r="AF82" s="60"/>
      <c r="AG82" s="1113"/>
      <c r="AH82" s="1786" t="b">
        <f>IF(OR(F8949BLBOXA=CHAR(32),F8949BLBOXB=CHAR(32),F8949BLBOXC=CHAR(32)),TRUE,FALSE)</f>
        <v>0</v>
      </c>
      <c r="AJ82" s="7956" t="s">
        <v>3403</v>
      </c>
      <c r="AK82" s="7949"/>
      <c r="AL82" s="7949"/>
      <c r="AM82" s="7949"/>
      <c r="AN82" s="7949"/>
      <c r="AO82" s="7949"/>
      <c r="AP82" s="7949"/>
      <c r="AQ82" s="7949"/>
      <c r="BA82" s="7955"/>
      <c r="BB82" s="7955"/>
      <c r="BC82" s="7955"/>
    </row>
    <row r="83" spans="1:55" ht="3.75" customHeight="1">
      <c r="A83" s="1228"/>
      <c r="B83" s="287"/>
      <c r="C83" s="1187"/>
      <c r="D83" s="287"/>
      <c r="E83" s="287"/>
      <c r="F83" s="287"/>
      <c r="G83" s="287"/>
      <c r="H83" s="287"/>
      <c r="I83" s="287"/>
      <c r="J83" s="287"/>
      <c r="K83" s="287"/>
      <c r="L83" s="287"/>
      <c r="M83" s="287"/>
      <c r="N83" s="1187"/>
      <c r="O83" s="287"/>
      <c r="P83" s="287"/>
      <c r="Q83" s="287"/>
      <c r="R83" s="287"/>
      <c r="S83" s="287"/>
      <c r="T83" s="287"/>
      <c r="U83" s="287"/>
      <c r="V83" s="287"/>
      <c r="W83" s="287"/>
      <c r="X83" s="287"/>
      <c r="Y83" s="1187"/>
      <c r="Z83" s="287"/>
      <c r="AA83" s="287"/>
      <c r="AB83" s="287"/>
      <c r="AC83" s="287"/>
      <c r="AD83" s="287"/>
      <c r="AE83" s="287"/>
      <c r="AF83" s="287"/>
      <c r="AG83" s="1113"/>
      <c r="BA83" s="7955"/>
      <c r="BB83" s="7955"/>
      <c r="BC83" s="7955"/>
    </row>
    <row r="84" spans="1:55" ht="21" customHeight="1">
      <c r="A84" s="1228"/>
      <c r="B84" s="7979">
        <v>1</v>
      </c>
      <c r="C84" s="7985" t="s">
        <v>733</v>
      </c>
      <c r="D84" s="7986"/>
      <c r="E84" s="7986"/>
      <c r="F84" s="7986"/>
      <c r="G84" s="7986"/>
      <c r="H84" s="7986"/>
      <c r="I84" s="7987"/>
      <c r="J84" s="8002" t="s">
        <v>4209</v>
      </c>
      <c r="K84" s="6365"/>
      <c r="L84" s="6149"/>
      <c r="M84" s="8002" t="s">
        <v>893</v>
      </c>
      <c r="N84" s="6365"/>
      <c r="O84" s="6365"/>
      <c r="P84" s="6149"/>
      <c r="Q84" s="8002" t="s">
        <v>894</v>
      </c>
      <c r="R84" s="6365"/>
      <c r="S84" s="6365"/>
      <c r="T84" s="6149"/>
      <c r="U84" s="7927" t="s">
        <v>898</v>
      </c>
      <c r="V84" s="7928"/>
      <c r="W84" s="7928"/>
      <c r="X84" s="7999"/>
      <c r="Y84" s="7993" t="s">
        <v>4208</v>
      </c>
      <c r="Z84" s="7994"/>
      <c r="AA84" s="7994"/>
      <c r="AB84" s="7995"/>
      <c r="AC84" s="7927" t="s">
        <v>897</v>
      </c>
      <c r="AD84" s="7928"/>
      <c r="AE84" s="7928"/>
      <c r="AF84" s="7928"/>
      <c r="AG84" s="1113"/>
      <c r="AJ84" s="7946" t="s">
        <v>870</v>
      </c>
      <c r="AK84" s="7946" t="s">
        <v>900</v>
      </c>
      <c r="AL84" s="7946" t="s">
        <v>901</v>
      </c>
      <c r="AM84" s="7946" t="s">
        <v>902</v>
      </c>
      <c r="AN84" s="7944" t="s">
        <v>903</v>
      </c>
      <c r="AO84" s="7950" t="s">
        <v>895</v>
      </c>
      <c r="AP84" s="6115"/>
      <c r="AQ84" s="7946" t="s">
        <v>905</v>
      </c>
      <c r="BA84" s="7955"/>
      <c r="BB84" s="7955"/>
      <c r="BC84" s="7955"/>
    </row>
    <row r="85" spans="1:55" ht="21" customHeight="1">
      <c r="A85" s="1228"/>
      <c r="B85" s="7980"/>
      <c r="C85" s="7988"/>
      <c r="D85" s="7989"/>
      <c r="E85" s="7989"/>
      <c r="F85" s="7989"/>
      <c r="G85" s="7989"/>
      <c r="H85" s="7989"/>
      <c r="I85" s="7990"/>
      <c r="J85" s="8003"/>
      <c r="K85" s="7268"/>
      <c r="L85" s="6151"/>
      <c r="M85" s="8003"/>
      <c r="N85" s="7268"/>
      <c r="O85" s="7268"/>
      <c r="P85" s="6151"/>
      <c r="Q85" s="8003"/>
      <c r="R85" s="7268"/>
      <c r="S85" s="7268"/>
      <c r="T85" s="6151"/>
      <c r="U85" s="7929"/>
      <c r="V85" s="7930"/>
      <c r="W85" s="7930"/>
      <c r="X85" s="8000"/>
      <c r="Y85" s="7996"/>
      <c r="Z85" s="7997"/>
      <c r="AA85" s="7997"/>
      <c r="AB85" s="7998"/>
      <c r="AC85" s="7929"/>
      <c r="AD85" s="7930"/>
      <c r="AE85" s="7930"/>
      <c r="AF85" s="7930"/>
      <c r="AG85" s="1113"/>
      <c r="AJ85" s="7946"/>
      <c r="AK85" s="7946"/>
      <c r="AL85" s="7946"/>
      <c r="AM85" s="7946"/>
      <c r="AN85" s="7944"/>
      <c r="AO85" s="6250"/>
      <c r="AP85" s="6120"/>
      <c r="AQ85" s="7946"/>
      <c r="BA85" s="7955"/>
      <c r="BB85" s="7955"/>
      <c r="BC85" s="7955"/>
    </row>
    <row r="86" spans="1:55" ht="18" customHeight="1">
      <c r="A86" s="1228"/>
      <c r="B86" s="5646"/>
      <c r="C86" s="7989"/>
      <c r="D86" s="7989"/>
      <c r="E86" s="7989"/>
      <c r="F86" s="7989"/>
      <c r="G86" s="7989"/>
      <c r="H86" s="7989"/>
      <c r="I86" s="7990"/>
      <c r="J86" s="6150"/>
      <c r="K86" s="7268"/>
      <c r="L86" s="6151"/>
      <c r="M86" s="6150"/>
      <c r="N86" s="7268"/>
      <c r="O86" s="7268"/>
      <c r="P86" s="6151"/>
      <c r="Q86" s="6150"/>
      <c r="R86" s="7268"/>
      <c r="S86" s="7268"/>
      <c r="T86" s="6151"/>
      <c r="U86" s="7931"/>
      <c r="V86" s="7930"/>
      <c r="W86" s="7930"/>
      <c r="X86" s="8000"/>
      <c r="Y86" s="6310" t="s">
        <v>4210</v>
      </c>
      <c r="Z86" s="6149"/>
      <c r="AA86" s="6310" t="s">
        <v>896</v>
      </c>
      <c r="AB86" s="6244"/>
      <c r="AC86" s="7931"/>
      <c r="AD86" s="7930"/>
      <c r="AE86" s="7930"/>
      <c r="AF86" s="7930"/>
      <c r="AG86" s="1113"/>
      <c r="AJ86" s="7947"/>
      <c r="AK86" s="7947"/>
      <c r="AL86" s="7947"/>
      <c r="AM86" s="7947"/>
      <c r="AN86" s="7945"/>
      <c r="AO86" s="7952" t="s">
        <v>904</v>
      </c>
      <c r="AP86" s="6223" t="s">
        <v>896</v>
      </c>
      <c r="AQ86" s="7947"/>
      <c r="BA86" s="7955"/>
      <c r="BB86" s="7955"/>
      <c r="BC86" s="7955"/>
    </row>
    <row r="87" spans="1:55" ht="18" customHeight="1">
      <c r="A87" s="1228"/>
      <c r="B87" s="7981"/>
      <c r="C87" s="7991"/>
      <c r="D87" s="7991"/>
      <c r="E87" s="7991"/>
      <c r="F87" s="7991"/>
      <c r="G87" s="7991"/>
      <c r="H87" s="7991"/>
      <c r="I87" s="7992"/>
      <c r="J87" s="6152"/>
      <c r="K87" s="8004"/>
      <c r="L87" s="6153"/>
      <c r="M87" s="6152"/>
      <c r="N87" s="8004"/>
      <c r="O87" s="8004"/>
      <c r="P87" s="6153"/>
      <c r="Q87" s="6152"/>
      <c r="R87" s="8004"/>
      <c r="S87" s="8004"/>
      <c r="T87" s="6153"/>
      <c r="U87" s="7932"/>
      <c r="V87" s="7933"/>
      <c r="W87" s="7933"/>
      <c r="X87" s="8001"/>
      <c r="Y87" s="6152"/>
      <c r="Z87" s="6153"/>
      <c r="AA87" s="5580"/>
      <c r="AB87" s="6246"/>
      <c r="AC87" s="7932"/>
      <c r="AD87" s="7933"/>
      <c r="AE87" s="7933"/>
      <c r="AF87" s="7933"/>
      <c r="AG87" s="1113"/>
      <c r="AJ87" s="7947"/>
      <c r="AK87" s="7947"/>
      <c r="AL87" s="7947"/>
      <c r="AM87" s="7947"/>
      <c r="AN87" s="7945"/>
      <c r="AO87" s="7951"/>
      <c r="AP87" s="7951"/>
      <c r="AQ87" s="7947"/>
      <c r="BA87" s="7955"/>
      <c r="BB87" s="7955"/>
      <c r="BC87" s="7955"/>
    </row>
    <row r="88" spans="1:55" ht="19.5" customHeight="1">
      <c r="A88" s="1228">
        <f>IF(OR(U88&lt;&gt;"",Y88&lt;&gt;"",AC88&lt;&gt;""),1,0)</f>
        <v>0</v>
      </c>
      <c r="B88" s="7957" t="str">
        <f t="shared" ref="B88:B115" si="20">IF(AJ88="","",AJ88)</f>
        <v/>
      </c>
      <c r="C88" s="7958"/>
      <c r="D88" s="7958"/>
      <c r="E88" s="7958"/>
      <c r="F88" s="7958"/>
      <c r="G88" s="7958"/>
      <c r="H88" s="7958"/>
      <c r="I88" s="7959"/>
      <c r="J88" s="7960" t="str">
        <f t="shared" ref="J88:J115" si="21">IF(AK88="","",AK88)</f>
        <v/>
      </c>
      <c r="K88" s="7961"/>
      <c r="L88" s="7961"/>
      <c r="M88" s="7960" t="str">
        <f t="shared" ref="M88:M115" si="22">IF(AL88="","",AL88)</f>
        <v/>
      </c>
      <c r="N88" s="7961"/>
      <c r="O88" s="7961"/>
      <c r="P88" s="7962"/>
      <c r="Q88" s="5988" t="str">
        <f t="shared" ref="Q88:Q115" si="23">IF(AM88="","",AM88)</f>
        <v/>
      </c>
      <c r="R88" s="7942"/>
      <c r="S88" s="7942"/>
      <c r="T88" s="7943"/>
      <c r="U88" s="5988" t="str">
        <f t="shared" ref="U88:U115" si="24">IF(AN88="","",AN88)</f>
        <v/>
      </c>
      <c r="V88" s="7942"/>
      <c r="W88" s="7942"/>
      <c r="X88" s="7943"/>
      <c r="Y88" s="7924" t="str">
        <f>IF(AO88&lt;&gt;"",AO88,"")</f>
        <v/>
      </c>
      <c r="Z88" s="5495"/>
      <c r="AA88" s="7924" t="str">
        <f>IF(AP88="","",AP88)</f>
        <v/>
      </c>
      <c r="AB88" s="5495"/>
      <c r="AC88" s="7925" t="str">
        <f>IF(AQ88&lt;&gt;"",AQ88,IF(AND(Q88&lt;&gt;"",U88&lt;&gt;""),SUM(Q88,-U88,AA88),""))</f>
        <v/>
      </c>
      <c r="AD88" s="7926"/>
      <c r="AE88" s="7926"/>
      <c r="AF88" s="7926"/>
      <c r="AG88" s="1631">
        <f>IF(OR(J88="",M88=""),0,IF(OR(BA88,BB88,BC88),1,0))</f>
        <v>0</v>
      </c>
      <c r="AH88" s="1185"/>
      <c r="AI88" s="1185" t="e">
        <f>M88-J88</f>
        <v>#VALUE!</v>
      </c>
      <c r="AJ88" s="1547"/>
      <c r="AK88" s="1551"/>
      <c r="AL88" s="1551"/>
      <c r="AM88" s="1549"/>
      <c r="AN88" s="1549"/>
      <c r="AO88" s="1550"/>
      <c r="AP88" s="1549"/>
      <c r="AQ88" s="1548"/>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28">
        <f t="shared" ref="A89:A115" si="25">IF(OR(U89&lt;&gt;"",Y89&lt;&gt;"",AC89&lt;&gt;""),1,0)</f>
        <v>0</v>
      </c>
      <c r="B89" s="7957" t="str">
        <f t="shared" si="20"/>
        <v/>
      </c>
      <c r="C89" s="7958"/>
      <c r="D89" s="7958"/>
      <c r="E89" s="7958"/>
      <c r="F89" s="7958"/>
      <c r="G89" s="7958"/>
      <c r="H89" s="7958"/>
      <c r="I89" s="7959"/>
      <c r="J89" s="7960" t="str">
        <f t="shared" si="21"/>
        <v/>
      </c>
      <c r="K89" s="7961"/>
      <c r="L89" s="7961"/>
      <c r="M89" s="7960" t="str">
        <f t="shared" si="22"/>
        <v/>
      </c>
      <c r="N89" s="7961"/>
      <c r="O89" s="7961"/>
      <c r="P89" s="7962"/>
      <c r="Q89" s="5988" t="str">
        <f t="shared" si="23"/>
        <v/>
      </c>
      <c r="R89" s="7942"/>
      <c r="S89" s="7942"/>
      <c r="T89" s="7943"/>
      <c r="U89" s="5988" t="str">
        <f t="shared" si="24"/>
        <v/>
      </c>
      <c r="V89" s="7942"/>
      <c r="W89" s="7942"/>
      <c r="X89" s="7943"/>
      <c r="Y89" s="7924" t="str">
        <f t="shared" ref="Y89:Y115" si="26">IF(AO89&lt;&gt;"",AO89,"")</f>
        <v/>
      </c>
      <c r="Z89" s="5495"/>
      <c r="AA89" s="7924" t="str">
        <f t="shared" ref="AA89:AA115" si="27">IF(AP89="","",AP89)</f>
        <v/>
      </c>
      <c r="AB89" s="5495"/>
      <c r="AC89" s="7925" t="str">
        <f t="shared" ref="AC89:AC115" si="28">IF(AQ89&lt;&gt;"",AQ89,IF(AND(Q89&lt;&gt;"",U89&lt;&gt;""),SUM(Q89,-U89,AA89),""))</f>
        <v/>
      </c>
      <c r="AD89" s="7926"/>
      <c r="AE89" s="7926"/>
      <c r="AF89" s="7926"/>
      <c r="AG89" s="1631">
        <f t="shared" ref="AG89:AG115" si="29">IF(OR(J89="",M89=""),0,IF(OR(BA89,BB89,BC89),1,0))</f>
        <v>0</v>
      </c>
      <c r="AH89" s="1185"/>
      <c r="AI89" s="1185" t="e">
        <f t="shared" ref="AI89:AI115" si="30">M89-J89</f>
        <v>#VALUE!</v>
      </c>
      <c r="AJ89" s="1547"/>
      <c r="AK89" s="1551"/>
      <c r="AL89" s="1551"/>
      <c r="AM89" s="1549"/>
      <c r="AN89" s="1549"/>
      <c r="AO89" s="1550"/>
      <c r="AP89" s="1549"/>
      <c r="AQ89" s="1548"/>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28">
        <f t="shared" si="25"/>
        <v>0</v>
      </c>
      <c r="B90" s="7957" t="str">
        <f t="shared" si="20"/>
        <v/>
      </c>
      <c r="C90" s="7958"/>
      <c r="D90" s="7958"/>
      <c r="E90" s="7958"/>
      <c r="F90" s="7958"/>
      <c r="G90" s="7958"/>
      <c r="H90" s="7958"/>
      <c r="I90" s="7959"/>
      <c r="J90" s="7960" t="str">
        <f t="shared" si="21"/>
        <v/>
      </c>
      <c r="K90" s="7961"/>
      <c r="L90" s="7961"/>
      <c r="M90" s="7960" t="str">
        <f t="shared" si="22"/>
        <v/>
      </c>
      <c r="N90" s="7961"/>
      <c r="O90" s="7961"/>
      <c r="P90" s="7962"/>
      <c r="Q90" s="5988" t="str">
        <f t="shared" si="23"/>
        <v/>
      </c>
      <c r="R90" s="7942"/>
      <c r="S90" s="7942"/>
      <c r="T90" s="7943"/>
      <c r="U90" s="5988" t="str">
        <f t="shared" si="24"/>
        <v/>
      </c>
      <c r="V90" s="7942"/>
      <c r="W90" s="7942"/>
      <c r="X90" s="7943"/>
      <c r="Y90" s="7924" t="str">
        <f t="shared" si="26"/>
        <v/>
      </c>
      <c r="Z90" s="5495"/>
      <c r="AA90" s="7924" t="str">
        <f t="shared" si="27"/>
        <v/>
      </c>
      <c r="AB90" s="5495"/>
      <c r="AC90" s="7925" t="str">
        <f t="shared" si="28"/>
        <v/>
      </c>
      <c r="AD90" s="7926"/>
      <c r="AE90" s="7926"/>
      <c r="AF90" s="7926"/>
      <c r="AG90" s="1631">
        <f t="shared" si="29"/>
        <v>0</v>
      </c>
      <c r="AH90" s="1185"/>
      <c r="AI90" s="1185" t="e">
        <f t="shared" si="30"/>
        <v>#VALUE!</v>
      </c>
      <c r="AJ90" s="1547"/>
      <c r="AK90" s="1551"/>
      <c r="AL90" s="1551"/>
      <c r="AM90" s="1549"/>
      <c r="AN90" s="1549"/>
      <c r="AO90" s="1550"/>
      <c r="AP90" s="1549"/>
      <c r="AQ90" s="1548"/>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28">
        <f t="shared" si="25"/>
        <v>0</v>
      </c>
      <c r="B91" s="7957" t="str">
        <f t="shared" si="20"/>
        <v/>
      </c>
      <c r="C91" s="7958"/>
      <c r="D91" s="7958"/>
      <c r="E91" s="7958"/>
      <c r="F91" s="7958"/>
      <c r="G91" s="7958"/>
      <c r="H91" s="7958"/>
      <c r="I91" s="7959"/>
      <c r="J91" s="7960" t="str">
        <f t="shared" si="21"/>
        <v/>
      </c>
      <c r="K91" s="7961"/>
      <c r="L91" s="7961"/>
      <c r="M91" s="7960" t="str">
        <f t="shared" si="22"/>
        <v/>
      </c>
      <c r="N91" s="7961"/>
      <c r="O91" s="7961"/>
      <c r="P91" s="7962"/>
      <c r="Q91" s="5988" t="str">
        <f t="shared" si="23"/>
        <v/>
      </c>
      <c r="R91" s="7942"/>
      <c r="S91" s="7942"/>
      <c r="T91" s="7943"/>
      <c r="U91" s="5988" t="str">
        <f t="shared" si="24"/>
        <v/>
      </c>
      <c r="V91" s="7942"/>
      <c r="W91" s="7942"/>
      <c r="X91" s="7943"/>
      <c r="Y91" s="7924" t="str">
        <f t="shared" si="26"/>
        <v/>
      </c>
      <c r="Z91" s="5495"/>
      <c r="AA91" s="7924" t="str">
        <f t="shared" si="27"/>
        <v/>
      </c>
      <c r="AB91" s="5495"/>
      <c r="AC91" s="7925" t="str">
        <f t="shared" si="28"/>
        <v/>
      </c>
      <c r="AD91" s="7926"/>
      <c r="AE91" s="7926"/>
      <c r="AF91" s="7926"/>
      <c r="AG91" s="1631">
        <f t="shared" si="29"/>
        <v>0</v>
      </c>
      <c r="AH91" s="1185"/>
      <c r="AI91" s="1185" t="e">
        <f t="shared" si="30"/>
        <v>#VALUE!</v>
      </c>
      <c r="AJ91" s="1547"/>
      <c r="AK91" s="1551"/>
      <c r="AL91" s="1551"/>
      <c r="AM91" s="1549"/>
      <c r="AN91" s="1549"/>
      <c r="AO91" s="1550"/>
      <c r="AP91" s="1549"/>
      <c r="AQ91" s="1548"/>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28">
        <f t="shared" si="25"/>
        <v>0</v>
      </c>
      <c r="B92" s="7957" t="str">
        <f t="shared" si="20"/>
        <v/>
      </c>
      <c r="C92" s="7958"/>
      <c r="D92" s="7958"/>
      <c r="E92" s="7958"/>
      <c r="F92" s="7958"/>
      <c r="G92" s="7958"/>
      <c r="H92" s="7958"/>
      <c r="I92" s="7959"/>
      <c r="J92" s="7960" t="str">
        <f t="shared" si="21"/>
        <v/>
      </c>
      <c r="K92" s="7961"/>
      <c r="L92" s="7961"/>
      <c r="M92" s="7960" t="str">
        <f t="shared" si="22"/>
        <v/>
      </c>
      <c r="N92" s="7961"/>
      <c r="O92" s="7961"/>
      <c r="P92" s="7962"/>
      <c r="Q92" s="5988" t="str">
        <f t="shared" si="23"/>
        <v/>
      </c>
      <c r="R92" s="7942"/>
      <c r="S92" s="7942"/>
      <c r="T92" s="7943"/>
      <c r="U92" s="5988" t="str">
        <f t="shared" si="24"/>
        <v/>
      </c>
      <c r="V92" s="7942"/>
      <c r="W92" s="7942"/>
      <c r="X92" s="7943"/>
      <c r="Y92" s="7924" t="str">
        <f t="shared" si="26"/>
        <v/>
      </c>
      <c r="Z92" s="5495"/>
      <c r="AA92" s="7924" t="str">
        <f t="shared" si="27"/>
        <v/>
      </c>
      <c r="AB92" s="5495"/>
      <c r="AC92" s="7925" t="str">
        <f t="shared" si="28"/>
        <v/>
      </c>
      <c r="AD92" s="7926"/>
      <c r="AE92" s="7926"/>
      <c r="AF92" s="7926"/>
      <c r="AG92" s="1631">
        <f t="shared" si="29"/>
        <v>0</v>
      </c>
      <c r="AH92" s="1185"/>
      <c r="AI92" s="1185" t="e">
        <f t="shared" si="30"/>
        <v>#VALUE!</v>
      </c>
      <c r="AJ92" s="1547"/>
      <c r="AK92" s="1551"/>
      <c r="AL92" s="1551"/>
      <c r="AM92" s="1549"/>
      <c r="AN92" s="1549"/>
      <c r="AO92" s="1550"/>
      <c r="AP92" s="1549"/>
      <c r="AQ92" s="1548"/>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28">
        <f t="shared" si="25"/>
        <v>0</v>
      </c>
      <c r="B93" s="7957" t="str">
        <f t="shared" si="20"/>
        <v/>
      </c>
      <c r="C93" s="7958"/>
      <c r="D93" s="7958"/>
      <c r="E93" s="7958"/>
      <c r="F93" s="7958"/>
      <c r="G93" s="7958"/>
      <c r="H93" s="7958"/>
      <c r="I93" s="7959"/>
      <c r="J93" s="7960" t="str">
        <f t="shared" si="21"/>
        <v/>
      </c>
      <c r="K93" s="7961"/>
      <c r="L93" s="7961"/>
      <c r="M93" s="7960" t="str">
        <f t="shared" si="22"/>
        <v/>
      </c>
      <c r="N93" s="7961"/>
      <c r="O93" s="7961"/>
      <c r="P93" s="7962"/>
      <c r="Q93" s="5988" t="str">
        <f t="shared" si="23"/>
        <v/>
      </c>
      <c r="R93" s="7942"/>
      <c r="S93" s="7942"/>
      <c r="T93" s="7943"/>
      <c r="U93" s="5988" t="str">
        <f t="shared" si="24"/>
        <v/>
      </c>
      <c r="V93" s="7942"/>
      <c r="W93" s="7942"/>
      <c r="X93" s="7943"/>
      <c r="Y93" s="7924" t="str">
        <f t="shared" si="26"/>
        <v/>
      </c>
      <c r="Z93" s="5495"/>
      <c r="AA93" s="7924" t="str">
        <f t="shared" si="27"/>
        <v/>
      </c>
      <c r="AB93" s="5495"/>
      <c r="AC93" s="7925" t="str">
        <f t="shared" si="28"/>
        <v/>
      </c>
      <c r="AD93" s="7926"/>
      <c r="AE93" s="7926"/>
      <c r="AF93" s="7926"/>
      <c r="AG93" s="1631">
        <f t="shared" si="29"/>
        <v>0</v>
      </c>
      <c r="AH93" s="1185"/>
      <c r="AI93" s="1185" t="e">
        <f t="shared" si="30"/>
        <v>#VALUE!</v>
      </c>
      <c r="AJ93" s="1547"/>
      <c r="AK93" s="1551"/>
      <c r="AL93" s="1551"/>
      <c r="AM93" s="1549"/>
      <c r="AN93" s="1549"/>
      <c r="AO93" s="1550"/>
      <c r="AP93" s="1549"/>
      <c r="AQ93" s="1548"/>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28">
        <f t="shared" si="25"/>
        <v>0</v>
      </c>
      <c r="B94" s="7957" t="str">
        <f t="shared" si="20"/>
        <v/>
      </c>
      <c r="C94" s="7958"/>
      <c r="D94" s="7958"/>
      <c r="E94" s="7958"/>
      <c r="F94" s="7958"/>
      <c r="G94" s="7958"/>
      <c r="H94" s="7958"/>
      <c r="I94" s="7959"/>
      <c r="J94" s="7960" t="str">
        <f t="shared" si="21"/>
        <v/>
      </c>
      <c r="K94" s="7961"/>
      <c r="L94" s="7961"/>
      <c r="M94" s="7960" t="str">
        <f t="shared" si="22"/>
        <v/>
      </c>
      <c r="N94" s="7961"/>
      <c r="O94" s="7961"/>
      <c r="P94" s="7962"/>
      <c r="Q94" s="5988" t="str">
        <f t="shared" si="23"/>
        <v/>
      </c>
      <c r="R94" s="7942"/>
      <c r="S94" s="7942"/>
      <c r="T94" s="7943"/>
      <c r="U94" s="5988" t="str">
        <f t="shared" si="24"/>
        <v/>
      </c>
      <c r="V94" s="7942"/>
      <c r="W94" s="7942"/>
      <c r="X94" s="7943"/>
      <c r="Y94" s="7924" t="str">
        <f t="shared" si="26"/>
        <v/>
      </c>
      <c r="Z94" s="5495"/>
      <c r="AA94" s="7924" t="str">
        <f t="shared" si="27"/>
        <v/>
      </c>
      <c r="AB94" s="5495"/>
      <c r="AC94" s="7925" t="str">
        <f t="shared" si="28"/>
        <v/>
      </c>
      <c r="AD94" s="7926"/>
      <c r="AE94" s="7926"/>
      <c r="AF94" s="7926"/>
      <c r="AG94" s="1631">
        <f t="shared" si="29"/>
        <v>0</v>
      </c>
      <c r="AH94" s="1185"/>
      <c r="AI94" s="1185" t="e">
        <f t="shared" si="30"/>
        <v>#VALUE!</v>
      </c>
      <c r="AJ94" s="1547"/>
      <c r="AK94" s="1551"/>
      <c r="AL94" s="1551"/>
      <c r="AM94" s="1549"/>
      <c r="AN94" s="1549"/>
      <c r="AO94" s="1550"/>
      <c r="AP94" s="1549"/>
      <c r="AQ94" s="1548"/>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28">
        <f t="shared" si="25"/>
        <v>0</v>
      </c>
      <c r="B95" s="7957" t="str">
        <f t="shared" si="20"/>
        <v/>
      </c>
      <c r="C95" s="7958"/>
      <c r="D95" s="7958"/>
      <c r="E95" s="7958"/>
      <c r="F95" s="7958"/>
      <c r="G95" s="7958"/>
      <c r="H95" s="7958"/>
      <c r="I95" s="7959"/>
      <c r="J95" s="7960" t="str">
        <f t="shared" si="21"/>
        <v/>
      </c>
      <c r="K95" s="7961"/>
      <c r="L95" s="7961"/>
      <c r="M95" s="7960" t="str">
        <f t="shared" si="22"/>
        <v/>
      </c>
      <c r="N95" s="7961"/>
      <c r="O95" s="7961"/>
      <c r="P95" s="7962"/>
      <c r="Q95" s="5988" t="str">
        <f t="shared" si="23"/>
        <v/>
      </c>
      <c r="R95" s="7942"/>
      <c r="S95" s="7942"/>
      <c r="T95" s="7943"/>
      <c r="U95" s="5988" t="str">
        <f t="shared" si="24"/>
        <v/>
      </c>
      <c r="V95" s="7942"/>
      <c r="W95" s="7942"/>
      <c r="X95" s="7943"/>
      <c r="Y95" s="7924" t="str">
        <f t="shared" si="26"/>
        <v/>
      </c>
      <c r="Z95" s="5495"/>
      <c r="AA95" s="7924" t="str">
        <f t="shared" si="27"/>
        <v/>
      </c>
      <c r="AB95" s="5495"/>
      <c r="AC95" s="7925" t="str">
        <f t="shared" si="28"/>
        <v/>
      </c>
      <c r="AD95" s="7926"/>
      <c r="AE95" s="7926"/>
      <c r="AF95" s="7926"/>
      <c r="AG95" s="1631">
        <f t="shared" si="29"/>
        <v>0</v>
      </c>
      <c r="AH95" s="1185"/>
      <c r="AI95" s="1185" t="e">
        <f t="shared" si="30"/>
        <v>#VALUE!</v>
      </c>
      <c r="AJ95" s="1547"/>
      <c r="AK95" s="1551"/>
      <c r="AL95" s="1551"/>
      <c r="AM95" s="1549"/>
      <c r="AN95" s="1549"/>
      <c r="AO95" s="1550"/>
      <c r="AP95" s="1549"/>
      <c r="AQ95" s="1548"/>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28">
        <f t="shared" si="25"/>
        <v>0</v>
      </c>
      <c r="B96" s="7957" t="str">
        <f t="shared" si="20"/>
        <v/>
      </c>
      <c r="C96" s="7958"/>
      <c r="D96" s="7958"/>
      <c r="E96" s="7958"/>
      <c r="F96" s="7958"/>
      <c r="G96" s="7958"/>
      <c r="H96" s="7958"/>
      <c r="I96" s="7959"/>
      <c r="J96" s="7960" t="str">
        <f t="shared" si="21"/>
        <v/>
      </c>
      <c r="K96" s="7961"/>
      <c r="L96" s="7961"/>
      <c r="M96" s="7960" t="str">
        <f t="shared" si="22"/>
        <v/>
      </c>
      <c r="N96" s="7961"/>
      <c r="O96" s="7961"/>
      <c r="P96" s="7962"/>
      <c r="Q96" s="5988" t="str">
        <f t="shared" si="23"/>
        <v/>
      </c>
      <c r="R96" s="7942"/>
      <c r="S96" s="7942"/>
      <c r="T96" s="7943"/>
      <c r="U96" s="5988" t="str">
        <f t="shared" si="24"/>
        <v/>
      </c>
      <c r="V96" s="7942"/>
      <c r="W96" s="7942"/>
      <c r="X96" s="7943"/>
      <c r="Y96" s="7924" t="str">
        <f t="shared" si="26"/>
        <v/>
      </c>
      <c r="Z96" s="5495"/>
      <c r="AA96" s="7924" t="str">
        <f t="shared" si="27"/>
        <v/>
      </c>
      <c r="AB96" s="5495"/>
      <c r="AC96" s="7925" t="str">
        <f t="shared" si="28"/>
        <v/>
      </c>
      <c r="AD96" s="7926"/>
      <c r="AE96" s="7926"/>
      <c r="AF96" s="7926"/>
      <c r="AG96" s="1631">
        <f t="shared" si="29"/>
        <v>0</v>
      </c>
      <c r="AH96" s="1185"/>
      <c r="AI96" s="1185" t="e">
        <f t="shared" si="30"/>
        <v>#VALUE!</v>
      </c>
      <c r="AJ96" s="1547"/>
      <c r="AK96" s="1551"/>
      <c r="AL96" s="1551"/>
      <c r="AM96" s="1549"/>
      <c r="AN96" s="1549"/>
      <c r="AO96" s="1550"/>
      <c r="AP96" s="1549"/>
      <c r="AQ96" s="1548"/>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28">
        <f t="shared" si="25"/>
        <v>0</v>
      </c>
      <c r="B97" s="7957" t="str">
        <f t="shared" si="20"/>
        <v/>
      </c>
      <c r="C97" s="7958"/>
      <c r="D97" s="7958"/>
      <c r="E97" s="7958"/>
      <c r="F97" s="7958"/>
      <c r="G97" s="7958"/>
      <c r="H97" s="7958"/>
      <c r="I97" s="7959"/>
      <c r="J97" s="7960" t="str">
        <f t="shared" si="21"/>
        <v/>
      </c>
      <c r="K97" s="7961"/>
      <c r="L97" s="7961"/>
      <c r="M97" s="7960" t="str">
        <f t="shared" si="22"/>
        <v/>
      </c>
      <c r="N97" s="7961"/>
      <c r="O97" s="7961"/>
      <c r="P97" s="7962"/>
      <c r="Q97" s="5988" t="str">
        <f t="shared" si="23"/>
        <v/>
      </c>
      <c r="R97" s="7942"/>
      <c r="S97" s="7942"/>
      <c r="T97" s="7943"/>
      <c r="U97" s="5988" t="str">
        <f t="shared" si="24"/>
        <v/>
      </c>
      <c r="V97" s="7942"/>
      <c r="W97" s="7942"/>
      <c r="X97" s="7943"/>
      <c r="Y97" s="7924" t="str">
        <f t="shared" si="26"/>
        <v/>
      </c>
      <c r="Z97" s="5495"/>
      <c r="AA97" s="7924" t="str">
        <f t="shared" si="27"/>
        <v/>
      </c>
      <c r="AB97" s="5495"/>
      <c r="AC97" s="7925" t="str">
        <f t="shared" si="28"/>
        <v/>
      </c>
      <c r="AD97" s="7926"/>
      <c r="AE97" s="7926"/>
      <c r="AF97" s="7926"/>
      <c r="AG97" s="1631">
        <f t="shared" si="29"/>
        <v>0</v>
      </c>
      <c r="AH97" s="1185"/>
      <c r="AI97" s="1185" t="e">
        <f t="shared" si="30"/>
        <v>#VALUE!</v>
      </c>
      <c r="AJ97" s="1547"/>
      <c r="AK97" s="1551"/>
      <c r="AL97" s="1551"/>
      <c r="AM97" s="1549"/>
      <c r="AN97" s="1549"/>
      <c r="AO97" s="1550"/>
      <c r="AP97" s="1549"/>
      <c r="AQ97" s="1548"/>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28">
        <f t="shared" si="25"/>
        <v>0</v>
      </c>
      <c r="B98" s="7957" t="str">
        <f t="shared" si="20"/>
        <v/>
      </c>
      <c r="C98" s="7958"/>
      <c r="D98" s="7958"/>
      <c r="E98" s="7958"/>
      <c r="F98" s="7958"/>
      <c r="G98" s="7958"/>
      <c r="H98" s="7958"/>
      <c r="I98" s="7959"/>
      <c r="J98" s="7960" t="str">
        <f t="shared" si="21"/>
        <v/>
      </c>
      <c r="K98" s="7961"/>
      <c r="L98" s="7961"/>
      <c r="M98" s="7960" t="str">
        <f t="shared" si="22"/>
        <v/>
      </c>
      <c r="N98" s="7961"/>
      <c r="O98" s="7961"/>
      <c r="P98" s="7962"/>
      <c r="Q98" s="5988" t="str">
        <f t="shared" si="23"/>
        <v/>
      </c>
      <c r="R98" s="7942"/>
      <c r="S98" s="7942"/>
      <c r="T98" s="7943"/>
      <c r="U98" s="5988" t="str">
        <f t="shared" si="24"/>
        <v/>
      </c>
      <c r="V98" s="7942"/>
      <c r="W98" s="7942"/>
      <c r="X98" s="7943"/>
      <c r="Y98" s="7924" t="str">
        <f t="shared" si="26"/>
        <v/>
      </c>
      <c r="Z98" s="5495"/>
      <c r="AA98" s="7924" t="str">
        <f t="shared" si="27"/>
        <v/>
      </c>
      <c r="AB98" s="5495"/>
      <c r="AC98" s="7925" t="str">
        <f t="shared" si="28"/>
        <v/>
      </c>
      <c r="AD98" s="7926"/>
      <c r="AE98" s="7926"/>
      <c r="AF98" s="7926"/>
      <c r="AG98" s="1631">
        <f t="shared" si="29"/>
        <v>0</v>
      </c>
      <c r="AH98" s="1185"/>
      <c r="AI98" s="1185" t="e">
        <f t="shared" si="30"/>
        <v>#VALUE!</v>
      </c>
      <c r="AJ98" s="1547"/>
      <c r="AK98" s="1551"/>
      <c r="AL98" s="1551"/>
      <c r="AM98" s="1549"/>
      <c r="AN98" s="1549"/>
      <c r="AO98" s="1550"/>
      <c r="AP98" s="1549"/>
      <c r="AQ98" s="1548"/>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28">
        <f t="shared" si="25"/>
        <v>0</v>
      </c>
      <c r="B99" s="7957" t="str">
        <f t="shared" si="20"/>
        <v/>
      </c>
      <c r="C99" s="7958"/>
      <c r="D99" s="7958"/>
      <c r="E99" s="7958"/>
      <c r="F99" s="7958"/>
      <c r="G99" s="7958"/>
      <c r="H99" s="7958"/>
      <c r="I99" s="7959"/>
      <c r="J99" s="7960" t="str">
        <f t="shared" si="21"/>
        <v/>
      </c>
      <c r="K99" s="7961"/>
      <c r="L99" s="7961"/>
      <c r="M99" s="7960" t="str">
        <f t="shared" si="22"/>
        <v/>
      </c>
      <c r="N99" s="7961"/>
      <c r="O99" s="7961"/>
      <c r="P99" s="7962"/>
      <c r="Q99" s="5988" t="str">
        <f t="shared" si="23"/>
        <v/>
      </c>
      <c r="R99" s="7942"/>
      <c r="S99" s="7942"/>
      <c r="T99" s="7943"/>
      <c r="U99" s="5988" t="str">
        <f t="shared" si="24"/>
        <v/>
      </c>
      <c r="V99" s="7942"/>
      <c r="W99" s="7942"/>
      <c r="X99" s="7943"/>
      <c r="Y99" s="7924" t="str">
        <f t="shared" si="26"/>
        <v/>
      </c>
      <c r="Z99" s="5495"/>
      <c r="AA99" s="7924" t="str">
        <f t="shared" si="27"/>
        <v/>
      </c>
      <c r="AB99" s="5495"/>
      <c r="AC99" s="7925" t="str">
        <f t="shared" si="28"/>
        <v/>
      </c>
      <c r="AD99" s="7926"/>
      <c r="AE99" s="7926"/>
      <c r="AF99" s="7926"/>
      <c r="AG99" s="1631">
        <f t="shared" si="29"/>
        <v>0</v>
      </c>
      <c r="AH99" s="1185"/>
      <c r="AI99" s="1185" t="e">
        <f t="shared" si="30"/>
        <v>#VALUE!</v>
      </c>
      <c r="AJ99" s="1547"/>
      <c r="AK99" s="1551"/>
      <c r="AL99" s="1551"/>
      <c r="AM99" s="1549"/>
      <c r="AN99" s="1549"/>
      <c r="AO99" s="1550"/>
      <c r="AP99" s="1549"/>
      <c r="AQ99" s="1548"/>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28">
        <f t="shared" si="25"/>
        <v>0</v>
      </c>
      <c r="B100" s="7957" t="str">
        <f t="shared" si="20"/>
        <v/>
      </c>
      <c r="C100" s="7958"/>
      <c r="D100" s="7958"/>
      <c r="E100" s="7958"/>
      <c r="F100" s="7958"/>
      <c r="G100" s="7958"/>
      <c r="H100" s="7958"/>
      <c r="I100" s="7959"/>
      <c r="J100" s="7960" t="str">
        <f t="shared" si="21"/>
        <v/>
      </c>
      <c r="K100" s="7961"/>
      <c r="L100" s="7961"/>
      <c r="M100" s="7960" t="str">
        <f t="shared" si="22"/>
        <v/>
      </c>
      <c r="N100" s="7961"/>
      <c r="O100" s="7961"/>
      <c r="P100" s="7962"/>
      <c r="Q100" s="5988" t="str">
        <f t="shared" si="23"/>
        <v/>
      </c>
      <c r="R100" s="7942"/>
      <c r="S100" s="7942"/>
      <c r="T100" s="7943"/>
      <c r="U100" s="5988" t="str">
        <f t="shared" si="24"/>
        <v/>
      </c>
      <c r="V100" s="7942"/>
      <c r="W100" s="7942"/>
      <c r="X100" s="7943"/>
      <c r="Y100" s="7924" t="str">
        <f t="shared" si="26"/>
        <v/>
      </c>
      <c r="Z100" s="5495"/>
      <c r="AA100" s="7924" t="str">
        <f t="shared" si="27"/>
        <v/>
      </c>
      <c r="AB100" s="5495"/>
      <c r="AC100" s="7925" t="str">
        <f t="shared" si="28"/>
        <v/>
      </c>
      <c r="AD100" s="7926"/>
      <c r="AE100" s="7926"/>
      <c r="AF100" s="7926"/>
      <c r="AG100" s="1631">
        <f t="shared" si="29"/>
        <v>0</v>
      </c>
      <c r="AH100" s="1185"/>
      <c r="AI100" s="1185" t="e">
        <f t="shared" si="30"/>
        <v>#VALUE!</v>
      </c>
      <c r="AJ100" s="1547"/>
      <c r="AK100" s="1551"/>
      <c r="AL100" s="1551"/>
      <c r="AM100" s="1549"/>
      <c r="AN100" s="1549"/>
      <c r="AO100" s="1550"/>
      <c r="AP100" s="1549"/>
      <c r="AQ100" s="1548"/>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28">
        <f t="shared" si="25"/>
        <v>0</v>
      </c>
      <c r="B101" s="7957" t="str">
        <f t="shared" si="20"/>
        <v/>
      </c>
      <c r="C101" s="7958"/>
      <c r="D101" s="7958"/>
      <c r="E101" s="7958"/>
      <c r="F101" s="7958"/>
      <c r="G101" s="7958"/>
      <c r="H101" s="7958"/>
      <c r="I101" s="7959"/>
      <c r="J101" s="7960" t="str">
        <f t="shared" si="21"/>
        <v/>
      </c>
      <c r="K101" s="7961"/>
      <c r="L101" s="7961"/>
      <c r="M101" s="7960" t="str">
        <f t="shared" si="22"/>
        <v/>
      </c>
      <c r="N101" s="7961"/>
      <c r="O101" s="7961"/>
      <c r="P101" s="7962"/>
      <c r="Q101" s="5988" t="str">
        <f t="shared" si="23"/>
        <v/>
      </c>
      <c r="R101" s="7942"/>
      <c r="S101" s="7942"/>
      <c r="T101" s="7943"/>
      <c r="U101" s="5988" t="str">
        <f t="shared" si="24"/>
        <v/>
      </c>
      <c r="V101" s="7942"/>
      <c r="W101" s="7942"/>
      <c r="X101" s="7943"/>
      <c r="Y101" s="7924" t="str">
        <f t="shared" si="26"/>
        <v/>
      </c>
      <c r="Z101" s="5495"/>
      <c r="AA101" s="7924" t="str">
        <f t="shared" si="27"/>
        <v/>
      </c>
      <c r="AB101" s="5495"/>
      <c r="AC101" s="7925" t="str">
        <f t="shared" si="28"/>
        <v/>
      </c>
      <c r="AD101" s="7926"/>
      <c r="AE101" s="7926"/>
      <c r="AF101" s="7926"/>
      <c r="AG101" s="1631">
        <f t="shared" si="29"/>
        <v>0</v>
      </c>
      <c r="AH101" s="1185"/>
      <c r="AI101" s="1185" t="e">
        <f t="shared" si="30"/>
        <v>#VALUE!</v>
      </c>
      <c r="AJ101" s="1547"/>
      <c r="AK101" s="1551"/>
      <c r="AL101" s="1551"/>
      <c r="AM101" s="1549"/>
      <c r="AN101" s="1549"/>
      <c r="AO101" s="1550"/>
      <c r="AP101" s="1549"/>
      <c r="AQ101" s="1548"/>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28">
        <f t="shared" si="25"/>
        <v>0</v>
      </c>
      <c r="B102" s="7957" t="str">
        <f t="shared" si="20"/>
        <v/>
      </c>
      <c r="C102" s="7958"/>
      <c r="D102" s="7958"/>
      <c r="E102" s="7958"/>
      <c r="F102" s="7958"/>
      <c r="G102" s="7958"/>
      <c r="H102" s="7958"/>
      <c r="I102" s="7959"/>
      <c r="J102" s="7960" t="str">
        <f t="shared" si="21"/>
        <v/>
      </c>
      <c r="K102" s="7961"/>
      <c r="L102" s="7961"/>
      <c r="M102" s="7960" t="str">
        <f t="shared" si="22"/>
        <v/>
      </c>
      <c r="N102" s="7961"/>
      <c r="O102" s="7961"/>
      <c r="P102" s="7962"/>
      <c r="Q102" s="5988" t="str">
        <f t="shared" si="23"/>
        <v/>
      </c>
      <c r="R102" s="7942"/>
      <c r="S102" s="7942"/>
      <c r="T102" s="7943"/>
      <c r="U102" s="5988" t="str">
        <f t="shared" si="24"/>
        <v/>
      </c>
      <c r="V102" s="7942"/>
      <c r="W102" s="7942"/>
      <c r="X102" s="7943"/>
      <c r="Y102" s="7924" t="str">
        <f t="shared" si="26"/>
        <v/>
      </c>
      <c r="Z102" s="5495"/>
      <c r="AA102" s="7924" t="str">
        <f t="shared" si="27"/>
        <v/>
      </c>
      <c r="AB102" s="5495"/>
      <c r="AC102" s="7925" t="str">
        <f t="shared" si="28"/>
        <v/>
      </c>
      <c r="AD102" s="7926"/>
      <c r="AE102" s="7926"/>
      <c r="AF102" s="7926"/>
      <c r="AG102" s="1631">
        <f t="shared" si="29"/>
        <v>0</v>
      </c>
      <c r="AH102" s="1185"/>
      <c r="AI102" s="1185" t="e">
        <f t="shared" si="30"/>
        <v>#VALUE!</v>
      </c>
      <c r="AJ102" s="1547"/>
      <c r="AK102" s="1551"/>
      <c r="AL102" s="1551"/>
      <c r="AM102" s="1549"/>
      <c r="AN102" s="1549"/>
      <c r="AO102" s="1550"/>
      <c r="AP102" s="1549"/>
      <c r="AQ102" s="1548"/>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28">
        <f t="shared" si="25"/>
        <v>0</v>
      </c>
      <c r="B103" s="7957" t="str">
        <f t="shared" si="20"/>
        <v/>
      </c>
      <c r="C103" s="7958"/>
      <c r="D103" s="7958"/>
      <c r="E103" s="7958"/>
      <c r="F103" s="7958"/>
      <c r="G103" s="7958"/>
      <c r="H103" s="7958"/>
      <c r="I103" s="7959"/>
      <c r="J103" s="7960" t="str">
        <f t="shared" si="21"/>
        <v/>
      </c>
      <c r="K103" s="7961"/>
      <c r="L103" s="7961"/>
      <c r="M103" s="7960" t="str">
        <f t="shared" si="22"/>
        <v/>
      </c>
      <c r="N103" s="7961"/>
      <c r="O103" s="7961"/>
      <c r="P103" s="7962"/>
      <c r="Q103" s="5988" t="str">
        <f t="shared" si="23"/>
        <v/>
      </c>
      <c r="R103" s="7942"/>
      <c r="S103" s="7942"/>
      <c r="T103" s="7943"/>
      <c r="U103" s="5988" t="str">
        <f t="shared" si="24"/>
        <v/>
      </c>
      <c r="V103" s="7942"/>
      <c r="W103" s="7942"/>
      <c r="X103" s="7943"/>
      <c r="Y103" s="7924" t="str">
        <f t="shared" si="26"/>
        <v/>
      </c>
      <c r="Z103" s="5495"/>
      <c r="AA103" s="7924" t="str">
        <f t="shared" si="27"/>
        <v/>
      </c>
      <c r="AB103" s="5495"/>
      <c r="AC103" s="7925" t="str">
        <f t="shared" si="28"/>
        <v/>
      </c>
      <c r="AD103" s="7926"/>
      <c r="AE103" s="7926"/>
      <c r="AF103" s="7926"/>
      <c r="AG103" s="1631">
        <f t="shared" si="29"/>
        <v>0</v>
      </c>
      <c r="AH103" s="1185"/>
      <c r="AI103" s="1185" t="e">
        <f t="shared" si="30"/>
        <v>#VALUE!</v>
      </c>
      <c r="AJ103" s="1547"/>
      <c r="AK103" s="1551"/>
      <c r="AL103" s="1551"/>
      <c r="AM103" s="1549"/>
      <c r="AN103" s="1549"/>
      <c r="AO103" s="1550"/>
      <c r="AP103" s="1549"/>
      <c r="AQ103" s="1548"/>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28">
        <f t="shared" si="25"/>
        <v>0</v>
      </c>
      <c r="B104" s="7957" t="str">
        <f t="shared" si="20"/>
        <v/>
      </c>
      <c r="C104" s="7958"/>
      <c r="D104" s="7958"/>
      <c r="E104" s="7958"/>
      <c r="F104" s="7958"/>
      <c r="G104" s="7958"/>
      <c r="H104" s="7958"/>
      <c r="I104" s="7959"/>
      <c r="J104" s="7960" t="str">
        <f t="shared" si="21"/>
        <v/>
      </c>
      <c r="K104" s="7961"/>
      <c r="L104" s="7961"/>
      <c r="M104" s="7960" t="str">
        <f t="shared" si="22"/>
        <v/>
      </c>
      <c r="N104" s="7961"/>
      <c r="O104" s="7961"/>
      <c r="P104" s="7962"/>
      <c r="Q104" s="5988" t="str">
        <f t="shared" si="23"/>
        <v/>
      </c>
      <c r="R104" s="7942"/>
      <c r="S104" s="7942"/>
      <c r="T104" s="7943"/>
      <c r="U104" s="5988" t="str">
        <f t="shared" si="24"/>
        <v/>
      </c>
      <c r="V104" s="7942"/>
      <c r="W104" s="7942"/>
      <c r="X104" s="7943"/>
      <c r="Y104" s="7924" t="str">
        <f t="shared" si="26"/>
        <v/>
      </c>
      <c r="Z104" s="5495"/>
      <c r="AA104" s="7924" t="str">
        <f t="shared" si="27"/>
        <v/>
      </c>
      <c r="AB104" s="5495"/>
      <c r="AC104" s="7925" t="str">
        <f t="shared" si="28"/>
        <v/>
      </c>
      <c r="AD104" s="7926"/>
      <c r="AE104" s="7926"/>
      <c r="AF104" s="7926"/>
      <c r="AG104" s="1631">
        <f t="shared" si="29"/>
        <v>0</v>
      </c>
      <c r="AH104" s="1185"/>
      <c r="AI104" s="1185" t="e">
        <f t="shared" si="30"/>
        <v>#VALUE!</v>
      </c>
      <c r="AJ104" s="1547"/>
      <c r="AK104" s="1551"/>
      <c r="AL104" s="1551"/>
      <c r="AM104" s="1549"/>
      <c r="AN104" s="1549"/>
      <c r="AO104" s="1550"/>
      <c r="AP104" s="1549"/>
      <c r="AQ104" s="1548"/>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28">
        <f t="shared" si="25"/>
        <v>0</v>
      </c>
      <c r="B105" s="7957" t="str">
        <f t="shared" si="20"/>
        <v/>
      </c>
      <c r="C105" s="7958"/>
      <c r="D105" s="7958"/>
      <c r="E105" s="7958"/>
      <c r="F105" s="7958"/>
      <c r="G105" s="7958"/>
      <c r="H105" s="7958"/>
      <c r="I105" s="7959"/>
      <c r="J105" s="7960" t="str">
        <f t="shared" si="21"/>
        <v/>
      </c>
      <c r="K105" s="7961"/>
      <c r="L105" s="7961"/>
      <c r="M105" s="7960" t="str">
        <f t="shared" si="22"/>
        <v/>
      </c>
      <c r="N105" s="7961"/>
      <c r="O105" s="7961"/>
      <c r="P105" s="7962"/>
      <c r="Q105" s="5988" t="str">
        <f t="shared" si="23"/>
        <v/>
      </c>
      <c r="R105" s="7942"/>
      <c r="S105" s="7942"/>
      <c r="T105" s="7943"/>
      <c r="U105" s="5988" t="str">
        <f t="shared" si="24"/>
        <v/>
      </c>
      <c r="V105" s="7942"/>
      <c r="W105" s="7942"/>
      <c r="X105" s="7943"/>
      <c r="Y105" s="7924" t="str">
        <f t="shared" si="26"/>
        <v/>
      </c>
      <c r="Z105" s="5495"/>
      <c r="AA105" s="7924" t="str">
        <f t="shared" si="27"/>
        <v/>
      </c>
      <c r="AB105" s="5495"/>
      <c r="AC105" s="7925" t="str">
        <f t="shared" si="28"/>
        <v/>
      </c>
      <c r="AD105" s="7926"/>
      <c r="AE105" s="7926"/>
      <c r="AF105" s="7926"/>
      <c r="AG105" s="1631">
        <f t="shared" si="29"/>
        <v>0</v>
      </c>
      <c r="AH105" s="1185"/>
      <c r="AI105" s="1185" t="e">
        <f t="shared" si="30"/>
        <v>#VALUE!</v>
      </c>
      <c r="AJ105" s="1547"/>
      <c r="AK105" s="1551"/>
      <c r="AL105" s="1551"/>
      <c r="AM105" s="1549"/>
      <c r="AN105" s="1549"/>
      <c r="AO105" s="1550"/>
      <c r="AP105" s="1549"/>
      <c r="AQ105" s="1548"/>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28">
        <f t="shared" si="25"/>
        <v>0</v>
      </c>
      <c r="B106" s="7957" t="str">
        <f t="shared" si="20"/>
        <v/>
      </c>
      <c r="C106" s="7958"/>
      <c r="D106" s="7958"/>
      <c r="E106" s="7958"/>
      <c r="F106" s="7958"/>
      <c r="G106" s="7958"/>
      <c r="H106" s="7958"/>
      <c r="I106" s="7959"/>
      <c r="J106" s="7960" t="str">
        <f t="shared" si="21"/>
        <v/>
      </c>
      <c r="K106" s="7961"/>
      <c r="L106" s="7961"/>
      <c r="M106" s="7960" t="str">
        <f t="shared" si="22"/>
        <v/>
      </c>
      <c r="N106" s="7961"/>
      <c r="O106" s="7961"/>
      <c r="P106" s="7962"/>
      <c r="Q106" s="5988" t="str">
        <f t="shared" si="23"/>
        <v/>
      </c>
      <c r="R106" s="7942"/>
      <c r="S106" s="7942"/>
      <c r="T106" s="7943"/>
      <c r="U106" s="5988" t="str">
        <f t="shared" si="24"/>
        <v/>
      </c>
      <c r="V106" s="7942"/>
      <c r="W106" s="7942"/>
      <c r="X106" s="7943"/>
      <c r="Y106" s="7924" t="str">
        <f t="shared" si="26"/>
        <v/>
      </c>
      <c r="Z106" s="5495"/>
      <c r="AA106" s="7924" t="str">
        <f t="shared" si="27"/>
        <v/>
      </c>
      <c r="AB106" s="5495"/>
      <c r="AC106" s="7925" t="str">
        <f t="shared" si="28"/>
        <v/>
      </c>
      <c r="AD106" s="7926"/>
      <c r="AE106" s="7926"/>
      <c r="AF106" s="7926"/>
      <c r="AG106" s="1631">
        <f t="shared" si="29"/>
        <v>0</v>
      </c>
      <c r="AH106" s="1185"/>
      <c r="AI106" s="1185" t="e">
        <f t="shared" si="30"/>
        <v>#VALUE!</v>
      </c>
      <c r="AJ106" s="1547"/>
      <c r="AK106" s="1551"/>
      <c r="AL106" s="1551"/>
      <c r="AM106" s="1549"/>
      <c r="AN106" s="1549"/>
      <c r="AO106" s="1550"/>
      <c r="AP106" s="1549"/>
      <c r="AQ106" s="1548"/>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28">
        <f t="shared" si="25"/>
        <v>0</v>
      </c>
      <c r="B107" s="7957" t="str">
        <f t="shared" si="20"/>
        <v/>
      </c>
      <c r="C107" s="7958"/>
      <c r="D107" s="7958"/>
      <c r="E107" s="7958"/>
      <c r="F107" s="7958"/>
      <c r="G107" s="7958"/>
      <c r="H107" s="7958"/>
      <c r="I107" s="7959"/>
      <c r="J107" s="7960" t="str">
        <f t="shared" si="21"/>
        <v/>
      </c>
      <c r="K107" s="7961"/>
      <c r="L107" s="7961"/>
      <c r="M107" s="7960" t="str">
        <f t="shared" si="22"/>
        <v/>
      </c>
      <c r="N107" s="7961"/>
      <c r="O107" s="7961"/>
      <c r="P107" s="7962"/>
      <c r="Q107" s="5988" t="str">
        <f t="shared" si="23"/>
        <v/>
      </c>
      <c r="R107" s="7942"/>
      <c r="S107" s="7942"/>
      <c r="T107" s="7943"/>
      <c r="U107" s="5988" t="str">
        <f t="shared" si="24"/>
        <v/>
      </c>
      <c r="V107" s="7942"/>
      <c r="W107" s="7942"/>
      <c r="X107" s="7943"/>
      <c r="Y107" s="7924" t="str">
        <f t="shared" si="26"/>
        <v/>
      </c>
      <c r="Z107" s="5495"/>
      <c r="AA107" s="7924" t="str">
        <f t="shared" si="27"/>
        <v/>
      </c>
      <c r="AB107" s="5495"/>
      <c r="AC107" s="7925" t="str">
        <f t="shared" si="28"/>
        <v/>
      </c>
      <c r="AD107" s="7926"/>
      <c r="AE107" s="7926"/>
      <c r="AF107" s="7926"/>
      <c r="AG107" s="1631">
        <f t="shared" si="29"/>
        <v>0</v>
      </c>
      <c r="AH107" s="1185"/>
      <c r="AI107" s="1185" t="e">
        <f t="shared" si="30"/>
        <v>#VALUE!</v>
      </c>
      <c r="AJ107" s="1547"/>
      <c r="AK107" s="1551"/>
      <c r="AL107" s="1551"/>
      <c r="AM107" s="1549"/>
      <c r="AN107" s="1549"/>
      <c r="AO107" s="1550"/>
      <c r="AP107" s="1549"/>
      <c r="AQ107" s="1548"/>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28">
        <f t="shared" si="25"/>
        <v>0</v>
      </c>
      <c r="B108" s="7957" t="str">
        <f t="shared" si="20"/>
        <v/>
      </c>
      <c r="C108" s="7958"/>
      <c r="D108" s="7958"/>
      <c r="E108" s="7958"/>
      <c r="F108" s="7958"/>
      <c r="G108" s="7958"/>
      <c r="H108" s="7958"/>
      <c r="I108" s="7959"/>
      <c r="J108" s="7960" t="str">
        <f t="shared" si="21"/>
        <v/>
      </c>
      <c r="K108" s="7961"/>
      <c r="L108" s="7961"/>
      <c r="M108" s="7960" t="str">
        <f t="shared" si="22"/>
        <v/>
      </c>
      <c r="N108" s="7961"/>
      <c r="O108" s="7961"/>
      <c r="P108" s="7962"/>
      <c r="Q108" s="5988" t="str">
        <f t="shared" si="23"/>
        <v/>
      </c>
      <c r="R108" s="7942"/>
      <c r="S108" s="7942"/>
      <c r="T108" s="7943"/>
      <c r="U108" s="5988" t="str">
        <f t="shared" si="24"/>
        <v/>
      </c>
      <c r="V108" s="7942"/>
      <c r="W108" s="7942"/>
      <c r="X108" s="7943"/>
      <c r="Y108" s="7924" t="str">
        <f t="shared" si="26"/>
        <v/>
      </c>
      <c r="Z108" s="5495"/>
      <c r="AA108" s="7924" t="str">
        <f t="shared" si="27"/>
        <v/>
      </c>
      <c r="AB108" s="5495"/>
      <c r="AC108" s="7925" t="str">
        <f t="shared" si="28"/>
        <v/>
      </c>
      <c r="AD108" s="7926"/>
      <c r="AE108" s="7926"/>
      <c r="AF108" s="7926"/>
      <c r="AG108" s="1631">
        <f t="shared" si="29"/>
        <v>0</v>
      </c>
      <c r="AH108" s="1185"/>
      <c r="AI108" s="1185" t="e">
        <f t="shared" si="30"/>
        <v>#VALUE!</v>
      </c>
      <c r="AJ108" s="1547"/>
      <c r="AK108" s="1551"/>
      <c r="AL108" s="1551"/>
      <c r="AM108" s="1549"/>
      <c r="AN108" s="1549"/>
      <c r="AO108" s="1550"/>
      <c r="AP108" s="1549"/>
      <c r="AQ108" s="1548"/>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28">
        <f t="shared" si="25"/>
        <v>0</v>
      </c>
      <c r="B109" s="7957" t="str">
        <f t="shared" si="20"/>
        <v/>
      </c>
      <c r="C109" s="7958"/>
      <c r="D109" s="7958"/>
      <c r="E109" s="7958"/>
      <c r="F109" s="7958"/>
      <c r="G109" s="7958"/>
      <c r="H109" s="7958"/>
      <c r="I109" s="7959"/>
      <c r="J109" s="7960" t="str">
        <f t="shared" si="21"/>
        <v/>
      </c>
      <c r="K109" s="7961"/>
      <c r="L109" s="7961"/>
      <c r="M109" s="7960" t="str">
        <f t="shared" si="22"/>
        <v/>
      </c>
      <c r="N109" s="7961"/>
      <c r="O109" s="7961"/>
      <c r="P109" s="7962"/>
      <c r="Q109" s="5988" t="str">
        <f t="shared" si="23"/>
        <v/>
      </c>
      <c r="R109" s="7942"/>
      <c r="S109" s="7942"/>
      <c r="T109" s="7943"/>
      <c r="U109" s="5988" t="str">
        <f t="shared" si="24"/>
        <v/>
      </c>
      <c r="V109" s="7942"/>
      <c r="W109" s="7942"/>
      <c r="X109" s="7943"/>
      <c r="Y109" s="7924" t="str">
        <f t="shared" si="26"/>
        <v/>
      </c>
      <c r="Z109" s="5495"/>
      <c r="AA109" s="7924" t="str">
        <f t="shared" si="27"/>
        <v/>
      </c>
      <c r="AB109" s="5495"/>
      <c r="AC109" s="7925" t="str">
        <f t="shared" si="28"/>
        <v/>
      </c>
      <c r="AD109" s="7926"/>
      <c r="AE109" s="7926"/>
      <c r="AF109" s="7926"/>
      <c r="AG109" s="1631">
        <f t="shared" si="29"/>
        <v>0</v>
      </c>
      <c r="AH109" s="1185"/>
      <c r="AI109" s="1185" t="e">
        <f t="shared" si="30"/>
        <v>#VALUE!</v>
      </c>
      <c r="AJ109" s="1547"/>
      <c r="AK109" s="1551"/>
      <c r="AL109" s="1551"/>
      <c r="AM109" s="1549"/>
      <c r="AN109" s="1549"/>
      <c r="AO109" s="1550"/>
      <c r="AP109" s="1549"/>
      <c r="AQ109" s="1548"/>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28">
        <f t="shared" si="25"/>
        <v>0</v>
      </c>
      <c r="B110" s="7957" t="str">
        <f t="shared" si="20"/>
        <v/>
      </c>
      <c r="C110" s="7958"/>
      <c r="D110" s="7958"/>
      <c r="E110" s="7958"/>
      <c r="F110" s="7958"/>
      <c r="G110" s="7958"/>
      <c r="H110" s="7958"/>
      <c r="I110" s="7959"/>
      <c r="J110" s="7960" t="str">
        <f t="shared" si="21"/>
        <v/>
      </c>
      <c r="K110" s="7961"/>
      <c r="L110" s="7961"/>
      <c r="M110" s="7960" t="str">
        <f t="shared" si="22"/>
        <v/>
      </c>
      <c r="N110" s="7961"/>
      <c r="O110" s="7961"/>
      <c r="P110" s="7962"/>
      <c r="Q110" s="5988" t="str">
        <f t="shared" si="23"/>
        <v/>
      </c>
      <c r="R110" s="7942"/>
      <c r="S110" s="7942"/>
      <c r="T110" s="7943"/>
      <c r="U110" s="5988" t="str">
        <f t="shared" si="24"/>
        <v/>
      </c>
      <c r="V110" s="7942"/>
      <c r="W110" s="7942"/>
      <c r="X110" s="7943"/>
      <c r="Y110" s="7924" t="str">
        <f t="shared" si="26"/>
        <v/>
      </c>
      <c r="Z110" s="5495"/>
      <c r="AA110" s="7924" t="str">
        <f t="shared" si="27"/>
        <v/>
      </c>
      <c r="AB110" s="5495"/>
      <c r="AC110" s="7925" t="str">
        <f t="shared" si="28"/>
        <v/>
      </c>
      <c r="AD110" s="7926"/>
      <c r="AE110" s="7926"/>
      <c r="AF110" s="7926"/>
      <c r="AG110" s="1631">
        <f t="shared" si="29"/>
        <v>0</v>
      </c>
      <c r="AH110" s="1185"/>
      <c r="AI110" s="1185" t="e">
        <f t="shared" si="30"/>
        <v>#VALUE!</v>
      </c>
      <c r="AJ110" s="1547"/>
      <c r="AK110" s="1551"/>
      <c r="AL110" s="1551"/>
      <c r="AM110" s="1549"/>
      <c r="AN110" s="1549"/>
      <c r="AO110" s="1550"/>
      <c r="AP110" s="1549"/>
      <c r="AQ110" s="1548"/>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28">
        <f t="shared" si="25"/>
        <v>0</v>
      </c>
      <c r="B111" s="7957" t="str">
        <f t="shared" si="20"/>
        <v/>
      </c>
      <c r="C111" s="7958"/>
      <c r="D111" s="7958"/>
      <c r="E111" s="7958"/>
      <c r="F111" s="7958"/>
      <c r="G111" s="7958"/>
      <c r="H111" s="7958"/>
      <c r="I111" s="7959"/>
      <c r="J111" s="7960" t="str">
        <f t="shared" si="21"/>
        <v/>
      </c>
      <c r="K111" s="7961"/>
      <c r="L111" s="7961"/>
      <c r="M111" s="7960" t="str">
        <f t="shared" si="22"/>
        <v/>
      </c>
      <c r="N111" s="7961"/>
      <c r="O111" s="7961"/>
      <c r="P111" s="7962"/>
      <c r="Q111" s="5988" t="str">
        <f t="shared" si="23"/>
        <v/>
      </c>
      <c r="R111" s="7942"/>
      <c r="S111" s="7942"/>
      <c r="T111" s="7943"/>
      <c r="U111" s="5988" t="str">
        <f t="shared" si="24"/>
        <v/>
      </c>
      <c r="V111" s="7942"/>
      <c r="W111" s="7942"/>
      <c r="X111" s="7943"/>
      <c r="Y111" s="7924" t="str">
        <f t="shared" si="26"/>
        <v/>
      </c>
      <c r="Z111" s="5495"/>
      <c r="AA111" s="7924" t="str">
        <f t="shared" si="27"/>
        <v/>
      </c>
      <c r="AB111" s="5495"/>
      <c r="AC111" s="7925" t="str">
        <f t="shared" si="28"/>
        <v/>
      </c>
      <c r="AD111" s="7926"/>
      <c r="AE111" s="7926"/>
      <c r="AF111" s="7926"/>
      <c r="AG111" s="1631">
        <f t="shared" si="29"/>
        <v>0</v>
      </c>
      <c r="AH111" s="1185"/>
      <c r="AI111" s="1185" t="e">
        <f t="shared" si="30"/>
        <v>#VALUE!</v>
      </c>
      <c r="AJ111" s="1547"/>
      <c r="AK111" s="1551"/>
      <c r="AL111" s="1551"/>
      <c r="AM111" s="1549"/>
      <c r="AN111" s="1549"/>
      <c r="AO111" s="1550"/>
      <c r="AP111" s="1549"/>
      <c r="AQ111" s="1548"/>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28">
        <f t="shared" si="25"/>
        <v>0</v>
      </c>
      <c r="B112" s="7957" t="str">
        <f t="shared" si="20"/>
        <v/>
      </c>
      <c r="C112" s="7958"/>
      <c r="D112" s="7958"/>
      <c r="E112" s="7958"/>
      <c r="F112" s="7958"/>
      <c r="G112" s="7958"/>
      <c r="H112" s="7958"/>
      <c r="I112" s="7959"/>
      <c r="J112" s="7960" t="str">
        <f t="shared" si="21"/>
        <v/>
      </c>
      <c r="K112" s="7961"/>
      <c r="L112" s="7961"/>
      <c r="M112" s="7960" t="str">
        <f t="shared" si="22"/>
        <v/>
      </c>
      <c r="N112" s="7961"/>
      <c r="O112" s="7961"/>
      <c r="P112" s="7962"/>
      <c r="Q112" s="5988" t="str">
        <f t="shared" si="23"/>
        <v/>
      </c>
      <c r="R112" s="7942"/>
      <c r="S112" s="7942"/>
      <c r="T112" s="7943"/>
      <c r="U112" s="5988" t="str">
        <f t="shared" si="24"/>
        <v/>
      </c>
      <c r="V112" s="7942"/>
      <c r="W112" s="7942"/>
      <c r="X112" s="7943"/>
      <c r="Y112" s="7924" t="str">
        <f t="shared" si="26"/>
        <v/>
      </c>
      <c r="Z112" s="5495"/>
      <c r="AA112" s="7924" t="str">
        <f t="shared" si="27"/>
        <v/>
      </c>
      <c r="AB112" s="5495"/>
      <c r="AC112" s="7925" t="str">
        <f t="shared" si="28"/>
        <v/>
      </c>
      <c r="AD112" s="7926"/>
      <c r="AE112" s="7926"/>
      <c r="AF112" s="7926"/>
      <c r="AG112" s="1631">
        <f t="shared" si="29"/>
        <v>0</v>
      </c>
      <c r="AH112" s="1185"/>
      <c r="AI112" s="1185" t="e">
        <f t="shared" si="30"/>
        <v>#VALUE!</v>
      </c>
      <c r="AJ112" s="1547"/>
      <c r="AK112" s="1551"/>
      <c r="AL112" s="1551"/>
      <c r="AM112" s="1549"/>
      <c r="AN112" s="1549"/>
      <c r="AO112" s="1550"/>
      <c r="AP112" s="1549"/>
      <c r="AQ112" s="1548"/>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28">
        <f t="shared" si="25"/>
        <v>0</v>
      </c>
      <c r="B113" s="7957" t="str">
        <f t="shared" si="20"/>
        <v/>
      </c>
      <c r="C113" s="7958"/>
      <c r="D113" s="7958"/>
      <c r="E113" s="7958"/>
      <c r="F113" s="7958"/>
      <c r="G113" s="7958"/>
      <c r="H113" s="7958"/>
      <c r="I113" s="7959"/>
      <c r="J113" s="7960" t="str">
        <f t="shared" si="21"/>
        <v/>
      </c>
      <c r="K113" s="7961"/>
      <c r="L113" s="7961"/>
      <c r="M113" s="7960" t="str">
        <f t="shared" si="22"/>
        <v/>
      </c>
      <c r="N113" s="7961"/>
      <c r="O113" s="7961"/>
      <c r="P113" s="7962"/>
      <c r="Q113" s="5988" t="str">
        <f t="shared" si="23"/>
        <v/>
      </c>
      <c r="R113" s="7942"/>
      <c r="S113" s="7942"/>
      <c r="T113" s="7943"/>
      <c r="U113" s="5988" t="str">
        <f t="shared" si="24"/>
        <v/>
      </c>
      <c r="V113" s="7942"/>
      <c r="W113" s="7942"/>
      <c r="X113" s="7943"/>
      <c r="Y113" s="7924" t="str">
        <f t="shared" si="26"/>
        <v/>
      </c>
      <c r="Z113" s="5495"/>
      <c r="AA113" s="7924" t="str">
        <f t="shared" si="27"/>
        <v/>
      </c>
      <c r="AB113" s="5495"/>
      <c r="AC113" s="7925" t="str">
        <f t="shared" si="28"/>
        <v/>
      </c>
      <c r="AD113" s="7926"/>
      <c r="AE113" s="7926"/>
      <c r="AF113" s="7926"/>
      <c r="AG113" s="1631">
        <f t="shared" si="29"/>
        <v>0</v>
      </c>
      <c r="AH113" s="1185"/>
      <c r="AI113" s="1185" t="e">
        <f t="shared" si="30"/>
        <v>#VALUE!</v>
      </c>
      <c r="AJ113" s="1547"/>
      <c r="AK113" s="1551"/>
      <c r="AL113" s="1551"/>
      <c r="AM113" s="1549"/>
      <c r="AN113" s="1549"/>
      <c r="AO113" s="1550"/>
      <c r="AP113" s="1549"/>
      <c r="AQ113" s="1548"/>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28">
        <f t="shared" si="25"/>
        <v>0</v>
      </c>
      <c r="B114" s="7957" t="str">
        <f t="shared" si="20"/>
        <v/>
      </c>
      <c r="C114" s="7958"/>
      <c r="D114" s="7958"/>
      <c r="E114" s="7958"/>
      <c r="F114" s="7958"/>
      <c r="G114" s="7958"/>
      <c r="H114" s="7958"/>
      <c r="I114" s="7959"/>
      <c r="J114" s="7960" t="str">
        <f t="shared" si="21"/>
        <v/>
      </c>
      <c r="K114" s="7961"/>
      <c r="L114" s="7961"/>
      <c r="M114" s="7960" t="str">
        <f t="shared" si="22"/>
        <v/>
      </c>
      <c r="N114" s="7961"/>
      <c r="O114" s="7961"/>
      <c r="P114" s="7962"/>
      <c r="Q114" s="5988" t="str">
        <f t="shared" si="23"/>
        <v/>
      </c>
      <c r="R114" s="7942"/>
      <c r="S114" s="7942"/>
      <c r="T114" s="7943"/>
      <c r="U114" s="5988" t="str">
        <f t="shared" si="24"/>
        <v/>
      </c>
      <c r="V114" s="7942"/>
      <c r="W114" s="7942"/>
      <c r="X114" s="7943"/>
      <c r="Y114" s="7924" t="str">
        <f t="shared" si="26"/>
        <v/>
      </c>
      <c r="Z114" s="5495"/>
      <c r="AA114" s="7924" t="str">
        <f t="shared" si="27"/>
        <v/>
      </c>
      <c r="AB114" s="5495"/>
      <c r="AC114" s="7925" t="str">
        <f t="shared" si="28"/>
        <v/>
      </c>
      <c r="AD114" s="7926"/>
      <c r="AE114" s="7926"/>
      <c r="AF114" s="7926"/>
      <c r="AG114" s="1631">
        <f t="shared" si="29"/>
        <v>0</v>
      </c>
      <c r="AH114" s="1185"/>
      <c r="AI114" s="1185" t="e">
        <f t="shared" si="30"/>
        <v>#VALUE!</v>
      </c>
      <c r="AJ114" s="1547"/>
      <c r="AK114" s="1551"/>
      <c r="AL114" s="1551"/>
      <c r="AM114" s="1549"/>
      <c r="AN114" s="1549"/>
      <c r="AO114" s="1550"/>
      <c r="AP114" s="1549"/>
      <c r="AQ114" s="1548"/>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28">
        <f t="shared" si="25"/>
        <v>0</v>
      </c>
      <c r="B115" s="7957" t="str">
        <f t="shared" si="20"/>
        <v/>
      </c>
      <c r="C115" s="7958"/>
      <c r="D115" s="7958"/>
      <c r="E115" s="7958"/>
      <c r="F115" s="7958"/>
      <c r="G115" s="7958"/>
      <c r="H115" s="7958"/>
      <c r="I115" s="7959"/>
      <c r="J115" s="7960" t="str">
        <f t="shared" si="21"/>
        <v/>
      </c>
      <c r="K115" s="7961"/>
      <c r="L115" s="7961"/>
      <c r="M115" s="7960" t="str">
        <f t="shared" si="22"/>
        <v/>
      </c>
      <c r="N115" s="7961"/>
      <c r="O115" s="7961"/>
      <c r="P115" s="7962"/>
      <c r="Q115" s="5988" t="str">
        <f t="shared" si="23"/>
        <v/>
      </c>
      <c r="R115" s="7942"/>
      <c r="S115" s="7942"/>
      <c r="T115" s="7943"/>
      <c r="U115" s="5988" t="str">
        <f t="shared" si="24"/>
        <v/>
      </c>
      <c r="V115" s="7942"/>
      <c r="W115" s="7942"/>
      <c r="X115" s="7943"/>
      <c r="Y115" s="7924" t="str">
        <f t="shared" si="26"/>
        <v/>
      </c>
      <c r="Z115" s="5495"/>
      <c r="AA115" s="7924" t="str">
        <f t="shared" si="27"/>
        <v/>
      </c>
      <c r="AB115" s="5495"/>
      <c r="AC115" s="7925" t="str">
        <f t="shared" si="28"/>
        <v/>
      </c>
      <c r="AD115" s="7926"/>
      <c r="AE115" s="7926"/>
      <c r="AF115" s="7926"/>
      <c r="AG115" s="1631">
        <f t="shared" si="29"/>
        <v>0</v>
      </c>
      <c r="AH115" s="1185"/>
      <c r="AI115" s="1185" t="e">
        <f t="shared" si="30"/>
        <v>#VALUE!</v>
      </c>
      <c r="AJ115" s="1547"/>
      <c r="AK115" s="1551"/>
      <c r="AL115" s="1551"/>
      <c r="AM115" s="1549"/>
      <c r="AN115" s="1549"/>
      <c r="AO115" s="1550"/>
      <c r="AP115" s="1549"/>
      <c r="AQ115" s="1548"/>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28">
        <f>SUM(A88:A115)</f>
        <v>0</v>
      </c>
      <c r="B116" s="8015">
        <v>2</v>
      </c>
      <c r="C116" s="8036" t="s">
        <v>1151</v>
      </c>
      <c r="D116" s="8037"/>
      <c r="E116" s="8037"/>
      <c r="F116" s="8037"/>
      <c r="G116" s="8037"/>
      <c r="H116" s="8037"/>
      <c r="I116" s="8037"/>
      <c r="J116" s="8037"/>
      <c r="K116" s="8037"/>
      <c r="L116" s="8037"/>
      <c r="M116" s="8037"/>
      <c r="N116" s="8037"/>
      <c r="O116" s="8037"/>
      <c r="P116" s="8037"/>
      <c r="Q116" s="7934" t="str">
        <f>IF(A116=0,"",ROUND(SUM(Q88:Q115),0))</f>
        <v/>
      </c>
      <c r="R116" s="8039"/>
      <c r="S116" s="8039"/>
      <c r="T116" s="7935"/>
      <c r="U116" s="7934" t="str">
        <f>IF(A116=0,"",ROUND(SUM(U88:U115),0))</f>
        <v/>
      </c>
      <c r="V116" s="8017"/>
      <c r="W116" s="8017"/>
      <c r="X116" s="8018"/>
      <c r="Y116" s="8025"/>
      <c r="Z116" s="8026"/>
      <c r="AA116" s="7934" t="str">
        <f>IF(A116=0,"",ROUND(SUM(AA88:AA115),0))</f>
        <v/>
      </c>
      <c r="AB116" s="7935"/>
      <c r="AC116" s="7934" t="str">
        <f>IF(A116=0,"",ROUND(SUM(AC88:AC115),0))</f>
        <v/>
      </c>
      <c r="AD116" s="8017"/>
      <c r="AE116" s="8017"/>
      <c r="AF116" s="8017"/>
      <c r="AG116" s="1113"/>
    </row>
    <row r="117" spans="1:55" ht="11.25" customHeight="1">
      <c r="A117" s="1228"/>
      <c r="B117" s="8016"/>
      <c r="C117" s="8038"/>
      <c r="D117" s="8038"/>
      <c r="E117" s="8038"/>
      <c r="F117" s="8038"/>
      <c r="G117" s="8038"/>
      <c r="H117" s="8038"/>
      <c r="I117" s="8038"/>
      <c r="J117" s="8038"/>
      <c r="K117" s="8038"/>
      <c r="L117" s="8038"/>
      <c r="M117" s="8038"/>
      <c r="N117" s="8038"/>
      <c r="O117" s="8038"/>
      <c r="P117" s="8038"/>
      <c r="Q117" s="7936"/>
      <c r="R117" s="8040"/>
      <c r="S117" s="8040"/>
      <c r="T117" s="7937"/>
      <c r="U117" s="8019"/>
      <c r="V117" s="8020"/>
      <c r="W117" s="8020"/>
      <c r="X117" s="8021"/>
      <c r="Y117" s="8027"/>
      <c r="Z117" s="8028"/>
      <c r="AA117" s="7936"/>
      <c r="AB117" s="7937"/>
      <c r="AC117" s="8019"/>
      <c r="AD117" s="8020"/>
      <c r="AE117" s="8020"/>
      <c r="AF117" s="8020"/>
      <c r="AG117" s="1113"/>
    </row>
    <row r="118" spans="1:55" ht="11.25" customHeight="1">
      <c r="A118" s="1228"/>
      <c r="B118" s="8016"/>
      <c r="C118" s="8038"/>
      <c r="D118" s="8038"/>
      <c r="E118" s="8038"/>
      <c r="F118" s="8038"/>
      <c r="G118" s="8038"/>
      <c r="H118" s="8038"/>
      <c r="I118" s="8038"/>
      <c r="J118" s="8038"/>
      <c r="K118" s="8038"/>
      <c r="L118" s="8038"/>
      <c r="M118" s="8038"/>
      <c r="N118" s="8038"/>
      <c r="O118" s="8038"/>
      <c r="P118" s="8038"/>
      <c r="Q118" s="7936"/>
      <c r="R118" s="8040"/>
      <c r="S118" s="8040"/>
      <c r="T118" s="7937"/>
      <c r="U118" s="8019"/>
      <c r="V118" s="8020"/>
      <c r="W118" s="8020"/>
      <c r="X118" s="8021"/>
      <c r="Y118" s="8027"/>
      <c r="Z118" s="8028"/>
      <c r="AA118" s="7936"/>
      <c r="AB118" s="7937"/>
      <c r="AC118" s="8019"/>
      <c r="AD118" s="8020"/>
      <c r="AE118" s="8020"/>
      <c r="AF118" s="8020"/>
      <c r="AG118" s="1113"/>
    </row>
    <row r="119" spans="1:55" ht="11.25" customHeight="1">
      <c r="A119" s="1228"/>
      <c r="B119" s="8016"/>
      <c r="C119" s="8038"/>
      <c r="D119" s="8038"/>
      <c r="E119" s="8038"/>
      <c r="F119" s="8038"/>
      <c r="G119" s="8038"/>
      <c r="H119" s="8038"/>
      <c r="I119" s="8038"/>
      <c r="J119" s="8038"/>
      <c r="K119" s="8038"/>
      <c r="L119" s="8038"/>
      <c r="M119" s="8038"/>
      <c r="N119" s="8038"/>
      <c r="O119" s="8038"/>
      <c r="P119" s="8038"/>
      <c r="Q119" s="7936"/>
      <c r="R119" s="8040"/>
      <c r="S119" s="8040"/>
      <c r="T119" s="7937"/>
      <c r="U119" s="8019"/>
      <c r="V119" s="8020"/>
      <c r="W119" s="8020"/>
      <c r="X119" s="8021"/>
      <c r="Y119" s="8027"/>
      <c r="Z119" s="8028"/>
      <c r="AA119" s="7936"/>
      <c r="AB119" s="7937"/>
      <c r="AC119" s="8019"/>
      <c r="AD119" s="8020"/>
      <c r="AE119" s="8020"/>
      <c r="AF119" s="8020"/>
      <c r="AG119" s="1113"/>
    </row>
    <row r="120" spans="1:55" ht="6" customHeight="1" thickBot="1">
      <c r="A120" s="1228"/>
      <c r="B120" s="8016"/>
      <c r="C120" s="8038"/>
      <c r="D120" s="8038"/>
      <c r="E120" s="8038"/>
      <c r="F120" s="8038"/>
      <c r="G120" s="8038"/>
      <c r="H120" s="8038"/>
      <c r="I120" s="8038"/>
      <c r="J120" s="8038"/>
      <c r="K120" s="8038"/>
      <c r="L120" s="8038"/>
      <c r="M120" s="8038"/>
      <c r="N120" s="8038"/>
      <c r="O120" s="8038"/>
      <c r="P120" s="8038"/>
      <c r="Q120" s="7936"/>
      <c r="R120" s="8040"/>
      <c r="S120" s="8040"/>
      <c r="T120" s="7937"/>
      <c r="U120" s="8022"/>
      <c r="V120" s="8023"/>
      <c r="W120" s="8023"/>
      <c r="X120" s="8024"/>
      <c r="Y120" s="8029"/>
      <c r="Z120" s="8030"/>
      <c r="AA120" s="7938"/>
      <c r="AB120" s="7939"/>
      <c r="AC120" s="8019"/>
      <c r="AD120" s="8020"/>
      <c r="AE120" s="8020"/>
      <c r="AF120" s="8020"/>
      <c r="AG120" s="1113"/>
    </row>
    <row r="121" spans="1:55" ht="25.5" customHeight="1" thickBot="1">
      <c r="A121" s="1228"/>
      <c r="B121" s="8033" t="s">
        <v>1958</v>
      </c>
      <c r="C121" s="8034"/>
      <c r="D121" s="8034"/>
      <c r="E121" s="8034"/>
      <c r="F121" s="8034"/>
      <c r="G121" s="8034"/>
      <c r="H121" s="8034"/>
      <c r="I121" s="8034"/>
      <c r="J121" s="8034"/>
      <c r="K121" s="8034"/>
      <c r="L121" s="8034"/>
      <c r="M121" s="8034"/>
      <c r="N121" s="8034"/>
      <c r="O121" s="8034"/>
      <c r="P121" s="8034"/>
      <c r="Q121" s="8034"/>
      <c r="R121" s="8034"/>
      <c r="S121" s="8034"/>
      <c r="T121" s="8034"/>
      <c r="U121" s="8035"/>
      <c r="V121" s="8035"/>
      <c r="W121" s="8035"/>
      <c r="X121" s="8035"/>
      <c r="Y121" s="8034"/>
      <c r="Z121" s="8034"/>
      <c r="AA121" s="8034"/>
      <c r="AB121" s="8034"/>
      <c r="AC121" s="8034"/>
      <c r="AD121" s="8034"/>
      <c r="AE121" s="8034"/>
      <c r="AF121" s="8034"/>
      <c r="AG121" s="1113"/>
    </row>
    <row r="122" spans="1:55" ht="14.25" customHeight="1" thickTop="1">
      <c r="A122" s="1228"/>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27"/>
      <c r="AD122" s="1127" t="s">
        <v>761</v>
      </c>
      <c r="AE122" s="24"/>
      <c r="AF122" s="4609" t="str">
        <f>"("&amp;TaxYear&amp;")"</f>
        <v>(2018)</v>
      </c>
      <c r="AG122" s="1113"/>
    </row>
    <row r="123" spans="1:55">
      <c r="A123" s="1228"/>
      <c r="B123" s="1228"/>
      <c r="C123" s="1228"/>
      <c r="D123" s="1228"/>
      <c r="E123" s="1228"/>
      <c r="F123" s="1228"/>
      <c r="G123" s="1228"/>
      <c r="H123" s="1228"/>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113"/>
    </row>
  </sheetData>
  <sheetProtection password="F07E" sheet="1" objects="1" scenarios="1"/>
  <mergeCells count="472">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 ref="B2:K2"/>
    <mergeCell ref="B4:F6"/>
    <mergeCell ref="H4:AA6"/>
    <mergeCell ref="AB4:AF4"/>
    <mergeCell ref="AB5:AF7"/>
    <mergeCell ref="H7:AA7"/>
    <mergeCell ref="B16:C16"/>
    <mergeCell ref="Y35:Z35"/>
    <mergeCell ref="B12:AF14"/>
    <mergeCell ref="H8:AA9"/>
    <mergeCell ref="AB8:AD9"/>
    <mergeCell ref="AE8:AF9"/>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s>
  <conditionalFormatting sqref="L2">
    <cfRule type="expression" dxfId="314" priority="69" stopIfTrue="1">
      <formula>IF(OR($AG$16,$AG$69),1,0)</formula>
    </cfRule>
  </conditionalFormatting>
  <conditionalFormatting sqref="B2">
    <cfRule type="expression" dxfId="313" priority="70" stopIfTrue="1">
      <formula>IF(OR($AG$16,$AG$69),1,0)</formula>
    </cfRule>
  </conditionalFormatting>
  <conditionalFormatting sqref="B11:AF11">
    <cfRule type="expression" dxfId="312" priority="52">
      <formula>IF(NoColor,1,0)</formula>
    </cfRule>
  </conditionalFormatting>
  <conditionalFormatting sqref="C27">
    <cfRule type="expression" dxfId="311" priority="50">
      <formula>IF(NoColor,1,0)</formula>
    </cfRule>
  </conditionalFormatting>
  <conditionalFormatting sqref="M37">
    <cfRule type="expression" dxfId="310" priority="48" stopIfTrue="1">
      <formula>IF(AND($L$2="",AG37&gt;0),TRUE,FALSE)</formula>
    </cfRule>
  </conditionalFormatting>
  <conditionalFormatting sqref="J37">
    <cfRule type="expression" dxfId="309" priority="47" stopIfTrue="1">
      <formula>IF(AND($L$2="",AG37&lt;&gt;0),TRUE,FALSE)</formula>
    </cfRule>
  </conditionalFormatting>
  <conditionalFormatting sqref="M38">
    <cfRule type="expression" dxfId="308" priority="46" stopIfTrue="1">
      <formula>IF(AND($L$2="",AG38&gt;0),TRUE,FALSE)</formula>
    </cfRule>
  </conditionalFormatting>
  <conditionalFormatting sqref="J38">
    <cfRule type="expression" dxfId="307" priority="45" stopIfTrue="1">
      <formula>IF(AND($L$2="",AG38&lt;&gt;0),TRUE,FALSE)</formula>
    </cfRule>
  </conditionalFormatting>
  <conditionalFormatting sqref="M39:M41 M43:M54">
    <cfRule type="expression" dxfId="306" priority="44" stopIfTrue="1">
      <formula>IF(AND($L$2="",AG39&gt;0),TRUE,FALSE)</formula>
    </cfRule>
  </conditionalFormatting>
  <conditionalFormatting sqref="J39:J41 J43:J54">
    <cfRule type="expression" dxfId="305" priority="43" stopIfTrue="1">
      <formula>IF(AND($L$2="",AG39&lt;&gt;0),TRUE,FALSE)</formula>
    </cfRule>
  </conditionalFormatting>
  <conditionalFormatting sqref="J42">
    <cfRule type="expression" dxfId="304" priority="42" stopIfTrue="1">
      <formula>IF(AND($L$2="",AG42&lt;&gt;0),TRUE,FALSE)</formula>
    </cfRule>
  </conditionalFormatting>
  <conditionalFormatting sqref="M42">
    <cfRule type="expression" dxfId="303" priority="41" stopIfTrue="1">
      <formula>IF(AND($L$2="",AG42&gt;0),TRUE,FALSE)</formula>
    </cfRule>
  </conditionalFormatting>
  <conditionalFormatting sqref="J36">
    <cfRule type="expression" dxfId="302" priority="40" stopIfTrue="1">
      <formula>IF(AND($L$2="",AG36&lt;&gt;0),TRUE,FALSE)</formula>
    </cfRule>
  </conditionalFormatting>
  <conditionalFormatting sqref="M36">
    <cfRule type="expression" dxfId="301" priority="39" stopIfTrue="1">
      <formula>IF(AND($L$2="",AG36&gt;0),TRUE,FALSE)</formula>
    </cfRule>
  </conditionalFormatting>
  <conditionalFormatting sqref="B36:AB54">
    <cfRule type="expression" dxfId="300" priority="38">
      <formula>IF(NoColor,1,0)</formula>
    </cfRule>
  </conditionalFormatting>
  <conditionalFormatting sqref="J35">
    <cfRule type="expression" dxfId="299" priority="37" stopIfTrue="1">
      <formula>IF(AND($L$2="",AG35&lt;&gt;0),TRUE,FALSE)</formula>
    </cfRule>
  </conditionalFormatting>
  <conditionalFormatting sqref="M35">
    <cfRule type="expression" dxfId="298" priority="36" stopIfTrue="1">
      <formula>IF(AND($L$2="",AG35&gt;0),TRUE,FALSE)</formula>
    </cfRule>
  </conditionalFormatting>
  <conditionalFormatting sqref="B35:AB35">
    <cfRule type="expression" dxfId="297" priority="35">
      <formula>IF(NoColor,1,0)</formula>
    </cfRule>
  </conditionalFormatting>
  <conditionalFormatting sqref="B64:AF64">
    <cfRule type="expression" dxfId="296" priority="34">
      <formula>IF(NoColor,1,0)</formula>
    </cfRule>
  </conditionalFormatting>
  <conditionalFormatting sqref="C78">
    <cfRule type="expression" dxfId="295" priority="33">
      <formula>IF(NoColor,1,0)</formula>
    </cfRule>
  </conditionalFormatting>
  <conditionalFormatting sqref="M88:M115">
    <cfRule type="expression" dxfId="294" priority="30" stopIfTrue="1">
      <formula>IF(AND($L$2="",AG88&gt;0),TRUE,FALSE)</formula>
    </cfRule>
  </conditionalFormatting>
  <conditionalFormatting sqref="J88:J115">
    <cfRule type="expression" dxfId="293" priority="29" stopIfTrue="1">
      <formula>IF(AND($L$2="",AG88&lt;&gt;0),TRUE,FALSE)</formula>
    </cfRule>
  </conditionalFormatting>
  <conditionalFormatting sqref="B88:AB115">
    <cfRule type="expression" dxfId="292" priority="28">
      <formula>IF(NoColor,1,0)</formula>
    </cfRule>
  </conditionalFormatting>
  <conditionalFormatting sqref="Q55:X59">
    <cfRule type="expression" dxfId="291" priority="22">
      <formula>IF(NoColor,1,0)</formula>
    </cfRule>
  </conditionalFormatting>
  <conditionalFormatting sqref="AA55:AF59">
    <cfRule type="expression" dxfId="290" priority="21">
      <formula>IF(NoColor,1,0)</formula>
    </cfRule>
  </conditionalFormatting>
  <conditionalFormatting sqref="Q116:X120">
    <cfRule type="expression" dxfId="289" priority="20">
      <formula>IF(NoColor,1,0)</formula>
    </cfRule>
  </conditionalFormatting>
  <conditionalFormatting sqref="AA116:AF120">
    <cfRule type="expression" dxfId="288" priority="19">
      <formula>IF(NoColor,1,0)</formula>
    </cfRule>
  </conditionalFormatting>
  <conditionalFormatting sqref="C25">
    <cfRule type="expression" dxfId="287" priority="18">
      <formula>IF(NoColor,1,0)</formula>
    </cfRule>
  </conditionalFormatting>
  <conditionalFormatting sqref="C29">
    <cfRule type="expression" dxfId="286" priority="17">
      <formula>IF(NoColor,1,0)</formula>
    </cfRule>
  </conditionalFormatting>
  <conditionalFormatting sqref="AC35:AF54">
    <cfRule type="expression" dxfId="285" priority="16">
      <formula>IF(NoColor,1,0)</formula>
    </cfRule>
  </conditionalFormatting>
  <conditionalFormatting sqref="AC88:AF115">
    <cfRule type="expression" dxfId="284" priority="15">
      <formula>IF(NoColor,1,0)</formula>
    </cfRule>
  </conditionalFormatting>
  <conditionalFormatting sqref="C80">
    <cfRule type="expression" dxfId="283" priority="14">
      <formula>IF(NoColor,1,0)</formula>
    </cfRule>
  </conditionalFormatting>
  <conditionalFormatting sqref="C82">
    <cfRule type="expression" dxfId="282" priority="13">
      <formula>IF(NoColor,1,0)</formula>
    </cfRule>
  </conditionalFormatting>
  <conditionalFormatting sqref="B21">
    <cfRule type="expression" dxfId="281" priority="10">
      <formula>(A29=0)</formula>
    </cfRule>
  </conditionalFormatting>
  <conditionalFormatting sqref="L21">
    <cfRule type="expression" dxfId="280" priority="9">
      <formula>($A29&gt;1)</formula>
    </cfRule>
  </conditionalFormatting>
  <conditionalFormatting sqref="K74">
    <cfRule type="expression" dxfId="279" priority="6">
      <formula>IF($A$82&gt;1,1,0)</formula>
    </cfRule>
  </conditionalFormatting>
  <conditionalFormatting sqref="B74">
    <cfRule type="expression" dxfId="278" priority="5">
      <formula>IF(A82=0,1,0)</formula>
    </cfRule>
  </conditionalFormatting>
  <conditionalFormatting sqref="T16">
    <cfRule type="expression" dxfId="277" priority="4" stopIfTrue="1">
      <formula>IF(AND($L$2="",$AG$16),TRUE,FALSE)</formula>
    </cfRule>
  </conditionalFormatting>
  <conditionalFormatting sqref="P69">
    <cfRule type="expression" dxfId="276" priority="3" stopIfTrue="1">
      <formula>IF(AND($L$2="",$AG$69),TRUE,FALSE)</formula>
    </cfRule>
  </conditionalFormatting>
  <conditionalFormatting sqref="T69">
    <cfRule type="expression" dxfId="275" priority="2" stopIfTrue="1">
      <formula>IF(AND($L$2="",$AG$69),TRUE,FALSE)</formula>
    </cfRule>
  </conditionalFormatting>
  <conditionalFormatting sqref="T70">
    <cfRule type="expression" dxfId="274" priority="1" stopIfTrue="1">
      <formula>IF(AND($L$2="",$AG$16),TRUE,FALSE)</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2"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1" stopIfTrue="1" id="{A592C3FD-D5A1-4036-B0CA-3734C6869B7F}">
            <xm:f>IF(AND('8949A'!$L$2="",'8949A'!$AG$16),TRUE,FALSE)</xm:f>
            <x14:dxf>
              <font>
                <b val="0"/>
                <i val="0"/>
                <color rgb="FFFF0000"/>
              </font>
            </x14:dxf>
          </x14:cfRule>
          <xm:sqref>T71:T72</xm:sqref>
        </x14:conditionalFormatting>
      </x14:conditionalFormatting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193"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85" customWidth="1"/>
    <col min="34" max="34" width="4.85546875" style="323" customWidth="1"/>
    <col min="35" max="35" width="8.5703125" style="323"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28"/>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28"/>
      <c r="AA1" s="1228"/>
      <c r="AB1" s="1228"/>
      <c r="AC1" s="1228"/>
      <c r="AD1" s="1228"/>
      <c r="AE1" s="1228"/>
      <c r="AF1" s="1228"/>
      <c r="AG1" s="1228"/>
    </row>
    <row r="2" spans="1:34">
      <c r="A2" s="82"/>
      <c r="B2" s="7963" t="s">
        <v>869</v>
      </c>
      <c r="C2" s="7964"/>
      <c r="D2" s="7964"/>
      <c r="E2" s="7964"/>
      <c r="F2" s="7964"/>
      <c r="G2" s="7964"/>
      <c r="H2" s="7964"/>
      <c r="I2" s="7964"/>
      <c r="J2" s="7964"/>
      <c r="K2" s="7964"/>
      <c r="L2" s="1425"/>
      <c r="M2" s="82"/>
      <c r="N2" s="82"/>
      <c r="O2" s="82"/>
      <c r="P2" s="82"/>
      <c r="Q2" s="82"/>
      <c r="R2" s="82"/>
      <c r="S2" s="82"/>
      <c r="T2" s="82"/>
      <c r="U2" s="82"/>
      <c r="V2" s="82"/>
      <c r="W2" s="82"/>
      <c r="X2" s="82"/>
      <c r="Y2" s="82"/>
      <c r="Z2" s="82"/>
      <c r="AA2" s="1098"/>
      <c r="AB2" s="82"/>
      <c r="AC2" s="82"/>
      <c r="AD2" s="82"/>
      <c r="AE2" s="82"/>
      <c r="AF2" s="82"/>
      <c r="AG2" s="1228"/>
    </row>
    <row r="3" spans="1:34">
      <c r="A3" s="1228"/>
      <c r="B3" s="1228"/>
      <c r="C3" s="1228"/>
      <c r="D3" s="1228"/>
      <c r="E3" s="1228"/>
      <c r="F3" s="1228"/>
      <c r="G3" s="1228"/>
      <c r="H3" s="1228"/>
      <c r="I3" s="1228"/>
      <c r="J3" s="1228"/>
      <c r="K3" s="1228"/>
      <c r="L3" s="1228"/>
      <c r="M3" s="1228"/>
      <c r="N3" s="1228"/>
      <c r="O3" s="1228"/>
      <c r="P3" s="1228"/>
      <c r="Q3" s="1228"/>
      <c r="R3" s="1228"/>
      <c r="S3" s="1228"/>
      <c r="T3" s="1228"/>
      <c r="U3" s="1228"/>
      <c r="V3" s="1228"/>
      <c r="W3" s="1228"/>
      <c r="X3" s="1228"/>
      <c r="Y3" s="1228"/>
      <c r="Z3" s="1228"/>
      <c r="AA3" s="1228"/>
      <c r="AB3" s="1228"/>
      <c r="AC3" s="1228"/>
      <c r="AD3" s="1228"/>
      <c r="AE3" s="1228"/>
      <c r="AF3" s="1228"/>
      <c r="AG3" s="1228"/>
    </row>
    <row r="4" spans="1:34" ht="11.25" customHeight="1">
      <c r="A4" s="1228"/>
      <c r="B4" s="7965" t="s">
        <v>731</v>
      </c>
      <c r="C4" s="7569"/>
      <c r="D4" s="7569"/>
      <c r="E4" s="7569"/>
      <c r="F4" s="7569"/>
      <c r="G4" s="24"/>
      <c r="H4" s="7973" t="s">
        <v>732</v>
      </c>
      <c r="I4" s="7974"/>
      <c r="J4" s="7974"/>
      <c r="K4" s="7974"/>
      <c r="L4" s="7974"/>
      <c r="M4" s="7974"/>
      <c r="N4" s="7974"/>
      <c r="O4" s="7974"/>
      <c r="P4" s="7974"/>
      <c r="Q4" s="7974"/>
      <c r="R4" s="7974"/>
      <c r="S4" s="7974"/>
      <c r="T4" s="7974"/>
      <c r="U4" s="7974"/>
      <c r="V4" s="7974"/>
      <c r="W4" s="7974"/>
      <c r="X4" s="7974"/>
      <c r="Y4" s="7974"/>
      <c r="Z4" s="7974"/>
      <c r="AA4" s="7975"/>
      <c r="AB4" s="7966" t="s">
        <v>169</v>
      </c>
      <c r="AC4" s="7573"/>
      <c r="AD4" s="7573"/>
      <c r="AE4" s="7573"/>
      <c r="AF4" s="7573"/>
      <c r="AG4" s="1228"/>
      <c r="AH4" s="1186"/>
    </row>
    <row r="5" spans="1:34" ht="11.25" customHeight="1">
      <c r="A5" s="1228"/>
      <c r="B5" s="7569"/>
      <c r="C5" s="7569"/>
      <c r="D5" s="7569"/>
      <c r="E5" s="7569"/>
      <c r="F5" s="7569"/>
      <c r="G5" s="24"/>
      <c r="H5" s="7976"/>
      <c r="I5" s="7974"/>
      <c r="J5" s="7974"/>
      <c r="K5" s="7974"/>
      <c r="L5" s="7974"/>
      <c r="M5" s="7974"/>
      <c r="N5" s="7974"/>
      <c r="O5" s="7974"/>
      <c r="P5" s="7974"/>
      <c r="Q5" s="7974"/>
      <c r="R5" s="7974"/>
      <c r="S5" s="7974"/>
      <c r="T5" s="7974"/>
      <c r="U5" s="7974"/>
      <c r="V5" s="7974"/>
      <c r="W5" s="7974"/>
      <c r="X5" s="7974"/>
      <c r="Y5" s="7974"/>
      <c r="Z5" s="7974"/>
      <c r="AA5" s="7975"/>
      <c r="AB5" s="7967">
        <f>TaxYear</f>
        <v>2018</v>
      </c>
      <c r="AC5" s="7569"/>
      <c r="AD5" s="7569"/>
      <c r="AE5" s="7569"/>
      <c r="AF5" s="7569"/>
      <c r="AG5" s="1228"/>
      <c r="AH5" s="1186"/>
    </row>
    <row r="6" spans="1:34" ht="11.25" customHeight="1">
      <c r="A6" s="1228"/>
      <c r="B6" s="7569"/>
      <c r="C6" s="7569"/>
      <c r="D6" s="7569"/>
      <c r="E6" s="7569"/>
      <c r="F6" s="7569"/>
      <c r="G6" s="24"/>
      <c r="H6" s="7977"/>
      <c r="I6" s="5527"/>
      <c r="J6" s="5527"/>
      <c r="K6" s="5527"/>
      <c r="L6" s="5527"/>
      <c r="M6" s="5527"/>
      <c r="N6" s="5527"/>
      <c r="O6" s="5527"/>
      <c r="P6" s="5527"/>
      <c r="Q6" s="5527"/>
      <c r="R6" s="5527"/>
      <c r="S6" s="5527"/>
      <c r="T6" s="5527"/>
      <c r="U6" s="5527"/>
      <c r="V6" s="5527"/>
      <c r="W6" s="5527"/>
      <c r="X6" s="5527"/>
      <c r="Y6" s="5527"/>
      <c r="Z6" s="5527"/>
      <c r="AA6" s="7469"/>
      <c r="AB6" s="7569"/>
      <c r="AC6" s="7569"/>
      <c r="AD6" s="7569"/>
      <c r="AE6" s="7569"/>
      <c r="AF6" s="7569"/>
      <c r="AG6" s="1228"/>
      <c r="AH6" s="1184"/>
    </row>
    <row r="7" spans="1:34" ht="11.25" customHeight="1">
      <c r="A7" s="1228"/>
      <c r="B7" s="24"/>
      <c r="C7" s="24"/>
      <c r="D7" s="24"/>
      <c r="E7" s="24"/>
      <c r="F7" s="24"/>
      <c r="G7" s="24"/>
      <c r="H7" s="7982" t="s">
        <v>2572</v>
      </c>
      <c r="I7" s="7983"/>
      <c r="J7" s="7983"/>
      <c r="K7" s="7983"/>
      <c r="L7" s="7983"/>
      <c r="M7" s="7983"/>
      <c r="N7" s="7983"/>
      <c r="O7" s="7983"/>
      <c r="P7" s="7983"/>
      <c r="Q7" s="7983"/>
      <c r="R7" s="7983"/>
      <c r="S7" s="7983"/>
      <c r="T7" s="7983"/>
      <c r="U7" s="7983"/>
      <c r="V7" s="7983"/>
      <c r="W7" s="7983"/>
      <c r="X7" s="7983"/>
      <c r="Y7" s="7983"/>
      <c r="Z7" s="7983"/>
      <c r="AA7" s="7984"/>
      <c r="AB7" s="7569"/>
      <c r="AC7" s="7569"/>
      <c r="AD7" s="7569"/>
      <c r="AE7" s="7569"/>
      <c r="AF7" s="7569"/>
      <c r="AG7" s="1228"/>
    </row>
    <row r="8" spans="1:34" ht="10.5" customHeight="1">
      <c r="A8" s="1228"/>
      <c r="B8" s="32" t="s">
        <v>202</v>
      </c>
      <c r="C8" s="24"/>
      <c r="D8" s="24"/>
      <c r="E8" s="24"/>
      <c r="F8" s="24"/>
      <c r="G8" s="24"/>
      <c r="H8" s="7982" t="s">
        <v>1301</v>
      </c>
      <c r="I8" s="7983"/>
      <c r="J8" s="7983"/>
      <c r="K8" s="7983"/>
      <c r="L8" s="7983"/>
      <c r="M8" s="7983"/>
      <c r="N8" s="7983"/>
      <c r="O8" s="7983"/>
      <c r="P8" s="7983"/>
      <c r="Q8" s="7983"/>
      <c r="R8" s="7983"/>
      <c r="S8" s="7983"/>
      <c r="T8" s="7983"/>
      <c r="U8" s="7983"/>
      <c r="V8" s="7983"/>
      <c r="W8" s="7983"/>
      <c r="X8" s="7983"/>
      <c r="Y8" s="7983"/>
      <c r="Z8" s="7983"/>
      <c r="AA8" s="7984"/>
      <c r="AB8" s="8005" t="s">
        <v>4038</v>
      </c>
      <c r="AC8" s="8050"/>
      <c r="AD8" s="8050"/>
      <c r="AE8" s="8012" t="s">
        <v>4194</v>
      </c>
      <c r="AF8" s="8012"/>
      <c r="AG8" s="1228"/>
    </row>
    <row r="9" spans="1:34" ht="10.5" customHeight="1" thickBot="1">
      <c r="A9" s="1228"/>
      <c r="B9" s="31" t="s">
        <v>450</v>
      </c>
      <c r="C9" s="39"/>
      <c r="D9" s="39"/>
      <c r="E9" s="39"/>
      <c r="F9" s="39"/>
      <c r="G9" s="39"/>
      <c r="H9" s="8054"/>
      <c r="I9" s="8055"/>
      <c r="J9" s="8055"/>
      <c r="K9" s="8055"/>
      <c r="L9" s="8055"/>
      <c r="M9" s="8055"/>
      <c r="N9" s="8055"/>
      <c r="O9" s="8055"/>
      <c r="P9" s="8055"/>
      <c r="Q9" s="8055"/>
      <c r="R9" s="8055"/>
      <c r="S9" s="8055"/>
      <c r="T9" s="8055"/>
      <c r="U9" s="8055"/>
      <c r="V9" s="8055"/>
      <c r="W9" s="8055"/>
      <c r="X9" s="8055"/>
      <c r="Y9" s="8055"/>
      <c r="Z9" s="8055"/>
      <c r="AA9" s="8056"/>
      <c r="AB9" s="8051"/>
      <c r="AC9" s="8052"/>
      <c r="AD9" s="8052"/>
      <c r="AE9" s="8053"/>
      <c r="AF9" s="8053"/>
      <c r="AG9" s="1228"/>
    </row>
    <row r="10" spans="1:34">
      <c r="A10" s="1228"/>
      <c r="B10" s="32" t="s">
        <v>63</v>
      </c>
      <c r="C10" s="24"/>
      <c r="D10" s="24"/>
      <c r="E10" s="24"/>
      <c r="F10" s="24"/>
      <c r="G10" s="24"/>
      <c r="H10" s="24"/>
      <c r="I10" s="24"/>
      <c r="J10" s="24"/>
      <c r="K10" s="24"/>
      <c r="L10" s="24"/>
      <c r="M10" s="24"/>
      <c r="N10" s="24"/>
      <c r="O10" s="24"/>
      <c r="P10" s="24"/>
      <c r="Q10" s="24"/>
      <c r="R10" s="24"/>
      <c r="S10" s="24"/>
      <c r="T10" s="24"/>
      <c r="U10" s="24"/>
      <c r="V10" s="1546" t="s">
        <v>899</v>
      </c>
      <c r="W10" s="24"/>
      <c r="X10" s="24"/>
      <c r="Y10" s="24"/>
      <c r="Z10" s="37"/>
      <c r="AA10" s="24"/>
      <c r="AB10" s="24"/>
      <c r="AC10" s="24"/>
      <c r="AD10" s="24"/>
      <c r="AE10" s="24"/>
      <c r="AF10" s="24"/>
      <c r="AG10" s="1228"/>
    </row>
    <row r="11" spans="1:34" ht="16.5" thickBot="1">
      <c r="A11" s="1228"/>
      <c r="B11" s="7970" t="str">
        <f>Names</f>
        <v/>
      </c>
      <c r="C11" s="7971"/>
      <c r="D11" s="7971"/>
      <c r="E11" s="7971"/>
      <c r="F11" s="7971"/>
      <c r="G11" s="7971"/>
      <c r="H11" s="7971"/>
      <c r="I11" s="7971"/>
      <c r="J11" s="7971"/>
      <c r="K11" s="7971"/>
      <c r="L11" s="7971"/>
      <c r="M11" s="7971"/>
      <c r="N11" s="7971"/>
      <c r="O11" s="7971"/>
      <c r="P11" s="7971"/>
      <c r="Q11" s="7971"/>
      <c r="R11" s="7971"/>
      <c r="S11" s="7971"/>
      <c r="T11" s="7971"/>
      <c r="U11" s="7972"/>
      <c r="V11" s="7968">
        <f>IF(NoSSN,"",SS_Yours)</f>
        <v>0</v>
      </c>
      <c r="W11" s="7969"/>
      <c r="X11" s="7969"/>
      <c r="Y11" s="7969"/>
      <c r="Z11" s="7969"/>
      <c r="AA11" s="7969"/>
      <c r="AB11" s="7969"/>
      <c r="AC11" s="7969"/>
      <c r="AD11" s="7969"/>
      <c r="AE11" s="7969"/>
      <c r="AF11" s="7969"/>
      <c r="AG11" s="1228"/>
    </row>
    <row r="12" spans="1:34" ht="12.75" customHeight="1">
      <c r="A12" s="1228"/>
      <c r="B12" s="8031" t="s">
        <v>1957</v>
      </c>
      <c r="C12" s="8032"/>
      <c r="D12" s="8032"/>
      <c r="E12" s="8032"/>
      <c r="F12" s="8032"/>
      <c r="G12" s="8032"/>
      <c r="H12" s="8032"/>
      <c r="I12" s="8032"/>
      <c r="J12" s="8032"/>
      <c r="K12" s="8032"/>
      <c r="L12" s="8032"/>
      <c r="M12" s="8032"/>
      <c r="N12" s="8032"/>
      <c r="O12" s="8032"/>
      <c r="P12" s="8032"/>
      <c r="Q12" s="8032"/>
      <c r="R12" s="8032"/>
      <c r="S12" s="8032"/>
      <c r="T12" s="8032"/>
      <c r="U12" s="8032"/>
      <c r="V12" s="8032"/>
      <c r="W12" s="8032"/>
      <c r="X12" s="8032"/>
      <c r="Y12" s="8032"/>
      <c r="Z12" s="8032"/>
      <c r="AA12" s="8032"/>
      <c r="AB12" s="8032"/>
      <c r="AC12" s="8032"/>
      <c r="AD12" s="8032"/>
      <c r="AE12" s="8032"/>
      <c r="AF12" s="8032"/>
      <c r="AG12" s="1228"/>
    </row>
    <row r="13" spans="1:34" ht="12.75" customHeight="1">
      <c r="A13" s="1228"/>
      <c r="B13" s="6088"/>
      <c r="C13" s="6088"/>
      <c r="D13" s="6088"/>
      <c r="E13" s="6088"/>
      <c r="F13" s="6088"/>
      <c r="G13" s="6088"/>
      <c r="H13" s="6088"/>
      <c r="I13" s="6088"/>
      <c r="J13" s="6088"/>
      <c r="K13" s="6088"/>
      <c r="L13" s="6088"/>
      <c r="M13" s="6088"/>
      <c r="N13" s="6088"/>
      <c r="O13" s="6088"/>
      <c r="P13" s="6088"/>
      <c r="Q13" s="6088"/>
      <c r="R13" s="6088"/>
      <c r="S13" s="6088"/>
      <c r="T13" s="6088"/>
      <c r="U13" s="6088"/>
      <c r="V13" s="6088"/>
      <c r="W13" s="6088"/>
      <c r="X13" s="6088"/>
      <c r="Y13" s="6088"/>
      <c r="Z13" s="6088"/>
      <c r="AA13" s="6088"/>
      <c r="AB13" s="6088"/>
      <c r="AC13" s="6088"/>
      <c r="AD13" s="6088"/>
      <c r="AE13" s="6088"/>
      <c r="AF13" s="6088"/>
      <c r="AG13" s="1228"/>
    </row>
    <row r="14" spans="1:34" ht="12.75" customHeight="1">
      <c r="A14" s="1228"/>
      <c r="B14" s="5809"/>
      <c r="C14" s="5809"/>
      <c r="D14" s="5809"/>
      <c r="E14" s="5809"/>
      <c r="F14" s="5809"/>
      <c r="G14" s="5809"/>
      <c r="H14" s="5809"/>
      <c r="I14" s="5809"/>
      <c r="J14" s="5809"/>
      <c r="K14" s="5809"/>
      <c r="L14" s="5809"/>
      <c r="M14" s="5809"/>
      <c r="N14" s="5809"/>
      <c r="O14" s="5809"/>
      <c r="P14" s="5809"/>
      <c r="Q14" s="5809"/>
      <c r="R14" s="5809"/>
      <c r="S14" s="5809"/>
      <c r="T14" s="5809"/>
      <c r="U14" s="5809"/>
      <c r="V14" s="5809"/>
      <c r="W14" s="5809"/>
      <c r="X14" s="5809"/>
      <c r="Y14" s="5809"/>
      <c r="Z14" s="5809"/>
      <c r="AA14" s="5809"/>
      <c r="AB14" s="5809"/>
      <c r="AC14" s="5809"/>
      <c r="AD14" s="5809"/>
      <c r="AE14" s="5809"/>
      <c r="AF14" s="5809"/>
      <c r="AG14" s="1228"/>
    </row>
    <row r="15" spans="1:34" ht="3.75" customHeight="1">
      <c r="A15" s="1228"/>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28"/>
    </row>
    <row r="16" spans="1:34" ht="15">
      <c r="A16" s="1228"/>
      <c r="B16" s="7978" t="s">
        <v>58</v>
      </c>
      <c r="C16" s="5615"/>
      <c r="D16" s="24"/>
      <c r="E16" s="354" t="s">
        <v>2574</v>
      </c>
      <c r="F16" s="24"/>
      <c r="G16" s="24"/>
      <c r="H16" s="24"/>
      <c r="I16" s="24"/>
      <c r="J16" s="24"/>
      <c r="K16" s="24"/>
      <c r="L16" s="24"/>
      <c r="M16" s="24"/>
      <c r="N16" s="24"/>
      <c r="O16" s="24"/>
      <c r="P16" s="24"/>
      <c r="Q16" s="24"/>
      <c r="R16" s="24"/>
      <c r="S16" s="24"/>
      <c r="T16" s="423" t="s">
        <v>2573</v>
      </c>
      <c r="U16" s="24"/>
      <c r="V16" s="24"/>
      <c r="W16" s="24"/>
      <c r="X16" s="423" t="s">
        <v>4201</v>
      </c>
      <c r="Y16" s="24"/>
      <c r="Z16" s="24"/>
      <c r="AA16" s="24"/>
      <c r="AB16" s="24"/>
      <c r="AC16" s="24"/>
      <c r="AD16" s="24"/>
      <c r="AE16" s="24"/>
      <c r="AF16" s="24"/>
      <c r="AG16" s="1228" t="b">
        <f>IF(SUM(AG35:AG54)&gt;0,TRUE,FALSE)</f>
        <v>0</v>
      </c>
    </row>
    <row r="17" spans="1:55" ht="11.25" customHeight="1">
      <c r="A17" s="1228"/>
      <c r="B17" s="24"/>
      <c r="C17" s="24"/>
      <c r="D17" s="24"/>
      <c r="E17" s="423" t="s">
        <v>4195</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228"/>
    </row>
    <row r="18" spans="1:55" s="269" customFormat="1" ht="13.5" customHeight="1">
      <c r="A18" s="3246"/>
      <c r="B18" s="423"/>
      <c r="C18" s="423"/>
      <c r="D18" s="423"/>
      <c r="E18" s="3247" t="s">
        <v>2575</v>
      </c>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3246"/>
      <c r="AH18" s="1067"/>
      <c r="AI18" s="1067"/>
    </row>
    <row r="19" spans="1:55" s="269" customFormat="1" ht="13.5" customHeight="1">
      <c r="A19" s="3246"/>
      <c r="B19" s="423"/>
      <c r="C19" s="423"/>
      <c r="D19" s="423"/>
      <c r="E19" s="423" t="s">
        <v>1013</v>
      </c>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3246"/>
      <c r="AH19" s="1067"/>
      <c r="AI19" s="1067"/>
    </row>
    <row r="20" spans="1:55" s="269" customFormat="1" ht="13.5" customHeight="1">
      <c r="A20" s="3246"/>
      <c r="B20" s="3248"/>
      <c r="C20" s="3248"/>
      <c r="D20" s="3248"/>
      <c r="E20" s="3248" t="s">
        <v>4196</v>
      </c>
      <c r="F20" s="3248"/>
      <c r="G20" s="3248"/>
      <c r="H20" s="3248"/>
      <c r="I20" s="3248"/>
      <c r="J20" s="3248"/>
      <c r="K20" s="3248"/>
      <c r="L20" s="3248"/>
      <c r="M20" s="3248"/>
      <c r="N20" s="3248"/>
      <c r="O20" s="3248"/>
      <c r="P20" s="3248"/>
      <c r="Q20" s="3248"/>
      <c r="R20" s="3248"/>
      <c r="S20" s="3248"/>
      <c r="T20" s="3248"/>
      <c r="U20" s="3248"/>
      <c r="V20" s="3248"/>
      <c r="W20" s="3248"/>
      <c r="X20" s="3248"/>
      <c r="Y20" s="3248"/>
      <c r="Z20" s="3248"/>
      <c r="AA20" s="3248"/>
      <c r="AB20" s="3248"/>
      <c r="AC20" s="3248"/>
      <c r="AD20" s="3248"/>
      <c r="AE20" s="3248"/>
      <c r="AF20" s="3248"/>
      <c r="AG20" s="3246"/>
      <c r="AH20" s="1067"/>
      <c r="AI20" s="1067"/>
    </row>
    <row r="21" spans="1:55">
      <c r="A21" s="1228"/>
      <c r="B21" s="286" t="s">
        <v>888</v>
      </c>
      <c r="C21" s="60"/>
      <c r="D21" s="60"/>
      <c r="E21" s="60"/>
      <c r="F21" s="60"/>
      <c r="G21" s="60"/>
      <c r="H21" s="60"/>
      <c r="I21" s="60"/>
      <c r="J21" s="60"/>
      <c r="K21" s="286"/>
      <c r="L21" s="286" t="s">
        <v>887</v>
      </c>
      <c r="M21" s="60"/>
      <c r="N21" s="60"/>
      <c r="O21" s="60"/>
      <c r="P21" s="60"/>
      <c r="Q21" s="74" t="s">
        <v>886</v>
      </c>
      <c r="R21" s="60"/>
      <c r="S21" s="60"/>
      <c r="T21" s="60"/>
      <c r="U21" s="60"/>
      <c r="V21" s="60"/>
      <c r="W21" s="60"/>
      <c r="X21" s="60"/>
      <c r="Y21" s="60"/>
      <c r="Z21" s="60"/>
      <c r="AA21" s="60"/>
      <c r="AB21" s="60"/>
      <c r="AC21" s="60"/>
      <c r="AD21" s="60"/>
      <c r="AE21" s="60"/>
      <c r="AF21" s="60"/>
      <c r="AG21" s="1228"/>
    </row>
    <row r="22" spans="1:55">
      <c r="A22" s="1228"/>
      <c r="B22" s="74" t="s">
        <v>884</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28"/>
      <c r="BA22" s="7953" t="s">
        <v>957</v>
      </c>
      <c r="BB22" s="6273"/>
      <c r="BC22" s="6185"/>
    </row>
    <row r="23" spans="1:55">
      <c r="A23" s="1228"/>
      <c r="B23" s="74" t="s">
        <v>885</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28"/>
      <c r="BA23" s="7954" t="s">
        <v>956</v>
      </c>
      <c r="BB23" s="7954" t="s">
        <v>947</v>
      </c>
      <c r="BC23" s="7954" t="s">
        <v>948</v>
      </c>
    </row>
    <row r="24" spans="1:55" ht="4.5" customHeight="1" thickBot="1">
      <c r="A24" s="1228"/>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28"/>
      <c r="BA24" s="7955"/>
      <c r="BB24" s="7955"/>
      <c r="BC24" s="7955"/>
    </row>
    <row r="25" spans="1:55" ht="12" customHeight="1" thickBot="1">
      <c r="A25" s="1228"/>
      <c r="B25" s="1588">
        <f>IF(C25&lt;&gt;"",1,0)</f>
        <v>0</v>
      </c>
      <c r="C25" s="1587"/>
      <c r="D25" s="1085" t="s">
        <v>4198</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28"/>
      <c r="AJ25" s="7948"/>
      <c r="AK25" s="7949"/>
      <c r="AL25" s="7949"/>
      <c r="AM25" s="7949"/>
      <c r="AN25" s="7949"/>
      <c r="AO25" s="7949"/>
      <c r="AP25" s="7949"/>
      <c r="AQ25" s="7949"/>
      <c r="BA25" s="7955"/>
      <c r="BB25" s="7955"/>
      <c r="BC25" s="7955"/>
    </row>
    <row r="26" spans="1:55" ht="4.5" customHeight="1" thickBot="1">
      <c r="A26" s="1228"/>
      <c r="B26" s="1588"/>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28"/>
      <c r="BA26" s="7955"/>
      <c r="BB26" s="7955"/>
      <c r="BC26" s="7955"/>
    </row>
    <row r="27" spans="1:55" ht="11.25" customHeight="1" thickBot="1">
      <c r="A27" s="1228"/>
      <c r="B27" s="1588">
        <f>IF(C27&lt;&gt;"",1,0)</f>
        <v>0</v>
      </c>
      <c r="C27" s="1587"/>
      <c r="D27" s="1085" t="s">
        <v>4197</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28"/>
      <c r="AJ27" s="7948"/>
      <c r="AK27" s="7949"/>
      <c r="AL27" s="7949"/>
      <c r="AM27" s="7949"/>
      <c r="AN27" s="7949"/>
      <c r="AO27" s="7949"/>
      <c r="AP27" s="7949"/>
      <c r="AQ27" s="7949"/>
      <c r="BA27" s="7955"/>
      <c r="BB27" s="7955"/>
      <c r="BC27" s="7955"/>
    </row>
    <row r="28" spans="1:55" ht="4.5" customHeight="1" thickBot="1">
      <c r="A28" s="1228"/>
      <c r="B28" s="1588"/>
      <c r="C28" s="60"/>
      <c r="D28" s="74"/>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28"/>
      <c r="BA28" s="7955"/>
      <c r="BB28" s="7955"/>
      <c r="BC28" s="7955"/>
    </row>
    <row r="29" spans="1:55" ht="12" customHeight="1" thickBot="1">
      <c r="A29" s="1228">
        <f>SUM(B25:B29)</f>
        <v>0</v>
      </c>
      <c r="B29" s="1588">
        <f>IF(C29&lt;&gt;"",1,0)</f>
        <v>0</v>
      </c>
      <c r="C29" s="1587"/>
      <c r="D29" s="1085" t="s">
        <v>4199</v>
      </c>
      <c r="E29" s="60"/>
      <c r="F29" s="60"/>
      <c r="G29" s="60"/>
      <c r="H29" s="60"/>
      <c r="I29" s="60"/>
      <c r="J29" s="60"/>
      <c r="K29" s="60"/>
      <c r="L29" s="60"/>
      <c r="M29" s="60"/>
      <c r="N29" s="60"/>
      <c r="O29" s="60"/>
      <c r="P29" s="60"/>
      <c r="Q29" s="60"/>
      <c r="R29" s="7940" t="str">
        <f>IF(SpaceUsed_8949C_ST,"ERROR: DO NOT use the space bar to uncheck a box. Use the 'Delete' key.",IF(A29&gt;1,"Check only ONE box.",IF(A29&gt;0,"",IF(A29&lt;1,"Check ONE box.",""))))</f>
        <v>Check ONE box.</v>
      </c>
      <c r="S29" s="7941"/>
      <c r="T29" s="7941"/>
      <c r="U29" s="7941"/>
      <c r="V29" s="7941"/>
      <c r="W29" s="7941"/>
      <c r="X29" s="7941"/>
      <c r="Y29" s="7941"/>
      <c r="Z29" s="7941"/>
      <c r="AA29" s="7941"/>
      <c r="AB29" s="7941"/>
      <c r="AC29" s="7941"/>
      <c r="AD29" s="7941"/>
      <c r="AE29" s="7941"/>
      <c r="AF29" s="60"/>
      <c r="AG29" s="1228"/>
      <c r="AH29" s="1786" t="b">
        <f>IF(OR(F8949CSBOXA=CHAR(32),F8949CSBOXB=CHAR(32),F8949CSBOXC=CHAR(32)),TRUE,FALSE)</f>
        <v>0</v>
      </c>
      <c r="AJ29" s="7956" t="s">
        <v>3403</v>
      </c>
      <c r="AK29" s="7949"/>
      <c r="AL29" s="7949"/>
      <c r="AM29" s="7949"/>
      <c r="AN29" s="7949"/>
      <c r="AO29" s="7949"/>
      <c r="AP29" s="7949"/>
      <c r="AQ29" s="7949"/>
      <c r="BA29" s="7955"/>
      <c r="BB29" s="7955"/>
      <c r="BC29" s="7955"/>
    </row>
    <row r="30" spans="1:55" ht="3.75" customHeight="1">
      <c r="A30" s="1228"/>
      <c r="B30" s="287"/>
      <c r="C30" s="1187"/>
      <c r="D30" s="287"/>
      <c r="E30" s="287"/>
      <c r="F30" s="287"/>
      <c r="G30" s="287"/>
      <c r="H30" s="287"/>
      <c r="I30" s="287"/>
      <c r="J30" s="287"/>
      <c r="K30" s="287"/>
      <c r="L30" s="287"/>
      <c r="M30" s="287"/>
      <c r="N30" s="1187"/>
      <c r="O30" s="287"/>
      <c r="P30" s="287"/>
      <c r="Q30" s="287"/>
      <c r="R30" s="287"/>
      <c r="S30" s="287"/>
      <c r="T30" s="287"/>
      <c r="U30" s="287"/>
      <c r="V30" s="287"/>
      <c r="W30" s="287"/>
      <c r="X30" s="287"/>
      <c r="Y30" s="1187"/>
      <c r="Z30" s="287"/>
      <c r="AA30" s="287"/>
      <c r="AB30" s="287"/>
      <c r="AC30" s="287"/>
      <c r="AD30" s="287"/>
      <c r="AE30" s="287"/>
      <c r="AF30" s="287"/>
      <c r="AG30" s="1228"/>
      <c r="BA30" s="7955"/>
      <c r="BB30" s="7955"/>
      <c r="BC30" s="7955"/>
    </row>
    <row r="31" spans="1:55" ht="21" customHeight="1">
      <c r="A31" s="1228"/>
      <c r="B31" s="7979">
        <v>1</v>
      </c>
      <c r="C31" s="7985" t="s">
        <v>733</v>
      </c>
      <c r="D31" s="7986"/>
      <c r="E31" s="7986"/>
      <c r="F31" s="7986"/>
      <c r="G31" s="7986"/>
      <c r="H31" s="7986"/>
      <c r="I31" s="7987"/>
      <c r="J31" s="8002" t="s">
        <v>892</v>
      </c>
      <c r="K31" s="6365"/>
      <c r="L31" s="6149"/>
      <c r="M31" s="8002" t="s">
        <v>893</v>
      </c>
      <c r="N31" s="6365"/>
      <c r="O31" s="6365"/>
      <c r="P31" s="6149"/>
      <c r="Q31" s="8002" t="s">
        <v>894</v>
      </c>
      <c r="R31" s="6365"/>
      <c r="S31" s="6365"/>
      <c r="T31" s="6149"/>
      <c r="U31" s="7927" t="s">
        <v>898</v>
      </c>
      <c r="V31" s="7928"/>
      <c r="W31" s="7928"/>
      <c r="X31" s="7999"/>
      <c r="Y31" s="7993" t="s">
        <v>4208</v>
      </c>
      <c r="Z31" s="7994"/>
      <c r="AA31" s="7994"/>
      <c r="AB31" s="7995"/>
      <c r="AC31" s="7927" t="s">
        <v>897</v>
      </c>
      <c r="AD31" s="7928"/>
      <c r="AE31" s="7928"/>
      <c r="AF31" s="7928"/>
      <c r="AG31" s="1228"/>
      <c r="AJ31" s="7946" t="s">
        <v>870</v>
      </c>
      <c r="AK31" s="7946" t="s">
        <v>900</v>
      </c>
      <c r="AL31" s="7946" t="s">
        <v>901</v>
      </c>
      <c r="AM31" s="7946" t="s">
        <v>902</v>
      </c>
      <c r="AN31" s="7944" t="s">
        <v>903</v>
      </c>
      <c r="AO31" s="7950" t="s">
        <v>895</v>
      </c>
      <c r="AP31" s="6115"/>
      <c r="AQ31" s="7946" t="s">
        <v>934</v>
      </c>
      <c r="BA31" s="7955"/>
      <c r="BB31" s="7955"/>
      <c r="BC31" s="7955"/>
    </row>
    <row r="32" spans="1:55" ht="21" customHeight="1">
      <c r="A32" s="1228"/>
      <c r="B32" s="7980"/>
      <c r="C32" s="7988"/>
      <c r="D32" s="7989"/>
      <c r="E32" s="7989"/>
      <c r="F32" s="7989"/>
      <c r="G32" s="7989"/>
      <c r="H32" s="7989"/>
      <c r="I32" s="7990"/>
      <c r="J32" s="8003"/>
      <c r="K32" s="7268"/>
      <c r="L32" s="6151"/>
      <c r="M32" s="8003"/>
      <c r="N32" s="7268"/>
      <c r="O32" s="7268"/>
      <c r="P32" s="6151"/>
      <c r="Q32" s="8003"/>
      <c r="R32" s="7268"/>
      <c r="S32" s="7268"/>
      <c r="T32" s="6151"/>
      <c r="U32" s="7929"/>
      <c r="V32" s="7930"/>
      <c r="W32" s="7930"/>
      <c r="X32" s="8000"/>
      <c r="Y32" s="7996"/>
      <c r="Z32" s="7997"/>
      <c r="AA32" s="7997"/>
      <c r="AB32" s="7998"/>
      <c r="AC32" s="7929"/>
      <c r="AD32" s="7930"/>
      <c r="AE32" s="7930"/>
      <c r="AF32" s="7930"/>
      <c r="AG32" s="1228"/>
      <c r="AJ32" s="7946"/>
      <c r="AK32" s="7946"/>
      <c r="AL32" s="7946"/>
      <c r="AM32" s="7946"/>
      <c r="AN32" s="7944"/>
      <c r="AO32" s="6250"/>
      <c r="AP32" s="6120"/>
      <c r="AQ32" s="7946"/>
      <c r="BA32" s="7955"/>
      <c r="BB32" s="7955"/>
      <c r="BC32" s="7955"/>
    </row>
    <row r="33" spans="1:55" ht="18" customHeight="1">
      <c r="A33" s="1228"/>
      <c r="B33" s="5646"/>
      <c r="C33" s="7989"/>
      <c r="D33" s="7989"/>
      <c r="E33" s="7989"/>
      <c r="F33" s="7989"/>
      <c r="G33" s="7989"/>
      <c r="H33" s="7989"/>
      <c r="I33" s="7990"/>
      <c r="J33" s="6150"/>
      <c r="K33" s="7268"/>
      <c r="L33" s="6151"/>
      <c r="M33" s="6150"/>
      <c r="N33" s="7268"/>
      <c r="O33" s="7268"/>
      <c r="P33" s="6151"/>
      <c r="Q33" s="6150"/>
      <c r="R33" s="7268"/>
      <c r="S33" s="7268"/>
      <c r="T33" s="6151"/>
      <c r="U33" s="7931"/>
      <c r="V33" s="7930"/>
      <c r="W33" s="7930"/>
      <c r="X33" s="8000"/>
      <c r="Y33" s="6310" t="s">
        <v>4210</v>
      </c>
      <c r="Z33" s="6149"/>
      <c r="AA33" s="6310" t="s">
        <v>896</v>
      </c>
      <c r="AB33" s="6244"/>
      <c r="AC33" s="7931"/>
      <c r="AD33" s="7930"/>
      <c r="AE33" s="7930"/>
      <c r="AF33" s="7930"/>
      <c r="AG33" s="1228"/>
      <c r="AJ33" s="7947"/>
      <c r="AK33" s="7947"/>
      <c r="AL33" s="7947"/>
      <c r="AM33" s="7947"/>
      <c r="AN33" s="7945"/>
      <c r="AO33" s="7952" t="s">
        <v>904</v>
      </c>
      <c r="AP33" s="6223" t="s">
        <v>896</v>
      </c>
      <c r="AQ33" s="7947"/>
      <c r="BA33" s="7955"/>
      <c r="BB33" s="7955"/>
      <c r="BC33" s="7955"/>
    </row>
    <row r="34" spans="1:55" ht="18" customHeight="1">
      <c r="A34" s="1228"/>
      <c r="B34" s="7981"/>
      <c r="C34" s="7991"/>
      <c r="D34" s="7991"/>
      <c r="E34" s="7991"/>
      <c r="F34" s="7991"/>
      <c r="G34" s="7991"/>
      <c r="H34" s="7991"/>
      <c r="I34" s="7992"/>
      <c r="J34" s="6152"/>
      <c r="K34" s="8004"/>
      <c r="L34" s="6153"/>
      <c r="M34" s="6152"/>
      <c r="N34" s="8004"/>
      <c r="O34" s="8004"/>
      <c r="P34" s="6153"/>
      <c r="Q34" s="6152"/>
      <c r="R34" s="8004"/>
      <c r="S34" s="8004"/>
      <c r="T34" s="6153"/>
      <c r="U34" s="7932"/>
      <c r="V34" s="7933"/>
      <c r="W34" s="7933"/>
      <c r="X34" s="8001"/>
      <c r="Y34" s="6152"/>
      <c r="Z34" s="6153"/>
      <c r="AA34" s="5580"/>
      <c r="AB34" s="6246"/>
      <c r="AC34" s="7932"/>
      <c r="AD34" s="7933"/>
      <c r="AE34" s="7933"/>
      <c r="AF34" s="7933"/>
      <c r="AG34" s="1228"/>
      <c r="AJ34" s="7947"/>
      <c r="AK34" s="7947"/>
      <c r="AL34" s="7947"/>
      <c r="AM34" s="7947"/>
      <c r="AN34" s="7945"/>
      <c r="AO34" s="7951"/>
      <c r="AP34" s="7951"/>
      <c r="AQ34" s="7947"/>
      <c r="BA34" s="7955"/>
      <c r="BB34" s="7955"/>
      <c r="BC34" s="7955"/>
    </row>
    <row r="35" spans="1:55" ht="19.5" customHeight="1">
      <c r="A35" s="1228">
        <f>IF(OR(U35&lt;&gt;"",Y35&lt;&gt;"",AC35&lt;&gt;""),1,0)</f>
        <v>0</v>
      </c>
      <c r="B35" s="7957" t="str">
        <f t="shared" ref="B35:B54" si="0">IF(AJ35="","",AJ35)</f>
        <v/>
      </c>
      <c r="C35" s="7958"/>
      <c r="D35" s="7958"/>
      <c r="E35" s="7958"/>
      <c r="F35" s="7958"/>
      <c r="G35" s="7958"/>
      <c r="H35" s="7958"/>
      <c r="I35" s="7959"/>
      <c r="J35" s="7960" t="str">
        <f t="shared" ref="J35:J54" si="1">IF(AK35="","",AK35)</f>
        <v/>
      </c>
      <c r="K35" s="7961"/>
      <c r="L35" s="7961"/>
      <c r="M35" s="7960" t="str">
        <f t="shared" ref="M35:M54" si="2">IF(AL35="","",AL35)</f>
        <v/>
      </c>
      <c r="N35" s="7961"/>
      <c r="O35" s="7961"/>
      <c r="P35" s="7962"/>
      <c r="Q35" s="5988" t="str">
        <f t="shared" ref="Q35:Q54" si="3">IF(AM35="","",AM35)</f>
        <v/>
      </c>
      <c r="R35" s="7942"/>
      <c r="S35" s="7942"/>
      <c r="T35" s="7943"/>
      <c r="U35" s="5988" t="str">
        <f t="shared" ref="U35:U54" si="4">IF(AN35="","",AN35)</f>
        <v/>
      </c>
      <c r="V35" s="7942"/>
      <c r="W35" s="7942"/>
      <c r="X35" s="7943"/>
      <c r="Y35" s="7924" t="str">
        <f>IF(AO35&lt;&gt;"",AO35,"")</f>
        <v/>
      </c>
      <c r="Z35" s="5495"/>
      <c r="AA35" s="7924" t="str">
        <f>IF(AP35="","",AP35)</f>
        <v/>
      </c>
      <c r="AB35" s="5495"/>
      <c r="AC35" s="7925" t="str">
        <f>IF(AQ35&lt;&gt;"",AQ35,IF(AND(Q35&lt;&gt;"",U35&lt;&gt;""),SUM(Q35,-U35,AA35),""))</f>
        <v/>
      </c>
      <c r="AD35" s="7926"/>
      <c r="AE35" s="7926"/>
      <c r="AF35" s="7926"/>
      <c r="AG35" s="1631">
        <f>IF(OR(J35="",M35=""),0,IF(OR(BA35,BB35,BC35),0,1))</f>
        <v>0</v>
      </c>
      <c r="AH35" s="1185"/>
      <c r="AI35" s="1185" t="e">
        <f t="shared" ref="AI35:AI54" si="5">M35-J35</f>
        <v>#VALUE!</v>
      </c>
      <c r="AJ35" s="1547"/>
      <c r="AK35" s="1551"/>
      <c r="AL35" s="1551"/>
      <c r="AM35" s="1549"/>
      <c r="AN35" s="1549"/>
      <c r="AO35" s="1550"/>
      <c r="AP35" s="1549"/>
      <c r="AQ35" s="1548"/>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28">
        <f t="shared" ref="A36:A54" si="6">IF(OR(U36&lt;&gt;"",Y36&lt;&gt;"",AC36&lt;&gt;""),1,0)</f>
        <v>0</v>
      </c>
      <c r="B36" s="7957" t="str">
        <f t="shared" si="0"/>
        <v/>
      </c>
      <c r="C36" s="7958"/>
      <c r="D36" s="7958"/>
      <c r="E36" s="7958"/>
      <c r="F36" s="7958"/>
      <c r="G36" s="7958"/>
      <c r="H36" s="7958"/>
      <c r="I36" s="7959"/>
      <c r="J36" s="7960" t="str">
        <f t="shared" si="1"/>
        <v/>
      </c>
      <c r="K36" s="7961"/>
      <c r="L36" s="7961"/>
      <c r="M36" s="7960" t="str">
        <f t="shared" si="2"/>
        <v/>
      </c>
      <c r="N36" s="7961"/>
      <c r="O36" s="7961"/>
      <c r="P36" s="7962"/>
      <c r="Q36" s="5988" t="str">
        <f t="shared" si="3"/>
        <v/>
      </c>
      <c r="R36" s="7942"/>
      <c r="S36" s="7942"/>
      <c r="T36" s="7943"/>
      <c r="U36" s="5988" t="str">
        <f t="shared" si="4"/>
        <v/>
      </c>
      <c r="V36" s="7942"/>
      <c r="W36" s="7942"/>
      <c r="X36" s="7943"/>
      <c r="Y36" s="7924" t="str">
        <f>IF(AO36&lt;&gt;"",AO36,"")</f>
        <v/>
      </c>
      <c r="Z36" s="5495"/>
      <c r="AA36" s="7924" t="str">
        <f>IF(AP36="","",AP36)</f>
        <v/>
      </c>
      <c r="AB36" s="5495"/>
      <c r="AC36" s="7925" t="str">
        <f t="shared" ref="AC36:AC54" si="7">IF(AQ36&lt;&gt;"",AQ36,IF(AND(Q36&lt;&gt;"",U36&lt;&gt;""),SUM(Q36,-U36,AA36),""))</f>
        <v/>
      </c>
      <c r="AD36" s="7926"/>
      <c r="AE36" s="7926"/>
      <c r="AF36" s="7926"/>
      <c r="AG36" s="1631">
        <f t="shared" ref="AG36:AG54" si="8">IF(OR(J36="",M36=""),0,IF(OR(BA36,BB36,BC36),0,1))</f>
        <v>0</v>
      </c>
      <c r="AH36" s="1185"/>
      <c r="AI36" s="1185" t="e">
        <f t="shared" si="5"/>
        <v>#VALUE!</v>
      </c>
      <c r="AJ36" s="1547"/>
      <c r="AK36" s="1551"/>
      <c r="AL36" s="1551"/>
      <c r="AM36" s="1549"/>
      <c r="AN36" s="1549"/>
      <c r="AO36" s="1550"/>
      <c r="AP36" s="1549"/>
      <c r="AQ36" s="1548"/>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28">
        <f t="shared" si="6"/>
        <v>0</v>
      </c>
      <c r="B37" s="7957" t="str">
        <f t="shared" si="0"/>
        <v/>
      </c>
      <c r="C37" s="7958"/>
      <c r="D37" s="7958"/>
      <c r="E37" s="7958"/>
      <c r="F37" s="7958"/>
      <c r="G37" s="7958"/>
      <c r="H37" s="7958"/>
      <c r="I37" s="7959"/>
      <c r="J37" s="7960" t="str">
        <f t="shared" si="1"/>
        <v/>
      </c>
      <c r="K37" s="7961"/>
      <c r="L37" s="7961"/>
      <c r="M37" s="7960" t="str">
        <f t="shared" si="2"/>
        <v/>
      </c>
      <c r="N37" s="7961"/>
      <c r="O37" s="7961"/>
      <c r="P37" s="7962"/>
      <c r="Q37" s="5988" t="str">
        <f t="shared" si="3"/>
        <v/>
      </c>
      <c r="R37" s="7942"/>
      <c r="S37" s="7942"/>
      <c r="T37" s="7943"/>
      <c r="U37" s="5988" t="str">
        <f t="shared" si="4"/>
        <v/>
      </c>
      <c r="V37" s="7942"/>
      <c r="W37" s="7942"/>
      <c r="X37" s="7943"/>
      <c r="Y37" s="7924" t="str">
        <f>IF(AO37&lt;&gt;"",AO37,"")</f>
        <v/>
      </c>
      <c r="Z37" s="5495"/>
      <c r="AA37" s="7924" t="str">
        <f>IF(AP37="","",AP37)</f>
        <v/>
      </c>
      <c r="AB37" s="5495"/>
      <c r="AC37" s="7925" t="str">
        <f t="shared" si="7"/>
        <v/>
      </c>
      <c r="AD37" s="7926"/>
      <c r="AE37" s="7926"/>
      <c r="AF37" s="7926"/>
      <c r="AG37" s="1631">
        <f t="shared" si="8"/>
        <v>0</v>
      </c>
      <c r="AH37" s="1185"/>
      <c r="AI37" s="1185" t="e">
        <f t="shared" si="5"/>
        <v>#VALUE!</v>
      </c>
      <c r="AJ37" s="1547"/>
      <c r="AK37" s="1551"/>
      <c r="AL37" s="1551"/>
      <c r="AM37" s="1549"/>
      <c r="AN37" s="1549"/>
      <c r="AO37" s="1550"/>
      <c r="AP37" s="1549"/>
      <c r="AQ37" s="1548"/>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28">
        <f t="shared" si="6"/>
        <v>0</v>
      </c>
      <c r="B38" s="7957" t="str">
        <f t="shared" si="0"/>
        <v/>
      </c>
      <c r="C38" s="7958"/>
      <c r="D38" s="7958"/>
      <c r="E38" s="7958"/>
      <c r="F38" s="7958"/>
      <c r="G38" s="7958"/>
      <c r="H38" s="7958"/>
      <c r="I38" s="7959"/>
      <c r="J38" s="7960" t="str">
        <f t="shared" si="1"/>
        <v/>
      </c>
      <c r="K38" s="7961"/>
      <c r="L38" s="7961"/>
      <c r="M38" s="7960" t="str">
        <f t="shared" si="2"/>
        <v/>
      </c>
      <c r="N38" s="7961"/>
      <c r="O38" s="7961"/>
      <c r="P38" s="7962"/>
      <c r="Q38" s="5988" t="str">
        <f t="shared" si="3"/>
        <v/>
      </c>
      <c r="R38" s="7942"/>
      <c r="S38" s="7942"/>
      <c r="T38" s="7943"/>
      <c r="U38" s="5988" t="str">
        <f t="shared" si="4"/>
        <v/>
      </c>
      <c r="V38" s="7942"/>
      <c r="W38" s="7942"/>
      <c r="X38" s="7943"/>
      <c r="Y38" s="7924" t="str">
        <f t="shared" ref="Y38:Y54" si="18">IF(AO38&lt;&gt;"",AO38,"")</f>
        <v/>
      </c>
      <c r="Z38" s="5495"/>
      <c r="AA38" s="7924" t="str">
        <f t="shared" ref="AA38:AA54" si="19">IF(AP38="","",AP38)</f>
        <v/>
      </c>
      <c r="AB38" s="5495"/>
      <c r="AC38" s="7925" t="str">
        <f t="shared" si="7"/>
        <v/>
      </c>
      <c r="AD38" s="7926"/>
      <c r="AE38" s="7926"/>
      <c r="AF38" s="7926"/>
      <c r="AG38" s="1631">
        <f t="shared" si="8"/>
        <v>0</v>
      </c>
      <c r="AH38" s="1185"/>
      <c r="AI38" s="1185" t="e">
        <f t="shared" si="5"/>
        <v>#VALUE!</v>
      </c>
      <c r="AJ38" s="1547"/>
      <c r="AK38" s="1551"/>
      <c r="AL38" s="1551"/>
      <c r="AM38" s="1549"/>
      <c r="AN38" s="1549"/>
      <c r="AO38" s="1550"/>
      <c r="AP38" s="1549"/>
      <c r="AQ38" s="1548"/>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28">
        <f t="shared" si="6"/>
        <v>0</v>
      </c>
      <c r="B39" s="7957" t="str">
        <f t="shared" si="0"/>
        <v/>
      </c>
      <c r="C39" s="7958"/>
      <c r="D39" s="7958"/>
      <c r="E39" s="7958"/>
      <c r="F39" s="7958"/>
      <c r="G39" s="7958"/>
      <c r="H39" s="7958"/>
      <c r="I39" s="7959"/>
      <c r="J39" s="7960" t="str">
        <f t="shared" si="1"/>
        <v/>
      </c>
      <c r="K39" s="7961"/>
      <c r="L39" s="7961"/>
      <c r="M39" s="7960" t="str">
        <f t="shared" si="2"/>
        <v/>
      </c>
      <c r="N39" s="7961"/>
      <c r="O39" s="7961"/>
      <c r="P39" s="7962"/>
      <c r="Q39" s="5988" t="str">
        <f t="shared" si="3"/>
        <v/>
      </c>
      <c r="R39" s="7942"/>
      <c r="S39" s="7942"/>
      <c r="T39" s="7943"/>
      <c r="U39" s="5988" t="str">
        <f t="shared" si="4"/>
        <v/>
      </c>
      <c r="V39" s="7942"/>
      <c r="W39" s="7942"/>
      <c r="X39" s="7943"/>
      <c r="Y39" s="7924" t="str">
        <f t="shared" si="18"/>
        <v/>
      </c>
      <c r="Z39" s="5495"/>
      <c r="AA39" s="7924" t="str">
        <f t="shared" si="19"/>
        <v/>
      </c>
      <c r="AB39" s="5495"/>
      <c r="AC39" s="7925" t="str">
        <f t="shared" si="7"/>
        <v/>
      </c>
      <c r="AD39" s="7926"/>
      <c r="AE39" s="7926"/>
      <c r="AF39" s="7926"/>
      <c r="AG39" s="1631">
        <f t="shared" si="8"/>
        <v>0</v>
      </c>
      <c r="AH39" s="1185"/>
      <c r="AI39" s="1185" t="e">
        <f t="shared" si="5"/>
        <v>#VALUE!</v>
      </c>
      <c r="AJ39" s="1547"/>
      <c r="AK39" s="1551"/>
      <c r="AL39" s="1551"/>
      <c r="AM39" s="1549"/>
      <c r="AN39" s="1549"/>
      <c r="AO39" s="1550"/>
      <c r="AP39" s="1549"/>
      <c r="AQ39" s="1548"/>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28">
        <f t="shared" si="6"/>
        <v>0</v>
      </c>
      <c r="B40" s="7957" t="str">
        <f t="shared" si="0"/>
        <v/>
      </c>
      <c r="C40" s="7958"/>
      <c r="D40" s="7958"/>
      <c r="E40" s="7958"/>
      <c r="F40" s="7958"/>
      <c r="G40" s="7958"/>
      <c r="H40" s="7958"/>
      <c r="I40" s="7959"/>
      <c r="J40" s="7960" t="str">
        <f t="shared" si="1"/>
        <v/>
      </c>
      <c r="K40" s="7961"/>
      <c r="L40" s="7961"/>
      <c r="M40" s="7960" t="str">
        <f t="shared" si="2"/>
        <v/>
      </c>
      <c r="N40" s="7961"/>
      <c r="O40" s="7961"/>
      <c r="P40" s="7962"/>
      <c r="Q40" s="5988" t="str">
        <f t="shared" si="3"/>
        <v/>
      </c>
      <c r="R40" s="7942"/>
      <c r="S40" s="7942"/>
      <c r="T40" s="7943"/>
      <c r="U40" s="5988" t="str">
        <f t="shared" si="4"/>
        <v/>
      </c>
      <c r="V40" s="7942"/>
      <c r="W40" s="7942"/>
      <c r="X40" s="7943"/>
      <c r="Y40" s="7924" t="str">
        <f t="shared" si="18"/>
        <v/>
      </c>
      <c r="Z40" s="5495"/>
      <c r="AA40" s="7924" t="str">
        <f t="shared" si="19"/>
        <v/>
      </c>
      <c r="AB40" s="5495"/>
      <c r="AC40" s="7925" t="str">
        <f t="shared" si="7"/>
        <v/>
      </c>
      <c r="AD40" s="7926"/>
      <c r="AE40" s="7926"/>
      <c r="AF40" s="7926"/>
      <c r="AG40" s="1631">
        <f t="shared" si="8"/>
        <v>0</v>
      </c>
      <c r="AH40" s="1185"/>
      <c r="AI40" s="1185" t="e">
        <f t="shared" si="5"/>
        <v>#VALUE!</v>
      </c>
      <c r="AJ40" s="1547"/>
      <c r="AK40" s="1551"/>
      <c r="AL40" s="1551"/>
      <c r="AM40" s="1549"/>
      <c r="AN40" s="1549"/>
      <c r="AO40" s="1550"/>
      <c r="AP40" s="1549"/>
      <c r="AQ40" s="1548"/>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28">
        <f t="shared" si="6"/>
        <v>0</v>
      </c>
      <c r="B41" s="7957" t="str">
        <f t="shared" si="0"/>
        <v/>
      </c>
      <c r="C41" s="7958"/>
      <c r="D41" s="7958"/>
      <c r="E41" s="7958"/>
      <c r="F41" s="7958"/>
      <c r="G41" s="7958"/>
      <c r="H41" s="7958"/>
      <c r="I41" s="7959"/>
      <c r="J41" s="7960" t="str">
        <f t="shared" si="1"/>
        <v/>
      </c>
      <c r="K41" s="7961"/>
      <c r="L41" s="7961"/>
      <c r="M41" s="7960" t="str">
        <f t="shared" si="2"/>
        <v/>
      </c>
      <c r="N41" s="7961"/>
      <c r="O41" s="7961"/>
      <c r="P41" s="7962"/>
      <c r="Q41" s="5988" t="str">
        <f t="shared" si="3"/>
        <v/>
      </c>
      <c r="R41" s="7942"/>
      <c r="S41" s="7942"/>
      <c r="T41" s="7943"/>
      <c r="U41" s="5988" t="str">
        <f t="shared" si="4"/>
        <v/>
      </c>
      <c r="V41" s="7942"/>
      <c r="W41" s="7942"/>
      <c r="X41" s="7943"/>
      <c r="Y41" s="7924" t="str">
        <f t="shared" si="18"/>
        <v/>
      </c>
      <c r="Z41" s="5495"/>
      <c r="AA41" s="7924" t="str">
        <f t="shared" si="19"/>
        <v/>
      </c>
      <c r="AB41" s="5495"/>
      <c r="AC41" s="7925" t="str">
        <f t="shared" si="7"/>
        <v/>
      </c>
      <c r="AD41" s="7926"/>
      <c r="AE41" s="7926"/>
      <c r="AF41" s="7926"/>
      <c r="AG41" s="1631">
        <f t="shared" si="8"/>
        <v>0</v>
      </c>
      <c r="AH41" s="1185"/>
      <c r="AI41" s="1185" t="e">
        <f t="shared" si="5"/>
        <v>#VALUE!</v>
      </c>
      <c r="AJ41" s="1547"/>
      <c r="AK41" s="1551"/>
      <c r="AL41" s="1551"/>
      <c r="AM41" s="1549"/>
      <c r="AN41" s="1549"/>
      <c r="AO41" s="1550"/>
      <c r="AP41" s="1549"/>
      <c r="AQ41" s="1548"/>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28">
        <f t="shared" si="6"/>
        <v>0</v>
      </c>
      <c r="B42" s="7957" t="str">
        <f t="shared" si="0"/>
        <v/>
      </c>
      <c r="C42" s="7958"/>
      <c r="D42" s="7958"/>
      <c r="E42" s="7958"/>
      <c r="F42" s="7958"/>
      <c r="G42" s="7958"/>
      <c r="H42" s="7958"/>
      <c r="I42" s="7959"/>
      <c r="J42" s="7960" t="str">
        <f t="shared" si="1"/>
        <v/>
      </c>
      <c r="K42" s="7961"/>
      <c r="L42" s="7961"/>
      <c r="M42" s="7960" t="str">
        <f t="shared" si="2"/>
        <v/>
      </c>
      <c r="N42" s="7961"/>
      <c r="O42" s="7961"/>
      <c r="P42" s="7962"/>
      <c r="Q42" s="5988" t="str">
        <f t="shared" si="3"/>
        <v/>
      </c>
      <c r="R42" s="7942"/>
      <c r="S42" s="7942"/>
      <c r="T42" s="7943"/>
      <c r="U42" s="5988" t="str">
        <f t="shared" si="4"/>
        <v/>
      </c>
      <c r="V42" s="7942"/>
      <c r="W42" s="7942"/>
      <c r="X42" s="7943"/>
      <c r="Y42" s="7924" t="str">
        <f t="shared" si="18"/>
        <v/>
      </c>
      <c r="Z42" s="5495"/>
      <c r="AA42" s="7924" t="str">
        <f t="shared" si="19"/>
        <v/>
      </c>
      <c r="AB42" s="5495"/>
      <c r="AC42" s="7925" t="str">
        <f t="shared" si="7"/>
        <v/>
      </c>
      <c r="AD42" s="7926"/>
      <c r="AE42" s="7926"/>
      <c r="AF42" s="7926"/>
      <c r="AG42" s="1631">
        <f t="shared" si="8"/>
        <v>0</v>
      </c>
      <c r="AH42" s="1185"/>
      <c r="AI42" s="1185" t="e">
        <f t="shared" si="5"/>
        <v>#VALUE!</v>
      </c>
      <c r="AJ42" s="1547"/>
      <c r="AK42" s="1551"/>
      <c r="AL42" s="1551"/>
      <c r="AM42" s="1549"/>
      <c r="AN42" s="1549"/>
      <c r="AO42" s="1550"/>
      <c r="AP42" s="1549"/>
      <c r="AQ42" s="1548"/>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28">
        <f t="shared" si="6"/>
        <v>0</v>
      </c>
      <c r="B43" s="7957" t="str">
        <f t="shared" si="0"/>
        <v/>
      </c>
      <c r="C43" s="7958"/>
      <c r="D43" s="7958"/>
      <c r="E43" s="7958"/>
      <c r="F43" s="7958"/>
      <c r="G43" s="7958"/>
      <c r="H43" s="7958"/>
      <c r="I43" s="7959"/>
      <c r="J43" s="7960" t="str">
        <f t="shared" si="1"/>
        <v/>
      </c>
      <c r="K43" s="7961"/>
      <c r="L43" s="7961"/>
      <c r="M43" s="7960" t="str">
        <f t="shared" si="2"/>
        <v/>
      </c>
      <c r="N43" s="7961"/>
      <c r="O43" s="7961"/>
      <c r="P43" s="7962"/>
      <c r="Q43" s="5988" t="str">
        <f t="shared" si="3"/>
        <v/>
      </c>
      <c r="R43" s="7942"/>
      <c r="S43" s="7942"/>
      <c r="T43" s="7943"/>
      <c r="U43" s="5988" t="str">
        <f t="shared" si="4"/>
        <v/>
      </c>
      <c r="V43" s="7942"/>
      <c r="W43" s="7942"/>
      <c r="X43" s="7943"/>
      <c r="Y43" s="7924" t="str">
        <f t="shared" si="18"/>
        <v/>
      </c>
      <c r="Z43" s="5495"/>
      <c r="AA43" s="7924" t="str">
        <f t="shared" si="19"/>
        <v/>
      </c>
      <c r="AB43" s="5495"/>
      <c r="AC43" s="7925" t="str">
        <f t="shared" si="7"/>
        <v/>
      </c>
      <c r="AD43" s="7926"/>
      <c r="AE43" s="7926"/>
      <c r="AF43" s="7926"/>
      <c r="AG43" s="1631">
        <f t="shared" si="8"/>
        <v>0</v>
      </c>
      <c r="AH43" s="1185"/>
      <c r="AI43" s="1185" t="e">
        <f t="shared" si="5"/>
        <v>#VALUE!</v>
      </c>
      <c r="AJ43" s="1547"/>
      <c r="AK43" s="1551"/>
      <c r="AL43" s="1551"/>
      <c r="AM43" s="1549"/>
      <c r="AN43" s="1549"/>
      <c r="AO43" s="1550"/>
      <c r="AP43" s="1549"/>
      <c r="AQ43" s="1548"/>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28">
        <f t="shared" si="6"/>
        <v>0</v>
      </c>
      <c r="B44" s="7957" t="str">
        <f t="shared" si="0"/>
        <v/>
      </c>
      <c r="C44" s="7958"/>
      <c r="D44" s="7958"/>
      <c r="E44" s="7958"/>
      <c r="F44" s="7958"/>
      <c r="G44" s="7958"/>
      <c r="H44" s="7958"/>
      <c r="I44" s="7959"/>
      <c r="J44" s="7960" t="str">
        <f t="shared" si="1"/>
        <v/>
      </c>
      <c r="K44" s="7961"/>
      <c r="L44" s="7961"/>
      <c r="M44" s="7960" t="str">
        <f t="shared" si="2"/>
        <v/>
      </c>
      <c r="N44" s="7961"/>
      <c r="O44" s="7961"/>
      <c r="P44" s="7962"/>
      <c r="Q44" s="5988" t="str">
        <f t="shared" si="3"/>
        <v/>
      </c>
      <c r="R44" s="7942"/>
      <c r="S44" s="7942"/>
      <c r="T44" s="7943"/>
      <c r="U44" s="5988" t="str">
        <f t="shared" si="4"/>
        <v/>
      </c>
      <c r="V44" s="7942"/>
      <c r="W44" s="7942"/>
      <c r="X44" s="7943"/>
      <c r="Y44" s="7924" t="str">
        <f t="shared" si="18"/>
        <v/>
      </c>
      <c r="Z44" s="5495"/>
      <c r="AA44" s="7924" t="str">
        <f t="shared" si="19"/>
        <v/>
      </c>
      <c r="AB44" s="5495"/>
      <c r="AC44" s="7925" t="str">
        <f t="shared" si="7"/>
        <v/>
      </c>
      <c r="AD44" s="7926"/>
      <c r="AE44" s="7926"/>
      <c r="AF44" s="7926"/>
      <c r="AG44" s="1631">
        <f t="shared" si="8"/>
        <v>0</v>
      </c>
      <c r="AH44" s="1185"/>
      <c r="AI44" s="1185" t="e">
        <f t="shared" si="5"/>
        <v>#VALUE!</v>
      </c>
      <c r="AJ44" s="1547"/>
      <c r="AK44" s="1551"/>
      <c r="AL44" s="1551"/>
      <c r="AM44" s="1549"/>
      <c r="AN44" s="1549"/>
      <c r="AO44" s="1550"/>
      <c r="AP44" s="1549"/>
      <c r="AQ44" s="1548"/>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28">
        <f t="shared" si="6"/>
        <v>0</v>
      </c>
      <c r="B45" s="7957" t="str">
        <f t="shared" si="0"/>
        <v/>
      </c>
      <c r="C45" s="7958"/>
      <c r="D45" s="7958"/>
      <c r="E45" s="7958"/>
      <c r="F45" s="7958"/>
      <c r="G45" s="7958"/>
      <c r="H45" s="7958"/>
      <c r="I45" s="7959"/>
      <c r="J45" s="7960" t="str">
        <f t="shared" si="1"/>
        <v/>
      </c>
      <c r="K45" s="7961"/>
      <c r="L45" s="7961"/>
      <c r="M45" s="7960" t="str">
        <f t="shared" si="2"/>
        <v/>
      </c>
      <c r="N45" s="7961"/>
      <c r="O45" s="7961"/>
      <c r="P45" s="7962"/>
      <c r="Q45" s="5988" t="str">
        <f t="shared" si="3"/>
        <v/>
      </c>
      <c r="R45" s="7942"/>
      <c r="S45" s="7942"/>
      <c r="T45" s="7943"/>
      <c r="U45" s="5988" t="str">
        <f t="shared" si="4"/>
        <v/>
      </c>
      <c r="V45" s="7942"/>
      <c r="W45" s="7942"/>
      <c r="X45" s="7943"/>
      <c r="Y45" s="7924" t="str">
        <f t="shared" si="18"/>
        <v/>
      </c>
      <c r="Z45" s="5495"/>
      <c r="AA45" s="7924" t="str">
        <f t="shared" si="19"/>
        <v/>
      </c>
      <c r="AB45" s="5495"/>
      <c r="AC45" s="7925" t="str">
        <f t="shared" si="7"/>
        <v/>
      </c>
      <c r="AD45" s="7926"/>
      <c r="AE45" s="7926"/>
      <c r="AF45" s="7926"/>
      <c r="AG45" s="1631">
        <f t="shared" si="8"/>
        <v>0</v>
      </c>
      <c r="AH45" s="1185"/>
      <c r="AI45" s="1185" t="e">
        <f t="shared" si="5"/>
        <v>#VALUE!</v>
      </c>
      <c r="AJ45" s="1547"/>
      <c r="AK45" s="1551"/>
      <c r="AL45" s="1551"/>
      <c r="AM45" s="1549"/>
      <c r="AN45" s="1549"/>
      <c r="AO45" s="1550"/>
      <c r="AP45" s="1549"/>
      <c r="AQ45" s="1548"/>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28">
        <f t="shared" si="6"/>
        <v>0</v>
      </c>
      <c r="B46" s="7957" t="str">
        <f t="shared" si="0"/>
        <v/>
      </c>
      <c r="C46" s="7958"/>
      <c r="D46" s="7958"/>
      <c r="E46" s="7958"/>
      <c r="F46" s="7958"/>
      <c r="G46" s="7958"/>
      <c r="H46" s="7958"/>
      <c r="I46" s="7959"/>
      <c r="J46" s="7960" t="str">
        <f t="shared" si="1"/>
        <v/>
      </c>
      <c r="K46" s="7961"/>
      <c r="L46" s="7961"/>
      <c r="M46" s="7960" t="str">
        <f t="shared" si="2"/>
        <v/>
      </c>
      <c r="N46" s="7961"/>
      <c r="O46" s="7961"/>
      <c r="P46" s="7962"/>
      <c r="Q46" s="5988" t="str">
        <f t="shared" si="3"/>
        <v/>
      </c>
      <c r="R46" s="7942"/>
      <c r="S46" s="7942"/>
      <c r="T46" s="7943"/>
      <c r="U46" s="5988" t="str">
        <f t="shared" si="4"/>
        <v/>
      </c>
      <c r="V46" s="7942"/>
      <c r="W46" s="7942"/>
      <c r="X46" s="7943"/>
      <c r="Y46" s="7924" t="str">
        <f t="shared" si="18"/>
        <v/>
      </c>
      <c r="Z46" s="5495"/>
      <c r="AA46" s="7924" t="str">
        <f t="shared" si="19"/>
        <v/>
      </c>
      <c r="AB46" s="5495"/>
      <c r="AC46" s="7925" t="str">
        <f t="shared" si="7"/>
        <v/>
      </c>
      <c r="AD46" s="7926"/>
      <c r="AE46" s="7926"/>
      <c r="AF46" s="7926"/>
      <c r="AG46" s="1631">
        <f t="shared" si="8"/>
        <v>0</v>
      </c>
      <c r="AH46" s="1185"/>
      <c r="AI46" s="1185" t="e">
        <f t="shared" si="5"/>
        <v>#VALUE!</v>
      </c>
      <c r="AJ46" s="1547"/>
      <c r="AK46" s="1551"/>
      <c r="AL46" s="1551"/>
      <c r="AM46" s="1549"/>
      <c r="AN46" s="1549"/>
      <c r="AO46" s="1550"/>
      <c r="AP46" s="1549"/>
      <c r="AQ46" s="1548"/>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28">
        <f t="shared" si="6"/>
        <v>0</v>
      </c>
      <c r="B47" s="7957" t="str">
        <f t="shared" si="0"/>
        <v/>
      </c>
      <c r="C47" s="7958"/>
      <c r="D47" s="7958"/>
      <c r="E47" s="7958"/>
      <c r="F47" s="7958"/>
      <c r="G47" s="7958"/>
      <c r="H47" s="7958"/>
      <c r="I47" s="7959"/>
      <c r="J47" s="7960" t="str">
        <f t="shared" si="1"/>
        <v/>
      </c>
      <c r="K47" s="7961"/>
      <c r="L47" s="7961"/>
      <c r="M47" s="7960" t="str">
        <f t="shared" si="2"/>
        <v/>
      </c>
      <c r="N47" s="7961"/>
      <c r="O47" s="7961"/>
      <c r="P47" s="7962"/>
      <c r="Q47" s="5988" t="str">
        <f t="shared" si="3"/>
        <v/>
      </c>
      <c r="R47" s="7942"/>
      <c r="S47" s="7942"/>
      <c r="T47" s="7943"/>
      <c r="U47" s="5988" t="str">
        <f t="shared" si="4"/>
        <v/>
      </c>
      <c r="V47" s="7942"/>
      <c r="W47" s="7942"/>
      <c r="X47" s="7943"/>
      <c r="Y47" s="7924" t="str">
        <f t="shared" si="18"/>
        <v/>
      </c>
      <c r="Z47" s="5495"/>
      <c r="AA47" s="7924" t="str">
        <f t="shared" si="19"/>
        <v/>
      </c>
      <c r="AB47" s="5495"/>
      <c r="AC47" s="7925" t="str">
        <f t="shared" si="7"/>
        <v/>
      </c>
      <c r="AD47" s="7926"/>
      <c r="AE47" s="7926"/>
      <c r="AF47" s="7926"/>
      <c r="AG47" s="1631">
        <f t="shared" si="8"/>
        <v>0</v>
      </c>
      <c r="AH47" s="1185"/>
      <c r="AI47" s="1185" t="e">
        <f t="shared" si="5"/>
        <v>#VALUE!</v>
      </c>
      <c r="AJ47" s="1547"/>
      <c r="AK47" s="1551"/>
      <c r="AL47" s="1551"/>
      <c r="AM47" s="1549"/>
      <c r="AN47" s="1549"/>
      <c r="AO47" s="1550"/>
      <c r="AP47" s="1549"/>
      <c r="AQ47" s="1548"/>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28">
        <f t="shared" si="6"/>
        <v>0</v>
      </c>
      <c r="B48" s="7957" t="str">
        <f t="shared" si="0"/>
        <v/>
      </c>
      <c r="C48" s="7958"/>
      <c r="D48" s="7958"/>
      <c r="E48" s="7958"/>
      <c r="F48" s="7958"/>
      <c r="G48" s="7958"/>
      <c r="H48" s="7958"/>
      <c r="I48" s="7959"/>
      <c r="J48" s="7960" t="str">
        <f t="shared" si="1"/>
        <v/>
      </c>
      <c r="K48" s="7961"/>
      <c r="L48" s="7961"/>
      <c r="M48" s="7960" t="str">
        <f t="shared" si="2"/>
        <v/>
      </c>
      <c r="N48" s="7961"/>
      <c r="O48" s="7961"/>
      <c r="P48" s="7962"/>
      <c r="Q48" s="5988" t="str">
        <f t="shared" si="3"/>
        <v/>
      </c>
      <c r="R48" s="7942"/>
      <c r="S48" s="7942"/>
      <c r="T48" s="7943"/>
      <c r="U48" s="5988" t="str">
        <f t="shared" si="4"/>
        <v/>
      </c>
      <c r="V48" s="7942"/>
      <c r="W48" s="7942"/>
      <c r="X48" s="7943"/>
      <c r="Y48" s="7924" t="str">
        <f t="shared" si="18"/>
        <v/>
      </c>
      <c r="Z48" s="5495"/>
      <c r="AA48" s="7924" t="str">
        <f t="shared" si="19"/>
        <v/>
      </c>
      <c r="AB48" s="5495"/>
      <c r="AC48" s="7925" t="str">
        <f t="shared" si="7"/>
        <v/>
      </c>
      <c r="AD48" s="7926"/>
      <c r="AE48" s="7926"/>
      <c r="AF48" s="7926"/>
      <c r="AG48" s="1631">
        <f t="shared" si="8"/>
        <v>0</v>
      </c>
      <c r="AH48" s="1185"/>
      <c r="AI48" s="1185" t="e">
        <f t="shared" si="5"/>
        <v>#VALUE!</v>
      </c>
      <c r="AJ48" s="1547"/>
      <c r="AK48" s="1551"/>
      <c r="AL48" s="1551"/>
      <c r="AM48" s="1549"/>
      <c r="AN48" s="1549"/>
      <c r="AO48" s="1550"/>
      <c r="AP48" s="1549"/>
      <c r="AQ48" s="1548"/>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28">
        <f t="shared" si="6"/>
        <v>0</v>
      </c>
      <c r="B49" s="7957" t="str">
        <f t="shared" si="0"/>
        <v/>
      </c>
      <c r="C49" s="7958"/>
      <c r="D49" s="7958"/>
      <c r="E49" s="7958"/>
      <c r="F49" s="7958"/>
      <c r="G49" s="7958"/>
      <c r="H49" s="7958"/>
      <c r="I49" s="7959"/>
      <c r="J49" s="7960" t="str">
        <f t="shared" si="1"/>
        <v/>
      </c>
      <c r="K49" s="7961"/>
      <c r="L49" s="7961"/>
      <c r="M49" s="7960" t="str">
        <f t="shared" si="2"/>
        <v/>
      </c>
      <c r="N49" s="7961"/>
      <c r="O49" s="7961"/>
      <c r="P49" s="7962"/>
      <c r="Q49" s="5988" t="str">
        <f t="shared" si="3"/>
        <v/>
      </c>
      <c r="R49" s="7942"/>
      <c r="S49" s="7942"/>
      <c r="T49" s="7943"/>
      <c r="U49" s="5988" t="str">
        <f t="shared" si="4"/>
        <v/>
      </c>
      <c r="V49" s="7942"/>
      <c r="W49" s="7942"/>
      <c r="X49" s="7943"/>
      <c r="Y49" s="7924" t="str">
        <f t="shared" si="18"/>
        <v/>
      </c>
      <c r="Z49" s="5495"/>
      <c r="AA49" s="7924" t="str">
        <f t="shared" si="19"/>
        <v/>
      </c>
      <c r="AB49" s="5495"/>
      <c r="AC49" s="7925" t="str">
        <f t="shared" si="7"/>
        <v/>
      </c>
      <c r="AD49" s="7926"/>
      <c r="AE49" s="7926"/>
      <c r="AF49" s="7926"/>
      <c r="AG49" s="1631">
        <f t="shared" si="8"/>
        <v>0</v>
      </c>
      <c r="AH49" s="1185"/>
      <c r="AI49" s="1185" t="e">
        <f t="shared" si="5"/>
        <v>#VALUE!</v>
      </c>
      <c r="AJ49" s="1547"/>
      <c r="AK49" s="1551"/>
      <c r="AL49" s="1551"/>
      <c r="AM49" s="1549"/>
      <c r="AN49" s="1549"/>
      <c r="AO49" s="1550"/>
      <c r="AP49" s="1549"/>
      <c r="AQ49" s="1548"/>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28">
        <f t="shared" si="6"/>
        <v>0</v>
      </c>
      <c r="B50" s="7957" t="str">
        <f t="shared" si="0"/>
        <v/>
      </c>
      <c r="C50" s="7958"/>
      <c r="D50" s="7958"/>
      <c r="E50" s="7958"/>
      <c r="F50" s="7958"/>
      <c r="G50" s="7958"/>
      <c r="H50" s="7958"/>
      <c r="I50" s="7959"/>
      <c r="J50" s="7960" t="str">
        <f t="shared" si="1"/>
        <v/>
      </c>
      <c r="K50" s="7961"/>
      <c r="L50" s="7961"/>
      <c r="M50" s="7960" t="str">
        <f t="shared" si="2"/>
        <v/>
      </c>
      <c r="N50" s="7961"/>
      <c r="O50" s="7961"/>
      <c r="P50" s="7962"/>
      <c r="Q50" s="5988" t="str">
        <f t="shared" si="3"/>
        <v/>
      </c>
      <c r="R50" s="7942"/>
      <c r="S50" s="7942"/>
      <c r="T50" s="7943"/>
      <c r="U50" s="5988" t="str">
        <f t="shared" si="4"/>
        <v/>
      </c>
      <c r="V50" s="7942"/>
      <c r="W50" s="7942"/>
      <c r="X50" s="7943"/>
      <c r="Y50" s="7924" t="str">
        <f t="shared" si="18"/>
        <v/>
      </c>
      <c r="Z50" s="5495"/>
      <c r="AA50" s="7924" t="str">
        <f t="shared" si="19"/>
        <v/>
      </c>
      <c r="AB50" s="5495"/>
      <c r="AC50" s="7925" t="str">
        <f t="shared" si="7"/>
        <v/>
      </c>
      <c r="AD50" s="7926"/>
      <c r="AE50" s="7926"/>
      <c r="AF50" s="7926"/>
      <c r="AG50" s="1631">
        <f t="shared" si="8"/>
        <v>0</v>
      </c>
      <c r="AH50" s="1185"/>
      <c r="AI50" s="1185" t="e">
        <f t="shared" si="5"/>
        <v>#VALUE!</v>
      </c>
      <c r="AJ50" s="1547"/>
      <c r="AK50" s="1551"/>
      <c r="AL50" s="1551"/>
      <c r="AM50" s="1549"/>
      <c r="AN50" s="1549"/>
      <c r="AO50" s="1550"/>
      <c r="AP50" s="1549"/>
      <c r="AQ50" s="1548"/>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28">
        <f t="shared" si="6"/>
        <v>0</v>
      </c>
      <c r="B51" s="7957" t="str">
        <f t="shared" si="0"/>
        <v/>
      </c>
      <c r="C51" s="7958"/>
      <c r="D51" s="7958"/>
      <c r="E51" s="7958"/>
      <c r="F51" s="7958"/>
      <c r="G51" s="7958"/>
      <c r="H51" s="7958"/>
      <c r="I51" s="7959"/>
      <c r="J51" s="7960" t="str">
        <f t="shared" si="1"/>
        <v/>
      </c>
      <c r="K51" s="7961"/>
      <c r="L51" s="7961"/>
      <c r="M51" s="7960" t="str">
        <f t="shared" si="2"/>
        <v/>
      </c>
      <c r="N51" s="7961"/>
      <c r="O51" s="7961"/>
      <c r="P51" s="7962"/>
      <c r="Q51" s="5988" t="str">
        <f t="shared" si="3"/>
        <v/>
      </c>
      <c r="R51" s="7942"/>
      <c r="S51" s="7942"/>
      <c r="T51" s="7943"/>
      <c r="U51" s="5988" t="str">
        <f t="shared" si="4"/>
        <v/>
      </c>
      <c r="V51" s="7942"/>
      <c r="W51" s="7942"/>
      <c r="X51" s="7943"/>
      <c r="Y51" s="7924" t="str">
        <f t="shared" si="18"/>
        <v/>
      </c>
      <c r="Z51" s="5495"/>
      <c r="AA51" s="7924" t="str">
        <f t="shared" si="19"/>
        <v/>
      </c>
      <c r="AB51" s="5495"/>
      <c r="AC51" s="7925" t="str">
        <f t="shared" si="7"/>
        <v/>
      </c>
      <c r="AD51" s="7926"/>
      <c r="AE51" s="7926"/>
      <c r="AF51" s="7926"/>
      <c r="AG51" s="1631">
        <f t="shared" si="8"/>
        <v>0</v>
      </c>
      <c r="AH51" s="1185"/>
      <c r="AI51" s="1185" t="e">
        <f t="shared" si="5"/>
        <v>#VALUE!</v>
      </c>
      <c r="AJ51" s="1547"/>
      <c r="AK51" s="1551"/>
      <c r="AL51" s="1551"/>
      <c r="AM51" s="1549"/>
      <c r="AN51" s="1549"/>
      <c r="AO51" s="1550"/>
      <c r="AP51" s="1549"/>
      <c r="AQ51" s="1548"/>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28">
        <f t="shared" si="6"/>
        <v>0</v>
      </c>
      <c r="B52" s="7957" t="str">
        <f t="shared" si="0"/>
        <v/>
      </c>
      <c r="C52" s="7958"/>
      <c r="D52" s="7958"/>
      <c r="E52" s="7958"/>
      <c r="F52" s="7958"/>
      <c r="G52" s="7958"/>
      <c r="H52" s="7958"/>
      <c r="I52" s="7959"/>
      <c r="J52" s="7960" t="str">
        <f t="shared" si="1"/>
        <v/>
      </c>
      <c r="K52" s="7961"/>
      <c r="L52" s="7961"/>
      <c r="M52" s="7960" t="str">
        <f t="shared" si="2"/>
        <v/>
      </c>
      <c r="N52" s="7961"/>
      <c r="O52" s="7961"/>
      <c r="P52" s="7962"/>
      <c r="Q52" s="5988" t="str">
        <f t="shared" si="3"/>
        <v/>
      </c>
      <c r="R52" s="7942"/>
      <c r="S52" s="7942"/>
      <c r="T52" s="7943"/>
      <c r="U52" s="5988" t="str">
        <f t="shared" si="4"/>
        <v/>
      </c>
      <c r="V52" s="7942"/>
      <c r="W52" s="7942"/>
      <c r="X52" s="7943"/>
      <c r="Y52" s="7924" t="str">
        <f t="shared" si="18"/>
        <v/>
      </c>
      <c r="Z52" s="5495"/>
      <c r="AA52" s="7924" t="str">
        <f t="shared" si="19"/>
        <v/>
      </c>
      <c r="AB52" s="5495"/>
      <c r="AC52" s="7925" t="str">
        <f t="shared" si="7"/>
        <v/>
      </c>
      <c r="AD52" s="7926"/>
      <c r="AE52" s="7926"/>
      <c r="AF52" s="7926"/>
      <c r="AG52" s="1631">
        <f t="shared" si="8"/>
        <v>0</v>
      </c>
      <c r="AH52" s="1185"/>
      <c r="AI52" s="1185" t="e">
        <f t="shared" si="5"/>
        <v>#VALUE!</v>
      </c>
      <c r="AJ52" s="1547"/>
      <c r="AK52" s="1551"/>
      <c r="AL52" s="1551"/>
      <c r="AM52" s="1549"/>
      <c r="AN52" s="1549"/>
      <c r="AO52" s="1550"/>
      <c r="AP52" s="1549"/>
      <c r="AQ52" s="1548"/>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28">
        <f t="shared" si="6"/>
        <v>0</v>
      </c>
      <c r="B53" s="7957" t="str">
        <f t="shared" si="0"/>
        <v/>
      </c>
      <c r="C53" s="7958"/>
      <c r="D53" s="7958"/>
      <c r="E53" s="7958"/>
      <c r="F53" s="7958"/>
      <c r="G53" s="7958"/>
      <c r="H53" s="7958"/>
      <c r="I53" s="7959"/>
      <c r="J53" s="7960" t="str">
        <f t="shared" si="1"/>
        <v/>
      </c>
      <c r="K53" s="7961"/>
      <c r="L53" s="7961"/>
      <c r="M53" s="7960" t="str">
        <f t="shared" si="2"/>
        <v/>
      </c>
      <c r="N53" s="7961"/>
      <c r="O53" s="7961"/>
      <c r="P53" s="7962"/>
      <c r="Q53" s="5988" t="str">
        <f t="shared" si="3"/>
        <v/>
      </c>
      <c r="R53" s="7942"/>
      <c r="S53" s="7942"/>
      <c r="T53" s="7943"/>
      <c r="U53" s="5988" t="str">
        <f t="shared" si="4"/>
        <v/>
      </c>
      <c r="V53" s="7942"/>
      <c r="W53" s="7942"/>
      <c r="X53" s="7943"/>
      <c r="Y53" s="7924" t="str">
        <f t="shared" si="18"/>
        <v/>
      </c>
      <c r="Z53" s="5495"/>
      <c r="AA53" s="7924" t="str">
        <f t="shared" si="19"/>
        <v/>
      </c>
      <c r="AB53" s="5495"/>
      <c r="AC53" s="7925" t="str">
        <f t="shared" si="7"/>
        <v/>
      </c>
      <c r="AD53" s="7926"/>
      <c r="AE53" s="7926"/>
      <c r="AF53" s="7926"/>
      <c r="AG53" s="1631">
        <f t="shared" si="8"/>
        <v>0</v>
      </c>
      <c r="AH53" s="1185"/>
      <c r="AI53" s="1185" t="e">
        <f t="shared" si="5"/>
        <v>#VALUE!</v>
      </c>
      <c r="AJ53" s="1547"/>
      <c r="AK53" s="1551"/>
      <c r="AL53" s="1551"/>
      <c r="AM53" s="1549"/>
      <c r="AN53" s="1549"/>
      <c r="AO53" s="1550"/>
      <c r="AP53" s="1549"/>
      <c r="AQ53" s="1548"/>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28">
        <f t="shared" si="6"/>
        <v>0</v>
      </c>
      <c r="B54" s="7957" t="str">
        <f t="shared" si="0"/>
        <v/>
      </c>
      <c r="C54" s="7958"/>
      <c r="D54" s="7958"/>
      <c r="E54" s="7958"/>
      <c r="F54" s="7958"/>
      <c r="G54" s="7958"/>
      <c r="H54" s="7958"/>
      <c r="I54" s="7959"/>
      <c r="J54" s="7960" t="str">
        <f t="shared" si="1"/>
        <v/>
      </c>
      <c r="K54" s="7961"/>
      <c r="L54" s="7961"/>
      <c r="M54" s="7960" t="str">
        <f t="shared" si="2"/>
        <v/>
      </c>
      <c r="N54" s="7961"/>
      <c r="O54" s="7961"/>
      <c r="P54" s="7962"/>
      <c r="Q54" s="5988" t="str">
        <f t="shared" si="3"/>
        <v/>
      </c>
      <c r="R54" s="7942"/>
      <c r="S54" s="7942"/>
      <c r="T54" s="7943"/>
      <c r="U54" s="5988" t="str">
        <f t="shared" si="4"/>
        <v/>
      </c>
      <c r="V54" s="7942"/>
      <c r="W54" s="7942"/>
      <c r="X54" s="7943"/>
      <c r="Y54" s="7924" t="str">
        <f t="shared" si="18"/>
        <v/>
      </c>
      <c r="Z54" s="5495"/>
      <c r="AA54" s="7924" t="str">
        <f t="shared" si="19"/>
        <v/>
      </c>
      <c r="AB54" s="5495"/>
      <c r="AC54" s="7925" t="str">
        <f t="shared" si="7"/>
        <v/>
      </c>
      <c r="AD54" s="7926"/>
      <c r="AE54" s="7926"/>
      <c r="AF54" s="7926"/>
      <c r="AG54" s="1631">
        <f t="shared" si="8"/>
        <v>0</v>
      </c>
      <c r="AH54" s="1185"/>
      <c r="AI54" s="1185" t="e">
        <f t="shared" si="5"/>
        <v>#VALUE!</v>
      </c>
      <c r="AJ54" s="1547"/>
      <c r="AK54" s="1551"/>
      <c r="AL54" s="1551"/>
      <c r="AM54" s="1549"/>
      <c r="AN54" s="1549"/>
      <c r="AO54" s="1550"/>
      <c r="AP54" s="1549"/>
      <c r="AQ54" s="1548"/>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28">
        <f>SUM(A35:A54)</f>
        <v>0</v>
      </c>
      <c r="B55" s="8047">
        <v>2</v>
      </c>
      <c r="C55" s="8036" t="s">
        <v>2579</v>
      </c>
      <c r="D55" s="8037"/>
      <c r="E55" s="8037"/>
      <c r="F55" s="8037"/>
      <c r="G55" s="8037"/>
      <c r="H55" s="8037"/>
      <c r="I55" s="8037"/>
      <c r="J55" s="8037"/>
      <c r="K55" s="8037"/>
      <c r="L55" s="8037"/>
      <c r="M55" s="8037"/>
      <c r="N55" s="8037"/>
      <c r="O55" s="8037"/>
      <c r="P55" s="8037"/>
      <c r="Q55" s="7934" t="str">
        <f>IF(A55=0,"",ROUND(SUM(Q35:Q54),0))</f>
        <v/>
      </c>
      <c r="R55" s="8039"/>
      <c r="S55" s="8039"/>
      <c r="T55" s="7935"/>
      <c r="U55" s="7934" t="str">
        <f>IF(A55=0,"",ROUND(SUM(U35:U54),0))</f>
        <v/>
      </c>
      <c r="V55" s="8017"/>
      <c r="W55" s="8017"/>
      <c r="X55" s="8018"/>
      <c r="Y55" s="8025"/>
      <c r="Z55" s="8026"/>
      <c r="AA55" s="7934" t="str">
        <f>IF(A55=0,"",ROUND(SUM(AA35:AA54),0))</f>
        <v/>
      </c>
      <c r="AB55" s="7935"/>
      <c r="AC55" s="7934" t="str">
        <f>IF(A55=0,"",ROUND(SUM(AC35:AC54),0))</f>
        <v/>
      </c>
      <c r="AD55" s="8017"/>
      <c r="AE55" s="8017"/>
      <c r="AF55" s="8017"/>
      <c r="AG55" s="1228"/>
    </row>
    <row r="56" spans="1:55" ht="11.25" customHeight="1">
      <c r="A56" s="1228"/>
      <c r="B56" s="8048"/>
      <c r="C56" s="8038"/>
      <c r="D56" s="8038"/>
      <c r="E56" s="8038"/>
      <c r="F56" s="8038"/>
      <c r="G56" s="8038"/>
      <c r="H56" s="8038"/>
      <c r="I56" s="8038"/>
      <c r="J56" s="8038"/>
      <c r="K56" s="8038"/>
      <c r="L56" s="8038"/>
      <c r="M56" s="8038"/>
      <c r="N56" s="8038"/>
      <c r="O56" s="8038"/>
      <c r="P56" s="8038"/>
      <c r="Q56" s="7936"/>
      <c r="R56" s="8040"/>
      <c r="S56" s="8040"/>
      <c r="T56" s="7937"/>
      <c r="U56" s="8019"/>
      <c r="V56" s="8020"/>
      <c r="W56" s="8020"/>
      <c r="X56" s="8021"/>
      <c r="Y56" s="8027"/>
      <c r="Z56" s="8028"/>
      <c r="AA56" s="7936"/>
      <c r="AB56" s="7937"/>
      <c r="AC56" s="8019"/>
      <c r="AD56" s="8020"/>
      <c r="AE56" s="8020"/>
      <c r="AF56" s="8020"/>
      <c r="AG56" s="1228"/>
    </row>
    <row r="57" spans="1:55" ht="11.25" customHeight="1">
      <c r="A57" s="1228"/>
      <c r="B57" s="8048"/>
      <c r="C57" s="8038"/>
      <c r="D57" s="8038"/>
      <c r="E57" s="8038"/>
      <c r="F57" s="8038"/>
      <c r="G57" s="8038"/>
      <c r="H57" s="8038"/>
      <c r="I57" s="8038"/>
      <c r="J57" s="8038"/>
      <c r="K57" s="8038"/>
      <c r="L57" s="8038"/>
      <c r="M57" s="8038"/>
      <c r="N57" s="8038"/>
      <c r="O57" s="8038"/>
      <c r="P57" s="8038"/>
      <c r="Q57" s="7936"/>
      <c r="R57" s="8040"/>
      <c r="S57" s="8040"/>
      <c r="T57" s="7937"/>
      <c r="U57" s="8019"/>
      <c r="V57" s="8020"/>
      <c r="W57" s="8020"/>
      <c r="X57" s="8021"/>
      <c r="Y57" s="8027"/>
      <c r="Z57" s="8028"/>
      <c r="AA57" s="7936"/>
      <c r="AB57" s="7937"/>
      <c r="AC57" s="8019"/>
      <c r="AD57" s="8020"/>
      <c r="AE57" s="8020"/>
      <c r="AF57" s="8020"/>
      <c r="AG57" s="1228"/>
    </row>
    <row r="58" spans="1:55" ht="11.25" customHeight="1">
      <c r="A58" s="1228"/>
      <c r="B58" s="8048"/>
      <c r="C58" s="8038"/>
      <c r="D58" s="8038"/>
      <c r="E58" s="8038"/>
      <c r="F58" s="8038"/>
      <c r="G58" s="8038"/>
      <c r="H58" s="8038"/>
      <c r="I58" s="8038"/>
      <c r="J58" s="8038"/>
      <c r="K58" s="8038"/>
      <c r="L58" s="8038"/>
      <c r="M58" s="8038"/>
      <c r="N58" s="8038"/>
      <c r="O58" s="8038"/>
      <c r="P58" s="8038"/>
      <c r="Q58" s="7936"/>
      <c r="R58" s="8040"/>
      <c r="S58" s="8040"/>
      <c r="T58" s="7937"/>
      <c r="U58" s="8019"/>
      <c r="V58" s="8020"/>
      <c r="W58" s="8020"/>
      <c r="X58" s="8021"/>
      <c r="Y58" s="8027"/>
      <c r="Z58" s="8028"/>
      <c r="AA58" s="7936"/>
      <c r="AB58" s="7937"/>
      <c r="AC58" s="8019"/>
      <c r="AD58" s="8020"/>
      <c r="AE58" s="8020"/>
      <c r="AF58" s="8020"/>
      <c r="AG58" s="1228"/>
    </row>
    <row r="59" spans="1:55" ht="9" customHeight="1">
      <c r="A59" s="1228"/>
      <c r="B59" s="8048"/>
      <c r="C59" s="8038"/>
      <c r="D59" s="8038"/>
      <c r="E59" s="8038"/>
      <c r="F59" s="8038"/>
      <c r="G59" s="8038"/>
      <c r="H59" s="8038"/>
      <c r="I59" s="8038"/>
      <c r="J59" s="8038"/>
      <c r="K59" s="8038"/>
      <c r="L59" s="8038"/>
      <c r="M59" s="8038"/>
      <c r="N59" s="8038"/>
      <c r="O59" s="8038"/>
      <c r="P59" s="8038"/>
      <c r="Q59" s="7936"/>
      <c r="R59" s="8040"/>
      <c r="S59" s="8040"/>
      <c r="T59" s="7937"/>
      <c r="U59" s="8044"/>
      <c r="V59" s="8045"/>
      <c r="W59" s="8045"/>
      <c r="X59" s="8046"/>
      <c r="Y59" s="8029"/>
      <c r="Z59" s="8030"/>
      <c r="AA59" s="7938"/>
      <c r="AB59" s="7939"/>
      <c r="AC59" s="8019"/>
      <c r="AD59" s="8020"/>
      <c r="AE59" s="8020"/>
      <c r="AF59" s="8020"/>
      <c r="AG59" s="1228"/>
    </row>
    <row r="60" spans="1:55" ht="25.5" customHeight="1" thickBot="1">
      <c r="A60" s="1228"/>
      <c r="B60" s="8041" t="s">
        <v>4200</v>
      </c>
      <c r="C60" s="8042"/>
      <c r="D60" s="8042"/>
      <c r="E60" s="8042"/>
      <c r="F60" s="8042"/>
      <c r="G60" s="8042"/>
      <c r="H60" s="8042"/>
      <c r="I60" s="8042"/>
      <c r="J60" s="8042"/>
      <c r="K60" s="8042"/>
      <c r="L60" s="8042"/>
      <c r="M60" s="8042"/>
      <c r="N60" s="8042"/>
      <c r="O60" s="8042"/>
      <c r="P60" s="8042"/>
      <c r="Q60" s="8042"/>
      <c r="R60" s="8042"/>
      <c r="S60" s="8042"/>
      <c r="T60" s="8042"/>
      <c r="U60" s="8043"/>
      <c r="V60" s="8043"/>
      <c r="W60" s="8043"/>
      <c r="X60" s="8043"/>
      <c r="Y60" s="8042"/>
      <c r="Z60" s="8042"/>
      <c r="AA60" s="8042"/>
      <c r="AB60" s="8042"/>
      <c r="AC60" s="8042"/>
      <c r="AD60" s="8042"/>
      <c r="AE60" s="8042"/>
      <c r="AF60" s="8042"/>
      <c r="AG60" s="1228"/>
      <c r="AJ60" s="1075"/>
    </row>
    <row r="61" spans="1:55" ht="16.5" thickTop="1">
      <c r="A61" s="1228"/>
      <c r="B61" s="636" t="s">
        <v>564</v>
      </c>
      <c r="C61" s="24"/>
      <c r="D61" s="24"/>
      <c r="E61" s="24"/>
      <c r="F61" s="24"/>
      <c r="G61" s="24"/>
      <c r="H61" s="24"/>
      <c r="I61" s="24"/>
      <c r="J61" s="24"/>
      <c r="K61" s="24"/>
      <c r="L61" s="24"/>
      <c r="M61" s="24"/>
      <c r="N61" s="24"/>
      <c r="O61" s="24"/>
      <c r="P61" s="24"/>
      <c r="Q61" s="24"/>
      <c r="R61" s="24"/>
      <c r="S61" s="24"/>
      <c r="T61" s="24"/>
      <c r="U61" s="538" t="s">
        <v>734</v>
      </c>
      <c r="V61" s="24"/>
      <c r="W61" s="24"/>
      <c r="X61" s="24"/>
      <c r="Y61" s="24"/>
      <c r="Z61" s="24"/>
      <c r="AA61" s="24"/>
      <c r="AB61" s="24"/>
      <c r="AC61" s="24"/>
      <c r="AD61" s="1127" t="s">
        <v>761</v>
      </c>
      <c r="AE61" s="24"/>
      <c r="AF61" s="4609" t="str">
        <f>"("&amp;TaxYear&amp;")"</f>
        <v>(2018)</v>
      </c>
      <c r="AG61" s="1228"/>
    </row>
    <row r="62" spans="1:55" ht="15.75">
      <c r="A62" s="1228"/>
      <c r="B62" s="35" t="str">
        <f>"Form 8949 ("&amp;TaxYear&amp;")"</f>
        <v>Form 8949 (2018)</v>
      </c>
      <c r="C62" s="45"/>
      <c r="D62" s="45"/>
      <c r="E62" s="45"/>
      <c r="F62" s="45"/>
      <c r="G62" s="45"/>
      <c r="H62" s="45"/>
      <c r="I62" s="45"/>
      <c r="J62" s="45"/>
      <c r="K62" s="45"/>
      <c r="L62" s="45"/>
      <c r="M62" s="45"/>
      <c r="N62" s="45"/>
      <c r="O62" s="45"/>
      <c r="P62" s="45"/>
      <c r="Q62" s="45"/>
      <c r="R62" s="45"/>
      <c r="S62" s="45"/>
      <c r="T62" s="45"/>
      <c r="U62" s="45"/>
      <c r="V62" s="35" t="s">
        <v>736</v>
      </c>
      <c r="W62" s="45"/>
      <c r="X62" s="45"/>
      <c r="Y62" s="45"/>
      <c r="Z62" s="45"/>
      <c r="AA62" s="45"/>
      <c r="AB62" s="45"/>
      <c r="AC62" s="45"/>
      <c r="AD62" s="45"/>
      <c r="AE62" s="45"/>
      <c r="AF62" s="1188" t="s">
        <v>182</v>
      </c>
      <c r="AG62" s="1228"/>
    </row>
    <row r="63" spans="1:55">
      <c r="A63" s="1228"/>
      <c r="B63" s="32" t="s">
        <v>63</v>
      </c>
      <c r="C63" s="24"/>
      <c r="D63" s="24"/>
      <c r="E63" s="24"/>
      <c r="F63" s="24"/>
      <c r="G63" s="24"/>
      <c r="H63" s="24"/>
      <c r="I63" s="24"/>
      <c r="J63" s="24"/>
      <c r="K63" s="24"/>
      <c r="L63" s="24"/>
      <c r="M63" s="24"/>
      <c r="N63" s="24"/>
      <c r="O63" s="24"/>
      <c r="P63" s="24"/>
      <c r="Q63" s="24"/>
      <c r="R63" s="24"/>
      <c r="S63" s="24"/>
      <c r="T63" s="24"/>
      <c r="U63" s="24"/>
      <c r="V63" s="1546" t="s">
        <v>899</v>
      </c>
      <c r="W63" s="24"/>
      <c r="X63" s="24"/>
      <c r="Y63" s="24"/>
      <c r="Z63" s="37"/>
      <c r="AA63" s="24"/>
      <c r="AB63" s="24"/>
      <c r="AC63" s="24"/>
      <c r="AD63" s="24"/>
      <c r="AE63" s="24"/>
      <c r="AF63" s="24"/>
      <c r="AG63" s="1228"/>
    </row>
    <row r="64" spans="1:55" ht="16.5" thickBot="1">
      <c r="A64" s="1228"/>
      <c r="B64" s="7970" t="str">
        <f>Names</f>
        <v/>
      </c>
      <c r="C64" s="7971"/>
      <c r="D64" s="7971"/>
      <c r="E64" s="7971"/>
      <c r="F64" s="7971"/>
      <c r="G64" s="7971"/>
      <c r="H64" s="7971"/>
      <c r="I64" s="7971"/>
      <c r="J64" s="7971"/>
      <c r="K64" s="7971"/>
      <c r="L64" s="7971"/>
      <c r="M64" s="7971"/>
      <c r="N64" s="7971"/>
      <c r="O64" s="7971"/>
      <c r="P64" s="7971"/>
      <c r="Q64" s="7971"/>
      <c r="R64" s="7971"/>
      <c r="S64" s="7971"/>
      <c r="T64" s="7971"/>
      <c r="U64" s="7972"/>
      <c r="V64" s="7968">
        <f>SS_Yours</f>
        <v>0</v>
      </c>
      <c r="W64" s="7969"/>
      <c r="X64" s="7969"/>
      <c r="Y64" s="7969"/>
      <c r="Z64" s="7969"/>
      <c r="AA64" s="7969"/>
      <c r="AB64" s="7969"/>
      <c r="AC64" s="7969"/>
      <c r="AD64" s="7969"/>
      <c r="AE64" s="7969"/>
      <c r="AF64" s="7969"/>
      <c r="AG64" s="1228"/>
    </row>
    <row r="65" spans="1:55" ht="12.75" customHeight="1">
      <c r="A65" s="1228"/>
      <c r="B65" s="8031" t="s">
        <v>2586</v>
      </c>
      <c r="C65" s="8032"/>
      <c r="D65" s="8032"/>
      <c r="E65" s="8032"/>
      <c r="F65" s="8032"/>
      <c r="G65" s="8032"/>
      <c r="H65" s="8032"/>
      <c r="I65" s="8032"/>
      <c r="J65" s="8032"/>
      <c r="K65" s="8032"/>
      <c r="L65" s="8032"/>
      <c r="M65" s="8032"/>
      <c r="N65" s="8032"/>
      <c r="O65" s="8032"/>
      <c r="P65" s="8032"/>
      <c r="Q65" s="8032"/>
      <c r="R65" s="8032"/>
      <c r="S65" s="8032"/>
      <c r="T65" s="8032"/>
      <c r="U65" s="8032"/>
      <c r="V65" s="8032"/>
      <c r="W65" s="8032"/>
      <c r="X65" s="8032"/>
      <c r="Y65" s="8032"/>
      <c r="Z65" s="8032"/>
      <c r="AA65" s="8032"/>
      <c r="AB65" s="8032"/>
      <c r="AC65" s="8032"/>
      <c r="AD65" s="8032"/>
      <c r="AE65" s="8032"/>
      <c r="AF65" s="8032"/>
      <c r="AG65" s="1228"/>
    </row>
    <row r="66" spans="1:55" ht="12.75" customHeight="1">
      <c r="A66" s="1228"/>
      <c r="B66" s="6088"/>
      <c r="C66" s="6088"/>
      <c r="D66" s="6088"/>
      <c r="E66" s="6088"/>
      <c r="F66" s="6088"/>
      <c r="G66" s="6088"/>
      <c r="H66" s="6088"/>
      <c r="I66" s="6088"/>
      <c r="J66" s="6088"/>
      <c r="K66" s="6088"/>
      <c r="L66" s="6088"/>
      <c r="M66" s="6088"/>
      <c r="N66" s="6088"/>
      <c r="O66" s="6088"/>
      <c r="P66" s="6088"/>
      <c r="Q66" s="6088"/>
      <c r="R66" s="6088"/>
      <c r="S66" s="6088"/>
      <c r="T66" s="6088"/>
      <c r="U66" s="6088"/>
      <c r="V66" s="6088"/>
      <c r="W66" s="6088"/>
      <c r="X66" s="6088"/>
      <c r="Y66" s="6088"/>
      <c r="Z66" s="6088"/>
      <c r="AA66" s="6088"/>
      <c r="AB66" s="6088"/>
      <c r="AC66" s="6088"/>
      <c r="AD66" s="6088"/>
      <c r="AE66" s="6088"/>
      <c r="AF66" s="6088"/>
      <c r="AG66" s="1228"/>
    </row>
    <row r="67" spans="1:55" ht="12.75" customHeight="1">
      <c r="A67" s="1228"/>
      <c r="B67" s="5809"/>
      <c r="C67" s="5809"/>
      <c r="D67" s="5809"/>
      <c r="E67" s="5809"/>
      <c r="F67" s="5809"/>
      <c r="G67" s="5809"/>
      <c r="H67" s="5809"/>
      <c r="I67" s="5809"/>
      <c r="J67" s="5809"/>
      <c r="K67" s="5809"/>
      <c r="L67" s="5809"/>
      <c r="M67" s="5809"/>
      <c r="N67" s="5809"/>
      <c r="O67" s="5809"/>
      <c r="P67" s="5809"/>
      <c r="Q67" s="5809"/>
      <c r="R67" s="5809"/>
      <c r="S67" s="5809"/>
      <c r="T67" s="5809"/>
      <c r="U67" s="5809"/>
      <c r="V67" s="5809"/>
      <c r="W67" s="5809"/>
      <c r="X67" s="5809"/>
      <c r="Y67" s="5809"/>
      <c r="Z67" s="5809"/>
      <c r="AA67" s="5809"/>
      <c r="AB67" s="5809"/>
      <c r="AC67" s="5809"/>
      <c r="AD67" s="5809"/>
      <c r="AE67" s="5809"/>
      <c r="AF67" s="5809"/>
      <c r="AG67" s="1228"/>
    </row>
    <row r="68" spans="1:55" ht="3.75" customHeight="1">
      <c r="A68" s="1228"/>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28"/>
    </row>
    <row r="69" spans="1:55" ht="15">
      <c r="A69" s="1228"/>
      <c r="B69" s="7978" t="s">
        <v>130</v>
      </c>
      <c r="C69" s="5615"/>
      <c r="D69" s="24"/>
      <c r="E69" s="354" t="s">
        <v>2577</v>
      </c>
      <c r="F69" s="423"/>
      <c r="G69" s="423"/>
      <c r="H69" s="423"/>
      <c r="I69" s="423"/>
      <c r="J69" s="423"/>
      <c r="K69" s="423"/>
      <c r="L69" s="423"/>
      <c r="M69" s="423"/>
      <c r="N69" s="423"/>
      <c r="O69" s="423"/>
      <c r="P69" s="354"/>
      <c r="Q69" s="423"/>
      <c r="R69" s="423"/>
      <c r="S69" s="423"/>
      <c r="T69" s="423" t="s">
        <v>2576</v>
      </c>
      <c r="U69" s="423"/>
      <c r="V69" s="423"/>
      <c r="W69" s="423"/>
      <c r="X69" s="423"/>
      <c r="Y69" s="423" t="s">
        <v>4202</v>
      </c>
      <c r="Z69" s="423"/>
      <c r="AA69" s="423"/>
      <c r="AB69" s="423"/>
      <c r="AC69" s="423"/>
      <c r="AD69" s="423"/>
      <c r="AE69" s="423"/>
      <c r="AF69" s="423"/>
      <c r="AG69" s="1228" t="b">
        <f>IF(SUM(AG88:AG115)&gt;0,TRUE,FALSE)</f>
        <v>0</v>
      </c>
    </row>
    <row r="70" spans="1:55" ht="11.25" customHeight="1">
      <c r="A70" s="1228"/>
      <c r="B70" s="24"/>
      <c r="C70" s="24"/>
      <c r="D70" s="24"/>
      <c r="E70" s="423" t="s">
        <v>4203</v>
      </c>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1228"/>
    </row>
    <row r="71" spans="1:55" s="269" customFormat="1" ht="13.5" customHeight="1">
      <c r="A71" s="3246"/>
      <c r="B71" s="423"/>
      <c r="C71" s="423"/>
      <c r="D71" s="423"/>
      <c r="E71" s="3247" t="s">
        <v>2578</v>
      </c>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3246"/>
      <c r="AH71" s="1067"/>
      <c r="AI71" s="1067"/>
    </row>
    <row r="72" spans="1:55" s="269" customFormat="1" ht="13.5" customHeight="1">
      <c r="A72" s="3246"/>
      <c r="B72" s="423"/>
      <c r="C72" s="423"/>
      <c r="D72" s="423"/>
      <c r="E72" s="423" t="s">
        <v>1014</v>
      </c>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3246"/>
      <c r="AH72" s="1067"/>
      <c r="AI72" s="1067"/>
    </row>
    <row r="73" spans="1:55" s="269" customFormat="1" ht="13.5" customHeight="1">
      <c r="A73" s="3246"/>
      <c r="B73" s="3248"/>
      <c r="C73" s="3248"/>
      <c r="D73" s="3248"/>
      <c r="E73" s="3248" t="s">
        <v>4204</v>
      </c>
      <c r="F73" s="3248"/>
      <c r="G73" s="3248"/>
      <c r="H73" s="3248"/>
      <c r="I73" s="3248"/>
      <c r="J73" s="3248"/>
      <c r="K73" s="3248"/>
      <c r="L73" s="3248"/>
      <c r="M73" s="3248"/>
      <c r="N73" s="3248"/>
      <c r="O73" s="3248"/>
      <c r="P73" s="3248"/>
      <c r="Q73" s="3248"/>
      <c r="R73" s="3248"/>
      <c r="S73" s="3248"/>
      <c r="T73" s="3248"/>
      <c r="U73" s="3248"/>
      <c r="V73" s="3248"/>
      <c r="W73" s="3248"/>
      <c r="X73" s="3248"/>
      <c r="Y73" s="3248"/>
      <c r="Z73" s="3248"/>
      <c r="AA73" s="3248"/>
      <c r="AB73" s="3248"/>
      <c r="AC73" s="3248"/>
      <c r="AD73" s="3248"/>
      <c r="AE73" s="3248"/>
      <c r="AF73" s="3248"/>
      <c r="AG73" s="3246"/>
      <c r="AH73" s="1067"/>
      <c r="AI73" s="1067"/>
    </row>
    <row r="74" spans="1:55">
      <c r="A74" s="1228"/>
      <c r="B74" s="286" t="s">
        <v>1015</v>
      </c>
      <c r="C74" s="60"/>
      <c r="D74" s="60"/>
      <c r="E74" s="60"/>
      <c r="F74" s="60"/>
      <c r="G74" s="60"/>
      <c r="H74" s="60"/>
      <c r="I74" s="60"/>
      <c r="J74" s="60"/>
      <c r="K74" s="286" t="s">
        <v>887</v>
      </c>
      <c r="L74" s="60"/>
      <c r="M74" s="60"/>
      <c r="N74" s="60"/>
      <c r="O74" s="60"/>
      <c r="P74" s="74" t="s">
        <v>889</v>
      </c>
      <c r="Q74" s="60"/>
      <c r="R74" s="60"/>
      <c r="S74" s="60"/>
      <c r="T74" s="60"/>
      <c r="U74" s="60"/>
      <c r="V74" s="60"/>
      <c r="W74" s="60"/>
      <c r="X74" s="60"/>
      <c r="Y74" s="60"/>
      <c r="Z74" s="60"/>
      <c r="AA74" s="60"/>
      <c r="AB74" s="60"/>
      <c r="AC74" s="60"/>
      <c r="AD74" s="60"/>
      <c r="AE74" s="60"/>
      <c r="AF74" s="60"/>
      <c r="AG74" s="1228"/>
    </row>
    <row r="75" spans="1:55">
      <c r="A75" s="1228"/>
      <c r="B75" s="74" t="s">
        <v>890</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28"/>
      <c r="BA75" s="7953" t="s">
        <v>957</v>
      </c>
      <c r="BB75" s="6273"/>
      <c r="BC75" s="6185"/>
    </row>
    <row r="76" spans="1:55">
      <c r="A76" s="1228"/>
      <c r="B76" s="74" t="s">
        <v>891</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28"/>
      <c r="BA76" s="7954" t="s">
        <v>956</v>
      </c>
      <c r="BB76" s="7954" t="s">
        <v>947</v>
      </c>
      <c r="BC76" s="7954" t="s">
        <v>948</v>
      </c>
    </row>
    <row r="77" spans="1:55" ht="4.5" customHeight="1" thickBot="1">
      <c r="A77" s="1228"/>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28"/>
      <c r="BA77" s="7955"/>
      <c r="BB77" s="7955"/>
      <c r="BC77" s="7955"/>
    </row>
    <row r="78" spans="1:55" ht="12" customHeight="1" thickBot="1">
      <c r="A78" s="1228"/>
      <c r="B78" s="1588">
        <f>IF(C78&lt;&gt;"",1,0)</f>
        <v>0</v>
      </c>
      <c r="C78" s="1587"/>
      <c r="D78" s="1085" t="s">
        <v>4205</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28"/>
      <c r="AJ78" s="7948"/>
      <c r="AK78" s="7949"/>
      <c r="AL78" s="7949"/>
      <c r="AM78" s="7949"/>
      <c r="AN78" s="7949"/>
      <c r="AO78" s="7949"/>
      <c r="AP78" s="7949"/>
      <c r="AQ78" s="7949"/>
      <c r="BA78" s="7955"/>
      <c r="BB78" s="7955"/>
      <c r="BC78" s="7955"/>
    </row>
    <row r="79" spans="1:55" ht="4.5" customHeight="1" thickBot="1">
      <c r="A79" s="1228"/>
      <c r="B79" s="1545"/>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28"/>
      <c r="BA79" s="7955"/>
      <c r="BB79" s="7955"/>
      <c r="BC79" s="7955"/>
    </row>
    <row r="80" spans="1:55" ht="11.25" customHeight="1" thickBot="1">
      <c r="A80" s="1228"/>
      <c r="B80" s="1588">
        <f>IF(C80&lt;&gt;"",1,0)</f>
        <v>0</v>
      </c>
      <c r="C80" s="1587"/>
      <c r="D80" s="1085" t="s">
        <v>4206</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228"/>
      <c r="AJ80" s="7948"/>
      <c r="AK80" s="7949"/>
      <c r="AL80" s="7949"/>
      <c r="AM80" s="7949"/>
      <c r="AN80" s="7949"/>
      <c r="AO80" s="7949"/>
      <c r="AP80" s="7949"/>
      <c r="AQ80" s="7949"/>
      <c r="BA80" s="7955"/>
      <c r="BB80" s="7955"/>
      <c r="BC80" s="7955"/>
    </row>
    <row r="81" spans="1:55" ht="4.5" customHeight="1" thickBot="1">
      <c r="A81" s="1228"/>
      <c r="B81" s="1545"/>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228"/>
      <c r="BA81" s="7955"/>
      <c r="BB81" s="7955"/>
      <c r="BC81" s="7955"/>
    </row>
    <row r="82" spans="1:55" ht="12" customHeight="1" thickBot="1">
      <c r="A82" s="1228">
        <f>SUM(B78:B82)</f>
        <v>0</v>
      </c>
      <c r="B82" s="1588">
        <f>IF(C82&lt;&gt;"",1,0)</f>
        <v>0</v>
      </c>
      <c r="C82" s="1587"/>
      <c r="D82" s="1085" t="s">
        <v>4207</v>
      </c>
      <c r="E82" s="60"/>
      <c r="F82" s="60"/>
      <c r="G82" s="60"/>
      <c r="H82" s="60"/>
      <c r="I82" s="60"/>
      <c r="J82" s="60"/>
      <c r="K82" s="60"/>
      <c r="L82" s="60"/>
      <c r="M82" s="60"/>
      <c r="N82" s="60"/>
      <c r="O82" s="60"/>
      <c r="P82" s="60"/>
      <c r="Q82" s="60"/>
      <c r="R82" s="7940" t="str">
        <f>IF(SpaceUsed_8949C_LT,"ERROR: DO NOT use the space bar to uncheck a box. Use the 'Delete' key.",IF(A82&gt;1,"Check only ONE box.",IF(A82&gt;0,"",IF(A82&lt;1,"Check ONE box.",""))))</f>
        <v>Check ONE box.</v>
      </c>
      <c r="S82" s="7941"/>
      <c r="T82" s="7941"/>
      <c r="U82" s="7941"/>
      <c r="V82" s="7941"/>
      <c r="W82" s="7941"/>
      <c r="X82" s="7941"/>
      <c r="Y82" s="7941"/>
      <c r="Z82" s="7941"/>
      <c r="AA82" s="7941"/>
      <c r="AB82" s="7941"/>
      <c r="AC82" s="7941"/>
      <c r="AD82" s="7941"/>
      <c r="AE82" s="7941"/>
      <c r="AF82" s="60"/>
      <c r="AG82" s="1228"/>
      <c r="AH82" s="1786" t="b">
        <f>IF(OR(F8949CLBOXA=CHAR(32),F8949CLBOXB=CHAR(32),F8949CLBOXC=CHAR(32)),TRUE,FALSE)</f>
        <v>0</v>
      </c>
      <c r="AJ82" s="7956" t="s">
        <v>3403</v>
      </c>
      <c r="AK82" s="7949"/>
      <c r="AL82" s="7949"/>
      <c r="AM82" s="7949"/>
      <c r="AN82" s="7949"/>
      <c r="AO82" s="7949"/>
      <c r="AP82" s="7949"/>
      <c r="AQ82" s="7949"/>
      <c r="BA82" s="7955"/>
      <c r="BB82" s="7955"/>
      <c r="BC82" s="7955"/>
    </row>
    <row r="83" spans="1:55" ht="3.75" customHeight="1">
      <c r="A83" s="1228"/>
      <c r="B83" s="287"/>
      <c r="C83" s="1187"/>
      <c r="D83" s="287"/>
      <c r="E83" s="287"/>
      <c r="F83" s="287"/>
      <c r="G83" s="287"/>
      <c r="H83" s="287"/>
      <c r="I83" s="287"/>
      <c r="J83" s="287"/>
      <c r="K83" s="287"/>
      <c r="L83" s="287"/>
      <c r="M83" s="287"/>
      <c r="N83" s="1187"/>
      <c r="O83" s="287"/>
      <c r="P83" s="287"/>
      <c r="Q83" s="287"/>
      <c r="R83" s="287"/>
      <c r="S83" s="287"/>
      <c r="T83" s="287"/>
      <c r="U83" s="287"/>
      <c r="V83" s="287"/>
      <c r="W83" s="287"/>
      <c r="X83" s="287"/>
      <c r="Y83" s="1187"/>
      <c r="Z83" s="287"/>
      <c r="AA83" s="287"/>
      <c r="AB83" s="287"/>
      <c r="AC83" s="287"/>
      <c r="AD83" s="287"/>
      <c r="AE83" s="287"/>
      <c r="AF83" s="287"/>
      <c r="AG83" s="1228"/>
      <c r="BA83" s="7955"/>
      <c r="BB83" s="7955"/>
      <c r="BC83" s="7955"/>
    </row>
    <row r="84" spans="1:55" ht="21" customHeight="1">
      <c r="A84" s="1228"/>
      <c r="B84" s="7979">
        <v>1</v>
      </c>
      <c r="C84" s="7985" t="s">
        <v>733</v>
      </c>
      <c r="D84" s="7986"/>
      <c r="E84" s="7986"/>
      <c r="F84" s="7986"/>
      <c r="G84" s="7986"/>
      <c r="H84" s="7986"/>
      <c r="I84" s="7987"/>
      <c r="J84" s="8002" t="s">
        <v>4209</v>
      </c>
      <c r="K84" s="6365"/>
      <c r="L84" s="6149"/>
      <c r="M84" s="8002" t="s">
        <v>893</v>
      </c>
      <c r="N84" s="6365"/>
      <c r="O84" s="6365"/>
      <c r="P84" s="6149"/>
      <c r="Q84" s="8002" t="s">
        <v>894</v>
      </c>
      <c r="R84" s="6365"/>
      <c r="S84" s="6365"/>
      <c r="T84" s="6149"/>
      <c r="U84" s="7927" t="s">
        <v>898</v>
      </c>
      <c r="V84" s="7928"/>
      <c r="W84" s="7928"/>
      <c r="X84" s="7999"/>
      <c r="Y84" s="7993" t="s">
        <v>4208</v>
      </c>
      <c r="Z84" s="7994"/>
      <c r="AA84" s="7994"/>
      <c r="AB84" s="7995"/>
      <c r="AC84" s="7927" t="s">
        <v>897</v>
      </c>
      <c r="AD84" s="7928"/>
      <c r="AE84" s="7928"/>
      <c r="AF84" s="7928"/>
      <c r="AG84" s="1228"/>
      <c r="AJ84" s="7946" t="s">
        <v>870</v>
      </c>
      <c r="AK84" s="7946" t="s">
        <v>900</v>
      </c>
      <c r="AL84" s="7946" t="s">
        <v>901</v>
      </c>
      <c r="AM84" s="7946" t="s">
        <v>902</v>
      </c>
      <c r="AN84" s="7944" t="s">
        <v>903</v>
      </c>
      <c r="AO84" s="7950" t="s">
        <v>895</v>
      </c>
      <c r="AP84" s="6115"/>
      <c r="AQ84" s="7946" t="s">
        <v>905</v>
      </c>
      <c r="BA84" s="7955"/>
      <c r="BB84" s="7955"/>
      <c r="BC84" s="7955"/>
    </row>
    <row r="85" spans="1:55" ht="21" customHeight="1">
      <c r="A85" s="1228"/>
      <c r="B85" s="7980"/>
      <c r="C85" s="7988"/>
      <c r="D85" s="7989"/>
      <c r="E85" s="7989"/>
      <c r="F85" s="7989"/>
      <c r="G85" s="7989"/>
      <c r="H85" s="7989"/>
      <c r="I85" s="7990"/>
      <c r="J85" s="8003"/>
      <c r="K85" s="7268"/>
      <c r="L85" s="6151"/>
      <c r="M85" s="8003"/>
      <c r="N85" s="7268"/>
      <c r="O85" s="7268"/>
      <c r="P85" s="6151"/>
      <c r="Q85" s="8003"/>
      <c r="R85" s="7268"/>
      <c r="S85" s="7268"/>
      <c r="T85" s="6151"/>
      <c r="U85" s="7929"/>
      <c r="V85" s="7930"/>
      <c r="W85" s="7930"/>
      <c r="X85" s="8000"/>
      <c r="Y85" s="7996"/>
      <c r="Z85" s="7997"/>
      <c r="AA85" s="7997"/>
      <c r="AB85" s="7998"/>
      <c r="AC85" s="7929"/>
      <c r="AD85" s="7930"/>
      <c r="AE85" s="7930"/>
      <c r="AF85" s="7930"/>
      <c r="AG85" s="1228"/>
      <c r="AJ85" s="7946"/>
      <c r="AK85" s="7946"/>
      <c r="AL85" s="7946"/>
      <c r="AM85" s="7946"/>
      <c r="AN85" s="7944"/>
      <c r="AO85" s="6250"/>
      <c r="AP85" s="6120"/>
      <c r="AQ85" s="7946"/>
      <c r="BA85" s="7955"/>
      <c r="BB85" s="7955"/>
      <c r="BC85" s="7955"/>
    </row>
    <row r="86" spans="1:55" ht="18" customHeight="1">
      <c r="A86" s="1228"/>
      <c r="B86" s="5646"/>
      <c r="C86" s="7989"/>
      <c r="D86" s="7989"/>
      <c r="E86" s="7989"/>
      <c r="F86" s="7989"/>
      <c r="G86" s="7989"/>
      <c r="H86" s="7989"/>
      <c r="I86" s="7990"/>
      <c r="J86" s="6150"/>
      <c r="K86" s="7268"/>
      <c r="L86" s="6151"/>
      <c r="M86" s="6150"/>
      <c r="N86" s="7268"/>
      <c r="O86" s="7268"/>
      <c r="P86" s="6151"/>
      <c r="Q86" s="6150"/>
      <c r="R86" s="7268"/>
      <c r="S86" s="7268"/>
      <c r="T86" s="6151"/>
      <c r="U86" s="7931"/>
      <c r="V86" s="7930"/>
      <c r="W86" s="7930"/>
      <c r="X86" s="8000"/>
      <c r="Y86" s="6310" t="s">
        <v>4210</v>
      </c>
      <c r="Z86" s="6149"/>
      <c r="AA86" s="6310" t="s">
        <v>896</v>
      </c>
      <c r="AB86" s="6244"/>
      <c r="AC86" s="7931"/>
      <c r="AD86" s="7930"/>
      <c r="AE86" s="7930"/>
      <c r="AF86" s="7930"/>
      <c r="AG86" s="1228"/>
      <c r="AJ86" s="7947"/>
      <c r="AK86" s="7947"/>
      <c r="AL86" s="7947"/>
      <c r="AM86" s="7947"/>
      <c r="AN86" s="7945"/>
      <c r="AO86" s="7952" t="s">
        <v>904</v>
      </c>
      <c r="AP86" s="6223" t="s">
        <v>896</v>
      </c>
      <c r="AQ86" s="7947"/>
      <c r="BA86" s="7955"/>
      <c r="BB86" s="7955"/>
      <c r="BC86" s="7955"/>
    </row>
    <row r="87" spans="1:55" ht="18" customHeight="1">
      <c r="A87" s="1228"/>
      <c r="B87" s="7981"/>
      <c r="C87" s="7991"/>
      <c r="D87" s="7991"/>
      <c r="E87" s="7991"/>
      <c r="F87" s="7991"/>
      <c r="G87" s="7991"/>
      <c r="H87" s="7991"/>
      <c r="I87" s="7992"/>
      <c r="J87" s="6152"/>
      <c r="K87" s="8004"/>
      <c r="L87" s="6153"/>
      <c r="M87" s="6152"/>
      <c r="N87" s="8004"/>
      <c r="O87" s="8004"/>
      <c r="P87" s="6153"/>
      <c r="Q87" s="6152"/>
      <c r="R87" s="8004"/>
      <c r="S87" s="8004"/>
      <c r="T87" s="6153"/>
      <c r="U87" s="7932"/>
      <c r="V87" s="7933"/>
      <c r="W87" s="7933"/>
      <c r="X87" s="8001"/>
      <c r="Y87" s="6152"/>
      <c r="Z87" s="6153"/>
      <c r="AA87" s="5580"/>
      <c r="AB87" s="6246"/>
      <c r="AC87" s="7932"/>
      <c r="AD87" s="7933"/>
      <c r="AE87" s="7933"/>
      <c r="AF87" s="7933"/>
      <c r="AG87" s="1228"/>
      <c r="AJ87" s="7947"/>
      <c r="AK87" s="7947"/>
      <c r="AL87" s="7947"/>
      <c r="AM87" s="7947"/>
      <c r="AN87" s="7945"/>
      <c r="AO87" s="7951"/>
      <c r="AP87" s="7951"/>
      <c r="AQ87" s="7947"/>
      <c r="BA87" s="7955"/>
      <c r="BB87" s="7955"/>
      <c r="BC87" s="7955"/>
    </row>
    <row r="88" spans="1:55" ht="19.5" customHeight="1">
      <c r="A88" s="1228">
        <f>IF(OR(U88&lt;&gt;"",Y88&lt;&gt;"",AC88&lt;&gt;""),1,0)</f>
        <v>0</v>
      </c>
      <c r="B88" s="7957" t="str">
        <f t="shared" ref="B88:B115" si="20">IF(AJ88="","",AJ88)</f>
        <v/>
      </c>
      <c r="C88" s="7958"/>
      <c r="D88" s="7958"/>
      <c r="E88" s="7958"/>
      <c r="F88" s="7958"/>
      <c r="G88" s="7958"/>
      <c r="H88" s="7958"/>
      <c r="I88" s="7959"/>
      <c r="J88" s="7960" t="str">
        <f t="shared" ref="J88:J115" si="21">IF(AK88="","",AK88)</f>
        <v/>
      </c>
      <c r="K88" s="7961"/>
      <c r="L88" s="7961"/>
      <c r="M88" s="7960" t="str">
        <f t="shared" ref="M88:M115" si="22">IF(AL88="","",AL88)</f>
        <v/>
      </c>
      <c r="N88" s="7961"/>
      <c r="O88" s="7961"/>
      <c r="P88" s="7962"/>
      <c r="Q88" s="5988" t="str">
        <f t="shared" ref="Q88:Q115" si="23">IF(AM88="","",AM88)</f>
        <v/>
      </c>
      <c r="R88" s="7942"/>
      <c r="S88" s="7942"/>
      <c r="T88" s="7943"/>
      <c r="U88" s="5988" t="str">
        <f t="shared" ref="U88:U115" si="24">IF(AN88="","",AN88)</f>
        <v/>
      </c>
      <c r="V88" s="7942"/>
      <c r="W88" s="7942"/>
      <c r="X88" s="7943"/>
      <c r="Y88" s="7924" t="str">
        <f>IF(AO88&lt;&gt;"",AO88,"")</f>
        <v/>
      </c>
      <c r="Z88" s="5495"/>
      <c r="AA88" s="7924" t="str">
        <f>IF(AP88="","",AP88)</f>
        <v/>
      </c>
      <c r="AB88" s="5495"/>
      <c r="AC88" s="7925" t="str">
        <f>IF(AQ88&lt;&gt;"",AQ88,IF(AND(Q88&lt;&gt;"",U88&lt;&gt;""),SUM(Q88,-U88,AA88),""))</f>
        <v/>
      </c>
      <c r="AD88" s="7926"/>
      <c r="AE88" s="7926"/>
      <c r="AF88" s="7926"/>
      <c r="AG88" s="1631">
        <f>IF(OR(J88="",M88=""),0,IF(OR(BA88,BB88,BC88),1,0))</f>
        <v>0</v>
      </c>
      <c r="AH88" s="1185"/>
      <c r="AI88" s="1185" t="e">
        <f>M88-J88</f>
        <v>#VALUE!</v>
      </c>
      <c r="AJ88" s="1547"/>
      <c r="AK88" s="1551"/>
      <c r="AL88" s="1551"/>
      <c r="AM88" s="1549"/>
      <c r="AN88" s="1549"/>
      <c r="AO88" s="1550"/>
      <c r="AP88" s="1549"/>
      <c r="AQ88" s="1548"/>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28">
        <f t="shared" ref="A89:A115" si="25">IF(OR(U89&lt;&gt;"",Y89&lt;&gt;"",AC89&lt;&gt;""),1,0)</f>
        <v>0</v>
      </c>
      <c r="B89" s="7957" t="str">
        <f t="shared" si="20"/>
        <v/>
      </c>
      <c r="C89" s="7958"/>
      <c r="D89" s="7958"/>
      <c r="E89" s="7958"/>
      <c r="F89" s="7958"/>
      <c r="G89" s="7958"/>
      <c r="H89" s="7958"/>
      <c r="I89" s="7959"/>
      <c r="J89" s="7960" t="str">
        <f t="shared" si="21"/>
        <v/>
      </c>
      <c r="K89" s="7961"/>
      <c r="L89" s="7961"/>
      <c r="M89" s="7960" t="str">
        <f t="shared" si="22"/>
        <v/>
      </c>
      <c r="N89" s="7961"/>
      <c r="O89" s="7961"/>
      <c r="P89" s="7962"/>
      <c r="Q89" s="5988" t="str">
        <f t="shared" si="23"/>
        <v/>
      </c>
      <c r="R89" s="7942"/>
      <c r="S89" s="7942"/>
      <c r="T89" s="7943"/>
      <c r="U89" s="5988" t="str">
        <f t="shared" si="24"/>
        <v/>
      </c>
      <c r="V89" s="7942"/>
      <c r="W89" s="7942"/>
      <c r="X89" s="7943"/>
      <c r="Y89" s="7924" t="str">
        <f t="shared" ref="Y89:Y115" si="26">IF(AO89&lt;&gt;"",AO89,"")</f>
        <v/>
      </c>
      <c r="Z89" s="5495"/>
      <c r="AA89" s="7924" t="str">
        <f t="shared" ref="AA89:AA115" si="27">IF(AP89="","",AP89)</f>
        <v/>
      </c>
      <c r="AB89" s="5495"/>
      <c r="AC89" s="7925" t="str">
        <f t="shared" ref="AC89:AC115" si="28">IF(AQ89&lt;&gt;"",AQ89,IF(AND(Q89&lt;&gt;"",U89&lt;&gt;""),SUM(Q89,-U89,AA89),""))</f>
        <v/>
      </c>
      <c r="AD89" s="7926"/>
      <c r="AE89" s="7926"/>
      <c r="AF89" s="7926"/>
      <c r="AG89" s="1631">
        <f t="shared" ref="AG89:AG115" si="29">IF(OR(J89="",M89=""),0,IF(OR(BA89,BB89,BC89),1,0))</f>
        <v>0</v>
      </c>
      <c r="AH89" s="1185"/>
      <c r="AI89" s="1185" t="e">
        <f t="shared" ref="AI89:AI115" si="30">M89-J89</f>
        <v>#VALUE!</v>
      </c>
      <c r="AJ89" s="1547"/>
      <c r="AK89" s="1551"/>
      <c r="AL89" s="1551"/>
      <c r="AM89" s="1549"/>
      <c r="AN89" s="1549"/>
      <c r="AO89" s="1550"/>
      <c r="AP89" s="1549"/>
      <c r="AQ89" s="1548"/>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28">
        <f t="shared" si="25"/>
        <v>0</v>
      </c>
      <c r="B90" s="7957" t="str">
        <f t="shared" si="20"/>
        <v/>
      </c>
      <c r="C90" s="7958"/>
      <c r="D90" s="7958"/>
      <c r="E90" s="7958"/>
      <c r="F90" s="7958"/>
      <c r="G90" s="7958"/>
      <c r="H90" s="7958"/>
      <c r="I90" s="7959"/>
      <c r="J90" s="7960" t="str">
        <f t="shared" si="21"/>
        <v/>
      </c>
      <c r="K90" s="7961"/>
      <c r="L90" s="7961"/>
      <c r="M90" s="7960" t="str">
        <f t="shared" si="22"/>
        <v/>
      </c>
      <c r="N90" s="7961"/>
      <c r="O90" s="7961"/>
      <c r="P90" s="7962"/>
      <c r="Q90" s="5988" t="str">
        <f t="shared" si="23"/>
        <v/>
      </c>
      <c r="R90" s="7942"/>
      <c r="S90" s="7942"/>
      <c r="T90" s="7943"/>
      <c r="U90" s="5988" t="str">
        <f t="shared" si="24"/>
        <v/>
      </c>
      <c r="V90" s="7942"/>
      <c r="W90" s="7942"/>
      <c r="X90" s="7943"/>
      <c r="Y90" s="7924" t="str">
        <f t="shared" si="26"/>
        <v/>
      </c>
      <c r="Z90" s="5495"/>
      <c r="AA90" s="7924" t="str">
        <f t="shared" si="27"/>
        <v/>
      </c>
      <c r="AB90" s="5495"/>
      <c r="AC90" s="7925" t="str">
        <f t="shared" si="28"/>
        <v/>
      </c>
      <c r="AD90" s="7926"/>
      <c r="AE90" s="7926"/>
      <c r="AF90" s="7926"/>
      <c r="AG90" s="1631">
        <f t="shared" si="29"/>
        <v>0</v>
      </c>
      <c r="AH90" s="1185"/>
      <c r="AI90" s="1185" t="e">
        <f t="shared" si="30"/>
        <v>#VALUE!</v>
      </c>
      <c r="AJ90" s="1547"/>
      <c r="AK90" s="1551"/>
      <c r="AL90" s="1551"/>
      <c r="AM90" s="1549"/>
      <c r="AN90" s="1549"/>
      <c r="AO90" s="1550"/>
      <c r="AP90" s="1549"/>
      <c r="AQ90" s="1548"/>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28">
        <f t="shared" si="25"/>
        <v>0</v>
      </c>
      <c r="B91" s="7957" t="str">
        <f t="shared" si="20"/>
        <v/>
      </c>
      <c r="C91" s="7958"/>
      <c r="D91" s="7958"/>
      <c r="E91" s="7958"/>
      <c r="F91" s="7958"/>
      <c r="G91" s="7958"/>
      <c r="H91" s="7958"/>
      <c r="I91" s="7959"/>
      <c r="J91" s="7960" t="str">
        <f t="shared" si="21"/>
        <v/>
      </c>
      <c r="K91" s="7961"/>
      <c r="L91" s="7961"/>
      <c r="M91" s="7960" t="str">
        <f t="shared" si="22"/>
        <v/>
      </c>
      <c r="N91" s="7961"/>
      <c r="O91" s="7961"/>
      <c r="P91" s="7962"/>
      <c r="Q91" s="5988" t="str">
        <f t="shared" si="23"/>
        <v/>
      </c>
      <c r="R91" s="7942"/>
      <c r="S91" s="7942"/>
      <c r="T91" s="7943"/>
      <c r="U91" s="5988" t="str">
        <f t="shared" si="24"/>
        <v/>
      </c>
      <c r="V91" s="7942"/>
      <c r="W91" s="7942"/>
      <c r="X91" s="7943"/>
      <c r="Y91" s="7924" t="str">
        <f t="shared" si="26"/>
        <v/>
      </c>
      <c r="Z91" s="5495"/>
      <c r="AA91" s="7924" t="str">
        <f t="shared" si="27"/>
        <v/>
      </c>
      <c r="AB91" s="5495"/>
      <c r="AC91" s="7925" t="str">
        <f t="shared" si="28"/>
        <v/>
      </c>
      <c r="AD91" s="7926"/>
      <c r="AE91" s="7926"/>
      <c r="AF91" s="7926"/>
      <c r="AG91" s="1631">
        <f t="shared" si="29"/>
        <v>0</v>
      </c>
      <c r="AH91" s="1185"/>
      <c r="AI91" s="1185" t="e">
        <f t="shared" si="30"/>
        <v>#VALUE!</v>
      </c>
      <c r="AJ91" s="1547"/>
      <c r="AK91" s="1551"/>
      <c r="AL91" s="1551"/>
      <c r="AM91" s="1549"/>
      <c r="AN91" s="1549"/>
      <c r="AO91" s="1550"/>
      <c r="AP91" s="1549"/>
      <c r="AQ91" s="1548"/>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28">
        <f t="shared" si="25"/>
        <v>0</v>
      </c>
      <c r="B92" s="7957" t="str">
        <f t="shared" si="20"/>
        <v/>
      </c>
      <c r="C92" s="7958"/>
      <c r="D92" s="7958"/>
      <c r="E92" s="7958"/>
      <c r="F92" s="7958"/>
      <c r="G92" s="7958"/>
      <c r="H92" s="7958"/>
      <c r="I92" s="7959"/>
      <c r="J92" s="7960" t="str">
        <f t="shared" si="21"/>
        <v/>
      </c>
      <c r="K92" s="7961"/>
      <c r="L92" s="7961"/>
      <c r="M92" s="7960" t="str">
        <f t="shared" si="22"/>
        <v/>
      </c>
      <c r="N92" s="7961"/>
      <c r="O92" s="7961"/>
      <c r="P92" s="7962"/>
      <c r="Q92" s="5988" t="str">
        <f t="shared" si="23"/>
        <v/>
      </c>
      <c r="R92" s="7942"/>
      <c r="S92" s="7942"/>
      <c r="T92" s="7943"/>
      <c r="U92" s="5988" t="str">
        <f t="shared" si="24"/>
        <v/>
      </c>
      <c r="V92" s="7942"/>
      <c r="W92" s="7942"/>
      <c r="X92" s="7943"/>
      <c r="Y92" s="7924" t="str">
        <f t="shared" si="26"/>
        <v/>
      </c>
      <c r="Z92" s="5495"/>
      <c r="AA92" s="7924" t="str">
        <f t="shared" si="27"/>
        <v/>
      </c>
      <c r="AB92" s="5495"/>
      <c r="AC92" s="7925" t="str">
        <f t="shared" si="28"/>
        <v/>
      </c>
      <c r="AD92" s="7926"/>
      <c r="AE92" s="7926"/>
      <c r="AF92" s="7926"/>
      <c r="AG92" s="1631">
        <f t="shared" si="29"/>
        <v>0</v>
      </c>
      <c r="AH92" s="1185"/>
      <c r="AI92" s="1185" t="e">
        <f t="shared" si="30"/>
        <v>#VALUE!</v>
      </c>
      <c r="AJ92" s="1547"/>
      <c r="AK92" s="1551"/>
      <c r="AL92" s="1551"/>
      <c r="AM92" s="1549"/>
      <c r="AN92" s="1549"/>
      <c r="AO92" s="1550"/>
      <c r="AP92" s="1549"/>
      <c r="AQ92" s="1548"/>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28">
        <f t="shared" si="25"/>
        <v>0</v>
      </c>
      <c r="B93" s="7957" t="str">
        <f t="shared" si="20"/>
        <v/>
      </c>
      <c r="C93" s="7958"/>
      <c r="D93" s="7958"/>
      <c r="E93" s="7958"/>
      <c r="F93" s="7958"/>
      <c r="G93" s="7958"/>
      <c r="H93" s="7958"/>
      <c r="I93" s="7959"/>
      <c r="J93" s="7960" t="str">
        <f t="shared" si="21"/>
        <v/>
      </c>
      <c r="K93" s="7961"/>
      <c r="L93" s="7961"/>
      <c r="M93" s="7960" t="str">
        <f t="shared" si="22"/>
        <v/>
      </c>
      <c r="N93" s="7961"/>
      <c r="O93" s="7961"/>
      <c r="P93" s="7962"/>
      <c r="Q93" s="5988" t="str">
        <f t="shared" si="23"/>
        <v/>
      </c>
      <c r="R93" s="7942"/>
      <c r="S93" s="7942"/>
      <c r="T93" s="7943"/>
      <c r="U93" s="5988" t="str">
        <f t="shared" si="24"/>
        <v/>
      </c>
      <c r="V93" s="7942"/>
      <c r="W93" s="7942"/>
      <c r="X93" s="7943"/>
      <c r="Y93" s="7924" t="str">
        <f t="shared" si="26"/>
        <v/>
      </c>
      <c r="Z93" s="5495"/>
      <c r="AA93" s="7924" t="str">
        <f t="shared" si="27"/>
        <v/>
      </c>
      <c r="AB93" s="5495"/>
      <c r="AC93" s="7925" t="str">
        <f t="shared" si="28"/>
        <v/>
      </c>
      <c r="AD93" s="7926"/>
      <c r="AE93" s="7926"/>
      <c r="AF93" s="7926"/>
      <c r="AG93" s="1631">
        <f t="shared" si="29"/>
        <v>0</v>
      </c>
      <c r="AH93" s="1185"/>
      <c r="AI93" s="1185" t="e">
        <f t="shared" si="30"/>
        <v>#VALUE!</v>
      </c>
      <c r="AJ93" s="1547"/>
      <c r="AK93" s="1551"/>
      <c r="AL93" s="1551"/>
      <c r="AM93" s="1549"/>
      <c r="AN93" s="1549"/>
      <c r="AO93" s="1550"/>
      <c r="AP93" s="1549"/>
      <c r="AQ93" s="1548"/>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28">
        <f t="shared" si="25"/>
        <v>0</v>
      </c>
      <c r="B94" s="7957" t="str">
        <f t="shared" si="20"/>
        <v/>
      </c>
      <c r="C94" s="7958"/>
      <c r="D94" s="7958"/>
      <c r="E94" s="7958"/>
      <c r="F94" s="7958"/>
      <c r="G94" s="7958"/>
      <c r="H94" s="7958"/>
      <c r="I94" s="7959"/>
      <c r="J94" s="7960" t="str">
        <f t="shared" si="21"/>
        <v/>
      </c>
      <c r="K94" s="7961"/>
      <c r="L94" s="7961"/>
      <c r="M94" s="7960" t="str">
        <f t="shared" si="22"/>
        <v/>
      </c>
      <c r="N94" s="7961"/>
      <c r="O94" s="7961"/>
      <c r="P94" s="7962"/>
      <c r="Q94" s="5988" t="str">
        <f t="shared" si="23"/>
        <v/>
      </c>
      <c r="R94" s="7942"/>
      <c r="S94" s="7942"/>
      <c r="T94" s="7943"/>
      <c r="U94" s="5988" t="str">
        <f t="shared" si="24"/>
        <v/>
      </c>
      <c r="V94" s="7942"/>
      <c r="W94" s="7942"/>
      <c r="X94" s="7943"/>
      <c r="Y94" s="7924" t="str">
        <f t="shared" si="26"/>
        <v/>
      </c>
      <c r="Z94" s="5495"/>
      <c r="AA94" s="7924" t="str">
        <f t="shared" si="27"/>
        <v/>
      </c>
      <c r="AB94" s="5495"/>
      <c r="AC94" s="7925" t="str">
        <f t="shared" si="28"/>
        <v/>
      </c>
      <c r="AD94" s="7926"/>
      <c r="AE94" s="7926"/>
      <c r="AF94" s="7926"/>
      <c r="AG94" s="1631">
        <f t="shared" si="29"/>
        <v>0</v>
      </c>
      <c r="AH94" s="1185"/>
      <c r="AI94" s="1185" t="e">
        <f t="shared" si="30"/>
        <v>#VALUE!</v>
      </c>
      <c r="AJ94" s="1547"/>
      <c r="AK94" s="1551"/>
      <c r="AL94" s="1551"/>
      <c r="AM94" s="1549"/>
      <c r="AN94" s="1549"/>
      <c r="AO94" s="1550"/>
      <c r="AP94" s="1549"/>
      <c r="AQ94" s="1548"/>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28">
        <f t="shared" si="25"/>
        <v>0</v>
      </c>
      <c r="B95" s="7957" t="str">
        <f t="shared" si="20"/>
        <v/>
      </c>
      <c r="C95" s="7958"/>
      <c r="D95" s="7958"/>
      <c r="E95" s="7958"/>
      <c r="F95" s="7958"/>
      <c r="G95" s="7958"/>
      <c r="H95" s="7958"/>
      <c r="I95" s="7959"/>
      <c r="J95" s="7960" t="str">
        <f t="shared" si="21"/>
        <v/>
      </c>
      <c r="K95" s="7961"/>
      <c r="L95" s="7961"/>
      <c r="M95" s="7960" t="str">
        <f t="shared" si="22"/>
        <v/>
      </c>
      <c r="N95" s="7961"/>
      <c r="O95" s="7961"/>
      <c r="P95" s="7962"/>
      <c r="Q95" s="5988" t="str">
        <f t="shared" si="23"/>
        <v/>
      </c>
      <c r="R95" s="7942"/>
      <c r="S95" s="7942"/>
      <c r="T95" s="7943"/>
      <c r="U95" s="5988" t="str">
        <f t="shared" si="24"/>
        <v/>
      </c>
      <c r="V95" s="7942"/>
      <c r="W95" s="7942"/>
      <c r="X95" s="7943"/>
      <c r="Y95" s="7924" t="str">
        <f t="shared" si="26"/>
        <v/>
      </c>
      <c r="Z95" s="5495"/>
      <c r="AA95" s="7924" t="str">
        <f t="shared" si="27"/>
        <v/>
      </c>
      <c r="AB95" s="5495"/>
      <c r="AC95" s="7925" t="str">
        <f t="shared" si="28"/>
        <v/>
      </c>
      <c r="AD95" s="7926"/>
      <c r="AE95" s="7926"/>
      <c r="AF95" s="7926"/>
      <c r="AG95" s="1631">
        <f t="shared" si="29"/>
        <v>0</v>
      </c>
      <c r="AH95" s="1185"/>
      <c r="AI95" s="1185" t="e">
        <f t="shared" si="30"/>
        <v>#VALUE!</v>
      </c>
      <c r="AJ95" s="1547"/>
      <c r="AK95" s="1551"/>
      <c r="AL95" s="1551"/>
      <c r="AM95" s="1549"/>
      <c r="AN95" s="1549"/>
      <c r="AO95" s="1550"/>
      <c r="AP95" s="1549"/>
      <c r="AQ95" s="1548"/>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28">
        <f t="shared" si="25"/>
        <v>0</v>
      </c>
      <c r="B96" s="7957" t="str">
        <f t="shared" si="20"/>
        <v/>
      </c>
      <c r="C96" s="7958"/>
      <c r="D96" s="7958"/>
      <c r="E96" s="7958"/>
      <c r="F96" s="7958"/>
      <c r="G96" s="7958"/>
      <c r="H96" s="7958"/>
      <c r="I96" s="7959"/>
      <c r="J96" s="7960" t="str">
        <f t="shared" si="21"/>
        <v/>
      </c>
      <c r="K96" s="7961"/>
      <c r="L96" s="7961"/>
      <c r="M96" s="7960" t="str">
        <f t="shared" si="22"/>
        <v/>
      </c>
      <c r="N96" s="7961"/>
      <c r="O96" s="7961"/>
      <c r="P96" s="7962"/>
      <c r="Q96" s="5988" t="str">
        <f t="shared" si="23"/>
        <v/>
      </c>
      <c r="R96" s="7942"/>
      <c r="S96" s="7942"/>
      <c r="T96" s="7943"/>
      <c r="U96" s="5988" t="str">
        <f t="shared" si="24"/>
        <v/>
      </c>
      <c r="V96" s="7942"/>
      <c r="W96" s="7942"/>
      <c r="X96" s="7943"/>
      <c r="Y96" s="7924" t="str">
        <f t="shared" si="26"/>
        <v/>
      </c>
      <c r="Z96" s="5495"/>
      <c r="AA96" s="7924" t="str">
        <f t="shared" si="27"/>
        <v/>
      </c>
      <c r="AB96" s="5495"/>
      <c r="AC96" s="7925" t="str">
        <f t="shared" si="28"/>
        <v/>
      </c>
      <c r="AD96" s="7926"/>
      <c r="AE96" s="7926"/>
      <c r="AF96" s="7926"/>
      <c r="AG96" s="1631">
        <f t="shared" si="29"/>
        <v>0</v>
      </c>
      <c r="AH96" s="1185"/>
      <c r="AI96" s="1185" t="e">
        <f t="shared" si="30"/>
        <v>#VALUE!</v>
      </c>
      <c r="AJ96" s="1547"/>
      <c r="AK96" s="1551"/>
      <c r="AL96" s="1551"/>
      <c r="AM96" s="1549"/>
      <c r="AN96" s="1549"/>
      <c r="AO96" s="1550"/>
      <c r="AP96" s="1549"/>
      <c r="AQ96" s="1548"/>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28">
        <f t="shared" si="25"/>
        <v>0</v>
      </c>
      <c r="B97" s="7957" t="str">
        <f t="shared" si="20"/>
        <v/>
      </c>
      <c r="C97" s="7958"/>
      <c r="D97" s="7958"/>
      <c r="E97" s="7958"/>
      <c r="F97" s="7958"/>
      <c r="G97" s="7958"/>
      <c r="H97" s="7958"/>
      <c r="I97" s="7959"/>
      <c r="J97" s="7960" t="str">
        <f t="shared" si="21"/>
        <v/>
      </c>
      <c r="K97" s="7961"/>
      <c r="L97" s="7961"/>
      <c r="M97" s="7960" t="str">
        <f t="shared" si="22"/>
        <v/>
      </c>
      <c r="N97" s="7961"/>
      <c r="O97" s="7961"/>
      <c r="P97" s="7962"/>
      <c r="Q97" s="5988" t="str">
        <f t="shared" si="23"/>
        <v/>
      </c>
      <c r="R97" s="7942"/>
      <c r="S97" s="7942"/>
      <c r="T97" s="7943"/>
      <c r="U97" s="5988" t="str">
        <f t="shared" si="24"/>
        <v/>
      </c>
      <c r="V97" s="7942"/>
      <c r="W97" s="7942"/>
      <c r="X97" s="7943"/>
      <c r="Y97" s="7924" t="str">
        <f t="shared" si="26"/>
        <v/>
      </c>
      <c r="Z97" s="5495"/>
      <c r="AA97" s="7924" t="str">
        <f t="shared" si="27"/>
        <v/>
      </c>
      <c r="AB97" s="5495"/>
      <c r="AC97" s="7925" t="str">
        <f t="shared" si="28"/>
        <v/>
      </c>
      <c r="AD97" s="7926"/>
      <c r="AE97" s="7926"/>
      <c r="AF97" s="7926"/>
      <c r="AG97" s="1631">
        <f t="shared" si="29"/>
        <v>0</v>
      </c>
      <c r="AH97" s="1185"/>
      <c r="AI97" s="1185" t="e">
        <f t="shared" si="30"/>
        <v>#VALUE!</v>
      </c>
      <c r="AJ97" s="1547"/>
      <c r="AK97" s="1551"/>
      <c r="AL97" s="1551"/>
      <c r="AM97" s="1549"/>
      <c r="AN97" s="1549"/>
      <c r="AO97" s="1550"/>
      <c r="AP97" s="1549"/>
      <c r="AQ97" s="1548"/>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28">
        <f t="shared" si="25"/>
        <v>0</v>
      </c>
      <c r="B98" s="7957" t="str">
        <f t="shared" si="20"/>
        <v/>
      </c>
      <c r="C98" s="7958"/>
      <c r="D98" s="7958"/>
      <c r="E98" s="7958"/>
      <c r="F98" s="7958"/>
      <c r="G98" s="7958"/>
      <c r="H98" s="7958"/>
      <c r="I98" s="7959"/>
      <c r="J98" s="7960" t="str">
        <f t="shared" si="21"/>
        <v/>
      </c>
      <c r="K98" s="7961"/>
      <c r="L98" s="7961"/>
      <c r="M98" s="7960" t="str">
        <f t="shared" si="22"/>
        <v/>
      </c>
      <c r="N98" s="7961"/>
      <c r="O98" s="7961"/>
      <c r="P98" s="7962"/>
      <c r="Q98" s="5988" t="str">
        <f t="shared" si="23"/>
        <v/>
      </c>
      <c r="R98" s="7942"/>
      <c r="S98" s="7942"/>
      <c r="T98" s="7943"/>
      <c r="U98" s="5988" t="str">
        <f t="shared" si="24"/>
        <v/>
      </c>
      <c r="V98" s="7942"/>
      <c r="W98" s="7942"/>
      <c r="X98" s="7943"/>
      <c r="Y98" s="7924" t="str">
        <f t="shared" si="26"/>
        <v/>
      </c>
      <c r="Z98" s="5495"/>
      <c r="AA98" s="7924" t="str">
        <f t="shared" si="27"/>
        <v/>
      </c>
      <c r="AB98" s="5495"/>
      <c r="AC98" s="7925" t="str">
        <f t="shared" si="28"/>
        <v/>
      </c>
      <c r="AD98" s="7926"/>
      <c r="AE98" s="7926"/>
      <c r="AF98" s="7926"/>
      <c r="AG98" s="1631">
        <f t="shared" si="29"/>
        <v>0</v>
      </c>
      <c r="AH98" s="1185"/>
      <c r="AI98" s="1185" t="e">
        <f t="shared" si="30"/>
        <v>#VALUE!</v>
      </c>
      <c r="AJ98" s="1547"/>
      <c r="AK98" s="1551"/>
      <c r="AL98" s="1551"/>
      <c r="AM98" s="1549"/>
      <c r="AN98" s="1549"/>
      <c r="AO98" s="1550"/>
      <c r="AP98" s="1549"/>
      <c r="AQ98" s="1548"/>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28">
        <f t="shared" si="25"/>
        <v>0</v>
      </c>
      <c r="B99" s="7957" t="str">
        <f t="shared" si="20"/>
        <v/>
      </c>
      <c r="C99" s="7958"/>
      <c r="D99" s="7958"/>
      <c r="E99" s="7958"/>
      <c r="F99" s="7958"/>
      <c r="G99" s="7958"/>
      <c r="H99" s="7958"/>
      <c r="I99" s="7959"/>
      <c r="J99" s="7960" t="str">
        <f t="shared" si="21"/>
        <v/>
      </c>
      <c r="K99" s="7961"/>
      <c r="L99" s="7961"/>
      <c r="M99" s="7960" t="str">
        <f t="shared" si="22"/>
        <v/>
      </c>
      <c r="N99" s="7961"/>
      <c r="O99" s="7961"/>
      <c r="P99" s="7962"/>
      <c r="Q99" s="5988" t="str">
        <f t="shared" si="23"/>
        <v/>
      </c>
      <c r="R99" s="7942"/>
      <c r="S99" s="7942"/>
      <c r="T99" s="7943"/>
      <c r="U99" s="5988" t="str">
        <f t="shared" si="24"/>
        <v/>
      </c>
      <c r="V99" s="7942"/>
      <c r="W99" s="7942"/>
      <c r="X99" s="7943"/>
      <c r="Y99" s="7924" t="str">
        <f t="shared" si="26"/>
        <v/>
      </c>
      <c r="Z99" s="5495"/>
      <c r="AA99" s="7924" t="str">
        <f t="shared" si="27"/>
        <v/>
      </c>
      <c r="AB99" s="5495"/>
      <c r="AC99" s="7925" t="str">
        <f t="shared" si="28"/>
        <v/>
      </c>
      <c r="AD99" s="7926"/>
      <c r="AE99" s="7926"/>
      <c r="AF99" s="7926"/>
      <c r="AG99" s="1631">
        <f t="shared" si="29"/>
        <v>0</v>
      </c>
      <c r="AH99" s="1185"/>
      <c r="AI99" s="1185" t="e">
        <f t="shared" si="30"/>
        <v>#VALUE!</v>
      </c>
      <c r="AJ99" s="1547"/>
      <c r="AK99" s="1551"/>
      <c r="AL99" s="1551"/>
      <c r="AM99" s="1549"/>
      <c r="AN99" s="1549"/>
      <c r="AO99" s="1550"/>
      <c r="AP99" s="1549"/>
      <c r="AQ99" s="1548"/>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28">
        <f t="shared" si="25"/>
        <v>0</v>
      </c>
      <c r="B100" s="7957" t="str">
        <f t="shared" si="20"/>
        <v/>
      </c>
      <c r="C100" s="7958"/>
      <c r="D100" s="7958"/>
      <c r="E100" s="7958"/>
      <c r="F100" s="7958"/>
      <c r="G100" s="7958"/>
      <c r="H100" s="7958"/>
      <c r="I100" s="7959"/>
      <c r="J100" s="7960" t="str">
        <f t="shared" si="21"/>
        <v/>
      </c>
      <c r="K100" s="7961"/>
      <c r="L100" s="7961"/>
      <c r="M100" s="7960" t="str">
        <f t="shared" si="22"/>
        <v/>
      </c>
      <c r="N100" s="7961"/>
      <c r="O100" s="7961"/>
      <c r="P100" s="7962"/>
      <c r="Q100" s="5988" t="str">
        <f t="shared" si="23"/>
        <v/>
      </c>
      <c r="R100" s="7942"/>
      <c r="S100" s="7942"/>
      <c r="T100" s="7943"/>
      <c r="U100" s="5988" t="str">
        <f t="shared" si="24"/>
        <v/>
      </c>
      <c r="V100" s="7942"/>
      <c r="W100" s="7942"/>
      <c r="X100" s="7943"/>
      <c r="Y100" s="7924" t="str">
        <f t="shared" si="26"/>
        <v/>
      </c>
      <c r="Z100" s="5495"/>
      <c r="AA100" s="7924" t="str">
        <f t="shared" si="27"/>
        <v/>
      </c>
      <c r="AB100" s="5495"/>
      <c r="AC100" s="7925" t="str">
        <f t="shared" si="28"/>
        <v/>
      </c>
      <c r="AD100" s="7926"/>
      <c r="AE100" s="7926"/>
      <c r="AF100" s="7926"/>
      <c r="AG100" s="1631">
        <f t="shared" si="29"/>
        <v>0</v>
      </c>
      <c r="AH100" s="1185"/>
      <c r="AI100" s="1185" t="e">
        <f t="shared" si="30"/>
        <v>#VALUE!</v>
      </c>
      <c r="AJ100" s="1547"/>
      <c r="AK100" s="1551"/>
      <c r="AL100" s="1551"/>
      <c r="AM100" s="1549"/>
      <c r="AN100" s="1549"/>
      <c r="AO100" s="1550"/>
      <c r="AP100" s="1549"/>
      <c r="AQ100" s="1548"/>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28">
        <f t="shared" si="25"/>
        <v>0</v>
      </c>
      <c r="B101" s="7957" t="str">
        <f t="shared" si="20"/>
        <v/>
      </c>
      <c r="C101" s="7958"/>
      <c r="D101" s="7958"/>
      <c r="E101" s="7958"/>
      <c r="F101" s="7958"/>
      <c r="G101" s="7958"/>
      <c r="H101" s="7958"/>
      <c r="I101" s="7959"/>
      <c r="J101" s="7960" t="str">
        <f t="shared" si="21"/>
        <v/>
      </c>
      <c r="K101" s="7961"/>
      <c r="L101" s="7961"/>
      <c r="M101" s="7960" t="str">
        <f t="shared" si="22"/>
        <v/>
      </c>
      <c r="N101" s="7961"/>
      <c r="O101" s="7961"/>
      <c r="P101" s="7962"/>
      <c r="Q101" s="5988" t="str">
        <f t="shared" si="23"/>
        <v/>
      </c>
      <c r="R101" s="7942"/>
      <c r="S101" s="7942"/>
      <c r="T101" s="7943"/>
      <c r="U101" s="5988" t="str">
        <f t="shared" si="24"/>
        <v/>
      </c>
      <c r="V101" s="7942"/>
      <c r="W101" s="7942"/>
      <c r="X101" s="7943"/>
      <c r="Y101" s="7924" t="str">
        <f t="shared" si="26"/>
        <v/>
      </c>
      <c r="Z101" s="5495"/>
      <c r="AA101" s="7924" t="str">
        <f t="shared" si="27"/>
        <v/>
      </c>
      <c r="AB101" s="5495"/>
      <c r="AC101" s="7925" t="str">
        <f t="shared" si="28"/>
        <v/>
      </c>
      <c r="AD101" s="7926"/>
      <c r="AE101" s="7926"/>
      <c r="AF101" s="7926"/>
      <c r="AG101" s="1631">
        <f t="shared" si="29"/>
        <v>0</v>
      </c>
      <c r="AH101" s="1185"/>
      <c r="AI101" s="1185" t="e">
        <f t="shared" si="30"/>
        <v>#VALUE!</v>
      </c>
      <c r="AJ101" s="1547"/>
      <c r="AK101" s="1551"/>
      <c r="AL101" s="1551"/>
      <c r="AM101" s="1549"/>
      <c r="AN101" s="1549"/>
      <c r="AO101" s="1550"/>
      <c r="AP101" s="1549"/>
      <c r="AQ101" s="1548"/>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28">
        <f t="shared" si="25"/>
        <v>0</v>
      </c>
      <c r="B102" s="7957" t="str">
        <f t="shared" si="20"/>
        <v/>
      </c>
      <c r="C102" s="7958"/>
      <c r="D102" s="7958"/>
      <c r="E102" s="7958"/>
      <c r="F102" s="7958"/>
      <c r="G102" s="7958"/>
      <c r="H102" s="7958"/>
      <c r="I102" s="7959"/>
      <c r="J102" s="7960" t="str">
        <f t="shared" si="21"/>
        <v/>
      </c>
      <c r="K102" s="7961"/>
      <c r="L102" s="7961"/>
      <c r="M102" s="7960" t="str">
        <f t="shared" si="22"/>
        <v/>
      </c>
      <c r="N102" s="7961"/>
      <c r="O102" s="7961"/>
      <c r="P102" s="7962"/>
      <c r="Q102" s="5988" t="str">
        <f t="shared" si="23"/>
        <v/>
      </c>
      <c r="R102" s="7942"/>
      <c r="S102" s="7942"/>
      <c r="T102" s="7943"/>
      <c r="U102" s="5988" t="str">
        <f t="shared" si="24"/>
        <v/>
      </c>
      <c r="V102" s="7942"/>
      <c r="W102" s="7942"/>
      <c r="X102" s="7943"/>
      <c r="Y102" s="7924" t="str">
        <f t="shared" si="26"/>
        <v/>
      </c>
      <c r="Z102" s="5495"/>
      <c r="AA102" s="7924" t="str">
        <f t="shared" si="27"/>
        <v/>
      </c>
      <c r="AB102" s="5495"/>
      <c r="AC102" s="7925" t="str">
        <f t="shared" si="28"/>
        <v/>
      </c>
      <c r="AD102" s="7926"/>
      <c r="AE102" s="7926"/>
      <c r="AF102" s="7926"/>
      <c r="AG102" s="1631">
        <f t="shared" si="29"/>
        <v>0</v>
      </c>
      <c r="AH102" s="1185"/>
      <c r="AI102" s="1185" t="e">
        <f t="shared" si="30"/>
        <v>#VALUE!</v>
      </c>
      <c r="AJ102" s="1547"/>
      <c r="AK102" s="1551"/>
      <c r="AL102" s="1551"/>
      <c r="AM102" s="1549"/>
      <c r="AN102" s="1549"/>
      <c r="AO102" s="1550"/>
      <c r="AP102" s="1549"/>
      <c r="AQ102" s="1548"/>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28">
        <f t="shared" si="25"/>
        <v>0</v>
      </c>
      <c r="B103" s="7957" t="str">
        <f t="shared" si="20"/>
        <v/>
      </c>
      <c r="C103" s="7958"/>
      <c r="D103" s="7958"/>
      <c r="E103" s="7958"/>
      <c r="F103" s="7958"/>
      <c r="G103" s="7958"/>
      <c r="H103" s="7958"/>
      <c r="I103" s="7959"/>
      <c r="J103" s="7960" t="str">
        <f t="shared" si="21"/>
        <v/>
      </c>
      <c r="K103" s="7961"/>
      <c r="L103" s="7961"/>
      <c r="M103" s="7960" t="str">
        <f t="shared" si="22"/>
        <v/>
      </c>
      <c r="N103" s="7961"/>
      <c r="O103" s="7961"/>
      <c r="P103" s="7962"/>
      <c r="Q103" s="5988" t="str">
        <f t="shared" si="23"/>
        <v/>
      </c>
      <c r="R103" s="7942"/>
      <c r="S103" s="7942"/>
      <c r="T103" s="7943"/>
      <c r="U103" s="5988" t="str">
        <f t="shared" si="24"/>
        <v/>
      </c>
      <c r="V103" s="7942"/>
      <c r="W103" s="7942"/>
      <c r="X103" s="7943"/>
      <c r="Y103" s="7924" t="str">
        <f t="shared" si="26"/>
        <v/>
      </c>
      <c r="Z103" s="5495"/>
      <c r="AA103" s="7924" t="str">
        <f t="shared" si="27"/>
        <v/>
      </c>
      <c r="AB103" s="5495"/>
      <c r="AC103" s="7925" t="str">
        <f t="shared" si="28"/>
        <v/>
      </c>
      <c r="AD103" s="7926"/>
      <c r="AE103" s="7926"/>
      <c r="AF103" s="7926"/>
      <c r="AG103" s="1631">
        <f t="shared" si="29"/>
        <v>0</v>
      </c>
      <c r="AH103" s="1185"/>
      <c r="AI103" s="1185" t="e">
        <f t="shared" si="30"/>
        <v>#VALUE!</v>
      </c>
      <c r="AJ103" s="1547"/>
      <c r="AK103" s="1551"/>
      <c r="AL103" s="1551"/>
      <c r="AM103" s="1549"/>
      <c r="AN103" s="1549"/>
      <c r="AO103" s="1550"/>
      <c r="AP103" s="1549"/>
      <c r="AQ103" s="1548"/>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28">
        <f t="shared" si="25"/>
        <v>0</v>
      </c>
      <c r="B104" s="7957" t="str">
        <f t="shared" si="20"/>
        <v/>
      </c>
      <c r="C104" s="7958"/>
      <c r="D104" s="7958"/>
      <c r="E104" s="7958"/>
      <c r="F104" s="7958"/>
      <c r="G104" s="7958"/>
      <c r="H104" s="7958"/>
      <c r="I104" s="7959"/>
      <c r="J104" s="7960" t="str">
        <f t="shared" si="21"/>
        <v/>
      </c>
      <c r="K104" s="7961"/>
      <c r="L104" s="7961"/>
      <c r="M104" s="7960" t="str">
        <f t="shared" si="22"/>
        <v/>
      </c>
      <c r="N104" s="7961"/>
      <c r="O104" s="7961"/>
      <c r="P104" s="7962"/>
      <c r="Q104" s="5988" t="str">
        <f t="shared" si="23"/>
        <v/>
      </c>
      <c r="R104" s="7942"/>
      <c r="S104" s="7942"/>
      <c r="T104" s="7943"/>
      <c r="U104" s="5988" t="str">
        <f t="shared" si="24"/>
        <v/>
      </c>
      <c r="V104" s="7942"/>
      <c r="W104" s="7942"/>
      <c r="X104" s="7943"/>
      <c r="Y104" s="7924" t="str">
        <f t="shared" si="26"/>
        <v/>
      </c>
      <c r="Z104" s="5495"/>
      <c r="AA104" s="7924" t="str">
        <f t="shared" si="27"/>
        <v/>
      </c>
      <c r="AB104" s="5495"/>
      <c r="AC104" s="7925" t="str">
        <f t="shared" si="28"/>
        <v/>
      </c>
      <c r="AD104" s="7926"/>
      <c r="AE104" s="7926"/>
      <c r="AF104" s="7926"/>
      <c r="AG104" s="1631">
        <f t="shared" si="29"/>
        <v>0</v>
      </c>
      <c r="AH104" s="1185"/>
      <c r="AI104" s="1185" t="e">
        <f t="shared" si="30"/>
        <v>#VALUE!</v>
      </c>
      <c r="AJ104" s="1547"/>
      <c r="AK104" s="1551"/>
      <c r="AL104" s="1551"/>
      <c r="AM104" s="1549"/>
      <c r="AN104" s="1549"/>
      <c r="AO104" s="1550"/>
      <c r="AP104" s="1549"/>
      <c r="AQ104" s="1548"/>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28">
        <f t="shared" si="25"/>
        <v>0</v>
      </c>
      <c r="B105" s="7957" t="str">
        <f t="shared" si="20"/>
        <v/>
      </c>
      <c r="C105" s="7958"/>
      <c r="D105" s="7958"/>
      <c r="E105" s="7958"/>
      <c r="F105" s="7958"/>
      <c r="G105" s="7958"/>
      <c r="H105" s="7958"/>
      <c r="I105" s="7959"/>
      <c r="J105" s="7960" t="str">
        <f t="shared" si="21"/>
        <v/>
      </c>
      <c r="K105" s="7961"/>
      <c r="L105" s="7961"/>
      <c r="M105" s="7960" t="str">
        <f t="shared" si="22"/>
        <v/>
      </c>
      <c r="N105" s="7961"/>
      <c r="O105" s="7961"/>
      <c r="P105" s="7962"/>
      <c r="Q105" s="5988" t="str">
        <f t="shared" si="23"/>
        <v/>
      </c>
      <c r="R105" s="7942"/>
      <c r="S105" s="7942"/>
      <c r="T105" s="7943"/>
      <c r="U105" s="5988" t="str">
        <f t="shared" si="24"/>
        <v/>
      </c>
      <c r="V105" s="7942"/>
      <c r="W105" s="7942"/>
      <c r="X105" s="7943"/>
      <c r="Y105" s="7924" t="str">
        <f t="shared" si="26"/>
        <v/>
      </c>
      <c r="Z105" s="5495"/>
      <c r="AA105" s="7924" t="str">
        <f t="shared" si="27"/>
        <v/>
      </c>
      <c r="AB105" s="5495"/>
      <c r="AC105" s="7925" t="str">
        <f t="shared" si="28"/>
        <v/>
      </c>
      <c r="AD105" s="7926"/>
      <c r="AE105" s="7926"/>
      <c r="AF105" s="7926"/>
      <c r="AG105" s="1631">
        <f t="shared" si="29"/>
        <v>0</v>
      </c>
      <c r="AH105" s="1185"/>
      <c r="AI105" s="1185" t="e">
        <f t="shared" si="30"/>
        <v>#VALUE!</v>
      </c>
      <c r="AJ105" s="1547"/>
      <c r="AK105" s="1551"/>
      <c r="AL105" s="1551"/>
      <c r="AM105" s="1549"/>
      <c r="AN105" s="1549"/>
      <c r="AO105" s="1550"/>
      <c r="AP105" s="1549"/>
      <c r="AQ105" s="1548"/>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28">
        <f t="shared" si="25"/>
        <v>0</v>
      </c>
      <c r="B106" s="7957" t="str">
        <f t="shared" si="20"/>
        <v/>
      </c>
      <c r="C106" s="7958"/>
      <c r="D106" s="7958"/>
      <c r="E106" s="7958"/>
      <c r="F106" s="7958"/>
      <c r="G106" s="7958"/>
      <c r="H106" s="7958"/>
      <c r="I106" s="7959"/>
      <c r="J106" s="7960" t="str">
        <f t="shared" si="21"/>
        <v/>
      </c>
      <c r="K106" s="7961"/>
      <c r="L106" s="7961"/>
      <c r="M106" s="7960" t="str">
        <f t="shared" si="22"/>
        <v/>
      </c>
      <c r="N106" s="7961"/>
      <c r="O106" s="7961"/>
      <c r="P106" s="7962"/>
      <c r="Q106" s="5988" t="str">
        <f t="shared" si="23"/>
        <v/>
      </c>
      <c r="R106" s="7942"/>
      <c r="S106" s="7942"/>
      <c r="T106" s="7943"/>
      <c r="U106" s="5988" t="str">
        <f t="shared" si="24"/>
        <v/>
      </c>
      <c r="V106" s="7942"/>
      <c r="W106" s="7942"/>
      <c r="X106" s="7943"/>
      <c r="Y106" s="7924" t="str">
        <f t="shared" si="26"/>
        <v/>
      </c>
      <c r="Z106" s="5495"/>
      <c r="AA106" s="7924" t="str">
        <f t="shared" si="27"/>
        <v/>
      </c>
      <c r="AB106" s="5495"/>
      <c r="AC106" s="7925" t="str">
        <f t="shared" si="28"/>
        <v/>
      </c>
      <c r="AD106" s="7926"/>
      <c r="AE106" s="7926"/>
      <c r="AF106" s="7926"/>
      <c r="AG106" s="1631">
        <f t="shared" si="29"/>
        <v>0</v>
      </c>
      <c r="AH106" s="1185"/>
      <c r="AI106" s="1185" t="e">
        <f t="shared" si="30"/>
        <v>#VALUE!</v>
      </c>
      <c r="AJ106" s="1547"/>
      <c r="AK106" s="1551"/>
      <c r="AL106" s="1551"/>
      <c r="AM106" s="1549"/>
      <c r="AN106" s="1549"/>
      <c r="AO106" s="1550"/>
      <c r="AP106" s="1549"/>
      <c r="AQ106" s="1548"/>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28">
        <f t="shared" si="25"/>
        <v>0</v>
      </c>
      <c r="B107" s="7957" t="str">
        <f t="shared" si="20"/>
        <v/>
      </c>
      <c r="C107" s="7958"/>
      <c r="D107" s="7958"/>
      <c r="E107" s="7958"/>
      <c r="F107" s="7958"/>
      <c r="G107" s="7958"/>
      <c r="H107" s="7958"/>
      <c r="I107" s="7959"/>
      <c r="J107" s="7960" t="str">
        <f t="shared" si="21"/>
        <v/>
      </c>
      <c r="K107" s="7961"/>
      <c r="L107" s="7961"/>
      <c r="M107" s="7960" t="str">
        <f t="shared" si="22"/>
        <v/>
      </c>
      <c r="N107" s="7961"/>
      <c r="O107" s="7961"/>
      <c r="P107" s="7962"/>
      <c r="Q107" s="5988" t="str">
        <f t="shared" si="23"/>
        <v/>
      </c>
      <c r="R107" s="7942"/>
      <c r="S107" s="7942"/>
      <c r="T107" s="7943"/>
      <c r="U107" s="5988" t="str">
        <f t="shared" si="24"/>
        <v/>
      </c>
      <c r="V107" s="7942"/>
      <c r="W107" s="7942"/>
      <c r="X107" s="7943"/>
      <c r="Y107" s="7924" t="str">
        <f t="shared" si="26"/>
        <v/>
      </c>
      <c r="Z107" s="5495"/>
      <c r="AA107" s="7924" t="str">
        <f t="shared" si="27"/>
        <v/>
      </c>
      <c r="AB107" s="5495"/>
      <c r="AC107" s="7925" t="str">
        <f t="shared" si="28"/>
        <v/>
      </c>
      <c r="AD107" s="7926"/>
      <c r="AE107" s="7926"/>
      <c r="AF107" s="7926"/>
      <c r="AG107" s="1631">
        <f t="shared" si="29"/>
        <v>0</v>
      </c>
      <c r="AH107" s="1185"/>
      <c r="AI107" s="1185" t="e">
        <f t="shared" si="30"/>
        <v>#VALUE!</v>
      </c>
      <c r="AJ107" s="1547"/>
      <c r="AK107" s="1551"/>
      <c r="AL107" s="1551"/>
      <c r="AM107" s="1549"/>
      <c r="AN107" s="1549"/>
      <c r="AO107" s="1550"/>
      <c r="AP107" s="1549"/>
      <c r="AQ107" s="1548"/>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28">
        <f t="shared" si="25"/>
        <v>0</v>
      </c>
      <c r="B108" s="7957" t="str">
        <f t="shared" si="20"/>
        <v/>
      </c>
      <c r="C108" s="7958"/>
      <c r="D108" s="7958"/>
      <c r="E108" s="7958"/>
      <c r="F108" s="7958"/>
      <c r="G108" s="7958"/>
      <c r="H108" s="7958"/>
      <c r="I108" s="7959"/>
      <c r="J108" s="7960" t="str">
        <f t="shared" si="21"/>
        <v/>
      </c>
      <c r="K108" s="7961"/>
      <c r="L108" s="7961"/>
      <c r="M108" s="7960" t="str">
        <f t="shared" si="22"/>
        <v/>
      </c>
      <c r="N108" s="7961"/>
      <c r="O108" s="7961"/>
      <c r="P108" s="7962"/>
      <c r="Q108" s="5988" t="str">
        <f t="shared" si="23"/>
        <v/>
      </c>
      <c r="R108" s="7942"/>
      <c r="S108" s="7942"/>
      <c r="T108" s="7943"/>
      <c r="U108" s="5988" t="str">
        <f t="shared" si="24"/>
        <v/>
      </c>
      <c r="V108" s="7942"/>
      <c r="W108" s="7942"/>
      <c r="X108" s="7943"/>
      <c r="Y108" s="7924" t="str">
        <f t="shared" si="26"/>
        <v/>
      </c>
      <c r="Z108" s="5495"/>
      <c r="AA108" s="7924" t="str">
        <f t="shared" si="27"/>
        <v/>
      </c>
      <c r="AB108" s="5495"/>
      <c r="AC108" s="7925" t="str">
        <f t="shared" si="28"/>
        <v/>
      </c>
      <c r="AD108" s="7926"/>
      <c r="AE108" s="7926"/>
      <c r="AF108" s="7926"/>
      <c r="AG108" s="1631">
        <f t="shared" si="29"/>
        <v>0</v>
      </c>
      <c r="AH108" s="1185"/>
      <c r="AI108" s="1185" t="e">
        <f t="shared" si="30"/>
        <v>#VALUE!</v>
      </c>
      <c r="AJ108" s="1547"/>
      <c r="AK108" s="1551"/>
      <c r="AL108" s="1551"/>
      <c r="AM108" s="1549"/>
      <c r="AN108" s="1549"/>
      <c r="AO108" s="1550"/>
      <c r="AP108" s="1549"/>
      <c r="AQ108" s="1548"/>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28">
        <f t="shared" si="25"/>
        <v>0</v>
      </c>
      <c r="B109" s="7957" t="str">
        <f t="shared" si="20"/>
        <v/>
      </c>
      <c r="C109" s="7958"/>
      <c r="D109" s="7958"/>
      <c r="E109" s="7958"/>
      <c r="F109" s="7958"/>
      <c r="G109" s="7958"/>
      <c r="H109" s="7958"/>
      <c r="I109" s="7959"/>
      <c r="J109" s="7960" t="str">
        <f t="shared" si="21"/>
        <v/>
      </c>
      <c r="K109" s="7961"/>
      <c r="L109" s="7961"/>
      <c r="M109" s="7960" t="str">
        <f t="shared" si="22"/>
        <v/>
      </c>
      <c r="N109" s="7961"/>
      <c r="O109" s="7961"/>
      <c r="P109" s="7962"/>
      <c r="Q109" s="5988" t="str">
        <f t="shared" si="23"/>
        <v/>
      </c>
      <c r="R109" s="7942"/>
      <c r="S109" s="7942"/>
      <c r="T109" s="7943"/>
      <c r="U109" s="5988" t="str">
        <f t="shared" si="24"/>
        <v/>
      </c>
      <c r="V109" s="7942"/>
      <c r="W109" s="7942"/>
      <c r="X109" s="7943"/>
      <c r="Y109" s="7924" t="str">
        <f t="shared" si="26"/>
        <v/>
      </c>
      <c r="Z109" s="5495"/>
      <c r="AA109" s="7924" t="str">
        <f t="shared" si="27"/>
        <v/>
      </c>
      <c r="AB109" s="5495"/>
      <c r="AC109" s="7925" t="str">
        <f t="shared" si="28"/>
        <v/>
      </c>
      <c r="AD109" s="7926"/>
      <c r="AE109" s="7926"/>
      <c r="AF109" s="7926"/>
      <c r="AG109" s="1631">
        <f t="shared" si="29"/>
        <v>0</v>
      </c>
      <c r="AH109" s="1185"/>
      <c r="AI109" s="1185" t="e">
        <f t="shared" si="30"/>
        <v>#VALUE!</v>
      </c>
      <c r="AJ109" s="1547"/>
      <c r="AK109" s="1551"/>
      <c r="AL109" s="1551"/>
      <c r="AM109" s="1549"/>
      <c r="AN109" s="1549"/>
      <c r="AO109" s="1550"/>
      <c r="AP109" s="1549"/>
      <c r="AQ109" s="1548"/>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28">
        <f t="shared" si="25"/>
        <v>0</v>
      </c>
      <c r="B110" s="7957" t="str">
        <f t="shared" si="20"/>
        <v/>
      </c>
      <c r="C110" s="7958"/>
      <c r="D110" s="7958"/>
      <c r="E110" s="7958"/>
      <c r="F110" s="7958"/>
      <c r="G110" s="7958"/>
      <c r="H110" s="7958"/>
      <c r="I110" s="7959"/>
      <c r="J110" s="7960" t="str">
        <f t="shared" si="21"/>
        <v/>
      </c>
      <c r="K110" s="7961"/>
      <c r="L110" s="7961"/>
      <c r="M110" s="7960" t="str">
        <f t="shared" si="22"/>
        <v/>
      </c>
      <c r="N110" s="7961"/>
      <c r="O110" s="7961"/>
      <c r="P110" s="7962"/>
      <c r="Q110" s="5988" t="str">
        <f t="shared" si="23"/>
        <v/>
      </c>
      <c r="R110" s="7942"/>
      <c r="S110" s="7942"/>
      <c r="T110" s="7943"/>
      <c r="U110" s="5988" t="str">
        <f t="shared" si="24"/>
        <v/>
      </c>
      <c r="V110" s="7942"/>
      <c r="W110" s="7942"/>
      <c r="X110" s="7943"/>
      <c r="Y110" s="7924" t="str">
        <f t="shared" si="26"/>
        <v/>
      </c>
      <c r="Z110" s="5495"/>
      <c r="AA110" s="7924" t="str">
        <f t="shared" si="27"/>
        <v/>
      </c>
      <c r="AB110" s="5495"/>
      <c r="AC110" s="7925" t="str">
        <f t="shared" si="28"/>
        <v/>
      </c>
      <c r="AD110" s="7926"/>
      <c r="AE110" s="7926"/>
      <c r="AF110" s="7926"/>
      <c r="AG110" s="1631">
        <f t="shared" si="29"/>
        <v>0</v>
      </c>
      <c r="AH110" s="1185"/>
      <c r="AI110" s="1185" t="e">
        <f t="shared" si="30"/>
        <v>#VALUE!</v>
      </c>
      <c r="AJ110" s="1547"/>
      <c r="AK110" s="1551"/>
      <c r="AL110" s="1551"/>
      <c r="AM110" s="1549"/>
      <c r="AN110" s="1549"/>
      <c r="AO110" s="1550"/>
      <c r="AP110" s="1549"/>
      <c r="AQ110" s="1548"/>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28">
        <f t="shared" si="25"/>
        <v>0</v>
      </c>
      <c r="B111" s="7957" t="str">
        <f t="shared" si="20"/>
        <v/>
      </c>
      <c r="C111" s="7958"/>
      <c r="D111" s="7958"/>
      <c r="E111" s="7958"/>
      <c r="F111" s="7958"/>
      <c r="G111" s="7958"/>
      <c r="H111" s="7958"/>
      <c r="I111" s="7959"/>
      <c r="J111" s="7960" t="str">
        <f t="shared" si="21"/>
        <v/>
      </c>
      <c r="K111" s="7961"/>
      <c r="L111" s="7961"/>
      <c r="M111" s="7960" t="str">
        <f t="shared" si="22"/>
        <v/>
      </c>
      <c r="N111" s="7961"/>
      <c r="O111" s="7961"/>
      <c r="P111" s="7962"/>
      <c r="Q111" s="5988" t="str">
        <f t="shared" si="23"/>
        <v/>
      </c>
      <c r="R111" s="7942"/>
      <c r="S111" s="7942"/>
      <c r="T111" s="7943"/>
      <c r="U111" s="5988" t="str">
        <f t="shared" si="24"/>
        <v/>
      </c>
      <c r="V111" s="7942"/>
      <c r="W111" s="7942"/>
      <c r="X111" s="7943"/>
      <c r="Y111" s="7924" t="str">
        <f t="shared" si="26"/>
        <v/>
      </c>
      <c r="Z111" s="5495"/>
      <c r="AA111" s="7924" t="str">
        <f t="shared" si="27"/>
        <v/>
      </c>
      <c r="AB111" s="5495"/>
      <c r="AC111" s="7925" t="str">
        <f t="shared" si="28"/>
        <v/>
      </c>
      <c r="AD111" s="7926"/>
      <c r="AE111" s="7926"/>
      <c r="AF111" s="7926"/>
      <c r="AG111" s="1631">
        <f t="shared" si="29"/>
        <v>0</v>
      </c>
      <c r="AH111" s="1185"/>
      <c r="AI111" s="1185" t="e">
        <f t="shared" si="30"/>
        <v>#VALUE!</v>
      </c>
      <c r="AJ111" s="1547"/>
      <c r="AK111" s="1551"/>
      <c r="AL111" s="1551"/>
      <c r="AM111" s="1549"/>
      <c r="AN111" s="1549"/>
      <c r="AO111" s="1550"/>
      <c r="AP111" s="1549"/>
      <c r="AQ111" s="1548"/>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28">
        <f t="shared" si="25"/>
        <v>0</v>
      </c>
      <c r="B112" s="7957" t="str">
        <f t="shared" si="20"/>
        <v/>
      </c>
      <c r="C112" s="7958"/>
      <c r="D112" s="7958"/>
      <c r="E112" s="7958"/>
      <c r="F112" s="7958"/>
      <c r="G112" s="7958"/>
      <c r="H112" s="7958"/>
      <c r="I112" s="7959"/>
      <c r="J112" s="7960" t="str">
        <f t="shared" si="21"/>
        <v/>
      </c>
      <c r="K112" s="7961"/>
      <c r="L112" s="7961"/>
      <c r="M112" s="7960" t="str">
        <f t="shared" si="22"/>
        <v/>
      </c>
      <c r="N112" s="7961"/>
      <c r="O112" s="7961"/>
      <c r="P112" s="7962"/>
      <c r="Q112" s="5988" t="str">
        <f t="shared" si="23"/>
        <v/>
      </c>
      <c r="R112" s="7942"/>
      <c r="S112" s="7942"/>
      <c r="T112" s="7943"/>
      <c r="U112" s="5988" t="str">
        <f t="shared" si="24"/>
        <v/>
      </c>
      <c r="V112" s="7942"/>
      <c r="W112" s="7942"/>
      <c r="X112" s="7943"/>
      <c r="Y112" s="7924" t="str">
        <f t="shared" si="26"/>
        <v/>
      </c>
      <c r="Z112" s="5495"/>
      <c r="AA112" s="7924" t="str">
        <f t="shared" si="27"/>
        <v/>
      </c>
      <c r="AB112" s="5495"/>
      <c r="AC112" s="7925" t="str">
        <f t="shared" si="28"/>
        <v/>
      </c>
      <c r="AD112" s="7926"/>
      <c r="AE112" s="7926"/>
      <c r="AF112" s="7926"/>
      <c r="AG112" s="1631">
        <f t="shared" si="29"/>
        <v>0</v>
      </c>
      <c r="AH112" s="1185"/>
      <c r="AI112" s="1185" t="e">
        <f t="shared" si="30"/>
        <v>#VALUE!</v>
      </c>
      <c r="AJ112" s="1547"/>
      <c r="AK112" s="1551"/>
      <c r="AL112" s="1551"/>
      <c r="AM112" s="1549"/>
      <c r="AN112" s="1549"/>
      <c r="AO112" s="1550"/>
      <c r="AP112" s="1549"/>
      <c r="AQ112" s="1548"/>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28">
        <f t="shared" si="25"/>
        <v>0</v>
      </c>
      <c r="B113" s="7957" t="str">
        <f t="shared" si="20"/>
        <v/>
      </c>
      <c r="C113" s="7958"/>
      <c r="D113" s="7958"/>
      <c r="E113" s="7958"/>
      <c r="F113" s="7958"/>
      <c r="G113" s="7958"/>
      <c r="H113" s="7958"/>
      <c r="I113" s="7959"/>
      <c r="J113" s="7960" t="str">
        <f t="shared" si="21"/>
        <v/>
      </c>
      <c r="K113" s="7961"/>
      <c r="L113" s="7961"/>
      <c r="M113" s="7960" t="str">
        <f t="shared" si="22"/>
        <v/>
      </c>
      <c r="N113" s="7961"/>
      <c r="O113" s="7961"/>
      <c r="P113" s="7962"/>
      <c r="Q113" s="5988" t="str">
        <f t="shared" si="23"/>
        <v/>
      </c>
      <c r="R113" s="7942"/>
      <c r="S113" s="7942"/>
      <c r="T113" s="7943"/>
      <c r="U113" s="5988" t="str">
        <f t="shared" si="24"/>
        <v/>
      </c>
      <c r="V113" s="7942"/>
      <c r="W113" s="7942"/>
      <c r="X113" s="7943"/>
      <c r="Y113" s="7924" t="str">
        <f t="shared" si="26"/>
        <v/>
      </c>
      <c r="Z113" s="5495"/>
      <c r="AA113" s="7924" t="str">
        <f t="shared" si="27"/>
        <v/>
      </c>
      <c r="AB113" s="5495"/>
      <c r="AC113" s="7925" t="str">
        <f t="shared" si="28"/>
        <v/>
      </c>
      <c r="AD113" s="7926"/>
      <c r="AE113" s="7926"/>
      <c r="AF113" s="7926"/>
      <c r="AG113" s="1631">
        <f t="shared" si="29"/>
        <v>0</v>
      </c>
      <c r="AH113" s="1185"/>
      <c r="AI113" s="1185" t="e">
        <f t="shared" si="30"/>
        <v>#VALUE!</v>
      </c>
      <c r="AJ113" s="1547"/>
      <c r="AK113" s="1551"/>
      <c r="AL113" s="1551"/>
      <c r="AM113" s="1549"/>
      <c r="AN113" s="1549"/>
      <c r="AO113" s="1550"/>
      <c r="AP113" s="1549"/>
      <c r="AQ113" s="1548"/>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28">
        <f t="shared" si="25"/>
        <v>0</v>
      </c>
      <c r="B114" s="7957" t="str">
        <f t="shared" si="20"/>
        <v/>
      </c>
      <c r="C114" s="7958"/>
      <c r="D114" s="7958"/>
      <c r="E114" s="7958"/>
      <c r="F114" s="7958"/>
      <c r="G114" s="7958"/>
      <c r="H114" s="7958"/>
      <c r="I114" s="7959"/>
      <c r="J114" s="7960" t="str">
        <f t="shared" si="21"/>
        <v/>
      </c>
      <c r="K114" s="7961"/>
      <c r="L114" s="7961"/>
      <c r="M114" s="7960" t="str">
        <f t="shared" si="22"/>
        <v/>
      </c>
      <c r="N114" s="7961"/>
      <c r="O114" s="7961"/>
      <c r="P114" s="7962"/>
      <c r="Q114" s="5988" t="str">
        <f t="shared" si="23"/>
        <v/>
      </c>
      <c r="R114" s="7942"/>
      <c r="S114" s="7942"/>
      <c r="T114" s="7943"/>
      <c r="U114" s="5988" t="str">
        <f t="shared" si="24"/>
        <v/>
      </c>
      <c r="V114" s="7942"/>
      <c r="W114" s="7942"/>
      <c r="X114" s="7943"/>
      <c r="Y114" s="7924" t="str">
        <f t="shared" si="26"/>
        <v/>
      </c>
      <c r="Z114" s="5495"/>
      <c r="AA114" s="7924" t="str">
        <f t="shared" si="27"/>
        <v/>
      </c>
      <c r="AB114" s="5495"/>
      <c r="AC114" s="7925" t="str">
        <f t="shared" si="28"/>
        <v/>
      </c>
      <c r="AD114" s="7926"/>
      <c r="AE114" s="7926"/>
      <c r="AF114" s="7926"/>
      <c r="AG114" s="1631">
        <f t="shared" si="29"/>
        <v>0</v>
      </c>
      <c r="AH114" s="1185"/>
      <c r="AI114" s="1185" t="e">
        <f t="shared" si="30"/>
        <v>#VALUE!</v>
      </c>
      <c r="AJ114" s="1547"/>
      <c r="AK114" s="1551"/>
      <c r="AL114" s="1551"/>
      <c r="AM114" s="1549"/>
      <c r="AN114" s="1549"/>
      <c r="AO114" s="1550"/>
      <c r="AP114" s="1549"/>
      <c r="AQ114" s="1548"/>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28">
        <f t="shared" si="25"/>
        <v>0</v>
      </c>
      <c r="B115" s="7957" t="str">
        <f t="shared" si="20"/>
        <v/>
      </c>
      <c r="C115" s="7958"/>
      <c r="D115" s="7958"/>
      <c r="E115" s="7958"/>
      <c r="F115" s="7958"/>
      <c r="G115" s="7958"/>
      <c r="H115" s="7958"/>
      <c r="I115" s="7959"/>
      <c r="J115" s="7960" t="str">
        <f t="shared" si="21"/>
        <v/>
      </c>
      <c r="K115" s="7961"/>
      <c r="L115" s="7961"/>
      <c r="M115" s="7960" t="str">
        <f t="shared" si="22"/>
        <v/>
      </c>
      <c r="N115" s="7961"/>
      <c r="O115" s="7961"/>
      <c r="P115" s="7962"/>
      <c r="Q115" s="5988" t="str">
        <f t="shared" si="23"/>
        <v/>
      </c>
      <c r="R115" s="7942"/>
      <c r="S115" s="7942"/>
      <c r="T115" s="7943"/>
      <c r="U115" s="5988" t="str">
        <f t="shared" si="24"/>
        <v/>
      </c>
      <c r="V115" s="7942"/>
      <c r="W115" s="7942"/>
      <c r="X115" s="7943"/>
      <c r="Y115" s="7924" t="str">
        <f t="shared" si="26"/>
        <v/>
      </c>
      <c r="Z115" s="5495"/>
      <c r="AA115" s="7924" t="str">
        <f t="shared" si="27"/>
        <v/>
      </c>
      <c r="AB115" s="5495"/>
      <c r="AC115" s="7925" t="str">
        <f t="shared" si="28"/>
        <v/>
      </c>
      <c r="AD115" s="7926"/>
      <c r="AE115" s="7926"/>
      <c r="AF115" s="7926"/>
      <c r="AG115" s="1631">
        <f t="shared" si="29"/>
        <v>0</v>
      </c>
      <c r="AH115" s="1185"/>
      <c r="AI115" s="1185" t="e">
        <f t="shared" si="30"/>
        <v>#VALUE!</v>
      </c>
      <c r="AJ115" s="1547"/>
      <c r="AK115" s="1551"/>
      <c r="AL115" s="1551"/>
      <c r="AM115" s="1549"/>
      <c r="AN115" s="1549"/>
      <c r="AO115" s="1550"/>
      <c r="AP115" s="1549"/>
      <c r="AQ115" s="1548"/>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28">
        <f>SUM(A88:A115)</f>
        <v>0</v>
      </c>
      <c r="B116" s="8015">
        <v>2</v>
      </c>
      <c r="C116" s="8036" t="s">
        <v>1151</v>
      </c>
      <c r="D116" s="8037"/>
      <c r="E116" s="8037"/>
      <c r="F116" s="8037"/>
      <c r="G116" s="8037"/>
      <c r="H116" s="8037"/>
      <c r="I116" s="8037"/>
      <c r="J116" s="8037"/>
      <c r="K116" s="8037"/>
      <c r="L116" s="8037"/>
      <c r="M116" s="8037"/>
      <c r="N116" s="8037"/>
      <c r="O116" s="8037"/>
      <c r="P116" s="8037"/>
      <c r="Q116" s="7934" t="str">
        <f>IF(A116=0,"",ROUND(SUM(Q88:Q115),0))</f>
        <v/>
      </c>
      <c r="R116" s="8039"/>
      <c r="S116" s="8039"/>
      <c r="T116" s="7935"/>
      <c r="U116" s="7934" t="str">
        <f>IF(A116=0,"",ROUND(SUM(U88:U115),0))</f>
        <v/>
      </c>
      <c r="V116" s="8017"/>
      <c r="W116" s="8017"/>
      <c r="X116" s="8018"/>
      <c r="Y116" s="8025"/>
      <c r="Z116" s="8026"/>
      <c r="AA116" s="7934" t="str">
        <f>IF(A116=0,"",ROUND(SUM(AA88:AA115),0))</f>
        <v/>
      </c>
      <c r="AB116" s="7935"/>
      <c r="AC116" s="7934" t="str">
        <f>IF(A116=0,"",ROUND(SUM(AC88:AC115),0))</f>
        <v/>
      </c>
      <c r="AD116" s="8017"/>
      <c r="AE116" s="8017"/>
      <c r="AF116" s="8017"/>
      <c r="AG116" s="1228"/>
    </row>
    <row r="117" spans="1:55" ht="11.25" customHeight="1">
      <c r="A117" s="1228"/>
      <c r="B117" s="8016"/>
      <c r="C117" s="8038"/>
      <c r="D117" s="8038"/>
      <c r="E117" s="8038"/>
      <c r="F117" s="8038"/>
      <c r="G117" s="8038"/>
      <c r="H117" s="8038"/>
      <c r="I117" s="8038"/>
      <c r="J117" s="8038"/>
      <c r="K117" s="8038"/>
      <c r="L117" s="8038"/>
      <c r="M117" s="8038"/>
      <c r="N117" s="8038"/>
      <c r="O117" s="8038"/>
      <c r="P117" s="8038"/>
      <c r="Q117" s="7936"/>
      <c r="R117" s="8040"/>
      <c r="S117" s="8040"/>
      <c r="T117" s="7937"/>
      <c r="U117" s="8019"/>
      <c r="V117" s="8020"/>
      <c r="W117" s="8020"/>
      <c r="X117" s="8021"/>
      <c r="Y117" s="8027"/>
      <c r="Z117" s="8028"/>
      <c r="AA117" s="7936"/>
      <c r="AB117" s="7937"/>
      <c r="AC117" s="8019"/>
      <c r="AD117" s="8020"/>
      <c r="AE117" s="8020"/>
      <c r="AF117" s="8020"/>
      <c r="AG117" s="1228"/>
    </row>
    <row r="118" spans="1:55" ht="11.25" customHeight="1">
      <c r="A118" s="1228"/>
      <c r="B118" s="8016"/>
      <c r="C118" s="8038"/>
      <c r="D118" s="8038"/>
      <c r="E118" s="8038"/>
      <c r="F118" s="8038"/>
      <c r="G118" s="8038"/>
      <c r="H118" s="8038"/>
      <c r="I118" s="8038"/>
      <c r="J118" s="8038"/>
      <c r="K118" s="8038"/>
      <c r="L118" s="8038"/>
      <c r="M118" s="8038"/>
      <c r="N118" s="8038"/>
      <c r="O118" s="8038"/>
      <c r="P118" s="8038"/>
      <c r="Q118" s="7936"/>
      <c r="R118" s="8040"/>
      <c r="S118" s="8040"/>
      <c r="T118" s="7937"/>
      <c r="U118" s="8019"/>
      <c r="V118" s="8020"/>
      <c r="W118" s="8020"/>
      <c r="X118" s="8021"/>
      <c r="Y118" s="8027"/>
      <c r="Z118" s="8028"/>
      <c r="AA118" s="7936"/>
      <c r="AB118" s="7937"/>
      <c r="AC118" s="8019"/>
      <c r="AD118" s="8020"/>
      <c r="AE118" s="8020"/>
      <c r="AF118" s="8020"/>
      <c r="AG118" s="1228"/>
    </row>
    <row r="119" spans="1:55" ht="11.25" customHeight="1">
      <c r="A119" s="1228"/>
      <c r="B119" s="8016"/>
      <c r="C119" s="8038"/>
      <c r="D119" s="8038"/>
      <c r="E119" s="8038"/>
      <c r="F119" s="8038"/>
      <c r="G119" s="8038"/>
      <c r="H119" s="8038"/>
      <c r="I119" s="8038"/>
      <c r="J119" s="8038"/>
      <c r="K119" s="8038"/>
      <c r="L119" s="8038"/>
      <c r="M119" s="8038"/>
      <c r="N119" s="8038"/>
      <c r="O119" s="8038"/>
      <c r="P119" s="8038"/>
      <c r="Q119" s="7936"/>
      <c r="R119" s="8040"/>
      <c r="S119" s="8040"/>
      <c r="T119" s="7937"/>
      <c r="U119" s="8019"/>
      <c r="V119" s="8020"/>
      <c r="W119" s="8020"/>
      <c r="X119" s="8021"/>
      <c r="Y119" s="8027"/>
      <c r="Z119" s="8028"/>
      <c r="AA119" s="7936"/>
      <c r="AB119" s="7937"/>
      <c r="AC119" s="8019"/>
      <c r="AD119" s="8020"/>
      <c r="AE119" s="8020"/>
      <c r="AF119" s="8020"/>
      <c r="AG119" s="1228"/>
    </row>
    <row r="120" spans="1:55" ht="6" customHeight="1">
      <c r="A120" s="1228"/>
      <c r="B120" s="8016"/>
      <c r="C120" s="8038"/>
      <c r="D120" s="8038"/>
      <c r="E120" s="8038"/>
      <c r="F120" s="8038"/>
      <c r="G120" s="8038"/>
      <c r="H120" s="8038"/>
      <c r="I120" s="8038"/>
      <c r="J120" s="8038"/>
      <c r="K120" s="8038"/>
      <c r="L120" s="8038"/>
      <c r="M120" s="8038"/>
      <c r="N120" s="8038"/>
      <c r="O120" s="8038"/>
      <c r="P120" s="8038"/>
      <c r="Q120" s="7936"/>
      <c r="R120" s="8040"/>
      <c r="S120" s="8040"/>
      <c r="T120" s="7937"/>
      <c r="U120" s="8044"/>
      <c r="V120" s="8045"/>
      <c r="W120" s="8045"/>
      <c r="X120" s="8046"/>
      <c r="Y120" s="8029"/>
      <c r="Z120" s="8030"/>
      <c r="AA120" s="7938"/>
      <c r="AB120" s="7939"/>
      <c r="AC120" s="8019"/>
      <c r="AD120" s="8020"/>
      <c r="AE120" s="8020"/>
      <c r="AF120" s="8020"/>
      <c r="AG120" s="1228"/>
    </row>
    <row r="121" spans="1:55" ht="25.5" customHeight="1" thickBot="1">
      <c r="A121" s="1228"/>
      <c r="B121" s="8033" t="s">
        <v>1958</v>
      </c>
      <c r="C121" s="8034"/>
      <c r="D121" s="8034"/>
      <c r="E121" s="8034"/>
      <c r="F121" s="8034"/>
      <c r="G121" s="8034"/>
      <c r="H121" s="8034"/>
      <c r="I121" s="8034"/>
      <c r="J121" s="8034"/>
      <c r="K121" s="8034"/>
      <c r="L121" s="8034"/>
      <c r="M121" s="8034"/>
      <c r="N121" s="8034"/>
      <c r="O121" s="8034"/>
      <c r="P121" s="8034"/>
      <c r="Q121" s="8034"/>
      <c r="R121" s="8034"/>
      <c r="S121" s="8034"/>
      <c r="T121" s="8034"/>
      <c r="U121" s="8035"/>
      <c r="V121" s="8035"/>
      <c r="W121" s="8035"/>
      <c r="X121" s="8035"/>
      <c r="Y121" s="8034"/>
      <c r="Z121" s="8034"/>
      <c r="AA121" s="8034"/>
      <c r="AB121" s="8034"/>
      <c r="AC121" s="8034"/>
      <c r="AD121" s="8034"/>
      <c r="AE121" s="8034"/>
      <c r="AF121" s="8034"/>
      <c r="AG121" s="1228"/>
    </row>
    <row r="122" spans="1:55" ht="14.25" customHeight="1" thickTop="1">
      <c r="A122" s="1228"/>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27"/>
      <c r="AD122" s="1127" t="s">
        <v>761</v>
      </c>
      <c r="AE122" s="24"/>
      <c r="AF122" s="4609" t="str">
        <f>"("&amp;TaxYear&amp;")"</f>
        <v>(2018)</v>
      </c>
      <c r="AG122" s="1228"/>
    </row>
    <row r="123" spans="1:55">
      <c r="A123" s="1228"/>
      <c r="B123" s="1228"/>
      <c r="C123" s="1228"/>
      <c r="D123" s="1228"/>
      <c r="E123" s="1228"/>
      <c r="F123" s="1228"/>
      <c r="G123" s="1228"/>
      <c r="H123" s="1228"/>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228"/>
    </row>
  </sheetData>
  <sheetProtection password="F07E" sheet="1" objects="1" scenarios="1"/>
  <mergeCells count="471">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AC115:AF115"/>
    <mergeCell ref="B114:I114"/>
    <mergeCell ref="J114:L114"/>
    <mergeCell ref="M114:P114"/>
    <mergeCell ref="Q114:T114"/>
    <mergeCell ref="U114:X114"/>
    <mergeCell ref="Y114:Z114"/>
    <mergeCell ref="AC116:AF120"/>
    <mergeCell ref="AC113:AF113"/>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s>
  <conditionalFormatting sqref="L2">
    <cfRule type="expression" dxfId="271" priority="69" stopIfTrue="1">
      <formula>IF(OR($AG$16,$AG$69),1,0)</formula>
    </cfRule>
  </conditionalFormatting>
  <conditionalFormatting sqref="B2">
    <cfRule type="expression" dxfId="270" priority="70" stopIfTrue="1">
      <formula>IF(OR($AG$16,$AG$69),1,0)</formula>
    </cfRule>
  </conditionalFormatting>
  <conditionalFormatting sqref="B11:AF11">
    <cfRule type="expression" dxfId="269" priority="52">
      <formula>IF(NoColor,1,0)</formula>
    </cfRule>
  </conditionalFormatting>
  <conditionalFormatting sqref="B35:AB54">
    <cfRule type="expression" dxfId="268" priority="46">
      <formula>IF(NoColor,1,0)</formula>
    </cfRule>
  </conditionalFormatting>
  <conditionalFormatting sqref="J35:J54">
    <cfRule type="expression" dxfId="267" priority="48" stopIfTrue="1">
      <formula>IF(AND($L$2="",AG35&lt;&gt;0),TRUE,FALSE)</formula>
    </cfRule>
  </conditionalFormatting>
  <conditionalFormatting sqref="M35:M54">
    <cfRule type="expression" dxfId="266" priority="47" stopIfTrue="1">
      <formula>IF(AND($L$2="",AG35&gt;0),TRUE,FALSE)</formula>
    </cfRule>
  </conditionalFormatting>
  <conditionalFormatting sqref="B64:AF64">
    <cfRule type="expression" dxfId="265" priority="45">
      <formula>IF(NoColor,1,0)</formula>
    </cfRule>
  </conditionalFormatting>
  <conditionalFormatting sqref="J88:J115">
    <cfRule type="expression" dxfId="264" priority="41" stopIfTrue="1">
      <formula>IF(AND($L$2="",AG88&lt;&gt;0),TRUE,FALSE)</formula>
    </cfRule>
  </conditionalFormatting>
  <conditionalFormatting sqref="M88:M115">
    <cfRule type="expression" dxfId="263" priority="40" stopIfTrue="1">
      <formula>IF(AND($L$2="",AG88&gt;0),TRUE,FALSE)</formula>
    </cfRule>
  </conditionalFormatting>
  <conditionalFormatting sqref="B88:AB115">
    <cfRule type="expression" dxfId="262" priority="39">
      <formula>IF(NoColor,1,0)</formula>
    </cfRule>
  </conditionalFormatting>
  <conditionalFormatting sqref="C78">
    <cfRule type="expression" dxfId="261" priority="31">
      <formula>IF(NoColor,1,0)</formula>
    </cfRule>
  </conditionalFormatting>
  <conditionalFormatting sqref="Q55:T59">
    <cfRule type="expression" dxfId="260" priority="28">
      <formula>IF(NoColor,1,0)</formula>
    </cfRule>
  </conditionalFormatting>
  <conditionalFormatting sqref="AA55:AF59">
    <cfRule type="expression" dxfId="259" priority="27">
      <formula>IF(NoColor,1,0)</formula>
    </cfRule>
  </conditionalFormatting>
  <conditionalFormatting sqref="Q116:X120">
    <cfRule type="expression" dxfId="258" priority="26">
      <formula>IF(NoColor,1,0)</formula>
    </cfRule>
  </conditionalFormatting>
  <conditionalFormatting sqref="AA116:AF120">
    <cfRule type="expression" dxfId="257" priority="25">
      <formula>IF(NoColor,1,0)</formula>
    </cfRule>
  </conditionalFormatting>
  <conditionalFormatting sqref="C25">
    <cfRule type="expression" dxfId="256" priority="21">
      <formula>IF(NoColor,1,0)</formula>
    </cfRule>
  </conditionalFormatting>
  <conditionalFormatting sqref="AC88:AF115">
    <cfRule type="expression" dxfId="255" priority="20">
      <formula>IF(NoColor,1,0)</formula>
    </cfRule>
  </conditionalFormatting>
  <conditionalFormatting sqref="AC35:AF54">
    <cfRule type="expression" dxfId="254" priority="19">
      <formula>IF(NoColor,1,0)</formula>
    </cfRule>
  </conditionalFormatting>
  <conditionalFormatting sqref="C80">
    <cfRule type="expression" dxfId="253" priority="18">
      <formula>IF(NoColor,1,0)</formula>
    </cfRule>
  </conditionalFormatting>
  <conditionalFormatting sqref="C82">
    <cfRule type="expression" dxfId="252" priority="17">
      <formula>IF(NoColor,1,0)</formula>
    </cfRule>
  </conditionalFormatting>
  <conditionalFormatting sqref="C27">
    <cfRule type="expression" dxfId="251" priority="16">
      <formula>IF(NoColor,1,0)</formula>
    </cfRule>
  </conditionalFormatting>
  <conditionalFormatting sqref="C29">
    <cfRule type="expression" dxfId="250" priority="15">
      <formula>IF(NoColor,1,0)</formula>
    </cfRule>
  </conditionalFormatting>
  <conditionalFormatting sqref="K74">
    <cfRule type="expression" dxfId="249" priority="12">
      <formula>(A$82&gt;1)</formula>
    </cfRule>
  </conditionalFormatting>
  <conditionalFormatting sqref="B74">
    <cfRule type="expression" dxfId="248" priority="8">
      <formula>IF(A82=0,1,0)</formula>
    </cfRule>
  </conditionalFormatting>
  <conditionalFormatting sqref="B21">
    <cfRule type="expression" dxfId="247" priority="7">
      <formula>(A29=0)</formula>
    </cfRule>
  </conditionalFormatting>
  <conditionalFormatting sqref="L21">
    <cfRule type="expression" dxfId="246" priority="6">
      <formula>(A29&gt;1)</formula>
    </cfRule>
  </conditionalFormatting>
  <conditionalFormatting sqref="T16">
    <cfRule type="expression" dxfId="245" priority="5" stopIfTrue="1">
      <formula>IF(AND($L$2="",$AG$16),TRUE,FALSE)</formula>
    </cfRule>
  </conditionalFormatting>
  <conditionalFormatting sqref="P69">
    <cfRule type="expression" dxfId="244" priority="4" stopIfTrue="1">
      <formula>IF(AND($L$2="",$AG$69),TRUE,FALSE)</formula>
    </cfRule>
  </conditionalFormatting>
  <conditionalFormatting sqref="T69">
    <cfRule type="expression" dxfId="243" priority="3" stopIfTrue="1">
      <formula>IF(AND($L$2="",$AG$69),TRUE,FALSE)</formula>
    </cfRule>
  </conditionalFormatting>
  <conditionalFormatting sqref="T70">
    <cfRule type="expression" dxfId="242" priority="2" stopIfTrue="1">
      <formula>IF(AND($L$2="",$AG$16),TRUE,FALSE)</formula>
    </cfRule>
  </conditionalFormatting>
  <conditionalFormatting sqref="U55:X59">
    <cfRule type="expression" dxfId="241"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4"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3" stopIfTrue="1" id="{A2D9BE0A-FD70-42C9-87DB-4C17D8C57EB8}">
            <xm:f>IF(AND('8949A'!$L$2="",'8949A'!$AG$16),TRUE,FALSE)</xm:f>
            <x14:dxf>
              <font>
                <b val="0"/>
                <i val="0"/>
                <color rgb="FFFF0000"/>
              </font>
            </x14:dxf>
          </x14:cfRule>
          <xm:sqref>T71:T72</xm:sqref>
        </x14:conditionalFormatting>
      </x14:conditionalFormatting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V11" sqref="V11:AF11"/>
    </sheetView>
  </sheetViews>
  <sheetFormatPr defaultColWidth="3.7109375" defaultRowHeight="12.75"/>
  <cols>
    <col min="1" max="1" width="3.7109375" style="1193"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85" customWidth="1"/>
    <col min="34" max="34" width="4.85546875" style="323" customWidth="1"/>
    <col min="35" max="35" width="8.5703125" style="323"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28"/>
      <c r="B1" s="1228"/>
      <c r="C1" s="1228"/>
      <c r="D1" s="1228"/>
      <c r="E1" s="1228"/>
      <c r="F1" s="1228"/>
      <c r="G1" s="1228"/>
      <c r="H1" s="1228"/>
      <c r="I1" s="1228"/>
      <c r="J1" s="1228"/>
      <c r="K1" s="1228"/>
      <c r="L1" s="1228"/>
      <c r="M1" s="1228"/>
      <c r="N1" s="1228"/>
      <c r="O1" s="1228"/>
      <c r="P1" s="1228"/>
      <c r="Q1" s="1228"/>
      <c r="R1" s="1228"/>
      <c r="S1" s="1228"/>
      <c r="T1" s="1228"/>
      <c r="U1" s="1228"/>
      <c r="V1" s="1228"/>
      <c r="W1" s="1228"/>
      <c r="X1" s="1228"/>
      <c r="Y1" s="1228"/>
      <c r="Z1" s="1228"/>
      <c r="AA1" s="1228"/>
      <c r="AB1" s="1228"/>
      <c r="AC1" s="1228"/>
      <c r="AD1" s="1228"/>
      <c r="AE1" s="1228"/>
      <c r="AF1" s="1228"/>
      <c r="AG1" s="1228"/>
    </row>
    <row r="2" spans="1:34">
      <c r="A2" s="82"/>
      <c r="B2" s="7963" t="s">
        <v>869</v>
      </c>
      <c r="C2" s="7964"/>
      <c r="D2" s="7964"/>
      <c r="E2" s="7964"/>
      <c r="F2" s="7964"/>
      <c r="G2" s="7964"/>
      <c r="H2" s="7964"/>
      <c r="I2" s="7964"/>
      <c r="J2" s="7964"/>
      <c r="K2" s="7964"/>
      <c r="L2" s="1425"/>
      <c r="M2" s="82"/>
      <c r="N2" s="82"/>
      <c r="O2" s="82"/>
      <c r="P2" s="82"/>
      <c r="Q2" s="82"/>
      <c r="R2" s="82"/>
      <c r="S2" s="82"/>
      <c r="T2" s="82"/>
      <c r="U2" s="82"/>
      <c r="V2" s="82"/>
      <c r="W2" s="82"/>
      <c r="X2" s="82"/>
      <c r="Y2" s="82"/>
      <c r="Z2" s="82"/>
      <c r="AA2" s="1098"/>
      <c r="AB2" s="82"/>
      <c r="AC2" s="82"/>
      <c r="AD2" s="82"/>
      <c r="AE2" s="82"/>
      <c r="AF2" s="82"/>
      <c r="AG2" s="1228"/>
    </row>
    <row r="3" spans="1:34">
      <c r="A3" s="1228"/>
      <c r="B3" s="1228"/>
      <c r="C3" s="1228"/>
      <c r="D3" s="1228"/>
      <c r="E3" s="1228"/>
      <c r="F3" s="1228"/>
      <c r="G3" s="1228"/>
      <c r="H3" s="1228"/>
      <c r="I3" s="1228"/>
      <c r="J3" s="1228"/>
      <c r="K3" s="1228"/>
      <c r="L3" s="1228"/>
      <c r="M3" s="1228"/>
      <c r="N3" s="1228"/>
      <c r="O3" s="1228"/>
      <c r="P3" s="1228"/>
      <c r="Q3" s="1228"/>
      <c r="R3" s="1228"/>
      <c r="S3" s="1228"/>
      <c r="T3" s="1228"/>
      <c r="U3" s="1228"/>
      <c r="V3" s="1228"/>
      <c r="W3" s="1228"/>
      <c r="X3" s="1228"/>
      <c r="Y3" s="1228"/>
      <c r="Z3" s="1228"/>
      <c r="AA3" s="1228"/>
      <c r="AB3" s="1228"/>
      <c r="AC3" s="1228"/>
      <c r="AD3" s="1228"/>
      <c r="AE3" s="1228"/>
      <c r="AF3" s="1228"/>
      <c r="AG3" s="1228"/>
    </row>
    <row r="4" spans="1:34" ht="11.25" customHeight="1">
      <c r="A4" s="1228"/>
      <c r="B4" s="7965" t="s">
        <v>731</v>
      </c>
      <c r="C4" s="7569"/>
      <c r="D4" s="7569"/>
      <c r="E4" s="7569"/>
      <c r="F4" s="7569"/>
      <c r="G4" s="24"/>
      <c r="H4" s="7973" t="s">
        <v>732</v>
      </c>
      <c r="I4" s="7974"/>
      <c r="J4" s="7974"/>
      <c r="K4" s="7974"/>
      <c r="L4" s="7974"/>
      <c r="M4" s="7974"/>
      <c r="N4" s="7974"/>
      <c r="O4" s="7974"/>
      <c r="P4" s="7974"/>
      <c r="Q4" s="7974"/>
      <c r="R4" s="7974"/>
      <c r="S4" s="7974"/>
      <c r="T4" s="7974"/>
      <c r="U4" s="7974"/>
      <c r="V4" s="7974"/>
      <c r="W4" s="7974"/>
      <c r="X4" s="7974"/>
      <c r="Y4" s="7974"/>
      <c r="Z4" s="7974"/>
      <c r="AA4" s="7975"/>
      <c r="AB4" s="7966" t="s">
        <v>169</v>
      </c>
      <c r="AC4" s="7573"/>
      <c r="AD4" s="7573"/>
      <c r="AE4" s="7573"/>
      <c r="AF4" s="7573"/>
      <c r="AG4" s="1228"/>
      <c r="AH4" s="1186"/>
    </row>
    <row r="5" spans="1:34" ht="11.25" customHeight="1">
      <c r="A5" s="1228"/>
      <c r="B5" s="7569"/>
      <c r="C5" s="7569"/>
      <c r="D5" s="7569"/>
      <c r="E5" s="7569"/>
      <c r="F5" s="7569"/>
      <c r="G5" s="24"/>
      <c r="H5" s="7976"/>
      <c r="I5" s="7974"/>
      <c r="J5" s="7974"/>
      <c r="K5" s="7974"/>
      <c r="L5" s="7974"/>
      <c r="M5" s="7974"/>
      <c r="N5" s="7974"/>
      <c r="O5" s="7974"/>
      <c r="P5" s="7974"/>
      <c r="Q5" s="7974"/>
      <c r="R5" s="7974"/>
      <c r="S5" s="7974"/>
      <c r="T5" s="7974"/>
      <c r="U5" s="7974"/>
      <c r="V5" s="7974"/>
      <c r="W5" s="7974"/>
      <c r="X5" s="7974"/>
      <c r="Y5" s="7974"/>
      <c r="Z5" s="7974"/>
      <c r="AA5" s="7975"/>
      <c r="AB5" s="7967">
        <f>TaxYear</f>
        <v>2018</v>
      </c>
      <c r="AC5" s="7569"/>
      <c r="AD5" s="7569"/>
      <c r="AE5" s="7569"/>
      <c r="AF5" s="7569"/>
      <c r="AG5" s="1228"/>
      <c r="AH5" s="1186"/>
    </row>
    <row r="6" spans="1:34" ht="11.25" customHeight="1">
      <c r="A6" s="1228"/>
      <c r="B6" s="7569"/>
      <c r="C6" s="7569"/>
      <c r="D6" s="7569"/>
      <c r="E6" s="7569"/>
      <c r="F6" s="7569"/>
      <c r="G6" s="24"/>
      <c r="H6" s="7977"/>
      <c r="I6" s="5527"/>
      <c r="J6" s="5527"/>
      <c r="K6" s="5527"/>
      <c r="L6" s="5527"/>
      <c r="M6" s="5527"/>
      <c r="N6" s="5527"/>
      <c r="O6" s="5527"/>
      <c r="P6" s="5527"/>
      <c r="Q6" s="5527"/>
      <c r="R6" s="5527"/>
      <c r="S6" s="5527"/>
      <c r="T6" s="5527"/>
      <c r="U6" s="5527"/>
      <c r="V6" s="5527"/>
      <c r="W6" s="5527"/>
      <c r="X6" s="5527"/>
      <c r="Y6" s="5527"/>
      <c r="Z6" s="5527"/>
      <c r="AA6" s="7469"/>
      <c r="AB6" s="7569"/>
      <c r="AC6" s="7569"/>
      <c r="AD6" s="7569"/>
      <c r="AE6" s="7569"/>
      <c r="AF6" s="7569"/>
      <c r="AG6" s="1228"/>
      <c r="AH6" s="1184"/>
    </row>
    <row r="7" spans="1:34" ht="11.25" customHeight="1">
      <c r="A7" s="1228"/>
      <c r="B7" s="24"/>
      <c r="C7" s="24"/>
      <c r="D7" s="24"/>
      <c r="E7" s="24"/>
      <c r="F7" s="24"/>
      <c r="G7" s="24"/>
      <c r="H7" s="7982" t="s">
        <v>2572</v>
      </c>
      <c r="I7" s="7983"/>
      <c r="J7" s="7983"/>
      <c r="K7" s="7983"/>
      <c r="L7" s="7983"/>
      <c r="M7" s="7983"/>
      <c r="N7" s="7983"/>
      <c r="O7" s="7983"/>
      <c r="P7" s="7983"/>
      <c r="Q7" s="7983"/>
      <c r="R7" s="7983"/>
      <c r="S7" s="7983"/>
      <c r="T7" s="7983"/>
      <c r="U7" s="7983"/>
      <c r="V7" s="7983"/>
      <c r="W7" s="7983"/>
      <c r="X7" s="7983"/>
      <c r="Y7" s="7983"/>
      <c r="Z7" s="7983"/>
      <c r="AA7" s="7984"/>
      <c r="AB7" s="7569"/>
      <c r="AC7" s="7569"/>
      <c r="AD7" s="7569"/>
      <c r="AE7" s="7569"/>
      <c r="AF7" s="7569"/>
      <c r="AG7" s="1228"/>
    </row>
    <row r="8" spans="1:34" ht="10.5" customHeight="1">
      <c r="A8" s="1228"/>
      <c r="B8" s="32" t="s">
        <v>202</v>
      </c>
      <c r="C8" s="24"/>
      <c r="D8" s="24"/>
      <c r="E8" s="24"/>
      <c r="F8" s="24"/>
      <c r="G8" s="24"/>
      <c r="H8" s="7982" t="s">
        <v>1301</v>
      </c>
      <c r="I8" s="7983"/>
      <c r="J8" s="7983"/>
      <c r="K8" s="7983"/>
      <c r="L8" s="7983"/>
      <c r="M8" s="7983"/>
      <c r="N8" s="7983"/>
      <c r="O8" s="7983"/>
      <c r="P8" s="7983"/>
      <c r="Q8" s="7983"/>
      <c r="R8" s="7983"/>
      <c r="S8" s="7983"/>
      <c r="T8" s="7983"/>
      <c r="U8" s="7983"/>
      <c r="V8" s="7983"/>
      <c r="W8" s="7983"/>
      <c r="X8" s="7983"/>
      <c r="Y8" s="7983"/>
      <c r="Z8" s="7983"/>
      <c r="AA8" s="7984"/>
      <c r="AB8" s="8005" t="s">
        <v>4038</v>
      </c>
      <c r="AC8" s="8050"/>
      <c r="AD8" s="8050"/>
      <c r="AE8" s="8012" t="s">
        <v>4194</v>
      </c>
      <c r="AF8" s="8012"/>
      <c r="AG8" s="1228"/>
    </row>
    <row r="9" spans="1:34" ht="10.5" customHeight="1" thickBot="1">
      <c r="A9" s="1228"/>
      <c r="B9" s="31" t="s">
        <v>450</v>
      </c>
      <c r="C9" s="39"/>
      <c r="D9" s="39"/>
      <c r="E9" s="39"/>
      <c r="F9" s="39"/>
      <c r="G9" s="39"/>
      <c r="H9" s="8054"/>
      <c r="I9" s="8055"/>
      <c r="J9" s="8055"/>
      <c r="K9" s="8055"/>
      <c r="L9" s="8055"/>
      <c r="M9" s="8055"/>
      <c r="N9" s="8055"/>
      <c r="O9" s="8055"/>
      <c r="P9" s="8055"/>
      <c r="Q9" s="8055"/>
      <c r="R9" s="8055"/>
      <c r="S9" s="8055"/>
      <c r="T9" s="8055"/>
      <c r="U9" s="8055"/>
      <c r="V9" s="8055"/>
      <c r="W9" s="8055"/>
      <c r="X9" s="8055"/>
      <c r="Y9" s="8055"/>
      <c r="Z9" s="8055"/>
      <c r="AA9" s="8056"/>
      <c r="AB9" s="8051"/>
      <c r="AC9" s="8052"/>
      <c r="AD9" s="8052"/>
      <c r="AE9" s="8053"/>
      <c r="AF9" s="8053"/>
      <c r="AG9" s="1228"/>
    </row>
    <row r="10" spans="1:34">
      <c r="A10" s="1228"/>
      <c r="B10" s="32" t="s">
        <v>63</v>
      </c>
      <c r="C10" s="24"/>
      <c r="D10" s="24"/>
      <c r="E10" s="24"/>
      <c r="F10" s="24"/>
      <c r="G10" s="24"/>
      <c r="H10" s="24"/>
      <c r="I10" s="24"/>
      <c r="J10" s="24"/>
      <c r="K10" s="24"/>
      <c r="L10" s="24"/>
      <c r="M10" s="24"/>
      <c r="N10" s="24"/>
      <c r="O10" s="24"/>
      <c r="P10" s="24"/>
      <c r="Q10" s="24"/>
      <c r="R10" s="24"/>
      <c r="S10" s="24"/>
      <c r="T10" s="24"/>
      <c r="U10" s="24"/>
      <c r="V10" s="1546" t="s">
        <v>899</v>
      </c>
      <c r="W10" s="24"/>
      <c r="X10" s="24"/>
      <c r="Y10" s="24"/>
      <c r="Z10" s="37"/>
      <c r="AA10" s="24"/>
      <c r="AB10" s="24"/>
      <c r="AC10" s="24"/>
      <c r="AD10" s="24"/>
      <c r="AE10" s="24"/>
      <c r="AF10" s="24"/>
      <c r="AG10" s="1228"/>
    </row>
    <row r="11" spans="1:34" ht="16.5" thickBot="1">
      <c r="A11" s="1228"/>
      <c r="B11" s="7970" t="str">
        <f>Names</f>
        <v/>
      </c>
      <c r="C11" s="7971"/>
      <c r="D11" s="7971"/>
      <c r="E11" s="7971"/>
      <c r="F11" s="7971"/>
      <c r="G11" s="7971"/>
      <c r="H11" s="7971"/>
      <c r="I11" s="7971"/>
      <c r="J11" s="7971"/>
      <c r="K11" s="7971"/>
      <c r="L11" s="7971"/>
      <c r="M11" s="7971"/>
      <c r="N11" s="7971"/>
      <c r="O11" s="7971"/>
      <c r="P11" s="7971"/>
      <c r="Q11" s="7971"/>
      <c r="R11" s="7971"/>
      <c r="S11" s="7971"/>
      <c r="T11" s="7971"/>
      <c r="U11" s="7972"/>
      <c r="V11" s="7968">
        <f>IF(NoSSN,"",SS_Yours)</f>
        <v>0</v>
      </c>
      <c r="W11" s="7969"/>
      <c r="X11" s="7969"/>
      <c r="Y11" s="7969"/>
      <c r="Z11" s="7969"/>
      <c r="AA11" s="7969"/>
      <c r="AB11" s="7969"/>
      <c r="AC11" s="7969"/>
      <c r="AD11" s="7969"/>
      <c r="AE11" s="7969"/>
      <c r="AF11" s="7969"/>
      <c r="AG11" s="1228"/>
    </row>
    <row r="12" spans="1:34" ht="12.75" customHeight="1">
      <c r="A12" s="1228"/>
      <c r="B12" s="8031" t="s">
        <v>1957</v>
      </c>
      <c r="C12" s="8032"/>
      <c r="D12" s="8032"/>
      <c r="E12" s="8032"/>
      <c r="F12" s="8032"/>
      <c r="G12" s="8032"/>
      <c r="H12" s="8032"/>
      <c r="I12" s="8032"/>
      <c r="J12" s="8032"/>
      <c r="K12" s="8032"/>
      <c r="L12" s="8032"/>
      <c r="M12" s="8032"/>
      <c r="N12" s="8032"/>
      <c r="O12" s="8032"/>
      <c r="P12" s="8032"/>
      <c r="Q12" s="8032"/>
      <c r="R12" s="8032"/>
      <c r="S12" s="8032"/>
      <c r="T12" s="8032"/>
      <c r="U12" s="8032"/>
      <c r="V12" s="8032"/>
      <c r="W12" s="8032"/>
      <c r="X12" s="8032"/>
      <c r="Y12" s="8032"/>
      <c r="Z12" s="8032"/>
      <c r="AA12" s="8032"/>
      <c r="AB12" s="8032"/>
      <c r="AC12" s="8032"/>
      <c r="AD12" s="8032"/>
      <c r="AE12" s="8032"/>
      <c r="AF12" s="8032"/>
      <c r="AG12" s="1228"/>
    </row>
    <row r="13" spans="1:34" ht="12.75" customHeight="1">
      <c r="A13" s="1228"/>
      <c r="B13" s="6088"/>
      <c r="C13" s="6088"/>
      <c r="D13" s="6088"/>
      <c r="E13" s="6088"/>
      <c r="F13" s="6088"/>
      <c r="G13" s="6088"/>
      <c r="H13" s="6088"/>
      <c r="I13" s="6088"/>
      <c r="J13" s="6088"/>
      <c r="K13" s="6088"/>
      <c r="L13" s="6088"/>
      <c r="M13" s="6088"/>
      <c r="N13" s="6088"/>
      <c r="O13" s="6088"/>
      <c r="P13" s="6088"/>
      <c r="Q13" s="6088"/>
      <c r="R13" s="6088"/>
      <c r="S13" s="6088"/>
      <c r="T13" s="6088"/>
      <c r="U13" s="6088"/>
      <c r="V13" s="6088"/>
      <c r="W13" s="6088"/>
      <c r="X13" s="6088"/>
      <c r="Y13" s="6088"/>
      <c r="Z13" s="6088"/>
      <c r="AA13" s="6088"/>
      <c r="AB13" s="6088"/>
      <c r="AC13" s="6088"/>
      <c r="AD13" s="6088"/>
      <c r="AE13" s="6088"/>
      <c r="AF13" s="6088"/>
      <c r="AG13" s="1228"/>
    </row>
    <row r="14" spans="1:34" ht="12.75" customHeight="1">
      <c r="A14" s="1228"/>
      <c r="B14" s="5809"/>
      <c r="C14" s="5809"/>
      <c r="D14" s="5809"/>
      <c r="E14" s="5809"/>
      <c r="F14" s="5809"/>
      <c r="G14" s="5809"/>
      <c r="H14" s="5809"/>
      <c r="I14" s="5809"/>
      <c r="J14" s="5809"/>
      <c r="K14" s="5809"/>
      <c r="L14" s="5809"/>
      <c r="M14" s="5809"/>
      <c r="N14" s="5809"/>
      <c r="O14" s="5809"/>
      <c r="P14" s="5809"/>
      <c r="Q14" s="5809"/>
      <c r="R14" s="5809"/>
      <c r="S14" s="5809"/>
      <c r="T14" s="5809"/>
      <c r="U14" s="5809"/>
      <c r="V14" s="5809"/>
      <c r="W14" s="5809"/>
      <c r="X14" s="5809"/>
      <c r="Y14" s="5809"/>
      <c r="Z14" s="5809"/>
      <c r="AA14" s="5809"/>
      <c r="AB14" s="5809"/>
      <c r="AC14" s="5809"/>
      <c r="AD14" s="5809"/>
      <c r="AE14" s="5809"/>
      <c r="AF14" s="5809"/>
      <c r="AG14" s="1228"/>
    </row>
    <row r="15" spans="1:34" ht="3.75" customHeight="1">
      <c r="A15" s="1228"/>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28"/>
    </row>
    <row r="16" spans="1:34" ht="15">
      <c r="A16" s="1228"/>
      <c r="B16" s="7978" t="s">
        <v>58</v>
      </c>
      <c r="C16" s="5615"/>
      <c r="D16" s="24"/>
      <c r="E16" s="354" t="s">
        <v>2574</v>
      </c>
      <c r="F16" s="24"/>
      <c r="G16" s="24"/>
      <c r="H16" s="24"/>
      <c r="I16" s="24"/>
      <c r="J16" s="24"/>
      <c r="K16" s="24"/>
      <c r="L16" s="24"/>
      <c r="M16" s="24"/>
      <c r="N16" s="24"/>
      <c r="O16" s="24"/>
      <c r="P16" s="24"/>
      <c r="Q16" s="24"/>
      <c r="R16" s="24"/>
      <c r="S16" s="24"/>
      <c r="T16" s="423" t="s">
        <v>2573</v>
      </c>
      <c r="U16" s="24"/>
      <c r="V16" s="24"/>
      <c r="W16" s="24"/>
      <c r="X16" s="423" t="s">
        <v>4201</v>
      </c>
      <c r="Y16" s="24"/>
      <c r="Z16" s="24"/>
      <c r="AA16" s="24"/>
      <c r="AB16" s="24"/>
      <c r="AC16" s="24"/>
      <c r="AD16" s="24"/>
      <c r="AE16" s="24"/>
      <c r="AF16" s="24"/>
      <c r="AG16" s="1228" t="b">
        <f>IF(SUM(AG35:AG54)&gt;0,TRUE,FALSE)</f>
        <v>0</v>
      </c>
    </row>
    <row r="17" spans="1:55" ht="11.25" customHeight="1">
      <c r="A17" s="1228"/>
      <c r="B17" s="24"/>
      <c r="C17" s="24"/>
      <c r="D17" s="24"/>
      <c r="E17" s="423" t="s">
        <v>4195</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228"/>
    </row>
    <row r="18" spans="1:55" s="269" customFormat="1" ht="13.5" customHeight="1">
      <c r="A18" s="3246"/>
      <c r="B18" s="423"/>
      <c r="C18" s="423"/>
      <c r="D18" s="423"/>
      <c r="E18" s="3247" t="s">
        <v>2575</v>
      </c>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3246"/>
      <c r="AH18" s="1067"/>
      <c r="AI18" s="1067"/>
    </row>
    <row r="19" spans="1:55" s="269" customFormat="1" ht="13.5" customHeight="1">
      <c r="A19" s="3246"/>
      <c r="B19" s="423"/>
      <c r="C19" s="423"/>
      <c r="D19" s="423"/>
      <c r="E19" s="423" t="s">
        <v>1013</v>
      </c>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3246"/>
      <c r="AH19" s="1067"/>
      <c r="AI19" s="1067"/>
    </row>
    <row r="20" spans="1:55" s="269" customFormat="1" ht="13.5" customHeight="1">
      <c r="A20" s="3246"/>
      <c r="B20" s="3248"/>
      <c r="C20" s="3248"/>
      <c r="D20" s="3248"/>
      <c r="E20" s="3248" t="s">
        <v>4196</v>
      </c>
      <c r="F20" s="3248"/>
      <c r="G20" s="3248"/>
      <c r="H20" s="3248"/>
      <c r="I20" s="3248"/>
      <c r="J20" s="3248"/>
      <c r="K20" s="3248"/>
      <c r="L20" s="3248"/>
      <c r="M20" s="3248"/>
      <c r="N20" s="3248"/>
      <c r="O20" s="3248"/>
      <c r="P20" s="3248"/>
      <c r="Q20" s="3248"/>
      <c r="R20" s="3248"/>
      <c r="S20" s="3248"/>
      <c r="T20" s="3248"/>
      <c r="U20" s="3248"/>
      <c r="V20" s="3248"/>
      <c r="W20" s="3248"/>
      <c r="X20" s="3248"/>
      <c r="Y20" s="3248"/>
      <c r="Z20" s="3248"/>
      <c r="AA20" s="3248"/>
      <c r="AB20" s="3248"/>
      <c r="AC20" s="3248"/>
      <c r="AD20" s="3248"/>
      <c r="AE20" s="3248"/>
      <c r="AF20" s="3248"/>
      <c r="AG20" s="3246"/>
      <c r="AH20" s="1067"/>
      <c r="AI20" s="1067"/>
    </row>
    <row r="21" spans="1:55">
      <c r="A21" s="1228"/>
      <c r="B21" s="286" t="s">
        <v>888</v>
      </c>
      <c r="C21" s="60"/>
      <c r="D21" s="60"/>
      <c r="E21" s="60"/>
      <c r="F21" s="60"/>
      <c r="G21" s="60"/>
      <c r="H21" s="60"/>
      <c r="I21" s="60"/>
      <c r="J21" s="60"/>
      <c r="K21" s="286"/>
      <c r="L21" s="286" t="s">
        <v>887</v>
      </c>
      <c r="M21" s="60"/>
      <c r="N21" s="60"/>
      <c r="O21" s="60"/>
      <c r="P21" s="60"/>
      <c r="Q21" s="74" t="s">
        <v>886</v>
      </c>
      <c r="R21" s="60"/>
      <c r="S21" s="60"/>
      <c r="T21" s="60"/>
      <c r="U21" s="60"/>
      <c r="V21" s="60"/>
      <c r="W21" s="60"/>
      <c r="X21" s="60"/>
      <c r="Y21" s="60"/>
      <c r="Z21" s="60"/>
      <c r="AA21" s="60"/>
      <c r="AB21" s="60"/>
      <c r="AC21" s="60"/>
      <c r="AD21" s="60"/>
      <c r="AE21" s="60"/>
      <c r="AF21" s="60"/>
      <c r="AG21" s="1228"/>
    </row>
    <row r="22" spans="1:55">
      <c r="A22" s="1228"/>
      <c r="B22" s="74" t="s">
        <v>884</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28"/>
      <c r="BA22" s="7953" t="s">
        <v>957</v>
      </c>
      <c r="BB22" s="6273"/>
      <c r="BC22" s="6185"/>
    </row>
    <row r="23" spans="1:55">
      <c r="A23" s="1228"/>
      <c r="B23" s="74" t="s">
        <v>885</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28"/>
      <c r="BA23" s="7954" t="s">
        <v>956</v>
      </c>
      <c r="BB23" s="7954" t="s">
        <v>947</v>
      </c>
      <c r="BC23" s="7954" t="s">
        <v>948</v>
      </c>
    </row>
    <row r="24" spans="1:55" ht="4.5" customHeight="1" thickBot="1">
      <c r="A24" s="1228"/>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28"/>
      <c r="BA24" s="7955"/>
      <c r="BB24" s="7955"/>
      <c r="BC24" s="7955"/>
    </row>
    <row r="25" spans="1:55" ht="12" customHeight="1" thickBot="1">
      <c r="A25" s="1228"/>
      <c r="B25" s="1588">
        <f>IF(C25&lt;&gt;"",1,0)</f>
        <v>0</v>
      </c>
      <c r="C25" s="1587"/>
      <c r="D25" s="1085" t="s">
        <v>4198</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28"/>
      <c r="AJ25" s="7948"/>
      <c r="AK25" s="7949"/>
      <c r="AL25" s="7949"/>
      <c r="AM25" s="7949"/>
      <c r="AN25" s="7949"/>
      <c r="AO25" s="7949"/>
      <c r="AP25" s="7949"/>
      <c r="AQ25" s="7949"/>
      <c r="BA25" s="7955"/>
      <c r="BB25" s="7955"/>
      <c r="BC25" s="7955"/>
    </row>
    <row r="26" spans="1:55" ht="4.5" customHeight="1" thickBot="1">
      <c r="A26" s="1228"/>
      <c r="B26" s="1588"/>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28"/>
      <c r="BA26" s="7955"/>
      <c r="BB26" s="7955"/>
      <c r="BC26" s="7955"/>
    </row>
    <row r="27" spans="1:55" ht="11.25" customHeight="1" thickBot="1">
      <c r="A27" s="1228"/>
      <c r="B27" s="1588">
        <f>IF(C27&lt;&gt;"",1,0)</f>
        <v>0</v>
      </c>
      <c r="C27" s="1587"/>
      <c r="D27" s="1085" t="s">
        <v>4197</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28"/>
      <c r="AJ27" s="7948"/>
      <c r="AK27" s="7949"/>
      <c r="AL27" s="7949"/>
      <c r="AM27" s="7949"/>
      <c r="AN27" s="7949"/>
      <c r="AO27" s="7949"/>
      <c r="AP27" s="7949"/>
      <c r="AQ27" s="7949"/>
      <c r="BA27" s="7955"/>
      <c r="BB27" s="7955"/>
      <c r="BC27" s="7955"/>
    </row>
    <row r="28" spans="1:55" ht="4.5" customHeight="1" thickBot="1">
      <c r="A28" s="1228"/>
      <c r="B28" s="1588"/>
      <c r="C28" s="60"/>
      <c r="D28" s="74"/>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28"/>
      <c r="BA28" s="7955"/>
      <c r="BB28" s="7955"/>
      <c r="BC28" s="7955"/>
    </row>
    <row r="29" spans="1:55" ht="12" customHeight="1" thickBot="1">
      <c r="A29" s="1228">
        <f>SUM(B25:B29)</f>
        <v>0</v>
      </c>
      <c r="B29" s="1588">
        <f>IF(C29&lt;&gt;"",1,0)</f>
        <v>0</v>
      </c>
      <c r="C29" s="1587"/>
      <c r="D29" s="1085" t="s">
        <v>4199</v>
      </c>
      <c r="E29" s="60"/>
      <c r="F29" s="60"/>
      <c r="G29" s="60"/>
      <c r="H29" s="60"/>
      <c r="I29" s="60"/>
      <c r="J29" s="60"/>
      <c r="K29" s="60"/>
      <c r="L29" s="60"/>
      <c r="M29" s="60"/>
      <c r="N29" s="60"/>
      <c r="O29" s="60"/>
      <c r="P29" s="60"/>
      <c r="Q29" s="60"/>
      <c r="R29" s="7940" t="str">
        <f>IF(SpaceUsed_8949C_ST,"ERROR: DO NOT use the space bar to uncheck a box. Use the 'Delete' key.",IF(A29&gt;1,"Check only ONE box.",IF(A29&gt;0,"",IF(A29&lt;1,"Check ONE box.",""))))</f>
        <v>Check ONE box.</v>
      </c>
      <c r="S29" s="7941"/>
      <c r="T29" s="7941"/>
      <c r="U29" s="7941"/>
      <c r="V29" s="7941"/>
      <c r="W29" s="7941"/>
      <c r="X29" s="7941"/>
      <c r="Y29" s="7941"/>
      <c r="Z29" s="7941"/>
      <c r="AA29" s="7941"/>
      <c r="AB29" s="7941"/>
      <c r="AC29" s="7941"/>
      <c r="AD29" s="7941"/>
      <c r="AE29" s="7941"/>
      <c r="AF29" s="60"/>
      <c r="AG29" s="1228"/>
      <c r="AH29" s="1786" t="b">
        <f>IF(OR(F8949DSBOXA=CHAR(32),F8949DSBOXB=CHAR(32),F8949DSBOXC=CHAR(32)),TRUE,FALSE)</f>
        <v>0</v>
      </c>
      <c r="AJ29" s="7956" t="s">
        <v>3403</v>
      </c>
      <c r="AK29" s="7949"/>
      <c r="AL29" s="7949"/>
      <c r="AM29" s="7949"/>
      <c r="AN29" s="7949"/>
      <c r="AO29" s="7949"/>
      <c r="AP29" s="7949"/>
      <c r="AQ29" s="7949"/>
      <c r="BA29" s="7955"/>
      <c r="BB29" s="7955"/>
      <c r="BC29" s="7955"/>
    </row>
    <row r="30" spans="1:55" ht="3.75" customHeight="1">
      <c r="A30" s="1228"/>
      <c r="B30" s="287"/>
      <c r="C30" s="1187"/>
      <c r="D30" s="287"/>
      <c r="E30" s="287"/>
      <c r="F30" s="287"/>
      <c r="G30" s="287"/>
      <c r="H30" s="287"/>
      <c r="I30" s="287"/>
      <c r="J30" s="287"/>
      <c r="K30" s="287"/>
      <c r="L30" s="287"/>
      <c r="M30" s="287"/>
      <c r="N30" s="1187"/>
      <c r="O30" s="287"/>
      <c r="P30" s="287"/>
      <c r="Q30" s="287"/>
      <c r="R30" s="287"/>
      <c r="S30" s="287"/>
      <c r="T30" s="287"/>
      <c r="U30" s="287"/>
      <c r="V30" s="287"/>
      <c r="W30" s="287"/>
      <c r="X30" s="287"/>
      <c r="Y30" s="1187"/>
      <c r="Z30" s="287"/>
      <c r="AA30" s="287"/>
      <c r="AB30" s="287"/>
      <c r="AC30" s="287"/>
      <c r="AD30" s="287"/>
      <c r="AE30" s="287"/>
      <c r="AF30" s="287"/>
      <c r="AG30" s="1228"/>
      <c r="BA30" s="7955"/>
      <c r="BB30" s="7955"/>
      <c r="BC30" s="7955"/>
    </row>
    <row r="31" spans="1:55" ht="21" customHeight="1">
      <c r="A31" s="1228"/>
      <c r="B31" s="7979">
        <v>1</v>
      </c>
      <c r="C31" s="7985" t="s">
        <v>733</v>
      </c>
      <c r="D31" s="7986"/>
      <c r="E31" s="7986"/>
      <c r="F31" s="7986"/>
      <c r="G31" s="7986"/>
      <c r="H31" s="7986"/>
      <c r="I31" s="7987"/>
      <c r="J31" s="8002" t="s">
        <v>892</v>
      </c>
      <c r="K31" s="6365"/>
      <c r="L31" s="6149"/>
      <c r="M31" s="8002" t="s">
        <v>893</v>
      </c>
      <c r="N31" s="6365"/>
      <c r="O31" s="6365"/>
      <c r="P31" s="6149"/>
      <c r="Q31" s="8002" t="s">
        <v>894</v>
      </c>
      <c r="R31" s="6365"/>
      <c r="S31" s="6365"/>
      <c r="T31" s="6149"/>
      <c r="U31" s="7927" t="s">
        <v>898</v>
      </c>
      <c r="V31" s="7928"/>
      <c r="W31" s="7928"/>
      <c r="X31" s="7999"/>
      <c r="Y31" s="7993" t="s">
        <v>4208</v>
      </c>
      <c r="Z31" s="7994"/>
      <c r="AA31" s="7994"/>
      <c r="AB31" s="7995"/>
      <c r="AC31" s="7927" t="s">
        <v>897</v>
      </c>
      <c r="AD31" s="7928"/>
      <c r="AE31" s="7928"/>
      <c r="AF31" s="7928"/>
      <c r="AG31" s="1228"/>
      <c r="AJ31" s="7946" t="s">
        <v>870</v>
      </c>
      <c r="AK31" s="7946" t="s">
        <v>900</v>
      </c>
      <c r="AL31" s="7946" t="s">
        <v>901</v>
      </c>
      <c r="AM31" s="7946" t="s">
        <v>902</v>
      </c>
      <c r="AN31" s="7944" t="s">
        <v>903</v>
      </c>
      <c r="AO31" s="7950" t="s">
        <v>895</v>
      </c>
      <c r="AP31" s="6115"/>
      <c r="AQ31" s="7946" t="s">
        <v>934</v>
      </c>
      <c r="BA31" s="7955"/>
      <c r="BB31" s="7955"/>
      <c r="BC31" s="7955"/>
    </row>
    <row r="32" spans="1:55" ht="21" customHeight="1">
      <c r="A32" s="1228"/>
      <c r="B32" s="7980"/>
      <c r="C32" s="7988"/>
      <c r="D32" s="7989"/>
      <c r="E32" s="7989"/>
      <c r="F32" s="7989"/>
      <c r="G32" s="7989"/>
      <c r="H32" s="7989"/>
      <c r="I32" s="7990"/>
      <c r="J32" s="8003"/>
      <c r="K32" s="7268"/>
      <c r="L32" s="6151"/>
      <c r="M32" s="8003"/>
      <c r="N32" s="7268"/>
      <c r="O32" s="7268"/>
      <c r="P32" s="6151"/>
      <c r="Q32" s="8003"/>
      <c r="R32" s="7268"/>
      <c r="S32" s="7268"/>
      <c r="T32" s="6151"/>
      <c r="U32" s="7929"/>
      <c r="V32" s="7930"/>
      <c r="W32" s="7930"/>
      <c r="X32" s="8000"/>
      <c r="Y32" s="7996"/>
      <c r="Z32" s="7997"/>
      <c r="AA32" s="7997"/>
      <c r="AB32" s="7998"/>
      <c r="AC32" s="7929"/>
      <c r="AD32" s="7930"/>
      <c r="AE32" s="7930"/>
      <c r="AF32" s="7930"/>
      <c r="AG32" s="1228"/>
      <c r="AJ32" s="7946"/>
      <c r="AK32" s="7946"/>
      <c r="AL32" s="7946"/>
      <c r="AM32" s="7946"/>
      <c r="AN32" s="7944"/>
      <c r="AO32" s="6250"/>
      <c r="AP32" s="6120"/>
      <c r="AQ32" s="7946"/>
      <c r="BA32" s="7955"/>
      <c r="BB32" s="7955"/>
      <c r="BC32" s="7955"/>
    </row>
    <row r="33" spans="1:55" ht="18" customHeight="1">
      <c r="A33" s="1228"/>
      <c r="B33" s="5646"/>
      <c r="C33" s="7989"/>
      <c r="D33" s="7989"/>
      <c r="E33" s="7989"/>
      <c r="F33" s="7989"/>
      <c r="G33" s="7989"/>
      <c r="H33" s="7989"/>
      <c r="I33" s="7990"/>
      <c r="J33" s="6150"/>
      <c r="K33" s="7268"/>
      <c r="L33" s="6151"/>
      <c r="M33" s="6150"/>
      <c r="N33" s="7268"/>
      <c r="O33" s="7268"/>
      <c r="P33" s="6151"/>
      <c r="Q33" s="6150"/>
      <c r="R33" s="7268"/>
      <c r="S33" s="7268"/>
      <c r="T33" s="6151"/>
      <c r="U33" s="7931"/>
      <c r="V33" s="7930"/>
      <c r="W33" s="7930"/>
      <c r="X33" s="8000"/>
      <c r="Y33" s="6310" t="s">
        <v>4210</v>
      </c>
      <c r="Z33" s="6149"/>
      <c r="AA33" s="6310" t="s">
        <v>896</v>
      </c>
      <c r="AB33" s="6244"/>
      <c r="AC33" s="7931"/>
      <c r="AD33" s="7930"/>
      <c r="AE33" s="7930"/>
      <c r="AF33" s="7930"/>
      <c r="AG33" s="1228"/>
      <c r="AJ33" s="7947"/>
      <c r="AK33" s="7947"/>
      <c r="AL33" s="7947"/>
      <c r="AM33" s="7947"/>
      <c r="AN33" s="7945"/>
      <c r="AO33" s="7952" t="s">
        <v>904</v>
      </c>
      <c r="AP33" s="6223" t="s">
        <v>896</v>
      </c>
      <c r="AQ33" s="7947"/>
      <c r="BA33" s="7955"/>
      <c r="BB33" s="7955"/>
      <c r="BC33" s="7955"/>
    </row>
    <row r="34" spans="1:55" ht="18" customHeight="1">
      <c r="A34" s="1228"/>
      <c r="B34" s="7981"/>
      <c r="C34" s="7991"/>
      <c r="D34" s="7991"/>
      <c r="E34" s="7991"/>
      <c r="F34" s="7991"/>
      <c r="G34" s="7991"/>
      <c r="H34" s="7991"/>
      <c r="I34" s="7992"/>
      <c r="J34" s="6152"/>
      <c r="K34" s="8004"/>
      <c r="L34" s="6153"/>
      <c r="M34" s="6152"/>
      <c r="N34" s="8004"/>
      <c r="O34" s="8004"/>
      <c r="P34" s="6153"/>
      <c r="Q34" s="6152"/>
      <c r="R34" s="8004"/>
      <c r="S34" s="8004"/>
      <c r="T34" s="6153"/>
      <c r="U34" s="7932"/>
      <c r="V34" s="7933"/>
      <c r="W34" s="7933"/>
      <c r="X34" s="8001"/>
      <c r="Y34" s="6152"/>
      <c r="Z34" s="6153"/>
      <c r="AA34" s="5580"/>
      <c r="AB34" s="6246"/>
      <c r="AC34" s="7932"/>
      <c r="AD34" s="7933"/>
      <c r="AE34" s="7933"/>
      <c r="AF34" s="7933"/>
      <c r="AG34" s="1228"/>
      <c r="AJ34" s="7947"/>
      <c r="AK34" s="7947"/>
      <c r="AL34" s="7947"/>
      <c r="AM34" s="7947"/>
      <c r="AN34" s="7945"/>
      <c r="AO34" s="7951"/>
      <c r="AP34" s="7951"/>
      <c r="AQ34" s="7947"/>
      <c r="BA34" s="7955"/>
      <c r="BB34" s="7955"/>
      <c r="BC34" s="7955"/>
    </row>
    <row r="35" spans="1:55" ht="19.5" customHeight="1">
      <c r="A35" s="1228">
        <f>IF(OR(U35&lt;&gt;"",Y35&lt;&gt;"",AC35&lt;&gt;""),1,0)</f>
        <v>0</v>
      </c>
      <c r="B35" s="7957" t="str">
        <f t="shared" ref="B35" si="0">IF(AJ35="","",AJ35)</f>
        <v/>
      </c>
      <c r="C35" s="7958"/>
      <c r="D35" s="7958"/>
      <c r="E35" s="7958"/>
      <c r="F35" s="7958"/>
      <c r="G35" s="7958"/>
      <c r="H35" s="7958"/>
      <c r="I35" s="7959"/>
      <c r="J35" s="7960" t="str">
        <f t="shared" ref="J35" si="1">IF(AK35="","",AK35)</f>
        <v/>
      </c>
      <c r="K35" s="7961"/>
      <c r="L35" s="7961"/>
      <c r="M35" s="7960" t="str">
        <f t="shared" ref="M35" si="2">IF(AL35="","",AL35)</f>
        <v/>
      </c>
      <c r="N35" s="7961"/>
      <c r="O35" s="7961"/>
      <c r="P35" s="7962"/>
      <c r="Q35" s="5988" t="str">
        <f t="shared" ref="Q35" si="3">IF(AM35="","",AM35)</f>
        <v/>
      </c>
      <c r="R35" s="7942"/>
      <c r="S35" s="7942"/>
      <c r="T35" s="7943"/>
      <c r="U35" s="5988" t="str">
        <f t="shared" ref="U35" si="4">IF(AN35="","",AN35)</f>
        <v/>
      </c>
      <c r="V35" s="7942"/>
      <c r="W35" s="7942"/>
      <c r="X35" s="7943"/>
      <c r="Y35" s="7924" t="str">
        <f>IF(AO35&lt;&gt;"",AO35,"")</f>
        <v/>
      </c>
      <c r="Z35" s="5495"/>
      <c r="AA35" s="7924" t="str">
        <f>IF(AP35="","",AP35)</f>
        <v/>
      </c>
      <c r="AB35" s="5495"/>
      <c r="AC35" s="7925" t="str">
        <f t="shared" ref="AC35" si="5">IF(AQ35&lt;&gt;"",AQ35,IF(AND(Q35&lt;&gt;"",U35&lt;&gt;""),SUM(Q35,-U35,AA35),""))</f>
        <v/>
      </c>
      <c r="AD35" s="7926"/>
      <c r="AE35" s="7926"/>
      <c r="AF35" s="7926"/>
      <c r="AG35" s="1631">
        <f>IF(OR(J35="",M35=""),0,IF(OR(BA35,BB35,BC35),0,1))</f>
        <v>0</v>
      </c>
      <c r="AH35" s="1185"/>
      <c r="AI35" s="1185" t="e">
        <f t="shared" ref="AI35:AI54" si="6">M35-J35</f>
        <v>#VALUE!</v>
      </c>
      <c r="AJ35" s="1547"/>
      <c r="AK35" s="1551"/>
      <c r="AL35" s="1551"/>
      <c r="AM35" s="1549"/>
      <c r="AN35" s="1549"/>
      <c r="AO35" s="1550"/>
      <c r="AP35" s="1549"/>
      <c r="AQ35" s="1548"/>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28">
        <f t="shared" ref="A36:A54" si="7">IF(OR(U36&lt;&gt;"",Y36&lt;&gt;"",AC36&lt;&gt;""),1,0)</f>
        <v>0</v>
      </c>
      <c r="B36" s="7957" t="str">
        <f t="shared" ref="B36:B54" si="8">IF(AJ36="","",AJ36)</f>
        <v/>
      </c>
      <c r="C36" s="7958"/>
      <c r="D36" s="7958"/>
      <c r="E36" s="7958"/>
      <c r="F36" s="7958"/>
      <c r="G36" s="7958"/>
      <c r="H36" s="7958"/>
      <c r="I36" s="7959"/>
      <c r="J36" s="7960" t="str">
        <f t="shared" ref="J36:J54" si="9">IF(AK36="","",AK36)</f>
        <v/>
      </c>
      <c r="K36" s="7961"/>
      <c r="L36" s="7961"/>
      <c r="M36" s="7960" t="str">
        <f t="shared" ref="M36:M54" si="10">IF(AL36="","",AL36)</f>
        <v/>
      </c>
      <c r="N36" s="7961"/>
      <c r="O36" s="7961"/>
      <c r="P36" s="7962"/>
      <c r="Q36" s="5988" t="str">
        <f t="shared" ref="Q36:Q54" si="11">IF(AM36="","",AM36)</f>
        <v/>
      </c>
      <c r="R36" s="7942"/>
      <c r="S36" s="7942"/>
      <c r="T36" s="7943"/>
      <c r="U36" s="5988" t="str">
        <f t="shared" ref="U36:U54" si="12">IF(AN36="","",AN36)</f>
        <v/>
      </c>
      <c r="V36" s="7942"/>
      <c r="W36" s="7942"/>
      <c r="X36" s="7943"/>
      <c r="Y36" s="7924" t="str">
        <f>IF(AO36&lt;&gt;"",AO36,"")</f>
        <v/>
      </c>
      <c r="Z36" s="5495"/>
      <c r="AA36" s="7924" t="str">
        <f>IF(AP36="","",AP36)</f>
        <v/>
      </c>
      <c r="AB36" s="5495"/>
      <c r="AC36" s="7925" t="str">
        <f t="shared" ref="AC36:AC54" si="13">IF(AQ36&lt;&gt;"",AQ36,IF(AND(Q36&lt;&gt;"",U36&lt;&gt;""),SUM(Q36,-U36,AA36),""))</f>
        <v/>
      </c>
      <c r="AD36" s="7926"/>
      <c r="AE36" s="7926"/>
      <c r="AF36" s="7926"/>
      <c r="AG36" s="1631">
        <f t="shared" ref="AG36:AG54" si="14">IF(OR(J36="",M36=""),0,IF(OR(BA36,BB36,BC36),0,1))</f>
        <v>0</v>
      </c>
      <c r="AH36" s="1185"/>
      <c r="AI36" s="1185" t="e">
        <f t="shared" si="6"/>
        <v>#VALUE!</v>
      </c>
      <c r="AJ36" s="1547"/>
      <c r="AK36" s="1551"/>
      <c r="AL36" s="1551"/>
      <c r="AM36" s="1549"/>
      <c r="AN36" s="1549"/>
      <c r="AO36" s="1550"/>
      <c r="AP36" s="1549"/>
      <c r="AQ36" s="1548"/>
      <c r="AS36" s="46" t="e">
        <f t="shared" ref="AS36:AS54" si="15">YEAR(J36)</f>
        <v>#VALUE!</v>
      </c>
      <c r="AT36" s="46" t="e">
        <f t="shared" ref="AT36:AT54" si="16">MONTH(J36)</f>
        <v>#VALUE!</v>
      </c>
      <c r="AU36" s="46" t="e">
        <f t="shared" ref="AU36:AU54" si="17">DAY(J36)</f>
        <v>#VALUE!</v>
      </c>
      <c r="AW36" s="46" t="e">
        <f t="shared" ref="AW36:AW54" si="18">YEAR(M36)</f>
        <v>#VALUE!</v>
      </c>
      <c r="AX36" s="46" t="e">
        <f t="shared" ref="AX36:AX54" si="19">MONTH(M36)</f>
        <v>#VALUE!</v>
      </c>
      <c r="AY36" s="46" t="e">
        <f t="shared" ref="AY36:AY54" si="20">DAY(M36)</f>
        <v>#VALUE!</v>
      </c>
      <c r="BA36" s="46" t="e">
        <f t="shared" ref="BA36:BA54" si="21">IF(AW36=AS36,TRUE,FALSE)</f>
        <v>#VALUE!</v>
      </c>
      <c r="BB36" s="46" t="e">
        <f t="shared" ref="BB36:BB54" si="22">IF(AND(AW36=AS36+1,AX36&lt;AT36),TRUE,FALSE)</f>
        <v>#VALUE!</v>
      </c>
      <c r="BC36" s="46" t="e">
        <f t="shared" ref="BC36:BC54" si="23">IF(AND(AW36=AS36+1,AX36=AT36,AY36&lt;=AU36),TRUE,FALSE)</f>
        <v>#VALUE!</v>
      </c>
    </row>
    <row r="37" spans="1:55" ht="19.5" customHeight="1">
      <c r="A37" s="1228">
        <f t="shared" si="7"/>
        <v>0</v>
      </c>
      <c r="B37" s="7957" t="str">
        <f t="shared" si="8"/>
        <v/>
      </c>
      <c r="C37" s="7958"/>
      <c r="D37" s="7958"/>
      <c r="E37" s="7958"/>
      <c r="F37" s="7958"/>
      <c r="G37" s="7958"/>
      <c r="H37" s="7958"/>
      <c r="I37" s="7959"/>
      <c r="J37" s="7960" t="str">
        <f t="shared" si="9"/>
        <v/>
      </c>
      <c r="K37" s="7961"/>
      <c r="L37" s="7961"/>
      <c r="M37" s="7960" t="str">
        <f t="shared" si="10"/>
        <v/>
      </c>
      <c r="N37" s="7961"/>
      <c r="O37" s="7961"/>
      <c r="P37" s="7962"/>
      <c r="Q37" s="5988" t="str">
        <f t="shared" si="11"/>
        <v/>
      </c>
      <c r="R37" s="7942"/>
      <c r="S37" s="7942"/>
      <c r="T37" s="7943"/>
      <c r="U37" s="5988" t="str">
        <f t="shared" si="12"/>
        <v/>
      </c>
      <c r="V37" s="7942"/>
      <c r="W37" s="7942"/>
      <c r="X37" s="7943"/>
      <c r="Y37" s="7924" t="str">
        <f>IF(AO37&lt;&gt;"",AO37,"")</f>
        <v/>
      </c>
      <c r="Z37" s="5495"/>
      <c r="AA37" s="7924" t="str">
        <f>IF(AP37="","",AP37)</f>
        <v/>
      </c>
      <c r="AB37" s="5495"/>
      <c r="AC37" s="7925" t="str">
        <f t="shared" si="13"/>
        <v/>
      </c>
      <c r="AD37" s="7926"/>
      <c r="AE37" s="7926"/>
      <c r="AF37" s="7926"/>
      <c r="AG37" s="1631">
        <f t="shared" si="14"/>
        <v>0</v>
      </c>
      <c r="AH37" s="1185"/>
      <c r="AI37" s="1185" t="e">
        <f t="shared" si="6"/>
        <v>#VALUE!</v>
      </c>
      <c r="AJ37" s="1547"/>
      <c r="AK37" s="1551"/>
      <c r="AL37" s="1551"/>
      <c r="AM37" s="1549"/>
      <c r="AN37" s="1549"/>
      <c r="AO37" s="1550"/>
      <c r="AP37" s="1549"/>
      <c r="AQ37" s="1548"/>
      <c r="AS37" s="46" t="e">
        <f t="shared" si="15"/>
        <v>#VALUE!</v>
      </c>
      <c r="AT37" s="46" t="e">
        <f t="shared" si="16"/>
        <v>#VALUE!</v>
      </c>
      <c r="AU37" s="46" t="e">
        <f t="shared" si="17"/>
        <v>#VALUE!</v>
      </c>
      <c r="AW37" s="46" t="e">
        <f t="shared" si="18"/>
        <v>#VALUE!</v>
      </c>
      <c r="AX37" s="46" t="e">
        <f t="shared" si="19"/>
        <v>#VALUE!</v>
      </c>
      <c r="AY37" s="46" t="e">
        <f t="shared" si="20"/>
        <v>#VALUE!</v>
      </c>
      <c r="BA37" s="46" t="e">
        <f t="shared" si="21"/>
        <v>#VALUE!</v>
      </c>
      <c r="BB37" s="46" t="e">
        <f t="shared" si="22"/>
        <v>#VALUE!</v>
      </c>
      <c r="BC37" s="46" t="e">
        <f t="shared" si="23"/>
        <v>#VALUE!</v>
      </c>
    </row>
    <row r="38" spans="1:55" ht="19.5" customHeight="1">
      <c r="A38" s="1228">
        <f t="shared" si="7"/>
        <v>0</v>
      </c>
      <c r="B38" s="7957" t="str">
        <f t="shared" si="8"/>
        <v/>
      </c>
      <c r="C38" s="7958"/>
      <c r="D38" s="7958"/>
      <c r="E38" s="7958"/>
      <c r="F38" s="7958"/>
      <c r="G38" s="7958"/>
      <c r="H38" s="7958"/>
      <c r="I38" s="7959"/>
      <c r="J38" s="7960" t="str">
        <f t="shared" si="9"/>
        <v/>
      </c>
      <c r="K38" s="7961"/>
      <c r="L38" s="7961"/>
      <c r="M38" s="7960" t="str">
        <f t="shared" si="10"/>
        <v/>
      </c>
      <c r="N38" s="7961"/>
      <c r="O38" s="7961"/>
      <c r="P38" s="7962"/>
      <c r="Q38" s="5988" t="str">
        <f t="shared" si="11"/>
        <v/>
      </c>
      <c r="R38" s="7942"/>
      <c r="S38" s="7942"/>
      <c r="T38" s="7943"/>
      <c r="U38" s="5988" t="str">
        <f t="shared" si="12"/>
        <v/>
      </c>
      <c r="V38" s="7942"/>
      <c r="W38" s="7942"/>
      <c r="X38" s="7943"/>
      <c r="Y38" s="7924" t="str">
        <f t="shared" ref="Y38:Y54" si="24">IF(AO38&lt;&gt;"",AO38,"")</f>
        <v/>
      </c>
      <c r="Z38" s="5495"/>
      <c r="AA38" s="7924" t="str">
        <f t="shared" ref="AA38:AA54" si="25">IF(AP38="","",AP38)</f>
        <v/>
      </c>
      <c r="AB38" s="5495"/>
      <c r="AC38" s="7925" t="str">
        <f t="shared" si="13"/>
        <v/>
      </c>
      <c r="AD38" s="7926"/>
      <c r="AE38" s="7926"/>
      <c r="AF38" s="7926"/>
      <c r="AG38" s="1631">
        <f t="shared" si="14"/>
        <v>0</v>
      </c>
      <c r="AH38" s="1185"/>
      <c r="AI38" s="1185" t="e">
        <f t="shared" si="6"/>
        <v>#VALUE!</v>
      </c>
      <c r="AJ38" s="1547"/>
      <c r="AK38" s="1551"/>
      <c r="AL38" s="1551"/>
      <c r="AM38" s="1549"/>
      <c r="AN38" s="1549"/>
      <c r="AO38" s="1550"/>
      <c r="AP38" s="1549"/>
      <c r="AQ38" s="1548"/>
      <c r="AS38" s="46" t="e">
        <f t="shared" si="15"/>
        <v>#VALUE!</v>
      </c>
      <c r="AT38" s="46" t="e">
        <f t="shared" si="16"/>
        <v>#VALUE!</v>
      </c>
      <c r="AU38" s="46" t="e">
        <f t="shared" si="17"/>
        <v>#VALUE!</v>
      </c>
      <c r="AW38" s="46" t="e">
        <f t="shared" si="18"/>
        <v>#VALUE!</v>
      </c>
      <c r="AX38" s="46" t="e">
        <f t="shared" si="19"/>
        <v>#VALUE!</v>
      </c>
      <c r="AY38" s="46" t="e">
        <f t="shared" si="20"/>
        <v>#VALUE!</v>
      </c>
      <c r="BA38" s="46" t="e">
        <f t="shared" si="21"/>
        <v>#VALUE!</v>
      </c>
      <c r="BB38" s="46" t="e">
        <f t="shared" si="22"/>
        <v>#VALUE!</v>
      </c>
      <c r="BC38" s="46" t="e">
        <f t="shared" si="23"/>
        <v>#VALUE!</v>
      </c>
    </row>
    <row r="39" spans="1:55" ht="19.5" customHeight="1">
      <c r="A39" s="1228">
        <f t="shared" si="7"/>
        <v>0</v>
      </c>
      <c r="B39" s="7957" t="str">
        <f t="shared" si="8"/>
        <v/>
      </c>
      <c r="C39" s="7958"/>
      <c r="D39" s="7958"/>
      <c r="E39" s="7958"/>
      <c r="F39" s="7958"/>
      <c r="G39" s="7958"/>
      <c r="H39" s="7958"/>
      <c r="I39" s="7959"/>
      <c r="J39" s="7960" t="str">
        <f t="shared" si="9"/>
        <v/>
      </c>
      <c r="K39" s="7961"/>
      <c r="L39" s="7961"/>
      <c r="M39" s="7960" t="str">
        <f t="shared" si="10"/>
        <v/>
      </c>
      <c r="N39" s="7961"/>
      <c r="O39" s="7961"/>
      <c r="P39" s="7962"/>
      <c r="Q39" s="5988" t="str">
        <f t="shared" si="11"/>
        <v/>
      </c>
      <c r="R39" s="7942"/>
      <c r="S39" s="7942"/>
      <c r="T39" s="7943"/>
      <c r="U39" s="5988" t="str">
        <f t="shared" si="12"/>
        <v/>
      </c>
      <c r="V39" s="7942"/>
      <c r="W39" s="7942"/>
      <c r="X39" s="7943"/>
      <c r="Y39" s="7924" t="str">
        <f t="shared" si="24"/>
        <v/>
      </c>
      <c r="Z39" s="5495"/>
      <c r="AA39" s="7924" t="str">
        <f t="shared" si="25"/>
        <v/>
      </c>
      <c r="AB39" s="5495"/>
      <c r="AC39" s="7925" t="str">
        <f t="shared" si="13"/>
        <v/>
      </c>
      <c r="AD39" s="7926"/>
      <c r="AE39" s="7926"/>
      <c r="AF39" s="7926"/>
      <c r="AG39" s="1631">
        <f t="shared" si="14"/>
        <v>0</v>
      </c>
      <c r="AH39" s="1185"/>
      <c r="AI39" s="1185" t="e">
        <f t="shared" si="6"/>
        <v>#VALUE!</v>
      </c>
      <c r="AJ39" s="1547"/>
      <c r="AK39" s="1551"/>
      <c r="AL39" s="1551"/>
      <c r="AM39" s="1549"/>
      <c r="AN39" s="1549"/>
      <c r="AO39" s="1550"/>
      <c r="AP39" s="1549"/>
      <c r="AQ39" s="1548"/>
      <c r="AS39" s="46" t="e">
        <f t="shared" si="15"/>
        <v>#VALUE!</v>
      </c>
      <c r="AT39" s="46" t="e">
        <f t="shared" si="16"/>
        <v>#VALUE!</v>
      </c>
      <c r="AU39" s="46" t="e">
        <f t="shared" si="17"/>
        <v>#VALUE!</v>
      </c>
      <c r="AW39" s="46" t="e">
        <f t="shared" si="18"/>
        <v>#VALUE!</v>
      </c>
      <c r="AX39" s="46" t="e">
        <f t="shared" si="19"/>
        <v>#VALUE!</v>
      </c>
      <c r="AY39" s="46" t="e">
        <f t="shared" si="20"/>
        <v>#VALUE!</v>
      </c>
      <c r="BA39" s="46" t="e">
        <f t="shared" si="21"/>
        <v>#VALUE!</v>
      </c>
      <c r="BB39" s="46" t="e">
        <f t="shared" si="22"/>
        <v>#VALUE!</v>
      </c>
      <c r="BC39" s="46" t="e">
        <f t="shared" si="23"/>
        <v>#VALUE!</v>
      </c>
    </row>
    <row r="40" spans="1:55" ht="19.5" customHeight="1">
      <c r="A40" s="1228">
        <f t="shared" si="7"/>
        <v>0</v>
      </c>
      <c r="B40" s="7957" t="str">
        <f t="shared" si="8"/>
        <v/>
      </c>
      <c r="C40" s="7958"/>
      <c r="D40" s="7958"/>
      <c r="E40" s="7958"/>
      <c r="F40" s="7958"/>
      <c r="G40" s="7958"/>
      <c r="H40" s="7958"/>
      <c r="I40" s="7959"/>
      <c r="J40" s="7960" t="str">
        <f t="shared" si="9"/>
        <v/>
      </c>
      <c r="K40" s="7961"/>
      <c r="L40" s="7961"/>
      <c r="M40" s="7960" t="str">
        <f t="shared" si="10"/>
        <v/>
      </c>
      <c r="N40" s="7961"/>
      <c r="O40" s="7961"/>
      <c r="P40" s="7962"/>
      <c r="Q40" s="5988" t="str">
        <f t="shared" si="11"/>
        <v/>
      </c>
      <c r="R40" s="7942"/>
      <c r="S40" s="7942"/>
      <c r="T40" s="7943"/>
      <c r="U40" s="5988" t="str">
        <f t="shared" si="12"/>
        <v/>
      </c>
      <c r="V40" s="7942"/>
      <c r="W40" s="7942"/>
      <c r="X40" s="7943"/>
      <c r="Y40" s="7924" t="str">
        <f t="shared" si="24"/>
        <v/>
      </c>
      <c r="Z40" s="5495"/>
      <c r="AA40" s="7924" t="str">
        <f t="shared" si="25"/>
        <v/>
      </c>
      <c r="AB40" s="5495"/>
      <c r="AC40" s="7925" t="str">
        <f t="shared" si="13"/>
        <v/>
      </c>
      <c r="AD40" s="7926"/>
      <c r="AE40" s="7926"/>
      <c r="AF40" s="7926"/>
      <c r="AG40" s="1631">
        <f t="shared" si="14"/>
        <v>0</v>
      </c>
      <c r="AH40" s="1185"/>
      <c r="AI40" s="1185" t="e">
        <f t="shared" si="6"/>
        <v>#VALUE!</v>
      </c>
      <c r="AJ40" s="1547"/>
      <c r="AK40" s="1551"/>
      <c r="AL40" s="1551"/>
      <c r="AM40" s="1549"/>
      <c r="AN40" s="1549"/>
      <c r="AO40" s="1550"/>
      <c r="AP40" s="1549"/>
      <c r="AQ40" s="1548"/>
      <c r="AS40" s="46" t="e">
        <f t="shared" si="15"/>
        <v>#VALUE!</v>
      </c>
      <c r="AT40" s="46" t="e">
        <f t="shared" si="16"/>
        <v>#VALUE!</v>
      </c>
      <c r="AU40" s="46" t="e">
        <f t="shared" si="17"/>
        <v>#VALUE!</v>
      </c>
      <c r="AW40" s="46" t="e">
        <f t="shared" si="18"/>
        <v>#VALUE!</v>
      </c>
      <c r="AX40" s="46" t="e">
        <f t="shared" si="19"/>
        <v>#VALUE!</v>
      </c>
      <c r="AY40" s="46" t="e">
        <f t="shared" si="20"/>
        <v>#VALUE!</v>
      </c>
      <c r="BA40" s="46" t="e">
        <f t="shared" si="21"/>
        <v>#VALUE!</v>
      </c>
      <c r="BB40" s="46" t="e">
        <f t="shared" si="22"/>
        <v>#VALUE!</v>
      </c>
      <c r="BC40" s="46" t="e">
        <f t="shared" si="23"/>
        <v>#VALUE!</v>
      </c>
    </row>
    <row r="41" spans="1:55" ht="19.5" customHeight="1">
      <c r="A41" s="1228">
        <f t="shared" si="7"/>
        <v>0</v>
      </c>
      <c r="B41" s="7957" t="str">
        <f t="shared" si="8"/>
        <v/>
      </c>
      <c r="C41" s="7958"/>
      <c r="D41" s="7958"/>
      <c r="E41" s="7958"/>
      <c r="F41" s="7958"/>
      <c r="G41" s="7958"/>
      <c r="H41" s="7958"/>
      <c r="I41" s="7959"/>
      <c r="J41" s="7960" t="str">
        <f t="shared" si="9"/>
        <v/>
      </c>
      <c r="K41" s="7961"/>
      <c r="L41" s="7961"/>
      <c r="M41" s="7960" t="str">
        <f t="shared" si="10"/>
        <v/>
      </c>
      <c r="N41" s="7961"/>
      <c r="O41" s="7961"/>
      <c r="P41" s="7962"/>
      <c r="Q41" s="5988" t="str">
        <f t="shared" si="11"/>
        <v/>
      </c>
      <c r="R41" s="7942"/>
      <c r="S41" s="7942"/>
      <c r="T41" s="7943"/>
      <c r="U41" s="5988" t="str">
        <f t="shared" si="12"/>
        <v/>
      </c>
      <c r="V41" s="7942"/>
      <c r="W41" s="7942"/>
      <c r="X41" s="7943"/>
      <c r="Y41" s="7924" t="str">
        <f t="shared" si="24"/>
        <v/>
      </c>
      <c r="Z41" s="5495"/>
      <c r="AA41" s="7924" t="str">
        <f t="shared" si="25"/>
        <v/>
      </c>
      <c r="AB41" s="5495"/>
      <c r="AC41" s="7925" t="str">
        <f t="shared" si="13"/>
        <v/>
      </c>
      <c r="AD41" s="7926"/>
      <c r="AE41" s="7926"/>
      <c r="AF41" s="7926"/>
      <c r="AG41" s="1631">
        <f t="shared" si="14"/>
        <v>0</v>
      </c>
      <c r="AH41" s="1185"/>
      <c r="AI41" s="1185" t="e">
        <f t="shared" si="6"/>
        <v>#VALUE!</v>
      </c>
      <c r="AJ41" s="1547"/>
      <c r="AK41" s="1551"/>
      <c r="AL41" s="1551"/>
      <c r="AM41" s="1549"/>
      <c r="AN41" s="1549"/>
      <c r="AO41" s="1550"/>
      <c r="AP41" s="1549"/>
      <c r="AQ41" s="1548"/>
      <c r="AS41" s="46" t="e">
        <f t="shared" si="15"/>
        <v>#VALUE!</v>
      </c>
      <c r="AT41" s="46" t="e">
        <f t="shared" si="16"/>
        <v>#VALUE!</v>
      </c>
      <c r="AU41" s="46" t="e">
        <f t="shared" si="17"/>
        <v>#VALUE!</v>
      </c>
      <c r="AW41" s="46" t="e">
        <f t="shared" si="18"/>
        <v>#VALUE!</v>
      </c>
      <c r="AX41" s="46" t="e">
        <f t="shared" si="19"/>
        <v>#VALUE!</v>
      </c>
      <c r="AY41" s="46" t="e">
        <f t="shared" si="20"/>
        <v>#VALUE!</v>
      </c>
      <c r="BA41" s="46" t="e">
        <f t="shared" si="21"/>
        <v>#VALUE!</v>
      </c>
      <c r="BB41" s="46" t="e">
        <f t="shared" si="22"/>
        <v>#VALUE!</v>
      </c>
      <c r="BC41" s="46" t="e">
        <f t="shared" si="23"/>
        <v>#VALUE!</v>
      </c>
    </row>
    <row r="42" spans="1:55" ht="19.5" customHeight="1">
      <c r="A42" s="1228">
        <f t="shared" si="7"/>
        <v>0</v>
      </c>
      <c r="B42" s="7957" t="str">
        <f t="shared" si="8"/>
        <v/>
      </c>
      <c r="C42" s="7958"/>
      <c r="D42" s="7958"/>
      <c r="E42" s="7958"/>
      <c r="F42" s="7958"/>
      <c r="G42" s="7958"/>
      <c r="H42" s="7958"/>
      <c r="I42" s="7959"/>
      <c r="J42" s="7960" t="str">
        <f t="shared" si="9"/>
        <v/>
      </c>
      <c r="K42" s="7961"/>
      <c r="L42" s="7961"/>
      <c r="M42" s="7960" t="str">
        <f t="shared" si="10"/>
        <v/>
      </c>
      <c r="N42" s="7961"/>
      <c r="O42" s="7961"/>
      <c r="P42" s="7962"/>
      <c r="Q42" s="5988" t="str">
        <f t="shared" si="11"/>
        <v/>
      </c>
      <c r="R42" s="7942"/>
      <c r="S42" s="7942"/>
      <c r="T42" s="7943"/>
      <c r="U42" s="5988" t="str">
        <f t="shared" si="12"/>
        <v/>
      </c>
      <c r="V42" s="7942"/>
      <c r="W42" s="7942"/>
      <c r="X42" s="7943"/>
      <c r="Y42" s="7924" t="str">
        <f t="shared" si="24"/>
        <v/>
      </c>
      <c r="Z42" s="5495"/>
      <c r="AA42" s="7924" t="str">
        <f t="shared" si="25"/>
        <v/>
      </c>
      <c r="AB42" s="5495"/>
      <c r="AC42" s="7925" t="str">
        <f t="shared" si="13"/>
        <v/>
      </c>
      <c r="AD42" s="7926"/>
      <c r="AE42" s="7926"/>
      <c r="AF42" s="7926"/>
      <c r="AG42" s="1631">
        <f t="shared" si="14"/>
        <v>0</v>
      </c>
      <c r="AH42" s="1185"/>
      <c r="AI42" s="1185" t="e">
        <f t="shared" si="6"/>
        <v>#VALUE!</v>
      </c>
      <c r="AJ42" s="1547"/>
      <c r="AK42" s="1551"/>
      <c r="AL42" s="1551"/>
      <c r="AM42" s="1549"/>
      <c r="AN42" s="1549"/>
      <c r="AO42" s="1550"/>
      <c r="AP42" s="1549"/>
      <c r="AQ42" s="1548"/>
      <c r="AS42" s="46" t="e">
        <f t="shared" si="15"/>
        <v>#VALUE!</v>
      </c>
      <c r="AT42" s="46" t="e">
        <f t="shared" si="16"/>
        <v>#VALUE!</v>
      </c>
      <c r="AU42" s="46" t="e">
        <f t="shared" si="17"/>
        <v>#VALUE!</v>
      </c>
      <c r="AW42" s="46" t="e">
        <f t="shared" si="18"/>
        <v>#VALUE!</v>
      </c>
      <c r="AX42" s="46" t="e">
        <f t="shared" si="19"/>
        <v>#VALUE!</v>
      </c>
      <c r="AY42" s="46" t="e">
        <f t="shared" si="20"/>
        <v>#VALUE!</v>
      </c>
      <c r="BA42" s="46" t="e">
        <f t="shared" si="21"/>
        <v>#VALUE!</v>
      </c>
      <c r="BB42" s="46" t="e">
        <f t="shared" si="22"/>
        <v>#VALUE!</v>
      </c>
      <c r="BC42" s="46" t="e">
        <f t="shared" si="23"/>
        <v>#VALUE!</v>
      </c>
    </row>
    <row r="43" spans="1:55" ht="19.5" customHeight="1">
      <c r="A43" s="1228">
        <f t="shared" si="7"/>
        <v>0</v>
      </c>
      <c r="B43" s="7957" t="str">
        <f t="shared" si="8"/>
        <v/>
      </c>
      <c r="C43" s="7958"/>
      <c r="D43" s="7958"/>
      <c r="E43" s="7958"/>
      <c r="F43" s="7958"/>
      <c r="G43" s="7958"/>
      <c r="H43" s="7958"/>
      <c r="I43" s="7959"/>
      <c r="J43" s="7960" t="str">
        <f t="shared" si="9"/>
        <v/>
      </c>
      <c r="K43" s="7961"/>
      <c r="L43" s="7961"/>
      <c r="M43" s="7960" t="str">
        <f t="shared" si="10"/>
        <v/>
      </c>
      <c r="N43" s="7961"/>
      <c r="O43" s="7961"/>
      <c r="P43" s="7962"/>
      <c r="Q43" s="5988" t="str">
        <f t="shared" si="11"/>
        <v/>
      </c>
      <c r="R43" s="7942"/>
      <c r="S43" s="7942"/>
      <c r="T43" s="7943"/>
      <c r="U43" s="5988" t="str">
        <f t="shared" si="12"/>
        <v/>
      </c>
      <c r="V43" s="7942"/>
      <c r="W43" s="7942"/>
      <c r="X43" s="7943"/>
      <c r="Y43" s="7924" t="str">
        <f t="shared" si="24"/>
        <v/>
      </c>
      <c r="Z43" s="5495"/>
      <c r="AA43" s="7924" t="str">
        <f t="shared" si="25"/>
        <v/>
      </c>
      <c r="AB43" s="5495"/>
      <c r="AC43" s="7925" t="str">
        <f t="shared" si="13"/>
        <v/>
      </c>
      <c r="AD43" s="7926"/>
      <c r="AE43" s="7926"/>
      <c r="AF43" s="7926"/>
      <c r="AG43" s="1631">
        <f t="shared" si="14"/>
        <v>0</v>
      </c>
      <c r="AH43" s="1185"/>
      <c r="AI43" s="1185" t="e">
        <f t="shared" si="6"/>
        <v>#VALUE!</v>
      </c>
      <c r="AJ43" s="1547"/>
      <c r="AK43" s="1551"/>
      <c r="AL43" s="1551"/>
      <c r="AM43" s="1549"/>
      <c r="AN43" s="1549"/>
      <c r="AO43" s="1550"/>
      <c r="AP43" s="1549"/>
      <c r="AQ43" s="1548"/>
      <c r="AS43" s="46" t="e">
        <f t="shared" si="15"/>
        <v>#VALUE!</v>
      </c>
      <c r="AT43" s="46" t="e">
        <f t="shared" si="16"/>
        <v>#VALUE!</v>
      </c>
      <c r="AU43" s="46" t="e">
        <f t="shared" si="17"/>
        <v>#VALUE!</v>
      </c>
      <c r="AW43" s="46" t="e">
        <f t="shared" si="18"/>
        <v>#VALUE!</v>
      </c>
      <c r="AX43" s="46" t="e">
        <f t="shared" si="19"/>
        <v>#VALUE!</v>
      </c>
      <c r="AY43" s="46" t="e">
        <f t="shared" si="20"/>
        <v>#VALUE!</v>
      </c>
      <c r="BA43" s="46" t="e">
        <f t="shared" si="21"/>
        <v>#VALUE!</v>
      </c>
      <c r="BB43" s="46" t="e">
        <f t="shared" si="22"/>
        <v>#VALUE!</v>
      </c>
      <c r="BC43" s="46" t="e">
        <f t="shared" si="23"/>
        <v>#VALUE!</v>
      </c>
    </row>
    <row r="44" spans="1:55" ht="19.5" customHeight="1">
      <c r="A44" s="1228">
        <f t="shared" si="7"/>
        <v>0</v>
      </c>
      <c r="B44" s="7957" t="str">
        <f t="shared" si="8"/>
        <v/>
      </c>
      <c r="C44" s="7958"/>
      <c r="D44" s="7958"/>
      <c r="E44" s="7958"/>
      <c r="F44" s="7958"/>
      <c r="G44" s="7958"/>
      <c r="H44" s="7958"/>
      <c r="I44" s="7959"/>
      <c r="J44" s="7960" t="str">
        <f t="shared" si="9"/>
        <v/>
      </c>
      <c r="K44" s="7961"/>
      <c r="L44" s="7961"/>
      <c r="M44" s="7960" t="str">
        <f t="shared" si="10"/>
        <v/>
      </c>
      <c r="N44" s="7961"/>
      <c r="O44" s="7961"/>
      <c r="P44" s="7962"/>
      <c r="Q44" s="5988" t="str">
        <f t="shared" si="11"/>
        <v/>
      </c>
      <c r="R44" s="7942"/>
      <c r="S44" s="7942"/>
      <c r="T44" s="7943"/>
      <c r="U44" s="5988" t="str">
        <f t="shared" si="12"/>
        <v/>
      </c>
      <c r="V44" s="7942"/>
      <c r="W44" s="7942"/>
      <c r="X44" s="7943"/>
      <c r="Y44" s="7924" t="str">
        <f t="shared" si="24"/>
        <v/>
      </c>
      <c r="Z44" s="5495"/>
      <c r="AA44" s="7924" t="str">
        <f t="shared" si="25"/>
        <v/>
      </c>
      <c r="AB44" s="5495"/>
      <c r="AC44" s="7925" t="str">
        <f t="shared" si="13"/>
        <v/>
      </c>
      <c r="AD44" s="7926"/>
      <c r="AE44" s="7926"/>
      <c r="AF44" s="7926"/>
      <c r="AG44" s="1631">
        <f t="shared" si="14"/>
        <v>0</v>
      </c>
      <c r="AH44" s="1185"/>
      <c r="AI44" s="1185" t="e">
        <f t="shared" si="6"/>
        <v>#VALUE!</v>
      </c>
      <c r="AJ44" s="1547"/>
      <c r="AK44" s="1551"/>
      <c r="AL44" s="1551"/>
      <c r="AM44" s="1549"/>
      <c r="AN44" s="1549"/>
      <c r="AO44" s="1550"/>
      <c r="AP44" s="1549"/>
      <c r="AQ44" s="1548"/>
      <c r="AS44" s="46" t="e">
        <f t="shared" si="15"/>
        <v>#VALUE!</v>
      </c>
      <c r="AT44" s="46" t="e">
        <f t="shared" si="16"/>
        <v>#VALUE!</v>
      </c>
      <c r="AU44" s="46" t="e">
        <f t="shared" si="17"/>
        <v>#VALUE!</v>
      </c>
      <c r="AW44" s="46" t="e">
        <f t="shared" si="18"/>
        <v>#VALUE!</v>
      </c>
      <c r="AX44" s="46" t="e">
        <f t="shared" si="19"/>
        <v>#VALUE!</v>
      </c>
      <c r="AY44" s="46" t="e">
        <f t="shared" si="20"/>
        <v>#VALUE!</v>
      </c>
      <c r="BA44" s="46" t="e">
        <f t="shared" si="21"/>
        <v>#VALUE!</v>
      </c>
      <c r="BB44" s="46" t="e">
        <f t="shared" si="22"/>
        <v>#VALUE!</v>
      </c>
      <c r="BC44" s="46" t="e">
        <f t="shared" si="23"/>
        <v>#VALUE!</v>
      </c>
    </row>
    <row r="45" spans="1:55" ht="19.5" customHeight="1">
      <c r="A45" s="1228">
        <f t="shared" si="7"/>
        <v>0</v>
      </c>
      <c r="B45" s="7957" t="str">
        <f t="shared" si="8"/>
        <v/>
      </c>
      <c r="C45" s="7958"/>
      <c r="D45" s="7958"/>
      <c r="E45" s="7958"/>
      <c r="F45" s="7958"/>
      <c r="G45" s="7958"/>
      <c r="H45" s="7958"/>
      <c r="I45" s="7959"/>
      <c r="J45" s="7960" t="str">
        <f t="shared" si="9"/>
        <v/>
      </c>
      <c r="K45" s="7961"/>
      <c r="L45" s="7961"/>
      <c r="M45" s="7960" t="str">
        <f t="shared" si="10"/>
        <v/>
      </c>
      <c r="N45" s="7961"/>
      <c r="O45" s="7961"/>
      <c r="P45" s="7962"/>
      <c r="Q45" s="5988" t="str">
        <f t="shared" si="11"/>
        <v/>
      </c>
      <c r="R45" s="7942"/>
      <c r="S45" s="7942"/>
      <c r="T45" s="7943"/>
      <c r="U45" s="5988" t="str">
        <f t="shared" si="12"/>
        <v/>
      </c>
      <c r="V45" s="7942"/>
      <c r="W45" s="7942"/>
      <c r="X45" s="7943"/>
      <c r="Y45" s="7924" t="str">
        <f t="shared" si="24"/>
        <v/>
      </c>
      <c r="Z45" s="5495"/>
      <c r="AA45" s="7924" t="str">
        <f t="shared" si="25"/>
        <v/>
      </c>
      <c r="AB45" s="5495"/>
      <c r="AC45" s="7925" t="str">
        <f t="shared" si="13"/>
        <v/>
      </c>
      <c r="AD45" s="7926"/>
      <c r="AE45" s="7926"/>
      <c r="AF45" s="7926"/>
      <c r="AG45" s="1631">
        <f t="shared" si="14"/>
        <v>0</v>
      </c>
      <c r="AH45" s="1185"/>
      <c r="AI45" s="1185" t="e">
        <f t="shared" si="6"/>
        <v>#VALUE!</v>
      </c>
      <c r="AJ45" s="1547"/>
      <c r="AK45" s="1551"/>
      <c r="AL45" s="1551"/>
      <c r="AM45" s="1549"/>
      <c r="AN45" s="1549"/>
      <c r="AO45" s="1550"/>
      <c r="AP45" s="1549"/>
      <c r="AQ45" s="1548"/>
      <c r="AS45" s="46" t="e">
        <f t="shared" si="15"/>
        <v>#VALUE!</v>
      </c>
      <c r="AT45" s="46" t="e">
        <f t="shared" si="16"/>
        <v>#VALUE!</v>
      </c>
      <c r="AU45" s="46" t="e">
        <f t="shared" si="17"/>
        <v>#VALUE!</v>
      </c>
      <c r="AW45" s="46" t="e">
        <f t="shared" si="18"/>
        <v>#VALUE!</v>
      </c>
      <c r="AX45" s="46" t="e">
        <f t="shared" si="19"/>
        <v>#VALUE!</v>
      </c>
      <c r="AY45" s="46" t="e">
        <f t="shared" si="20"/>
        <v>#VALUE!</v>
      </c>
      <c r="BA45" s="46" t="e">
        <f t="shared" si="21"/>
        <v>#VALUE!</v>
      </c>
      <c r="BB45" s="46" t="e">
        <f t="shared" si="22"/>
        <v>#VALUE!</v>
      </c>
      <c r="BC45" s="46" t="e">
        <f t="shared" si="23"/>
        <v>#VALUE!</v>
      </c>
    </row>
    <row r="46" spans="1:55" ht="19.5" customHeight="1">
      <c r="A46" s="1228">
        <f t="shared" si="7"/>
        <v>0</v>
      </c>
      <c r="B46" s="7957" t="str">
        <f t="shared" si="8"/>
        <v/>
      </c>
      <c r="C46" s="7958"/>
      <c r="D46" s="7958"/>
      <c r="E46" s="7958"/>
      <c r="F46" s="7958"/>
      <c r="G46" s="7958"/>
      <c r="H46" s="7958"/>
      <c r="I46" s="7959"/>
      <c r="J46" s="7960" t="str">
        <f t="shared" si="9"/>
        <v/>
      </c>
      <c r="K46" s="7961"/>
      <c r="L46" s="7961"/>
      <c r="M46" s="7960" t="str">
        <f t="shared" si="10"/>
        <v/>
      </c>
      <c r="N46" s="7961"/>
      <c r="O46" s="7961"/>
      <c r="P46" s="7962"/>
      <c r="Q46" s="5988" t="str">
        <f t="shared" si="11"/>
        <v/>
      </c>
      <c r="R46" s="7942"/>
      <c r="S46" s="7942"/>
      <c r="T46" s="7943"/>
      <c r="U46" s="5988" t="str">
        <f t="shared" si="12"/>
        <v/>
      </c>
      <c r="V46" s="7942"/>
      <c r="W46" s="7942"/>
      <c r="X46" s="7943"/>
      <c r="Y46" s="7924" t="str">
        <f t="shared" si="24"/>
        <v/>
      </c>
      <c r="Z46" s="5495"/>
      <c r="AA46" s="7924" t="str">
        <f t="shared" si="25"/>
        <v/>
      </c>
      <c r="AB46" s="5495"/>
      <c r="AC46" s="7925" t="str">
        <f t="shared" si="13"/>
        <v/>
      </c>
      <c r="AD46" s="7926"/>
      <c r="AE46" s="7926"/>
      <c r="AF46" s="7926"/>
      <c r="AG46" s="1631">
        <f t="shared" si="14"/>
        <v>0</v>
      </c>
      <c r="AH46" s="1185"/>
      <c r="AI46" s="1185" t="e">
        <f t="shared" si="6"/>
        <v>#VALUE!</v>
      </c>
      <c r="AJ46" s="1547"/>
      <c r="AK46" s="1551"/>
      <c r="AL46" s="1551"/>
      <c r="AM46" s="1549"/>
      <c r="AN46" s="1549"/>
      <c r="AO46" s="1550"/>
      <c r="AP46" s="1549"/>
      <c r="AQ46" s="1548"/>
      <c r="AS46" s="46" t="e">
        <f t="shared" si="15"/>
        <v>#VALUE!</v>
      </c>
      <c r="AT46" s="46" t="e">
        <f t="shared" si="16"/>
        <v>#VALUE!</v>
      </c>
      <c r="AU46" s="46" t="e">
        <f t="shared" si="17"/>
        <v>#VALUE!</v>
      </c>
      <c r="AW46" s="46" t="e">
        <f t="shared" si="18"/>
        <v>#VALUE!</v>
      </c>
      <c r="AX46" s="46" t="e">
        <f t="shared" si="19"/>
        <v>#VALUE!</v>
      </c>
      <c r="AY46" s="46" t="e">
        <f t="shared" si="20"/>
        <v>#VALUE!</v>
      </c>
      <c r="BA46" s="46" t="e">
        <f t="shared" si="21"/>
        <v>#VALUE!</v>
      </c>
      <c r="BB46" s="46" t="e">
        <f t="shared" si="22"/>
        <v>#VALUE!</v>
      </c>
      <c r="BC46" s="46" t="e">
        <f t="shared" si="23"/>
        <v>#VALUE!</v>
      </c>
    </row>
    <row r="47" spans="1:55" ht="19.5" customHeight="1">
      <c r="A47" s="1228">
        <f t="shared" si="7"/>
        <v>0</v>
      </c>
      <c r="B47" s="7957" t="str">
        <f t="shared" si="8"/>
        <v/>
      </c>
      <c r="C47" s="7958"/>
      <c r="D47" s="7958"/>
      <c r="E47" s="7958"/>
      <c r="F47" s="7958"/>
      <c r="G47" s="7958"/>
      <c r="H47" s="7958"/>
      <c r="I47" s="7959"/>
      <c r="J47" s="7960" t="str">
        <f t="shared" si="9"/>
        <v/>
      </c>
      <c r="K47" s="7961"/>
      <c r="L47" s="7961"/>
      <c r="M47" s="7960" t="str">
        <f t="shared" si="10"/>
        <v/>
      </c>
      <c r="N47" s="7961"/>
      <c r="O47" s="7961"/>
      <c r="P47" s="7962"/>
      <c r="Q47" s="5988" t="str">
        <f t="shared" si="11"/>
        <v/>
      </c>
      <c r="R47" s="7942"/>
      <c r="S47" s="7942"/>
      <c r="T47" s="7943"/>
      <c r="U47" s="5988" t="str">
        <f t="shared" si="12"/>
        <v/>
      </c>
      <c r="V47" s="7942"/>
      <c r="W47" s="7942"/>
      <c r="X47" s="7943"/>
      <c r="Y47" s="7924" t="str">
        <f t="shared" si="24"/>
        <v/>
      </c>
      <c r="Z47" s="5495"/>
      <c r="AA47" s="7924" t="str">
        <f t="shared" si="25"/>
        <v/>
      </c>
      <c r="AB47" s="5495"/>
      <c r="AC47" s="7925" t="str">
        <f t="shared" si="13"/>
        <v/>
      </c>
      <c r="AD47" s="7926"/>
      <c r="AE47" s="7926"/>
      <c r="AF47" s="7926"/>
      <c r="AG47" s="1631">
        <f t="shared" si="14"/>
        <v>0</v>
      </c>
      <c r="AH47" s="1185"/>
      <c r="AI47" s="1185" t="e">
        <f t="shared" si="6"/>
        <v>#VALUE!</v>
      </c>
      <c r="AJ47" s="1547"/>
      <c r="AK47" s="1551"/>
      <c r="AL47" s="1551"/>
      <c r="AM47" s="1549"/>
      <c r="AN47" s="1549"/>
      <c r="AO47" s="1550"/>
      <c r="AP47" s="1549"/>
      <c r="AQ47" s="1548"/>
      <c r="AS47" s="46" t="e">
        <f t="shared" si="15"/>
        <v>#VALUE!</v>
      </c>
      <c r="AT47" s="46" t="e">
        <f t="shared" si="16"/>
        <v>#VALUE!</v>
      </c>
      <c r="AU47" s="46" t="e">
        <f t="shared" si="17"/>
        <v>#VALUE!</v>
      </c>
      <c r="AW47" s="46" t="e">
        <f t="shared" si="18"/>
        <v>#VALUE!</v>
      </c>
      <c r="AX47" s="46" t="e">
        <f t="shared" si="19"/>
        <v>#VALUE!</v>
      </c>
      <c r="AY47" s="46" t="e">
        <f t="shared" si="20"/>
        <v>#VALUE!</v>
      </c>
      <c r="BA47" s="46" t="e">
        <f t="shared" si="21"/>
        <v>#VALUE!</v>
      </c>
      <c r="BB47" s="46" t="e">
        <f t="shared" si="22"/>
        <v>#VALUE!</v>
      </c>
      <c r="BC47" s="46" t="e">
        <f t="shared" si="23"/>
        <v>#VALUE!</v>
      </c>
    </row>
    <row r="48" spans="1:55" ht="19.5" customHeight="1">
      <c r="A48" s="1228">
        <f t="shared" si="7"/>
        <v>0</v>
      </c>
      <c r="B48" s="7957" t="str">
        <f t="shared" si="8"/>
        <v/>
      </c>
      <c r="C48" s="7958"/>
      <c r="D48" s="7958"/>
      <c r="E48" s="7958"/>
      <c r="F48" s="7958"/>
      <c r="G48" s="7958"/>
      <c r="H48" s="7958"/>
      <c r="I48" s="7959"/>
      <c r="J48" s="7960" t="str">
        <f t="shared" si="9"/>
        <v/>
      </c>
      <c r="K48" s="7961"/>
      <c r="L48" s="7961"/>
      <c r="M48" s="7960" t="str">
        <f t="shared" si="10"/>
        <v/>
      </c>
      <c r="N48" s="7961"/>
      <c r="O48" s="7961"/>
      <c r="P48" s="7962"/>
      <c r="Q48" s="5988" t="str">
        <f t="shared" si="11"/>
        <v/>
      </c>
      <c r="R48" s="7942"/>
      <c r="S48" s="7942"/>
      <c r="T48" s="7943"/>
      <c r="U48" s="5988" t="str">
        <f t="shared" si="12"/>
        <v/>
      </c>
      <c r="V48" s="7942"/>
      <c r="W48" s="7942"/>
      <c r="X48" s="7943"/>
      <c r="Y48" s="7924" t="str">
        <f t="shared" si="24"/>
        <v/>
      </c>
      <c r="Z48" s="5495"/>
      <c r="AA48" s="7924" t="str">
        <f t="shared" si="25"/>
        <v/>
      </c>
      <c r="AB48" s="5495"/>
      <c r="AC48" s="7925" t="str">
        <f t="shared" si="13"/>
        <v/>
      </c>
      <c r="AD48" s="7926"/>
      <c r="AE48" s="7926"/>
      <c r="AF48" s="7926"/>
      <c r="AG48" s="1631">
        <f t="shared" si="14"/>
        <v>0</v>
      </c>
      <c r="AH48" s="1185"/>
      <c r="AI48" s="1185" t="e">
        <f t="shared" si="6"/>
        <v>#VALUE!</v>
      </c>
      <c r="AJ48" s="1547"/>
      <c r="AK48" s="1551"/>
      <c r="AL48" s="1551"/>
      <c r="AM48" s="1549"/>
      <c r="AN48" s="1549"/>
      <c r="AO48" s="1550"/>
      <c r="AP48" s="1549"/>
      <c r="AQ48" s="1548"/>
      <c r="AS48" s="46" t="e">
        <f t="shared" si="15"/>
        <v>#VALUE!</v>
      </c>
      <c r="AT48" s="46" t="e">
        <f t="shared" si="16"/>
        <v>#VALUE!</v>
      </c>
      <c r="AU48" s="46" t="e">
        <f t="shared" si="17"/>
        <v>#VALUE!</v>
      </c>
      <c r="AW48" s="46" t="e">
        <f t="shared" si="18"/>
        <v>#VALUE!</v>
      </c>
      <c r="AX48" s="46" t="e">
        <f t="shared" si="19"/>
        <v>#VALUE!</v>
      </c>
      <c r="AY48" s="46" t="e">
        <f t="shared" si="20"/>
        <v>#VALUE!</v>
      </c>
      <c r="BA48" s="46" t="e">
        <f t="shared" si="21"/>
        <v>#VALUE!</v>
      </c>
      <c r="BB48" s="46" t="e">
        <f t="shared" si="22"/>
        <v>#VALUE!</v>
      </c>
      <c r="BC48" s="46" t="e">
        <f t="shared" si="23"/>
        <v>#VALUE!</v>
      </c>
    </row>
    <row r="49" spans="1:55" ht="19.5" customHeight="1">
      <c r="A49" s="1228">
        <f t="shared" si="7"/>
        <v>0</v>
      </c>
      <c r="B49" s="7957" t="str">
        <f t="shared" si="8"/>
        <v/>
      </c>
      <c r="C49" s="7958"/>
      <c r="D49" s="7958"/>
      <c r="E49" s="7958"/>
      <c r="F49" s="7958"/>
      <c r="G49" s="7958"/>
      <c r="H49" s="7958"/>
      <c r="I49" s="7959"/>
      <c r="J49" s="7960" t="str">
        <f t="shared" si="9"/>
        <v/>
      </c>
      <c r="K49" s="7961"/>
      <c r="L49" s="7961"/>
      <c r="M49" s="7960" t="str">
        <f t="shared" si="10"/>
        <v/>
      </c>
      <c r="N49" s="7961"/>
      <c r="O49" s="7961"/>
      <c r="P49" s="7962"/>
      <c r="Q49" s="5988" t="str">
        <f t="shared" si="11"/>
        <v/>
      </c>
      <c r="R49" s="7942"/>
      <c r="S49" s="7942"/>
      <c r="T49" s="7943"/>
      <c r="U49" s="5988" t="str">
        <f t="shared" si="12"/>
        <v/>
      </c>
      <c r="V49" s="7942"/>
      <c r="W49" s="7942"/>
      <c r="X49" s="7943"/>
      <c r="Y49" s="7924" t="str">
        <f t="shared" si="24"/>
        <v/>
      </c>
      <c r="Z49" s="5495"/>
      <c r="AA49" s="7924" t="str">
        <f t="shared" si="25"/>
        <v/>
      </c>
      <c r="AB49" s="5495"/>
      <c r="AC49" s="7925" t="str">
        <f t="shared" si="13"/>
        <v/>
      </c>
      <c r="AD49" s="7926"/>
      <c r="AE49" s="7926"/>
      <c r="AF49" s="7926"/>
      <c r="AG49" s="1631">
        <f t="shared" si="14"/>
        <v>0</v>
      </c>
      <c r="AH49" s="1185"/>
      <c r="AI49" s="1185" t="e">
        <f t="shared" si="6"/>
        <v>#VALUE!</v>
      </c>
      <c r="AJ49" s="1547"/>
      <c r="AK49" s="1551"/>
      <c r="AL49" s="1551"/>
      <c r="AM49" s="1549"/>
      <c r="AN49" s="1549"/>
      <c r="AO49" s="1550"/>
      <c r="AP49" s="1549"/>
      <c r="AQ49" s="1548"/>
      <c r="AS49" s="46" t="e">
        <f t="shared" si="15"/>
        <v>#VALUE!</v>
      </c>
      <c r="AT49" s="46" t="e">
        <f t="shared" si="16"/>
        <v>#VALUE!</v>
      </c>
      <c r="AU49" s="46" t="e">
        <f t="shared" si="17"/>
        <v>#VALUE!</v>
      </c>
      <c r="AW49" s="46" t="e">
        <f t="shared" si="18"/>
        <v>#VALUE!</v>
      </c>
      <c r="AX49" s="46" t="e">
        <f t="shared" si="19"/>
        <v>#VALUE!</v>
      </c>
      <c r="AY49" s="46" t="e">
        <f t="shared" si="20"/>
        <v>#VALUE!</v>
      </c>
      <c r="BA49" s="46" t="e">
        <f t="shared" si="21"/>
        <v>#VALUE!</v>
      </c>
      <c r="BB49" s="46" t="e">
        <f t="shared" si="22"/>
        <v>#VALUE!</v>
      </c>
      <c r="BC49" s="46" t="e">
        <f t="shared" si="23"/>
        <v>#VALUE!</v>
      </c>
    </row>
    <row r="50" spans="1:55" ht="19.5" customHeight="1">
      <c r="A50" s="1228">
        <f t="shared" si="7"/>
        <v>0</v>
      </c>
      <c r="B50" s="7957" t="str">
        <f t="shared" si="8"/>
        <v/>
      </c>
      <c r="C50" s="7958"/>
      <c r="D50" s="7958"/>
      <c r="E50" s="7958"/>
      <c r="F50" s="7958"/>
      <c r="G50" s="7958"/>
      <c r="H50" s="7958"/>
      <c r="I50" s="7959"/>
      <c r="J50" s="7960" t="str">
        <f t="shared" si="9"/>
        <v/>
      </c>
      <c r="K50" s="7961"/>
      <c r="L50" s="7961"/>
      <c r="M50" s="7960" t="str">
        <f t="shared" si="10"/>
        <v/>
      </c>
      <c r="N50" s="7961"/>
      <c r="O50" s="7961"/>
      <c r="P50" s="7962"/>
      <c r="Q50" s="5988" t="str">
        <f t="shared" si="11"/>
        <v/>
      </c>
      <c r="R50" s="7942"/>
      <c r="S50" s="7942"/>
      <c r="T50" s="7943"/>
      <c r="U50" s="5988" t="str">
        <f t="shared" si="12"/>
        <v/>
      </c>
      <c r="V50" s="7942"/>
      <c r="W50" s="7942"/>
      <c r="X50" s="7943"/>
      <c r="Y50" s="7924" t="str">
        <f t="shared" si="24"/>
        <v/>
      </c>
      <c r="Z50" s="5495"/>
      <c r="AA50" s="7924" t="str">
        <f t="shared" si="25"/>
        <v/>
      </c>
      <c r="AB50" s="5495"/>
      <c r="AC50" s="7925" t="str">
        <f t="shared" si="13"/>
        <v/>
      </c>
      <c r="AD50" s="7926"/>
      <c r="AE50" s="7926"/>
      <c r="AF50" s="7926"/>
      <c r="AG50" s="1631">
        <f t="shared" si="14"/>
        <v>0</v>
      </c>
      <c r="AH50" s="1185"/>
      <c r="AI50" s="1185" t="e">
        <f t="shared" si="6"/>
        <v>#VALUE!</v>
      </c>
      <c r="AJ50" s="1547"/>
      <c r="AK50" s="1551"/>
      <c r="AL50" s="1551"/>
      <c r="AM50" s="1549"/>
      <c r="AN50" s="1549"/>
      <c r="AO50" s="1550"/>
      <c r="AP50" s="1549"/>
      <c r="AQ50" s="1548"/>
      <c r="AS50" s="46" t="e">
        <f t="shared" si="15"/>
        <v>#VALUE!</v>
      </c>
      <c r="AT50" s="46" t="e">
        <f t="shared" si="16"/>
        <v>#VALUE!</v>
      </c>
      <c r="AU50" s="46" t="e">
        <f t="shared" si="17"/>
        <v>#VALUE!</v>
      </c>
      <c r="AW50" s="46" t="e">
        <f t="shared" si="18"/>
        <v>#VALUE!</v>
      </c>
      <c r="AX50" s="46" t="e">
        <f t="shared" si="19"/>
        <v>#VALUE!</v>
      </c>
      <c r="AY50" s="46" t="e">
        <f t="shared" si="20"/>
        <v>#VALUE!</v>
      </c>
      <c r="BA50" s="46" t="e">
        <f t="shared" si="21"/>
        <v>#VALUE!</v>
      </c>
      <c r="BB50" s="46" t="e">
        <f t="shared" si="22"/>
        <v>#VALUE!</v>
      </c>
      <c r="BC50" s="46" t="e">
        <f t="shared" si="23"/>
        <v>#VALUE!</v>
      </c>
    </row>
    <row r="51" spans="1:55" ht="19.5" customHeight="1">
      <c r="A51" s="1228">
        <f t="shared" si="7"/>
        <v>0</v>
      </c>
      <c r="B51" s="7957" t="str">
        <f t="shared" si="8"/>
        <v/>
      </c>
      <c r="C51" s="7958"/>
      <c r="D51" s="7958"/>
      <c r="E51" s="7958"/>
      <c r="F51" s="7958"/>
      <c r="G51" s="7958"/>
      <c r="H51" s="7958"/>
      <c r="I51" s="7959"/>
      <c r="J51" s="7960" t="str">
        <f t="shared" si="9"/>
        <v/>
      </c>
      <c r="K51" s="7961"/>
      <c r="L51" s="7961"/>
      <c r="M51" s="7960" t="str">
        <f t="shared" si="10"/>
        <v/>
      </c>
      <c r="N51" s="7961"/>
      <c r="O51" s="7961"/>
      <c r="P51" s="7962"/>
      <c r="Q51" s="5988" t="str">
        <f t="shared" si="11"/>
        <v/>
      </c>
      <c r="R51" s="7942"/>
      <c r="S51" s="7942"/>
      <c r="T51" s="7943"/>
      <c r="U51" s="5988" t="str">
        <f t="shared" si="12"/>
        <v/>
      </c>
      <c r="V51" s="7942"/>
      <c r="W51" s="7942"/>
      <c r="X51" s="7943"/>
      <c r="Y51" s="7924" t="str">
        <f t="shared" si="24"/>
        <v/>
      </c>
      <c r="Z51" s="5495"/>
      <c r="AA51" s="7924" t="str">
        <f t="shared" si="25"/>
        <v/>
      </c>
      <c r="AB51" s="5495"/>
      <c r="AC51" s="7925" t="str">
        <f t="shared" si="13"/>
        <v/>
      </c>
      <c r="AD51" s="7926"/>
      <c r="AE51" s="7926"/>
      <c r="AF51" s="7926"/>
      <c r="AG51" s="1631">
        <f t="shared" si="14"/>
        <v>0</v>
      </c>
      <c r="AH51" s="1185"/>
      <c r="AI51" s="1185" t="e">
        <f t="shared" si="6"/>
        <v>#VALUE!</v>
      </c>
      <c r="AJ51" s="1547"/>
      <c r="AK51" s="1551"/>
      <c r="AL51" s="1551"/>
      <c r="AM51" s="1549"/>
      <c r="AN51" s="1549"/>
      <c r="AO51" s="1550"/>
      <c r="AP51" s="1549"/>
      <c r="AQ51" s="1548"/>
      <c r="AS51" s="46" t="e">
        <f t="shared" si="15"/>
        <v>#VALUE!</v>
      </c>
      <c r="AT51" s="46" t="e">
        <f t="shared" si="16"/>
        <v>#VALUE!</v>
      </c>
      <c r="AU51" s="46" t="e">
        <f t="shared" si="17"/>
        <v>#VALUE!</v>
      </c>
      <c r="AW51" s="46" t="e">
        <f t="shared" si="18"/>
        <v>#VALUE!</v>
      </c>
      <c r="AX51" s="46" t="e">
        <f t="shared" si="19"/>
        <v>#VALUE!</v>
      </c>
      <c r="AY51" s="46" t="e">
        <f t="shared" si="20"/>
        <v>#VALUE!</v>
      </c>
      <c r="BA51" s="46" t="e">
        <f t="shared" si="21"/>
        <v>#VALUE!</v>
      </c>
      <c r="BB51" s="46" t="e">
        <f t="shared" si="22"/>
        <v>#VALUE!</v>
      </c>
      <c r="BC51" s="46" t="e">
        <f t="shared" si="23"/>
        <v>#VALUE!</v>
      </c>
    </row>
    <row r="52" spans="1:55" ht="19.5" customHeight="1">
      <c r="A52" s="1228">
        <f t="shared" si="7"/>
        <v>0</v>
      </c>
      <c r="B52" s="7957" t="str">
        <f t="shared" si="8"/>
        <v/>
      </c>
      <c r="C52" s="7958"/>
      <c r="D52" s="7958"/>
      <c r="E52" s="7958"/>
      <c r="F52" s="7958"/>
      <c r="G52" s="7958"/>
      <c r="H52" s="7958"/>
      <c r="I52" s="7959"/>
      <c r="J52" s="7960" t="str">
        <f t="shared" si="9"/>
        <v/>
      </c>
      <c r="K52" s="7961"/>
      <c r="L52" s="7961"/>
      <c r="M52" s="7960" t="str">
        <f t="shared" si="10"/>
        <v/>
      </c>
      <c r="N52" s="7961"/>
      <c r="O52" s="7961"/>
      <c r="P52" s="7962"/>
      <c r="Q52" s="5988" t="str">
        <f t="shared" si="11"/>
        <v/>
      </c>
      <c r="R52" s="7942"/>
      <c r="S52" s="7942"/>
      <c r="T52" s="7943"/>
      <c r="U52" s="5988" t="str">
        <f t="shared" si="12"/>
        <v/>
      </c>
      <c r="V52" s="7942"/>
      <c r="W52" s="7942"/>
      <c r="X52" s="7943"/>
      <c r="Y52" s="7924" t="str">
        <f t="shared" si="24"/>
        <v/>
      </c>
      <c r="Z52" s="5495"/>
      <c r="AA52" s="7924" t="str">
        <f t="shared" si="25"/>
        <v/>
      </c>
      <c r="AB52" s="5495"/>
      <c r="AC52" s="7925" t="str">
        <f t="shared" si="13"/>
        <v/>
      </c>
      <c r="AD52" s="7926"/>
      <c r="AE52" s="7926"/>
      <c r="AF52" s="7926"/>
      <c r="AG52" s="1631">
        <f t="shared" si="14"/>
        <v>0</v>
      </c>
      <c r="AH52" s="1185"/>
      <c r="AI52" s="1185" t="e">
        <f t="shared" si="6"/>
        <v>#VALUE!</v>
      </c>
      <c r="AJ52" s="1547"/>
      <c r="AK52" s="1551"/>
      <c r="AL52" s="1551"/>
      <c r="AM52" s="1549"/>
      <c r="AN52" s="1549"/>
      <c r="AO52" s="1550"/>
      <c r="AP52" s="1549"/>
      <c r="AQ52" s="1548"/>
      <c r="AS52" s="46" t="e">
        <f t="shared" si="15"/>
        <v>#VALUE!</v>
      </c>
      <c r="AT52" s="46" t="e">
        <f t="shared" si="16"/>
        <v>#VALUE!</v>
      </c>
      <c r="AU52" s="46" t="e">
        <f t="shared" si="17"/>
        <v>#VALUE!</v>
      </c>
      <c r="AW52" s="46" t="e">
        <f t="shared" si="18"/>
        <v>#VALUE!</v>
      </c>
      <c r="AX52" s="46" t="e">
        <f t="shared" si="19"/>
        <v>#VALUE!</v>
      </c>
      <c r="AY52" s="46" t="e">
        <f t="shared" si="20"/>
        <v>#VALUE!</v>
      </c>
      <c r="BA52" s="46" t="e">
        <f t="shared" si="21"/>
        <v>#VALUE!</v>
      </c>
      <c r="BB52" s="46" t="e">
        <f t="shared" si="22"/>
        <v>#VALUE!</v>
      </c>
      <c r="BC52" s="46" t="e">
        <f t="shared" si="23"/>
        <v>#VALUE!</v>
      </c>
    </row>
    <row r="53" spans="1:55" ht="19.5" customHeight="1">
      <c r="A53" s="1228">
        <f t="shared" si="7"/>
        <v>0</v>
      </c>
      <c r="B53" s="7957" t="str">
        <f t="shared" si="8"/>
        <v/>
      </c>
      <c r="C53" s="7958"/>
      <c r="D53" s="7958"/>
      <c r="E53" s="7958"/>
      <c r="F53" s="7958"/>
      <c r="G53" s="7958"/>
      <c r="H53" s="7958"/>
      <c r="I53" s="7959"/>
      <c r="J53" s="7960" t="str">
        <f t="shared" si="9"/>
        <v/>
      </c>
      <c r="K53" s="7961"/>
      <c r="L53" s="7961"/>
      <c r="M53" s="7960" t="str">
        <f t="shared" si="10"/>
        <v/>
      </c>
      <c r="N53" s="7961"/>
      <c r="O53" s="7961"/>
      <c r="P53" s="7962"/>
      <c r="Q53" s="5988" t="str">
        <f t="shared" si="11"/>
        <v/>
      </c>
      <c r="R53" s="7942"/>
      <c r="S53" s="7942"/>
      <c r="T53" s="7943"/>
      <c r="U53" s="5988" t="str">
        <f t="shared" si="12"/>
        <v/>
      </c>
      <c r="V53" s="7942"/>
      <c r="W53" s="7942"/>
      <c r="X53" s="7943"/>
      <c r="Y53" s="7924" t="str">
        <f t="shared" si="24"/>
        <v/>
      </c>
      <c r="Z53" s="5495"/>
      <c r="AA53" s="7924" t="str">
        <f t="shared" si="25"/>
        <v/>
      </c>
      <c r="AB53" s="5495"/>
      <c r="AC53" s="7925" t="str">
        <f t="shared" si="13"/>
        <v/>
      </c>
      <c r="AD53" s="7926"/>
      <c r="AE53" s="7926"/>
      <c r="AF53" s="7926"/>
      <c r="AG53" s="1631">
        <f t="shared" si="14"/>
        <v>0</v>
      </c>
      <c r="AH53" s="1185"/>
      <c r="AI53" s="1185" t="e">
        <f t="shared" si="6"/>
        <v>#VALUE!</v>
      </c>
      <c r="AJ53" s="1547"/>
      <c r="AK53" s="1551"/>
      <c r="AL53" s="1551"/>
      <c r="AM53" s="1549"/>
      <c r="AN53" s="1549"/>
      <c r="AO53" s="1550"/>
      <c r="AP53" s="1549"/>
      <c r="AQ53" s="1548"/>
      <c r="AS53" s="46" t="e">
        <f t="shared" si="15"/>
        <v>#VALUE!</v>
      </c>
      <c r="AT53" s="46" t="e">
        <f t="shared" si="16"/>
        <v>#VALUE!</v>
      </c>
      <c r="AU53" s="46" t="e">
        <f t="shared" si="17"/>
        <v>#VALUE!</v>
      </c>
      <c r="AW53" s="46" t="e">
        <f t="shared" si="18"/>
        <v>#VALUE!</v>
      </c>
      <c r="AX53" s="46" t="e">
        <f t="shared" si="19"/>
        <v>#VALUE!</v>
      </c>
      <c r="AY53" s="46" t="e">
        <f t="shared" si="20"/>
        <v>#VALUE!</v>
      </c>
      <c r="BA53" s="46" t="e">
        <f t="shared" si="21"/>
        <v>#VALUE!</v>
      </c>
      <c r="BB53" s="46" t="e">
        <f t="shared" si="22"/>
        <v>#VALUE!</v>
      </c>
      <c r="BC53" s="46" t="e">
        <f t="shared" si="23"/>
        <v>#VALUE!</v>
      </c>
    </row>
    <row r="54" spans="1:55" ht="19.5" customHeight="1">
      <c r="A54" s="1228">
        <f t="shared" si="7"/>
        <v>0</v>
      </c>
      <c r="B54" s="7957" t="str">
        <f t="shared" si="8"/>
        <v/>
      </c>
      <c r="C54" s="7958"/>
      <c r="D54" s="7958"/>
      <c r="E54" s="7958"/>
      <c r="F54" s="7958"/>
      <c r="G54" s="7958"/>
      <c r="H54" s="7958"/>
      <c r="I54" s="7959"/>
      <c r="J54" s="7960" t="str">
        <f t="shared" si="9"/>
        <v/>
      </c>
      <c r="K54" s="7961"/>
      <c r="L54" s="7961"/>
      <c r="M54" s="7960" t="str">
        <f t="shared" si="10"/>
        <v/>
      </c>
      <c r="N54" s="7961"/>
      <c r="O54" s="7961"/>
      <c r="P54" s="7962"/>
      <c r="Q54" s="5988" t="str">
        <f t="shared" si="11"/>
        <v/>
      </c>
      <c r="R54" s="7942"/>
      <c r="S54" s="7942"/>
      <c r="T54" s="7943"/>
      <c r="U54" s="5988" t="str">
        <f t="shared" si="12"/>
        <v/>
      </c>
      <c r="V54" s="7942"/>
      <c r="W54" s="7942"/>
      <c r="X54" s="7943"/>
      <c r="Y54" s="7924" t="str">
        <f t="shared" si="24"/>
        <v/>
      </c>
      <c r="Z54" s="5495"/>
      <c r="AA54" s="7924" t="str">
        <f t="shared" si="25"/>
        <v/>
      </c>
      <c r="AB54" s="5495"/>
      <c r="AC54" s="7925" t="str">
        <f t="shared" si="13"/>
        <v/>
      </c>
      <c r="AD54" s="7926"/>
      <c r="AE54" s="7926"/>
      <c r="AF54" s="7926"/>
      <c r="AG54" s="1631">
        <f t="shared" si="14"/>
        <v>0</v>
      </c>
      <c r="AH54" s="1185"/>
      <c r="AI54" s="1185" t="e">
        <f t="shared" si="6"/>
        <v>#VALUE!</v>
      </c>
      <c r="AJ54" s="1547"/>
      <c r="AK54" s="1551"/>
      <c r="AL54" s="1551"/>
      <c r="AM54" s="1549"/>
      <c r="AN54" s="1549"/>
      <c r="AO54" s="1550"/>
      <c r="AP54" s="1549"/>
      <c r="AQ54" s="1548"/>
      <c r="AS54" s="46" t="e">
        <f t="shared" si="15"/>
        <v>#VALUE!</v>
      </c>
      <c r="AT54" s="46" t="e">
        <f t="shared" si="16"/>
        <v>#VALUE!</v>
      </c>
      <c r="AU54" s="46" t="e">
        <f t="shared" si="17"/>
        <v>#VALUE!</v>
      </c>
      <c r="AW54" s="46" t="e">
        <f t="shared" si="18"/>
        <v>#VALUE!</v>
      </c>
      <c r="AX54" s="46" t="e">
        <f t="shared" si="19"/>
        <v>#VALUE!</v>
      </c>
      <c r="AY54" s="46" t="e">
        <f t="shared" si="20"/>
        <v>#VALUE!</v>
      </c>
      <c r="BA54" s="46" t="e">
        <f t="shared" si="21"/>
        <v>#VALUE!</v>
      </c>
      <c r="BB54" s="46" t="e">
        <f t="shared" si="22"/>
        <v>#VALUE!</v>
      </c>
      <c r="BC54" s="46" t="e">
        <f t="shared" si="23"/>
        <v>#VALUE!</v>
      </c>
    </row>
    <row r="55" spans="1:55" ht="11.25" customHeight="1">
      <c r="A55" s="1228">
        <f>SUM(A35:A54)</f>
        <v>0</v>
      </c>
      <c r="B55" s="8047">
        <v>2</v>
      </c>
      <c r="C55" s="8036" t="s">
        <v>2579</v>
      </c>
      <c r="D55" s="8037"/>
      <c r="E55" s="8037"/>
      <c r="F55" s="8037"/>
      <c r="G55" s="8037"/>
      <c r="H55" s="8037"/>
      <c r="I55" s="8037"/>
      <c r="J55" s="8037"/>
      <c r="K55" s="8037"/>
      <c r="L55" s="8037"/>
      <c r="M55" s="8037"/>
      <c r="N55" s="8037"/>
      <c r="O55" s="8037"/>
      <c r="P55" s="8037"/>
      <c r="Q55" s="7934" t="str">
        <f>IF(A55=0,"",ROUND(SUM(Q35:Q54),0))</f>
        <v/>
      </c>
      <c r="R55" s="8039"/>
      <c r="S55" s="8039"/>
      <c r="T55" s="7935"/>
      <c r="U55" s="7934" t="str">
        <f>IF(A55=0,"",ROUND(SUM(U35:U54),0))</f>
        <v/>
      </c>
      <c r="V55" s="8017"/>
      <c r="W55" s="8017"/>
      <c r="X55" s="8018"/>
      <c r="Y55" s="8025"/>
      <c r="Z55" s="8026"/>
      <c r="AA55" s="7934" t="str">
        <f>IF(A55=0,"",ROUND(SUM(AA35:AA54),0))</f>
        <v/>
      </c>
      <c r="AB55" s="7935"/>
      <c r="AC55" s="7934" t="str">
        <f>IF(A55=0,"",ROUND(SUM(AC35:AC54),0))</f>
        <v/>
      </c>
      <c r="AD55" s="8017"/>
      <c r="AE55" s="8017"/>
      <c r="AF55" s="8017"/>
      <c r="AG55" s="1228"/>
    </row>
    <row r="56" spans="1:55" ht="11.25" customHeight="1">
      <c r="A56" s="1228"/>
      <c r="B56" s="8048"/>
      <c r="C56" s="8038"/>
      <c r="D56" s="8038"/>
      <c r="E56" s="8038"/>
      <c r="F56" s="8038"/>
      <c r="G56" s="8038"/>
      <c r="H56" s="8038"/>
      <c r="I56" s="8038"/>
      <c r="J56" s="8038"/>
      <c r="K56" s="8038"/>
      <c r="L56" s="8038"/>
      <c r="M56" s="8038"/>
      <c r="N56" s="8038"/>
      <c r="O56" s="8038"/>
      <c r="P56" s="8038"/>
      <c r="Q56" s="7936"/>
      <c r="R56" s="8040"/>
      <c r="S56" s="8040"/>
      <c r="T56" s="7937"/>
      <c r="U56" s="8019"/>
      <c r="V56" s="8020"/>
      <c r="W56" s="8020"/>
      <c r="X56" s="8021"/>
      <c r="Y56" s="8027"/>
      <c r="Z56" s="8028"/>
      <c r="AA56" s="7936"/>
      <c r="AB56" s="7937"/>
      <c r="AC56" s="8019"/>
      <c r="AD56" s="8020"/>
      <c r="AE56" s="8020"/>
      <c r="AF56" s="8020"/>
      <c r="AG56" s="1228"/>
    </row>
    <row r="57" spans="1:55" ht="11.25" customHeight="1">
      <c r="A57" s="1228"/>
      <c r="B57" s="8048"/>
      <c r="C57" s="8038"/>
      <c r="D57" s="8038"/>
      <c r="E57" s="8038"/>
      <c r="F57" s="8038"/>
      <c r="G57" s="8038"/>
      <c r="H57" s="8038"/>
      <c r="I57" s="8038"/>
      <c r="J57" s="8038"/>
      <c r="K57" s="8038"/>
      <c r="L57" s="8038"/>
      <c r="M57" s="8038"/>
      <c r="N57" s="8038"/>
      <c r="O57" s="8038"/>
      <c r="P57" s="8038"/>
      <c r="Q57" s="7936"/>
      <c r="R57" s="8040"/>
      <c r="S57" s="8040"/>
      <c r="T57" s="7937"/>
      <c r="U57" s="8019"/>
      <c r="V57" s="8020"/>
      <c r="W57" s="8020"/>
      <c r="X57" s="8021"/>
      <c r="Y57" s="8027"/>
      <c r="Z57" s="8028"/>
      <c r="AA57" s="7936"/>
      <c r="AB57" s="7937"/>
      <c r="AC57" s="8019"/>
      <c r="AD57" s="8020"/>
      <c r="AE57" s="8020"/>
      <c r="AF57" s="8020"/>
      <c r="AG57" s="1228"/>
    </row>
    <row r="58" spans="1:55" ht="11.25" customHeight="1">
      <c r="A58" s="1228"/>
      <c r="B58" s="8048"/>
      <c r="C58" s="8038"/>
      <c r="D58" s="8038"/>
      <c r="E58" s="8038"/>
      <c r="F58" s="8038"/>
      <c r="G58" s="8038"/>
      <c r="H58" s="8038"/>
      <c r="I58" s="8038"/>
      <c r="J58" s="8038"/>
      <c r="K58" s="8038"/>
      <c r="L58" s="8038"/>
      <c r="M58" s="8038"/>
      <c r="N58" s="8038"/>
      <c r="O58" s="8038"/>
      <c r="P58" s="8038"/>
      <c r="Q58" s="7936"/>
      <c r="R58" s="8040"/>
      <c r="S58" s="8040"/>
      <c r="T58" s="7937"/>
      <c r="U58" s="8019"/>
      <c r="V58" s="8020"/>
      <c r="W58" s="8020"/>
      <c r="X58" s="8021"/>
      <c r="Y58" s="8027"/>
      <c r="Z58" s="8028"/>
      <c r="AA58" s="7936"/>
      <c r="AB58" s="7937"/>
      <c r="AC58" s="8019"/>
      <c r="AD58" s="8020"/>
      <c r="AE58" s="8020"/>
      <c r="AF58" s="8020"/>
      <c r="AG58" s="1228"/>
    </row>
    <row r="59" spans="1:55" ht="9" customHeight="1">
      <c r="A59" s="1228"/>
      <c r="B59" s="8048"/>
      <c r="C59" s="8038"/>
      <c r="D59" s="8038"/>
      <c r="E59" s="8038"/>
      <c r="F59" s="8038"/>
      <c r="G59" s="8038"/>
      <c r="H59" s="8038"/>
      <c r="I59" s="8038"/>
      <c r="J59" s="8038"/>
      <c r="K59" s="8038"/>
      <c r="L59" s="8038"/>
      <c r="M59" s="8038"/>
      <c r="N59" s="8038"/>
      <c r="O59" s="8038"/>
      <c r="P59" s="8038"/>
      <c r="Q59" s="7936"/>
      <c r="R59" s="8040"/>
      <c r="S59" s="8040"/>
      <c r="T59" s="7937"/>
      <c r="U59" s="8044"/>
      <c r="V59" s="8045"/>
      <c r="W59" s="8045"/>
      <c r="X59" s="8046"/>
      <c r="Y59" s="8029"/>
      <c r="Z59" s="8030"/>
      <c r="AA59" s="7938"/>
      <c r="AB59" s="7939"/>
      <c r="AC59" s="8019"/>
      <c r="AD59" s="8020"/>
      <c r="AE59" s="8020"/>
      <c r="AF59" s="8020"/>
      <c r="AG59" s="1228"/>
    </row>
    <row r="60" spans="1:55" ht="25.5" customHeight="1" thickBot="1">
      <c r="A60" s="1228"/>
      <c r="B60" s="8041" t="s">
        <v>4200</v>
      </c>
      <c r="C60" s="8042"/>
      <c r="D60" s="8042"/>
      <c r="E60" s="8042"/>
      <c r="F60" s="8042"/>
      <c r="G60" s="8042"/>
      <c r="H60" s="8042"/>
      <c r="I60" s="8042"/>
      <c r="J60" s="8042"/>
      <c r="K60" s="8042"/>
      <c r="L60" s="8042"/>
      <c r="M60" s="8042"/>
      <c r="N60" s="8042"/>
      <c r="O60" s="8042"/>
      <c r="P60" s="8042"/>
      <c r="Q60" s="8042"/>
      <c r="R60" s="8042"/>
      <c r="S60" s="8042"/>
      <c r="T60" s="8042"/>
      <c r="U60" s="8043"/>
      <c r="V60" s="8043"/>
      <c r="W60" s="8043"/>
      <c r="X60" s="8043"/>
      <c r="Y60" s="8042"/>
      <c r="Z60" s="8042"/>
      <c r="AA60" s="8042"/>
      <c r="AB60" s="8042"/>
      <c r="AC60" s="8042"/>
      <c r="AD60" s="8042"/>
      <c r="AE60" s="8042"/>
      <c r="AF60" s="8042"/>
      <c r="AG60" s="1228"/>
      <c r="AJ60" s="1075"/>
    </row>
    <row r="61" spans="1:55" ht="16.5" thickTop="1">
      <c r="A61" s="1228"/>
      <c r="B61" s="636" t="s">
        <v>564</v>
      </c>
      <c r="C61" s="24"/>
      <c r="D61" s="24"/>
      <c r="E61" s="24"/>
      <c r="F61" s="24"/>
      <c r="G61" s="24"/>
      <c r="H61" s="24"/>
      <c r="I61" s="24"/>
      <c r="J61" s="24"/>
      <c r="K61" s="24"/>
      <c r="L61" s="24"/>
      <c r="M61" s="24"/>
      <c r="N61" s="24"/>
      <c r="O61" s="24"/>
      <c r="P61" s="24"/>
      <c r="Q61" s="24"/>
      <c r="R61" s="24"/>
      <c r="S61" s="24"/>
      <c r="T61" s="24"/>
      <c r="U61" s="538" t="s">
        <v>734</v>
      </c>
      <c r="V61" s="24"/>
      <c r="W61" s="24"/>
      <c r="X61" s="24"/>
      <c r="Y61" s="24"/>
      <c r="Z61" s="24"/>
      <c r="AA61" s="24"/>
      <c r="AB61" s="24"/>
      <c r="AC61" s="24"/>
      <c r="AD61" s="1127" t="s">
        <v>761</v>
      </c>
      <c r="AE61" s="24"/>
      <c r="AF61" s="4609" t="str">
        <f>"("&amp;TaxYear&amp;")"</f>
        <v>(2018)</v>
      </c>
      <c r="AG61" s="1228"/>
    </row>
    <row r="62" spans="1:55" ht="15.75">
      <c r="A62" s="1228"/>
      <c r="B62" s="35" t="str">
        <f>"Form 8949 ("&amp;TaxYear&amp;")"</f>
        <v>Form 8949 (2018)</v>
      </c>
      <c r="C62" s="45"/>
      <c r="D62" s="45"/>
      <c r="E62" s="45"/>
      <c r="F62" s="45"/>
      <c r="G62" s="45"/>
      <c r="H62" s="45"/>
      <c r="I62" s="45"/>
      <c r="J62" s="45"/>
      <c r="K62" s="45"/>
      <c r="L62" s="45"/>
      <c r="M62" s="45"/>
      <c r="N62" s="45"/>
      <c r="O62" s="45"/>
      <c r="P62" s="45"/>
      <c r="Q62" s="45"/>
      <c r="R62" s="45"/>
      <c r="S62" s="45"/>
      <c r="T62" s="45"/>
      <c r="U62" s="45"/>
      <c r="V62" s="35" t="s">
        <v>736</v>
      </c>
      <c r="W62" s="45"/>
      <c r="X62" s="45"/>
      <c r="Y62" s="45"/>
      <c r="Z62" s="45"/>
      <c r="AA62" s="45"/>
      <c r="AB62" s="45"/>
      <c r="AC62" s="45"/>
      <c r="AD62" s="45"/>
      <c r="AE62" s="45"/>
      <c r="AF62" s="1188" t="s">
        <v>182</v>
      </c>
      <c r="AG62" s="1228"/>
    </row>
    <row r="63" spans="1:55">
      <c r="A63" s="1228"/>
      <c r="B63" s="32" t="s">
        <v>63</v>
      </c>
      <c r="C63" s="24"/>
      <c r="D63" s="24"/>
      <c r="E63" s="24"/>
      <c r="F63" s="24"/>
      <c r="G63" s="24"/>
      <c r="H63" s="24"/>
      <c r="I63" s="24"/>
      <c r="J63" s="24"/>
      <c r="K63" s="24"/>
      <c r="L63" s="24"/>
      <c r="M63" s="24"/>
      <c r="N63" s="24"/>
      <c r="O63" s="24"/>
      <c r="P63" s="24"/>
      <c r="Q63" s="24"/>
      <c r="R63" s="24"/>
      <c r="S63" s="24"/>
      <c r="T63" s="24"/>
      <c r="U63" s="24"/>
      <c r="V63" s="1546" t="s">
        <v>899</v>
      </c>
      <c r="W63" s="24"/>
      <c r="X63" s="24"/>
      <c r="Y63" s="24"/>
      <c r="Z63" s="37"/>
      <c r="AA63" s="24"/>
      <c r="AB63" s="24"/>
      <c r="AC63" s="24"/>
      <c r="AD63" s="24"/>
      <c r="AE63" s="24"/>
      <c r="AF63" s="24"/>
      <c r="AG63" s="1228"/>
    </row>
    <row r="64" spans="1:55" ht="16.5" thickBot="1">
      <c r="A64" s="1228"/>
      <c r="B64" s="7970" t="str">
        <f>Names</f>
        <v/>
      </c>
      <c r="C64" s="7971"/>
      <c r="D64" s="7971"/>
      <c r="E64" s="7971"/>
      <c r="F64" s="7971"/>
      <c r="G64" s="7971"/>
      <c r="H64" s="7971"/>
      <c r="I64" s="7971"/>
      <c r="J64" s="7971"/>
      <c r="K64" s="7971"/>
      <c r="L64" s="7971"/>
      <c r="M64" s="7971"/>
      <c r="N64" s="7971"/>
      <c r="O64" s="7971"/>
      <c r="P64" s="7971"/>
      <c r="Q64" s="7971"/>
      <c r="R64" s="7971"/>
      <c r="S64" s="7971"/>
      <c r="T64" s="7971"/>
      <c r="U64" s="7972"/>
      <c r="V64" s="7968">
        <f>SS_Yours</f>
        <v>0</v>
      </c>
      <c r="W64" s="7969"/>
      <c r="X64" s="7969"/>
      <c r="Y64" s="7969"/>
      <c r="Z64" s="7969"/>
      <c r="AA64" s="7969"/>
      <c r="AB64" s="7969"/>
      <c r="AC64" s="7969"/>
      <c r="AD64" s="7969"/>
      <c r="AE64" s="7969"/>
      <c r="AF64" s="7969"/>
      <c r="AG64" s="1228"/>
    </row>
    <row r="65" spans="1:55" ht="12.75" customHeight="1">
      <c r="A65" s="1228"/>
      <c r="B65" s="8031" t="s">
        <v>2586</v>
      </c>
      <c r="C65" s="8032"/>
      <c r="D65" s="8032"/>
      <c r="E65" s="8032"/>
      <c r="F65" s="8032"/>
      <c r="G65" s="8032"/>
      <c r="H65" s="8032"/>
      <c r="I65" s="8032"/>
      <c r="J65" s="8032"/>
      <c r="K65" s="8032"/>
      <c r="L65" s="8032"/>
      <c r="M65" s="8032"/>
      <c r="N65" s="8032"/>
      <c r="O65" s="8032"/>
      <c r="P65" s="8032"/>
      <c r="Q65" s="8032"/>
      <c r="R65" s="8032"/>
      <c r="S65" s="8032"/>
      <c r="T65" s="8032"/>
      <c r="U65" s="8032"/>
      <c r="V65" s="8032"/>
      <c r="W65" s="8032"/>
      <c r="X65" s="8032"/>
      <c r="Y65" s="8032"/>
      <c r="Z65" s="8032"/>
      <c r="AA65" s="8032"/>
      <c r="AB65" s="8032"/>
      <c r="AC65" s="8032"/>
      <c r="AD65" s="8032"/>
      <c r="AE65" s="8032"/>
      <c r="AF65" s="8032"/>
      <c r="AG65" s="1228"/>
    </row>
    <row r="66" spans="1:55" ht="12.75" customHeight="1">
      <c r="A66" s="1228"/>
      <c r="B66" s="6088"/>
      <c r="C66" s="6088"/>
      <c r="D66" s="6088"/>
      <c r="E66" s="6088"/>
      <c r="F66" s="6088"/>
      <c r="G66" s="6088"/>
      <c r="H66" s="6088"/>
      <c r="I66" s="6088"/>
      <c r="J66" s="6088"/>
      <c r="K66" s="6088"/>
      <c r="L66" s="6088"/>
      <c r="M66" s="6088"/>
      <c r="N66" s="6088"/>
      <c r="O66" s="6088"/>
      <c r="P66" s="6088"/>
      <c r="Q66" s="6088"/>
      <c r="R66" s="6088"/>
      <c r="S66" s="6088"/>
      <c r="T66" s="6088"/>
      <c r="U66" s="6088"/>
      <c r="V66" s="6088"/>
      <c r="W66" s="6088"/>
      <c r="X66" s="6088"/>
      <c r="Y66" s="6088"/>
      <c r="Z66" s="6088"/>
      <c r="AA66" s="6088"/>
      <c r="AB66" s="6088"/>
      <c r="AC66" s="6088"/>
      <c r="AD66" s="6088"/>
      <c r="AE66" s="6088"/>
      <c r="AF66" s="6088"/>
      <c r="AG66" s="1228"/>
    </row>
    <row r="67" spans="1:55" ht="12.75" customHeight="1">
      <c r="A67" s="1228"/>
      <c r="B67" s="5809"/>
      <c r="C67" s="5809"/>
      <c r="D67" s="5809"/>
      <c r="E67" s="5809"/>
      <c r="F67" s="5809"/>
      <c r="G67" s="5809"/>
      <c r="H67" s="5809"/>
      <c r="I67" s="5809"/>
      <c r="J67" s="5809"/>
      <c r="K67" s="5809"/>
      <c r="L67" s="5809"/>
      <c r="M67" s="5809"/>
      <c r="N67" s="5809"/>
      <c r="O67" s="5809"/>
      <c r="P67" s="5809"/>
      <c r="Q67" s="5809"/>
      <c r="R67" s="5809"/>
      <c r="S67" s="5809"/>
      <c r="T67" s="5809"/>
      <c r="U67" s="5809"/>
      <c r="V67" s="5809"/>
      <c r="W67" s="5809"/>
      <c r="X67" s="5809"/>
      <c r="Y67" s="5809"/>
      <c r="Z67" s="5809"/>
      <c r="AA67" s="5809"/>
      <c r="AB67" s="5809"/>
      <c r="AC67" s="5809"/>
      <c r="AD67" s="5809"/>
      <c r="AE67" s="5809"/>
      <c r="AF67" s="5809"/>
      <c r="AG67" s="1228"/>
    </row>
    <row r="68" spans="1:55" ht="3.75" customHeight="1">
      <c r="A68" s="1228"/>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28"/>
    </row>
    <row r="69" spans="1:55" ht="15">
      <c r="A69" s="1228"/>
      <c r="B69" s="7978" t="s">
        <v>130</v>
      </c>
      <c r="C69" s="5615"/>
      <c r="D69" s="24"/>
      <c r="E69" s="354" t="s">
        <v>2577</v>
      </c>
      <c r="F69" s="423"/>
      <c r="G69" s="423"/>
      <c r="H69" s="423"/>
      <c r="I69" s="423"/>
      <c r="J69" s="423"/>
      <c r="K69" s="423"/>
      <c r="L69" s="423"/>
      <c r="M69" s="423"/>
      <c r="N69" s="423"/>
      <c r="O69" s="423"/>
      <c r="P69" s="354"/>
      <c r="Q69" s="423"/>
      <c r="R69" s="423"/>
      <c r="S69" s="423"/>
      <c r="T69" s="423" t="s">
        <v>2576</v>
      </c>
      <c r="U69" s="423"/>
      <c r="V69" s="423"/>
      <c r="W69" s="423"/>
      <c r="X69" s="423"/>
      <c r="Y69" s="423" t="s">
        <v>4202</v>
      </c>
      <c r="Z69" s="423"/>
      <c r="AA69" s="423"/>
      <c r="AB69" s="423"/>
      <c r="AC69" s="423"/>
      <c r="AD69" s="423"/>
      <c r="AE69" s="423"/>
      <c r="AF69" s="423"/>
      <c r="AG69" s="1228" t="b">
        <f>IF(SUM(AG88:AG115)&gt;0,TRUE,FALSE)</f>
        <v>0</v>
      </c>
    </row>
    <row r="70" spans="1:55" ht="11.25" customHeight="1">
      <c r="A70" s="1228"/>
      <c r="B70" s="24"/>
      <c r="C70" s="24"/>
      <c r="D70" s="24"/>
      <c r="E70" s="423" t="s">
        <v>4203</v>
      </c>
      <c r="F70" s="423"/>
      <c r="G70" s="423"/>
      <c r="H70" s="423"/>
      <c r="I70" s="423"/>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1228"/>
    </row>
    <row r="71" spans="1:55" s="269" customFormat="1" ht="13.5" customHeight="1">
      <c r="A71" s="3246"/>
      <c r="B71" s="423"/>
      <c r="C71" s="423"/>
      <c r="D71" s="423"/>
      <c r="E71" s="3247" t="s">
        <v>2578</v>
      </c>
      <c r="F71" s="423"/>
      <c r="G71" s="423"/>
      <c r="H71" s="423"/>
      <c r="I71" s="423"/>
      <c r="J71" s="423"/>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3246"/>
      <c r="AH71" s="1067"/>
      <c r="AI71" s="1067"/>
    </row>
    <row r="72" spans="1:55" s="269" customFormat="1" ht="13.5" customHeight="1">
      <c r="A72" s="3246"/>
      <c r="B72" s="423"/>
      <c r="C72" s="423"/>
      <c r="D72" s="423"/>
      <c r="E72" s="423" t="s">
        <v>1014</v>
      </c>
      <c r="F72" s="423"/>
      <c r="G72" s="423"/>
      <c r="H72" s="423"/>
      <c r="I72" s="423"/>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3246"/>
      <c r="AH72" s="1067"/>
      <c r="AI72" s="1067"/>
    </row>
    <row r="73" spans="1:55" s="269" customFormat="1" ht="13.5" customHeight="1">
      <c r="A73" s="3246"/>
      <c r="B73" s="3248"/>
      <c r="C73" s="3248"/>
      <c r="D73" s="3248"/>
      <c r="E73" s="3248" t="s">
        <v>4204</v>
      </c>
      <c r="F73" s="3248"/>
      <c r="G73" s="3248"/>
      <c r="H73" s="3248"/>
      <c r="I73" s="3248"/>
      <c r="J73" s="3248"/>
      <c r="K73" s="3248"/>
      <c r="L73" s="3248"/>
      <c r="M73" s="3248"/>
      <c r="N73" s="3248"/>
      <c r="O73" s="3248"/>
      <c r="P73" s="3248"/>
      <c r="Q73" s="3248"/>
      <c r="R73" s="3248"/>
      <c r="S73" s="3248"/>
      <c r="T73" s="3248"/>
      <c r="U73" s="3248"/>
      <c r="V73" s="3248"/>
      <c r="W73" s="3248"/>
      <c r="X73" s="3248"/>
      <c r="Y73" s="3248"/>
      <c r="Z73" s="3248"/>
      <c r="AA73" s="3248"/>
      <c r="AB73" s="3248"/>
      <c r="AC73" s="3248"/>
      <c r="AD73" s="3248"/>
      <c r="AE73" s="3248"/>
      <c r="AF73" s="3248"/>
      <c r="AG73" s="3246"/>
      <c r="AH73" s="1067"/>
      <c r="AI73" s="1067"/>
    </row>
    <row r="74" spans="1:55">
      <c r="A74" s="1228"/>
      <c r="B74" s="286" t="s">
        <v>1015</v>
      </c>
      <c r="C74" s="60"/>
      <c r="D74" s="60"/>
      <c r="E74" s="60"/>
      <c r="F74" s="60"/>
      <c r="G74" s="60"/>
      <c r="H74" s="60"/>
      <c r="I74" s="60"/>
      <c r="J74" s="60"/>
      <c r="K74" s="286" t="s">
        <v>887</v>
      </c>
      <c r="L74" s="60"/>
      <c r="M74" s="60"/>
      <c r="N74" s="60"/>
      <c r="O74" s="60"/>
      <c r="P74" s="74" t="s">
        <v>889</v>
      </c>
      <c r="Q74" s="60"/>
      <c r="R74" s="60"/>
      <c r="S74" s="60"/>
      <c r="T74" s="60"/>
      <c r="U74" s="60"/>
      <c r="V74" s="60"/>
      <c r="W74" s="60"/>
      <c r="X74" s="60"/>
      <c r="Y74" s="60"/>
      <c r="Z74" s="60"/>
      <c r="AA74" s="60"/>
      <c r="AB74" s="60"/>
      <c r="AC74" s="60"/>
      <c r="AD74" s="60"/>
      <c r="AE74" s="60"/>
      <c r="AF74" s="60"/>
      <c r="AG74" s="1228"/>
    </row>
    <row r="75" spans="1:55">
      <c r="A75" s="1228"/>
      <c r="B75" s="74" t="s">
        <v>890</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28"/>
      <c r="BA75" s="7953" t="s">
        <v>957</v>
      </c>
      <c r="BB75" s="6273"/>
      <c r="BC75" s="6185"/>
    </row>
    <row r="76" spans="1:55">
      <c r="A76" s="1228"/>
      <c r="B76" s="74" t="s">
        <v>891</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28"/>
      <c r="BA76" s="7954" t="s">
        <v>956</v>
      </c>
      <c r="BB76" s="7954" t="s">
        <v>947</v>
      </c>
      <c r="BC76" s="7954" t="s">
        <v>948</v>
      </c>
    </row>
    <row r="77" spans="1:55" ht="4.5" customHeight="1" thickBot="1">
      <c r="A77" s="1228"/>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28"/>
      <c r="BA77" s="7955"/>
      <c r="BB77" s="7955"/>
      <c r="BC77" s="7955"/>
    </row>
    <row r="78" spans="1:55" ht="12" customHeight="1" thickBot="1">
      <c r="A78" s="1228"/>
      <c r="B78" s="1588">
        <f>IF(C78&lt;&gt;"",1,0)</f>
        <v>1</v>
      </c>
      <c r="C78" s="1587" t="s">
        <v>1499</v>
      </c>
      <c r="D78" s="1085" t="s">
        <v>4205</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28"/>
      <c r="AJ78" s="7948"/>
      <c r="AK78" s="7949"/>
      <c r="AL78" s="7949"/>
      <c r="AM78" s="7949"/>
      <c r="AN78" s="7949"/>
      <c r="AO78" s="7949"/>
      <c r="AP78" s="7949"/>
      <c r="AQ78" s="7949"/>
      <c r="BA78" s="7955"/>
      <c r="BB78" s="7955"/>
      <c r="BC78" s="7955"/>
    </row>
    <row r="79" spans="1:55" ht="4.5" customHeight="1" thickBot="1">
      <c r="A79" s="1228"/>
      <c r="B79" s="1545"/>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28"/>
      <c r="BA79" s="7955"/>
      <c r="BB79" s="7955"/>
      <c r="BC79" s="7955"/>
    </row>
    <row r="80" spans="1:55" ht="11.25" customHeight="1" thickBot="1">
      <c r="A80" s="1228"/>
      <c r="B80" s="1588">
        <f>IF(C80&lt;&gt;"",1,0)</f>
        <v>0</v>
      </c>
      <c r="C80" s="1587"/>
      <c r="D80" s="1085" t="s">
        <v>4206</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228"/>
      <c r="AJ80" s="7948"/>
      <c r="AK80" s="7949"/>
      <c r="AL80" s="7949"/>
      <c r="AM80" s="7949"/>
      <c r="AN80" s="7949"/>
      <c r="AO80" s="7949"/>
      <c r="AP80" s="7949"/>
      <c r="AQ80" s="7949"/>
      <c r="BA80" s="7955"/>
      <c r="BB80" s="7955"/>
      <c r="BC80" s="7955"/>
    </row>
    <row r="81" spans="1:55" ht="4.5" customHeight="1" thickBot="1">
      <c r="A81" s="1228"/>
      <c r="B81" s="1545"/>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228"/>
      <c r="BA81" s="7955"/>
      <c r="BB81" s="7955"/>
      <c r="BC81" s="7955"/>
    </row>
    <row r="82" spans="1:55" ht="12" customHeight="1" thickBot="1">
      <c r="A82" s="1228">
        <f>SUM(B78:B82)</f>
        <v>1</v>
      </c>
      <c r="B82" s="1588">
        <f>IF(C82&lt;&gt;"",1,0)</f>
        <v>0</v>
      </c>
      <c r="C82" s="1587"/>
      <c r="D82" s="1085" t="s">
        <v>4207</v>
      </c>
      <c r="E82" s="60"/>
      <c r="F82" s="60"/>
      <c r="G82" s="60"/>
      <c r="H82" s="60"/>
      <c r="I82" s="60"/>
      <c r="J82" s="60"/>
      <c r="K82" s="60"/>
      <c r="L82" s="60"/>
      <c r="M82" s="60"/>
      <c r="N82" s="60"/>
      <c r="O82" s="60"/>
      <c r="P82" s="60"/>
      <c r="Q82" s="60"/>
      <c r="R82" s="7940" t="str">
        <f>IF(SpaceUsed_8949C_LT,"ERROR: DO NOT use the space bar to uncheck a box. Use the 'Delete' key.",IF(A82&gt;1,"Check only ONE box.",IF(A82&gt;0,"",IF(A82&lt;1,"Check ONE box.",""))))</f>
        <v/>
      </c>
      <c r="S82" s="7941"/>
      <c r="T82" s="7941"/>
      <c r="U82" s="7941"/>
      <c r="V82" s="7941"/>
      <c r="W82" s="7941"/>
      <c r="X82" s="7941"/>
      <c r="Y82" s="7941"/>
      <c r="Z82" s="7941"/>
      <c r="AA82" s="7941"/>
      <c r="AB82" s="7941"/>
      <c r="AC82" s="7941"/>
      <c r="AD82" s="7941"/>
      <c r="AE82" s="7941"/>
      <c r="AF82" s="60"/>
      <c r="AG82" s="1228"/>
      <c r="AH82" s="1786" t="b">
        <f>IF(OR(F8949DLBOXA=CHAR(32),F8949DLBOXB=CHAR(32),F8949DLBOXC=CHAR(32)),TRUE,FALSE)</f>
        <v>0</v>
      </c>
      <c r="AJ82" s="7956" t="s">
        <v>3403</v>
      </c>
      <c r="AK82" s="7949"/>
      <c r="AL82" s="7949"/>
      <c r="AM82" s="7949"/>
      <c r="AN82" s="7949"/>
      <c r="AO82" s="7949"/>
      <c r="AP82" s="7949"/>
      <c r="AQ82" s="7949"/>
      <c r="BA82" s="7955"/>
      <c r="BB82" s="7955"/>
      <c r="BC82" s="7955"/>
    </row>
    <row r="83" spans="1:55" ht="3.75" customHeight="1">
      <c r="A83" s="1228"/>
      <c r="B83" s="287"/>
      <c r="C83" s="1187"/>
      <c r="D83" s="287"/>
      <c r="E83" s="287"/>
      <c r="F83" s="287"/>
      <c r="G83" s="287"/>
      <c r="H83" s="287"/>
      <c r="I83" s="287"/>
      <c r="J83" s="287"/>
      <c r="K83" s="287"/>
      <c r="L83" s="287"/>
      <c r="M83" s="287"/>
      <c r="N83" s="1187"/>
      <c r="O83" s="287"/>
      <c r="P83" s="287"/>
      <c r="Q83" s="287"/>
      <c r="R83" s="287"/>
      <c r="S83" s="287"/>
      <c r="T83" s="287"/>
      <c r="U83" s="287"/>
      <c r="V83" s="287"/>
      <c r="W83" s="287"/>
      <c r="X83" s="287"/>
      <c r="Y83" s="1187"/>
      <c r="Z83" s="287"/>
      <c r="AA83" s="287"/>
      <c r="AB83" s="287"/>
      <c r="AC83" s="287"/>
      <c r="AD83" s="287"/>
      <c r="AE83" s="287"/>
      <c r="AF83" s="287"/>
      <c r="AG83" s="1228"/>
      <c r="BA83" s="7955"/>
      <c r="BB83" s="7955"/>
      <c r="BC83" s="7955"/>
    </row>
    <row r="84" spans="1:55" ht="21" customHeight="1">
      <c r="A84" s="1228"/>
      <c r="B84" s="7979">
        <v>1</v>
      </c>
      <c r="C84" s="7985" t="s">
        <v>733</v>
      </c>
      <c r="D84" s="7986"/>
      <c r="E84" s="7986"/>
      <c r="F84" s="7986"/>
      <c r="G84" s="7986"/>
      <c r="H84" s="7986"/>
      <c r="I84" s="7987"/>
      <c r="J84" s="8002" t="s">
        <v>4209</v>
      </c>
      <c r="K84" s="6365"/>
      <c r="L84" s="6149"/>
      <c r="M84" s="8002" t="s">
        <v>893</v>
      </c>
      <c r="N84" s="6365"/>
      <c r="O84" s="6365"/>
      <c r="P84" s="6149"/>
      <c r="Q84" s="8002" t="s">
        <v>894</v>
      </c>
      <c r="R84" s="6365"/>
      <c r="S84" s="6365"/>
      <c r="T84" s="6149"/>
      <c r="U84" s="7927" t="s">
        <v>898</v>
      </c>
      <c r="V84" s="7928"/>
      <c r="W84" s="7928"/>
      <c r="X84" s="7999"/>
      <c r="Y84" s="7993" t="s">
        <v>4208</v>
      </c>
      <c r="Z84" s="7994"/>
      <c r="AA84" s="7994"/>
      <c r="AB84" s="7995"/>
      <c r="AC84" s="7927" t="s">
        <v>897</v>
      </c>
      <c r="AD84" s="7928"/>
      <c r="AE84" s="7928"/>
      <c r="AF84" s="7928"/>
      <c r="AG84" s="1228"/>
      <c r="AJ84" s="7946" t="s">
        <v>870</v>
      </c>
      <c r="AK84" s="7946" t="s">
        <v>900</v>
      </c>
      <c r="AL84" s="7946" t="s">
        <v>901</v>
      </c>
      <c r="AM84" s="7946" t="s">
        <v>902</v>
      </c>
      <c r="AN84" s="7944" t="s">
        <v>903</v>
      </c>
      <c r="AO84" s="7950" t="s">
        <v>895</v>
      </c>
      <c r="AP84" s="6115"/>
      <c r="AQ84" s="7946" t="s">
        <v>905</v>
      </c>
      <c r="BA84" s="7955"/>
      <c r="BB84" s="7955"/>
      <c r="BC84" s="7955"/>
    </row>
    <row r="85" spans="1:55" ht="21" customHeight="1">
      <c r="A85" s="1228"/>
      <c r="B85" s="7980"/>
      <c r="C85" s="7988"/>
      <c r="D85" s="7989"/>
      <c r="E85" s="7989"/>
      <c r="F85" s="7989"/>
      <c r="G85" s="7989"/>
      <c r="H85" s="7989"/>
      <c r="I85" s="7990"/>
      <c r="J85" s="8003"/>
      <c r="K85" s="7268"/>
      <c r="L85" s="6151"/>
      <c r="M85" s="8003"/>
      <c r="N85" s="7268"/>
      <c r="O85" s="7268"/>
      <c r="P85" s="6151"/>
      <c r="Q85" s="8003"/>
      <c r="R85" s="7268"/>
      <c r="S85" s="7268"/>
      <c r="T85" s="6151"/>
      <c r="U85" s="7929"/>
      <c r="V85" s="7930"/>
      <c r="W85" s="7930"/>
      <c r="X85" s="8000"/>
      <c r="Y85" s="7996"/>
      <c r="Z85" s="7997"/>
      <c r="AA85" s="7997"/>
      <c r="AB85" s="7998"/>
      <c r="AC85" s="7929"/>
      <c r="AD85" s="7930"/>
      <c r="AE85" s="7930"/>
      <c r="AF85" s="7930"/>
      <c r="AG85" s="1228"/>
      <c r="AJ85" s="7946"/>
      <c r="AK85" s="7946"/>
      <c r="AL85" s="7946"/>
      <c r="AM85" s="7946"/>
      <c r="AN85" s="7944"/>
      <c r="AO85" s="6250"/>
      <c r="AP85" s="6120"/>
      <c r="AQ85" s="7946"/>
      <c r="BA85" s="7955"/>
      <c r="BB85" s="7955"/>
      <c r="BC85" s="7955"/>
    </row>
    <row r="86" spans="1:55" ht="18" customHeight="1">
      <c r="A86" s="1228"/>
      <c r="B86" s="5646"/>
      <c r="C86" s="7989"/>
      <c r="D86" s="7989"/>
      <c r="E86" s="7989"/>
      <c r="F86" s="7989"/>
      <c r="G86" s="7989"/>
      <c r="H86" s="7989"/>
      <c r="I86" s="7990"/>
      <c r="J86" s="6150"/>
      <c r="K86" s="7268"/>
      <c r="L86" s="6151"/>
      <c r="M86" s="6150"/>
      <c r="N86" s="7268"/>
      <c r="O86" s="7268"/>
      <c r="P86" s="6151"/>
      <c r="Q86" s="6150"/>
      <c r="R86" s="7268"/>
      <c r="S86" s="7268"/>
      <c r="T86" s="6151"/>
      <c r="U86" s="7931"/>
      <c r="V86" s="7930"/>
      <c r="W86" s="7930"/>
      <c r="X86" s="8000"/>
      <c r="Y86" s="6310" t="s">
        <v>4210</v>
      </c>
      <c r="Z86" s="6149"/>
      <c r="AA86" s="6310" t="s">
        <v>896</v>
      </c>
      <c r="AB86" s="6244"/>
      <c r="AC86" s="7931"/>
      <c r="AD86" s="7930"/>
      <c r="AE86" s="7930"/>
      <c r="AF86" s="7930"/>
      <c r="AG86" s="1228"/>
      <c r="AJ86" s="7947"/>
      <c r="AK86" s="7947"/>
      <c r="AL86" s="7947"/>
      <c r="AM86" s="7947"/>
      <c r="AN86" s="7945"/>
      <c r="AO86" s="7952" t="s">
        <v>904</v>
      </c>
      <c r="AP86" s="6223" t="s">
        <v>896</v>
      </c>
      <c r="AQ86" s="7947"/>
      <c r="BA86" s="7955"/>
      <c r="BB86" s="7955"/>
      <c r="BC86" s="7955"/>
    </row>
    <row r="87" spans="1:55" ht="18" customHeight="1">
      <c r="A87" s="1228"/>
      <c r="B87" s="7981"/>
      <c r="C87" s="7991"/>
      <c r="D87" s="7991"/>
      <c r="E87" s="7991"/>
      <c r="F87" s="7991"/>
      <c r="G87" s="7991"/>
      <c r="H87" s="7991"/>
      <c r="I87" s="7992"/>
      <c r="J87" s="6152"/>
      <c r="K87" s="8004"/>
      <c r="L87" s="6153"/>
      <c r="M87" s="6152"/>
      <c r="N87" s="8004"/>
      <c r="O87" s="8004"/>
      <c r="P87" s="6153"/>
      <c r="Q87" s="6152"/>
      <c r="R87" s="8004"/>
      <c r="S87" s="8004"/>
      <c r="T87" s="6153"/>
      <c r="U87" s="7932"/>
      <c r="V87" s="7933"/>
      <c r="W87" s="7933"/>
      <c r="X87" s="8001"/>
      <c r="Y87" s="6152"/>
      <c r="Z87" s="6153"/>
      <c r="AA87" s="5580"/>
      <c r="AB87" s="6246"/>
      <c r="AC87" s="7932"/>
      <c r="AD87" s="7933"/>
      <c r="AE87" s="7933"/>
      <c r="AF87" s="7933"/>
      <c r="AG87" s="1228"/>
      <c r="AJ87" s="7947"/>
      <c r="AK87" s="7947"/>
      <c r="AL87" s="7947"/>
      <c r="AM87" s="7947"/>
      <c r="AN87" s="7945"/>
      <c r="AO87" s="7951"/>
      <c r="AP87" s="7951"/>
      <c r="AQ87" s="7947"/>
      <c r="BA87" s="7955"/>
      <c r="BB87" s="7955"/>
      <c r="BC87" s="7955"/>
    </row>
    <row r="88" spans="1:55" ht="19.5" customHeight="1">
      <c r="A88" s="1228">
        <f>IF(OR(U88&lt;&gt;"",Y88&lt;&gt;"",AC88&lt;&gt;""),1,0)</f>
        <v>0</v>
      </c>
      <c r="B88" s="7957" t="str">
        <f t="shared" ref="B88:B115" si="26">IF(AJ88="","",AJ88)</f>
        <v/>
      </c>
      <c r="C88" s="7958"/>
      <c r="D88" s="7958"/>
      <c r="E88" s="7958"/>
      <c r="F88" s="7958"/>
      <c r="G88" s="7958"/>
      <c r="H88" s="7958"/>
      <c r="I88" s="7959"/>
      <c r="J88" s="7960" t="str">
        <f t="shared" ref="J88:J115" si="27">IF(AK88="","",AK88)</f>
        <v/>
      </c>
      <c r="K88" s="7961"/>
      <c r="L88" s="7961"/>
      <c r="M88" s="7960" t="str">
        <f t="shared" ref="M88:M115" si="28">IF(AL88="","",AL88)</f>
        <v/>
      </c>
      <c r="N88" s="7961"/>
      <c r="O88" s="7961"/>
      <c r="P88" s="7962"/>
      <c r="Q88" s="5988" t="str">
        <f t="shared" ref="Q88:Q115" si="29">IF(AM88="","",AM88)</f>
        <v/>
      </c>
      <c r="R88" s="7942"/>
      <c r="S88" s="7942"/>
      <c r="T88" s="7943"/>
      <c r="U88" s="5988" t="str">
        <f t="shared" ref="U88:U115" si="30">IF(AN88="","",AN88)</f>
        <v/>
      </c>
      <c r="V88" s="7942"/>
      <c r="W88" s="7942"/>
      <c r="X88" s="7943"/>
      <c r="Y88" s="7924" t="str">
        <f>IF(AO88&lt;&gt;"",AO88,"")</f>
        <v/>
      </c>
      <c r="Z88" s="5495"/>
      <c r="AA88" s="7924" t="str">
        <f>IF(AP88="","",AP88)</f>
        <v/>
      </c>
      <c r="AB88" s="5495"/>
      <c r="AC88" s="7925" t="str">
        <f>IF(AQ88&lt;&gt;"",AQ88,IF(AND(Q88&lt;&gt;"",U88&lt;&gt;""),SUM(Q88,-U88,AA88),""))</f>
        <v/>
      </c>
      <c r="AD88" s="7926"/>
      <c r="AE88" s="7926"/>
      <c r="AF88" s="7926"/>
      <c r="AG88" s="1631">
        <f>IF(OR(J88="",M88=""),0,IF(OR(BA88,BB88,BC88),1,0))</f>
        <v>0</v>
      </c>
      <c r="AH88" s="1185"/>
      <c r="AI88" s="1185" t="e">
        <f>M88-J88</f>
        <v>#VALUE!</v>
      </c>
      <c r="AJ88" s="1547"/>
      <c r="AK88" s="1551"/>
      <c r="AL88" s="1551"/>
      <c r="AM88" s="1549"/>
      <c r="AN88" s="1549"/>
      <c r="AO88" s="1550"/>
      <c r="AP88" s="1549"/>
      <c r="AQ88" s="1548"/>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28">
        <f t="shared" ref="A89:A115" si="31">IF(OR(U89&lt;&gt;"",Y89&lt;&gt;"",AC89&lt;&gt;""),1,0)</f>
        <v>0</v>
      </c>
      <c r="B89" s="7957" t="str">
        <f t="shared" si="26"/>
        <v/>
      </c>
      <c r="C89" s="7958"/>
      <c r="D89" s="7958"/>
      <c r="E89" s="7958"/>
      <c r="F89" s="7958"/>
      <c r="G89" s="7958"/>
      <c r="H89" s="7958"/>
      <c r="I89" s="7959"/>
      <c r="J89" s="7960" t="str">
        <f t="shared" si="27"/>
        <v/>
      </c>
      <c r="K89" s="7961"/>
      <c r="L89" s="7961"/>
      <c r="M89" s="7960" t="str">
        <f t="shared" si="28"/>
        <v/>
      </c>
      <c r="N89" s="7961"/>
      <c r="O89" s="7961"/>
      <c r="P89" s="7962"/>
      <c r="Q89" s="5988" t="str">
        <f t="shared" si="29"/>
        <v/>
      </c>
      <c r="R89" s="7942"/>
      <c r="S89" s="7942"/>
      <c r="T89" s="7943"/>
      <c r="U89" s="5988" t="str">
        <f t="shared" si="30"/>
        <v/>
      </c>
      <c r="V89" s="7942"/>
      <c r="W89" s="7942"/>
      <c r="X89" s="7943"/>
      <c r="Y89" s="7924" t="str">
        <f t="shared" ref="Y89:Y115" si="32">IF(AO89&lt;&gt;"",AO89,"")</f>
        <v/>
      </c>
      <c r="Z89" s="5495"/>
      <c r="AA89" s="7924" t="str">
        <f t="shared" ref="AA89:AA115" si="33">IF(AP89="","",AP89)</f>
        <v/>
      </c>
      <c r="AB89" s="5495"/>
      <c r="AC89" s="7925" t="str">
        <f t="shared" ref="AC89:AC115" si="34">IF(AQ89&lt;&gt;"",AQ89,IF(AND(Q89&lt;&gt;"",U89&lt;&gt;""),SUM(Q89,-U89,AA89),""))</f>
        <v/>
      </c>
      <c r="AD89" s="7926"/>
      <c r="AE89" s="7926"/>
      <c r="AF89" s="7926"/>
      <c r="AG89" s="1631">
        <f t="shared" ref="AG89:AG115" si="35">IF(OR(J89="",M89=""),0,IF(OR(BA89,BB89,BC89),1,0))</f>
        <v>0</v>
      </c>
      <c r="AH89" s="1185"/>
      <c r="AI89" s="1185" t="e">
        <f t="shared" ref="AI89:AI115" si="36">M89-J89</f>
        <v>#VALUE!</v>
      </c>
      <c r="AJ89" s="1547"/>
      <c r="AK89" s="1551"/>
      <c r="AL89" s="1551"/>
      <c r="AM89" s="1549"/>
      <c r="AN89" s="1549"/>
      <c r="AO89" s="1550"/>
      <c r="AP89" s="1549"/>
      <c r="AQ89" s="1548"/>
      <c r="AS89" s="46" t="e">
        <f t="shared" ref="AS89:AS115" si="37">YEAR(J89)</f>
        <v>#VALUE!</v>
      </c>
      <c r="AT89" s="46" t="e">
        <f t="shared" ref="AT89:AT115" si="38">MONTH(J89)</f>
        <v>#VALUE!</v>
      </c>
      <c r="AU89" s="46" t="e">
        <f t="shared" ref="AU89:AU115" si="39">DAY(J89)</f>
        <v>#VALUE!</v>
      </c>
      <c r="AW89" s="46" t="e">
        <f t="shared" ref="AW89:AW115" si="40">YEAR(M89)</f>
        <v>#VALUE!</v>
      </c>
      <c r="AX89" s="46" t="e">
        <f t="shared" ref="AX89:AX115" si="41">MONTH(M89)</f>
        <v>#VALUE!</v>
      </c>
      <c r="AY89" s="46" t="e">
        <f t="shared" ref="AY89:AY115" si="42">DAY(M89)</f>
        <v>#VALUE!</v>
      </c>
      <c r="BA89" s="46" t="e">
        <f t="shared" ref="BA89:BA115" si="43">IF(AW89=AS89,TRUE,FALSE)</f>
        <v>#VALUE!</v>
      </c>
      <c r="BB89" s="46" t="e">
        <f t="shared" ref="BB89:BB115" si="44">IF(AND(AW89=AS89+1,AX89&lt;AT89),TRUE,FALSE)</f>
        <v>#VALUE!</v>
      </c>
      <c r="BC89" s="46" t="e">
        <f t="shared" ref="BC89:BC115" si="45">IF(AND(AW89=AS89+1,AX89=AT89,AY89&lt;=AU89),TRUE,FALSE)</f>
        <v>#VALUE!</v>
      </c>
    </row>
    <row r="90" spans="1:55" ht="19.5" customHeight="1">
      <c r="A90" s="1228">
        <f t="shared" si="31"/>
        <v>0</v>
      </c>
      <c r="B90" s="7957" t="str">
        <f t="shared" si="26"/>
        <v/>
      </c>
      <c r="C90" s="7958"/>
      <c r="D90" s="7958"/>
      <c r="E90" s="7958"/>
      <c r="F90" s="7958"/>
      <c r="G90" s="7958"/>
      <c r="H90" s="7958"/>
      <c r="I90" s="7959"/>
      <c r="J90" s="7960" t="str">
        <f t="shared" si="27"/>
        <v/>
      </c>
      <c r="K90" s="7961"/>
      <c r="L90" s="7961"/>
      <c r="M90" s="7960" t="str">
        <f t="shared" si="28"/>
        <v/>
      </c>
      <c r="N90" s="7961"/>
      <c r="O90" s="7961"/>
      <c r="P90" s="7962"/>
      <c r="Q90" s="5988" t="str">
        <f t="shared" si="29"/>
        <v/>
      </c>
      <c r="R90" s="7942"/>
      <c r="S90" s="7942"/>
      <c r="T90" s="7943"/>
      <c r="U90" s="5988" t="str">
        <f t="shared" si="30"/>
        <v/>
      </c>
      <c r="V90" s="7942"/>
      <c r="W90" s="7942"/>
      <c r="X90" s="7943"/>
      <c r="Y90" s="7924" t="str">
        <f t="shared" si="32"/>
        <v/>
      </c>
      <c r="Z90" s="5495"/>
      <c r="AA90" s="7924" t="str">
        <f t="shared" si="33"/>
        <v/>
      </c>
      <c r="AB90" s="5495"/>
      <c r="AC90" s="7925" t="str">
        <f t="shared" si="34"/>
        <v/>
      </c>
      <c r="AD90" s="7926"/>
      <c r="AE90" s="7926"/>
      <c r="AF90" s="7926"/>
      <c r="AG90" s="1631">
        <f t="shared" si="35"/>
        <v>0</v>
      </c>
      <c r="AH90" s="1185"/>
      <c r="AI90" s="1185" t="e">
        <f t="shared" si="36"/>
        <v>#VALUE!</v>
      </c>
      <c r="AJ90" s="1547"/>
      <c r="AK90" s="1551"/>
      <c r="AL90" s="1551"/>
      <c r="AM90" s="1549"/>
      <c r="AN90" s="1549"/>
      <c r="AO90" s="1550"/>
      <c r="AP90" s="1549"/>
      <c r="AQ90" s="1548"/>
      <c r="AS90" s="46" t="e">
        <f t="shared" si="37"/>
        <v>#VALUE!</v>
      </c>
      <c r="AT90" s="46" t="e">
        <f t="shared" si="38"/>
        <v>#VALUE!</v>
      </c>
      <c r="AU90" s="46" t="e">
        <f t="shared" si="39"/>
        <v>#VALUE!</v>
      </c>
      <c r="AW90" s="46" t="e">
        <f t="shared" si="40"/>
        <v>#VALUE!</v>
      </c>
      <c r="AX90" s="46" t="e">
        <f t="shared" si="41"/>
        <v>#VALUE!</v>
      </c>
      <c r="AY90" s="46" t="e">
        <f t="shared" si="42"/>
        <v>#VALUE!</v>
      </c>
      <c r="BA90" s="46" t="e">
        <f t="shared" si="43"/>
        <v>#VALUE!</v>
      </c>
      <c r="BB90" s="46" t="e">
        <f t="shared" si="44"/>
        <v>#VALUE!</v>
      </c>
      <c r="BC90" s="46" t="e">
        <f t="shared" si="45"/>
        <v>#VALUE!</v>
      </c>
    </row>
    <row r="91" spans="1:55" ht="19.5" customHeight="1">
      <c r="A91" s="1228">
        <f t="shared" si="31"/>
        <v>0</v>
      </c>
      <c r="B91" s="7957" t="str">
        <f t="shared" si="26"/>
        <v/>
      </c>
      <c r="C91" s="7958"/>
      <c r="D91" s="7958"/>
      <c r="E91" s="7958"/>
      <c r="F91" s="7958"/>
      <c r="G91" s="7958"/>
      <c r="H91" s="7958"/>
      <c r="I91" s="7959"/>
      <c r="J91" s="7960" t="str">
        <f t="shared" si="27"/>
        <v/>
      </c>
      <c r="K91" s="7961"/>
      <c r="L91" s="7961"/>
      <c r="M91" s="7960" t="str">
        <f t="shared" si="28"/>
        <v/>
      </c>
      <c r="N91" s="7961"/>
      <c r="O91" s="7961"/>
      <c r="P91" s="7962"/>
      <c r="Q91" s="5988" t="str">
        <f t="shared" si="29"/>
        <v/>
      </c>
      <c r="R91" s="7942"/>
      <c r="S91" s="7942"/>
      <c r="T91" s="7943"/>
      <c r="U91" s="5988" t="str">
        <f t="shared" si="30"/>
        <v/>
      </c>
      <c r="V91" s="7942"/>
      <c r="W91" s="7942"/>
      <c r="X91" s="7943"/>
      <c r="Y91" s="7924" t="str">
        <f t="shared" si="32"/>
        <v/>
      </c>
      <c r="Z91" s="5495"/>
      <c r="AA91" s="7924" t="str">
        <f t="shared" si="33"/>
        <v/>
      </c>
      <c r="AB91" s="5495"/>
      <c r="AC91" s="7925" t="str">
        <f t="shared" si="34"/>
        <v/>
      </c>
      <c r="AD91" s="7926"/>
      <c r="AE91" s="7926"/>
      <c r="AF91" s="7926"/>
      <c r="AG91" s="1631">
        <f t="shared" si="35"/>
        <v>0</v>
      </c>
      <c r="AH91" s="1185"/>
      <c r="AI91" s="1185" t="e">
        <f t="shared" si="36"/>
        <v>#VALUE!</v>
      </c>
      <c r="AJ91" s="1547"/>
      <c r="AK91" s="1551"/>
      <c r="AL91" s="1551"/>
      <c r="AM91" s="1549"/>
      <c r="AN91" s="1549"/>
      <c r="AO91" s="1550"/>
      <c r="AP91" s="1549"/>
      <c r="AQ91" s="1548"/>
      <c r="AS91" s="46" t="e">
        <f t="shared" si="37"/>
        <v>#VALUE!</v>
      </c>
      <c r="AT91" s="46" t="e">
        <f t="shared" si="38"/>
        <v>#VALUE!</v>
      </c>
      <c r="AU91" s="46" t="e">
        <f t="shared" si="39"/>
        <v>#VALUE!</v>
      </c>
      <c r="AW91" s="46" t="e">
        <f t="shared" si="40"/>
        <v>#VALUE!</v>
      </c>
      <c r="AX91" s="46" t="e">
        <f t="shared" si="41"/>
        <v>#VALUE!</v>
      </c>
      <c r="AY91" s="46" t="e">
        <f t="shared" si="42"/>
        <v>#VALUE!</v>
      </c>
      <c r="BA91" s="46" t="e">
        <f t="shared" si="43"/>
        <v>#VALUE!</v>
      </c>
      <c r="BB91" s="46" t="e">
        <f t="shared" si="44"/>
        <v>#VALUE!</v>
      </c>
      <c r="BC91" s="46" t="e">
        <f t="shared" si="45"/>
        <v>#VALUE!</v>
      </c>
    </row>
    <row r="92" spans="1:55" ht="19.5" customHeight="1">
      <c r="A92" s="1228">
        <f t="shared" si="31"/>
        <v>0</v>
      </c>
      <c r="B92" s="7957" t="str">
        <f t="shared" si="26"/>
        <v/>
      </c>
      <c r="C92" s="7958"/>
      <c r="D92" s="7958"/>
      <c r="E92" s="7958"/>
      <c r="F92" s="7958"/>
      <c r="G92" s="7958"/>
      <c r="H92" s="7958"/>
      <c r="I92" s="7959"/>
      <c r="J92" s="7960" t="str">
        <f t="shared" si="27"/>
        <v/>
      </c>
      <c r="K92" s="7961"/>
      <c r="L92" s="7961"/>
      <c r="M92" s="7960" t="str">
        <f t="shared" si="28"/>
        <v/>
      </c>
      <c r="N92" s="7961"/>
      <c r="O92" s="7961"/>
      <c r="P92" s="7962"/>
      <c r="Q92" s="5988" t="str">
        <f t="shared" si="29"/>
        <v/>
      </c>
      <c r="R92" s="7942"/>
      <c r="S92" s="7942"/>
      <c r="T92" s="7943"/>
      <c r="U92" s="5988" t="str">
        <f t="shared" si="30"/>
        <v/>
      </c>
      <c r="V92" s="7942"/>
      <c r="W92" s="7942"/>
      <c r="X92" s="7943"/>
      <c r="Y92" s="7924" t="str">
        <f t="shared" si="32"/>
        <v/>
      </c>
      <c r="Z92" s="5495"/>
      <c r="AA92" s="7924" t="str">
        <f t="shared" si="33"/>
        <v/>
      </c>
      <c r="AB92" s="5495"/>
      <c r="AC92" s="7925" t="str">
        <f t="shared" si="34"/>
        <v/>
      </c>
      <c r="AD92" s="7926"/>
      <c r="AE92" s="7926"/>
      <c r="AF92" s="7926"/>
      <c r="AG92" s="1631">
        <f t="shared" si="35"/>
        <v>0</v>
      </c>
      <c r="AH92" s="1185"/>
      <c r="AI92" s="1185" t="e">
        <f t="shared" si="36"/>
        <v>#VALUE!</v>
      </c>
      <c r="AJ92" s="1547"/>
      <c r="AK92" s="1551"/>
      <c r="AL92" s="1551"/>
      <c r="AM92" s="1549"/>
      <c r="AN92" s="1549"/>
      <c r="AO92" s="1550"/>
      <c r="AP92" s="1549"/>
      <c r="AQ92" s="1548"/>
      <c r="AS92" s="46" t="e">
        <f t="shared" si="37"/>
        <v>#VALUE!</v>
      </c>
      <c r="AT92" s="46" t="e">
        <f t="shared" si="38"/>
        <v>#VALUE!</v>
      </c>
      <c r="AU92" s="46" t="e">
        <f t="shared" si="39"/>
        <v>#VALUE!</v>
      </c>
      <c r="AW92" s="46" t="e">
        <f t="shared" si="40"/>
        <v>#VALUE!</v>
      </c>
      <c r="AX92" s="46" t="e">
        <f t="shared" si="41"/>
        <v>#VALUE!</v>
      </c>
      <c r="AY92" s="46" t="e">
        <f t="shared" si="42"/>
        <v>#VALUE!</v>
      </c>
      <c r="BA92" s="46" t="e">
        <f t="shared" si="43"/>
        <v>#VALUE!</v>
      </c>
      <c r="BB92" s="46" t="e">
        <f t="shared" si="44"/>
        <v>#VALUE!</v>
      </c>
      <c r="BC92" s="46" t="e">
        <f t="shared" si="45"/>
        <v>#VALUE!</v>
      </c>
    </row>
    <row r="93" spans="1:55" ht="19.5" customHeight="1">
      <c r="A93" s="1228">
        <f t="shared" si="31"/>
        <v>0</v>
      </c>
      <c r="B93" s="7957" t="str">
        <f t="shared" si="26"/>
        <v/>
      </c>
      <c r="C93" s="7958"/>
      <c r="D93" s="7958"/>
      <c r="E93" s="7958"/>
      <c r="F93" s="7958"/>
      <c r="G93" s="7958"/>
      <c r="H93" s="7958"/>
      <c r="I93" s="7959"/>
      <c r="J93" s="7960" t="str">
        <f t="shared" si="27"/>
        <v/>
      </c>
      <c r="K93" s="7961"/>
      <c r="L93" s="7961"/>
      <c r="M93" s="7960" t="str">
        <f t="shared" si="28"/>
        <v/>
      </c>
      <c r="N93" s="7961"/>
      <c r="O93" s="7961"/>
      <c r="P93" s="7962"/>
      <c r="Q93" s="5988" t="str">
        <f t="shared" si="29"/>
        <v/>
      </c>
      <c r="R93" s="7942"/>
      <c r="S93" s="7942"/>
      <c r="T93" s="7943"/>
      <c r="U93" s="5988" t="str">
        <f t="shared" si="30"/>
        <v/>
      </c>
      <c r="V93" s="7942"/>
      <c r="W93" s="7942"/>
      <c r="X93" s="7943"/>
      <c r="Y93" s="7924" t="str">
        <f t="shared" si="32"/>
        <v/>
      </c>
      <c r="Z93" s="5495"/>
      <c r="AA93" s="7924" t="str">
        <f t="shared" si="33"/>
        <v/>
      </c>
      <c r="AB93" s="5495"/>
      <c r="AC93" s="7925" t="str">
        <f t="shared" si="34"/>
        <v/>
      </c>
      <c r="AD93" s="7926"/>
      <c r="AE93" s="7926"/>
      <c r="AF93" s="7926"/>
      <c r="AG93" s="1631">
        <f t="shared" si="35"/>
        <v>0</v>
      </c>
      <c r="AH93" s="1185"/>
      <c r="AI93" s="1185" t="e">
        <f t="shared" si="36"/>
        <v>#VALUE!</v>
      </c>
      <c r="AJ93" s="1547"/>
      <c r="AK93" s="1551"/>
      <c r="AL93" s="1551"/>
      <c r="AM93" s="1549"/>
      <c r="AN93" s="1549"/>
      <c r="AO93" s="1550"/>
      <c r="AP93" s="1549"/>
      <c r="AQ93" s="1548"/>
      <c r="AS93" s="46" t="e">
        <f t="shared" si="37"/>
        <v>#VALUE!</v>
      </c>
      <c r="AT93" s="46" t="e">
        <f t="shared" si="38"/>
        <v>#VALUE!</v>
      </c>
      <c r="AU93" s="46" t="e">
        <f t="shared" si="39"/>
        <v>#VALUE!</v>
      </c>
      <c r="AW93" s="46" t="e">
        <f t="shared" si="40"/>
        <v>#VALUE!</v>
      </c>
      <c r="AX93" s="46" t="e">
        <f t="shared" si="41"/>
        <v>#VALUE!</v>
      </c>
      <c r="AY93" s="46" t="e">
        <f t="shared" si="42"/>
        <v>#VALUE!</v>
      </c>
      <c r="BA93" s="46" t="e">
        <f t="shared" si="43"/>
        <v>#VALUE!</v>
      </c>
      <c r="BB93" s="46" t="e">
        <f t="shared" si="44"/>
        <v>#VALUE!</v>
      </c>
      <c r="BC93" s="46" t="e">
        <f t="shared" si="45"/>
        <v>#VALUE!</v>
      </c>
    </row>
    <row r="94" spans="1:55" ht="19.5" customHeight="1">
      <c r="A94" s="1228">
        <f t="shared" si="31"/>
        <v>0</v>
      </c>
      <c r="B94" s="7957" t="str">
        <f t="shared" si="26"/>
        <v/>
      </c>
      <c r="C94" s="7958"/>
      <c r="D94" s="7958"/>
      <c r="E94" s="7958"/>
      <c r="F94" s="7958"/>
      <c r="G94" s="7958"/>
      <c r="H94" s="7958"/>
      <c r="I94" s="7959"/>
      <c r="J94" s="7960" t="str">
        <f t="shared" si="27"/>
        <v/>
      </c>
      <c r="K94" s="7961"/>
      <c r="L94" s="7961"/>
      <c r="M94" s="7960" t="str">
        <f t="shared" si="28"/>
        <v/>
      </c>
      <c r="N94" s="7961"/>
      <c r="O94" s="7961"/>
      <c r="P94" s="7962"/>
      <c r="Q94" s="5988" t="str">
        <f t="shared" si="29"/>
        <v/>
      </c>
      <c r="R94" s="7942"/>
      <c r="S94" s="7942"/>
      <c r="T94" s="7943"/>
      <c r="U94" s="5988" t="str">
        <f t="shared" si="30"/>
        <v/>
      </c>
      <c r="V94" s="7942"/>
      <c r="W94" s="7942"/>
      <c r="X94" s="7943"/>
      <c r="Y94" s="7924" t="str">
        <f t="shared" si="32"/>
        <v/>
      </c>
      <c r="Z94" s="5495"/>
      <c r="AA94" s="7924" t="str">
        <f t="shared" si="33"/>
        <v/>
      </c>
      <c r="AB94" s="5495"/>
      <c r="AC94" s="7925" t="str">
        <f t="shared" si="34"/>
        <v/>
      </c>
      <c r="AD94" s="7926"/>
      <c r="AE94" s="7926"/>
      <c r="AF94" s="7926"/>
      <c r="AG94" s="1631">
        <f t="shared" si="35"/>
        <v>0</v>
      </c>
      <c r="AH94" s="1185"/>
      <c r="AI94" s="1185" t="e">
        <f t="shared" si="36"/>
        <v>#VALUE!</v>
      </c>
      <c r="AJ94" s="1547"/>
      <c r="AK94" s="1551"/>
      <c r="AL94" s="1551"/>
      <c r="AM94" s="1549"/>
      <c r="AN94" s="1549"/>
      <c r="AO94" s="1550"/>
      <c r="AP94" s="1549"/>
      <c r="AQ94" s="1548"/>
      <c r="AS94" s="46" t="e">
        <f t="shared" si="37"/>
        <v>#VALUE!</v>
      </c>
      <c r="AT94" s="46" t="e">
        <f t="shared" si="38"/>
        <v>#VALUE!</v>
      </c>
      <c r="AU94" s="46" t="e">
        <f t="shared" si="39"/>
        <v>#VALUE!</v>
      </c>
      <c r="AW94" s="46" t="e">
        <f t="shared" si="40"/>
        <v>#VALUE!</v>
      </c>
      <c r="AX94" s="46" t="e">
        <f t="shared" si="41"/>
        <v>#VALUE!</v>
      </c>
      <c r="AY94" s="46" t="e">
        <f t="shared" si="42"/>
        <v>#VALUE!</v>
      </c>
      <c r="BA94" s="46" t="e">
        <f t="shared" si="43"/>
        <v>#VALUE!</v>
      </c>
      <c r="BB94" s="46" t="e">
        <f t="shared" si="44"/>
        <v>#VALUE!</v>
      </c>
      <c r="BC94" s="46" t="e">
        <f t="shared" si="45"/>
        <v>#VALUE!</v>
      </c>
    </row>
    <row r="95" spans="1:55" ht="19.5" customHeight="1">
      <c r="A95" s="1228">
        <f t="shared" si="31"/>
        <v>0</v>
      </c>
      <c r="B95" s="7957" t="str">
        <f t="shared" si="26"/>
        <v/>
      </c>
      <c r="C95" s="7958"/>
      <c r="D95" s="7958"/>
      <c r="E95" s="7958"/>
      <c r="F95" s="7958"/>
      <c r="G95" s="7958"/>
      <c r="H95" s="7958"/>
      <c r="I95" s="7959"/>
      <c r="J95" s="7960" t="str">
        <f t="shared" si="27"/>
        <v/>
      </c>
      <c r="K95" s="7961"/>
      <c r="L95" s="7961"/>
      <c r="M95" s="7960" t="str">
        <f t="shared" si="28"/>
        <v/>
      </c>
      <c r="N95" s="7961"/>
      <c r="O95" s="7961"/>
      <c r="P95" s="7962"/>
      <c r="Q95" s="5988" t="str">
        <f t="shared" si="29"/>
        <v/>
      </c>
      <c r="R95" s="7942"/>
      <c r="S95" s="7942"/>
      <c r="T95" s="7943"/>
      <c r="U95" s="5988" t="str">
        <f t="shared" si="30"/>
        <v/>
      </c>
      <c r="V95" s="7942"/>
      <c r="W95" s="7942"/>
      <c r="X95" s="7943"/>
      <c r="Y95" s="7924" t="str">
        <f t="shared" si="32"/>
        <v/>
      </c>
      <c r="Z95" s="5495"/>
      <c r="AA95" s="7924" t="str">
        <f t="shared" si="33"/>
        <v/>
      </c>
      <c r="AB95" s="5495"/>
      <c r="AC95" s="7925" t="str">
        <f t="shared" si="34"/>
        <v/>
      </c>
      <c r="AD95" s="7926"/>
      <c r="AE95" s="7926"/>
      <c r="AF95" s="7926"/>
      <c r="AG95" s="1631">
        <f t="shared" si="35"/>
        <v>0</v>
      </c>
      <c r="AH95" s="1185"/>
      <c r="AI95" s="1185" t="e">
        <f t="shared" si="36"/>
        <v>#VALUE!</v>
      </c>
      <c r="AJ95" s="1547"/>
      <c r="AK95" s="1551"/>
      <c r="AL95" s="1551"/>
      <c r="AM95" s="1549"/>
      <c r="AN95" s="1549"/>
      <c r="AO95" s="1550"/>
      <c r="AP95" s="1549"/>
      <c r="AQ95" s="1548"/>
      <c r="AS95" s="46" t="e">
        <f t="shared" si="37"/>
        <v>#VALUE!</v>
      </c>
      <c r="AT95" s="46" t="e">
        <f t="shared" si="38"/>
        <v>#VALUE!</v>
      </c>
      <c r="AU95" s="46" t="e">
        <f t="shared" si="39"/>
        <v>#VALUE!</v>
      </c>
      <c r="AW95" s="46" t="e">
        <f t="shared" si="40"/>
        <v>#VALUE!</v>
      </c>
      <c r="AX95" s="46" t="e">
        <f t="shared" si="41"/>
        <v>#VALUE!</v>
      </c>
      <c r="AY95" s="46" t="e">
        <f t="shared" si="42"/>
        <v>#VALUE!</v>
      </c>
      <c r="BA95" s="46" t="e">
        <f t="shared" si="43"/>
        <v>#VALUE!</v>
      </c>
      <c r="BB95" s="46" t="e">
        <f t="shared" si="44"/>
        <v>#VALUE!</v>
      </c>
      <c r="BC95" s="46" t="e">
        <f t="shared" si="45"/>
        <v>#VALUE!</v>
      </c>
    </row>
    <row r="96" spans="1:55" ht="19.5" customHeight="1">
      <c r="A96" s="1228">
        <f t="shared" si="31"/>
        <v>0</v>
      </c>
      <c r="B96" s="7957" t="str">
        <f t="shared" si="26"/>
        <v/>
      </c>
      <c r="C96" s="7958"/>
      <c r="D96" s="7958"/>
      <c r="E96" s="7958"/>
      <c r="F96" s="7958"/>
      <c r="G96" s="7958"/>
      <c r="H96" s="7958"/>
      <c r="I96" s="7959"/>
      <c r="J96" s="7960" t="str">
        <f t="shared" si="27"/>
        <v/>
      </c>
      <c r="K96" s="7961"/>
      <c r="L96" s="7961"/>
      <c r="M96" s="7960" t="str">
        <f t="shared" si="28"/>
        <v/>
      </c>
      <c r="N96" s="7961"/>
      <c r="O96" s="7961"/>
      <c r="P96" s="7962"/>
      <c r="Q96" s="5988" t="str">
        <f t="shared" si="29"/>
        <v/>
      </c>
      <c r="R96" s="7942"/>
      <c r="S96" s="7942"/>
      <c r="T96" s="7943"/>
      <c r="U96" s="5988" t="str">
        <f t="shared" si="30"/>
        <v/>
      </c>
      <c r="V96" s="7942"/>
      <c r="W96" s="7942"/>
      <c r="X96" s="7943"/>
      <c r="Y96" s="7924" t="str">
        <f t="shared" si="32"/>
        <v/>
      </c>
      <c r="Z96" s="5495"/>
      <c r="AA96" s="7924" t="str">
        <f t="shared" si="33"/>
        <v/>
      </c>
      <c r="AB96" s="5495"/>
      <c r="AC96" s="7925" t="str">
        <f t="shared" si="34"/>
        <v/>
      </c>
      <c r="AD96" s="7926"/>
      <c r="AE96" s="7926"/>
      <c r="AF96" s="7926"/>
      <c r="AG96" s="1631">
        <f t="shared" si="35"/>
        <v>0</v>
      </c>
      <c r="AH96" s="1185"/>
      <c r="AI96" s="1185" t="e">
        <f t="shared" si="36"/>
        <v>#VALUE!</v>
      </c>
      <c r="AJ96" s="1547"/>
      <c r="AK96" s="1551"/>
      <c r="AL96" s="1551"/>
      <c r="AM96" s="1549"/>
      <c r="AN96" s="1549"/>
      <c r="AO96" s="1550"/>
      <c r="AP96" s="1549"/>
      <c r="AQ96" s="1548"/>
      <c r="AS96" s="46" t="e">
        <f t="shared" si="37"/>
        <v>#VALUE!</v>
      </c>
      <c r="AT96" s="46" t="e">
        <f t="shared" si="38"/>
        <v>#VALUE!</v>
      </c>
      <c r="AU96" s="46" t="e">
        <f t="shared" si="39"/>
        <v>#VALUE!</v>
      </c>
      <c r="AW96" s="46" t="e">
        <f t="shared" si="40"/>
        <v>#VALUE!</v>
      </c>
      <c r="AX96" s="46" t="e">
        <f t="shared" si="41"/>
        <v>#VALUE!</v>
      </c>
      <c r="AY96" s="46" t="e">
        <f t="shared" si="42"/>
        <v>#VALUE!</v>
      </c>
      <c r="BA96" s="46" t="e">
        <f t="shared" si="43"/>
        <v>#VALUE!</v>
      </c>
      <c r="BB96" s="46" t="e">
        <f t="shared" si="44"/>
        <v>#VALUE!</v>
      </c>
      <c r="BC96" s="46" t="e">
        <f t="shared" si="45"/>
        <v>#VALUE!</v>
      </c>
    </row>
    <row r="97" spans="1:55" ht="19.5" customHeight="1">
      <c r="A97" s="1228">
        <f t="shared" si="31"/>
        <v>0</v>
      </c>
      <c r="B97" s="7957" t="str">
        <f t="shared" si="26"/>
        <v/>
      </c>
      <c r="C97" s="7958"/>
      <c r="D97" s="7958"/>
      <c r="E97" s="7958"/>
      <c r="F97" s="7958"/>
      <c r="G97" s="7958"/>
      <c r="H97" s="7958"/>
      <c r="I97" s="7959"/>
      <c r="J97" s="7960" t="str">
        <f t="shared" si="27"/>
        <v/>
      </c>
      <c r="K97" s="7961"/>
      <c r="L97" s="7961"/>
      <c r="M97" s="7960" t="str">
        <f t="shared" si="28"/>
        <v/>
      </c>
      <c r="N97" s="7961"/>
      <c r="O97" s="7961"/>
      <c r="P97" s="7962"/>
      <c r="Q97" s="5988" t="str">
        <f t="shared" si="29"/>
        <v/>
      </c>
      <c r="R97" s="7942"/>
      <c r="S97" s="7942"/>
      <c r="T97" s="7943"/>
      <c r="U97" s="5988" t="str">
        <f t="shared" si="30"/>
        <v/>
      </c>
      <c r="V97" s="7942"/>
      <c r="W97" s="7942"/>
      <c r="X97" s="7943"/>
      <c r="Y97" s="7924" t="str">
        <f t="shared" si="32"/>
        <v/>
      </c>
      <c r="Z97" s="5495"/>
      <c r="AA97" s="7924" t="str">
        <f t="shared" si="33"/>
        <v/>
      </c>
      <c r="AB97" s="5495"/>
      <c r="AC97" s="7925" t="str">
        <f t="shared" si="34"/>
        <v/>
      </c>
      <c r="AD97" s="7926"/>
      <c r="AE97" s="7926"/>
      <c r="AF97" s="7926"/>
      <c r="AG97" s="1631">
        <f t="shared" si="35"/>
        <v>0</v>
      </c>
      <c r="AH97" s="1185"/>
      <c r="AI97" s="1185" t="e">
        <f t="shared" si="36"/>
        <v>#VALUE!</v>
      </c>
      <c r="AJ97" s="1547"/>
      <c r="AK97" s="1551"/>
      <c r="AL97" s="1551"/>
      <c r="AM97" s="1549"/>
      <c r="AN97" s="1549"/>
      <c r="AO97" s="1550"/>
      <c r="AP97" s="1549"/>
      <c r="AQ97" s="1548"/>
      <c r="AS97" s="46" t="e">
        <f t="shared" si="37"/>
        <v>#VALUE!</v>
      </c>
      <c r="AT97" s="46" t="e">
        <f t="shared" si="38"/>
        <v>#VALUE!</v>
      </c>
      <c r="AU97" s="46" t="e">
        <f t="shared" si="39"/>
        <v>#VALUE!</v>
      </c>
      <c r="AW97" s="46" t="e">
        <f t="shared" si="40"/>
        <v>#VALUE!</v>
      </c>
      <c r="AX97" s="46" t="e">
        <f t="shared" si="41"/>
        <v>#VALUE!</v>
      </c>
      <c r="AY97" s="46" t="e">
        <f t="shared" si="42"/>
        <v>#VALUE!</v>
      </c>
      <c r="BA97" s="46" t="e">
        <f t="shared" si="43"/>
        <v>#VALUE!</v>
      </c>
      <c r="BB97" s="46" t="e">
        <f t="shared" si="44"/>
        <v>#VALUE!</v>
      </c>
      <c r="BC97" s="46" t="e">
        <f t="shared" si="45"/>
        <v>#VALUE!</v>
      </c>
    </row>
    <row r="98" spans="1:55" ht="19.5" customHeight="1">
      <c r="A98" s="1228">
        <f t="shared" si="31"/>
        <v>0</v>
      </c>
      <c r="B98" s="7957" t="str">
        <f t="shared" si="26"/>
        <v/>
      </c>
      <c r="C98" s="7958"/>
      <c r="D98" s="7958"/>
      <c r="E98" s="7958"/>
      <c r="F98" s="7958"/>
      <c r="G98" s="7958"/>
      <c r="H98" s="7958"/>
      <c r="I98" s="7959"/>
      <c r="J98" s="7960" t="str">
        <f t="shared" si="27"/>
        <v/>
      </c>
      <c r="K98" s="7961"/>
      <c r="L98" s="7961"/>
      <c r="M98" s="7960" t="str">
        <f t="shared" si="28"/>
        <v/>
      </c>
      <c r="N98" s="7961"/>
      <c r="O98" s="7961"/>
      <c r="P98" s="7962"/>
      <c r="Q98" s="5988" t="str">
        <f t="shared" si="29"/>
        <v/>
      </c>
      <c r="R98" s="7942"/>
      <c r="S98" s="7942"/>
      <c r="T98" s="7943"/>
      <c r="U98" s="5988" t="str">
        <f t="shared" si="30"/>
        <v/>
      </c>
      <c r="V98" s="7942"/>
      <c r="W98" s="7942"/>
      <c r="X98" s="7943"/>
      <c r="Y98" s="7924" t="str">
        <f t="shared" si="32"/>
        <v/>
      </c>
      <c r="Z98" s="5495"/>
      <c r="AA98" s="7924" t="str">
        <f t="shared" si="33"/>
        <v/>
      </c>
      <c r="AB98" s="5495"/>
      <c r="AC98" s="7925" t="str">
        <f t="shared" si="34"/>
        <v/>
      </c>
      <c r="AD98" s="7926"/>
      <c r="AE98" s="7926"/>
      <c r="AF98" s="7926"/>
      <c r="AG98" s="1631">
        <f t="shared" si="35"/>
        <v>0</v>
      </c>
      <c r="AH98" s="1185"/>
      <c r="AI98" s="1185" t="e">
        <f t="shared" si="36"/>
        <v>#VALUE!</v>
      </c>
      <c r="AJ98" s="1547"/>
      <c r="AK98" s="1551"/>
      <c r="AL98" s="1551"/>
      <c r="AM98" s="1549"/>
      <c r="AN98" s="1549"/>
      <c r="AO98" s="1550"/>
      <c r="AP98" s="1549"/>
      <c r="AQ98" s="1548"/>
      <c r="AS98" s="46" t="e">
        <f t="shared" si="37"/>
        <v>#VALUE!</v>
      </c>
      <c r="AT98" s="46" t="e">
        <f t="shared" si="38"/>
        <v>#VALUE!</v>
      </c>
      <c r="AU98" s="46" t="e">
        <f t="shared" si="39"/>
        <v>#VALUE!</v>
      </c>
      <c r="AW98" s="46" t="e">
        <f t="shared" si="40"/>
        <v>#VALUE!</v>
      </c>
      <c r="AX98" s="46" t="e">
        <f t="shared" si="41"/>
        <v>#VALUE!</v>
      </c>
      <c r="AY98" s="46" t="e">
        <f t="shared" si="42"/>
        <v>#VALUE!</v>
      </c>
      <c r="BA98" s="46" t="e">
        <f t="shared" si="43"/>
        <v>#VALUE!</v>
      </c>
      <c r="BB98" s="46" t="e">
        <f t="shared" si="44"/>
        <v>#VALUE!</v>
      </c>
      <c r="BC98" s="46" t="e">
        <f t="shared" si="45"/>
        <v>#VALUE!</v>
      </c>
    </row>
    <row r="99" spans="1:55" ht="19.5" customHeight="1">
      <c r="A99" s="1228">
        <f t="shared" si="31"/>
        <v>0</v>
      </c>
      <c r="B99" s="7957" t="str">
        <f t="shared" si="26"/>
        <v/>
      </c>
      <c r="C99" s="7958"/>
      <c r="D99" s="7958"/>
      <c r="E99" s="7958"/>
      <c r="F99" s="7958"/>
      <c r="G99" s="7958"/>
      <c r="H99" s="7958"/>
      <c r="I99" s="7959"/>
      <c r="J99" s="7960" t="str">
        <f t="shared" si="27"/>
        <v/>
      </c>
      <c r="K99" s="7961"/>
      <c r="L99" s="7961"/>
      <c r="M99" s="7960" t="str">
        <f t="shared" si="28"/>
        <v/>
      </c>
      <c r="N99" s="7961"/>
      <c r="O99" s="7961"/>
      <c r="P99" s="7962"/>
      <c r="Q99" s="5988" t="str">
        <f t="shared" si="29"/>
        <v/>
      </c>
      <c r="R99" s="7942"/>
      <c r="S99" s="7942"/>
      <c r="T99" s="7943"/>
      <c r="U99" s="5988" t="str">
        <f t="shared" si="30"/>
        <v/>
      </c>
      <c r="V99" s="7942"/>
      <c r="W99" s="7942"/>
      <c r="X99" s="7943"/>
      <c r="Y99" s="7924" t="str">
        <f t="shared" si="32"/>
        <v/>
      </c>
      <c r="Z99" s="5495"/>
      <c r="AA99" s="7924" t="str">
        <f t="shared" si="33"/>
        <v/>
      </c>
      <c r="AB99" s="5495"/>
      <c r="AC99" s="7925" t="str">
        <f t="shared" si="34"/>
        <v/>
      </c>
      <c r="AD99" s="7926"/>
      <c r="AE99" s="7926"/>
      <c r="AF99" s="7926"/>
      <c r="AG99" s="1631">
        <f t="shared" si="35"/>
        <v>0</v>
      </c>
      <c r="AH99" s="1185"/>
      <c r="AI99" s="1185" t="e">
        <f t="shared" si="36"/>
        <v>#VALUE!</v>
      </c>
      <c r="AJ99" s="1547"/>
      <c r="AK99" s="1551"/>
      <c r="AL99" s="1551"/>
      <c r="AM99" s="1549"/>
      <c r="AN99" s="1549"/>
      <c r="AO99" s="1550"/>
      <c r="AP99" s="1549"/>
      <c r="AQ99" s="1548"/>
      <c r="AS99" s="46" t="e">
        <f t="shared" si="37"/>
        <v>#VALUE!</v>
      </c>
      <c r="AT99" s="46" t="e">
        <f t="shared" si="38"/>
        <v>#VALUE!</v>
      </c>
      <c r="AU99" s="46" t="e">
        <f t="shared" si="39"/>
        <v>#VALUE!</v>
      </c>
      <c r="AW99" s="46" t="e">
        <f t="shared" si="40"/>
        <v>#VALUE!</v>
      </c>
      <c r="AX99" s="46" t="e">
        <f t="shared" si="41"/>
        <v>#VALUE!</v>
      </c>
      <c r="AY99" s="46" t="e">
        <f t="shared" si="42"/>
        <v>#VALUE!</v>
      </c>
      <c r="BA99" s="46" t="e">
        <f t="shared" si="43"/>
        <v>#VALUE!</v>
      </c>
      <c r="BB99" s="46" t="e">
        <f t="shared" si="44"/>
        <v>#VALUE!</v>
      </c>
      <c r="BC99" s="46" t="e">
        <f t="shared" si="45"/>
        <v>#VALUE!</v>
      </c>
    </row>
    <row r="100" spans="1:55" ht="19.5" customHeight="1">
      <c r="A100" s="1228">
        <f t="shared" si="31"/>
        <v>0</v>
      </c>
      <c r="B100" s="7957" t="str">
        <f t="shared" si="26"/>
        <v/>
      </c>
      <c r="C100" s="7958"/>
      <c r="D100" s="7958"/>
      <c r="E100" s="7958"/>
      <c r="F100" s="7958"/>
      <c r="G100" s="7958"/>
      <c r="H100" s="7958"/>
      <c r="I100" s="7959"/>
      <c r="J100" s="7960" t="str">
        <f t="shared" si="27"/>
        <v/>
      </c>
      <c r="K100" s="7961"/>
      <c r="L100" s="7961"/>
      <c r="M100" s="7960" t="str">
        <f t="shared" si="28"/>
        <v/>
      </c>
      <c r="N100" s="7961"/>
      <c r="O100" s="7961"/>
      <c r="P100" s="7962"/>
      <c r="Q100" s="5988" t="str">
        <f t="shared" si="29"/>
        <v/>
      </c>
      <c r="R100" s="7942"/>
      <c r="S100" s="7942"/>
      <c r="T100" s="7943"/>
      <c r="U100" s="5988" t="str">
        <f t="shared" si="30"/>
        <v/>
      </c>
      <c r="V100" s="7942"/>
      <c r="W100" s="7942"/>
      <c r="X100" s="7943"/>
      <c r="Y100" s="7924" t="str">
        <f t="shared" si="32"/>
        <v/>
      </c>
      <c r="Z100" s="5495"/>
      <c r="AA100" s="7924" t="str">
        <f t="shared" si="33"/>
        <v/>
      </c>
      <c r="AB100" s="5495"/>
      <c r="AC100" s="7925" t="str">
        <f t="shared" si="34"/>
        <v/>
      </c>
      <c r="AD100" s="7926"/>
      <c r="AE100" s="7926"/>
      <c r="AF100" s="7926"/>
      <c r="AG100" s="1631">
        <f t="shared" si="35"/>
        <v>0</v>
      </c>
      <c r="AH100" s="1185"/>
      <c r="AI100" s="1185" t="e">
        <f t="shared" si="36"/>
        <v>#VALUE!</v>
      </c>
      <c r="AJ100" s="1547"/>
      <c r="AK100" s="1551"/>
      <c r="AL100" s="1551"/>
      <c r="AM100" s="1549"/>
      <c r="AN100" s="1549"/>
      <c r="AO100" s="1550"/>
      <c r="AP100" s="1549"/>
      <c r="AQ100" s="1548"/>
      <c r="AS100" s="46" t="e">
        <f t="shared" si="37"/>
        <v>#VALUE!</v>
      </c>
      <c r="AT100" s="46" t="e">
        <f t="shared" si="38"/>
        <v>#VALUE!</v>
      </c>
      <c r="AU100" s="46" t="e">
        <f t="shared" si="39"/>
        <v>#VALUE!</v>
      </c>
      <c r="AW100" s="46" t="e">
        <f t="shared" si="40"/>
        <v>#VALUE!</v>
      </c>
      <c r="AX100" s="46" t="e">
        <f t="shared" si="41"/>
        <v>#VALUE!</v>
      </c>
      <c r="AY100" s="46" t="e">
        <f t="shared" si="42"/>
        <v>#VALUE!</v>
      </c>
      <c r="BA100" s="46" t="e">
        <f t="shared" si="43"/>
        <v>#VALUE!</v>
      </c>
      <c r="BB100" s="46" t="e">
        <f t="shared" si="44"/>
        <v>#VALUE!</v>
      </c>
      <c r="BC100" s="46" t="e">
        <f t="shared" si="45"/>
        <v>#VALUE!</v>
      </c>
    </row>
    <row r="101" spans="1:55" ht="19.5" customHeight="1">
      <c r="A101" s="1228">
        <f t="shared" si="31"/>
        <v>0</v>
      </c>
      <c r="B101" s="7957" t="str">
        <f t="shared" si="26"/>
        <v/>
      </c>
      <c r="C101" s="7958"/>
      <c r="D101" s="7958"/>
      <c r="E101" s="7958"/>
      <c r="F101" s="7958"/>
      <c r="G101" s="7958"/>
      <c r="H101" s="7958"/>
      <c r="I101" s="7959"/>
      <c r="J101" s="7960" t="str">
        <f t="shared" si="27"/>
        <v/>
      </c>
      <c r="K101" s="7961"/>
      <c r="L101" s="7961"/>
      <c r="M101" s="7960" t="str">
        <f t="shared" si="28"/>
        <v/>
      </c>
      <c r="N101" s="7961"/>
      <c r="O101" s="7961"/>
      <c r="P101" s="7962"/>
      <c r="Q101" s="5988" t="str">
        <f t="shared" si="29"/>
        <v/>
      </c>
      <c r="R101" s="7942"/>
      <c r="S101" s="7942"/>
      <c r="T101" s="7943"/>
      <c r="U101" s="5988" t="str">
        <f t="shared" si="30"/>
        <v/>
      </c>
      <c r="V101" s="7942"/>
      <c r="W101" s="7942"/>
      <c r="X101" s="7943"/>
      <c r="Y101" s="7924" t="str">
        <f t="shared" si="32"/>
        <v/>
      </c>
      <c r="Z101" s="5495"/>
      <c r="AA101" s="7924" t="str">
        <f t="shared" si="33"/>
        <v/>
      </c>
      <c r="AB101" s="5495"/>
      <c r="AC101" s="7925" t="str">
        <f t="shared" si="34"/>
        <v/>
      </c>
      <c r="AD101" s="7926"/>
      <c r="AE101" s="7926"/>
      <c r="AF101" s="7926"/>
      <c r="AG101" s="1631">
        <f t="shared" si="35"/>
        <v>0</v>
      </c>
      <c r="AH101" s="1185"/>
      <c r="AI101" s="1185" t="e">
        <f t="shared" si="36"/>
        <v>#VALUE!</v>
      </c>
      <c r="AJ101" s="1547"/>
      <c r="AK101" s="1551"/>
      <c r="AL101" s="1551"/>
      <c r="AM101" s="1549"/>
      <c r="AN101" s="1549"/>
      <c r="AO101" s="1550"/>
      <c r="AP101" s="1549"/>
      <c r="AQ101" s="1548"/>
      <c r="AS101" s="46" t="e">
        <f t="shared" si="37"/>
        <v>#VALUE!</v>
      </c>
      <c r="AT101" s="46" t="e">
        <f t="shared" si="38"/>
        <v>#VALUE!</v>
      </c>
      <c r="AU101" s="46" t="e">
        <f t="shared" si="39"/>
        <v>#VALUE!</v>
      </c>
      <c r="AW101" s="46" t="e">
        <f t="shared" si="40"/>
        <v>#VALUE!</v>
      </c>
      <c r="AX101" s="46" t="e">
        <f t="shared" si="41"/>
        <v>#VALUE!</v>
      </c>
      <c r="AY101" s="46" t="e">
        <f t="shared" si="42"/>
        <v>#VALUE!</v>
      </c>
      <c r="BA101" s="46" t="e">
        <f t="shared" si="43"/>
        <v>#VALUE!</v>
      </c>
      <c r="BB101" s="46" t="e">
        <f t="shared" si="44"/>
        <v>#VALUE!</v>
      </c>
      <c r="BC101" s="46" t="e">
        <f t="shared" si="45"/>
        <v>#VALUE!</v>
      </c>
    </row>
    <row r="102" spans="1:55" ht="19.5" customHeight="1">
      <c r="A102" s="1228">
        <f t="shared" si="31"/>
        <v>0</v>
      </c>
      <c r="B102" s="7957" t="str">
        <f t="shared" si="26"/>
        <v/>
      </c>
      <c r="C102" s="7958"/>
      <c r="D102" s="7958"/>
      <c r="E102" s="7958"/>
      <c r="F102" s="7958"/>
      <c r="G102" s="7958"/>
      <c r="H102" s="7958"/>
      <c r="I102" s="7959"/>
      <c r="J102" s="7960" t="str">
        <f t="shared" si="27"/>
        <v/>
      </c>
      <c r="K102" s="7961"/>
      <c r="L102" s="7961"/>
      <c r="M102" s="7960" t="str">
        <f t="shared" si="28"/>
        <v/>
      </c>
      <c r="N102" s="7961"/>
      <c r="O102" s="7961"/>
      <c r="P102" s="7962"/>
      <c r="Q102" s="5988" t="str">
        <f t="shared" si="29"/>
        <v/>
      </c>
      <c r="R102" s="7942"/>
      <c r="S102" s="7942"/>
      <c r="T102" s="7943"/>
      <c r="U102" s="5988" t="str">
        <f t="shared" si="30"/>
        <v/>
      </c>
      <c r="V102" s="7942"/>
      <c r="W102" s="7942"/>
      <c r="X102" s="7943"/>
      <c r="Y102" s="7924" t="str">
        <f t="shared" si="32"/>
        <v/>
      </c>
      <c r="Z102" s="5495"/>
      <c r="AA102" s="7924" t="str">
        <f t="shared" si="33"/>
        <v/>
      </c>
      <c r="AB102" s="5495"/>
      <c r="AC102" s="7925" t="str">
        <f t="shared" si="34"/>
        <v/>
      </c>
      <c r="AD102" s="7926"/>
      <c r="AE102" s="7926"/>
      <c r="AF102" s="7926"/>
      <c r="AG102" s="1631">
        <f t="shared" si="35"/>
        <v>0</v>
      </c>
      <c r="AH102" s="1185"/>
      <c r="AI102" s="1185" t="e">
        <f t="shared" si="36"/>
        <v>#VALUE!</v>
      </c>
      <c r="AJ102" s="1547"/>
      <c r="AK102" s="1551"/>
      <c r="AL102" s="1551"/>
      <c r="AM102" s="1549"/>
      <c r="AN102" s="1549"/>
      <c r="AO102" s="1550"/>
      <c r="AP102" s="1549"/>
      <c r="AQ102" s="1548"/>
      <c r="AS102" s="46" t="e">
        <f t="shared" si="37"/>
        <v>#VALUE!</v>
      </c>
      <c r="AT102" s="46" t="e">
        <f t="shared" si="38"/>
        <v>#VALUE!</v>
      </c>
      <c r="AU102" s="46" t="e">
        <f t="shared" si="39"/>
        <v>#VALUE!</v>
      </c>
      <c r="AW102" s="46" t="e">
        <f t="shared" si="40"/>
        <v>#VALUE!</v>
      </c>
      <c r="AX102" s="46" t="e">
        <f t="shared" si="41"/>
        <v>#VALUE!</v>
      </c>
      <c r="AY102" s="46" t="e">
        <f t="shared" si="42"/>
        <v>#VALUE!</v>
      </c>
      <c r="BA102" s="46" t="e">
        <f t="shared" si="43"/>
        <v>#VALUE!</v>
      </c>
      <c r="BB102" s="46" t="e">
        <f t="shared" si="44"/>
        <v>#VALUE!</v>
      </c>
      <c r="BC102" s="46" t="e">
        <f t="shared" si="45"/>
        <v>#VALUE!</v>
      </c>
    </row>
    <row r="103" spans="1:55" ht="19.5" customHeight="1">
      <c r="A103" s="1228">
        <f t="shared" si="31"/>
        <v>0</v>
      </c>
      <c r="B103" s="7957" t="str">
        <f t="shared" si="26"/>
        <v/>
      </c>
      <c r="C103" s="7958"/>
      <c r="D103" s="7958"/>
      <c r="E103" s="7958"/>
      <c r="F103" s="7958"/>
      <c r="G103" s="7958"/>
      <c r="H103" s="7958"/>
      <c r="I103" s="7959"/>
      <c r="J103" s="7960" t="str">
        <f t="shared" si="27"/>
        <v/>
      </c>
      <c r="K103" s="7961"/>
      <c r="L103" s="7961"/>
      <c r="M103" s="7960" t="str">
        <f t="shared" si="28"/>
        <v/>
      </c>
      <c r="N103" s="7961"/>
      <c r="O103" s="7961"/>
      <c r="P103" s="7962"/>
      <c r="Q103" s="5988" t="str">
        <f t="shared" si="29"/>
        <v/>
      </c>
      <c r="R103" s="7942"/>
      <c r="S103" s="7942"/>
      <c r="T103" s="7943"/>
      <c r="U103" s="5988" t="str">
        <f t="shared" si="30"/>
        <v/>
      </c>
      <c r="V103" s="7942"/>
      <c r="W103" s="7942"/>
      <c r="X103" s="7943"/>
      <c r="Y103" s="7924" t="str">
        <f t="shared" si="32"/>
        <v/>
      </c>
      <c r="Z103" s="5495"/>
      <c r="AA103" s="7924" t="str">
        <f t="shared" si="33"/>
        <v/>
      </c>
      <c r="AB103" s="5495"/>
      <c r="AC103" s="7925" t="str">
        <f t="shared" si="34"/>
        <v/>
      </c>
      <c r="AD103" s="7926"/>
      <c r="AE103" s="7926"/>
      <c r="AF103" s="7926"/>
      <c r="AG103" s="1631">
        <f t="shared" si="35"/>
        <v>0</v>
      </c>
      <c r="AH103" s="1185"/>
      <c r="AI103" s="1185" t="e">
        <f t="shared" si="36"/>
        <v>#VALUE!</v>
      </c>
      <c r="AJ103" s="1547"/>
      <c r="AK103" s="1551"/>
      <c r="AL103" s="1551"/>
      <c r="AM103" s="1549"/>
      <c r="AN103" s="1549"/>
      <c r="AO103" s="1550"/>
      <c r="AP103" s="1549"/>
      <c r="AQ103" s="1548"/>
      <c r="AS103" s="46" t="e">
        <f t="shared" si="37"/>
        <v>#VALUE!</v>
      </c>
      <c r="AT103" s="46" t="e">
        <f t="shared" si="38"/>
        <v>#VALUE!</v>
      </c>
      <c r="AU103" s="46" t="e">
        <f t="shared" si="39"/>
        <v>#VALUE!</v>
      </c>
      <c r="AW103" s="46" t="e">
        <f t="shared" si="40"/>
        <v>#VALUE!</v>
      </c>
      <c r="AX103" s="46" t="e">
        <f t="shared" si="41"/>
        <v>#VALUE!</v>
      </c>
      <c r="AY103" s="46" t="e">
        <f t="shared" si="42"/>
        <v>#VALUE!</v>
      </c>
      <c r="BA103" s="46" t="e">
        <f t="shared" si="43"/>
        <v>#VALUE!</v>
      </c>
      <c r="BB103" s="46" t="e">
        <f t="shared" si="44"/>
        <v>#VALUE!</v>
      </c>
      <c r="BC103" s="46" t="e">
        <f t="shared" si="45"/>
        <v>#VALUE!</v>
      </c>
    </row>
    <row r="104" spans="1:55" ht="19.5" customHeight="1">
      <c r="A104" s="1228">
        <f t="shared" si="31"/>
        <v>0</v>
      </c>
      <c r="B104" s="7957" t="str">
        <f t="shared" si="26"/>
        <v/>
      </c>
      <c r="C104" s="7958"/>
      <c r="D104" s="7958"/>
      <c r="E104" s="7958"/>
      <c r="F104" s="7958"/>
      <c r="G104" s="7958"/>
      <c r="H104" s="7958"/>
      <c r="I104" s="7959"/>
      <c r="J104" s="7960" t="str">
        <f t="shared" si="27"/>
        <v/>
      </c>
      <c r="K104" s="7961"/>
      <c r="L104" s="7961"/>
      <c r="M104" s="7960" t="str">
        <f t="shared" si="28"/>
        <v/>
      </c>
      <c r="N104" s="7961"/>
      <c r="O104" s="7961"/>
      <c r="P104" s="7962"/>
      <c r="Q104" s="5988" t="str">
        <f t="shared" si="29"/>
        <v/>
      </c>
      <c r="R104" s="7942"/>
      <c r="S104" s="7942"/>
      <c r="T104" s="7943"/>
      <c r="U104" s="5988" t="str">
        <f t="shared" si="30"/>
        <v/>
      </c>
      <c r="V104" s="7942"/>
      <c r="W104" s="7942"/>
      <c r="X104" s="7943"/>
      <c r="Y104" s="7924" t="str">
        <f t="shared" si="32"/>
        <v/>
      </c>
      <c r="Z104" s="5495"/>
      <c r="AA104" s="7924" t="str">
        <f t="shared" si="33"/>
        <v/>
      </c>
      <c r="AB104" s="5495"/>
      <c r="AC104" s="7925" t="str">
        <f t="shared" si="34"/>
        <v/>
      </c>
      <c r="AD104" s="7926"/>
      <c r="AE104" s="7926"/>
      <c r="AF104" s="7926"/>
      <c r="AG104" s="1631">
        <f t="shared" si="35"/>
        <v>0</v>
      </c>
      <c r="AH104" s="1185"/>
      <c r="AI104" s="1185" t="e">
        <f t="shared" si="36"/>
        <v>#VALUE!</v>
      </c>
      <c r="AJ104" s="1547"/>
      <c r="AK104" s="1551"/>
      <c r="AL104" s="1551"/>
      <c r="AM104" s="1549"/>
      <c r="AN104" s="1549"/>
      <c r="AO104" s="1550"/>
      <c r="AP104" s="1549"/>
      <c r="AQ104" s="1548"/>
      <c r="AS104" s="46" t="e">
        <f t="shared" si="37"/>
        <v>#VALUE!</v>
      </c>
      <c r="AT104" s="46" t="e">
        <f t="shared" si="38"/>
        <v>#VALUE!</v>
      </c>
      <c r="AU104" s="46" t="e">
        <f t="shared" si="39"/>
        <v>#VALUE!</v>
      </c>
      <c r="AW104" s="46" t="e">
        <f t="shared" si="40"/>
        <v>#VALUE!</v>
      </c>
      <c r="AX104" s="46" t="e">
        <f t="shared" si="41"/>
        <v>#VALUE!</v>
      </c>
      <c r="AY104" s="46" t="e">
        <f t="shared" si="42"/>
        <v>#VALUE!</v>
      </c>
      <c r="BA104" s="46" t="e">
        <f t="shared" si="43"/>
        <v>#VALUE!</v>
      </c>
      <c r="BB104" s="46" t="e">
        <f t="shared" si="44"/>
        <v>#VALUE!</v>
      </c>
      <c r="BC104" s="46" t="e">
        <f t="shared" si="45"/>
        <v>#VALUE!</v>
      </c>
    </row>
    <row r="105" spans="1:55" ht="19.5" customHeight="1">
      <c r="A105" s="1228">
        <f t="shared" si="31"/>
        <v>0</v>
      </c>
      <c r="B105" s="7957" t="str">
        <f t="shared" si="26"/>
        <v/>
      </c>
      <c r="C105" s="7958"/>
      <c r="D105" s="7958"/>
      <c r="E105" s="7958"/>
      <c r="F105" s="7958"/>
      <c r="G105" s="7958"/>
      <c r="H105" s="7958"/>
      <c r="I105" s="7959"/>
      <c r="J105" s="7960" t="str">
        <f t="shared" si="27"/>
        <v/>
      </c>
      <c r="K105" s="7961"/>
      <c r="L105" s="7961"/>
      <c r="M105" s="7960" t="str">
        <f t="shared" si="28"/>
        <v/>
      </c>
      <c r="N105" s="7961"/>
      <c r="O105" s="7961"/>
      <c r="P105" s="7962"/>
      <c r="Q105" s="5988" t="str">
        <f t="shared" si="29"/>
        <v/>
      </c>
      <c r="R105" s="7942"/>
      <c r="S105" s="7942"/>
      <c r="T105" s="7943"/>
      <c r="U105" s="5988" t="str">
        <f t="shared" si="30"/>
        <v/>
      </c>
      <c r="V105" s="7942"/>
      <c r="W105" s="7942"/>
      <c r="X105" s="7943"/>
      <c r="Y105" s="7924" t="str">
        <f t="shared" si="32"/>
        <v/>
      </c>
      <c r="Z105" s="5495"/>
      <c r="AA105" s="7924" t="str">
        <f t="shared" si="33"/>
        <v/>
      </c>
      <c r="AB105" s="5495"/>
      <c r="AC105" s="7925" t="str">
        <f t="shared" si="34"/>
        <v/>
      </c>
      <c r="AD105" s="7926"/>
      <c r="AE105" s="7926"/>
      <c r="AF105" s="7926"/>
      <c r="AG105" s="1631">
        <f t="shared" si="35"/>
        <v>0</v>
      </c>
      <c r="AH105" s="1185"/>
      <c r="AI105" s="1185" t="e">
        <f t="shared" si="36"/>
        <v>#VALUE!</v>
      </c>
      <c r="AJ105" s="1547"/>
      <c r="AK105" s="1551"/>
      <c r="AL105" s="1551"/>
      <c r="AM105" s="1549"/>
      <c r="AN105" s="1549"/>
      <c r="AO105" s="1550"/>
      <c r="AP105" s="1549"/>
      <c r="AQ105" s="1548"/>
      <c r="AS105" s="46" t="e">
        <f t="shared" si="37"/>
        <v>#VALUE!</v>
      </c>
      <c r="AT105" s="46" t="e">
        <f t="shared" si="38"/>
        <v>#VALUE!</v>
      </c>
      <c r="AU105" s="46" t="e">
        <f t="shared" si="39"/>
        <v>#VALUE!</v>
      </c>
      <c r="AW105" s="46" t="e">
        <f t="shared" si="40"/>
        <v>#VALUE!</v>
      </c>
      <c r="AX105" s="46" t="e">
        <f t="shared" si="41"/>
        <v>#VALUE!</v>
      </c>
      <c r="AY105" s="46" t="e">
        <f t="shared" si="42"/>
        <v>#VALUE!</v>
      </c>
      <c r="BA105" s="46" t="e">
        <f t="shared" si="43"/>
        <v>#VALUE!</v>
      </c>
      <c r="BB105" s="46" t="e">
        <f t="shared" si="44"/>
        <v>#VALUE!</v>
      </c>
      <c r="BC105" s="46" t="e">
        <f t="shared" si="45"/>
        <v>#VALUE!</v>
      </c>
    </row>
    <row r="106" spans="1:55" ht="19.5" customHeight="1">
      <c r="A106" s="1228">
        <f t="shared" si="31"/>
        <v>0</v>
      </c>
      <c r="B106" s="7957" t="str">
        <f t="shared" si="26"/>
        <v/>
      </c>
      <c r="C106" s="7958"/>
      <c r="D106" s="7958"/>
      <c r="E106" s="7958"/>
      <c r="F106" s="7958"/>
      <c r="G106" s="7958"/>
      <c r="H106" s="7958"/>
      <c r="I106" s="7959"/>
      <c r="J106" s="7960" t="str">
        <f t="shared" si="27"/>
        <v/>
      </c>
      <c r="K106" s="7961"/>
      <c r="L106" s="7961"/>
      <c r="M106" s="7960" t="str">
        <f t="shared" si="28"/>
        <v/>
      </c>
      <c r="N106" s="7961"/>
      <c r="O106" s="7961"/>
      <c r="P106" s="7962"/>
      <c r="Q106" s="5988" t="str">
        <f t="shared" si="29"/>
        <v/>
      </c>
      <c r="R106" s="7942"/>
      <c r="S106" s="7942"/>
      <c r="T106" s="7943"/>
      <c r="U106" s="5988" t="str">
        <f t="shared" si="30"/>
        <v/>
      </c>
      <c r="V106" s="7942"/>
      <c r="W106" s="7942"/>
      <c r="X106" s="7943"/>
      <c r="Y106" s="7924" t="str">
        <f t="shared" si="32"/>
        <v/>
      </c>
      <c r="Z106" s="5495"/>
      <c r="AA106" s="7924" t="str">
        <f t="shared" si="33"/>
        <v/>
      </c>
      <c r="AB106" s="5495"/>
      <c r="AC106" s="7925" t="str">
        <f t="shared" si="34"/>
        <v/>
      </c>
      <c r="AD106" s="7926"/>
      <c r="AE106" s="7926"/>
      <c r="AF106" s="7926"/>
      <c r="AG106" s="1631">
        <f t="shared" si="35"/>
        <v>0</v>
      </c>
      <c r="AH106" s="1185"/>
      <c r="AI106" s="1185" t="e">
        <f t="shared" si="36"/>
        <v>#VALUE!</v>
      </c>
      <c r="AJ106" s="1547"/>
      <c r="AK106" s="1551"/>
      <c r="AL106" s="1551"/>
      <c r="AM106" s="1549"/>
      <c r="AN106" s="1549"/>
      <c r="AO106" s="1550"/>
      <c r="AP106" s="1549"/>
      <c r="AQ106" s="1548"/>
      <c r="AS106" s="46" t="e">
        <f t="shared" si="37"/>
        <v>#VALUE!</v>
      </c>
      <c r="AT106" s="46" t="e">
        <f t="shared" si="38"/>
        <v>#VALUE!</v>
      </c>
      <c r="AU106" s="46" t="e">
        <f t="shared" si="39"/>
        <v>#VALUE!</v>
      </c>
      <c r="AW106" s="46" t="e">
        <f t="shared" si="40"/>
        <v>#VALUE!</v>
      </c>
      <c r="AX106" s="46" t="e">
        <f t="shared" si="41"/>
        <v>#VALUE!</v>
      </c>
      <c r="AY106" s="46" t="e">
        <f t="shared" si="42"/>
        <v>#VALUE!</v>
      </c>
      <c r="BA106" s="46" t="e">
        <f t="shared" si="43"/>
        <v>#VALUE!</v>
      </c>
      <c r="BB106" s="46" t="e">
        <f t="shared" si="44"/>
        <v>#VALUE!</v>
      </c>
      <c r="BC106" s="46" t="e">
        <f t="shared" si="45"/>
        <v>#VALUE!</v>
      </c>
    </row>
    <row r="107" spans="1:55" ht="19.5" customHeight="1">
      <c r="A107" s="1228">
        <f t="shared" si="31"/>
        <v>0</v>
      </c>
      <c r="B107" s="7957" t="str">
        <f t="shared" si="26"/>
        <v/>
      </c>
      <c r="C107" s="7958"/>
      <c r="D107" s="7958"/>
      <c r="E107" s="7958"/>
      <c r="F107" s="7958"/>
      <c r="G107" s="7958"/>
      <c r="H107" s="7958"/>
      <c r="I107" s="7959"/>
      <c r="J107" s="7960" t="str">
        <f t="shared" si="27"/>
        <v/>
      </c>
      <c r="K107" s="7961"/>
      <c r="L107" s="7961"/>
      <c r="M107" s="7960" t="str">
        <f t="shared" si="28"/>
        <v/>
      </c>
      <c r="N107" s="7961"/>
      <c r="O107" s="7961"/>
      <c r="P107" s="7962"/>
      <c r="Q107" s="5988" t="str">
        <f t="shared" si="29"/>
        <v/>
      </c>
      <c r="R107" s="7942"/>
      <c r="S107" s="7942"/>
      <c r="T107" s="7943"/>
      <c r="U107" s="5988" t="str">
        <f t="shared" si="30"/>
        <v/>
      </c>
      <c r="V107" s="7942"/>
      <c r="W107" s="7942"/>
      <c r="X107" s="7943"/>
      <c r="Y107" s="7924" t="str">
        <f t="shared" si="32"/>
        <v/>
      </c>
      <c r="Z107" s="5495"/>
      <c r="AA107" s="7924" t="str">
        <f t="shared" si="33"/>
        <v/>
      </c>
      <c r="AB107" s="5495"/>
      <c r="AC107" s="7925" t="str">
        <f t="shared" si="34"/>
        <v/>
      </c>
      <c r="AD107" s="7926"/>
      <c r="AE107" s="7926"/>
      <c r="AF107" s="7926"/>
      <c r="AG107" s="1631">
        <f t="shared" si="35"/>
        <v>0</v>
      </c>
      <c r="AH107" s="1185"/>
      <c r="AI107" s="1185" t="e">
        <f t="shared" si="36"/>
        <v>#VALUE!</v>
      </c>
      <c r="AJ107" s="1547"/>
      <c r="AK107" s="1551"/>
      <c r="AL107" s="1551"/>
      <c r="AM107" s="1549"/>
      <c r="AN107" s="1549"/>
      <c r="AO107" s="1550"/>
      <c r="AP107" s="1549"/>
      <c r="AQ107" s="1548"/>
      <c r="AS107" s="46" t="e">
        <f t="shared" si="37"/>
        <v>#VALUE!</v>
      </c>
      <c r="AT107" s="46" t="e">
        <f t="shared" si="38"/>
        <v>#VALUE!</v>
      </c>
      <c r="AU107" s="46" t="e">
        <f t="shared" si="39"/>
        <v>#VALUE!</v>
      </c>
      <c r="AW107" s="46" t="e">
        <f t="shared" si="40"/>
        <v>#VALUE!</v>
      </c>
      <c r="AX107" s="46" t="e">
        <f t="shared" si="41"/>
        <v>#VALUE!</v>
      </c>
      <c r="AY107" s="46" t="e">
        <f t="shared" si="42"/>
        <v>#VALUE!</v>
      </c>
      <c r="BA107" s="46" t="e">
        <f t="shared" si="43"/>
        <v>#VALUE!</v>
      </c>
      <c r="BB107" s="46" t="e">
        <f t="shared" si="44"/>
        <v>#VALUE!</v>
      </c>
      <c r="BC107" s="46" t="e">
        <f t="shared" si="45"/>
        <v>#VALUE!</v>
      </c>
    </row>
    <row r="108" spans="1:55" ht="19.5" customHeight="1">
      <c r="A108" s="1228">
        <f t="shared" si="31"/>
        <v>0</v>
      </c>
      <c r="B108" s="7957" t="str">
        <f t="shared" si="26"/>
        <v/>
      </c>
      <c r="C108" s="7958"/>
      <c r="D108" s="7958"/>
      <c r="E108" s="7958"/>
      <c r="F108" s="7958"/>
      <c r="G108" s="7958"/>
      <c r="H108" s="7958"/>
      <c r="I108" s="7959"/>
      <c r="J108" s="7960" t="str">
        <f t="shared" si="27"/>
        <v/>
      </c>
      <c r="K108" s="7961"/>
      <c r="L108" s="7961"/>
      <c r="M108" s="7960" t="str">
        <f t="shared" si="28"/>
        <v/>
      </c>
      <c r="N108" s="7961"/>
      <c r="O108" s="7961"/>
      <c r="P108" s="7962"/>
      <c r="Q108" s="5988" t="str">
        <f t="shared" si="29"/>
        <v/>
      </c>
      <c r="R108" s="7942"/>
      <c r="S108" s="7942"/>
      <c r="T108" s="7943"/>
      <c r="U108" s="5988" t="str">
        <f t="shared" si="30"/>
        <v/>
      </c>
      <c r="V108" s="7942"/>
      <c r="W108" s="7942"/>
      <c r="X108" s="7943"/>
      <c r="Y108" s="7924" t="str">
        <f t="shared" si="32"/>
        <v/>
      </c>
      <c r="Z108" s="5495"/>
      <c r="AA108" s="7924" t="str">
        <f t="shared" si="33"/>
        <v/>
      </c>
      <c r="AB108" s="5495"/>
      <c r="AC108" s="7925" t="str">
        <f t="shared" si="34"/>
        <v/>
      </c>
      <c r="AD108" s="7926"/>
      <c r="AE108" s="7926"/>
      <c r="AF108" s="7926"/>
      <c r="AG108" s="1631">
        <f t="shared" si="35"/>
        <v>0</v>
      </c>
      <c r="AH108" s="1185"/>
      <c r="AI108" s="1185" t="e">
        <f t="shared" si="36"/>
        <v>#VALUE!</v>
      </c>
      <c r="AJ108" s="1547"/>
      <c r="AK108" s="1551"/>
      <c r="AL108" s="1551"/>
      <c r="AM108" s="1549"/>
      <c r="AN108" s="1549"/>
      <c r="AO108" s="1550"/>
      <c r="AP108" s="1549"/>
      <c r="AQ108" s="1548"/>
      <c r="AS108" s="46" t="e">
        <f t="shared" si="37"/>
        <v>#VALUE!</v>
      </c>
      <c r="AT108" s="46" t="e">
        <f t="shared" si="38"/>
        <v>#VALUE!</v>
      </c>
      <c r="AU108" s="46" t="e">
        <f t="shared" si="39"/>
        <v>#VALUE!</v>
      </c>
      <c r="AW108" s="46" t="e">
        <f t="shared" si="40"/>
        <v>#VALUE!</v>
      </c>
      <c r="AX108" s="46" t="e">
        <f t="shared" si="41"/>
        <v>#VALUE!</v>
      </c>
      <c r="AY108" s="46" t="e">
        <f t="shared" si="42"/>
        <v>#VALUE!</v>
      </c>
      <c r="BA108" s="46" t="e">
        <f t="shared" si="43"/>
        <v>#VALUE!</v>
      </c>
      <c r="BB108" s="46" t="e">
        <f t="shared" si="44"/>
        <v>#VALUE!</v>
      </c>
      <c r="BC108" s="46" t="e">
        <f t="shared" si="45"/>
        <v>#VALUE!</v>
      </c>
    </row>
    <row r="109" spans="1:55" ht="19.5" customHeight="1">
      <c r="A109" s="1228">
        <f t="shared" si="31"/>
        <v>0</v>
      </c>
      <c r="B109" s="7957" t="str">
        <f t="shared" si="26"/>
        <v/>
      </c>
      <c r="C109" s="7958"/>
      <c r="D109" s="7958"/>
      <c r="E109" s="7958"/>
      <c r="F109" s="7958"/>
      <c r="G109" s="7958"/>
      <c r="H109" s="7958"/>
      <c r="I109" s="7959"/>
      <c r="J109" s="7960" t="str">
        <f t="shared" si="27"/>
        <v/>
      </c>
      <c r="K109" s="7961"/>
      <c r="L109" s="7961"/>
      <c r="M109" s="7960" t="str">
        <f t="shared" si="28"/>
        <v/>
      </c>
      <c r="N109" s="7961"/>
      <c r="O109" s="7961"/>
      <c r="P109" s="7962"/>
      <c r="Q109" s="5988" t="str">
        <f t="shared" si="29"/>
        <v/>
      </c>
      <c r="R109" s="7942"/>
      <c r="S109" s="7942"/>
      <c r="T109" s="7943"/>
      <c r="U109" s="5988" t="str">
        <f t="shared" si="30"/>
        <v/>
      </c>
      <c r="V109" s="7942"/>
      <c r="W109" s="7942"/>
      <c r="X109" s="7943"/>
      <c r="Y109" s="7924" t="str">
        <f t="shared" si="32"/>
        <v/>
      </c>
      <c r="Z109" s="5495"/>
      <c r="AA109" s="7924" t="str">
        <f t="shared" si="33"/>
        <v/>
      </c>
      <c r="AB109" s="5495"/>
      <c r="AC109" s="7925" t="str">
        <f t="shared" si="34"/>
        <v/>
      </c>
      <c r="AD109" s="7926"/>
      <c r="AE109" s="7926"/>
      <c r="AF109" s="7926"/>
      <c r="AG109" s="1631">
        <f t="shared" si="35"/>
        <v>0</v>
      </c>
      <c r="AH109" s="1185"/>
      <c r="AI109" s="1185" t="e">
        <f t="shared" si="36"/>
        <v>#VALUE!</v>
      </c>
      <c r="AJ109" s="1547"/>
      <c r="AK109" s="1551"/>
      <c r="AL109" s="1551"/>
      <c r="AM109" s="1549"/>
      <c r="AN109" s="1549"/>
      <c r="AO109" s="1550"/>
      <c r="AP109" s="1549"/>
      <c r="AQ109" s="1548"/>
      <c r="AS109" s="46" t="e">
        <f t="shared" si="37"/>
        <v>#VALUE!</v>
      </c>
      <c r="AT109" s="46" t="e">
        <f t="shared" si="38"/>
        <v>#VALUE!</v>
      </c>
      <c r="AU109" s="46" t="e">
        <f t="shared" si="39"/>
        <v>#VALUE!</v>
      </c>
      <c r="AW109" s="46" t="e">
        <f t="shared" si="40"/>
        <v>#VALUE!</v>
      </c>
      <c r="AX109" s="46" t="e">
        <f t="shared" si="41"/>
        <v>#VALUE!</v>
      </c>
      <c r="AY109" s="46" t="e">
        <f t="shared" si="42"/>
        <v>#VALUE!</v>
      </c>
      <c r="BA109" s="46" t="e">
        <f t="shared" si="43"/>
        <v>#VALUE!</v>
      </c>
      <c r="BB109" s="46" t="e">
        <f t="shared" si="44"/>
        <v>#VALUE!</v>
      </c>
      <c r="BC109" s="46" t="e">
        <f t="shared" si="45"/>
        <v>#VALUE!</v>
      </c>
    </row>
    <row r="110" spans="1:55" ht="19.5" customHeight="1">
      <c r="A110" s="1228">
        <f t="shared" si="31"/>
        <v>0</v>
      </c>
      <c r="B110" s="7957" t="str">
        <f t="shared" si="26"/>
        <v/>
      </c>
      <c r="C110" s="7958"/>
      <c r="D110" s="7958"/>
      <c r="E110" s="7958"/>
      <c r="F110" s="7958"/>
      <c r="G110" s="7958"/>
      <c r="H110" s="7958"/>
      <c r="I110" s="7959"/>
      <c r="J110" s="7960" t="str">
        <f t="shared" si="27"/>
        <v/>
      </c>
      <c r="K110" s="7961"/>
      <c r="L110" s="7961"/>
      <c r="M110" s="7960" t="str">
        <f t="shared" si="28"/>
        <v/>
      </c>
      <c r="N110" s="7961"/>
      <c r="O110" s="7961"/>
      <c r="P110" s="7962"/>
      <c r="Q110" s="5988" t="str">
        <f t="shared" si="29"/>
        <v/>
      </c>
      <c r="R110" s="7942"/>
      <c r="S110" s="7942"/>
      <c r="T110" s="7943"/>
      <c r="U110" s="5988" t="str">
        <f t="shared" si="30"/>
        <v/>
      </c>
      <c r="V110" s="7942"/>
      <c r="W110" s="7942"/>
      <c r="X110" s="7943"/>
      <c r="Y110" s="7924" t="str">
        <f t="shared" si="32"/>
        <v/>
      </c>
      <c r="Z110" s="5495"/>
      <c r="AA110" s="7924" t="str">
        <f t="shared" si="33"/>
        <v/>
      </c>
      <c r="AB110" s="5495"/>
      <c r="AC110" s="7925" t="str">
        <f t="shared" si="34"/>
        <v/>
      </c>
      <c r="AD110" s="7926"/>
      <c r="AE110" s="7926"/>
      <c r="AF110" s="7926"/>
      <c r="AG110" s="1631">
        <f t="shared" si="35"/>
        <v>0</v>
      </c>
      <c r="AH110" s="1185"/>
      <c r="AI110" s="1185" t="e">
        <f t="shared" si="36"/>
        <v>#VALUE!</v>
      </c>
      <c r="AJ110" s="1547"/>
      <c r="AK110" s="1551"/>
      <c r="AL110" s="1551"/>
      <c r="AM110" s="1549"/>
      <c r="AN110" s="1549"/>
      <c r="AO110" s="1550"/>
      <c r="AP110" s="1549"/>
      <c r="AQ110" s="1548"/>
      <c r="AS110" s="46" t="e">
        <f t="shared" si="37"/>
        <v>#VALUE!</v>
      </c>
      <c r="AT110" s="46" t="e">
        <f t="shared" si="38"/>
        <v>#VALUE!</v>
      </c>
      <c r="AU110" s="46" t="e">
        <f t="shared" si="39"/>
        <v>#VALUE!</v>
      </c>
      <c r="AW110" s="46" t="e">
        <f t="shared" si="40"/>
        <v>#VALUE!</v>
      </c>
      <c r="AX110" s="46" t="e">
        <f t="shared" si="41"/>
        <v>#VALUE!</v>
      </c>
      <c r="AY110" s="46" t="e">
        <f t="shared" si="42"/>
        <v>#VALUE!</v>
      </c>
      <c r="BA110" s="46" t="e">
        <f t="shared" si="43"/>
        <v>#VALUE!</v>
      </c>
      <c r="BB110" s="46" t="e">
        <f t="shared" si="44"/>
        <v>#VALUE!</v>
      </c>
      <c r="BC110" s="46" t="e">
        <f t="shared" si="45"/>
        <v>#VALUE!</v>
      </c>
    </row>
    <row r="111" spans="1:55" ht="19.5" customHeight="1">
      <c r="A111" s="1228">
        <f t="shared" si="31"/>
        <v>0</v>
      </c>
      <c r="B111" s="7957" t="str">
        <f t="shared" si="26"/>
        <v/>
      </c>
      <c r="C111" s="7958"/>
      <c r="D111" s="7958"/>
      <c r="E111" s="7958"/>
      <c r="F111" s="7958"/>
      <c r="G111" s="7958"/>
      <c r="H111" s="7958"/>
      <c r="I111" s="7959"/>
      <c r="J111" s="7960" t="str">
        <f t="shared" si="27"/>
        <v/>
      </c>
      <c r="K111" s="7961"/>
      <c r="L111" s="7961"/>
      <c r="M111" s="7960" t="str">
        <f t="shared" si="28"/>
        <v/>
      </c>
      <c r="N111" s="7961"/>
      <c r="O111" s="7961"/>
      <c r="P111" s="7962"/>
      <c r="Q111" s="5988" t="str">
        <f t="shared" si="29"/>
        <v/>
      </c>
      <c r="R111" s="7942"/>
      <c r="S111" s="7942"/>
      <c r="T111" s="7943"/>
      <c r="U111" s="5988" t="str">
        <f t="shared" si="30"/>
        <v/>
      </c>
      <c r="V111" s="7942"/>
      <c r="W111" s="7942"/>
      <c r="X111" s="7943"/>
      <c r="Y111" s="7924" t="str">
        <f t="shared" si="32"/>
        <v/>
      </c>
      <c r="Z111" s="5495"/>
      <c r="AA111" s="7924" t="str">
        <f t="shared" si="33"/>
        <v/>
      </c>
      <c r="AB111" s="5495"/>
      <c r="AC111" s="7925" t="str">
        <f t="shared" si="34"/>
        <v/>
      </c>
      <c r="AD111" s="7926"/>
      <c r="AE111" s="7926"/>
      <c r="AF111" s="7926"/>
      <c r="AG111" s="1631">
        <f t="shared" si="35"/>
        <v>0</v>
      </c>
      <c r="AH111" s="1185"/>
      <c r="AI111" s="1185" t="e">
        <f t="shared" si="36"/>
        <v>#VALUE!</v>
      </c>
      <c r="AJ111" s="1547"/>
      <c r="AK111" s="1551"/>
      <c r="AL111" s="1551"/>
      <c r="AM111" s="1549"/>
      <c r="AN111" s="1549"/>
      <c r="AO111" s="1550"/>
      <c r="AP111" s="1549"/>
      <c r="AQ111" s="1548"/>
      <c r="AS111" s="46" t="e">
        <f t="shared" si="37"/>
        <v>#VALUE!</v>
      </c>
      <c r="AT111" s="46" t="e">
        <f t="shared" si="38"/>
        <v>#VALUE!</v>
      </c>
      <c r="AU111" s="46" t="e">
        <f t="shared" si="39"/>
        <v>#VALUE!</v>
      </c>
      <c r="AW111" s="46" t="e">
        <f t="shared" si="40"/>
        <v>#VALUE!</v>
      </c>
      <c r="AX111" s="46" t="e">
        <f t="shared" si="41"/>
        <v>#VALUE!</v>
      </c>
      <c r="AY111" s="46" t="e">
        <f t="shared" si="42"/>
        <v>#VALUE!</v>
      </c>
      <c r="BA111" s="46" t="e">
        <f t="shared" si="43"/>
        <v>#VALUE!</v>
      </c>
      <c r="BB111" s="46" t="e">
        <f t="shared" si="44"/>
        <v>#VALUE!</v>
      </c>
      <c r="BC111" s="46" t="e">
        <f t="shared" si="45"/>
        <v>#VALUE!</v>
      </c>
    </row>
    <row r="112" spans="1:55" ht="19.5" customHeight="1">
      <c r="A112" s="1228">
        <f t="shared" si="31"/>
        <v>0</v>
      </c>
      <c r="B112" s="7957" t="str">
        <f t="shared" si="26"/>
        <v/>
      </c>
      <c r="C112" s="7958"/>
      <c r="D112" s="7958"/>
      <c r="E112" s="7958"/>
      <c r="F112" s="7958"/>
      <c r="G112" s="7958"/>
      <c r="H112" s="7958"/>
      <c r="I112" s="7959"/>
      <c r="J112" s="7960" t="str">
        <f t="shared" si="27"/>
        <v/>
      </c>
      <c r="K112" s="7961"/>
      <c r="L112" s="7961"/>
      <c r="M112" s="7960" t="str">
        <f t="shared" si="28"/>
        <v/>
      </c>
      <c r="N112" s="7961"/>
      <c r="O112" s="7961"/>
      <c r="P112" s="7962"/>
      <c r="Q112" s="5988" t="str">
        <f t="shared" si="29"/>
        <v/>
      </c>
      <c r="R112" s="7942"/>
      <c r="S112" s="7942"/>
      <c r="T112" s="7943"/>
      <c r="U112" s="5988" t="str">
        <f t="shared" si="30"/>
        <v/>
      </c>
      <c r="V112" s="7942"/>
      <c r="W112" s="7942"/>
      <c r="X112" s="7943"/>
      <c r="Y112" s="7924" t="str">
        <f t="shared" si="32"/>
        <v/>
      </c>
      <c r="Z112" s="5495"/>
      <c r="AA112" s="7924" t="str">
        <f t="shared" si="33"/>
        <v/>
      </c>
      <c r="AB112" s="5495"/>
      <c r="AC112" s="7925" t="str">
        <f t="shared" si="34"/>
        <v/>
      </c>
      <c r="AD112" s="7926"/>
      <c r="AE112" s="7926"/>
      <c r="AF112" s="7926"/>
      <c r="AG112" s="1631">
        <f t="shared" si="35"/>
        <v>0</v>
      </c>
      <c r="AH112" s="1185"/>
      <c r="AI112" s="1185" t="e">
        <f t="shared" si="36"/>
        <v>#VALUE!</v>
      </c>
      <c r="AJ112" s="1547"/>
      <c r="AK112" s="1551"/>
      <c r="AL112" s="1551"/>
      <c r="AM112" s="1549"/>
      <c r="AN112" s="1549"/>
      <c r="AO112" s="1550"/>
      <c r="AP112" s="1549"/>
      <c r="AQ112" s="1548"/>
      <c r="AS112" s="46" t="e">
        <f t="shared" si="37"/>
        <v>#VALUE!</v>
      </c>
      <c r="AT112" s="46" t="e">
        <f t="shared" si="38"/>
        <v>#VALUE!</v>
      </c>
      <c r="AU112" s="46" t="e">
        <f t="shared" si="39"/>
        <v>#VALUE!</v>
      </c>
      <c r="AW112" s="46" t="e">
        <f t="shared" si="40"/>
        <v>#VALUE!</v>
      </c>
      <c r="AX112" s="46" t="e">
        <f t="shared" si="41"/>
        <v>#VALUE!</v>
      </c>
      <c r="AY112" s="46" t="e">
        <f t="shared" si="42"/>
        <v>#VALUE!</v>
      </c>
      <c r="BA112" s="46" t="e">
        <f t="shared" si="43"/>
        <v>#VALUE!</v>
      </c>
      <c r="BB112" s="46" t="e">
        <f t="shared" si="44"/>
        <v>#VALUE!</v>
      </c>
      <c r="BC112" s="46" t="e">
        <f t="shared" si="45"/>
        <v>#VALUE!</v>
      </c>
    </row>
    <row r="113" spans="1:55" ht="19.5" customHeight="1">
      <c r="A113" s="1228">
        <f t="shared" si="31"/>
        <v>0</v>
      </c>
      <c r="B113" s="7957" t="str">
        <f t="shared" si="26"/>
        <v/>
      </c>
      <c r="C113" s="7958"/>
      <c r="D113" s="7958"/>
      <c r="E113" s="7958"/>
      <c r="F113" s="7958"/>
      <c r="G113" s="7958"/>
      <c r="H113" s="7958"/>
      <c r="I113" s="7959"/>
      <c r="J113" s="7960" t="str">
        <f t="shared" si="27"/>
        <v/>
      </c>
      <c r="K113" s="7961"/>
      <c r="L113" s="7961"/>
      <c r="M113" s="7960" t="str">
        <f t="shared" si="28"/>
        <v/>
      </c>
      <c r="N113" s="7961"/>
      <c r="O113" s="7961"/>
      <c r="P113" s="7962"/>
      <c r="Q113" s="5988" t="str">
        <f t="shared" si="29"/>
        <v/>
      </c>
      <c r="R113" s="7942"/>
      <c r="S113" s="7942"/>
      <c r="T113" s="7943"/>
      <c r="U113" s="5988" t="str">
        <f t="shared" si="30"/>
        <v/>
      </c>
      <c r="V113" s="7942"/>
      <c r="W113" s="7942"/>
      <c r="X113" s="7943"/>
      <c r="Y113" s="7924" t="str">
        <f t="shared" si="32"/>
        <v/>
      </c>
      <c r="Z113" s="5495"/>
      <c r="AA113" s="7924" t="str">
        <f t="shared" si="33"/>
        <v/>
      </c>
      <c r="AB113" s="5495"/>
      <c r="AC113" s="7925" t="str">
        <f t="shared" si="34"/>
        <v/>
      </c>
      <c r="AD113" s="7926"/>
      <c r="AE113" s="7926"/>
      <c r="AF113" s="7926"/>
      <c r="AG113" s="1631">
        <f t="shared" si="35"/>
        <v>0</v>
      </c>
      <c r="AH113" s="1185"/>
      <c r="AI113" s="1185" t="e">
        <f t="shared" si="36"/>
        <v>#VALUE!</v>
      </c>
      <c r="AJ113" s="1547"/>
      <c r="AK113" s="1551"/>
      <c r="AL113" s="1551"/>
      <c r="AM113" s="1549"/>
      <c r="AN113" s="1549"/>
      <c r="AO113" s="1550"/>
      <c r="AP113" s="1549"/>
      <c r="AQ113" s="1548"/>
      <c r="AS113" s="46" t="e">
        <f t="shared" si="37"/>
        <v>#VALUE!</v>
      </c>
      <c r="AT113" s="46" t="e">
        <f t="shared" si="38"/>
        <v>#VALUE!</v>
      </c>
      <c r="AU113" s="46" t="e">
        <f t="shared" si="39"/>
        <v>#VALUE!</v>
      </c>
      <c r="AW113" s="46" t="e">
        <f t="shared" si="40"/>
        <v>#VALUE!</v>
      </c>
      <c r="AX113" s="46" t="e">
        <f t="shared" si="41"/>
        <v>#VALUE!</v>
      </c>
      <c r="AY113" s="46" t="e">
        <f t="shared" si="42"/>
        <v>#VALUE!</v>
      </c>
      <c r="BA113" s="46" t="e">
        <f t="shared" si="43"/>
        <v>#VALUE!</v>
      </c>
      <c r="BB113" s="46" t="e">
        <f t="shared" si="44"/>
        <v>#VALUE!</v>
      </c>
      <c r="BC113" s="46" t="e">
        <f t="shared" si="45"/>
        <v>#VALUE!</v>
      </c>
    </row>
    <row r="114" spans="1:55" ht="19.5" customHeight="1">
      <c r="A114" s="1228">
        <f t="shared" si="31"/>
        <v>0</v>
      </c>
      <c r="B114" s="7957" t="str">
        <f t="shared" si="26"/>
        <v/>
      </c>
      <c r="C114" s="7958"/>
      <c r="D114" s="7958"/>
      <c r="E114" s="7958"/>
      <c r="F114" s="7958"/>
      <c r="G114" s="7958"/>
      <c r="H114" s="7958"/>
      <c r="I114" s="7959"/>
      <c r="J114" s="7960" t="str">
        <f t="shared" si="27"/>
        <v/>
      </c>
      <c r="K114" s="7961"/>
      <c r="L114" s="7961"/>
      <c r="M114" s="7960" t="str">
        <f t="shared" si="28"/>
        <v/>
      </c>
      <c r="N114" s="7961"/>
      <c r="O114" s="7961"/>
      <c r="P114" s="7962"/>
      <c r="Q114" s="5988" t="str">
        <f t="shared" si="29"/>
        <v/>
      </c>
      <c r="R114" s="7942"/>
      <c r="S114" s="7942"/>
      <c r="T114" s="7943"/>
      <c r="U114" s="5988" t="str">
        <f t="shared" si="30"/>
        <v/>
      </c>
      <c r="V114" s="7942"/>
      <c r="W114" s="7942"/>
      <c r="X114" s="7943"/>
      <c r="Y114" s="7924" t="str">
        <f t="shared" si="32"/>
        <v/>
      </c>
      <c r="Z114" s="5495"/>
      <c r="AA114" s="7924" t="str">
        <f t="shared" si="33"/>
        <v/>
      </c>
      <c r="AB114" s="5495"/>
      <c r="AC114" s="7925" t="str">
        <f t="shared" si="34"/>
        <v/>
      </c>
      <c r="AD114" s="7926"/>
      <c r="AE114" s="7926"/>
      <c r="AF114" s="7926"/>
      <c r="AG114" s="1631">
        <f t="shared" si="35"/>
        <v>0</v>
      </c>
      <c r="AH114" s="1185"/>
      <c r="AI114" s="1185" t="e">
        <f t="shared" si="36"/>
        <v>#VALUE!</v>
      </c>
      <c r="AJ114" s="1547"/>
      <c r="AK114" s="1551"/>
      <c r="AL114" s="1551"/>
      <c r="AM114" s="1549"/>
      <c r="AN114" s="1549"/>
      <c r="AO114" s="1550"/>
      <c r="AP114" s="1549"/>
      <c r="AQ114" s="1548"/>
      <c r="AS114" s="46" t="e">
        <f t="shared" si="37"/>
        <v>#VALUE!</v>
      </c>
      <c r="AT114" s="46" t="e">
        <f t="shared" si="38"/>
        <v>#VALUE!</v>
      </c>
      <c r="AU114" s="46" t="e">
        <f t="shared" si="39"/>
        <v>#VALUE!</v>
      </c>
      <c r="AW114" s="46" t="e">
        <f t="shared" si="40"/>
        <v>#VALUE!</v>
      </c>
      <c r="AX114" s="46" t="e">
        <f t="shared" si="41"/>
        <v>#VALUE!</v>
      </c>
      <c r="AY114" s="46" t="e">
        <f t="shared" si="42"/>
        <v>#VALUE!</v>
      </c>
      <c r="BA114" s="46" t="e">
        <f t="shared" si="43"/>
        <v>#VALUE!</v>
      </c>
      <c r="BB114" s="46" t="e">
        <f t="shared" si="44"/>
        <v>#VALUE!</v>
      </c>
      <c r="BC114" s="46" t="e">
        <f t="shared" si="45"/>
        <v>#VALUE!</v>
      </c>
    </row>
    <row r="115" spans="1:55" ht="19.5" customHeight="1">
      <c r="A115" s="1228">
        <f t="shared" si="31"/>
        <v>0</v>
      </c>
      <c r="B115" s="7957" t="str">
        <f t="shared" si="26"/>
        <v/>
      </c>
      <c r="C115" s="7958"/>
      <c r="D115" s="7958"/>
      <c r="E115" s="7958"/>
      <c r="F115" s="7958"/>
      <c r="G115" s="7958"/>
      <c r="H115" s="7958"/>
      <c r="I115" s="7959"/>
      <c r="J115" s="7960" t="str">
        <f t="shared" si="27"/>
        <v/>
      </c>
      <c r="K115" s="7961"/>
      <c r="L115" s="7961"/>
      <c r="M115" s="7960" t="str">
        <f t="shared" si="28"/>
        <v/>
      </c>
      <c r="N115" s="7961"/>
      <c r="O115" s="7961"/>
      <c r="P115" s="7962"/>
      <c r="Q115" s="5988" t="str">
        <f t="shared" si="29"/>
        <v/>
      </c>
      <c r="R115" s="7942"/>
      <c r="S115" s="7942"/>
      <c r="T115" s="7943"/>
      <c r="U115" s="5988" t="str">
        <f t="shared" si="30"/>
        <v/>
      </c>
      <c r="V115" s="7942"/>
      <c r="W115" s="7942"/>
      <c r="X115" s="7943"/>
      <c r="Y115" s="7924" t="str">
        <f t="shared" si="32"/>
        <v/>
      </c>
      <c r="Z115" s="5495"/>
      <c r="AA115" s="7924" t="str">
        <f t="shared" si="33"/>
        <v/>
      </c>
      <c r="AB115" s="5495"/>
      <c r="AC115" s="7925" t="str">
        <f t="shared" si="34"/>
        <v/>
      </c>
      <c r="AD115" s="7926"/>
      <c r="AE115" s="7926"/>
      <c r="AF115" s="7926"/>
      <c r="AG115" s="1631">
        <f t="shared" si="35"/>
        <v>0</v>
      </c>
      <c r="AH115" s="1185"/>
      <c r="AI115" s="1185" t="e">
        <f t="shared" si="36"/>
        <v>#VALUE!</v>
      </c>
      <c r="AJ115" s="1547"/>
      <c r="AK115" s="1551"/>
      <c r="AL115" s="1551"/>
      <c r="AM115" s="1549"/>
      <c r="AN115" s="1549"/>
      <c r="AO115" s="1550"/>
      <c r="AP115" s="1549"/>
      <c r="AQ115" s="1548"/>
      <c r="AS115" s="46" t="e">
        <f t="shared" si="37"/>
        <v>#VALUE!</v>
      </c>
      <c r="AT115" s="46" t="e">
        <f t="shared" si="38"/>
        <v>#VALUE!</v>
      </c>
      <c r="AU115" s="46" t="e">
        <f t="shared" si="39"/>
        <v>#VALUE!</v>
      </c>
      <c r="AW115" s="46" t="e">
        <f t="shared" si="40"/>
        <v>#VALUE!</v>
      </c>
      <c r="AX115" s="46" t="e">
        <f t="shared" si="41"/>
        <v>#VALUE!</v>
      </c>
      <c r="AY115" s="46" t="e">
        <f t="shared" si="42"/>
        <v>#VALUE!</v>
      </c>
      <c r="BA115" s="46" t="e">
        <f t="shared" si="43"/>
        <v>#VALUE!</v>
      </c>
      <c r="BB115" s="46" t="e">
        <f t="shared" si="44"/>
        <v>#VALUE!</v>
      </c>
      <c r="BC115" s="46" t="e">
        <f t="shared" si="45"/>
        <v>#VALUE!</v>
      </c>
    </row>
    <row r="116" spans="1:55" ht="11.25" customHeight="1">
      <c r="A116" s="1228">
        <f>SUM(A88:A115)</f>
        <v>0</v>
      </c>
      <c r="B116" s="8015">
        <v>2</v>
      </c>
      <c r="C116" s="8036" t="s">
        <v>1151</v>
      </c>
      <c r="D116" s="8037"/>
      <c r="E116" s="8037"/>
      <c r="F116" s="8037"/>
      <c r="G116" s="8037"/>
      <c r="H116" s="8037"/>
      <c r="I116" s="8037"/>
      <c r="J116" s="8037"/>
      <c r="K116" s="8037"/>
      <c r="L116" s="8037"/>
      <c r="M116" s="8037"/>
      <c r="N116" s="8037"/>
      <c r="O116" s="8037"/>
      <c r="P116" s="8037"/>
      <c r="Q116" s="7934" t="str">
        <f>IF(A116=0,"",ROUND(SUM(Q88:Q115),0))</f>
        <v/>
      </c>
      <c r="R116" s="8039"/>
      <c r="S116" s="8039"/>
      <c r="T116" s="7935"/>
      <c r="U116" s="7934" t="str">
        <f>IF(A116=0,"",ROUND(SUM(U88:U115),0))</f>
        <v/>
      </c>
      <c r="V116" s="8017"/>
      <c r="W116" s="8017"/>
      <c r="X116" s="8018"/>
      <c r="Y116" s="8025"/>
      <c r="Z116" s="8026"/>
      <c r="AA116" s="7934" t="str">
        <f>IF(A116=0,"",ROUND(SUM(AA88:AA115),0))</f>
        <v/>
      </c>
      <c r="AB116" s="7935"/>
      <c r="AC116" s="7934" t="str">
        <f>IF(A116=0,"",ROUND(SUM(AC88:AC115),0))</f>
        <v/>
      </c>
      <c r="AD116" s="8017"/>
      <c r="AE116" s="8017"/>
      <c r="AF116" s="8017"/>
      <c r="AG116" s="1228"/>
    </row>
    <row r="117" spans="1:55" ht="11.25" customHeight="1">
      <c r="A117" s="1228"/>
      <c r="B117" s="8016"/>
      <c r="C117" s="8038"/>
      <c r="D117" s="8038"/>
      <c r="E117" s="8038"/>
      <c r="F117" s="8038"/>
      <c r="G117" s="8038"/>
      <c r="H117" s="8038"/>
      <c r="I117" s="8038"/>
      <c r="J117" s="8038"/>
      <c r="K117" s="8038"/>
      <c r="L117" s="8038"/>
      <c r="M117" s="8038"/>
      <c r="N117" s="8038"/>
      <c r="O117" s="8038"/>
      <c r="P117" s="8038"/>
      <c r="Q117" s="7936"/>
      <c r="R117" s="8040"/>
      <c r="S117" s="8040"/>
      <c r="T117" s="7937"/>
      <c r="U117" s="8019"/>
      <c r="V117" s="8020"/>
      <c r="W117" s="8020"/>
      <c r="X117" s="8021"/>
      <c r="Y117" s="8027"/>
      <c r="Z117" s="8028"/>
      <c r="AA117" s="7936"/>
      <c r="AB117" s="7937"/>
      <c r="AC117" s="8019"/>
      <c r="AD117" s="8020"/>
      <c r="AE117" s="8020"/>
      <c r="AF117" s="8020"/>
      <c r="AG117" s="1228"/>
    </row>
    <row r="118" spans="1:55" ht="11.25" customHeight="1">
      <c r="A118" s="1228"/>
      <c r="B118" s="8016"/>
      <c r="C118" s="8038"/>
      <c r="D118" s="8038"/>
      <c r="E118" s="8038"/>
      <c r="F118" s="8038"/>
      <c r="G118" s="8038"/>
      <c r="H118" s="8038"/>
      <c r="I118" s="8038"/>
      <c r="J118" s="8038"/>
      <c r="K118" s="8038"/>
      <c r="L118" s="8038"/>
      <c r="M118" s="8038"/>
      <c r="N118" s="8038"/>
      <c r="O118" s="8038"/>
      <c r="P118" s="8038"/>
      <c r="Q118" s="7936"/>
      <c r="R118" s="8040"/>
      <c r="S118" s="8040"/>
      <c r="T118" s="7937"/>
      <c r="U118" s="8019"/>
      <c r="V118" s="8020"/>
      <c r="W118" s="8020"/>
      <c r="X118" s="8021"/>
      <c r="Y118" s="8027"/>
      <c r="Z118" s="8028"/>
      <c r="AA118" s="7936"/>
      <c r="AB118" s="7937"/>
      <c r="AC118" s="8019"/>
      <c r="AD118" s="8020"/>
      <c r="AE118" s="8020"/>
      <c r="AF118" s="8020"/>
      <c r="AG118" s="1228"/>
    </row>
    <row r="119" spans="1:55" ht="11.25" customHeight="1">
      <c r="A119" s="1228"/>
      <c r="B119" s="8016"/>
      <c r="C119" s="8038"/>
      <c r="D119" s="8038"/>
      <c r="E119" s="8038"/>
      <c r="F119" s="8038"/>
      <c r="G119" s="8038"/>
      <c r="H119" s="8038"/>
      <c r="I119" s="8038"/>
      <c r="J119" s="8038"/>
      <c r="K119" s="8038"/>
      <c r="L119" s="8038"/>
      <c r="M119" s="8038"/>
      <c r="N119" s="8038"/>
      <c r="O119" s="8038"/>
      <c r="P119" s="8038"/>
      <c r="Q119" s="7936"/>
      <c r="R119" s="8040"/>
      <c r="S119" s="8040"/>
      <c r="T119" s="7937"/>
      <c r="U119" s="8019"/>
      <c r="V119" s="8020"/>
      <c r="W119" s="8020"/>
      <c r="X119" s="8021"/>
      <c r="Y119" s="8027"/>
      <c r="Z119" s="8028"/>
      <c r="AA119" s="7936"/>
      <c r="AB119" s="7937"/>
      <c r="AC119" s="8019"/>
      <c r="AD119" s="8020"/>
      <c r="AE119" s="8020"/>
      <c r="AF119" s="8020"/>
      <c r="AG119" s="1228"/>
    </row>
    <row r="120" spans="1:55" ht="6" customHeight="1">
      <c r="A120" s="1228"/>
      <c r="B120" s="8016"/>
      <c r="C120" s="8038"/>
      <c r="D120" s="8038"/>
      <c r="E120" s="8038"/>
      <c r="F120" s="8038"/>
      <c r="G120" s="8038"/>
      <c r="H120" s="8038"/>
      <c r="I120" s="8038"/>
      <c r="J120" s="8038"/>
      <c r="K120" s="8038"/>
      <c r="L120" s="8038"/>
      <c r="M120" s="8038"/>
      <c r="N120" s="8038"/>
      <c r="O120" s="8038"/>
      <c r="P120" s="8038"/>
      <c r="Q120" s="7936"/>
      <c r="R120" s="8040"/>
      <c r="S120" s="8040"/>
      <c r="T120" s="7937"/>
      <c r="U120" s="8044"/>
      <c r="V120" s="8045"/>
      <c r="W120" s="8045"/>
      <c r="X120" s="8046"/>
      <c r="Y120" s="8029"/>
      <c r="Z120" s="8030"/>
      <c r="AA120" s="7938"/>
      <c r="AB120" s="7939"/>
      <c r="AC120" s="8019"/>
      <c r="AD120" s="8020"/>
      <c r="AE120" s="8020"/>
      <c r="AF120" s="8020"/>
      <c r="AG120" s="1228"/>
    </row>
    <row r="121" spans="1:55" ht="25.5" customHeight="1" thickBot="1">
      <c r="A121" s="1228"/>
      <c r="B121" s="8033" t="s">
        <v>1958</v>
      </c>
      <c r="C121" s="8034"/>
      <c r="D121" s="8034"/>
      <c r="E121" s="8034"/>
      <c r="F121" s="8034"/>
      <c r="G121" s="8034"/>
      <c r="H121" s="8034"/>
      <c r="I121" s="8034"/>
      <c r="J121" s="8034"/>
      <c r="K121" s="8034"/>
      <c r="L121" s="8034"/>
      <c r="M121" s="8034"/>
      <c r="N121" s="8034"/>
      <c r="O121" s="8034"/>
      <c r="P121" s="8034"/>
      <c r="Q121" s="8034"/>
      <c r="R121" s="8034"/>
      <c r="S121" s="8034"/>
      <c r="T121" s="8034"/>
      <c r="U121" s="8035"/>
      <c r="V121" s="8035"/>
      <c r="W121" s="8035"/>
      <c r="X121" s="8035"/>
      <c r="Y121" s="8034"/>
      <c r="Z121" s="8034"/>
      <c r="AA121" s="8034"/>
      <c r="AB121" s="8034"/>
      <c r="AC121" s="8034"/>
      <c r="AD121" s="8034"/>
      <c r="AE121" s="8034"/>
      <c r="AF121" s="8034"/>
      <c r="AG121" s="1228"/>
    </row>
    <row r="122" spans="1:55" ht="14.25" customHeight="1" thickTop="1">
      <c r="A122" s="1228"/>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27"/>
      <c r="AD122" s="1127" t="s">
        <v>761</v>
      </c>
      <c r="AE122" s="24"/>
      <c r="AF122" s="4609" t="str">
        <f>"("&amp;TaxYear&amp;")"</f>
        <v>(2018)</v>
      </c>
      <c r="AG122" s="1228"/>
    </row>
    <row r="123" spans="1:55">
      <c r="A123" s="1228"/>
      <c r="B123" s="1228"/>
      <c r="C123" s="1228"/>
      <c r="D123" s="1228"/>
      <c r="E123" s="1228"/>
      <c r="F123" s="1228"/>
      <c r="G123" s="1228"/>
      <c r="H123" s="1228"/>
      <c r="I123" s="1228"/>
      <c r="J123" s="1228"/>
      <c r="K123" s="1228"/>
      <c r="L123" s="1228"/>
      <c r="M123" s="1228"/>
      <c r="N123" s="1228"/>
      <c r="O123" s="1228"/>
      <c r="P123" s="1228"/>
      <c r="Q123" s="1228"/>
      <c r="R123" s="1228"/>
      <c r="S123" s="1228"/>
      <c r="T123" s="1228"/>
      <c r="U123" s="1228"/>
      <c r="V123" s="1228"/>
      <c r="W123" s="1228"/>
      <c r="X123" s="1228"/>
      <c r="Y123" s="1228"/>
      <c r="Z123" s="1228"/>
      <c r="AA123" s="1228"/>
      <c r="AB123" s="1228"/>
      <c r="AC123" s="1228"/>
      <c r="AD123" s="1228"/>
      <c r="AE123" s="1228"/>
      <c r="AF123" s="1228"/>
      <c r="AG123" s="1228"/>
    </row>
  </sheetData>
  <sheetProtection password="F07E" sheet="1" objects="1" scenarios="1"/>
  <mergeCells count="471">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AC55:AF59"/>
    <mergeCell ref="B60:AF60"/>
    <mergeCell ref="B64:U64"/>
    <mergeCell ref="V64:AF64"/>
    <mergeCell ref="B65:AF67"/>
    <mergeCell ref="B69:C69"/>
    <mergeCell ref="B55:B59"/>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Y35:Z35"/>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H8:AA9"/>
    <mergeCell ref="AB8:AD9"/>
    <mergeCell ref="AE8:AF9"/>
    <mergeCell ref="B11:U11"/>
    <mergeCell ref="V11:AF11"/>
    <mergeCell ref="B12:AF14"/>
    <mergeCell ref="B2:K2"/>
    <mergeCell ref="B4:F6"/>
    <mergeCell ref="H4:AA6"/>
    <mergeCell ref="AB4:AF4"/>
    <mergeCell ref="AB5:AF7"/>
    <mergeCell ref="H7:AA7"/>
  </mergeCells>
  <conditionalFormatting sqref="L2">
    <cfRule type="expression" dxfId="238" priority="32" stopIfTrue="1">
      <formula>IF(OR($AG$16,$AG$69),1,0)</formula>
    </cfRule>
  </conditionalFormatting>
  <conditionalFormatting sqref="B2">
    <cfRule type="expression" dxfId="237" priority="33" stopIfTrue="1">
      <formula>IF(OR($AG$16,$AG$69),1,0)</formula>
    </cfRule>
  </conditionalFormatting>
  <conditionalFormatting sqref="B11:AF11">
    <cfRule type="expression" dxfId="236" priority="31">
      <formula>IF(NoColor,1,0)</formula>
    </cfRule>
  </conditionalFormatting>
  <conditionalFormatting sqref="B35:AB54">
    <cfRule type="expression" dxfId="235" priority="28">
      <formula>IF(NoColor,1,0)</formula>
    </cfRule>
  </conditionalFormatting>
  <conditionalFormatting sqref="J35:J54">
    <cfRule type="expression" dxfId="234" priority="30" stopIfTrue="1">
      <formula>IF(AND($L$2="",AG35&lt;&gt;0),TRUE,FALSE)</formula>
    </cfRule>
  </conditionalFormatting>
  <conditionalFormatting sqref="M35:M54">
    <cfRule type="expression" dxfId="233" priority="29" stopIfTrue="1">
      <formula>IF(AND($L$2="",AG35&gt;0),TRUE,FALSE)</formula>
    </cfRule>
  </conditionalFormatting>
  <conditionalFormatting sqref="B64:AF64">
    <cfRule type="expression" dxfId="232" priority="27">
      <formula>IF(NoColor,1,0)</formula>
    </cfRule>
  </conditionalFormatting>
  <conditionalFormatting sqref="J88:J115">
    <cfRule type="expression" dxfId="231" priority="26" stopIfTrue="1">
      <formula>IF(AND($L$2="",AG88&lt;&gt;0),TRUE,FALSE)</formula>
    </cfRule>
  </conditionalFormatting>
  <conditionalFormatting sqref="M88:M115">
    <cfRule type="expression" dxfId="230" priority="25" stopIfTrue="1">
      <formula>IF(AND($L$2="",AG88&gt;0),TRUE,FALSE)</formula>
    </cfRule>
  </conditionalFormatting>
  <conditionalFormatting sqref="B88:AB115">
    <cfRule type="expression" dxfId="229" priority="24">
      <formula>IF(NoColor,1,0)</formula>
    </cfRule>
  </conditionalFormatting>
  <conditionalFormatting sqref="C78">
    <cfRule type="expression" dxfId="228" priority="23">
      <formula>IF(NoColor,1,0)</formula>
    </cfRule>
  </conditionalFormatting>
  <conditionalFormatting sqref="Q55:T59">
    <cfRule type="expression" dxfId="227" priority="22">
      <formula>IF(NoColor,1,0)</formula>
    </cfRule>
  </conditionalFormatting>
  <conditionalFormatting sqref="AA55:AF59">
    <cfRule type="expression" dxfId="226" priority="21">
      <formula>IF(NoColor,1,0)</formula>
    </cfRule>
  </conditionalFormatting>
  <conditionalFormatting sqref="Q116:X120">
    <cfRule type="expression" dxfId="225" priority="20">
      <formula>IF(NoColor,1,0)</formula>
    </cfRule>
  </conditionalFormatting>
  <conditionalFormatting sqref="AA116:AF120">
    <cfRule type="expression" dxfId="224" priority="19">
      <formula>IF(NoColor,1,0)</formula>
    </cfRule>
  </conditionalFormatting>
  <conditionalFormatting sqref="C25">
    <cfRule type="expression" dxfId="223" priority="18">
      <formula>IF(NoColor,1,0)</formula>
    </cfRule>
  </conditionalFormatting>
  <conditionalFormatting sqref="AC88:AF115">
    <cfRule type="expression" dxfId="222" priority="17">
      <formula>IF(NoColor,1,0)</formula>
    </cfRule>
  </conditionalFormatting>
  <conditionalFormatting sqref="AC35:AF54">
    <cfRule type="expression" dxfId="221" priority="16">
      <formula>IF(NoColor,1,0)</formula>
    </cfRule>
  </conditionalFormatting>
  <conditionalFormatting sqref="C80">
    <cfRule type="expression" dxfId="220" priority="15">
      <formula>IF(NoColor,1,0)</formula>
    </cfRule>
  </conditionalFormatting>
  <conditionalFormatting sqref="C82">
    <cfRule type="expression" dxfId="219" priority="14">
      <formula>IF(NoColor,1,0)</formula>
    </cfRule>
  </conditionalFormatting>
  <conditionalFormatting sqref="C27">
    <cfRule type="expression" dxfId="218" priority="13">
      <formula>IF(NoColor,1,0)</formula>
    </cfRule>
  </conditionalFormatting>
  <conditionalFormatting sqref="C29">
    <cfRule type="expression" dxfId="217" priority="12">
      <formula>IF(NoColor,1,0)</formula>
    </cfRule>
  </conditionalFormatting>
  <conditionalFormatting sqref="K74">
    <cfRule type="expression" dxfId="216" priority="9">
      <formula>(A$82&gt;1)</formula>
    </cfRule>
  </conditionalFormatting>
  <conditionalFormatting sqref="B74">
    <cfRule type="expression" dxfId="215" priority="8">
      <formula>IF(A82=0,1,0)</formula>
    </cfRule>
  </conditionalFormatting>
  <conditionalFormatting sqref="B21">
    <cfRule type="expression" dxfId="214" priority="7">
      <formula>(A29=0)</formula>
    </cfRule>
  </conditionalFormatting>
  <conditionalFormatting sqref="L21">
    <cfRule type="expression" dxfId="213" priority="6">
      <formula>(A29&gt;1)</formula>
    </cfRule>
  </conditionalFormatting>
  <conditionalFormatting sqref="T16">
    <cfRule type="expression" dxfId="212" priority="5" stopIfTrue="1">
      <formula>IF(AND($L$2="",$AG$16),TRUE,FALSE)</formula>
    </cfRule>
  </conditionalFormatting>
  <conditionalFormatting sqref="P69">
    <cfRule type="expression" dxfId="211" priority="4" stopIfTrue="1">
      <formula>IF(AND($L$2="",$AG$69),TRUE,FALSE)</formula>
    </cfRule>
  </conditionalFormatting>
  <conditionalFormatting sqref="T69">
    <cfRule type="expression" dxfId="210" priority="3" stopIfTrue="1">
      <formula>IF(AND($L$2="",$AG$69),TRUE,FALSE)</formula>
    </cfRule>
  </conditionalFormatting>
  <conditionalFormatting sqref="T70">
    <cfRule type="expression" dxfId="209" priority="2" stopIfTrue="1">
      <formula>IF(AND($L$2="",$AG$16),TRUE,FALSE)</formula>
    </cfRule>
  </conditionalFormatting>
  <conditionalFormatting sqref="U55:X59">
    <cfRule type="expression" dxfId="208"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1"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0" stopIfTrue="1" id="{3B333ACD-C9FB-451E-B696-2571ABE29A99}">
            <xm:f>IF(AND('8949A'!$L$2="",'8949A'!$AG$16),TRUE,FALSE)</xm:f>
            <x14:dxf>
              <font>
                <b val="0"/>
                <i val="0"/>
                <color rgb="FFFF0000"/>
              </font>
            </x14:dxf>
          </x14:cfRule>
          <xm:sqref>T71:T72</xm:sqref>
        </x14:conditionalFormatting>
      </x14:conditionalFormatting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88"/>
  <sheetViews>
    <sheetView zoomScaleNormal="100" zoomScaleSheetLayoutView="100" workbookViewId="0">
      <selection activeCell="K14" sqref="K14:M14"/>
    </sheetView>
  </sheetViews>
  <sheetFormatPr defaultRowHeight="12.75"/>
  <cols>
    <col min="1" max="1" width="2.42578125" style="46" customWidth="1"/>
    <col min="2" max="2" width="7.85546875" customWidth="1"/>
    <col min="3" max="3" width="3.140625" customWidth="1"/>
    <col min="4" max="4" width="9.7109375" customWidth="1"/>
    <col min="5" max="5" width="9.42578125" customWidth="1"/>
    <col min="6" max="6" width="20.85546875" customWidth="1"/>
    <col min="7" max="7" width="9.28515625" customWidth="1"/>
    <col min="8" max="9" width="4" customWidth="1"/>
    <col min="10" max="10" width="6.140625" customWidth="1"/>
    <col min="11" max="11" width="14.140625" customWidth="1"/>
    <col min="12" max="12" width="3.7109375" customWidth="1"/>
    <col min="13" max="13" width="14.140625" customWidth="1"/>
    <col min="14" max="14" width="2.5703125" customWidth="1"/>
    <col min="15" max="15" width="3.85546875" customWidth="1"/>
    <col min="16" max="16" width="14.5703125" customWidth="1"/>
    <col min="17" max="17" width="2.28515625" customWidth="1"/>
    <col min="18" max="18" width="10.28515625" style="5163" customWidth="1"/>
    <col min="19" max="19" width="9.140625" style="1068" hidden="1" customWidth="1"/>
    <col min="20" max="20" width="2.5703125" hidden="1" customWidth="1"/>
    <col min="21" max="22" width="9.140625" hidden="1" customWidth="1"/>
    <col min="23" max="30" width="10.7109375" style="3169" customWidth="1"/>
  </cols>
  <sheetData>
    <row r="1" spans="1:30" ht="12.75" customHeight="1" thickBot="1">
      <c r="A1" s="3068"/>
      <c r="B1" s="82"/>
      <c r="C1" s="82"/>
      <c r="D1" s="82"/>
      <c r="E1" s="82"/>
      <c r="F1" s="82"/>
      <c r="G1" s="82"/>
      <c r="H1" s="82"/>
      <c r="I1" s="82"/>
      <c r="J1" s="82"/>
      <c r="K1" s="82"/>
      <c r="L1" s="706"/>
      <c r="M1" s="82"/>
      <c r="N1" s="82"/>
      <c r="O1" s="1616"/>
      <c r="P1" s="3074" t="b">
        <f>IF($O$2&lt;&gt;"",TRUE,FALSE)</f>
        <v>0</v>
      </c>
      <c r="Q1" s="1616"/>
      <c r="W1" s="3168" t="s">
        <v>2552</v>
      </c>
    </row>
    <row r="2" spans="1:30" ht="17.25" customHeight="1" thickBot="1">
      <c r="A2" s="3068"/>
      <c r="B2" s="1615" t="s">
        <v>2532</v>
      </c>
      <c r="C2" s="1443"/>
      <c r="D2" s="1443"/>
      <c r="E2" s="1443"/>
      <c r="F2" s="1443"/>
      <c r="G2" s="1443"/>
      <c r="H2" s="1443"/>
      <c r="I2" s="1443"/>
      <c r="J2" s="1443"/>
      <c r="K2" s="1443"/>
      <c r="L2" s="3072"/>
      <c r="M2" s="1443"/>
      <c r="N2" s="82"/>
      <c r="O2" s="1445"/>
      <c r="P2" s="1615" t="s">
        <v>2832</v>
      </c>
      <c r="Q2" s="1616"/>
    </row>
    <row r="3" spans="1:30" ht="12.75" customHeight="1">
      <c r="A3" s="3068"/>
      <c r="B3" s="3073" t="str">
        <f>IF(P3,"Yes","No")</f>
        <v>No</v>
      </c>
      <c r="C3" s="1607" t="str">
        <f>"Your Medicare wages and tips on any single Form W-2 (box 5) are greater than "&amp;TEXT(G25,"$0,000")&amp;"."</f>
        <v>Your Medicare wages and tips on any single Form W-2 (box 5) are greater than $200,000.</v>
      </c>
      <c r="D3" s="1443"/>
      <c r="E3" s="1443"/>
      <c r="F3" s="1443"/>
      <c r="G3" s="1443"/>
      <c r="H3" s="1443"/>
      <c r="I3" s="1443"/>
      <c r="J3" s="1443"/>
      <c r="K3" s="1443"/>
      <c r="L3" s="3072"/>
      <c r="M3" s="1443"/>
      <c r="N3" s="82"/>
      <c r="O3" s="1616"/>
      <c r="P3" s="3074" t="b">
        <f>IF('W-2s'!I57,TRUE,FALSE)</f>
        <v>0</v>
      </c>
      <c r="Q3" s="1616"/>
    </row>
    <row r="4" spans="1:30" ht="12.75" customHeight="1">
      <c r="A4" s="3068"/>
      <c r="B4" s="3073" t="str">
        <f>IF(P4,"Yes","No")</f>
        <v>No</v>
      </c>
      <c r="C4" s="1607" t="str">
        <f>"Your railroad retirement (RRTA) compensation on any single Form W-2 (box 14) is greater than "&amp;TEXT(G25,"$0,000")&amp;"."</f>
        <v>Your railroad retirement (RRTA) compensation on any single Form W-2 (box 14) is greater than $200,000.</v>
      </c>
      <c r="D4" s="1443"/>
      <c r="E4" s="1443"/>
      <c r="F4" s="1443"/>
      <c r="G4" s="1443"/>
      <c r="H4" s="1443"/>
      <c r="I4" s="1443"/>
      <c r="J4" s="1443"/>
      <c r="K4" s="1443"/>
      <c r="L4" s="3072"/>
      <c r="M4" s="1443"/>
      <c r="N4" s="82"/>
      <c r="O4" s="1616"/>
      <c r="P4" s="3074" t="b">
        <f>IF(RRTA_Compensation&gt;$G$25,TRUE,FALSE)</f>
        <v>0</v>
      </c>
      <c r="Q4" s="1616"/>
    </row>
    <row r="5" spans="1:30" ht="12.75" customHeight="1">
      <c r="A5" s="3068"/>
      <c r="B5" s="3073" t="str">
        <f>IF(P5,"Yes","No")</f>
        <v>No</v>
      </c>
      <c r="C5" s="1607" t="str">
        <f>"Your total Medicare wages and tips plus your self-employment income are &gt; filing status threshold ("&amp;TEXT($M$25,"$0,000")&amp;")."</f>
        <v>Your total Medicare wages and tips plus your self-employment income are &gt; filing status threshold (---).</v>
      </c>
      <c r="D5" s="1443"/>
      <c r="E5" s="1443"/>
      <c r="F5" s="1443"/>
      <c r="G5" s="1443"/>
      <c r="H5" s="1443"/>
      <c r="I5" s="1443"/>
      <c r="J5" s="1443"/>
      <c r="K5" s="1443"/>
      <c r="L5" s="3072"/>
      <c r="M5" s="1443"/>
      <c r="N5" s="82"/>
      <c r="O5" s="1616"/>
      <c r="P5" s="3074" t="b">
        <f>(P8&gt;$M$25)</f>
        <v>0</v>
      </c>
      <c r="Q5" s="1616"/>
    </row>
    <row r="6" spans="1:30" ht="12.75" customHeight="1">
      <c r="A6" s="3068"/>
      <c r="B6" s="3073" t="str">
        <f>IF(P6,"Yes","No")</f>
        <v>No</v>
      </c>
      <c r="C6" s="1607" t="str">
        <f>"Your total railroad retirement (RRTA) compensation and tips (Part III, Line 14) are &gt; filing status threshold ("&amp;TEXT($M$48,"$0,000")&amp;")."</f>
        <v>Your total railroad retirement (RRTA) compensation and tips (Part III, Line 14) are &gt; filing status threshold (---).</v>
      </c>
      <c r="D6" s="1443"/>
      <c r="E6" s="1443"/>
      <c r="F6" s="1443"/>
      <c r="G6" s="1443"/>
      <c r="H6" s="1443"/>
      <c r="I6" s="1443"/>
      <c r="J6" s="1443"/>
      <c r="K6" s="1443"/>
      <c r="L6" s="3072"/>
      <c r="M6" s="1443"/>
      <c r="N6" s="82"/>
      <c r="O6" s="1616"/>
      <c r="P6" s="3074" t="b">
        <f>IF(RRTA_Compensation="",FALSE,IF(RRTA_Compensation&gt;$M$48,TRUE,FALSE))</f>
        <v>0</v>
      </c>
      <c r="Q6" s="1616"/>
    </row>
    <row r="7" spans="1:30" ht="10.5" customHeight="1">
      <c r="A7" s="706"/>
      <c r="B7" s="706"/>
      <c r="C7" s="82"/>
      <c r="D7" s="82"/>
      <c r="E7" s="82"/>
      <c r="F7" s="82"/>
      <c r="G7" s="706"/>
      <c r="H7" s="82"/>
      <c r="I7" s="82"/>
      <c r="J7" s="82"/>
      <c r="K7" s="82"/>
      <c r="L7" s="82"/>
      <c r="M7" s="82"/>
      <c r="N7" s="82"/>
      <c r="O7" s="1616"/>
      <c r="P7" s="3074" t="b">
        <f>OR(P1,P3:P6)</f>
        <v>0</v>
      </c>
      <c r="Q7" s="1616"/>
    </row>
    <row r="8" spans="1:30">
      <c r="A8" s="82"/>
      <c r="B8" s="24"/>
      <c r="C8" s="24"/>
      <c r="D8" s="101"/>
      <c r="E8" s="24"/>
      <c r="F8" s="24"/>
      <c r="G8" s="24"/>
      <c r="H8" s="24"/>
      <c r="I8" s="24"/>
      <c r="J8" s="24"/>
      <c r="K8" s="24"/>
      <c r="L8" s="7637" t="s">
        <v>94</v>
      </c>
      <c r="M8" s="7573"/>
      <c r="N8" s="635"/>
      <c r="O8" s="2749"/>
      <c r="P8" s="5180">
        <f>IF(AND(P18&lt;&gt;"",P32&lt;&gt;""),SUM(ROUND(P18,0),ROUND(P32,0)),IF(P18&lt;&gt;"",SUM(ROUND(P18,0),K31),IF(P32&lt;&gt;"",SUM(MedCare_wages,ROUND(P32,0)),SUM(MedCare_wages,K31))))</f>
        <v>0</v>
      </c>
      <c r="Q8" s="2749"/>
      <c r="R8" s="5216"/>
    </row>
    <row r="9" spans="1:30" ht="20.25" customHeight="1">
      <c r="A9" s="82"/>
      <c r="B9" s="7916" t="s">
        <v>331</v>
      </c>
      <c r="C9" s="7917">
        <v>8959</v>
      </c>
      <c r="D9" s="7918"/>
      <c r="E9" s="7650" t="s">
        <v>1042</v>
      </c>
      <c r="F9" s="5697"/>
      <c r="G9" s="5697"/>
      <c r="H9" s="5697"/>
      <c r="I9" s="5697"/>
      <c r="J9" s="5697"/>
      <c r="K9" s="5698"/>
      <c r="L9" s="6025">
        <f>TaxYear</f>
        <v>2018</v>
      </c>
      <c r="M9" s="7638"/>
      <c r="N9" s="713"/>
      <c r="O9" s="260"/>
      <c r="P9" s="25" t="s">
        <v>100</v>
      </c>
      <c r="Q9" s="275"/>
      <c r="R9" s="5164"/>
    </row>
    <row r="10" spans="1:30" ht="14.25" customHeight="1">
      <c r="A10" s="82"/>
      <c r="B10" s="6052"/>
      <c r="C10" s="7919"/>
      <c r="D10" s="7920"/>
      <c r="E10" s="7445" t="s">
        <v>2071</v>
      </c>
      <c r="F10" s="8067"/>
      <c r="G10" s="8067"/>
      <c r="H10" s="8067"/>
      <c r="I10" s="8067"/>
      <c r="J10" s="8067"/>
      <c r="K10" s="8068"/>
      <c r="L10" s="7639"/>
      <c r="M10" s="7640"/>
      <c r="N10" s="714"/>
      <c r="O10" s="261"/>
      <c r="P10" s="25" t="s">
        <v>468</v>
      </c>
      <c r="Q10" s="60"/>
      <c r="R10" s="5165"/>
    </row>
    <row r="11" spans="1:30" ht="12.75" customHeight="1">
      <c r="A11" s="82"/>
      <c r="B11" s="8060" t="s">
        <v>202</v>
      </c>
      <c r="C11" s="8061"/>
      <c r="D11" s="8062"/>
      <c r="E11" s="8063" t="s">
        <v>1043</v>
      </c>
      <c r="F11" s="7648"/>
      <c r="G11" s="7648"/>
      <c r="H11" s="7648"/>
      <c r="I11" s="7648"/>
      <c r="J11" s="7648"/>
      <c r="K11" s="7649"/>
      <c r="L11" s="7463" t="s">
        <v>343</v>
      </c>
      <c r="M11" s="5768"/>
      <c r="N11" s="713"/>
      <c r="O11" s="260"/>
      <c r="P11" s="733"/>
      <c r="Q11" s="60"/>
      <c r="R11" s="5166"/>
    </row>
    <row r="12" spans="1:30" ht="12.75" customHeight="1" thickBot="1">
      <c r="A12" s="82"/>
      <c r="B12" s="8064" t="s">
        <v>257</v>
      </c>
      <c r="C12" s="8065"/>
      <c r="D12" s="8066"/>
      <c r="E12" s="7645" t="s">
        <v>2521</v>
      </c>
      <c r="F12" s="7646"/>
      <c r="G12" s="7646"/>
      <c r="H12" s="7646"/>
      <c r="I12" s="7646"/>
      <c r="J12" s="7646"/>
      <c r="K12" s="7647"/>
      <c r="L12" s="7901" t="s">
        <v>4161</v>
      </c>
      <c r="M12" s="7902"/>
      <c r="N12" s="714"/>
      <c r="O12" s="261"/>
      <c r="P12" s="733"/>
      <c r="Q12" s="275"/>
      <c r="R12" s="5166"/>
    </row>
    <row r="13" spans="1:30" ht="11.25" customHeight="1">
      <c r="A13" s="82"/>
      <c r="B13" s="21" t="s">
        <v>63</v>
      </c>
      <c r="C13" s="168"/>
      <c r="D13" s="168"/>
      <c r="E13" s="141"/>
      <c r="F13" s="142"/>
      <c r="G13" s="151"/>
      <c r="H13" s="142"/>
      <c r="I13" s="142"/>
      <c r="J13" s="142"/>
      <c r="K13" s="7658" t="s">
        <v>99</v>
      </c>
      <c r="L13" s="7418"/>
      <c r="M13" s="7418"/>
      <c r="N13" s="713"/>
      <c r="O13" s="260"/>
      <c r="P13" s="733"/>
      <c r="Q13" s="275"/>
      <c r="R13" s="5165"/>
    </row>
    <row r="14" spans="1:30" ht="14.25" customHeight="1">
      <c r="A14" s="82"/>
      <c r="B14" s="7609" t="str">
        <f>Names</f>
        <v/>
      </c>
      <c r="C14" s="7610"/>
      <c r="D14" s="7610"/>
      <c r="E14" s="7610"/>
      <c r="F14" s="7610"/>
      <c r="G14" s="7610"/>
      <c r="H14" s="7610"/>
      <c r="I14" s="7610"/>
      <c r="J14" s="7611"/>
      <c r="K14" s="6108">
        <f>IF(NoSSN,"",SS_Yours)</f>
        <v>0</v>
      </c>
      <c r="L14" s="7654"/>
      <c r="M14" s="7654"/>
      <c r="N14" s="714"/>
      <c r="O14" s="261"/>
      <c r="P14" s="733"/>
      <c r="Q14" s="275"/>
      <c r="R14" s="5165"/>
    </row>
    <row r="15" spans="1:30" ht="15.75">
      <c r="A15" s="82"/>
      <c r="B15" s="746" t="s">
        <v>369</v>
      </c>
      <c r="C15" s="8057" t="s">
        <v>1044</v>
      </c>
      <c r="D15" s="8058"/>
      <c r="E15" s="8059"/>
      <c r="F15" s="8059"/>
      <c r="G15" s="8059"/>
      <c r="H15" s="8059"/>
      <c r="I15" s="8059"/>
      <c r="J15" s="8059"/>
      <c r="K15" s="8059"/>
      <c r="L15" s="8059"/>
      <c r="M15" s="8059"/>
      <c r="N15" s="715"/>
      <c r="O15" s="616"/>
      <c r="P15" s="733"/>
      <c r="Q15" s="275"/>
      <c r="R15" s="5167"/>
    </row>
    <row r="16" spans="1:30" s="1068" customFormat="1" ht="12" customHeight="1">
      <c r="A16" s="82"/>
      <c r="B16" s="161">
        <v>1</v>
      </c>
      <c r="C16" s="403" t="s">
        <v>1045</v>
      </c>
      <c r="D16" s="280"/>
      <c r="E16" s="237"/>
      <c r="F16" s="237"/>
      <c r="G16" s="238"/>
      <c r="H16" s="238"/>
      <c r="I16" s="238"/>
      <c r="J16" s="1747"/>
      <c r="K16" s="162"/>
      <c r="L16" s="232"/>
      <c r="M16" s="554"/>
      <c r="N16" s="716"/>
      <c r="O16" s="1688"/>
      <c r="P16" s="628"/>
      <c r="Q16" s="455"/>
      <c r="R16" s="5168"/>
      <c r="T16"/>
      <c r="U16"/>
      <c r="V16"/>
      <c r="W16" s="3169"/>
      <c r="X16" s="3169"/>
      <c r="Y16" s="3169"/>
      <c r="Z16" s="3169"/>
      <c r="AA16" s="3169"/>
      <c r="AB16" s="3169"/>
      <c r="AC16" s="3169"/>
      <c r="AD16" s="3169"/>
    </row>
    <row r="17" spans="1:30" s="1068" customFormat="1" ht="12" customHeight="1">
      <c r="A17" s="82"/>
      <c r="B17" s="161"/>
      <c r="C17" s="403" t="s">
        <v>1046</v>
      </c>
      <c r="D17" s="280"/>
      <c r="E17" s="237"/>
      <c r="F17" s="237"/>
      <c r="G17" s="238"/>
      <c r="H17" s="238"/>
      <c r="I17" s="238"/>
      <c r="J17" s="732"/>
      <c r="K17" s="162"/>
      <c r="L17" s="232"/>
      <c r="M17" s="604"/>
      <c r="N17" s="716"/>
      <c r="O17" s="1688"/>
      <c r="P17" s="628"/>
      <c r="Q17" s="455"/>
      <c r="R17" s="5168"/>
      <c r="T17"/>
      <c r="U17"/>
      <c r="V17"/>
      <c r="W17" s="3169"/>
      <c r="X17" s="3169"/>
      <c r="Y17" s="3169"/>
      <c r="Z17" s="3169"/>
      <c r="AA17" s="3169"/>
      <c r="AB17" s="3169"/>
      <c r="AC17" s="3169"/>
      <c r="AD17" s="3169"/>
    </row>
    <row r="18" spans="1:30" ht="12" customHeight="1">
      <c r="A18" s="82"/>
      <c r="B18" s="162"/>
      <c r="C18" s="403" t="s">
        <v>2531</v>
      </c>
      <c r="D18" s="185"/>
      <c r="E18" s="237"/>
      <c r="F18" s="237"/>
      <c r="G18" s="238"/>
      <c r="H18" s="162"/>
      <c r="I18" s="161" t="s">
        <v>1150</v>
      </c>
      <c r="J18" s="610">
        <f>B16</f>
        <v>1</v>
      </c>
      <c r="K18" s="1725" t="str">
        <f>IF(P18&lt;&gt;"",ROUND(P18,0),IF(NOT(P7),"",IF(MedCare_wages=0,"",MedCare_wages)))</f>
        <v/>
      </c>
      <c r="L18" s="736"/>
      <c r="M18" s="555"/>
      <c r="N18" s="717"/>
      <c r="O18" s="265"/>
      <c r="P18" s="470"/>
      <c r="Q18" s="32"/>
      <c r="R18" s="5168"/>
    </row>
    <row r="19" spans="1:30" ht="12" customHeight="1">
      <c r="A19" s="82"/>
      <c r="B19" s="162">
        <v>2</v>
      </c>
      <c r="C19" s="280" t="s">
        <v>1047</v>
      </c>
      <c r="D19" s="185"/>
      <c r="E19" s="237"/>
      <c r="F19" s="237"/>
      <c r="G19" s="238"/>
      <c r="H19" s="162"/>
      <c r="I19" s="161" t="s">
        <v>178</v>
      </c>
      <c r="J19" s="610">
        <f>B19</f>
        <v>2</v>
      </c>
      <c r="K19" s="1726"/>
      <c r="L19" s="736"/>
      <c r="M19" s="555"/>
      <c r="N19" s="717"/>
      <c r="O19" s="265"/>
      <c r="P19" s="628"/>
      <c r="Q19" s="32"/>
      <c r="R19" s="5168"/>
    </row>
    <row r="20" spans="1:30" ht="12" customHeight="1">
      <c r="A20" s="82"/>
      <c r="B20" s="162">
        <v>3</v>
      </c>
      <c r="C20" s="280" t="s">
        <v>1049</v>
      </c>
      <c r="D20" s="185"/>
      <c r="E20" s="237"/>
      <c r="F20" s="237"/>
      <c r="G20" s="238"/>
      <c r="H20" s="162"/>
      <c r="I20" s="161" t="s">
        <v>1048</v>
      </c>
      <c r="J20" s="610">
        <f>B20</f>
        <v>3</v>
      </c>
      <c r="K20" s="1726"/>
      <c r="L20" s="736"/>
      <c r="M20" s="555"/>
      <c r="N20" s="717"/>
      <c r="O20" s="265"/>
      <c r="P20" s="603"/>
      <c r="Q20" s="32"/>
      <c r="R20" s="5168"/>
    </row>
    <row r="21" spans="1:30" ht="12" customHeight="1">
      <c r="A21" s="82"/>
      <c r="B21" s="162">
        <v>4</v>
      </c>
      <c r="C21" s="280" t="s">
        <v>1050</v>
      </c>
      <c r="D21" s="185"/>
      <c r="E21" s="237"/>
      <c r="F21" s="237"/>
      <c r="G21" s="238"/>
      <c r="H21" s="162"/>
      <c r="I21" s="161" t="s">
        <v>524</v>
      </c>
      <c r="J21" s="610">
        <f>B21</f>
        <v>4</v>
      </c>
      <c r="K21" s="1725" t="str">
        <f>IF($K$18="","",SUM(K18:K20))</f>
        <v/>
      </c>
      <c r="L21" s="736"/>
      <c r="M21" s="555"/>
      <c r="N21" s="717"/>
      <c r="O21" s="265"/>
      <c r="P21" s="603"/>
      <c r="Q21" s="32"/>
      <c r="R21" s="5168"/>
    </row>
    <row r="22" spans="1:30" s="1068" customFormat="1" ht="12" customHeight="1">
      <c r="A22" s="82"/>
      <c r="B22" s="161">
        <v>5</v>
      </c>
      <c r="C22" s="280" t="s">
        <v>1051</v>
      </c>
      <c r="D22" s="280"/>
      <c r="E22" s="237"/>
      <c r="F22" s="237"/>
      <c r="G22" s="238"/>
      <c r="H22" s="238"/>
      <c r="I22" s="238"/>
      <c r="J22" s="1747"/>
      <c r="K22" s="162"/>
      <c r="L22" s="232"/>
      <c r="M22" s="555"/>
      <c r="N22" s="716"/>
      <c r="O22" s="1688"/>
      <c r="P22" s="603"/>
      <c r="Q22" s="455"/>
      <c r="R22" s="5168"/>
      <c r="T22"/>
      <c r="U22"/>
      <c r="V22"/>
      <c r="W22" s="3169"/>
      <c r="X22" s="3169"/>
      <c r="Y22" s="3169"/>
      <c r="Z22" s="3169"/>
      <c r="AA22" s="3169"/>
      <c r="AB22" s="3169"/>
      <c r="AC22" s="3169"/>
      <c r="AD22" s="3169"/>
    </row>
    <row r="23" spans="1:30" s="1068" customFormat="1" ht="12" customHeight="1">
      <c r="A23" s="82"/>
      <c r="B23" s="161"/>
      <c r="C23" s="280" t="s">
        <v>539</v>
      </c>
      <c r="D23" s="280"/>
      <c r="E23" s="237"/>
      <c r="F23" s="161" t="s">
        <v>681</v>
      </c>
      <c r="G23" s="1745">
        <v>250000</v>
      </c>
      <c r="H23" s="238"/>
      <c r="I23" s="238"/>
      <c r="J23" s="732"/>
      <c r="K23" s="162"/>
      <c r="L23" s="232"/>
      <c r="M23" s="555"/>
      <c r="N23" s="716"/>
      <c r="O23" s="1688"/>
      <c r="P23" s="603"/>
      <c r="Q23" s="455"/>
      <c r="R23" s="5168"/>
      <c r="T23"/>
      <c r="U23"/>
      <c r="V23"/>
      <c r="W23" s="3169"/>
      <c r="X23" s="3169"/>
      <c r="Y23" s="3169"/>
      <c r="Z23" s="3169"/>
      <c r="AA23" s="3169"/>
      <c r="AB23" s="3169"/>
      <c r="AC23" s="3169"/>
      <c r="AD23" s="3169"/>
    </row>
    <row r="24" spans="1:30" s="1068" customFormat="1" ht="12" customHeight="1">
      <c r="A24" s="82"/>
      <c r="B24" s="161"/>
      <c r="C24" s="280" t="s">
        <v>309</v>
      </c>
      <c r="D24" s="280"/>
      <c r="E24" s="237"/>
      <c r="F24" s="161" t="s">
        <v>667</v>
      </c>
      <c r="G24" s="1745">
        <v>125000</v>
      </c>
      <c r="H24" s="238"/>
      <c r="I24" s="238"/>
      <c r="J24" s="732"/>
      <c r="K24" s="162"/>
      <c r="L24" s="232"/>
      <c r="M24" s="604"/>
      <c r="N24" s="716"/>
      <c r="O24" s="1688"/>
      <c r="P24" s="603"/>
      <c r="Q24" s="455"/>
      <c r="R24" s="5168"/>
      <c r="T24"/>
      <c r="U24"/>
      <c r="V24"/>
      <c r="W24" s="3169"/>
      <c r="X24" s="3169"/>
      <c r="Y24" s="3169"/>
      <c r="Z24" s="3169"/>
      <c r="AA24" s="3169"/>
      <c r="AB24" s="3169"/>
      <c r="AC24" s="3169"/>
      <c r="AD24" s="3169"/>
    </row>
    <row r="25" spans="1:30" ht="12" customHeight="1">
      <c r="A25" s="82"/>
      <c r="B25" s="162"/>
      <c r="C25" s="280" t="s">
        <v>4162</v>
      </c>
      <c r="D25" s="185"/>
      <c r="E25" s="237"/>
      <c r="F25" s="237"/>
      <c r="G25" s="1745">
        <v>200000</v>
      </c>
      <c r="H25" s="162"/>
      <c r="I25" s="161"/>
      <c r="J25" s="610">
        <f>B22</f>
        <v>5</v>
      </c>
      <c r="K25" s="1725" t="str">
        <f>IF($K$18="","",IF(M25="---","Filing Status?",M25))</f>
        <v/>
      </c>
      <c r="L25" s="736"/>
      <c r="M25" s="2894" t="str">
        <f>IF(File_Marr_Joint&lt;&gt;"",G23,IF(File_Marr_Sep&lt;&gt;"",G24,IF(OR(File_Single&lt;&gt;"",File_Head&lt;&gt;"",File_Qual_Widow&lt;&gt;""),G25,"---")))</f>
        <v>---</v>
      </c>
      <c r="N25" s="717"/>
      <c r="O25" s="265"/>
      <c r="P25" s="603"/>
      <c r="Q25" s="32"/>
      <c r="R25" s="5168"/>
    </row>
    <row r="26" spans="1:30" ht="12.75" customHeight="1">
      <c r="A26" s="82"/>
      <c r="B26" s="161">
        <v>6</v>
      </c>
      <c r="C26" s="280" t="s">
        <v>1053</v>
      </c>
      <c r="D26" s="280"/>
      <c r="E26" s="237"/>
      <c r="F26" s="237"/>
      <c r="G26" s="238"/>
      <c r="H26" s="238"/>
      <c r="I26" s="238"/>
      <c r="J26" s="238"/>
      <c r="K26" s="593"/>
      <c r="L26" s="256">
        <f>B26</f>
        <v>6</v>
      </c>
      <c r="M26" s="1725" t="str">
        <f>IF(OR($K$18="",M25="---"),"",IF(K25&gt;=K21,0,SUM(K21,-K25)))</f>
        <v/>
      </c>
      <c r="N26" s="717"/>
      <c r="O26" s="265"/>
      <c r="P26" s="603"/>
      <c r="Q26" s="455"/>
      <c r="R26" s="5168"/>
    </row>
    <row r="27" spans="1:30" s="1068" customFormat="1" ht="12" customHeight="1">
      <c r="A27" s="82"/>
      <c r="B27" s="161">
        <v>7</v>
      </c>
      <c r="C27" s="403" t="str">
        <f>"Additional Medicare Tax on Medicare wages. Multiply line 6 by "&amp;TEXT(M27,"0.0%")&amp;" ("&amp;TEXT(M27,"0.000")&amp;"). Enter here and"</f>
        <v>Additional Medicare Tax on Medicare wages. Multiply line 6 by 0.9% (0.009). Enter here and</v>
      </c>
      <c r="D27" s="280"/>
      <c r="E27" s="237"/>
      <c r="F27" s="237"/>
      <c r="G27" s="238"/>
      <c r="H27" s="238"/>
      <c r="I27" s="238"/>
      <c r="J27" s="238"/>
      <c r="K27" s="162"/>
      <c r="L27" s="232"/>
      <c r="M27" s="1746">
        <v>8.9999999999999993E-3</v>
      </c>
      <c r="N27" s="716"/>
      <c r="O27" s="1688"/>
      <c r="P27" s="603"/>
      <c r="Q27" s="455"/>
      <c r="R27" s="5168"/>
      <c r="T27"/>
      <c r="U27"/>
      <c r="V27"/>
      <c r="W27" s="3169"/>
      <c r="X27" s="3169"/>
      <c r="Y27" s="3169"/>
      <c r="Z27" s="3169"/>
      <c r="AA27" s="3169"/>
      <c r="AB27" s="3169"/>
      <c r="AC27" s="3169"/>
      <c r="AD27" s="3169"/>
    </row>
    <row r="28" spans="1:30" ht="11.25" customHeight="1">
      <c r="A28" s="82"/>
      <c r="B28" s="161"/>
      <c r="C28" s="403" t="s">
        <v>1054</v>
      </c>
      <c r="D28" s="185"/>
      <c r="E28" s="237"/>
      <c r="F28" s="237"/>
      <c r="G28" s="238"/>
      <c r="H28" s="238"/>
      <c r="I28" s="238"/>
      <c r="J28" s="238"/>
      <c r="K28" s="593" t="s">
        <v>762</v>
      </c>
      <c r="L28" s="232">
        <f>B27</f>
        <v>7</v>
      </c>
      <c r="M28" s="1725" t="str">
        <f>IF(P28&lt;&gt;"",ROUND(P28,0),IF(OR(K18="",K21="",M25="---"),"",ROUND(M26*M27,0)))</f>
        <v/>
      </c>
      <c r="N28" s="717"/>
      <c r="O28" s="266"/>
      <c r="P28" s="470"/>
      <c r="Q28" s="455"/>
      <c r="R28" s="5165"/>
    </row>
    <row r="29" spans="1:30" s="1068" customFormat="1" ht="15.75" customHeight="1">
      <c r="A29" s="82"/>
      <c r="B29" s="618" t="s">
        <v>130</v>
      </c>
      <c r="C29" s="7655" t="s">
        <v>1055</v>
      </c>
      <c r="D29" s="7656"/>
      <c r="E29" s="7657"/>
      <c r="F29" s="7657"/>
      <c r="G29" s="7657"/>
      <c r="H29" s="7657"/>
      <c r="I29" s="7657"/>
      <c r="J29" s="7657"/>
      <c r="K29" s="7657"/>
      <c r="L29" s="7657"/>
      <c r="M29" s="7657"/>
      <c r="N29" s="718"/>
      <c r="O29" s="619"/>
      <c r="P29" s="603"/>
      <c r="Q29" s="421"/>
      <c r="R29" s="5213"/>
      <c r="T29"/>
      <c r="U29"/>
      <c r="V29"/>
      <c r="W29" s="3169"/>
      <c r="X29" s="3169"/>
      <c r="Y29" s="3169"/>
      <c r="Z29" s="3169"/>
      <c r="AA29" s="3169"/>
      <c r="AB29" s="3169"/>
      <c r="AC29" s="3169"/>
      <c r="AD29" s="3169"/>
    </row>
    <row r="30" spans="1:30" s="1068" customFormat="1" ht="12" customHeight="1">
      <c r="A30" s="82"/>
      <c r="B30" s="161">
        <v>8</v>
      </c>
      <c r="C30" s="280" t="s">
        <v>1056</v>
      </c>
      <c r="D30" s="280"/>
      <c r="E30" s="237"/>
      <c r="F30" s="237"/>
      <c r="G30" s="238"/>
      <c r="H30" s="238"/>
      <c r="I30" s="238"/>
      <c r="J30" s="1747"/>
      <c r="K30" s="162"/>
      <c r="L30" s="232"/>
      <c r="M30" s="554"/>
      <c r="N30" s="716"/>
      <c r="O30" s="1688"/>
      <c r="P30" s="603"/>
      <c r="Q30" s="455"/>
      <c r="R30" s="5168">
        <f>IF('Sch. SE'!V50="",0,'Sch. SE'!V50)</f>
        <v>0</v>
      </c>
      <c r="T30"/>
      <c r="U30"/>
      <c r="V30"/>
      <c r="W30" s="3169"/>
      <c r="X30" s="3169"/>
      <c r="Y30" s="3169"/>
      <c r="Z30" s="3169"/>
      <c r="AA30" s="3169"/>
      <c r="AB30" s="3169"/>
      <c r="AC30" s="3169"/>
      <c r="AD30" s="3169"/>
    </row>
    <row r="31" spans="1:30" s="1068" customFormat="1" ht="12" customHeight="1">
      <c r="A31" s="82"/>
      <c r="B31" s="161"/>
      <c r="C31" s="280" t="s">
        <v>1057</v>
      </c>
      <c r="D31" s="280"/>
      <c r="E31" s="237"/>
      <c r="F31" s="237"/>
      <c r="G31" s="238"/>
      <c r="H31" s="238"/>
      <c r="I31" s="238"/>
      <c r="J31" s="732"/>
      <c r="K31" s="3071">
        <f>SUM(MAX(0,SUM(R30:R31)),MAX(0,SUM(R32:R33)))</f>
        <v>0</v>
      </c>
      <c r="L31" s="232"/>
      <c r="M31" s="604"/>
      <c r="N31" s="716"/>
      <c r="O31" s="1688"/>
      <c r="P31" s="603"/>
      <c r="Q31" s="455"/>
      <c r="R31" s="5168">
        <f>IF('Sch. SE'!V89="",0,'Sch. SE'!V89)</f>
        <v>0</v>
      </c>
      <c r="T31"/>
      <c r="U31"/>
      <c r="V31"/>
      <c r="W31" s="3169"/>
      <c r="X31" s="3169"/>
      <c r="Y31" s="3169"/>
      <c r="Z31" s="3169"/>
      <c r="AA31" s="3169"/>
      <c r="AB31" s="3169"/>
      <c r="AC31" s="3169"/>
      <c r="AD31" s="3169"/>
    </row>
    <row r="32" spans="1:30" ht="12" customHeight="1">
      <c r="A32" s="82"/>
      <c r="B32" s="162"/>
      <c r="C32" s="1748" t="s">
        <v>1058</v>
      </c>
      <c r="D32" s="185"/>
      <c r="E32" s="237"/>
      <c r="F32" s="237"/>
      <c r="G32" s="238"/>
      <c r="H32" s="162"/>
      <c r="I32" s="161" t="s">
        <v>1059</v>
      </c>
      <c r="J32" s="610">
        <f>B30</f>
        <v>8</v>
      </c>
      <c r="K32" s="1725" t="str">
        <f>IF(P32&lt;&gt;"",ROUND(P32,2),IF(NOT(P7),"",IF(K31&lt;=0,0,K31)))</f>
        <v/>
      </c>
      <c r="L32" s="736"/>
      <c r="M32" s="555"/>
      <c r="N32" s="717"/>
      <c r="O32" s="265"/>
      <c r="P32" s="470"/>
      <c r="Q32" s="32"/>
      <c r="R32" s="5168">
        <f>IF('Sch. SE'!V169="",0,'Sch. SE'!V169)</f>
        <v>0</v>
      </c>
    </row>
    <row r="33" spans="1:30" s="1068" customFormat="1" ht="12" customHeight="1">
      <c r="A33" s="82"/>
      <c r="B33" s="161">
        <v>9</v>
      </c>
      <c r="C33" s="280" t="s">
        <v>1051</v>
      </c>
      <c r="D33" s="280"/>
      <c r="E33" s="237"/>
      <c r="F33" s="237"/>
      <c r="G33" s="238"/>
      <c r="H33" s="238"/>
      <c r="I33" s="238"/>
      <c r="J33" s="1747"/>
      <c r="K33" s="162"/>
      <c r="L33" s="232"/>
      <c r="M33" s="555"/>
      <c r="N33" s="716"/>
      <c r="O33" s="1688"/>
      <c r="P33" s="603"/>
      <c r="Q33" s="455"/>
      <c r="R33" s="5168">
        <f>IF('Sch. SE'!V208="",0,'Sch. SE'!V208)</f>
        <v>0</v>
      </c>
      <c r="T33"/>
      <c r="U33"/>
      <c r="V33"/>
      <c r="W33" s="3169"/>
      <c r="X33" s="3169"/>
      <c r="Y33" s="3169"/>
      <c r="Z33" s="3169"/>
      <c r="AA33" s="3169"/>
      <c r="AB33" s="3169"/>
      <c r="AC33" s="3169"/>
      <c r="AD33" s="3169"/>
    </row>
    <row r="34" spans="1:30" s="1068" customFormat="1" ht="12" customHeight="1">
      <c r="A34" s="82"/>
      <c r="B34" s="161"/>
      <c r="C34" s="280" t="s">
        <v>539</v>
      </c>
      <c r="D34" s="280"/>
      <c r="E34" s="237"/>
      <c r="F34" s="161" t="s">
        <v>681</v>
      </c>
      <c r="G34" s="1745">
        <v>250000</v>
      </c>
      <c r="H34" s="238"/>
      <c r="I34" s="238"/>
      <c r="J34" s="732"/>
      <c r="K34" s="162"/>
      <c r="L34" s="232"/>
      <c r="M34" s="555"/>
      <c r="N34" s="716"/>
      <c r="O34" s="1688"/>
      <c r="P34" s="603"/>
      <c r="Q34" s="455"/>
      <c r="R34" s="5168"/>
      <c r="T34"/>
      <c r="U34"/>
      <c r="V34"/>
      <c r="W34" s="3169"/>
      <c r="X34" s="3169"/>
      <c r="Y34" s="3169"/>
      <c r="Z34" s="3169"/>
      <c r="AA34" s="3169"/>
      <c r="AB34" s="3169"/>
      <c r="AC34" s="3169"/>
      <c r="AD34" s="3169"/>
    </row>
    <row r="35" spans="1:30" s="1068" customFormat="1" ht="12" customHeight="1">
      <c r="A35" s="82"/>
      <c r="B35" s="161"/>
      <c r="C35" s="280" t="s">
        <v>309</v>
      </c>
      <c r="D35" s="280"/>
      <c r="E35" s="237"/>
      <c r="F35" s="161" t="s">
        <v>667</v>
      </c>
      <c r="G35" s="1745">
        <v>125000</v>
      </c>
      <c r="H35" s="238"/>
      <c r="I35" s="238"/>
      <c r="J35" s="732"/>
      <c r="K35" s="162"/>
      <c r="L35" s="232"/>
      <c r="M35" s="604"/>
      <c r="N35" s="716"/>
      <c r="O35" s="1688"/>
      <c r="P35" s="603"/>
      <c r="Q35" s="455"/>
      <c r="R35" s="5168"/>
      <c r="T35"/>
      <c r="U35"/>
      <c r="V35"/>
      <c r="W35" s="3169"/>
      <c r="X35" s="3169"/>
      <c r="Y35" s="3169"/>
      <c r="Z35" s="3169"/>
      <c r="AA35" s="3169"/>
      <c r="AB35" s="3169"/>
      <c r="AC35" s="3169"/>
      <c r="AD35" s="3169"/>
    </row>
    <row r="36" spans="1:30" ht="12" customHeight="1">
      <c r="A36" s="82"/>
      <c r="B36" s="162"/>
      <c r="C36" s="280" t="s">
        <v>4163</v>
      </c>
      <c r="D36" s="185"/>
      <c r="E36" s="237"/>
      <c r="F36" s="1152"/>
      <c r="G36" s="1745">
        <v>200000</v>
      </c>
      <c r="H36" s="162"/>
      <c r="I36" s="161"/>
      <c r="J36" s="610">
        <f>B33</f>
        <v>9</v>
      </c>
      <c r="K36" s="1725" t="str">
        <f>IF(OR($K$32="",NOT(P7)),"",IF(M36="---","Filing Status?",M36))</f>
        <v/>
      </c>
      <c r="L36" s="736"/>
      <c r="M36" s="1785" t="str">
        <f>IF(File_Marr_Joint&lt;&gt;"",G34,IF(File_Marr_Sep&lt;&gt;"",G35,IF(OR(File_Single&lt;&gt;"",File_Head&lt;&gt;"",File_Qual_Widow&lt;&gt;""),G36,"---")))</f>
        <v>---</v>
      </c>
      <c r="N36" s="717"/>
      <c r="O36" s="265"/>
      <c r="P36" s="603"/>
      <c r="Q36" s="32"/>
      <c r="R36" s="5168"/>
    </row>
    <row r="37" spans="1:30" ht="12" customHeight="1">
      <c r="A37" s="82"/>
      <c r="B37" s="162">
        <v>10</v>
      </c>
      <c r="C37" s="280" t="s">
        <v>1060</v>
      </c>
      <c r="D37" s="185"/>
      <c r="E37" s="237"/>
      <c r="F37" s="237"/>
      <c r="G37" s="238"/>
      <c r="H37" s="162"/>
      <c r="I37" s="161" t="s">
        <v>981</v>
      </c>
      <c r="J37" s="610">
        <f>B37</f>
        <v>10</v>
      </c>
      <c r="K37" s="1725" t="str">
        <f>IF(OR($K$32="",NOT(P7),M36="---"),"",IF(K21="",0,K21))</f>
        <v/>
      </c>
      <c r="L37" s="736"/>
      <c r="M37" s="555"/>
      <c r="N37" s="717"/>
      <c r="O37" s="265"/>
      <c r="P37" s="603"/>
      <c r="Q37" s="32"/>
      <c r="R37" s="5168"/>
    </row>
    <row r="38" spans="1:30" ht="12" customHeight="1">
      <c r="A38" s="82"/>
      <c r="B38" s="162">
        <v>11</v>
      </c>
      <c r="C38" s="280" t="s">
        <v>1061</v>
      </c>
      <c r="D38" s="185"/>
      <c r="E38" s="237"/>
      <c r="F38" s="237"/>
      <c r="G38" s="238"/>
      <c r="H38" s="162"/>
      <c r="I38" s="161" t="s">
        <v>625</v>
      </c>
      <c r="J38" s="610">
        <f>B38</f>
        <v>11</v>
      </c>
      <c r="K38" s="1725" t="str">
        <f>IF(OR($K$32="",NOT(P7),M36="---"),"",IF(K37&gt;=K36,0,SUM(K36,-K37)))</f>
        <v/>
      </c>
      <c r="L38" s="736"/>
      <c r="M38" s="1785">
        <f>SUM(K21,K32)</f>
        <v>0</v>
      </c>
      <c r="N38" s="717"/>
      <c r="O38" s="265"/>
      <c r="P38" s="603"/>
      <c r="Q38" s="32"/>
      <c r="R38" s="5168"/>
    </row>
    <row r="39" spans="1:30" ht="12.75" customHeight="1">
      <c r="A39" s="82"/>
      <c r="B39" s="161">
        <v>12</v>
      </c>
      <c r="C39" s="280" t="s">
        <v>1062</v>
      </c>
      <c r="D39" s="280"/>
      <c r="E39" s="237"/>
      <c r="F39" s="237"/>
      <c r="G39" s="238"/>
      <c r="H39" s="238"/>
      <c r="I39" s="238"/>
      <c r="J39" s="238"/>
      <c r="K39" s="593"/>
      <c r="L39" s="256">
        <f>B39</f>
        <v>12</v>
      </c>
      <c r="M39" s="1725" t="str">
        <f>IF(OR($K$32="",NOT(P7),M36="---"),"",IF(K38&gt;=K32,0,SUM(K32,-K38)))</f>
        <v/>
      </c>
      <c r="N39" s="717"/>
      <c r="O39" s="265"/>
      <c r="P39" s="603"/>
      <c r="Q39" s="455"/>
      <c r="R39" s="5168"/>
    </row>
    <row r="40" spans="1:30" s="1068" customFormat="1" ht="12" customHeight="1">
      <c r="A40" s="82"/>
      <c r="B40" s="161">
        <v>13</v>
      </c>
      <c r="C40" s="280" t="str">
        <f>"Additional Medicare Tax on self-employment income. Multiply line 12 by "&amp;TEXT(M40,"0.0%")&amp;" ("&amp;TEXT(M40,"0.000")&amp;").   Enter"</f>
        <v>Additional Medicare Tax on self-employment income. Multiply line 12 by 0.9% (0.009).   Enter</v>
      </c>
      <c r="D40" s="280"/>
      <c r="E40" s="237"/>
      <c r="F40" s="237"/>
      <c r="G40" s="238"/>
      <c r="H40" s="238"/>
      <c r="I40" s="238"/>
      <c r="J40" s="238"/>
      <c r="K40" s="162"/>
      <c r="L40" s="232"/>
      <c r="M40" s="1746">
        <v>8.9999999999999993E-3</v>
      </c>
      <c r="N40" s="716"/>
      <c r="O40" s="1688"/>
      <c r="P40" s="603"/>
      <c r="Q40" s="455"/>
      <c r="R40" s="5168"/>
      <c r="T40"/>
      <c r="U40"/>
      <c r="V40"/>
      <c r="W40" s="3169"/>
      <c r="X40" s="3169"/>
      <c r="Y40" s="3169"/>
      <c r="Z40" s="3169"/>
      <c r="AA40" s="3169"/>
      <c r="AB40" s="3169"/>
      <c r="AC40" s="3169"/>
      <c r="AD40" s="3169"/>
    </row>
    <row r="41" spans="1:30" ht="12.75" customHeight="1">
      <c r="A41" s="82"/>
      <c r="B41" s="161"/>
      <c r="C41" s="280" t="s">
        <v>1063</v>
      </c>
      <c r="D41" s="185"/>
      <c r="E41" s="237"/>
      <c r="F41" s="237"/>
      <c r="G41" s="238"/>
      <c r="H41" s="238"/>
      <c r="I41" s="238"/>
      <c r="J41" s="238"/>
      <c r="K41" s="1553" t="s">
        <v>341</v>
      </c>
      <c r="L41" s="232">
        <f>B40</f>
        <v>13</v>
      </c>
      <c r="M41" s="1725" t="str">
        <f>IF(OR($K$32="",NOT(P7),M36="---"),"",IF(P41&lt;&gt;"",P41,ROUND(M39*M40,0)))</f>
        <v/>
      </c>
      <c r="N41" s="717"/>
      <c r="O41" s="266"/>
      <c r="P41" s="470"/>
      <c r="Q41" s="455"/>
      <c r="R41" s="5165"/>
    </row>
    <row r="42" spans="1:30" s="1068" customFormat="1" ht="15.75" customHeight="1">
      <c r="A42" s="82"/>
      <c r="B42" s="618" t="s">
        <v>363</v>
      </c>
      <c r="C42" s="7655" t="s">
        <v>1064</v>
      </c>
      <c r="D42" s="7656"/>
      <c r="E42" s="7657"/>
      <c r="F42" s="7657"/>
      <c r="G42" s="7657"/>
      <c r="H42" s="7657"/>
      <c r="I42" s="7657"/>
      <c r="J42" s="7657"/>
      <c r="K42" s="7657"/>
      <c r="L42" s="7657"/>
      <c r="M42" s="7657"/>
      <c r="N42" s="718"/>
      <c r="O42" s="619"/>
      <c r="P42" s="603"/>
      <c r="Q42" s="421"/>
      <c r="R42" s="5168"/>
      <c r="T42"/>
      <c r="U42"/>
      <c r="V42"/>
      <c r="W42" s="3169"/>
      <c r="X42" s="3169"/>
      <c r="Y42" s="3169"/>
      <c r="Z42" s="3169"/>
      <c r="AA42" s="3169"/>
      <c r="AB42" s="3169"/>
      <c r="AC42" s="3169"/>
      <c r="AD42" s="3169"/>
    </row>
    <row r="43" spans="1:30" s="1068" customFormat="1" ht="12" customHeight="1">
      <c r="A43" s="82"/>
      <c r="B43" s="161">
        <v>14</v>
      </c>
      <c r="C43" s="403" t="s">
        <v>1065</v>
      </c>
      <c r="D43" s="280"/>
      <c r="E43" s="237"/>
      <c r="F43" s="237"/>
      <c r="G43" s="238"/>
      <c r="H43" s="238"/>
      <c r="I43" s="238"/>
      <c r="J43" s="1747"/>
      <c r="K43" s="162"/>
      <c r="L43" s="232"/>
      <c r="M43" s="554"/>
      <c r="N43" s="716"/>
      <c r="O43" s="1688"/>
      <c r="P43" s="603"/>
      <c r="Q43" s="455"/>
      <c r="R43" s="5168"/>
      <c r="T43"/>
      <c r="U43"/>
      <c r="V43"/>
      <c r="W43" s="3169"/>
      <c r="X43" s="3169"/>
      <c r="Y43" s="3169"/>
      <c r="Z43" s="3169"/>
      <c r="AA43" s="3169"/>
      <c r="AB43" s="3169"/>
      <c r="AC43" s="3169"/>
      <c r="AD43" s="3169"/>
    </row>
    <row r="44" spans="1:30" ht="12" customHeight="1">
      <c r="A44" s="82"/>
      <c r="B44" s="162"/>
      <c r="C44" s="4595" t="s">
        <v>1066</v>
      </c>
      <c r="D44" s="185"/>
      <c r="E44" s="237"/>
      <c r="F44" s="237"/>
      <c r="G44" s="238"/>
      <c r="H44" s="162"/>
      <c r="I44" s="161" t="s">
        <v>1059</v>
      </c>
      <c r="J44" s="610">
        <f>B43</f>
        <v>14</v>
      </c>
      <c r="K44" s="3056" t="str">
        <f>IF(P44&lt;&gt;"",ROUND(P44,0),IF(OR(NOT(P7),RRTA_Compensation=0),"",RRTA_Compensation))</f>
        <v/>
      </c>
      <c r="L44" s="736"/>
      <c r="M44" s="555"/>
      <c r="N44" s="717"/>
      <c r="O44" s="265"/>
      <c r="P44" s="470"/>
      <c r="Q44" s="32"/>
      <c r="R44" s="5168"/>
    </row>
    <row r="45" spans="1:30" s="1068" customFormat="1" ht="12" customHeight="1">
      <c r="A45" s="82"/>
      <c r="B45" s="161">
        <v>15</v>
      </c>
      <c r="C45" s="403" t="s">
        <v>1051</v>
      </c>
      <c r="D45" s="280"/>
      <c r="E45" s="237"/>
      <c r="F45" s="237"/>
      <c r="G45" s="238"/>
      <c r="H45" s="238"/>
      <c r="I45" s="238"/>
      <c r="J45" s="1747"/>
      <c r="K45" s="162"/>
      <c r="L45" s="232"/>
      <c r="M45" s="555"/>
      <c r="N45" s="716"/>
      <c r="O45" s="1688"/>
      <c r="P45" s="603"/>
      <c r="Q45" s="455"/>
      <c r="R45" s="5168"/>
      <c r="T45"/>
      <c r="U45"/>
      <c r="V45"/>
      <c r="W45" s="3169"/>
      <c r="X45" s="3169"/>
      <c r="Y45" s="3169"/>
      <c r="Z45" s="3169"/>
      <c r="AA45" s="3169"/>
      <c r="AB45" s="3169"/>
      <c r="AC45" s="3169"/>
      <c r="AD45" s="3169"/>
    </row>
    <row r="46" spans="1:30" s="1068" customFormat="1" ht="12" customHeight="1">
      <c r="A46" s="82"/>
      <c r="B46" s="161"/>
      <c r="C46" s="280" t="s">
        <v>539</v>
      </c>
      <c r="D46" s="280"/>
      <c r="E46" s="237"/>
      <c r="F46" s="161" t="s">
        <v>681</v>
      </c>
      <c r="G46" s="1745">
        <v>250000</v>
      </c>
      <c r="H46" s="238"/>
      <c r="I46" s="238"/>
      <c r="J46" s="732"/>
      <c r="K46" s="162"/>
      <c r="L46" s="232"/>
      <c r="M46" s="555"/>
      <c r="N46" s="716"/>
      <c r="O46" s="1688"/>
      <c r="P46" s="603"/>
      <c r="Q46" s="455"/>
      <c r="R46" s="5168"/>
      <c r="T46"/>
      <c r="U46"/>
      <c r="V46"/>
      <c r="W46" s="3169"/>
      <c r="X46" s="3169"/>
      <c r="Y46" s="3169"/>
      <c r="Z46" s="3169"/>
      <c r="AA46" s="3169"/>
      <c r="AB46" s="3169"/>
      <c r="AC46" s="3169"/>
      <c r="AD46" s="3169"/>
    </row>
    <row r="47" spans="1:30" s="1068" customFormat="1" ht="12" customHeight="1">
      <c r="A47" s="82"/>
      <c r="B47" s="161"/>
      <c r="C47" s="280" t="s">
        <v>309</v>
      </c>
      <c r="D47" s="280"/>
      <c r="E47" s="237"/>
      <c r="F47" s="161" t="s">
        <v>667</v>
      </c>
      <c r="G47" s="1745">
        <v>125000</v>
      </c>
      <c r="H47" s="238"/>
      <c r="I47" s="238"/>
      <c r="J47" s="732"/>
      <c r="K47" s="162"/>
      <c r="L47" s="232"/>
      <c r="M47" s="604"/>
      <c r="N47" s="716"/>
      <c r="O47" s="1688"/>
      <c r="P47" s="603"/>
      <c r="Q47" s="455"/>
      <c r="R47" s="5168"/>
      <c r="T47"/>
      <c r="U47"/>
      <c r="V47"/>
      <c r="W47" s="3169"/>
      <c r="X47" s="3169"/>
      <c r="Y47" s="3169"/>
      <c r="Z47" s="3169"/>
      <c r="AA47" s="3169"/>
      <c r="AB47" s="3169"/>
      <c r="AC47" s="3169"/>
      <c r="AD47" s="3169"/>
    </row>
    <row r="48" spans="1:30" ht="12" customHeight="1">
      <c r="A48" s="82"/>
      <c r="B48" s="162"/>
      <c r="C48" s="280" t="s">
        <v>1052</v>
      </c>
      <c r="D48" s="185"/>
      <c r="E48" s="237"/>
      <c r="F48" s="237"/>
      <c r="G48" s="1745">
        <v>200000</v>
      </c>
      <c r="H48" s="162"/>
      <c r="I48" s="161"/>
      <c r="J48" s="610">
        <f>B45</f>
        <v>15</v>
      </c>
      <c r="K48" s="1725" t="str">
        <f>IF(OR($K$44="",NOT(P7)),"",IF(M48="---","Filing Status?",M48))</f>
        <v/>
      </c>
      <c r="L48" s="736"/>
      <c r="M48" s="1785" t="str">
        <f>IF(File_Marr_Joint&lt;&gt;"",G46,IF(File_Marr_Sep&lt;&gt;"",G47,IF(OR(File_Single&lt;&gt;"",File_Head&lt;&gt;"",File_Qual_Widow&lt;&gt;""),G48,"---")))</f>
        <v>---</v>
      </c>
      <c r="N48" s="717"/>
      <c r="O48" s="265"/>
      <c r="P48" s="603"/>
      <c r="Q48" s="32"/>
      <c r="R48" s="5168"/>
    </row>
    <row r="49" spans="1:30" ht="12.75" customHeight="1">
      <c r="A49" s="82"/>
      <c r="B49" s="161">
        <v>16</v>
      </c>
      <c r="C49" s="280" t="s">
        <v>1067</v>
      </c>
      <c r="D49" s="280"/>
      <c r="E49" s="237"/>
      <c r="F49" s="237"/>
      <c r="G49" s="238"/>
      <c r="H49" s="238"/>
      <c r="I49" s="238"/>
      <c r="J49" s="238"/>
      <c r="K49" s="1553" t="s">
        <v>680</v>
      </c>
      <c r="L49" s="256">
        <f>B49</f>
        <v>16</v>
      </c>
      <c r="M49" s="1725" t="str">
        <f>IF(OR($K$44="",NOT(P7),M48="---"),"",IF(OR(K44="",K48&gt;=K44),0,SUM(K44,-K48)))</f>
        <v/>
      </c>
      <c r="N49" s="717"/>
      <c r="O49" s="265"/>
      <c r="P49" s="603"/>
      <c r="Q49" s="455"/>
      <c r="R49" s="5168"/>
    </row>
    <row r="50" spans="1:30" s="1068" customFormat="1" ht="12" customHeight="1">
      <c r="A50" s="82"/>
      <c r="B50" s="161">
        <v>17</v>
      </c>
      <c r="C50" s="403" t="s">
        <v>1068</v>
      </c>
      <c r="D50" s="280"/>
      <c r="E50" s="237"/>
      <c r="F50" s="237"/>
      <c r="G50" s="238"/>
      <c r="H50" s="238"/>
      <c r="I50" s="238"/>
      <c r="J50" s="238"/>
      <c r="K50" s="162"/>
      <c r="L50" s="232"/>
      <c r="M50" s="1746">
        <v>8.9999999999999993E-3</v>
      </c>
      <c r="N50" s="716"/>
      <c r="O50" s="1688"/>
      <c r="P50" s="603"/>
      <c r="Q50" s="455"/>
      <c r="R50" s="5168"/>
      <c r="T50"/>
      <c r="U50"/>
      <c r="V50"/>
      <c r="W50" s="3169"/>
      <c r="X50" s="3169"/>
      <c r="Y50" s="3169"/>
      <c r="Z50" s="3169"/>
      <c r="AA50" s="3169"/>
      <c r="AB50" s="3169"/>
      <c r="AC50" s="3169"/>
      <c r="AD50" s="3169"/>
    </row>
    <row r="51" spans="1:30" ht="12.75" customHeight="1">
      <c r="A51" s="82"/>
      <c r="B51" s="161"/>
      <c r="C51" s="403" t="str">
        <f>TEXT(M50,"0.0%")&amp;" ("&amp;TEXT(M50,"0.000")&amp;"). Enter here and go to Part IV"</f>
        <v>0.9% (0.009). Enter here and go to Part IV</v>
      </c>
      <c r="D51" s="185"/>
      <c r="E51" s="237"/>
      <c r="F51" s="237"/>
      <c r="G51" s="238"/>
      <c r="H51" s="238"/>
      <c r="I51" s="238"/>
      <c r="J51" s="238"/>
      <c r="K51" s="593" t="s">
        <v>676</v>
      </c>
      <c r="L51" s="232">
        <f>B50</f>
        <v>17</v>
      </c>
      <c r="M51" s="1725" t="str">
        <f>IF(OR($K$44="",NOT(P7),M48="---"),"",IF(P51&lt;&gt;"",P51,ROUND(M49*M50,0)))</f>
        <v/>
      </c>
      <c r="N51" s="717"/>
      <c r="O51" s="266"/>
      <c r="P51" s="470"/>
      <c r="Q51" s="455"/>
      <c r="R51" s="5165"/>
    </row>
    <row r="52" spans="1:30" s="1068" customFormat="1" ht="15.75" customHeight="1">
      <c r="A52" s="82"/>
      <c r="B52" s="618" t="s">
        <v>546</v>
      </c>
      <c r="C52" s="7655" t="s">
        <v>1069</v>
      </c>
      <c r="D52" s="7656"/>
      <c r="E52" s="7657"/>
      <c r="F52" s="7657"/>
      <c r="G52" s="7657"/>
      <c r="H52" s="7657"/>
      <c r="I52" s="7657"/>
      <c r="J52" s="7657"/>
      <c r="K52" s="7657"/>
      <c r="L52" s="7657"/>
      <c r="M52" s="7657"/>
      <c r="N52" s="718"/>
      <c r="O52" s="619"/>
      <c r="P52" s="603"/>
      <c r="Q52" s="421"/>
      <c r="R52" s="5168"/>
      <c r="T52"/>
      <c r="U52"/>
      <c r="V52"/>
      <c r="W52" s="3169"/>
      <c r="X52" s="3169"/>
      <c r="Y52" s="3169"/>
      <c r="Z52" s="3169"/>
      <c r="AA52" s="3169"/>
      <c r="AB52" s="3169"/>
      <c r="AC52" s="3169"/>
      <c r="AD52" s="3169"/>
    </row>
    <row r="53" spans="1:30" s="1068" customFormat="1" ht="12" customHeight="1">
      <c r="A53" s="82"/>
      <c r="B53" s="161">
        <v>18</v>
      </c>
      <c r="C53" s="280" t="s">
        <v>3305</v>
      </c>
      <c r="D53" s="280"/>
      <c r="E53" s="237"/>
      <c r="F53" s="280" t="s">
        <v>4164</v>
      </c>
      <c r="G53" s="238"/>
      <c r="H53" s="238"/>
      <c r="I53" s="238"/>
      <c r="J53" s="238"/>
      <c r="K53" s="162"/>
      <c r="L53" s="232"/>
      <c r="M53" s="1746">
        <v>8.9999999999999993E-3</v>
      </c>
      <c r="N53" s="716"/>
      <c r="O53" s="1688"/>
      <c r="P53" s="603"/>
      <c r="Q53" s="455"/>
      <c r="R53" s="5168"/>
      <c r="T53"/>
      <c r="U53"/>
      <c r="V53"/>
      <c r="W53" s="3169"/>
      <c r="X53" s="3169"/>
      <c r="Y53" s="3169"/>
      <c r="Z53" s="3169"/>
      <c r="AA53" s="3169"/>
      <c r="AB53" s="3169"/>
      <c r="AC53" s="3169"/>
      <c r="AD53" s="3169"/>
    </row>
    <row r="54" spans="1:30" ht="12.75" customHeight="1">
      <c r="A54" s="82"/>
      <c r="B54" s="161"/>
      <c r="C54" s="280" t="s">
        <v>3304</v>
      </c>
      <c r="D54" s="185"/>
      <c r="E54" s="237"/>
      <c r="F54" s="237"/>
      <c r="G54" s="238"/>
      <c r="H54" s="238"/>
      <c r="I54" s="238"/>
      <c r="J54" s="238"/>
      <c r="K54" s="1553" t="s">
        <v>625</v>
      </c>
      <c r="L54" s="232">
        <f>B53</f>
        <v>18</v>
      </c>
      <c r="M54" s="1725" t="str">
        <f>IF(P54&lt;&gt;"",ROUND(P54,0),IF(OR(NOT(P7),AND(M28="",M41="",M51="")),"",SUM(M28,M41,M51)))</f>
        <v/>
      </c>
      <c r="N54" s="717"/>
      <c r="O54" s="266"/>
      <c r="P54" s="470"/>
      <c r="Q54" s="455"/>
      <c r="R54" s="5165"/>
    </row>
    <row r="55" spans="1:30" s="1068" customFormat="1" ht="15.75" customHeight="1">
      <c r="A55" s="82"/>
      <c r="B55" s="618" t="s">
        <v>135</v>
      </c>
      <c r="C55" s="7655" t="s">
        <v>1070</v>
      </c>
      <c r="D55" s="7656"/>
      <c r="E55" s="7657"/>
      <c r="F55" s="7657"/>
      <c r="G55" s="7657"/>
      <c r="H55" s="7657"/>
      <c r="I55" s="7657"/>
      <c r="J55" s="7657"/>
      <c r="K55" s="7657"/>
      <c r="L55" s="7657"/>
      <c r="M55" s="7657"/>
      <c r="N55" s="718"/>
      <c r="O55" s="619"/>
      <c r="P55" s="603"/>
      <c r="Q55" s="421"/>
      <c r="R55" s="5168"/>
      <c r="T55"/>
      <c r="U55"/>
      <c r="V55"/>
      <c r="W55" s="3169"/>
      <c r="X55" s="3169"/>
      <c r="Y55" s="3169"/>
      <c r="Z55" s="3169"/>
      <c r="AA55" s="3169"/>
      <c r="AB55" s="3169"/>
      <c r="AC55" s="3169"/>
      <c r="AD55" s="3169"/>
    </row>
    <row r="56" spans="1:30" s="1068" customFormat="1" ht="12" customHeight="1">
      <c r="A56" s="82"/>
      <c r="B56" s="161">
        <v>19</v>
      </c>
      <c r="C56" s="403" t="s">
        <v>4165</v>
      </c>
      <c r="D56" s="280"/>
      <c r="E56" s="237"/>
      <c r="F56" s="237"/>
      <c r="G56" s="238"/>
      <c r="H56" s="238"/>
      <c r="I56" s="238"/>
      <c r="J56" s="1747"/>
      <c r="K56" s="162"/>
      <c r="L56" s="232"/>
      <c r="M56" s="554"/>
      <c r="N56" s="716"/>
      <c r="O56" s="1688"/>
      <c r="P56" s="603"/>
      <c r="Q56" s="455"/>
      <c r="R56" s="5168"/>
      <c r="T56"/>
      <c r="U56"/>
      <c r="V56"/>
      <c r="W56" s="3169"/>
      <c r="X56" s="3169"/>
      <c r="Y56" s="3169"/>
      <c r="Z56" s="3169"/>
      <c r="AA56" s="3169"/>
      <c r="AB56" s="3169"/>
      <c r="AC56" s="3169"/>
      <c r="AD56" s="3169"/>
    </row>
    <row r="57" spans="1:30" s="1068" customFormat="1" ht="12" customHeight="1">
      <c r="A57" s="82"/>
      <c r="B57" s="161"/>
      <c r="C57" s="403" t="s">
        <v>1046</v>
      </c>
      <c r="D57" s="280"/>
      <c r="E57" s="237"/>
      <c r="F57" s="237"/>
      <c r="G57" s="238"/>
      <c r="H57" s="238"/>
      <c r="I57" s="238"/>
      <c r="J57" s="732"/>
      <c r="K57" s="162"/>
      <c r="L57" s="232"/>
      <c r="M57" s="604"/>
      <c r="N57" s="716"/>
      <c r="O57" s="1688"/>
      <c r="P57" s="603"/>
      <c r="Q57" s="455"/>
      <c r="R57" s="5168"/>
      <c r="T57"/>
      <c r="U57"/>
      <c r="V57"/>
      <c r="W57" s="3169"/>
      <c r="X57" s="3169"/>
      <c r="Y57" s="3169"/>
      <c r="Z57" s="3169"/>
      <c r="AA57" s="3169"/>
      <c r="AB57" s="3169"/>
      <c r="AC57" s="3169"/>
      <c r="AD57" s="3169"/>
    </row>
    <row r="58" spans="1:30" ht="12" customHeight="1">
      <c r="A58" s="82"/>
      <c r="B58" s="162"/>
      <c r="C58" s="4595" t="s">
        <v>1071</v>
      </c>
      <c r="D58" s="185"/>
      <c r="E58" s="237"/>
      <c r="F58" s="237"/>
      <c r="G58" s="238"/>
      <c r="H58" s="162"/>
      <c r="I58" s="1553" t="s">
        <v>104</v>
      </c>
      <c r="J58" s="610">
        <f>B56</f>
        <v>19</v>
      </c>
      <c r="K58" s="1725" t="str">
        <f>IF(P58&lt;&gt;"",ROUND(P58,0),IF(OR(NOT(P7),MedCare_Tax_Withheld=0),"",MedCare_Tax_Withheld))</f>
        <v/>
      </c>
      <c r="L58" s="736"/>
      <c r="M58" s="555"/>
      <c r="N58" s="717"/>
      <c r="O58" s="265"/>
      <c r="P58" s="470"/>
      <c r="Q58" s="32"/>
      <c r="R58" s="5168"/>
    </row>
    <row r="59" spans="1:30" ht="12" customHeight="1">
      <c r="A59" s="82"/>
      <c r="B59" s="162">
        <v>20</v>
      </c>
      <c r="C59" s="403" t="s">
        <v>1072</v>
      </c>
      <c r="D59" s="185"/>
      <c r="E59" s="237"/>
      <c r="F59" s="237"/>
      <c r="G59" s="238"/>
      <c r="H59" s="162"/>
      <c r="I59" s="161" t="s">
        <v>677</v>
      </c>
      <c r="J59" s="610">
        <f>B59</f>
        <v>20</v>
      </c>
      <c r="K59" s="1725" t="str">
        <f>K18</f>
        <v/>
      </c>
      <c r="L59" s="736"/>
      <c r="M59" s="555"/>
      <c r="N59" s="717"/>
      <c r="O59" s="265"/>
      <c r="P59" s="603"/>
      <c r="Q59" s="32"/>
      <c r="R59" s="5168"/>
    </row>
    <row r="60" spans="1:30" s="1068" customFormat="1" ht="12" customHeight="1">
      <c r="A60" s="82"/>
      <c r="B60" s="161">
        <v>21</v>
      </c>
      <c r="C60" s="403" t="str">
        <f>"Multiply line 20 by "&amp;TEXT(K60,"0.00%")&amp;" ("&amp;TEXT(K60,"0.0000")&amp;"). This is your regular"</f>
        <v>Multiply line 20 by 1.45% (0.0145). This is your regular</v>
      </c>
      <c r="D60" s="280"/>
      <c r="E60" s="237"/>
      <c r="F60" s="237"/>
      <c r="G60" s="238"/>
      <c r="H60" s="238"/>
      <c r="I60" s="238"/>
      <c r="J60" s="1747"/>
      <c r="K60" s="1749">
        <v>1.4500000000000001E-2</v>
      </c>
      <c r="L60" s="232"/>
      <c r="M60" s="604"/>
      <c r="N60" s="716"/>
      <c r="O60" s="1688"/>
      <c r="P60" s="603"/>
      <c r="Q60" s="455"/>
      <c r="R60" s="5168"/>
      <c r="T60"/>
      <c r="U60"/>
      <c r="V60"/>
      <c r="W60" s="3169"/>
      <c r="X60" s="3169"/>
      <c r="Y60" s="3169"/>
      <c r="Z60" s="3169"/>
      <c r="AA60" s="3169"/>
      <c r="AB60" s="3169"/>
      <c r="AC60" s="3169"/>
      <c r="AD60" s="3169"/>
    </row>
    <row r="61" spans="1:30" ht="12" customHeight="1">
      <c r="A61" s="82"/>
      <c r="B61" s="162"/>
      <c r="C61" s="4595" t="s">
        <v>1073</v>
      </c>
      <c r="D61" s="185"/>
      <c r="E61" s="237"/>
      <c r="F61" s="237"/>
      <c r="G61" s="238"/>
      <c r="H61" s="162"/>
      <c r="I61" s="161" t="s">
        <v>667</v>
      </c>
      <c r="J61" s="610">
        <f>B60</f>
        <v>21</v>
      </c>
      <c r="K61" s="1725" t="str">
        <f>IF(OR(K59="",NOT(P7)),"",ROUND(K59*K60,0))</f>
        <v/>
      </c>
      <c r="L61" s="736"/>
      <c r="M61" s="555"/>
      <c r="N61" s="717"/>
      <c r="O61" s="265"/>
      <c r="P61" s="603"/>
      <c r="Q61" s="32"/>
      <c r="R61" s="5168"/>
    </row>
    <row r="62" spans="1:30" s="1068" customFormat="1" ht="12" customHeight="1">
      <c r="A62" s="82"/>
      <c r="B62" s="161">
        <v>22</v>
      </c>
      <c r="C62" s="403" t="s">
        <v>4166</v>
      </c>
      <c r="D62" s="280"/>
      <c r="E62" s="237"/>
      <c r="F62" s="237"/>
      <c r="G62" s="238"/>
      <c r="H62" s="238"/>
      <c r="I62" s="238"/>
      <c r="J62" s="238"/>
      <c r="K62" s="162"/>
      <c r="L62" s="232"/>
      <c r="M62" s="1746">
        <v>8.9999999999999993E-3</v>
      </c>
      <c r="N62" s="716"/>
      <c r="O62" s="1688"/>
      <c r="P62" s="603"/>
      <c r="Q62" s="455"/>
      <c r="R62" s="5168"/>
      <c r="T62"/>
      <c r="U62"/>
      <c r="V62"/>
      <c r="W62" s="3169"/>
      <c r="X62" s="3169"/>
      <c r="Y62" s="3169"/>
      <c r="Z62" s="3169"/>
      <c r="AA62" s="3169"/>
      <c r="AB62" s="3169"/>
      <c r="AC62" s="3169"/>
      <c r="AD62" s="3169"/>
    </row>
    <row r="63" spans="1:30" ht="12.75" customHeight="1">
      <c r="A63" s="82"/>
      <c r="B63" s="161"/>
      <c r="C63" s="403" t="s">
        <v>4167</v>
      </c>
      <c r="D63" s="185"/>
      <c r="E63" s="237"/>
      <c r="F63" s="237"/>
      <c r="G63" s="238"/>
      <c r="H63" s="238"/>
      <c r="I63" s="238"/>
      <c r="J63" s="238"/>
      <c r="K63" s="1553" t="s">
        <v>1311</v>
      </c>
      <c r="L63" s="232">
        <f>B62</f>
        <v>22</v>
      </c>
      <c r="M63" s="1725" t="str">
        <f>IF(OR(NOT(P7),K58="",K61=""),"",MAX(0,SUM(K58,-K61)))</f>
        <v/>
      </c>
      <c r="N63" s="717"/>
      <c r="O63" s="266"/>
      <c r="P63" s="603"/>
      <c r="Q63" s="455"/>
      <c r="R63" s="5165"/>
    </row>
    <row r="64" spans="1:30" s="1068" customFormat="1" ht="12" customHeight="1">
      <c r="A64" s="82"/>
      <c r="B64" s="161">
        <v>23</v>
      </c>
      <c r="C64" s="403" t="s">
        <v>1074</v>
      </c>
      <c r="D64" s="280"/>
      <c r="E64" s="237"/>
      <c r="F64" s="237"/>
      <c r="G64" s="238"/>
      <c r="H64" s="238"/>
      <c r="I64" s="238"/>
      <c r="J64" s="238"/>
      <c r="K64" s="162"/>
      <c r="L64" s="232"/>
      <c r="M64" s="1746">
        <v>8.9999999999999993E-3</v>
      </c>
      <c r="N64" s="716"/>
      <c r="O64" s="1688"/>
      <c r="P64" s="603"/>
      <c r="Q64" s="455"/>
      <c r="R64" s="5168"/>
      <c r="T64"/>
      <c r="U64"/>
      <c r="V64"/>
      <c r="W64" s="3169"/>
      <c r="X64" s="3169"/>
      <c r="Y64" s="3169"/>
      <c r="Z64" s="3169"/>
      <c r="AA64" s="3169"/>
      <c r="AB64" s="3169"/>
      <c r="AC64" s="3169"/>
      <c r="AD64" s="3169"/>
    </row>
    <row r="65" spans="1:30" ht="12.75" customHeight="1">
      <c r="A65" s="82"/>
      <c r="B65" s="161"/>
      <c r="C65" s="403" t="s">
        <v>1075</v>
      </c>
      <c r="D65" s="185"/>
      <c r="E65" s="237"/>
      <c r="F65" s="237"/>
      <c r="G65" s="238"/>
      <c r="H65" s="238"/>
      <c r="I65" s="238"/>
      <c r="J65" s="238"/>
      <c r="K65" s="1553" t="s">
        <v>1311</v>
      </c>
      <c r="L65" s="232">
        <f>B64</f>
        <v>23</v>
      </c>
      <c r="M65" s="3056" t="str">
        <f>IF(P65&lt;&gt;"",ROUND(P65,0),IF(OR(NOT(P7),RRTA_TaxWH=0),"",RRTA_TaxWH))</f>
        <v/>
      </c>
      <c r="N65" s="717"/>
      <c r="O65" s="266"/>
      <c r="P65" s="470"/>
      <c r="Q65" s="455"/>
      <c r="R65" s="5165"/>
    </row>
    <row r="66" spans="1:30" s="1068" customFormat="1" ht="12" customHeight="1">
      <c r="A66" s="82"/>
      <c r="B66" s="161">
        <v>24</v>
      </c>
      <c r="C66" s="403" t="s">
        <v>4168</v>
      </c>
      <c r="D66" s="280"/>
      <c r="E66" s="237"/>
      <c r="F66" s="237"/>
      <c r="G66" s="238"/>
      <c r="H66" s="238"/>
      <c r="I66" s="238"/>
      <c r="J66" s="238"/>
      <c r="K66" s="162"/>
      <c r="L66" s="232"/>
      <c r="M66" s="1746">
        <v>8.9999999999999993E-3</v>
      </c>
      <c r="N66" s="716"/>
      <c r="O66" s="1688"/>
      <c r="P66" s="603"/>
      <c r="Q66" s="455"/>
      <c r="R66" s="5168"/>
      <c r="T66"/>
      <c r="U66"/>
      <c r="V66"/>
      <c r="W66" s="3169"/>
      <c r="X66" s="3169"/>
      <c r="Y66" s="3169"/>
      <c r="Z66" s="3169"/>
      <c r="AA66" s="3169"/>
      <c r="AB66" s="3169"/>
      <c r="AC66" s="3169"/>
      <c r="AD66" s="3169"/>
    </row>
    <row r="67" spans="1:30" s="1068" customFormat="1" ht="12" customHeight="1">
      <c r="A67" s="82"/>
      <c r="B67" s="161"/>
      <c r="C67" s="403" t="s">
        <v>4170</v>
      </c>
      <c r="D67" s="280"/>
      <c r="E67" s="237"/>
      <c r="F67" s="237"/>
      <c r="G67" s="238"/>
      <c r="H67" s="238"/>
      <c r="I67" s="238"/>
      <c r="J67" s="238"/>
      <c r="K67" s="162"/>
      <c r="L67" s="232"/>
      <c r="M67" s="1746"/>
      <c r="N67" s="716"/>
      <c r="O67" s="1688"/>
      <c r="P67" s="603"/>
      <c r="Q67" s="455"/>
      <c r="R67" s="5168"/>
      <c r="T67"/>
      <c r="U67"/>
      <c r="V67"/>
      <c r="W67" s="3169"/>
      <c r="X67" s="3169"/>
      <c r="Y67" s="3169"/>
      <c r="Z67" s="3169"/>
      <c r="AA67" s="3169"/>
      <c r="AB67" s="3169"/>
      <c r="AC67" s="3169"/>
      <c r="AD67" s="3169"/>
    </row>
    <row r="68" spans="1:30" ht="12.75" customHeight="1" thickBot="1">
      <c r="A68" s="82"/>
      <c r="B68" s="161"/>
      <c r="C68" s="403" t="s">
        <v>4169</v>
      </c>
      <c r="D68" s="185"/>
      <c r="E68" s="237"/>
      <c r="F68" s="237"/>
      <c r="G68" s="238"/>
      <c r="H68" s="238"/>
      <c r="I68" s="238"/>
      <c r="J68" s="238"/>
      <c r="K68" s="1553" t="s">
        <v>1311</v>
      </c>
      <c r="L68" s="232">
        <f>B66</f>
        <v>24</v>
      </c>
      <c r="M68" s="1725">
        <f>IF(P68&lt;&gt;"",ROUND(P68,0),IF(OR(NOT(P7),F8959_Tax=""),0,ROUND(SUM(M63,M65),0)))</f>
        <v>0</v>
      </c>
      <c r="N68" s="717"/>
      <c r="O68" s="1688"/>
      <c r="P68" s="470"/>
      <c r="Q68" s="455"/>
      <c r="R68" s="5165"/>
    </row>
    <row r="69" spans="1:30" s="244" customFormat="1" ht="15" customHeight="1">
      <c r="A69" s="82"/>
      <c r="B69" s="166" t="s">
        <v>564</v>
      </c>
      <c r="C69" s="272"/>
      <c r="D69" s="272"/>
      <c r="E69" s="272"/>
      <c r="F69" s="272"/>
      <c r="G69" s="605"/>
      <c r="H69" s="606"/>
      <c r="I69" s="605"/>
      <c r="J69" s="743" t="s">
        <v>1077</v>
      </c>
      <c r="K69" s="605"/>
      <c r="L69" s="607" t="s">
        <v>1076</v>
      </c>
      <c r="M69" s="1100" t="str">
        <f>"  ("&amp;TaxYear&amp;")"</f>
        <v xml:space="preserve">  (2018)</v>
      </c>
      <c r="N69" s="723"/>
      <c r="O69" s="1688"/>
      <c r="P69" s="603"/>
      <c r="Q69" s="32"/>
      <c r="R69" s="5168"/>
      <c r="S69" s="1068"/>
      <c r="T69"/>
      <c r="U69"/>
      <c r="V69"/>
      <c r="W69" s="3169"/>
      <c r="X69" s="3169"/>
      <c r="Y69" s="3169"/>
      <c r="Z69" s="3169"/>
      <c r="AA69" s="3169"/>
      <c r="AB69" s="3169"/>
      <c r="AC69" s="3169"/>
      <c r="AD69" s="3169"/>
    </row>
    <row r="70" spans="1:30" s="244" customFormat="1" ht="15" customHeight="1">
      <c r="A70" s="82"/>
      <c r="B70" s="726"/>
      <c r="C70" s="613"/>
      <c r="D70" s="613"/>
      <c r="E70" s="82"/>
      <c r="F70" s="82"/>
      <c r="G70" s="82"/>
      <c r="H70" s="82"/>
      <c r="I70" s="82"/>
      <c r="J70" s="727"/>
      <c r="K70" s="727"/>
      <c r="L70" s="727"/>
      <c r="M70" s="727"/>
      <c r="N70" s="724"/>
      <c r="O70" s="1688"/>
      <c r="P70" s="603"/>
      <c r="Q70" s="242"/>
      <c r="R70" s="5168"/>
      <c r="S70" s="1068"/>
      <c r="T70"/>
      <c r="U70"/>
      <c r="V70"/>
      <c r="W70" s="3169"/>
      <c r="X70" s="3169"/>
      <c r="Y70" s="3169"/>
      <c r="Z70" s="3169"/>
      <c r="AA70" s="3169"/>
      <c r="AB70" s="3169"/>
      <c r="AC70" s="3169"/>
      <c r="AD70" s="3169"/>
    </row>
    <row r="71" spans="1:30" s="244" customFormat="1" ht="23.25" customHeight="1">
      <c r="A71" s="46"/>
      <c r="B71" s="154"/>
      <c r="C71" s="268"/>
      <c r="D71" s="268"/>
      <c r="E71" s="46"/>
      <c r="F71" s="46"/>
      <c r="G71" s="46"/>
      <c r="H71" s="46"/>
      <c r="I71" s="46"/>
      <c r="J71" s="273"/>
      <c r="K71" s="273"/>
      <c r="L71" s="273"/>
      <c r="M71" s="273"/>
      <c r="N71" s="611"/>
      <c r="O71"/>
      <c r="P71" s="612"/>
      <c r="Q71" s="242"/>
      <c r="R71" s="5168"/>
      <c r="S71" s="1068"/>
      <c r="T71"/>
      <c r="U71"/>
      <c r="V71"/>
      <c r="W71" s="3169"/>
      <c r="X71" s="3169"/>
      <c r="Y71" s="3169"/>
      <c r="Z71" s="3169"/>
      <c r="AA71" s="3169"/>
      <c r="AB71" s="3169"/>
      <c r="AC71" s="3169"/>
      <c r="AD71" s="3169"/>
    </row>
    <row r="72" spans="1:30" s="244" customFormat="1" ht="24" customHeight="1" thickBot="1">
      <c r="A72" s="46"/>
      <c r="B72" s="154"/>
      <c r="C72" s="268"/>
      <c r="D72" s="268"/>
      <c r="E72" s="46"/>
      <c r="F72" s="46"/>
      <c r="G72" s="46"/>
      <c r="H72" s="46"/>
      <c r="I72" s="46"/>
      <c r="J72" s="273"/>
      <c r="K72" s="273"/>
      <c r="L72" s="273"/>
      <c r="M72" s="273"/>
      <c r="N72" s="611"/>
      <c r="O72"/>
      <c r="P72" s="612"/>
      <c r="Q72" s="5"/>
      <c r="R72" s="5167"/>
      <c r="S72" s="1068"/>
      <c r="T72"/>
      <c r="U72"/>
      <c r="V72"/>
      <c r="W72" s="3169"/>
      <c r="X72" s="3169"/>
      <c r="Y72" s="3169"/>
      <c r="Z72" s="3169"/>
      <c r="AA72" s="3169"/>
      <c r="AB72" s="3169"/>
      <c r="AC72" s="3169"/>
      <c r="AD72" s="3169"/>
    </row>
    <row r="73" spans="1:30" s="244" customFormat="1" ht="15" customHeight="1" thickTop="1" thickBot="1">
      <c r="A73" s="46"/>
      <c r="B73" s="154"/>
      <c r="C73" s="7632" t="s">
        <v>1078</v>
      </c>
      <c r="D73" s="7633"/>
      <c r="E73" s="7633"/>
      <c r="F73" s="7633"/>
      <c r="G73" s="7634"/>
      <c r="H73" s="273"/>
      <c r="I73" s="273"/>
      <c r="J73"/>
      <c r="K73"/>
      <c r="L73" s="273"/>
      <c r="M73" s="273"/>
      <c r="N73" s="273"/>
      <c r="O73"/>
      <c r="P73" s="5"/>
      <c r="Q73" s="5"/>
      <c r="R73" s="5167"/>
      <c r="S73" s="1068"/>
      <c r="T73"/>
      <c r="U73"/>
      <c r="V73"/>
      <c r="W73" s="3169"/>
      <c r="X73" s="3169"/>
      <c r="Y73" s="3169"/>
      <c r="Z73" s="3169"/>
      <c r="AA73" s="3169"/>
      <c r="AB73" s="3169"/>
      <c r="AC73" s="3169"/>
      <c r="AD73" s="3169"/>
    </row>
    <row r="74" spans="1:30" s="244" customFormat="1" ht="8.25" customHeight="1" thickTop="1" thickBot="1">
      <c r="A74" s="46"/>
      <c r="B74" s="154"/>
      <c r="C74" s="268"/>
      <c r="D74" s="268"/>
      <c r="E74" s="46"/>
      <c r="F74" s="46"/>
      <c r="G74" s="273"/>
      <c r="H74" s="273"/>
      <c r="I74" s="273"/>
      <c r="J74"/>
      <c r="K74"/>
      <c r="L74" s="273"/>
      <c r="M74" s="273"/>
      <c r="N74" s="273"/>
      <c r="O74"/>
      <c r="P74" s="5"/>
      <c r="Q74" s="5"/>
      <c r="R74" s="5167"/>
      <c r="S74" s="1068"/>
      <c r="T74"/>
      <c r="U74"/>
      <c r="V74"/>
      <c r="W74" s="3169"/>
      <c r="X74" s="3169"/>
      <c r="Y74" s="3169"/>
      <c r="Z74" s="3169"/>
      <c r="AA74" s="3169"/>
      <c r="AB74" s="3169"/>
      <c r="AC74" s="3169"/>
      <c r="AD74" s="3169"/>
    </row>
    <row r="75" spans="1:30" s="244" customFormat="1" ht="17.25" customHeight="1" thickTop="1" thickBot="1">
      <c r="A75" s="46"/>
      <c r="B75" s="154"/>
      <c r="C75" s="7632" t="s">
        <v>1079</v>
      </c>
      <c r="D75" s="7633"/>
      <c r="E75" s="7633"/>
      <c r="F75" s="7633"/>
      <c r="G75" s="7634"/>
      <c r="H75" s="273"/>
      <c r="I75" s="273"/>
      <c r="J75"/>
      <c r="K75"/>
      <c r="L75" s="273"/>
      <c r="M75" s="273"/>
      <c r="N75" s="273"/>
      <c r="O75"/>
      <c r="P75" s="5"/>
      <c r="Q75"/>
      <c r="R75" s="5163"/>
      <c r="S75" s="1068"/>
      <c r="T75"/>
      <c r="U75"/>
      <c r="V75"/>
      <c r="W75" s="3169"/>
      <c r="X75" s="3169"/>
      <c r="Y75" s="3169"/>
      <c r="Z75" s="3169"/>
      <c r="AA75" s="3169"/>
      <c r="AB75" s="3169"/>
      <c r="AC75" s="3169"/>
      <c r="AD75" s="3169"/>
    </row>
    <row r="76" spans="1:30" s="244" customFormat="1" ht="12.75" customHeight="1" thickTop="1">
      <c r="A76" s="46"/>
      <c r="B76"/>
      <c r="C76"/>
      <c r="D76"/>
      <c r="E76"/>
      <c r="F76"/>
      <c r="G76"/>
      <c r="H76"/>
      <c r="I76"/>
      <c r="J76"/>
      <c r="K76"/>
      <c r="L76"/>
      <c r="M76"/>
      <c r="N76"/>
      <c r="O76"/>
      <c r="P76"/>
      <c r="Q76"/>
      <c r="R76" s="5163"/>
      <c r="S76" s="1068"/>
      <c r="T76"/>
      <c r="U76"/>
      <c r="V76"/>
      <c r="W76" s="3169"/>
      <c r="X76" s="3169"/>
      <c r="Y76" s="3169"/>
      <c r="Z76" s="3169"/>
      <c r="AA76" s="3169"/>
      <c r="AB76" s="3169"/>
      <c r="AC76" s="3169"/>
      <c r="AD76" s="3169"/>
    </row>
    <row r="77" spans="1:30" s="244" customFormat="1" ht="21.75" customHeight="1">
      <c r="A77" s="46"/>
      <c r="B77"/>
      <c r="C77"/>
      <c r="D77"/>
      <c r="E77"/>
      <c r="F77"/>
      <c r="G77"/>
      <c r="H77"/>
      <c r="I77"/>
      <c r="J77"/>
      <c r="K77"/>
      <c r="L77"/>
      <c r="M77"/>
      <c r="N77"/>
      <c r="O77"/>
      <c r="P77"/>
      <c r="Q77"/>
      <c r="R77" s="5163"/>
      <c r="S77" s="1068"/>
      <c r="T77"/>
      <c r="U77"/>
      <c r="V77"/>
      <c r="W77" s="3169"/>
      <c r="X77" s="3169"/>
      <c r="Y77" s="3169"/>
      <c r="Z77" s="3169"/>
      <c r="AA77" s="3169"/>
      <c r="AB77" s="3169"/>
      <c r="AC77" s="3169"/>
      <c r="AD77" s="3169"/>
    </row>
    <row r="78" spans="1:30" s="244" customFormat="1" ht="22.5" customHeight="1">
      <c r="A78" s="46"/>
      <c r="B78"/>
      <c r="C78"/>
      <c r="D78"/>
      <c r="E78"/>
      <c r="F78"/>
      <c r="G78"/>
      <c r="H78"/>
      <c r="I78"/>
      <c r="J78"/>
      <c r="K78"/>
      <c r="L78"/>
      <c r="M78"/>
      <c r="N78"/>
      <c r="O78"/>
      <c r="P78"/>
      <c r="Q78"/>
      <c r="R78" s="5163"/>
      <c r="S78" s="1068"/>
      <c r="T78"/>
      <c r="U78"/>
      <c r="V78"/>
      <c r="W78" s="3169"/>
      <c r="X78" s="3169"/>
      <c r="Y78" s="3169"/>
      <c r="Z78" s="3169"/>
      <c r="AA78" s="3169"/>
      <c r="AB78" s="3169"/>
      <c r="AC78" s="3169"/>
      <c r="AD78" s="3169"/>
    </row>
    <row r="79" spans="1:30" s="244" customFormat="1" ht="12.75" customHeight="1">
      <c r="A79" s="46"/>
      <c r="B79"/>
      <c r="C79"/>
      <c r="D79"/>
      <c r="E79"/>
      <c r="F79"/>
      <c r="G79"/>
      <c r="H79"/>
      <c r="I79"/>
      <c r="J79"/>
      <c r="K79"/>
      <c r="L79"/>
      <c r="M79"/>
      <c r="N79"/>
      <c r="O79"/>
      <c r="P79"/>
      <c r="Q79"/>
      <c r="R79" s="5163"/>
      <c r="S79" s="1068"/>
      <c r="T79"/>
      <c r="U79"/>
      <c r="V79"/>
      <c r="W79" s="3169"/>
      <c r="X79" s="3169"/>
      <c r="Y79" s="3169"/>
      <c r="Z79" s="3169"/>
      <c r="AA79" s="3169"/>
      <c r="AB79" s="3169"/>
      <c r="AC79" s="3169"/>
      <c r="AD79" s="3169"/>
    </row>
    <row r="80" spans="1:30" s="244" customFormat="1" ht="12.75" customHeight="1">
      <c r="A80" s="46"/>
      <c r="B80"/>
      <c r="C80"/>
      <c r="D80"/>
      <c r="E80"/>
      <c r="F80"/>
      <c r="G80"/>
      <c r="H80"/>
      <c r="I80"/>
      <c r="J80"/>
      <c r="K80"/>
      <c r="L80"/>
      <c r="M80"/>
      <c r="N80"/>
      <c r="O80"/>
      <c r="P80"/>
      <c r="Q80"/>
      <c r="R80" s="5163"/>
      <c r="S80" s="1068"/>
      <c r="T80"/>
      <c r="U80"/>
      <c r="V80"/>
      <c r="W80" s="3169"/>
      <c r="X80" s="3169"/>
      <c r="Y80" s="3169"/>
      <c r="Z80" s="3169"/>
      <c r="AA80" s="3169"/>
      <c r="AB80" s="3169"/>
      <c r="AC80" s="3169"/>
      <c r="AD80" s="3169"/>
    </row>
    <row r="81" spans="1:30" s="244" customFormat="1" ht="17.25" customHeight="1">
      <c r="A81" s="46"/>
      <c r="B81"/>
      <c r="C81"/>
      <c r="D81"/>
      <c r="E81"/>
      <c r="F81"/>
      <c r="G81"/>
      <c r="H81"/>
      <c r="I81"/>
      <c r="J81"/>
      <c r="K81"/>
      <c r="L81"/>
      <c r="M81"/>
      <c r="N81"/>
      <c r="O81"/>
      <c r="P81"/>
      <c r="Q81"/>
      <c r="R81" s="5163"/>
      <c r="S81" s="1068"/>
      <c r="T81"/>
      <c r="U81"/>
      <c r="V81"/>
      <c r="W81" s="3169"/>
      <c r="X81" s="3169"/>
      <c r="Y81" s="3169"/>
      <c r="Z81" s="3169"/>
      <c r="AA81" s="3169"/>
      <c r="AB81" s="3169"/>
      <c r="AC81" s="3169"/>
      <c r="AD81" s="3169"/>
    </row>
    <row r="82" spans="1:30" s="244" customFormat="1" ht="14.25" customHeight="1">
      <c r="A82" s="46"/>
      <c r="B82"/>
      <c r="C82"/>
      <c r="D82"/>
      <c r="E82"/>
      <c r="F82"/>
      <c r="G82"/>
      <c r="H82"/>
      <c r="I82"/>
      <c r="J82"/>
      <c r="K82"/>
      <c r="L82"/>
      <c r="M82"/>
      <c r="N82"/>
      <c r="O82"/>
      <c r="P82"/>
      <c r="Q82"/>
      <c r="R82" s="5163"/>
      <c r="S82" s="1068"/>
      <c r="T82"/>
      <c r="U82"/>
      <c r="V82"/>
      <c r="W82" s="3169"/>
      <c r="X82" s="3169"/>
      <c r="Y82" s="3169"/>
      <c r="Z82" s="3169"/>
      <c r="AA82" s="3169"/>
      <c r="AB82" s="3169"/>
      <c r="AC82" s="3169"/>
      <c r="AD82" s="3169"/>
    </row>
    <row r="83" spans="1:30" s="244" customFormat="1">
      <c r="A83" s="46"/>
      <c r="B83"/>
      <c r="C83"/>
      <c r="D83"/>
      <c r="E83"/>
      <c r="F83"/>
      <c r="G83"/>
      <c r="H83"/>
      <c r="I83"/>
      <c r="J83"/>
      <c r="K83"/>
      <c r="L83"/>
      <c r="M83"/>
      <c r="N83"/>
      <c r="O83"/>
      <c r="P83"/>
      <c r="Q83"/>
      <c r="R83" s="5163"/>
      <c r="S83" s="1068"/>
      <c r="T83"/>
      <c r="U83"/>
      <c r="V83"/>
      <c r="W83" s="3169"/>
      <c r="X83" s="3169"/>
      <c r="Y83" s="3169"/>
      <c r="Z83" s="3169"/>
      <c r="AA83" s="3169"/>
      <c r="AB83" s="3169"/>
      <c r="AC83" s="3169"/>
      <c r="AD83" s="3169"/>
    </row>
    <row r="84" spans="1:30" s="244" customFormat="1">
      <c r="A84" s="46"/>
      <c r="B84"/>
      <c r="C84"/>
      <c r="D84"/>
      <c r="E84"/>
      <c r="F84"/>
      <c r="G84"/>
      <c r="H84"/>
      <c r="I84"/>
      <c r="J84"/>
      <c r="K84"/>
      <c r="L84"/>
      <c r="M84"/>
      <c r="N84"/>
      <c r="O84"/>
      <c r="P84"/>
      <c r="Q84"/>
      <c r="R84" s="5163"/>
      <c r="S84" s="1068"/>
      <c r="T84"/>
      <c r="U84"/>
      <c r="V84"/>
      <c r="W84" s="3169"/>
      <c r="X84" s="3169"/>
      <c r="Y84" s="3169"/>
      <c r="Z84" s="3169"/>
      <c r="AA84" s="3169"/>
      <c r="AB84" s="3169"/>
      <c r="AC84" s="3169"/>
      <c r="AD84" s="3169"/>
    </row>
    <row r="85" spans="1:30" s="244" customFormat="1">
      <c r="A85" s="46"/>
      <c r="B85"/>
      <c r="C85"/>
      <c r="D85"/>
      <c r="E85"/>
      <c r="F85"/>
      <c r="G85"/>
      <c r="H85"/>
      <c r="I85"/>
      <c r="J85"/>
      <c r="K85"/>
      <c r="L85"/>
      <c r="M85"/>
      <c r="N85"/>
      <c r="O85"/>
      <c r="P85"/>
      <c r="Q85"/>
      <c r="R85" s="5163"/>
      <c r="S85" s="1068"/>
      <c r="T85"/>
      <c r="U85"/>
      <c r="V85"/>
      <c r="W85" s="3169"/>
      <c r="X85" s="3169"/>
      <c r="Y85" s="3169"/>
      <c r="Z85" s="3169"/>
      <c r="AA85" s="3169"/>
      <c r="AB85" s="3169"/>
      <c r="AC85" s="3169"/>
      <c r="AD85" s="3169"/>
    </row>
    <row r="86" spans="1:30" s="244" customFormat="1">
      <c r="A86" s="46"/>
      <c r="B86"/>
      <c r="C86"/>
      <c r="D86"/>
      <c r="E86"/>
      <c r="F86"/>
      <c r="G86"/>
      <c r="H86"/>
      <c r="I86"/>
      <c r="J86"/>
      <c r="K86"/>
      <c r="L86"/>
      <c r="M86"/>
      <c r="N86"/>
      <c r="O86"/>
      <c r="P86"/>
      <c r="Q86"/>
      <c r="R86" s="5163"/>
      <c r="S86" s="1068"/>
      <c r="T86"/>
      <c r="U86"/>
      <c r="V86"/>
      <c r="W86" s="3169"/>
      <c r="X86" s="3169"/>
      <c r="Y86" s="3169"/>
      <c r="Z86" s="3169"/>
      <c r="AA86" s="3169"/>
      <c r="AB86" s="3169"/>
      <c r="AC86" s="3169"/>
      <c r="AD86" s="3169"/>
    </row>
    <row r="87" spans="1:30" s="244" customFormat="1">
      <c r="A87" s="46"/>
      <c r="B87"/>
      <c r="C87"/>
      <c r="D87"/>
      <c r="E87"/>
      <c r="F87"/>
      <c r="G87"/>
      <c r="H87"/>
      <c r="I87"/>
      <c r="J87"/>
      <c r="K87"/>
      <c r="L87"/>
      <c r="M87"/>
      <c r="N87"/>
      <c r="O87"/>
      <c r="P87"/>
      <c r="Q87"/>
      <c r="R87" s="5163"/>
      <c r="S87" s="1068"/>
      <c r="T87"/>
      <c r="U87"/>
      <c r="V87"/>
      <c r="W87" s="3169"/>
      <c r="X87" s="3169"/>
      <c r="Y87" s="3169"/>
      <c r="Z87" s="3169"/>
      <c r="AA87" s="3169"/>
      <c r="AB87" s="3169"/>
      <c r="AC87" s="3169"/>
      <c r="AD87" s="3169"/>
    </row>
    <row r="88" spans="1:30" s="244" customFormat="1">
      <c r="A88" s="46"/>
      <c r="B88"/>
      <c r="C88"/>
      <c r="D88"/>
      <c r="E88"/>
      <c r="F88"/>
      <c r="G88"/>
      <c r="H88"/>
      <c r="I88"/>
      <c r="J88"/>
      <c r="K88"/>
      <c r="L88"/>
      <c r="M88"/>
      <c r="N88"/>
      <c r="O88"/>
      <c r="P88"/>
      <c r="Q88"/>
      <c r="R88" s="5163"/>
      <c r="S88" s="1068"/>
      <c r="T88"/>
      <c r="U88"/>
      <c r="V88"/>
      <c r="W88" s="3169"/>
      <c r="X88" s="3169"/>
      <c r="Y88" s="3169"/>
      <c r="Z88" s="3169"/>
      <c r="AA88" s="3169"/>
      <c r="AB88" s="3169"/>
      <c r="AC88" s="3169"/>
      <c r="AD88" s="3169"/>
    </row>
  </sheetData>
  <sheetProtection password="F07E" sheet="1" objects="1" scenarios="1"/>
  <mergeCells count="22">
    <mergeCell ref="L8:M8"/>
    <mergeCell ref="B9:B10"/>
    <mergeCell ref="C9:D10"/>
    <mergeCell ref="E9:K9"/>
    <mergeCell ref="L9:M10"/>
    <mergeCell ref="E10:K10"/>
    <mergeCell ref="K13:M13"/>
    <mergeCell ref="B14:J14"/>
    <mergeCell ref="K14:M14"/>
    <mergeCell ref="C15:M15"/>
    <mergeCell ref="B11:D11"/>
    <mergeCell ref="E11:K11"/>
    <mergeCell ref="L11:M11"/>
    <mergeCell ref="B12:D12"/>
    <mergeCell ref="E12:K12"/>
    <mergeCell ref="L12:M12"/>
    <mergeCell ref="C73:G73"/>
    <mergeCell ref="C75:G75"/>
    <mergeCell ref="C29:M29"/>
    <mergeCell ref="C42:M42"/>
    <mergeCell ref="C52:M52"/>
    <mergeCell ref="C55:M55"/>
  </mergeCells>
  <conditionalFormatting sqref="B14:M14">
    <cfRule type="expression" dxfId="205" priority="99">
      <formula>IF(NoColor,1,0)</formula>
    </cfRule>
  </conditionalFormatting>
  <conditionalFormatting sqref="K18">
    <cfRule type="expression" dxfId="204" priority="53">
      <formula>IF(NoColor,1,0)</formula>
    </cfRule>
  </conditionalFormatting>
  <conditionalFormatting sqref="K21">
    <cfRule type="expression" dxfId="203" priority="47">
      <formula>IF(NoColor,1,0)</formula>
    </cfRule>
  </conditionalFormatting>
  <conditionalFormatting sqref="M28">
    <cfRule type="expression" dxfId="202" priority="43">
      <formula>IF(NoColor,1,0)</formula>
    </cfRule>
  </conditionalFormatting>
  <conditionalFormatting sqref="K32">
    <cfRule type="expression" dxfId="201" priority="41">
      <formula>IF(NoColor,1,0)</formula>
    </cfRule>
  </conditionalFormatting>
  <conditionalFormatting sqref="K37">
    <cfRule type="expression" dxfId="200" priority="37">
      <formula>IF(NoColor,1,0)</formula>
    </cfRule>
  </conditionalFormatting>
  <conditionalFormatting sqref="K38">
    <cfRule type="expression" dxfId="199" priority="35">
      <formula>IF(NoColor,1,0)</formula>
    </cfRule>
  </conditionalFormatting>
  <conditionalFormatting sqref="M54">
    <cfRule type="expression" dxfId="198" priority="26">
      <formula>IF(NoColor,1,0)</formula>
    </cfRule>
  </conditionalFormatting>
  <conditionalFormatting sqref="K58">
    <cfRule type="expression" dxfId="197" priority="24">
      <formula>IF(NoColor,1,0)</formula>
    </cfRule>
  </conditionalFormatting>
  <conditionalFormatting sqref="K59">
    <cfRule type="expression" dxfId="196" priority="22">
      <formula>IF(NoColor,1,0)</formula>
    </cfRule>
  </conditionalFormatting>
  <conditionalFormatting sqref="K61">
    <cfRule type="expression" dxfId="195" priority="20">
      <formula>IF(NoColor,1,0)</formula>
    </cfRule>
  </conditionalFormatting>
  <conditionalFormatting sqref="M63">
    <cfRule type="expression" dxfId="194" priority="19">
      <formula>IF(NoColor,1,0)</formula>
    </cfRule>
  </conditionalFormatting>
  <conditionalFormatting sqref="M65">
    <cfRule type="expression" dxfId="193" priority="18">
      <formula>IF(NoColor,1,0)</formula>
    </cfRule>
  </conditionalFormatting>
  <conditionalFormatting sqref="M68">
    <cfRule type="expression" dxfId="192" priority="17">
      <formula>IF(NoColor,1,0)</formula>
    </cfRule>
  </conditionalFormatting>
  <conditionalFormatting sqref="K19">
    <cfRule type="expression" dxfId="191" priority="16">
      <formula>IF(NoColor,1,0)</formula>
    </cfRule>
  </conditionalFormatting>
  <conditionalFormatting sqref="K20">
    <cfRule type="expression" dxfId="190" priority="15">
      <formula>IF(NoColor,1,0)</formula>
    </cfRule>
  </conditionalFormatting>
  <conditionalFormatting sqref="K36">
    <cfRule type="expression" dxfId="189" priority="14">
      <formula>IF(NoColor,1,0)</formula>
    </cfRule>
  </conditionalFormatting>
  <conditionalFormatting sqref="M26">
    <cfRule type="expression" dxfId="188" priority="12">
      <formula>IF(NoColor,1,0)</formula>
    </cfRule>
  </conditionalFormatting>
  <conditionalFormatting sqref="M41">
    <cfRule type="expression" dxfId="187" priority="11">
      <formula>IF(NoColor,1,0)</formula>
    </cfRule>
  </conditionalFormatting>
  <conditionalFormatting sqref="M39">
    <cfRule type="expression" dxfId="186" priority="10">
      <formula>IF(NoColor,1,0)</formula>
    </cfRule>
  </conditionalFormatting>
  <conditionalFormatting sqref="K44">
    <cfRule type="expression" dxfId="185" priority="9">
      <formula>IF(NoColor,1,0)</formula>
    </cfRule>
  </conditionalFormatting>
  <conditionalFormatting sqref="M51">
    <cfRule type="expression" dxfId="184" priority="8">
      <formula>IF(NoColor,1,0)</formula>
    </cfRule>
  </conditionalFormatting>
  <conditionalFormatting sqref="M49">
    <cfRule type="expression" dxfId="183" priority="7">
      <formula>IF(NoColor,1,0)</formula>
    </cfRule>
  </conditionalFormatting>
  <conditionalFormatting sqref="K25">
    <cfRule type="expression" dxfId="182" priority="6">
      <formula>IF(NoColor,1,0)</formula>
    </cfRule>
  </conditionalFormatting>
  <conditionalFormatting sqref="K48">
    <cfRule type="expression" dxfId="181" priority="5">
      <formula>IF(NoColor,1,0)</formula>
    </cfRule>
  </conditionalFormatting>
  <conditionalFormatting sqref="B3">
    <cfRule type="expression" dxfId="180" priority="4">
      <formula>IF(P3,1,0)</formula>
    </cfRule>
  </conditionalFormatting>
  <conditionalFormatting sqref="B4:B6">
    <cfRule type="expression" dxfId="179" priority="2">
      <formula>IF(P4,1,0)</formula>
    </cfRule>
  </conditionalFormatting>
  <hyperlinks>
    <hyperlink ref="C73:G73" r:id="rId1" display="Download Form 8959"/>
    <hyperlink ref="C75:G75" r:id="rId2" display="Download Form 8959 Instructions"/>
  </hyperlinks>
  <printOptions horizontalCentered="1"/>
  <pageMargins left="0.44" right="0.25" top="0.22" bottom="0.25" header="0.27" footer="0.25"/>
  <pageSetup scale="95" fitToHeight="0" orientation="portrait" horizontalDpi="4294967293" verticalDpi="4294967293" r:id="rId3"/>
  <headerFooter alignWithMargins="0"/>
  <rowBreaks count="1" manualBreakCount="1">
    <brk id="69" min="1" max="12" man="1"/>
  </row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93"/>
  <sheetViews>
    <sheetView zoomScaleNormal="100" zoomScaleSheetLayoutView="100" workbookViewId="0">
      <selection activeCell="M3" sqref="M3"/>
    </sheetView>
  </sheetViews>
  <sheetFormatPr defaultRowHeight="12.75"/>
  <cols>
    <col min="1" max="1" width="2.42578125" style="46" customWidth="1"/>
    <col min="2" max="2" width="7.85546875" customWidth="1"/>
    <col min="3" max="3" width="3.140625" customWidth="1"/>
    <col min="4" max="4" width="9.7109375" customWidth="1"/>
    <col min="5" max="5" width="10.42578125" customWidth="1"/>
    <col min="6" max="6" width="2.7109375" customWidth="1"/>
    <col min="7" max="7" width="18.85546875" customWidth="1"/>
    <col min="8" max="8" width="9.28515625" customWidth="1"/>
    <col min="9" max="9" width="4" customWidth="1"/>
    <col min="10" max="10" width="6.7109375" customWidth="1"/>
    <col min="11" max="11" width="4.5703125" style="277" customWidth="1"/>
    <col min="12" max="12" width="14.140625" customWidth="1"/>
    <col min="13" max="13" width="3.7109375" customWidth="1"/>
    <col min="14" max="14" width="14.140625" customWidth="1"/>
    <col min="15" max="15" width="2.5703125" customWidth="1"/>
    <col min="16" max="16" width="3.85546875" customWidth="1"/>
    <col min="17" max="17" width="18.140625" customWidth="1"/>
    <col min="18" max="18" width="2.28515625" customWidth="1"/>
    <col min="19" max="19" width="12.7109375" style="244" customWidth="1"/>
    <col min="20" max="20" width="2.7109375" style="244" customWidth="1"/>
    <col min="21" max="21" width="5.85546875" customWidth="1"/>
    <col min="22" max="22" width="5" customWidth="1"/>
    <col min="23" max="23" width="4.28515625" customWidth="1"/>
    <col min="24" max="24" width="27" customWidth="1"/>
    <col min="25" max="25" width="12.85546875" customWidth="1"/>
    <col min="26" max="26" width="12.42578125" customWidth="1"/>
    <col min="27" max="27" width="13.7109375" customWidth="1"/>
    <col min="28" max="28" width="9.85546875" customWidth="1"/>
    <col min="29" max="29" width="15.28515625" customWidth="1"/>
    <col min="30" max="30" width="3.85546875" customWidth="1"/>
    <col min="31" max="31" width="4" customWidth="1"/>
    <col min="32" max="40" width="10.7109375" style="3169" customWidth="1"/>
  </cols>
  <sheetData>
    <row r="1" spans="1:32" ht="17.25" customHeight="1" thickBot="1">
      <c r="A1" s="4962"/>
      <c r="B1" s="707"/>
      <c r="C1" s="707"/>
      <c r="D1" s="707"/>
      <c r="E1" s="707"/>
      <c r="F1" s="707"/>
      <c r="G1" s="707"/>
      <c r="H1" s="707"/>
      <c r="I1" s="707"/>
      <c r="J1" s="707"/>
      <c r="K1" s="707"/>
      <c r="L1" s="707"/>
      <c r="M1" s="4963"/>
      <c r="N1" s="707"/>
      <c r="O1" s="707"/>
      <c r="P1" s="1408"/>
      <c r="Q1" s="1408"/>
      <c r="R1" s="1408"/>
      <c r="S1" s="3233"/>
      <c r="T1" s="3233"/>
      <c r="U1" s="1408"/>
      <c r="V1" s="1408"/>
      <c r="W1" s="1408"/>
      <c r="X1" s="1408"/>
      <c r="Y1" s="1408"/>
      <c r="Z1" s="1408"/>
      <c r="AA1" s="1408"/>
      <c r="AB1" s="1408"/>
      <c r="AC1" s="1408"/>
      <c r="AD1" s="1408"/>
      <c r="AF1" s="3168" t="s">
        <v>2552</v>
      </c>
    </row>
    <row r="2" spans="1:32" ht="17.25" customHeight="1">
      <c r="A2" s="4962"/>
      <c r="B2" s="4966" t="s">
        <v>4646</v>
      </c>
      <c r="C2" s="707"/>
      <c r="D2" s="707"/>
      <c r="E2" s="707"/>
      <c r="F2" s="707"/>
      <c r="G2" s="707"/>
      <c r="H2" s="707"/>
      <c r="I2" s="707"/>
      <c r="J2" s="707"/>
      <c r="K2" s="707"/>
      <c r="L2" s="707"/>
      <c r="M2" s="4963"/>
      <c r="N2" s="707"/>
      <c r="O2" s="707"/>
      <c r="P2" s="1408"/>
      <c r="Q2" s="2749" t="b">
        <f>ModAdjGrossInc&gt;Form8960_Threshhold</f>
        <v>0</v>
      </c>
      <c r="R2" s="1408"/>
      <c r="S2" s="3233"/>
      <c r="T2" s="3233"/>
      <c r="U2" s="5075" t="s">
        <v>4817</v>
      </c>
      <c r="V2" s="5073"/>
      <c r="W2" s="5073"/>
      <c r="X2" s="5073"/>
      <c r="Y2" s="5073"/>
      <c r="Z2" s="5073"/>
      <c r="AA2" s="5073"/>
      <c r="AB2" s="5073"/>
      <c r="AC2" s="5073"/>
      <c r="AD2" s="5074"/>
      <c r="AF2" s="3168"/>
    </row>
    <row r="3" spans="1:32" ht="17.25" customHeight="1">
      <c r="A3" s="3068"/>
      <c r="B3" s="613"/>
      <c r="C3" s="82"/>
      <c r="D3" s="82" t="str">
        <f>"Your MAGI is: "&amp;TEXT(ModAdjGrossInc,"$0,000")&amp;"."</f>
        <v>Your MAGI is: $0,000.</v>
      </c>
      <c r="E3" s="82"/>
      <c r="F3" s="82"/>
      <c r="G3" s="82" t="str">
        <f>"Threshold amount = "&amp;TEXT(Form8960_Threshhold,"$0,000")&amp;"."</f>
        <v>Threshold amount = ---.</v>
      </c>
      <c r="H3" s="82"/>
      <c r="I3" s="82"/>
      <c r="J3" s="82"/>
      <c r="K3" s="82"/>
      <c r="L3" s="4965" t="str">
        <f>IF(NOT(F8960_Applicable),"Check to file Form 8960 anyway.","")</f>
        <v>Check to file Form 8960 anyway.</v>
      </c>
      <c r="M3" s="5150"/>
      <c r="N3" s="82"/>
      <c r="O3" s="82"/>
      <c r="P3" s="1408"/>
      <c r="Q3" s="2749" t="b">
        <f>OR(F8960_Applicable,M3&lt;&gt;"")</f>
        <v>0</v>
      </c>
      <c r="R3" s="1408"/>
      <c r="S3" s="3233"/>
      <c r="T3" s="3233"/>
      <c r="U3" s="5082" t="s">
        <v>4818</v>
      </c>
      <c r="V3" s="5076"/>
      <c r="W3" s="5076"/>
      <c r="X3" s="5076"/>
      <c r="Y3" s="5076"/>
      <c r="Z3" s="5076"/>
      <c r="AA3" s="5076"/>
      <c r="AB3" s="5076"/>
      <c r="AC3" s="5076"/>
      <c r="AD3" s="5077"/>
      <c r="AF3" s="3168"/>
    </row>
    <row r="4" spans="1:32">
      <c r="A4" s="4963"/>
      <c r="B4" s="4963"/>
      <c r="C4" s="707"/>
      <c r="D4" s="707"/>
      <c r="E4" s="707"/>
      <c r="F4" s="707"/>
      <c r="G4" s="707"/>
      <c r="H4" s="4963"/>
      <c r="I4" s="707"/>
      <c r="J4" s="707"/>
      <c r="K4" s="707"/>
      <c r="L4" s="707"/>
      <c r="M4" s="707"/>
      <c r="N4" s="707"/>
      <c r="O4" s="707"/>
      <c r="P4" s="1408"/>
      <c r="Q4" s="1408"/>
      <c r="R4" s="1408"/>
      <c r="S4" s="3233"/>
      <c r="T4" s="3233"/>
      <c r="U4" s="4245"/>
      <c r="V4" s="5076" t="s">
        <v>4819</v>
      </c>
      <c r="W4" s="5076"/>
      <c r="X4" s="5076"/>
      <c r="Y4" s="5076"/>
      <c r="Z4" s="5076"/>
      <c r="AA4" s="5076"/>
      <c r="AB4" s="5076"/>
      <c r="AC4" s="5076"/>
      <c r="AD4" s="5077"/>
    </row>
    <row r="5" spans="1:32" ht="15">
      <c r="A5" s="82"/>
      <c r="B5" s="24"/>
      <c r="C5" s="24"/>
      <c r="D5" s="101"/>
      <c r="E5" s="4949"/>
      <c r="F5" s="1443"/>
      <c r="G5" s="1443"/>
      <c r="H5" s="1443"/>
      <c r="I5" s="1443"/>
      <c r="J5" s="1443"/>
      <c r="K5" s="2379"/>
      <c r="L5" s="4950"/>
      <c r="M5" s="7637" t="s">
        <v>2537</v>
      </c>
      <c r="N5" s="7573"/>
      <c r="O5" s="635"/>
      <c r="P5" s="4964"/>
      <c r="Q5" s="1408"/>
      <c r="R5" s="1408"/>
      <c r="S5" s="3233"/>
      <c r="T5" s="3233"/>
      <c r="U5" s="4245"/>
      <c r="V5" s="5076" t="s">
        <v>4820</v>
      </c>
      <c r="W5" s="5076"/>
      <c r="X5" s="5076"/>
      <c r="Y5" s="5076"/>
      <c r="Z5" s="5076"/>
      <c r="AA5" s="5076"/>
      <c r="AB5" s="5076"/>
      <c r="AC5" s="5076"/>
      <c r="AD5" s="5077"/>
    </row>
    <row r="6" spans="1:32" ht="20.25" customHeight="1">
      <c r="A6" s="82"/>
      <c r="B6" s="7916" t="s">
        <v>331</v>
      </c>
      <c r="C6" s="7917">
        <v>8960</v>
      </c>
      <c r="D6" s="7918"/>
      <c r="E6" s="4212"/>
      <c r="F6" s="4213"/>
      <c r="G6" s="1443"/>
      <c r="H6" s="4214" t="s">
        <v>1080</v>
      </c>
      <c r="I6" s="1443"/>
      <c r="J6" s="1443"/>
      <c r="K6" s="2379"/>
      <c r="L6" s="1554"/>
      <c r="M6" s="6025">
        <f>TaxYear</f>
        <v>2018</v>
      </c>
      <c r="N6" s="7638"/>
      <c r="O6" s="713"/>
      <c r="P6" s="260"/>
      <c r="Q6" s="25" t="s">
        <v>100</v>
      </c>
      <c r="R6" s="1876"/>
      <c r="S6" s="3236"/>
      <c r="T6" s="3236"/>
      <c r="U6" s="5083" t="str">
        <f>" must pay "&amp;TEXT(N60,"0.0%")&amp;" of the smaller of (a) or (b) as their NIIT."</f>
        <v xml:space="preserve"> must pay 3.8% of the smaller of (a) or (b) as their NIIT.</v>
      </c>
      <c r="V6" s="5076"/>
      <c r="W6" s="5076"/>
      <c r="X6" s="5076"/>
      <c r="Y6" s="5076"/>
      <c r="Z6" s="5076"/>
      <c r="AA6" s="5076"/>
      <c r="AB6" s="5076"/>
      <c r="AC6" s="5076"/>
      <c r="AD6" s="5077"/>
    </row>
    <row r="7" spans="1:32" ht="14.25" customHeight="1">
      <c r="A7" s="82"/>
      <c r="B7" s="6052"/>
      <c r="C7" s="7919"/>
      <c r="D7" s="7920"/>
      <c r="E7" s="8069" t="s">
        <v>1081</v>
      </c>
      <c r="F7" s="8069"/>
      <c r="G7" s="8070"/>
      <c r="H7" s="8070"/>
      <c r="I7" s="8070"/>
      <c r="J7" s="8070"/>
      <c r="K7" s="8070"/>
      <c r="L7" s="8071"/>
      <c r="M7" s="7639"/>
      <c r="N7" s="7640"/>
      <c r="O7" s="714"/>
      <c r="P7" s="261"/>
      <c r="Q7" s="25" t="s">
        <v>468</v>
      </c>
      <c r="R7" s="1592"/>
      <c r="S7" s="1592"/>
      <c r="T7" s="1592"/>
      <c r="U7" s="5082" t="s">
        <v>4821</v>
      </c>
      <c r="V7" s="5076"/>
      <c r="W7" s="5076"/>
      <c r="X7" s="5076"/>
      <c r="Y7" s="5076"/>
      <c r="Z7" s="5076"/>
      <c r="AA7" s="5076"/>
      <c r="AB7" s="5076"/>
      <c r="AC7" s="5076"/>
      <c r="AD7" s="5077"/>
    </row>
    <row r="8" spans="1:32" ht="12.75" customHeight="1">
      <c r="A8" s="82"/>
      <c r="B8" s="7464" t="s">
        <v>202</v>
      </c>
      <c r="C8" s="5843"/>
      <c r="D8" s="5769"/>
      <c r="E8" s="8072" t="s">
        <v>2535</v>
      </c>
      <c r="F8" s="8073"/>
      <c r="G8" s="8074"/>
      <c r="H8" s="8074"/>
      <c r="I8" s="8074"/>
      <c r="J8" s="8074"/>
      <c r="K8" s="8074"/>
      <c r="L8" s="8075"/>
      <c r="M8" s="7463" t="s">
        <v>343</v>
      </c>
      <c r="N8" s="5768"/>
      <c r="O8" s="713"/>
      <c r="P8" s="260"/>
      <c r="Q8" s="733"/>
      <c r="R8" s="1592"/>
      <c r="S8" s="3237"/>
      <c r="T8" s="3237"/>
      <c r="U8" s="5081" t="str">
        <f>IF(AND(OR(File_Marr_Joint&lt;&gt;"",File_Qual_Widow&lt;&gt;""),F8960_Applicable),"→","• ")</f>
        <v xml:space="preserve">• </v>
      </c>
      <c r="V8" s="5076" t="str">
        <f>"Married Filing Jointly or Qualifying Widow(er) is "&amp;TEXT(N42,"$0,000")&amp;"."</f>
        <v>Married Filing Jointly or Qualifying Widow(er) is $250,000.</v>
      </c>
      <c r="W8" s="5076"/>
      <c r="X8" s="5076"/>
      <c r="Y8" s="5076"/>
      <c r="Z8" s="5076"/>
      <c r="AA8" s="5076"/>
      <c r="AB8" s="5076"/>
      <c r="AC8" s="5076"/>
      <c r="AD8" s="5077"/>
    </row>
    <row r="9" spans="1:32" ht="12.75" customHeight="1" thickBot="1">
      <c r="A9" s="82"/>
      <c r="B9" s="7895" t="s">
        <v>257</v>
      </c>
      <c r="C9" s="7896"/>
      <c r="D9" s="7897"/>
      <c r="E9" s="8076" t="s">
        <v>2536</v>
      </c>
      <c r="F9" s="8077"/>
      <c r="G9" s="8078"/>
      <c r="H9" s="8078"/>
      <c r="I9" s="8078"/>
      <c r="J9" s="8078"/>
      <c r="K9" s="8078"/>
      <c r="L9" s="8079"/>
      <c r="M9" s="7901" t="s">
        <v>1082</v>
      </c>
      <c r="N9" s="7902"/>
      <c r="O9" s="714"/>
      <c r="P9" s="261"/>
      <c r="Q9" s="733"/>
      <c r="R9" s="1876"/>
      <c r="S9" s="3237"/>
      <c r="T9" s="3237"/>
      <c r="U9" s="5081" t="str">
        <f>IF(AND(File_Marr_Sep&lt;&gt;"",F8960_Applicable),"→","• ")</f>
        <v xml:space="preserve">• </v>
      </c>
      <c r="V9" s="5076" t="str">
        <f>"Married Filing Separately is "&amp;TEXT(N43,"$0,000")&amp;"."</f>
        <v>Married Filing Separately is $125,000.</v>
      </c>
      <c r="W9" s="5076"/>
      <c r="X9" s="5076"/>
      <c r="Y9" s="5076"/>
      <c r="Z9" s="5076"/>
      <c r="AA9" s="5076"/>
      <c r="AB9" s="5076"/>
      <c r="AC9" s="5076"/>
      <c r="AD9" s="5077"/>
    </row>
    <row r="10" spans="1:32" ht="11.25" customHeight="1">
      <c r="A10" s="82"/>
      <c r="B10" s="21" t="s">
        <v>1338</v>
      </c>
      <c r="C10" s="168"/>
      <c r="D10" s="168"/>
      <c r="E10" s="141"/>
      <c r="F10" s="141"/>
      <c r="G10" s="142"/>
      <c r="H10" s="151"/>
      <c r="I10" s="142"/>
      <c r="J10" s="142"/>
      <c r="K10" s="4953"/>
      <c r="L10" s="7658" t="s">
        <v>99</v>
      </c>
      <c r="M10" s="7418"/>
      <c r="N10" s="7418"/>
      <c r="O10" s="713"/>
      <c r="P10" s="260"/>
      <c r="Q10" s="733"/>
      <c r="R10" s="1876"/>
      <c r="S10" s="3238"/>
      <c r="T10" s="3238"/>
      <c r="U10" s="5081" t="str">
        <f>IF(AND(OR(File_Single&lt;&gt;"",File_Head&lt;&gt;""),F8960_Applicable),"→","• ")</f>
        <v xml:space="preserve">• </v>
      </c>
      <c r="V10" s="2767" t="str">
        <f>"Single or Head of Household is "&amp;TEXT(N44,"$0,000")&amp;"."</f>
        <v>Single or Head of Household is $200,000.</v>
      </c>
      <c r="W10" s="5076"/>
      <c r="X10" s="5076"/>
      <c r="Y10" s="5076"/>
      <c r="Z10" s="5076"/>
      <c r="AA10" s="5076"/>
      <c r="AB10" s="5076"/>
      <c r="AC10" s="5076"/>
      <c r="AD10" s="5077"/>
    </row>
    <row r="11" spans="1:32" ht="14.25" customHeight="1">
      <c r="A11" s="82"/>
      <c r="B11" s="7609" t="str">
        <f>Names</f>
        <v/>
      </c>
      <c r="C11" s="7610"/>
      <c r="D11" s="7610"/>
      <c r="E11" s="7610"/>
      <c r="F11" s="7610"/>
      <c r="G11" s="7610"/>
      <c r="H11" s="7610"/>
      <c r="I11" s="7610"/>
      <c r="J11" s="7610"/>
      <c r="K11" s="7611"/>
      <c r="L11" s="6108">
        <f>IF(NoSSN,"",SS_Yours)</f>
        <v>0</v>
      </c>
      <c r="M11" s="7654"/>
      <c r="N11" s="7654"/>
      <c r="O11" s="714"/>
      <c r="P11" s="261"/>
      <c r="Q11" s="733"/>
      <c r="R11" s="1876"/>
      <c r="S11" s="3238"/>
      <c r="T11" s="3238"/>
      <c r="U11" s="5081"/>
      <c r="V11" s="5076"/>
      <c r="W11" s="5076"/>
      <c r="X11" s="5076"/>
      <c r="Y11" s="5076"/>
      <c r="Z11" s="5076"/>
      <c r="AA11" s="5076"/>
      <c r="AB11" s="5076"/>
      <c r="AC11" s="5076"/>
      <c r="AD11" s="5077"/>
    </row>
    <row r="12" spans="1:32" ht="12" customHeight="1">
      <c r="A12" s="82"/>
      <c r="B12" s="1752" t="s">
        <v>369</v>
      </c>
      <c r="C12" s="8080" t="s">
        <v>1083</v>
      </c>
      <c r="D12" s="8081"/>
      <c r="E12" s="8082"/>
      <c r="F12" s="2334"/>
      <c r="G12" s="3752" t="s">
        <v>1084</v>
      </c>
      <c r="H12" s="1750"/>
      <c r="I12" s="1750"/>
      <c r="J12" s="1750"/>
      <c r="K12" s="4954"/>
      <c r="L12" s="1750"/>
      <c r="M12" s="1750"/>
      <c r="N12" s="1750"/>
      <c r="O12" s="715"/>
      <c r="P12" s="616"/>
      <c r="Q12" s="733"/>
      <c r="R12" s="1876"/>
      <c r="S12" s="1876"/>
      <c r="T12" s="1876"/>
      <c r="U12" s="5082" t="s">
        <v>4823</v>
      </c>
      <c r="V12" s="5076"/>
      <c r="W12" s="5076"/>
      <c r="X12" s="5076"/>
      <c r="Y12" s="5076"/>
      <c r="Z12" s="5076"/>
      <c r="AA12" s="5076"/>
      <c r="AB12" s="5076"/>
      <c r="AC12" s="5076"/>
      <c r="AD12" s="5077"/>
    </row>
    <row r="13" spans="1:32" ht="12" customHeight="1">
      <c r="A13" s="82"/>
      <c r="B13" s="277"/>
      <c r="C13" s="8083"/>
      <c r="D13" s="8083"/>
      <c r="E13" s="8084"/>
      <c r="F13" s="2334"/>
      <c r="G13" s="4951" t="s">
        <v>1337</v>
      </c>
      <c r="H13" s="1922"/>
      <c r="I13" s="1922"/>
      <c r="J13" s="1922"/>
      <c r="K13" s="4955"/>
      <c r="L13" s="1922"/>
      <c r="M13" s="1922"/>
      <c r="N13" s="1922"/>
      <c r="O13" s="715"/>
      <c r="P13" s="616"/>
      <c r="Q13" s="733"/>
      <c r="R13" s="1876"/>
      <c r="S13" s="1876"/>
      <c r="T13" s="1876"/>
      <c r="U13" s="5082" t="s">
        <v>4822</v>
      </c>
      <c r="V13" s="5076"/>
      <c r="W13" s="5076"/>
      <c r="X13" s="5076"/>
      <c r="Y13" s="5076"/>
      <c r="Z13" s="5076"/>
      <c r="AA13" s="5076"/>
      <c r="AB13" s="5076"/>
      <c r="AC13" s="5076"/>
      <c r="AD13" s="5077"/>
    </row>
    <row r="14" spans="1:32" ht="12" customHeight="1">
      <c r="A14" s="82"/>
      <c r="B14" s="1830"/>
      <c r="C14" s="1923"/>
      <c r="D14" s="1923"/>
      <c r="E14" s="1924"/>
      <c r="F14" s="2334"/>
      <c r="G14" s="4952" t="s">
        <v>1085</v>
      </c>
      <c r="H14" s="1751"/>
      <c r="I14" s="1751"/>
      <c r="J14" s="1751"/>
      <c r="K14" s="4956"/>
      <c r="L14" s="1751"/>
      <c r="M14" s="1751"/>
      <c r="N14" s="1751"/>
      <c r="O14" s="715"/>
      <c r="P14" s="616"/>
      <c r="Q14" s="733"/>
      <c r="R14" s="1876"/>
      <c r="S14" s="1876"/>
      <c r="T14" s="1876"/>
      <c r="U14" s="5082" t="s">
        <v>4824</v>
      </c>
      <c r="V14" s="5076"/>
      <c r="W14" s="5076"/>
      <c r="X14" s="5076"/>
      <c r="Y14" s="5076"/>
      <c r="Z14" s="5076"/>
      <c r="AA14" s="5076"/>
      <c r="AB14" s="5076"/>
      <c r="AC14" s="5076"/>
      <c r="AD14" s="5077"/>
    </row>
    <row r="15" spans="1:32" ht="13.5" customHeight="1" thickBot="1">
      <c r="A15" s="82"/>
      <c r="B15" s="161">
        <v>1</v>
      </c>
      <c r="C15" s="403" t="s">
        <v>1339</v>
      </c>
      <c r="D15" s="280"/>
      <c r="E15" s="237"/>
      <c r="F15" s="237"/>
      <c r="G15" s="237"/>
      <c r="H15" s="238"/>
      <c r="I15" s="238"/>
      <c r="J15" s="238"/>
      <c r="K15" s="466"/>
      <c r="L15" s="1553" t="s">
        <v>1311</v>
      </c>
      <c r="M15" s="256">
        <f>B15</f>
        <v>1</v>
      </c>
      <c r="N15" s="1725" t="str">
        <f>IF(Q15&lt;&gt;"",ROUND(Q15,0),IF(File8960,TaxableInterest,""))</f>
        <v/>
      </c>
      <c r="O15" s="717"/>
      <c r="P15" s="265"/>
      <c r="Q15" s="470"/>
      <c r="R15" s="2562"/>
      <c r="S15" s="2562"/>
      <c r="T15" s="2562"/>
      <c r="U15" s="5078"/>
      <c r="V15" s="5079"/>
      <c r="W15" s="5079"/>
      <c r="X15" s="5079"/>
      <c r="Y15" s="5079"/>
      <c r="Z15" s="5079"/>
      <c r="AA15" s="5079"/>
      <c r="AB15" s="5079"/>
      <c r="AC15" s="5079"/>
      <c r="AD15" s="5080"/>
    </row>
    <row r="16" spans="1:32" ht="13.5" customHeight="1" thickBot="1">
      <c r="A16" s="82"/>
      <c r="B16" s="161">
        <v>2</v>
      </c>
      <c r="C16" s="403" t="s">
        <v>1340</v>
      </c>
      <c r="D16" s="280"/>
      <c r="E16" s="237"/>
      <c r="F16" s="237"/>
      <c r="G16" s="237"/>
      <c r="H16" s="238"/>
      <c r="I16" s="238"/>
      <c r="J16" s="238"/>
      <c r="K16" s="466"/>
      <c r="L16" s="1553" t="s">
        <v>492</v>
      </c>
      <c r="M16" s="256">
        <f>B16</f>
        <v>2</v>
      </c>
      <c r="N16" s="1725" t="str">
        <f>IF(Q16&lt;&gt;"",ROUND(Q16,0),IF(File8960,OrdinaryDividends,""))</f>
        <v/>
      </c>
      <c r="O16" s="717"/>
      <c r="P16" s="265"/>
      <c r="Q16" s="470"/>
      <c r="R16" s="2562"/>
      <c r="S16" s="2562"/>
      <c r="T16" s="2562"/>
      <c r="U16" s="1408"/>
      <c r="V16" s="1408"/>
      <c r="W16" s="1408"/>
      <c r="X16" s="1408"/>
      <c r="Y16" s="1408"/>
      <c r="Z16" s="1408"/>
      <c r="AA16" s="1408"/>
      <c r="AB16" s="1408"/>
      <c r="AC16" s="1408"/>
      <c r="AD16" s="1408"/>
    </row>
    <row r="17" spans="1:40" ht="13.5" customHeight="1">
      <c r="A17" s="82"/>
      <c r="B17" s="161">
        <v>3</v>
      </c>
      <c r="C17" s="403" t="s">
        <v>1341</v>
      </c>
      <c r="D17" s="280"/>
      <c r="E17" s="237"/>
      <c r="F17" s="237"/>
      <c r="G17" s="237"/>
      <c r="H17" s="238"/>
      <c r="I17" s="238"/>
      <c r="J17" s="238"/>
      <c r="K17" s="466"/>
      <c r="L17" s="1553" t="s">
        <v>341</v>
      </c>
      <c r="M17" s="256">
        <f>B17</f>
        <v>3</v>
      </c>
      <c r="N17" s="1725" t="str">
        <f>IF(Q17&lt;&gt;"",ROUND(Q17,0),IF(File8960,ROUND(NonQualAnnuity,0),""))</f>
        <v/>
      </c>
      <c r="O17" s="717"/>
      <c r="P17" s="265"/>
      <c r="Q17" s="470"/>
      <c r="R17" s="2562"/>
      <c r="S17" s="2562"/>
      <c r="T17" s="2562"/>
      <c r="U17" s="1758"/>
      <c r="V17" s="2607"/>
      <c r="W17" s="2607"/>
      <c r="X17" s="2607"/>
      <c r="Y17" s="2607"/>
      <c r="Z17" s="2607"/>
      <c r="AA17" s="2607"/>
      <c r="AB17" s="2607"/>
      <c r="AC17" s="2607"/>
      <c r="AD17" s="2608"/>
    </row>
    <row r="18" spans="1:40" s="1068" customFormat="1" ht="13.5" customHeight="1">
      <c r="A18" s="82"/>
      <c r="B18" s="161" t="s">
        <v>128</v>
      </c>
      <c r="C18" s="403" t="s">
        <v>1086</v>
      </c>
      <c r="D18" s="280"/>
      <c r="E18" s="237"/>
      <c r="F18" s="237"/>
      <c r="G18" s="237"/>
      <c r="H18" s="238"/>
      <c r="I18" s="238"/>
      <c r="J18" s="238"/>
      <c r="K18" s="4957"/>
      <c r="L18" s="1553"/>
      <c r="M18" s="736"/>
      <c r="N18" s="3499" t="str">
        <f>IF($P$21,"For Line 4b, enter","")</f>
        <v/>
      </c>
      <c r="O18" s="716"/>
      <c r="P18" s="1688"/>
      <c r="Q18" s="628"/>
      <c r="R18" s="2562"/>
      <c r="S18" s="2562"/>
      <c r="T18" s="2562"/>
      <c r="U18" s="1761"/>
      <c r="V18" s="5323" t="s">
        <v>4969</v>
      </c>
      <c r="W18" s="5323"/>
      <c r="X18" s="5323"/>
      <c r="Y18" s="5323"/>
      <c r="Z18" s="5323"/>
      <c r="AA18" s="5323"/>
      <c r="AB18" s="5323"/>
      <c r="AC18" s="5323"/>
      <c r="AD18" s="1877"/>
      <c r="AF18" s="3169"/>
      <c r="AG18" s="3169"/>
      <c r="AH18" s="3169"/>
      <c r="AI18" s="3169"/>
      <c r="AJ18" s="3169"/>
      <c r="AK18" s="3169"/>
      <c r="AL18" s="3169"/>
      <c r="AM18" s="3169"/>
      <c r="AN18" s="3169"/>
    </row>
    <row r="19" spans="1:40" ht="13.5" customHeight="1">
      <c r="A19" s="82"/>
      <c r="B19" s="162"/>
      <c r="C19" s="403" t="s">
        <v>1343</v>
      </c>
      <c r="D19" s="185"/>
      <c r="E19" s="237"/>
      <c r="F19" s="237"/>
      <c r="G19" s="237"/>
      <c r="H19" s="238"/>
      <c r="I19" s="162"/>
      <c r="J19" s="161" t="s">
        <v>676</v>
      </c>
      <c r="K19" s="2889" t="str">
        <f>B18</f>
        <v>4a</v>
      </c>
      <c r="L19" s="1725" t="str">
        <f>IF(Q19&lt;&gt;"",ROUND(Q19,0),IF(File8960,SchE_IncomeLoss,""))</f>
        <v/>
      </c>
      <c r="M19" s="736"/>
      <c r="N19" s="3500" t="str">
        <f>IF($P$21,"net pos. amounts","")</f>
        <v/>
      </c>
      <c r="O19" s="717"/>
      <c r="P19" s="265"/>
      <c r="Q19" s="470"/>
      <c r="R19" s="1450"/>
      <c r="S19" s="1450"/>
      <c r="T19" s="1450"/>
      <c r="U19" s="1761"/>
      <c r="V19" s="5323"/>
      <c r="W19" s="5323"/>
      <c r="X19" s="5323"/>
      <c r="Y19" s="5323"/>
      <c r="Z19" s="5323"/>
      <c r="AA19" s="5323"/>
      <c r="AB19" s="5323"/>
      <c r="AC19" s="5323"/>
      <c r="AD19" s="2609"/>
    </row>
    <row r="20" spans="1:40" s="1068" customFormat="1" ht="13.5" customHeight="1">
      <c r="A20" s="82"/>
      <c r="B20" s="161" t="s">
        <v>54</v>
      </c>
      <c r="C20" s="403" t="s">
        <v>1087</v>
      </c>
      <c r="D20" s="280"/>
      <c r="E20" s="237"/>
      <c r="F20" s="237"/>
      <c r="G20" s="237"/>
      <c r="H20" s="238"/>
      <c r="I20" s="238"/>
      <c r="J20" s="238"/>
      <c r="K20" s="4957"/>
      <c r="L20" s="162"/>
      <c r="M20" s="736"/>
      <c r="N20" s="3499" t="str">
        <f>IF($P$21,"as neg. adjustments","")</f>
        <v/>
      </c>
      <c r="O20" s="716"/>
      <c r="P20" s="1688"/>
      <c r="Q20" s="628"/>
      <c r="R20" s="2562"/>
      <c r="S20" s="2562"/>
      <c r="T20" s="2562"/>
      <c r="U20" s="1761"/>
      <c r="V20" s="5323"/>
      <c r="W20" s="5323"/>
      <c r="X20" s="5323"/>
      <c r="Y20" s="5323"/>
      <c r="Z20" s="5323"/>
      <c r="AA20" s="5323"/>
      <c r="AB20" s="5323"/>
      <c r="AC20" s="5323"/>
      <c r="AD20" s="1877"/>
      <c r="AF20" s="3169"/>
      <c r="AG20" s="3169"/>
      <c r="AH20" s="3169"/>
      <c r="AI20" s="3169"/>
      <c r="AJ20" s="3169"/>
      <c r="AK20" s="3169"/>
      <c r="AL20" s="3169"/>
      <c r="AM20" s="3169"/>
      <c r="AN20" s="3169"/>
    </row>
    <row r="21" spans="1:40" ht="13.5" customHeight="1">
      <c r="A21" s="82"/>
      <c r="B21" s="162"/>
      <c r="C21" s="403" t="s">
        <v>1088</v>
      </c>
      <c r="D21" s="185"/>
      <c r="E21" s="237"/>
      <c r="F21" s="237"/>
      <c r="G21" s="237"/>
      <c r="H21" s="238"/>
      <c r="I21" s="162"/>
      <c r="J21" s="161" t="s">
        <v>682</v>
      </c>
      <c r="K21" s="2889" t="str">
        <f>B20</f>
        <v>b</v>
      </c>
      <c r="L21" s="1726"/>
      <c r="M21" s="736"/>
      <c r="N21" s="3500" t="str">
        <f>IF($P$21,"and vice versa.","")</f>
        <v/>
      </c>
      <c r="O21" s="3503"/>
      <c r="P21" s="3502" t="b">
        <f>IF(AND(L21&lt;&gt;"",O21=""),TRUE,FALSE)</f>
        <v>0</v>
      </c>
      <c r="Q21" s="3501" t="str">
        <f>IF(L21&lt;&gt;"","Hide note.","")</f>
        <v/>
      </c>
      <c r="R21" s="1450"/>
      <c r="S21" s="1450"/>
      <c r="T21" s="1450"/>
      <c r="U21" s="1761"/>
      <c r="V21" s="5323"/>
      <c r="W21" s="5323"/>
      <c r="X21" s="5323"/>
      <c r="Y21" s="5323"/>
      <c r="Z21" s="5323"/>
      <c r="AA21" s="5323"/>
      <c r="AB21" s="5323"/>
      <c r="AC21" s="5323"/>
      <c r="AD21" s="1877"/>
    </row>
    <row r="22" spans="1:40" ht="13.5" customHeight="1">
      <c r="A22" s="82"/>
      <c r="B22" s="161" t="s">
        <v>55</v>
      </c>
      <c r="C22" s="403" t="s">
        <v>1089</v>
      </c>
      <c r="D22" s="280"/>
      <c r="E22" s="237"/>
      <c r="F22" s="237"/>
      <c r="G22" s="237"/>
      <c r="H22" s="238"/>
      <c r="I22" s="238"/>
      <c r="J22" s="238"/>
      <c r="K22" s="466"/>
      <c r="L22" s="1553" t="s">
        <v>341</v>
      </c>
      <c r="M22" s="256" t="s">
        <v>108</v>
      </c>
      <c r="N22" s="1725" t="str">
        <f>IF(Q22&lt;&gt;"",Q22,IF(File8960,SUM(L19,L21),""))</f>
        <v/>
      </c>
      <c r="O22" s="717"/>
      <c r="P22" s="265"/>
      <c r="Q22" s="470"/>
      <c r="R22" s="2562"/>
      <c r="S22" s="2562"/>
      <c r="T22" s="2562"/>
      <c r="U22" s="1761"/>
      <c r="V22" s="5323"/>
      <c r="W22" s="5323"/>
      <c r="X22" s="5323"/>
      <c r="Y22" s="5323"/>
      <c r="Z22" s="5323"/>
      <c r="AA22" s="5323"/>
      <c r="AB22" s="5323"/>
      <c r="AC22" s="5323"/>
      <c r="AD22" s="1877"/>
    </row>
    <row r="23" spans="1:40" ht="13.5" customHeight="1">
      <c r="A23" s="82"/>
      <c r="B23" s="161" t="s">
        <v>417</v>
      </c>
      <c r="C23" s="403" t="s">
        <v>1344</v>
      </c>
      <c r="D23" s="185"/>
      <c r="E23" s="237"/>
      <c r="F23" s="237"/>
      <c r="G23" s="237"/>
      <c r="H23" s="238"/>
      <c r="I23" s="162"/>
      <c r="J23" s="161" t="s">
        <v>634</v>
      </c>
      <c r="K23" s="2889" t="str">
        <f>B23</f>
        <v>5a</v>
      </c>
      <c r="L23" s="1725" t="str">
        <f>IF(Q23&lt;&gt;"",ROUND(Q23,0),IF(File8960,SUM(CapitalGains,OtherGainsLosses),""))</f>
        <v/>
      </c>
      <c r="M23" s="736"/>
      <c r="N23" s="555"/>
      <c r="O23" s="717"/>
      <c r="P23" s="265"/>
      <c r="Q23" s="470"/>
      <c r="R23" s="1450"/>
      <c r="S23" s="1450"/>
      <c r="T23" s="1450"/>
      <c r="U23" s="1761"/>
      <c r="V23" s="5323"/>
      <c r="W23" s="5323"/>
      <c r="X23" s="5323"/>
      <c r="Y23" s="5323"/>
      <c r="Z23" s="5323"/>
      <c r="AA23" s="5323"/>
      <c r="AB23" s="5323"/>
      <c r="AC23" s="5323"/>
      <c r="AD23" s="1877"/>
    </row>
    <row r="24" spans="1:40" s="1068" customFormat="1" ht="13.5" customHeight="1">
      <c r="A24" s="82"/>
      <c r="B24" s="161" t="s">
        <v>54</v>
      </c>
      <c r="C24" s="403" t="s">
        <v>1090</v>
      </c>
      <c r="D24" s="280"/>
      <c r="E24" s="237"/>
      <c r="F24" s="237"/>
      <c r="G24" s="237"/>
      <c r="H24" s="238"/>
      <c r="I24" s="238"/>
      <c r="J24" s="238"/>
      <c r="K24" s="4957"/>
      <c r="L24" s="162"/>
      <c r="M24" s="736"/>
      <c r="N24" s="604"/>
      <c r="O24" s="716"/>
      <c r="P24" s="1688"/>
      <c r="Q24" s="603"/>
      <c r="R24" s="2562"/>
      <c r="S24" s="2562"/>
      <c r="T24" s="2562"/>
      <c r="U24" s="1761"/>
      <c r="V24" s="5323"/>
      <c r="W24" s="5323"/>
      <c r="X24" s="5323"/>
      <c r="Y24" s="5323"/>
      <c r="Z24" s="5323"/>
      <c r="AA24" s="5323"/>
      <c r="AB24" s="5323"/>
      <c r="AC24" s="5323"/>
      <c r="AD24" s="1877"/>
      <c r="AF24" s="3169"/>
      <c r="AG24" s="3169"/>
      <c r="AH24" s="3169"/>
      <c r="AI24" s="3169"/>
      <c r="AJ24" s="3169"/>
      <c r="AK24" s="3169"/>
      <c r="AL24" s="3169"/>
      <c r="AM24" s="3169"/>
      <c r="AN24" s="3169"/>
    </row>
    <row r="25" spans="1:40" ht="13.5" customHeight="1">
      <c r="A25" s="82"/>
      <c r="B25" s="162"/>
      <c r="C25" s="403" t="s">
        <v>1091</v>
      </c>
      <c r="D25" s="185"/>
      <c r="E25" s="237"/>
      <c r="F25" s="237"/>
      <c r="G25" s="237"/>
      <c r="H25" s="238"/>
      <c r="I25" s="162"/>
      <c r="J25" s="161" t="s">
        <v>4640</v>
      </c>
      <c r="K25" s="2889" t="str">
        <f>B24</f>
        <v>b</v>
      </c>
      <c r="L25" s="1726"/>
      <c r="M25" s="736"/>
      <c r="N25" s="555"/>
      <c r="O25" s="717"/>
      <c r="P25" s="265"/>
      <c r="Q25" s="603"/>
      <c r="R25" s="1450"/>
      <c r="S25" s="1450"/>
      <c r="T25" s="1450"/>
      <c r="U25" s="1761"/>
      <c r="V25" s="5323"/>
      <c r="W25" s="5323"/>
      <c r="X25" s="5323"/>
      <c r="Y25" s="5323"/>
      <c r="Z25" s="5323"/>
      <c r="AA25" s="5323"/>
      <c r="AB25" s="5323"/>
      <c r="AC25" s="5323"/>
      <c r="AD25" s="2609"/>
    </row>
    <row r="26" spans="1:40" s="1068" customFormat="1" ht="13.5" customHeight="1">
      <c r="A26" s="82"/>
      <c r="B26" s="161" t="s">
        <v>55</v>
      </c>
      <c r="C26" s="403" t="s">
        <v>1092</v>
      </c>
      <c r="D26" s="280"/>
      <c r="E26" s="237"/>
      <c r="F26" s="237"/>
      <c r="G26" s="237"/>
      <c r="H26" s="238"/>
      <c r="I26" s="238"/>
      <c r="J26" s="238"/>
      <c r="K26" s="4957"/>
      <c r="L26" s="162"/>
      <c r="M26" s="736"/>
      <c r="N26" s="604"/>
      <c r="O26" s="716"/>
      <c r="P26" s="1688"/>
      <c r="Q26" s="603"/>
      <c r="R26" s="2562"/>
      <c r="S26" s="2562"/>
      <c r="T26" s="2562"/>
      <c r="U26" s="1761"/>
      <c r="V26" s="5323"/>
      <c r="W26" s="5323"/>
      <c r="X26" s="5323"/>
      <c r="Y26" s="5323"/>
      <c r="Z26" s="5323"/>
      <c r="AA26" s="5323"/>
      <c r="AB26" s="5323"/>
      <c r="AC26" s="5323"/>
      <c r="AD26" s="1877"/>
      <c r="AF26" s="3169"/>
      <c r="AG26" s="3169"/>
      <c r="AH26" s="3169"/>
      <c r="AI26" s="3169"/>
      <c r="AJ26" s="3169"/>
      <c r="AK26" s="3169"/>
      <c r="AL26" s="3169"/>
      <c r="AM26" s="3169"/>
      <c r="AN26" s="3169"/>
    </row>
    <row r="27" spans="1:40" ht="13.5" customHeight="1">
      <c r="A27" s="82"/>
      <c r="B27" s="162"/>
      <c r="C27" s="403" t="s">
        <v>1345</v>
      </c>
      <c r="D27" s="185"/>
      <c r="E27" s="237"/>
      <c r="F27" s="237"/>
      <c r="G27" s="237"/>
      <c r="H27" s="238"/>
      <c r="I27" s="162"/>
      <c r="J27" s="161" t="s">
        <v>4645</v>
      </c>
      <c r="K27" s="2889" t="str">
        <f>B26</f>
        <v>c</v>
      </c>
      <c r="L27" s="1726"/>
      <c r="M27" s="736"/>
      <c r="N27" s="555"/>
      <c r="O27" s="717"/>
      <c r="P27" s="265"/>
      <c r="Q27" s="603"/>
      <c r="R27" s="1450"/>
      <c r="S27" s="1450"/>
      <c r="T27" s="1450"/>
      <c r="U27" s="1761"/>
      <c r="V27" s="5323"/>
      <c r="W27" s="5323"/>
      <c r="X27" s="5323"/>
      <c r="Y27" s="5323"/>
      <c r="Z27" s="5323"/>
      <c r="AA27" s="5323"/>
      <c r="AB27" s="5323"/>
      <c r="AC27" s="5323"/>
      <c r="AD27" s="1877"/>
    </row>
    <row r="28" spans="1:40" ht="13.5" customHeight="1">
      <c r="A28" s="82"/>
      <c r="B28" s="161" t="s">
        <v>102</v>
      </c>
      <c r="C28" s="403" t="s">
        <v>1093</v>
      </c>
      <c r="D28" s="280"/>
      <c r="E28" s="237"/>
      <c r="F28" s="237"/>
      <c r="G28" s="237"/>
      <c r="H28" s="238"/>
      <c r="I28" s="238"/>
      <c r="J28" s="238"/>
      <c r="K28" s="466"/>
      <c r="L28" s="1553" t="s">
        <v>341</v>
      </c>
      <c r="M28" s="256" t="s">
        <v>1097</v>
      </c>
      <c r="N28" s="1725" t="str">
        <f>IF(Q28&lt;&gt;"",Q28,IF(File8960,SUM(L23,L25,L27),""))</f>
        <v/>
      </c>
      <c r="O28" s="717"/>
      <c r="P28" s="265"/>
      <c r="Q28" s="470"/>
      <c r="R28" s="2562"/>
      <c r="S28" s="2562"/>
      <c r="T28" s="2562"/>
      <c r="U28" s="1761"/>
      <c r="V28" s="5323"/>
      <c r="W28" s="5323"/>
      <c r="X28" s="5323"/>
      <c r="Y28" s="5323"/>
      <c r="Z28" s="5323"/>
      <c r="AA28" s="5323"/>
      <c r="AB28" s="5323"/>
      <c r="AC28" s="5323"/>
      <c r="AD28" s="1877"/>
    </row>
    <row r="29" spans="1:40" ht="13.5" customHeight="1">
      <c r="A29" s="82"/>
      <c r="B29" s="161">
        <v>6</v>
      </c>
      <c r="C29" s="403" t="s">
        <v>1094</v>
      </c>
      <c r="D29" s="280"/>
      <c r="E29" s="237"/>
      <c r="F29" s="237"/>
      <c r="G29" s="237"/>
      <c r="H29" s="238"/>
      <c r="I29" s="238"/>
      <c r="J29" s="238"/>
      <c r="K29" s="466"/>
      <c r="L29" s="1553" t="s">
        <v>625</v>
      </c>
      <c r="M29" s="256">
        <f>B29</f>
        <v>6</v>
      </c>
      <c r="N29" s="1726"/>
      <c r="O29" s="717"/>
      <c r="P29" s="265"/>
      <c r="Q29" s="603"/>
      <c r="R29" s="2562"/>
      <c r="S29" s="2562"/>
      <c r="T29" s="2562"/>
      <c r="U29" s="1761"/>
      <c r="V29" s="5323"/>
      <c r="W29" s="5323"/>
      <c r="X29" s="5323"/>
      <c r="Y29" s="5323"/>
      <c r="Z29" s="5323"/>
      <c r="AA29" s="5323"/>
      <c r="AB29" s="5323"/>
      <c r="AC29" s="5323"/>
      <c r="AD29" s="1877"/>
    </row>
    <row r="30" spans="1:40" ht="13.5" customHeight="1">
      <c r="A30" s="82"/>
      <c r="B30" s="161">
        <v>7</v>
      </c>
      <c r="C30" s="403" t="s">
        <v>1095</v>
      </c>
      <c r="D30" s="280"/>
      <c r="E30" s="237"/>
      <c r="F30" s="237"/>
      <c r="G30" s="237"/>
      <c r="H30" s="238"/>
      <c r="I30" s="238"/>
      <c r="J30" s="238"/>
      <c r="K30" s="466"/>
      <c r="L30" s="1553" t="s">
        <v>312</v>
      </c>
      <c r="M30" s="256">
        <f>B30</f>
        <v>7</v>
      </c>
      <c r="N30" s="1726"/>
      <c r="O30" s="717"/>
      <c r="P30" s="265"/>
      <c r="Q30" s="603"/>
      <c r="R30" s="2562"/>
      <c r="S30" s="2562"/>
      <c r="T30" s="2562"/>
      <c r="U30" s="1761"/>
      <c r="V30" s="4547"/>
      <c r="W30" s="4547"/>
      <c r="X30" s="5141" t="s">
        <v>943</v>
      </c>
      <c r="Y30" s="4547"/>
      <c r="Z30" s="5215" t="str">
        <f>IF(SchA_Filed,"","Line 9b used only when Sch. A is used.")</f>
        <v>Line 9b used only when Sch. A is used.</v>
      </c>
      <c r="AA30" s="4547"/>
      <c r="AB30" s="5214" t="s">
        <v>2130</v>
      </c>
      <c r="AC30" s="4547"/>
      <c r="AD30" s="1877"/>
    </row>
    <row r="31" spans="1:40" ht="13.5" customHeight="1">
      <c r="A31" s="82"/>
      <c r="B31" s="161">
        <v>8</v>
      </c>
      <c r="C31" s="403" t="s">
        <v>1096</v>
      </c>
      <c r="D31" s="280"/>
      <c r="E31" s="237"/>
      <c r="F31" s="237"/>
      <c r="G31" s="237"/>
      <c r="H31" s="238"/>
      <c r="I31" s="238"/>
      <c r="J31" s="238"/>
      <c r="K31" s="466"/>
      <c r="L31" s="1553" t="s">
        <v>679</v>
      </c>
      <c r="M31" s="256">
        <f>B31</f>
        <v>8</v>
      </c>
      <c r="N31" s="1725" t="str">
        <f>IF(Q31&lt;&gt;"",Q31,IF(File8960,SUM(N15,N16,N17,N22,N28,N29,N30),""))</f>
        <v/>
      </c>
      <c r="O31" s="717"/>
      <c r="P31" s="265"/>
      <c r="Q31" s="470"/>
      <c r="R31" s="2562"/>
      <c r="S31" s="2562"/>
      <c r="T31" s="2562"/>
      <c r="U31" s="1761"/>
      <c r="V31" s="4547"/>
      <c r="W31" s="4547"/>
      <c r="X31" s="5140" t="s">
        <v>4901</v>
      </c>
      <c r="Y31" s="4547"/>
      <c r="Z31" s="5148" t="str">
        <f>IF(SchA_Filed,Wages,"")</f>
        <v/>
      </c>
      <c r="AA31" s="4547"/>
      <c r="AB31" s="5323" t="s">
        <v>4970</v>
      </c>
      <c r="AC31" s="5324"/>
      <c r="AD31" s="1877"/>
    </row>
    <row r="32" spans="1:40" s="1068" customFormat="1" ht="15.75" customHeight="1">
      <c r="A32" s="82"/>
      <c r="B32" s="618" t="s">
        <v>130</v>
      </c>
      <c r="C32" s="7655" t="s">
        <v>1098</v>
      </c>
      <c r="D32" s="7656"/>
      <c r="E32" s="7657"/>
      <c r="F32" s="7657"/>
      <c r="G32" s="7657"/>
      <c r="H32" s="7657"/>
      <c r="I32" s="7657"/>
      <c r="J32" s="7657"/>
      <c r="K32" s="7657"/>
      <c r="L32" s="7657"/>
      <c r="M32" s="7657"/>
      <c r="N32" s="7657"/>
      <c r="O32" s="718"/>
      <c r="P32" s="619"/>
      <c r="Q32" s="603"/>
      <c r="R32" s="5071"/>
      <c r="S32" s="5072"/>
      <c r="T32" s="5072"/>
      <c r="U32" s="1761"/>
      <c r="V32" s="4547"/>
      <c r="W32" s="4547"/>
      <c r="X32" s="5140" t="s">
        <v>4902</v>
      </c>
      <c r="Y32" s="4547"/>
      <c r="Z32" s="5148" t="str">
        <f>IF(SchA_Filed,TaxableInterest,"")</f>
        <v/>
      </c>
      <c r="AA32" s="4547"/>
      <c r="AB32" s="5324"/>
      <c r="AC32" s="5324"/>
      <c r="AD32" s="1877"/>
      <c r="AF32" s="3169"/>
      <c r="AG32" s="3169"/>
      <c r="AH32" s="3169"/>
      <c r="AI32" s="3169"/>
      <c r="AJ32" s="3169"/>
      <c r="AK32" s="3169"/>
      <c r="AL32" s="3169"/>
      <c r="AM32" s="3169"/>
      <c r="AN32" s="3169"/>
    </row>
    <row r="33" spans="1:40" ht="13.5" customHeight="1">
      <c r="A33" s="82"/>
      <c r="B33" s="161" t="s">
        <v>324</v>
      </c>
      <c r="C33" s="403" t="s">
        <v>1099</v>
      </c>
      <c r="D33" s="185"/>
      <c r="E33" s="237"/>
      <c r="F33" s="237"/>
      <c r="G33" s="237"/>
      <c r="H33" s="238"/>
      <c r="I33" s="162"/>
      <c r="J33" s="161" t="s">
        <v>667</v>
      </c>
      <c r="K33" s="2889" t="str">
        <f>B33</f>
        <v>9a</v>
      </c>
      <c r="L33" s="1726"/>
      <c r="M33" s="736"/>
      <c r="N33" s="1753"/>
      <c r="O33" s="717"/>
      <c r="P33" s="265"/>
      <c r="Q33" s="603"/>
      <c r="R33" s="1450"/>
      <c r="S33" s="1450"/>
      <c r="T33" s="1450"/>
      <c r="U33" s="1761"/>
      <c r="V33" s="4547"/>
      <c r="W33" s="4547"/>
      <c r="X33" s="5140" t="s">
        <v>4903</v>
      </c>
      <c r="Y33" s="4547"/>
      <c r="Z33" s="5148" t="str">
        <f>IF(SchA_Filed,OrdinaryDividends,"")</f>
        <v/>
      </c>
      <c r="AA33" s="4547"/>
      <c r="AB33" s="5324"/>
      <c r="AC33" s="5324"/>
      <c r="AD33" s="1877"/>
    </row>
    <row r="34" spans="1:40" ht="13.5" customHeight="1">
      <c r="A34" s="82"/>
      <c r="B34" s="161" t="s">
        <v>54</v>
      </c>
      <c r="C34" s="403" t="s">
        <v>2538</v>
      </c>
      <c r="D34" s="185"/>
      <c r="E34" s="237"/>
      <c r="F34" s="237"/>
      <c r="G34" s="237"/>
      <c r="H34" s="238"/>
      <c r="I34" s="162"/>
      <c r="J34" s="161" t="s">
        <v>625</v>
      </c>
      <c r="K34" s="343" t="s">
        <v>325</v>
      </c>
      <c r="L34" s="1725" t="str">
        <f>IF(Q34&lt;&gt;"",ROUND(Q34,0),IF(AND(SchA_Filed,File8960),Z45,""))</f>
        <v/>
      </c>
      <c r="M34" s="736"/>
      <c r="N34" s="555"/>
      <c r="O34" s="717"/>
      <c r="P34" s="265"/>
      <c r="Q34" s="470"/>
      <c r="R34" s="1450"/>
      <c r="S34" s="1450"/>
      <c r="T34" s="1450"/>
      <c r="U34" s="1761"/>
      <c r="V34" s="4547"/>
      <c r="W34" s="4547"/>
      <c r="X34" s="5140" t="s">
        <v>4904</v>
      </c>
      <c r="Y34" s="4547"/>
      <c r="Z34" s="5148" t="str">
        <f>CapitalGains</f>
        <v/>
      </c>
      <c r="AA34" s="4547"/>
      <c r="AB34" s="5324"/>
      <c r="AC34" s="5324"/>
      <c r="AD34" s="1877"/>
    </row>
    <row r="35" spans="1:40" ht="13.5" customHeight="1">
      <c r="A35" s="82"/>
      <c r="B35" s="161" t="s">
        <v>55</v>
      </c>
      <c r="C35" s="403" t="s">
        <v>1101</v>
      </c>
      <c r="D35" s="185"/>
      <c r="E35" s="237"/>
      <c r="F35" s="237"/>
      <c r="G35" s="237"/>
      <c r="H35" s="238"/>
      <c r="I35" s="162"/>
      <c r="J35" s="161" t="s">
        <v>625</v>
      </c>
      <c r="K35" s="343" t="s">
        <v>1103</v>
      </c>
      <c r="L35" s="1726"/>
      <c r="M35" s="736"/>
      <c r="N35" s="555"/>
      <c r="O35" s="717"/>
      <c r="P35" s="265"/>
      <c r="Q35" s="603"/>
      <c r="R35" s="1450"/>
      <c r="S35" s="1450"/>
      <c r="T35" s="1450"/>
      <c r="U35" s="1761"/>
      <c r="V35" s="4547"/>
      <c r="W35" s="4547"/>
      <c r="X35" s="5140" t="s">
        <v>4911</v>
      </c>
      <c r="Y35" s="4547"/>
      <c r="Z35" s="5148" t="str">
        <f>IF(SchA_Filed,NonQualAnnuity,"")</f>
        <v/>
      </c>
      <c r="AA35" s="4547"/>
      <c r="AB35" s="5324"/>
      <c r="AC35" s="5324"/>
      <c r="AD35" s="1877"/>
    </row>
    <row r="36" spans="1:40" ht="13.5" customHeight="1">
      <c r="A36" s="82"/>
      <c r="B36" s="161" t="s">
        <v>102</v>
      </c>
      <c r="C36" s="403" t="s">
        <v>1104</v>
      </c>
      <c r="D36" s="280"/>
      <c r="E36" s="237"/>
      <c r="F36" s="237"/>
      <c r="G36" s="237"/>
      <c r="H36" s="238"/>
      <c r="I36" s="238"/>
      <c r="J36" s="238"/>
      <c r="K36" s="466"/>
      <c r="L36" s="1553" t="s">
        <v>1342</v>
      </c>
      <c r="M36" s="256" t="s">
        <v>1102</v>
      </c>
      <c r="N36" s="1725" t="str">
        <f>IF(Q36&lt;&gt;"",Q36,IF(File8960,SUM(L33,L34,L35),""))</f>
        <v/>
      </c>
      <c r="O36" s="717"/>
      <c r="P36" s="265"/>
      <c r="Q36" s="470"/>
      <c r="R36" s="2562"/>
      <c r="S36" s="2562"/>
      <c r="T36" s="2562"/>
      <c r="U36" s="1761"/>
      <c r="V36" s="4547"/>
      <c r="W36" s="4547"/>
      <c r="X36" s="5140" t="s">
        <v>4905</v>
      </c>
      <c r="Y36" s="4547"/>
      <c r="Z36" s="5148" t="str">
        <f>IF(SchA_Filed,Adj_Gross_Inc,"")</f>
        <v/>
      </c>
      <c r="AA36" s="5142" t="s">
        <v>159</v>
      </c>
      <c r="AB36" s="5324"/>
      <c r="AC36" s="5324"/>
      <c r="AD36" s="1877"/>
      <c r="AE36" s="1701"/>
    </row>
    <row r="37" spans="1:40" ht="13.5" customHeight="1">
      <c r="A37" s="82"/>
      <c r="B37" s="161">
        <v>10</v>
      </c>
      <c r="C37" s="403" t="s">
        <v>1105</v>
      </c>
      <c r="D37" s="280"/>
      <c r="E37" s="237"/>
      <c r="F37" s="237"/>
      <c r="G37" s="237"/>
      <c r="H37" s="238"/>
      <c r="I37" s="238"/>
      <c r="J37" s="238"/>
      <c r="K37" s="466"/>
      <c r="L37" s="1553" t="s">
        <v>745</v>
      </c>
      <c r="M37" s="256">
        <f>B37</f>
        <v>10</v>
      </c>
      <c r="N37" s="1726"/>
      <c r="O37" s="717"/>
      <c r="P37" s="265"/>
      <c r="Q37" s="603"/>
      <c r="R37" s="2562"/>
      <c r="S37" s="2562"/>
      <c r="T37" s="2562"/>
      <c r="U37" s="1761"/>
      <c r="V37" s="4547"/>
      <c r="W37" s="4547"/>
      <c r="X37" s="5140"/>
      <c r="Y37" s="4547"/>
      <c r="Z37" s="5143"/>
      <c r="AA37" s="4547"/>
      <c r="AB37" s="5324"/>
      <c r="AC37" s="5324"/>
      <c r="AD37" s="1877"/>
      <c r="AE37" s="1701"/>
    </row>
    <row r="38" spans="1:40" ht="13.5" customHeight="1">
      <c r="A38" s="82"/>
      <c r="B38" s="161">
        <v>11</v>
      </c>
      <c r="C38" s="403" t="s">
        <v>1106</v>
      </c>
      <c r="D38" s="280"/>
      <c r="E38" s="237"/>
      <c r="F38" s="237"/>
      <c r="G38" s="237"/>
      <c r="H38" s="238"/>
      <c r="I38" s="238"/>
      <c r="J38" s="238"/>
      <c r="K38" s="466"/>
      <c r="L38" s="1553" t="s">
        <v>677</v>
      </c>
      <c r="M38" s="256">
        <f>B38</f>
        <v>11</v>
      </c>
      <c r="N38" s="1725" t="str">
        <f>IF(Q38&lt;&gt;"",Q38,IF(File8960,SUM(N36,N37),""))</f>
        <v/>
      </c>
      <c r="O38" s="717"/>
      <c r="P38" s="265"/>
      <c r="Q38" s="470"/>
      <c r="R38" s="2562"/>
      <c r="S38" s="2562"/>
      <c r="T38" s="2562"/>
      <c r="U38" s="1761"/>
      <c r="V38" s="4547"/>
      <c r="W38" s="4547"/>
      <c r="X38" s="5141" t="s">
        <v>4906</v>
      </c>
      <c r="Y38" s="4547"/>
      <c r="Z38" s="5143"/>
      <c r="AA38" s="4547"/>
      <c r="AB38" s="5324"/>
      <c r="AC38" s="5324"/>
      <c r="AD38" s="1877"/>
      <c r="AE38" s="1701"/>
    </row>
    <row r="39" spans="1:40" s="1068" customFormat="1" ht="15.75" customHeight="1">
      <c r="A39" s="82"/>
      <c r="B39" s="618" t="s">
        <v>363</v>
      </c>
      <c r="C39" s="7655" t="s">
        <v>1107</v>
      </c>
      <c r="D39" s="7656"/>
      <c r="E39" s="7657"/>
      <c r="F39" s="7657"/>
      <c r="G39" s="7657"/>
      <c r="H39" s="7657"/>
      <c r="I39" s="7657"/>
      <c r="J39" s="7657"/>
      <c r="K39" s="7657"/>
      <c r="L39" s="7657"/>
      <c r="M39" s="7657"/>
      <c r="N39" s="7657"/>
      <c r="O39" s="718"/>
      <c r="P39" s="619"/>
      <c r="Q39" s="603"/>
      <c r="R39" s="5071"/>
      <c r="S39" s="5072"/>
      <c r="T39" s="5072"/>
      <c r="U39" s="1761"/>
      <c r="V39" s="4547"/>
      <c r="W39" s="4547"/>
      <c r="X39" s="5144" t="s">
        <v>4907</v>
      </c>
      <c r="Y39" s="4547"/>
      <c r="Z39" s="5148" t="str">
        <f>IF(SchA_Filed,StateLocalTaxesPaid,"")</f>
        <v/>
      </c>
      <c r="AA39" s="5142" t="s">
        <v>327</v>
      </c>
      <c r="AB39" s="5324"/>
      <c r="AC39" s="5324"/>
      <c r="AD39" s="1877"/>
      <c r="AE39" s="3"/>
      <c r="AF39" s="3169"/>
      <c r="AG39" s="3169"/>
      <c r="AH39" s="3169"/>
      <c r="AI39" s="3169"/>
      <c r="AJ39" s="3169"/>
      <c r="AK39" s="3169"/>
      <c r="AL39" s="3169"/>
      <c r="AM39" s="3169"/>
      <c r="AN39" s="3169"/>
    </row>
    <row r="40" spans="1:40" s="1068" customFormat="1" ht="13.5" customHeight="1">
      <c r="A40" s="82"/>
      <c r="B40" s="161">
        <v>12</v>
      </c>
      <c r="C40" s="403" t="s">
        <v>1130</v>
      </c>
      <c r="D40" s="280"/>
      <c r="E40" s="237"/>
      <c r="F40" s="237"/>
      <c r="G40" s="237"/>
      <c r="H40" s="238"/>
      <c r="I40" s="238"/>
      <c r="J40" s="238"/>
      <c r="K40" s="466"/>
      <c r="L40" s="162"/>
      <c r="M40" s="232"/>
      <c r="N40" s="1746">
        <v>8.9999999999999993E-3</v>
      </c>
      <c r="O40" s="716"/>
      <c r="P40" s="1688"/>
      <c r="Q40" s="603"/>
      <c r="R40" s="2562"/>
      <c r="S40" s="2562"/>
      <c r="T40" s="2562"/>
      <c r="U40" s="1761"/>
      <c r="V40" s="4547"/>
      <c r="W40" s="4547"/>
      <c r="X40" s="5140"/>
      <c r="Y40" s="4547"/>
      <c r="Z40" s="5143"/>
      <c r="AA40" s="4547"/>
      <c r="AB40" s="5324"/>
      <c r="AC40" s="5324"/>
      <c r="AD40" s="1877"/>
      <c r="AE40" s="3"/>
      <c r="AF40" s="3169"/>
      <c r="AG40" s="3169"/>
      <c r="AH40" s="3169"/>
      <c r="AI40" s="3169"/>
      <c r="AJ40" s="3169"/>
      <c r="AK40" s="3169"/>
      <c r="AL40" s="3169"/>
      <c r="AM40" s="3169"/>
      <c r="AN40" s="3169"/>
    </row>
    <row r="41" spans="1:40" ht="13.5" customHeight="1">
      <c r="A41" s="82"/>
      <c r="B41" s="161"/>
      <c r="C41" s="403" t="s">
        <v>1131</v>
      </c>
      <c r="D41" s="185"/>
      <c r="E41" s="237"/>
      <c r="F41" s="237"/>
      <c r="G41" s="237"/>
      <c r="H41" s="238"/>
      <c r="I41" s="238"/>
      <c r="J41" s="238"/>
      <c r="K41" s="466"/>
      <c r="L41" s="1553" t="s">
        <v>178</v>
      </c>
      <c r="M41" s="232">
        <f>B40</f>
        <v>12</v>
      </c>
      <c r="N41" s="1725" t="str">
        <f>IF(Q41&lt;&gt;"",ROUND(Q41,0),IF(File8960,MAX(0,SUM(N31,-N38)),""))</f>
        <v/>
      </c>
      <c r="O41" s="717"/>
      <c r="P41" s="266"/>
      <c r="Q41" s="470"/>
      <c r="R41" s="2562"/>
      <c r="S41" s="3239"/>
      <c r="T41" s="3239"/>
      <c r="U41" s="1761"/>
      <c r="V41" s="4547"/>
      <c r="W41" s="4547"/>
      <c r="X41" s="5141" t="s">
        <v>4332</v>
      </c>
      <c r="Y41" s="4547"/>
      <c r="Z41" s="5143"/>
      <c r="AA41" s="4547"/>
      <c r="AB41" s="5324"/>
      <c r="AC41" s="5324"/>
      <c r="AD41" s="1877"/>
      <c r="AE41" s="1701"/>
    </row>
    <row r="42" spans="1:40" ht="13.5" customHeight="1">
      <c r="A42" s="82"/>
      <c r="B42" s="161"/>
      <c r="C42" s="4960" t="s">
        <v>1108</v>
      </c>
      <c r="D42" s="185"/>
      <c r="E42" s="237"/>
      <c r="F42" s="237"/>
      <c r="G42" s="237"/>
      <c r="H42" s="238"/>
      <c r="I42" s="238"/>
      <c r="J42" s="238"/>
      <c r="K42" s="466"/>
      <c r="L42" s="1689"/>
      <c r="M42" s="736"/>
      <c r="N42" s="1783">
        <v>250000</v>
      </c>
      <c r="O42" s="717"/>
      <c r="P42" s="266"/>
      <c r="Q42" s="603"/>
      <c r="R42" s="2562"/>
      <c r="S42" s="3239"/>
      <c r="T42" s="3239"/>
      <c r="U42" s="1761"/>
      <c r="V42" s="4547"/>
      <c r="W42" s="4547"/>
      <c r="X42" s="5144" t="s">
        <v>4908</v>
      </c>
      <c r="Y42" s="4547"/>
      <c r="Z42" s="5148" t="str">
        <f>IF(SchA_Filed,N31,"")</f>
        <v/>
      </c>
      <c r="AA42" s="5142" t="s">
        <v>160</v>
      </c>
      <c r="AB42" s="5324"/>
      <c r="AC42" s="5324"/>
      <c r="AD42" s="1877"/>
      <c r="AE42" s="1701"/>
    </row>
    <row r="43" spans="1:40" ht="13.5" customHeight="1">
      <c r="A43" s="82"/>
      <c r="B43" s="161">
        <v>13</v>
      </c>
      <c r="C43" s="403" t="s">
        <v>1109</v>
      </c>
      <c r="D43" s="185"/>
      <c r="E43" s="237"/>
      <c r="F43" s="237"/>
      <c r="G43" s="237"/>
      <c r="H43" s="238"/>
      <c r="I43" s="162"/>
      <c r="J43" s="161" t="s">
        <v>667</v>
      </c>
      <c r="K43" s="2889">
        <f>B43</f>
        <v>13</v>
      </c>
      <c r="L43" s="1725" t="str">
        <f>IF(Q43&lt;&gt;"",ROUND(Q43,0),IF(File8960,ModAdjGrossInc,""))</f>
        <v/>
      </c>
      <c r="M43" s="736"/>
      <c r="N43" s="1784">
        <v>125000</v>
      </c>
      <c r="O43" s="717"/>
      <c r="P43" s="265"/>
      <c r="Q43" s="470"/>
      <c r="R43" s="1450"/>
      <c r="S43" s="1450"/>
      <c r="T43" s="1450"/>
      <c r="U43" s="1761"/>
      <c r="V43" s="4547"/>
      <c r="W43" s="4547"/>
      <c r="X43" s="4547"/>
      <c r="Y43" s="4547"/>
      <c r="Z43" s="4547"/>
      <c r="AA43" s="4547"/>
      <c r="AB43" s="5324"/>
      <c r="AC43" s="5324"/>
      <c r="AD43" s="1877"/>
      <c r="AE43" s="1701"/>
    </row>
    <row r="44" spans="1:40" ht="13.5" customHeight="1">
      <c r="A44" s="82"/>
      <c r="B44" s="161">
        <v>14</v>
      </c>
      <c r="C44" s="403" t="s">
        <v>1110</v>
      </c>
      <c r="D44" s="185"/>
      <c r="E44" s="237"/>
      <c r="F44" s="237"/>
      <c r="G44" s="237"/>
      <c r="H44" s="238"/>
      <c r="I44" s="162"/>
      <c r="J44" s="161" t="s">
        <v>667</v>
      </c>
      <c r="K44" s="2889">
        <f>B44</f>
        <v>14</v>
      </c>
      <c r="L44" s="1725" t="str">
        <f>IF(N45="---","Filing status?",IF(File8960,N45,""))</f>
        <v>Filing status?</v>
      </c>
      <c r="M44" s="736"/>
      <c r="N44" s="1784">
        <v>200000</v>
      </c>
      <c r="O44" s="717"/>
      <c r="P44" s="265"/>
      <c r="Q44" s="603"/>
      <c r="R44" s="1450"/>
      <c r="S44" s="1450"/>
      <c r="T44" s="1450"/>
      <c r="U44" s="1761"/>
      <c r="V44" s="4547"/>
      <c r="W44" s="4547"/>
      <c r="X44" s="5141" t="s">
        <v>4332</v>
      </c>
      <c r="Y44" s="4547"/>
      <c r="Z44" s="4547"/>
      <c r="AA44" s="4547"/>
      <c r="AB44" s="5324"/>
      <c r="AC44" s="5324"/>
      <c r="AD44" s="1877"/>
      <c r="AE44" s="1701"/>
    </row>
    <row r="45" spans="1:40" ht="13.5" customHeight="1">
      <c r="A45" s="82"/>
      <c r="B45" s="161">
        <v>15</v>
      </c>
      <c r="C45" s="403" t="s">
        <v>1111</v>
      </c>
      <c r="D45" s="185"/>
      <c r="E45" s="237"/>
      <c r="F45" s="237"/>
      <c r="G45" s="237"/>
      <c r="H45" s="238"/>
      <c r="I45" s="162"/>
      <c r="J45" s="161" t="s">
        <v>747</v>
      </c>
      <c r="K45" s="2889">
        <f>B45</f>
        <v>15</v>
      </c>
      <c r="L45" s="1725" t="str">
        <f>IF(N45="---","",IF(File8960,MAX(0,SUM(L43,-L44)),""))</f>
        <v/>
      </c>
      <c r="M45" s="736"/>
      <c r="N45" s="1784" t="str">
        <f>IF(OR(File_Marr_Joint&lt;&gt;"",File_Qual_Widow&lt;&gt;""),N42,IF(File_Marr_Sep&lt;&gt;"",N43,IF(OR(File_Single&lt;&gt;"",File_Head&lt;&gt;""),N44,"---")))</f>
        <v>---</v>
      </c>
      <c r="O45" s="717"/>
      <c r="P45" s="265"/>
      <c r="Q45" s="603"/>
      <c r="R45" s="1450"/>
      <c r="S45" s="1450"/>
      <c r="T45" s="1450"/>
      <c r="U45" s="1761"/>
      <c r="V45" s="4547"/>
      <c r="W45" s="4547"/>
      <c r="X45" s="5140" t="s">
        <v>4909</v>
      </c>
      <c r="Y45" s="4547"/>
      <c r="Z45" s="5149" t="str">
        <f>IF(NOT(SchA_Filed),"",IF(ISERROR(Z39*(Z42/Z36)),"---",ROUND(Z39*(Z42/Z36),0)))</f>
        <v/>
      </c>
      <c r="AA45" s="5142" t="s">
        <v>4910</v>
      </c>
      <c r="AB45" s="4547"/>
      <c r="AC45" s="4547"/>
      <c r="AD45" s="1877"/>
      <c r="AE45" s="1701"/>
    </row>
    <row r="46" spans="1:40" ht="13.5" customHeight="1">
      <c r="A46" s="82"/>
      <c r="B46" s="161">
        <v>16</v>
      </c>
      <c r="C46" s="403" t="s">
        <v>1112</v>
      </c>
      <c r="D46" s="280"/>
      <c r="E46" s="237"/>
      <c r="F46" s="237"/>
      <c r="G46" s="237"/>
      <c r="H46" s="238"/>
      <c r="I46" s="238"/>
      <c r="J46" s="238"/>
      <c r="K46" s="466"/>
      <c r="L46" s="1553" t="s">
        <v>492</v>
      </c>
      <c r="M46" s="256">
        <f>B46</f>
        <v>16</v>
      </c>
      <c r="N46" s="1725" t="str">
        <f>IF(N45="---","",IF(Q46&lt;&gt;"",ROUND(Q46,0),IF(File8960,MIN(N41,L45),"")))</f>
        <v/>
      </c>
      <c r="O46" s="717"/>
      <c r="P46" s="265"/>
      <c r="Q46" s="470"/>
      <c r="R46" s="2562"/>
      <c r="S46" s="2562"/>
      <c r="T46" s="2562"/>
      <c r="U46" s="1761"/>
      <c r="V46" s="4547"/>
      <c r="W46" s="4547"/>
      <c r="X46" s="4547"/>
      <c r="Y46" s="4547"/>
      <c r="Z46" s="4547"/>
      <c r="AA46" s="4547"/>
      <c r="AB46" s="4547"/>
      <c r="AC46" s="4547"/>
      <c r="AD46" s="1877"/>
      <c r="AE46" s="1701"/>
    </row>
    <row r="47" spans="1:40" s="1068" customFormat="1" ht="13.5" customHeight="1" thickBot="1">
      <c r="A47" s="82"/>
      <c r="B47" s="161">
        <v>17</v>
      </c>
      <c r="C47" s="403" t="str">
        <f>"Net investment income tax for individuals. Multiply line 16 by "&amp;TEXT(N47,"0.0%")&amp;" ("&amp;TEXT(N47,"0.000")&amp;")."</f>
        <v>Net investment income tax for individuals. Multiply line 16 by 3.8% (0.038).</v>
      </c>
      <c r="D47" s="280"/>
      <c r="E47" s="237"/>
      <c r="F47" s="237"/>
      <c r="G47" s="237"/>
      <c r="H47" s="238"/>
      <c r="I47" s="238"/>
      <c r="J47" s="238"/>
      <c r="K47" s="466"/>
      <c r="L47" s="162"/>
      <c r="M47" s="232"/>
      <c r="N47" s="1746">
        <v>3.7999999999999999E-2</v>
      </c>
      <c r="O47" s="716"/>
      <c r="P47" s="1688"/>
      <c r="Q47" s="603"/>
      <c r="R47" s="2562"/>
      <c r="S47" s="2562"/>
      <c r="T47" s="2562"/>
      <c r="U47" s="1769"/>
      <c r="V47" s="2610"/>
      <c r="W47" s="2610"/>
      <c r="X47" s="2610"/>
      <c r="Y47" s="2610"/>
      <c r="Z47" s="2610"/>
      <c r="AA47" s="2610"/>
      <c r="AB47" s="2610"/>
      <c r="AC47" s="2610"/>
      <c r="AD47" s="2611"/>
      <c r="AE47" s="3"/>
      <c r="AF47" s="3169"/>
      <c r="AG47" s="3169"/>
      <c r="AH47" s="3169"/>
      <c r="AI47" s="3169"/>
      <c r="AJ47" s="3169"/>
      <c r="AK47" s="3169"/>
      <c r="AL47" s="3169"/>
      <c r="AM47" s="3169"/>
      <c r="AN47" s="3169"/>
    </row>
    <row r="48" spans="1:40" ht="13.5" customHeight="1" thickBot="1">
      <c r="A48" s="82"/>
      <c r="B48" s="161"/>
      <c r="C48" s="4961" t="s">
        <v>4641</v>
      </c>
      <c r="D48" s="185"/>
      <c r="E48" s="237"/>
      <c r="F48" s="237"/>
      <c r="G48" s="237"/>
      <c r="H48" s="238"/>
      <c r="I48" s="238"/>
      <c r="J48" s="238"/>
      <c r="K48" s="466"/>
      <c r="L48" s="1553" t="s">
        <v>679</v>
      </c>
      <c r="M48" s="232">
        <f>B47</f>
        <v>17</v>
      </c>
      <c r="N48" s="1725" t="str">
        <f>IF(N45="---","",IF(Q48&lt;&gt;"",ROUND(Q48,0),IF(File8960,ROUND(N46*N47,0),"")))</f>
        <v/>
      </c>
      <c r="O48" s="717"/>
      <c r="P48" s="266"/>
      <c r="Q48" s="470"/>
      <c r="R48" s="2562"/>
      <c r="S48" s="3239"/>
      <c r="T48" s="3239"/>
      <c r="U48" s="1408"/>
      <c r="V48" s="1766"/>
      <c r="W48" s="1766"/>
      <c r="X48" s="1766"/>
      <c r="Y48" s="1766"/>
      <c r="Z48" s="1766"/>
      <c r="AA48" s="1766"/>
      <c r="AB48" s="1766"/>
      <c r="AC48" s="1766"/>
      <c r="AD48" s="1766"/>
      <c r="AE48" s="1701"/>
    </row>
    <row r="49" spans="1:40" ht="16.5" customHeight="1">
      <c r="A49" s="82"/>
      <c r="B49" s="161"/>
      <c r="C49" s="1754" t="s">
        <v>1113</v>
      </c>
      <c r="D49" s="185"/>
      <c r="E49" s="237"/>
      <c r="F49" s="237"/>
      <c r="G49" s="237"/>
      <c r="H49" s="238"/>
      <c r="I49" s="238"/>
      <c r="J49" s="238"/>
      <c r="K49" s="466"/>
      <c r="L49" s="1689"/>
      <c r="M49" s="736"/>
      <c r="N49" s="1755"/>
      <c r="O49" s="717"/>
      <c r="P49" s="266"/>
      <c r="Q49" s="603"/>
      <c r="R49" s="2562"/>
      <c r="S49" s="3239"/>
      <c r="T49" s="3239"/>
      <c r="U49" s="1758"/>
      <c r="V49" s="1759"/>
      <c r="W49" s="1759"/>
      <c r="X49" s="1759"/>
      <c r="Y49" s="1759"/>
      <c r="Z49" s="1759"/>
      <c r="AA49" s="1759"/>
      <c r="AB49" s="1759"/>
      <c r="AC49" s="1759"/>
      <c r="AD49" s="1760"/>
      <c r="AE49" s="1701"/>
    </row>
    <row r="50" spans="1:40" ht="13.5" customHeight="1">
      <c r="A50" s="82"/>
      <c r="B50" s="161" t="s">
        <v>1114</v>
      </c>
      <c r="C50" s="280" t="s">
        <v>1115</v>
      </c>
      <c r="D50" s="185"/>
      <c r="E50" s="237"/>
      <c r="F50" s="237"/>
      <c r="G50" s="237"/>
      <c r="H50" s="238"/>
      <c r="I50" s="162"/>
      <c r="J50" s="161" t="s">
        <v>4643</v>
      </c>
      <c r="K50" s="2889" t="str">
        <f>B50</f>
        <v>18a</v>
      </c>
      <c r="L50" s="3056" t="str">
        <f>IF(Q50&lt;&gt;"",ROUND(Q50,0),N41)</f>
        <v/>
      </c>
      <c r="M50" s="736"/>
      <c r="N50" s="1756"/>
      <c r="O50" s="717"/>
      <c r="P50" s="265"/>
      <c r="Q50" s="470"/>
      <c r="R50" s="1450"/>
      <c r="S50" s="1450"/>
      <c r="T50" s="1450"/>
      <c r="U50" s="1761"/>
      <c r="V50" s="1762" t="s">
        <v>1132</v>
      </c>
      <c r="W50" s="1766"/>
      <c r="X50" s="1766"/>
      <c r="Y50" s="1766"/>
      <c r="Z50" s="1766"/>
      <c r="AA50" s="1766"/>
      <c r="AB50" s="1781" t="s">
        <v>200</v>
      </c>
      <c r="AC50" s="1766"/>
      <c r="AD50" s="1768"/>
      <c r="AE50" s="1701"/>
    </row>
    <row r="51" spans="1:40" s="1068" customFormat="1" ht="13.5" customHeight="1">
      <c r="A51" s="82"/>
      <c r="B51" s="161" t="s">
        <v>54</v>
      </c>
      <c r="C51" s="403" t="s">
        <v>1116</v>
      </c>
      <c r="D51" s="280"/>
      <c r="E51" s="237"/>
      <c r="F51" s="237"/>
      <c r="G51" s="237"/>
      <c r="H51" s="238"/>
      <c r="I51" s="238"/>
      <c r="J51" s="238"/>
      <c r="K51" s="4957"/>
      <c r="L51" s="162"/>
      <c r="M51" s="736"/>
      <c r="N51" s="604"/>
      <c r="O51" s="716"/>
      <c r="P51" s="1688"/>
      <c r="Q51" s="603"/>
      <c r="R51" s="2562"/>
      <c r="S51" s="2562"/>
      <c r="T51" s="2562"/>
      <c r="U51" s="1761"/>
      <c r="V51" s="1762"/>
      <c r="W51" s="1763"/>
      <c r="X51" s="1763"/>
      <c r="Y51" s="1763"/>
      <c r="Z51" s="1763"/>
      <c r="AA51" s="1763"/>
      <c r="AB51" s="1773"/>
      <c r="AC51" s="1764"/>
      <c r="AD51" s="1765"/>
      <c r="AE51" s="3"/>
      <c r="AF51" s="3169"/>
      <c r="AG51" s="3169"/>
      <c r="AH51" s="3169"/>
      <c r="AI51" s="3169"/>
      <c r="AJ51" s="3169"/>
      <c r="AK51" s="3169"/>
      <c r="AL51" s="3169"/>
      <c r="AM51" s="3169"/>
      <c r="AN51" s="3169"/>
    </row>
    <row r="52" spans="1:40" ht="13.5" customHeight="1">
      <c r="A52" s="82"/>
      <c r="B52" s="162"/>
      <c r="C52" s="403" t="s">
        <v>1117</v>
      </c>
      <c r="D52" s="185"/>
      <c r="E52" s="237"/>
      <c r="F52" s="237"/>
      <c r="G52" s="237"/>
      <c r="H52" s="238"/>
      <c r="I52" s="162"/>
      <c r="J52" s="161" t="s">
        <v>667</v>
      </c>
      <c r="K52" s="343" t="s">
        <v>1118</v>
      </c>
      <c r="L52" s="1726"/>
      <c r="M52" s="736"/>
      <c r="N52" s="555"/>
      <c r="O52" s="717"/>
      <c r="P52" s="265"/>
      <c r="Q52" s="4967" t="str">
        <f>IF(AND(F8960_Tax&lt;&gt;"",F8960_Tax&gt;0),"The amount on","")</f>
        <v/>
      </c>
      <c r="R52" s="1450"/>
      <c r="S52" s="1450"/>
      <c r="T52" s="1450"/>
      <c r="U52" s="1778"/>
      <c r="V52" s="1779"/>
      <c r="W52" s="1779"/>
      <c r="X52" s="1779"/>
      <c r="Y52" s="1779"/>
      <c r="Z52" s="1779"/>
      <c r="AA52" s="1779"/>
      <c r="AB52" s="1779"/>
      <c r="AC52" s="1779"/>
      <c r="AD52" s="1780"/>
      <c r="AE52" s="1701"/>
    </row>
    <row r="53" spans="1:40" s="1068" customFormat="1" ht="13.5" customHeight="1">
      <c r="A53" s="82"/>
      <c r="B53" s="161" t="s">
        <v>55</v>
      </c>
      <c r="C53" s="403" t="s">
        <v>1120</v>
      </c>
      <c r="D53" s="280"/>
      <c r="E53" s="237"/>
      <c r="F53" s="237"/>
      <c r="G53" s="237"/>
      <c r="H53" s="238"/>
      <c r="I53" s="238"/>
      <c r="J53" s="238"/>
      <c r="K53" s="4957"/>
      <c r="L53" s="162"/>
      <c r="M53" s="736"/>
      <c r="N53" s="604"/>
      <c r="O53" s="716"/>
      <c r="P53" s="1688"/>
      <c r="Q53" s="4968" t="str">
        <f>IF(AND(F8960_Tax&lt;&gt;"",F8960_Tax&gt;0),"Line 17 is entered on","")</f>
        <v/>
      </c>
      <c r="R53" s="2562"/>
      <c r="S53" s="2562"/>
      <c r="T53" s="2562"/>
      <c r="U53" s="1761"/>
      <c r="V53" s="1772" t="s">
        <v>1133</v>
      </c>
      <c r="W53" s="1766"/>
      <c r="X53" s="1766"/>
      <c r="Y53" s="1766"/>
      <c r="Z53" s="1766"/>
      <c r="AA53" s="1767"/>
      <c r="AB53" s="1767" t="s">
        <v>336</v>
      </c>
      <c r="AC53" s="1777">
        <f>Adj_Gross_Inc</f>
        <v>0</v>
      </c>
      <c r="AD53" s="1768"/>
      <c r="AE53" s="3"/>
      <c r="AF53" s="3169"/>
      <c r="AG53" s="3169"/>
      <c r="AH53" s="3169"/>
      <c r="AI53" s="3169"/>
      <c r="AJ53" s="3169"/>
      <c r="AK53" s="3169"/>
      <c r="AL53" s="3169"/>
      <c r="AM53" s="3169"/>
      <c r="AN53" s="3169"/>
    </row>
    <row r="54" spans="1:40" ht="13.5" customHeight="1">
      <c r="A54" s="82"/>
      <c r="B54" s="162"/>
      <c r="C54" s="403" t="s">
        <v>3543</v>
      </c>
      <c r="D54" s="185"/>
      <c r="E54" s="280" t="s">
        <v>3544</v>
      </c>
      <c r="F54" s="237"/>
      <c r="G54" s="237"/>
      <c r="H54" s="238"/>
      <c r="I54" s="162"/>
      <c r="J54" s="161" t="s">
        <v>312</v>
      </c>
      <c r="K54" s="343" t="s">
        <v>1119</v>
      </c>
      <c r="L54" s="1726"/>
      <c r="M54" s="736"/>
      <c r="N54" s="555"/>
      <c r="O54" s="717"/>
      <c r="P54" s="265"/>
      <c r="Q54" s="4969" t="str">
        <f>IF(AND(F8960_Tax&lt;&gt;"",F8960_Tax&gt;0),"Schedule 4, Line 62.","")</f>
        <v/>
      </c>
      <c r="R54" s="1450"/>
      <c r="S54" s="1450"/>
      <c r="T54" s="1450"/>
      <c r="U54" s="1761"/>
      <c r="V54" s="1766"/>
      <c r="W54" s="1766"/>
      <c r="X54" s="1766"/>
      <c r="Y54" s="1766"/>
      <c r="Z54" s="1766"/>
      <c r="AA54" s="1766"/>
      <c r="AB54" s="1766"/>
      <c r="AC54" s="1766"/>
      <c r="AD54" s="1768"/>
      <c r="AE54" s="1701"/>
    </row>
    <row r="55" spans="1:40" ht="13.5" customHeight="1">
      <c r="A55" s="82"/>
      <c r="B55" s="161" t="s">
        <v>1122</v>
      </c>
      <c r="C55" s="403" t="s">
        <v>1125</v>
      </c>
      <c r="D55" s="185"/>
      <c r="E55" s="237"/>
      <c r="F55" s="237"/>
      <c r="G55" s="237"/>
      <c r="H55" s="238"/>
      <c r="I55" s="162"/>
      <c r="J55" s="161" t="s">
        <v>680</v>
      </c>
      <c r="K55" s="2889" t="str">
        <f>B55</f>
        <v>19a</v>
      </c>
      <c r="L55" s="1726"/>
      <c r="M55" s="736"/>
      <c r="N55" s="1756"/>
      <c r="O55" s="717"/>
      <c r="P55" s="265"/>
      <c r="Q55" s="603"/>
      <c r="R55" s="1450"/>
      <c r="S55" s="1450"/>
      <c r="T55" s="1450"/>
      <c r="U55" s="1761"/>
      <c r="V55" s="1772" t="s">
        <v>1134</v>
      </c>
      <c r="W55" s="1766"/>
      <c r="X55" s="1766"/>
      <c r="Y55" s="1766"/>
      <c r="Z55" s="1766"/>
      <c r="AA55" s="1766"/>
      <c r="AB55" s="1766"/>
      <c r="AC55" s="1766"/>
      <c r="AD55" s="1768"/>
      <c r="AE55" s="1701"/>
    </row>
    <row r="56" spans="1:40" s="1068" customFormat="1" ht="13.5" customHeight="1">
      <c r="A56" s="82"/>
      <c r="B56" s="161" t="s">
        <v>54</v>
      </c>
      <c r="C56" s="403" t="s">
        <v>1126</v>
      </c>
      <c r="D56" s="280"/>
      <c r="E56" s="237"/>
      <c r="F56" s="237"/>
      <c r="G56" s="237"/>
      <c r="H56" s="238"/>
      <c r="I56" s="238"/>
      <c r="J56" s="238"/>
      <c r="K56" s="4957"/>
      <c r="L56" s="162"/>
      <c r="M56" s="736"/>
      <c r="N56" s="604"/>
      <c r="O56" s="716"/>
      <c r="P56" s="1688"/>
      <c r="Q56" s="603"/>
      <c r="R56" s="2562"/>
      <c r="S56" s="2562"/>
      <c r="T56" s="2562"/>
      <c r="U56" s="1761"/>
      <c r="V56" s="1766"/>
      <c r="W56" s="1766" t="s">
        <v>1137</v>
      </c>
      <c r="X56" s="1766" t="s">
        <v>1138</v>
      </c>
      <c r="Y56" s="1766"/>
      <c r="Z56" s="1766"/>
      <c r="AA56" s="1766"/>
      <c r="AB56" s="1766"/>
      <c r="AC56" s="1766"/>
      <c r="AD56" s="1768"/>
      <c r="AE56" s="3"/>
      <c r="AF56" s="3169"/>
      <c r="AG56" s="3169"/>
      <c r="AH56" s="3169"/>
      <c r="AI56" s="3169"/>
      <c r="AJ56" s="3169"/>
      <c r="AK56" s="3169"/>
      <c r="AL56" s="3169"/>
      <c r="AM56" s="3169"/>
      <c r="AN56" s="3169"/>
    </row>
    <row r="57" spans="1:40" ht="13.5" customHeight="1">
      <c r="A57" s="82"/>
      <c r="B57" s="162"/>
      <c r="C57" s="403" t="s">
        <v>1121</v>
      </c>
      <c r="D57" s="185"/>
      <c r="E57" s="237"/>
      <c r="F57" s="237"/>
      <c r="G57" s="237"/>
      <c r="H57" s="238"/>
      <c r="I57" s="162"/>
      <c r="J57" s="161" t="s">
        <v>4644</v>
      </c>
      <c r="K57" s="343" t="s">
        <v>1123</v>
      </c>
      <c r="L57" s="1726"/>
      <c r="M57" s="736"/>
      <c r="N57" s="555"/>
      <c r="O57" s="717"/>
      <c r="P57" s="265"/>
      <c r="Q57" s="603"/>
      <c r="R57" s="1450"/>
      <c r="S57" s="1450"/>
      <c r="T57" s="1450"/>
      <c r="U57" s="1761"/>
      <c r="V57" s="1766"/>
      <c r="W57" s="1766"/>
      <c r="X57" s="1766" t="s">
        <v>1135</v>
      </c>
      <c r="Y57" s="1766"/>
      <c r="Z57" s="1766"/>
      <c r="AA57" s="1666">
        <f>'2555'!AE175</f>
        <v>0</v>
      </c>
      <c r="AB57" s="1766"/>
      <c r="AC57" s="1766"/>
      <c r="AD57" s="1768"/>
      <c r="AE57" s="1701"/>
    </row>
    <row r="58" spans="1:40" ht="13.5" customHeight="1">
      <c r="A58" s="82"/>
      <c r="B58" s="161" t="s">
        <v>55</v>
      </c>
      <c r="C58" s="403" t="s">
        <v>3545</v>
      </c>
      <c r="D58" s="185"/>
      <c r="E58" s="237"/>
      <c r="F58" s="237"/>
      <c r="G58" s="280" t="s">
        <v>3544</v>
      </c>
      <c r="H58" s="238"/>
      <c r="I58" s="162"/>
      <c r="J58" s="161" t="s">
        <v>747</v>
      </c>
      <c r="K58" s="343" t="s">
        <v>1124</v>
      </c>
      <c r="L58" s="1725" t="str">
        <f>IF(N45="---","",IF(File8960,MAX(0,SUM(L55,-L57)),""))</f>
        <v/>
      </c>
      <c r="M58" s="736"/>
      <c r="N58" s="555"/>
      <c r="O58" s="717"/>
      <c r="P58" s="265"/>
      <c r="Q58" s="603"/>
      <c r="R58" s="1450"/>
      <c r="S58" s="1450"/>
      <c r="T58" s="1450"/>
      <c r="U58" s="1761"/>
      <c r="V58" s="1766"/>
      <c r="W58" s="1766" t="s">
        <v>1139</v>
      </c>
      <c r="X58" s="1766" t="s">
        <v>1140</v>
      </c>
      <c r="Y58" s="1766"/>
      <c r="Z58" s="1766"/>
      <c r="AA58" s="1766"/>
      <c r="AB58" s="1766"/>
      <c r="AC58" s="1766"/>
      <c r="AD58" s="1768"/>
      <c r="AE58" s="1701"/>
    </row>
    <row r="59" spans="1:40" ht="13.5" customHeight="1">
      <c r="A59" s="82"/>
      <c r="B59" s="161">
        <v>20</v>
      </c>
      <c r="C59" s="403" t="s">
        <v>1127</v>
      </c>
      <c r="D59" s="280"/>
      <c r="E59" s="237"/>
      <c r="F59" s="237"/>
      <c r="G59" s="237"/>
      <c r="H59" s="238"/>
      <c r="I59" s="238"/>
      <c r="J59" s="238"/>
      <c r="K59" s="466"/>
      <c r="L59" s="1553" t="s">
        <v>104</v>
      </c>
      <c r="M59" s="256">
        <f>B59</f>
        <v>20</v>
      </c>
      <c r="N59" s="1725" t="str">
        <f>IF(Q59&lt;&gt;"",ROUND(Q59,0),IF(N45="---","",IF(File8960,MIN(L54,L58),"")))</f>
        <v/>
      </c>
      <c r="O59" s="717"/>
      <c r="P59" s="265"/>
      <c r="Q59" s="470"/>
      <c r="R59" s="2562"/>
      <c r="S59" s="2562"/>
      <c r="T59" s="2562"/>
      <c r="U59" s="1761"/>
      <c r="V59" s="1763"/>
      <c r="W59" s="1763"/>
      <c r="X59" s="1766" t="s">
        <v>1136</v>
      </c>
      <c r="Y59" s="1763"/>
      <c r="Z59" s="1763"/>
      <c r="AA59" s="1763"/>
      <c r="AB59" s="1763"/>
      <c r="AC59" s="1763"/>
      <c r="AD59" s="1765"/>
      <c r="AE59" s="1701"/>
    </row>
    <row r="60" spans="1:40" s="1068" customFormat="1" ht="13.5" customHeight="1">
      <c r="A60" s="82"/>
      <c r="B60" s="161">
        <v>21</v>
      </c>
      <c r="C60" s="403" t="str">
        <f>"Net investment income tax for estates and trusts. Multiply line 20 by "&amp;TEXT(N60,"0.0%")&amp;" ("&amp;TEXT(N60,"0.038")&amp;")."</f>
        <v>Net investment income tax for estates and trusts. Multiply line 20 by 3.8% (0.038).</v>
      </c>
      <c r="D60" s="280"/>
      <c r="E60" s="237"/>
      <c r="F60" s="237"/>
      <c r="G60" s="237"/>
      <c r="H60" s="238"/>
      <c r="I60" s="238"/>
      <c r="J60" s="238"/>
      <c r="K60" s="466"/>
      <c r="L60" s="162"/>
      <c r="M60" s="232"/>
      <c r="N60" s="1746">
        <v>3.7999999999999999E-2</v>
      </c>
      <c r="O60" s="716"/>
      <c r="P60" s="1688"/>
      <c r="Q60" s="603"/>
      <c r="R60" s="2562"/>
      <c r="S60" s="2562"/>
      <c r="T60" s="2562"/>
      <c r="U60" s="1761"/>
      <c r="V60" s="1766"/>
      <c r="W60" s="1766"/>
      <c r="X60" s="1766" t="s">
        <v>1141</v>
      </c>
      <c r="Y60" s="1775"/>
      <c r="Z60" s="1775" t="s">
        <v>1147</v>
      </c>
      <c r="AA60" s="1666">
        <f>'2555'!AE181</f>
        <v>0</v>
      </c>
      <c r="AB60" s="1774" t="s">
        <v>1148</v>
      </c>
      <c r="AC60" s="1766"/>
      <c r="AD60" s="1768"/>
      <c r="AE60" s="3"/>
      <c r="AF60" s="3169"/>
      <c r="AG60" s="3169"/>
      <c r="AH60" s="3169"/>
      <c r="AI60" s="3169"/>
      <c r="AJ60" s="3169"/>
      <c r="AK60" s="3169"/>
      <c r="AL60" s="3169"/>
      <c r="AM60" s="3169"/>
      <c r="AN60" s="3169"/>
    </row>
    <row r="61" spans="1:40" ht="13.5" customHeight="1" thickBot="1">
      <c r="A61" s="82"/>
      <c r="B61" s="161"/>
      <c r="C61" s="225" t="s">
        <v>4642</v>
      </c>
      <c r="D61" s="185"/>
      <c r="E61" s="237"/>
      <c r="F61" s="237"/>
      <c r="G61" s="237"/>
      <c r="H61" s="238"/>
      <c r="I61" s="238"/>
      <c r="J61" s="238"/>
      <c r="K61" s="466"/>
      <c r="L61" s="1553" t="s">
        <v>679</v>
      </c>
      <c r="M61" s="232">
        <f>B60</f>
        <v>21</v>
      </c>
      <c r="N61" s="1725" t="str">
        <f>IF(Q61&lt;&gt;"",ROUND(Q61,0),IF(N45="---","",IF(File8960,ROUND(N59*N60,0),"")))</f>
        <v/>
      </c>
      <c r="O61" s="717"/>
      <c r="P61" s="1688"/>
      <c r="Q61" s="470"/>
      <c r="R61" s="2562"/>
      <c r="S61" s="3239"/>
      <c r="T61" s="3239"/>
      <c r="U61" s="1761"/>
      <c r="V61" s="1766"/>
      <c r="W61" s="1766" t="s">
        <v>1142</v>
      </c>
      <c r="X61" s="1766" t="s">
        <v>1144</v>
      </c>
      <c r="Y61" s="1766"/>
      <c r="Z61" s="1766"/>
      <c r="AA61" s="1767"/>
      <c r="AB61" s="1767" t="s">
        <v>0</v>
      </c>
      <c r="AC61" s="1777">
        <f>SUM(AA57,-AA60)</f>
        <v>0</v>
      </c>
      <c r="AD61" s="1768"/>
      <c r="AE61" s="1701"/>
    </row>
    <row r="62" spans="1:40" s="244" customFormat="1" ht="15" customHeight="1">
      <c r="A62" s="82"/>
      <c r="B62" s="166" t="s">
        <v>564</v>
      </c>
      <c r="C62" s="272"/>
      <c r="D62" s="272"/>
      <c r="E62" s="272"/>
      <c r="F62" s="272"/>
      <c r="G62" s="272"/>
      <c r="H62" s="605"/>
      <c r="I62" s="606"/>
      <c r="J62" s="605"/>
      <c r="K62" s="4958" t="s">
        <v>1129</v>
      </c>
      <c r="L62" s="605"/>
      <c r="M62" s="607" t="s">
        <v>1128</v>
      </c>
      <c r="N62" s="1100" t="str">
        <f>"  ("&amp;TaxYear&amp;")"</f>
        <v xml:space="preserve">  (2018)</v>
      </c>
      <c r="O62" s="723"/>
      <c r="P62" s="1688"/>
      <c r="Q62" s="603"/>
      <c r="R62" s="1450"/>
      <c r="S62" s="1450"/>
      <c r="T62" s="1450"/>
      <c r="U62" s="1761"/>
      <c r="V62" s="1766"/>
      <c r="W62" s="1766"/>
      <c r="X62" s="1766"/>
      <c r="Y62" s="1766"/>
      <c r="Z62" s="1766"/>
      <c r="AA62" s="1766"/>
      <c r="AB62" s="1766"/>
      <c r="AC62" s="1766"/>
      <c r="AD62" s="1768"/>
      <c r="AE62" s="1701"/>
      <c r="AF62" s="3169"/>
      <c r="AG62" s="3169"/>
      <c r="AH62" s="3169"/>
      <c r="AI62" s="3169"/>
      <c r="AJ62" s="3169"/>
      <c r="AK62" s="3169"/>
      <c r="AL62" s="3169"/>
      <c r="AM62" s="3169"/>
      <c r="AN62" s="3169"/>
    </row>
    <row r="63" spans="1:40" s="244" customFormat="1" ht="15" customHeight="1">
      <c r="A63" s="82"/>
      <c r="B63" s="726"/>
      <c r="C63" s="613"/>
      <c r="D63" s="613"/>
      <c r="E63" s="82"/>
      <c r="F63" s="82"/>
      <c r="G63" s="82"/>
      <c r="H63" s="82"/>
      <c r="I63" s="82"/>
      <c r="J63" s="82"/>
      <c r="K63" s="911"/>
      <c r="L63" s="727"/>
      <c r="M63" s="727"/>
      <c r="N63" s="727"/>
      <c r="O63" s="724"/>
      <c r="P63" s="1688"/>
      <c r="Q63" s="603"/>
      <c r="R63" s="1450"/>
      <c r="S63" s="1450"/>
      <c r="T63" s="1450"/>
      <c r="U63" s="1761"/>
      <c r="V63" s="1772" t="s">
        <v>1143</v>
      </c>
      <c r="W63" s="1763"/>
      <c r="X63" s="1763"/>
      <c r="Y63" s="1763"/>
      <c r="Z63" s="1763"/>
      <c r="AA63" s="1763"/>
      <c r="AB63" s="1767" t="s">
        <v>1</v>
      </c>
      <c r="AC63" s="1776"/>
      <c r="AD63" s="1765"/>
      <c r="AF63" s="3169"/>
      <c r="AG63" s="3169"/>
      <c r="AH63" s="3169"/>
      <c r="AI63" s="3169"/>
      <c r="AJ63" s="3169"/>
      <c r="AK63" s="3169"/>
      <c r="AL63" s="3169"/>
      <c r="AM63" s="3169"/>
      <c r="AN63" s="3169"/>
    </row>
    <row r="64" spans="1:40" s="244" customFormat="1" ht="15" customHeight="1">
      <c r="A64" s="46"/>
      <c r="B64" s="154"/>
      <c r="C64" s="268"/>
      <c r="D64" s="268"/>
      <c r="E64" s="46"/>
      <c r="F64" s="46"/>
      <c r="G64" s="46"/>
      <c r="H64" s="46"/>
      <c r="I64" s="46"/>
      <c r="J64" s="46"/>
      <c r="K64" s="4959"/>
      <c r="L64" s="273"/>
      <c r="M64" s="273"/>
      <c r="N64" s="273"/>
      <c r="O64" s="611"/>
      <c r="P64"/>
      <c r="Q64" s="612"/>
      <c r="R64" s="1450"/>
      <c r="S64" s="1450"/>
      <c r="T64" s="1450"/>
      <c r="U64" s="1761"/>
      <c r="V64" s="1766"/>
      <c r="W64" s="1766"/>
      <c r="X64" s="1766"/>
      <c r="Y64" s="1766"/>
      <c r="Z64" s="1766"/>
      <c r="AA64" s="1766"/>
      <c r="AB64" s="1766"/>
      <c r="AC64" s="1766"/>
      <c r="AD64" s="1768"/>
      <c r="AF64" s="3169"/>
      <c r="AG64" s="3169"/>
      <c r="AH64" s="3169"/>
      <c r="AI64" s="3169"/>
      <c r="AJ64" s="3169"/>
      <c r="AK64" s="3169"/>
      <c r="AL64" s="3169"/>
      <c r="AM64" s="3169"/>
      <c r="AN64" s="3169"/>
    </row>
    <row r="65" spans="1:40" s="244" customFormat="1" ht="15" customHeight="1" thickBot="1">
      <c r="A65" s="46"/>
      <c r="B65" s="154"/>
      <c r="C65" s="268"/>
      <c r="D65" s="268"/>
      <c r="E65" s="46"/>
      <c r="F65" s="46"/>
      <c r="G65" s="46"/>
      <c r="H65" s="46"/>
      <c r="I65" s="46"/>
      <c r="J65" s="46"/>
      <c r="K65" s="4959"/>
      <c r="L65" s="273"/>
      <c r="M65" s="273"/>
      <c r="N65" s="273"/>
      <c r="O65" s="611"/>
      <c r="P65"/>
      <c r="Q65" s="612"/>
      <c r="R65" s="1876"/>
      <c r="S65" s="1876"/>
      <c r="T65" s="1876"/>
      <c r="U65" s="1761"/>
      <c r="V65" s="1772" t="s">
        <v>1145</v>
      </c>
      <c r="W65" s="1763"/>
      <c r="X65" s="1763"/>
      <c r="Y65" s="1763"/>
      <c r="Z65" s="1763"/>
      <c r="AA65" s="1763"/>
      <c r="AB65" s="1763"/>
      <c r="AC65" s="1763"/>
      <c r="AD65" s="1765"/>
      <c r="AF65" s="3169"/>
      <c r="AG65" s="3169"/>
      <c r="AH65" s="3169"/>
      <c r="AI65" s="3169"/>
      <c r="AJ65" s="3169"/>
      <c r="AK65" s="3169"/>
      <c r="AL65" s="3169"/>
      <c r="AM65" s="3169"/>
      <c r="AN65" s="3169"/>
    </row>
    <row r="66" spans="1:40" s="244" customFormat="1" ht="15" customHeight="1" thickTop="1" thickBot="1">
      <c r="A66" s="46"/>
      <c r="B66" s="154"/>
      <c r="C66" s="7632" t="s">
        <v>1149</v>
      </c>
      <c r="D66" s="7633"/>
      <c r="E66" s="7633"/>
      <c r="F66" s="7633"/>
      <c r="G66" s="7633"/>
      <c r="H66" s="7634"/>
      <c r="I66" s="273"/>
      <c r="J66" s="273"/>
      <c r="K66" s="277"/>
      <c r="L66"/>
      <c r="M66" s="273"/>
      <c r="N66" s="273"/>
      <c r="O66" s="273"/>
      <c r="P66"/>
      <c r="Q66" s="5"/>
      <c r="R66" s="1876"/>
      <c r="S66" s="1876"/>
      <c r="T66" s="1876"/>
      <c r="U66" s="1761"/>
      <c r="V66" s="1772" t="s">
        <v>1146</v>
      </c>
      <c r="W66" s="1766"/>
      <c r="X66" s="1766"/>
      <c r="Y66" s="1766"/>
      <c r="Z66" s="1766"/>
      <c r="AA66" s="1766"/>
      <c r="AB66" s="1767" t="s">
        <v>455</v>
      </c>
      <c r="AC66" s="1777">
        <f>SUM(AC53,AC61,AC63)</f>
        <v>0</v>
      </c>
      <c r="AD66" s="1768"/>
      <c r="AF66" s="3169"/>
      <c r="AG66" s="3169"/>
      <c r="AH66" s="3169"/>
      <c r="AI66" s="3169"/>
      <c r="AJ66" s="3169"/>
      <c r="AK66" s="3169"/>
      <c r="AL66" s="3169"/>
      <c r="AM66" s="3169"/>
      <c r="AN66" s="3169"/>
    </row>
    <row r="67" spans="1:40" s="244" customFormat="1" ht="14.25" thickTop="1" thickBot="1">
      <c r="A67" s="46"/>
      <c r="B67" s="154"/>
      <c r="C67" s="268"/>
      <c r="D67" s="268"/>
      <c r="E67" s="46"/>
      <c r="F67" s="46"/>
      <c r="G67" s="46"/>
      <c r="H67" s="273"/>
      <c r="I67" s="273"/>
      <c r="J67" s="273"/>
      <c r="K67" s="277"/>
      <c r="L67"/>
      <c r="M67" s="273"/>
      <c r="N67" s="273"/>
      <c r="O67" s="273"/>
      <c r="P67"/>
      <c r="Q67" s="5"/>
      <c r="R67" s="1876"/>
      <c r="S67" s="1876"/>
      <c r="T67" s="1876"/>
      <c r="U67" s="1769"/>
      <c r="V67" s="1770"/>
      <c r="W67" s="1770"/>
      <c r="X67" s="1770"/>
      <c r="Y67" s="1770"/>
      <c r="Z67" s="1770"/>
      <c r="AA67" s="1770"/>
      <c r="AB67" s="1770"/>
      <c r="AC67" s="1770"/>
      <c r="AD67" s="1771"/>
      <c r="AF67" s="3169"/>
      <c r="AG67" s="3169"/>
      <c r="AH67" s="3169"/>
      <c r="AI67" s="3169"/>
      <c r="AJ67" s="3169"/>
      <c r="AK67" s="3169"/>
      <c r="AL67" s="3169"/>
      <c r="AM67" s="3169"/>
      <c r="AN67" s="3169"/>
    </row>
    <row r="68" spans="1:40" s="244" customFormat="1" ht="17.25" customHeight="1" thickTop="1" thickBot="1">
      <c r="A68" s="46"/>
      <c r="B68" s="154"/>
      <c r="C68" s="7632" t="s">
        <v>2877</v>
      </c>
      <c r="D68" s="7633"/>
      <c r="E68" s="7633"/>
      <c r="F68" s="7633"/>
      <c r="G68" s="7633"/>
      <c r="H68" s="7634"/>
      <c r="I68" s="273"/>
      <c r="J68" s="273"/>
      <c r="K68" s="277"/>
      <c r="L68"/>
      <c r="M68" s="273"/>
      <c r="N68" s="273"/>
      <c r="O68" s="273"/>
      <c r="P68"/>
      <c r="Q68" s="5"/>
      <c r="R68" s="1408"/>
      <c r="S68" s="3233"/>
      <c r="T68" s="3233"/>
      <c r="U68" s="1408"/>
      <c r="V68" s="1766"/>
      <c r="W68" s="1766"/>
      <c r="X68" s="1766"/>
      <c r="Y68" s="1766"/>
      <c r="Z68" s="1766"/>
      <c r="AA68" s="1766"/>
      <c r="AB68" s="1766"/>
      <c r="AC68" s="1766"/>
      <c r="AD68" s="1766"/>
      <c r="AF68" s="3169"/>
      <c r="AG68" s="3169"/>
      <c r="AH68" s="3169"/>
      <c r="AI68" s="3169"/>
      <c r="AJ68" s="3169"/>
      <c r="AK68" s="3169"/>
      <c r="AL68" s="3169"/>
      <c r="AM68" s="3169"/>
      <c r="AN68" s="3169"/>
    </row>
    <row r="69" spans="1:40" s="244" customFormat="1" ht="12.75" customHeight="1" thickTop="1">
      <c r="A69" s="46"/>
      <c r="B69"/>
      <c r="C69"/>
      <c r="D69"/>
      <c r="E69"/>
      <c r="F69"/>
      <c r="G69"/>
      <c r="H69"/>
      <c r="I69"/>
      <c r="J69"/>
      <c r="K69" s="277"/>
      <c r="L69"/>
      <c r="M69"/>
      <c r="N69"/>
      <c r="O69"/>
      <c r="P69"/>
      <c r="Q69"/>
      <c r="R69" s="1408"/>
      <c r="S69" s="3233"/>
      <c r="T69" s="3233"/>
      <c r="U69" s="1758"/>
      <c r="V69" s="1759"/>
      <c r="W69" s="1759"/>
      <c r="X69" s="1760"/>
      <c r="Y69" s="3233"/>
      <c r="Z69" s="3233"/>
      <c r="AA69" s="1766"/>
      <c r="AB69" s="1766"/>
      <c r="AC69" s="1766"/>
      <c r="AD69" s="1766"/>
      <c r="AF69" s="3169"/>
      <c r="AG69" s="3169"/>
      <c r="AH69" s="3169"/>
      <c r="AI69" s="3169"/>
      <c r="AJ69" s="3169"/>
      <c r="AK69" s="3169"/>
      <c r="AL69" s="3169"/>
      <c r="AM69" s="3169"/>
      <c r="AN69" s="3169"/>
    </row>
    <row r="70" spans="1:40" s="244" customFormat="1" ht="21.75" customHeight="1">
      <c r="A70" s="46"/>
      <c r="B70"/>
      <c r="C70"/>
      <c r="D70"/>
      <c r="E70"/>
      <c r="F70"/>
      <c r="G70"/>
      <c r="H70"/>
      <c r="I70"/>
      <c r="J70"/>
      <c r="K70" s="277"/>
      <c r="L70"/>
      <c r="M70"/>
      <c r="N70"/>
      <c r="O70"/>
      <c r="P70"/>
      <c r="Q70"/>
      <c r="R70" s="1408"/>
      <c r="S70" s="3233"/>
      <c r="T70" s="3233"/>
      <c r="U70" s="1761"/>
      <c r="V70" s="4216" t="s">
        <v>3546</v>
      </c>
      <c r="W70" s="1766"/>
      <c r="X70" s="1768"/>
      <c r="Y70" s="3233"/>
      <c r="Z70" s="3233"/>
      <c r="AA70" s="1766"/>
      <c r="AB70" s="1766"/>
      <c r="AC70" s="1766"/>
      <c r="AD70" s="1766"/>
      <c r="AF70" s="3169"/>
      <c r="AG70" s="3169"/>
      <c r="AH70" s="3169"/>
      <c r="AI70" s="3169"/>
      <c r="AJ70" s="3169"/>
      <c r="AK70" s="3169"/>
      <c r="AL70" s="3169"/>
      <c r="AM70" s="3169"/>
      <c r="AN70" s="3169"/>
    </row>
    <row r="71" spans="1:40" s="244" customFormat="1" ht="22.5" customHeight="1">
      <c r="A71" s="46"/>
      <c r="B71"/>
      <c r="C71"/>
      <c r="D71"/>
      <c r="E71"/>
      <c r="F71"/>
      <c r="G71"/>
      <c r="H71"/>
      <c r="I71"/>
      <c r="J71"/>
      <c r="K71" s="277"/>
      <c r="L71"/>
      <c r="M71"/>
      <c r="N71"/>
      <c r="O71"/>
      <c r="P71"/>
      <c r="Q71"/>
      <c r="R71" s="1408"/>
      <c r="S71" s="3233"/>
      <c r="T71" s="3233"/>
      <c r="U71" s="1761"/>
      <c r="V71" s="4216" t="s">
        <v>3547</v>
      </c>
      <c r="W71" s="1766"/>
      <c r="X71" s="1768"/>
      <c r="Y71" s="3233"/>
      <c r="Z71" s="3233"/>
      <c r="AA71" s="1763"/>
      <c r="AB71" s="1763"/>
      <c r="AC71" s="1763"/>
      <c r="AD71" s="1763"/>
      <c r="AF71" s="3169"/>
      <c r="AG71" s="3169"/>
      <c r="AH71" s="3169"/>
      <c r="AI71" s="3169"/>
      <c r="AJ71" s="3169"/>
      <c r="AK71" s="3169"/>
      <c r="AL71" s="3169"/>
      <c r="AM71" s="3169"/>
      <c r="AN71" s="3169"/>
    </row>
    <row r="72" spans="1:40" s="244" customFormat="1" ht="12.75" customHeight="1">
      <c r="A72" s="46"/>
      <c r="B72"/>
      <c r="C72"/>
      <c r="D72"/>
      <c r="E72"/>
      <c r="F72"/>
      <c r="G72"/>
      <c r="H72"/>
      <c r="I72"/>
      <c r="J72"/>
      <c r="K72" s="277"/>
      <c r="L72"/>
      <c r="M72"/>
      <c r="N72"/>
      <c r="O72"/>
      <c r="P72"/>
      <c r="Q72"/>
      <c r="R72" s="1408"/>
      <c r="S72" s="3233"/>
      <c r="T72" s="3233"/>
      <c r="U72" s="4220"/>
      <c r="V72" s="4221" t="s">
        <v>3551</v>
      </c>
      <c r="W72" s="1763"/>
      <c r="X72" s="1765"/>
      <c r="Y72" s="3233"/>
      <c r="Z72" s="3233"/>
      <c r="AA72" s="1766"/>
      <c r="AB72" s="1766"/>
      <c r="AC72" s="1766"/>
      <c r="AD72" s="1766"/>
      <c r="AF72" s="3169"/>
      <c r="AG72" s="3169"/>
      <c r="AH72" s="3169"/>
      <c r="AI72" s="3169"/>
      <c r="AJ72" s="3169"/>
      <c r="AK72" s="3169"/>
      <c r="AL72" s="3169"/>
      <c r="AM72" s="3169"/>
      <c r="AN72" s="3169"/>
    </row>
    <row r="73" spans="1:40" s="244" customFormat="1" ht="12.75" customHeight="1">
      <c r="A73" s="46"/>
      <c r="B73"/>
      <c r="C73"/>
      <c r="D73"/>
      <c r="E73"/>
      <c r="F73"/>
      <c r="G73"/>
      <c r="H73"/>
      <c r="I73"/>
      <c r="J73"/>
      <c r="K73" s="277"/>
      <c r="L73"/>
      <c r="M73"/>
      <c r="N73"/>
      <c r="O73"/>
      <c r="P73"/>
      <c r="Q73"/>
      <c r="R73" s="1408"/>
      <c r="S73" s="3233"/>
      <c r="T73" s="3233"/>
      <c r="U73" s="1761"/>
      <c r="V73" s="1766" t="s">
        <v>3548</v>
      </c>
      <c r="W73" s="1766"/>
      <c r="X73" s="1768"/>
      <c r="Y73" s="3233"/>
      <c r="Z73" s="3233"/>
      <c r="AA73" s="1766"/>
      <c r="AB73" s="1766"/>
      <c r="AC73" s="1766"/>
      <c r="AD73" s="1766"/>
      <c r="AF73" s="3169"/>
      <c r="AG73" s="3169"/>
      <c r="AH73" s="3169"/>
      <c r="AI73" s="3169"/>
      <c r="AJ73" s="3169"/>
      <c r="AK73" s="3169"/>
      <c r="AL73" s="3169"/>
      <c r="AM73" s="3169"/>
      <c r="AN73" s="3169"/>
    </row>
    <row r="74" spans="1:40" s="244" customFormat="1" ht="17.25" customHeight="1">
      <c r="A74" s="46"/>
      <c r="B74"/>
      <c r="C74"/>
      <c r="D74"/>
      <c r="E74"/>
      <c r="F74"/>
      <c r="G74"/>
      <c r="H74"/>
      <c r="I74"/>
      <c r="J74"/>
      <c r="K74" s="277"/>
      <c r="L74"/>
      <c r="M74"/>
      <c r="N74"/>
      <c r="O74"/>
      <c r="P74"/>
      <c r="Q74"/>
      <c r="R74" s="1408"/>
      <c r="S74" s="3233"/>
      <c r="T74" s="3233"/>
      <c r="U74" s="1761"/>
      <c r="V74" s="1766" t="s">
        <v>3549</v>
      </c>
      <c r="W74" s="1766"/>
      <c r="X74" s="5145"/>
      <c r="Y74" s="3233"/>
      <c r="Z74" s="3233"/>
      <c r="AA74" s="3233"/>
      <c r="AB74" s="3233"/>
      <c r="AC74" s="3233"/>
      <c r="AD74" s="3233"/>
      <c r="AF74" s="3169"/>
      <c r="AG74" s="3169"/>
      <c r="AH74" s="3169"/>
      <c r="AI74" s="3169"/>
      <c r="AJ74" s="3169"/>
      <c r="AK74" s="3169"/>
      <c r="AL74" s="3169"/>
      <c r="AM74" s="3169"/>
      <c r="AN74" s="3169"/>
    </row>
    <row r="75" spans="1:40" s="244" customFormat="1" ht="14.25" customHeight="1">
      <c r="A75" s="46"/>
      <c r="B75"/>
      <c r="C75"/>
      <c r="D75"/>
      <c r="E75"/>
      <c r="F75"/>
      <c r="G75"/>
      <c r="H75"/>
      <c r="I75"/>
      <c r="J75"/>
      <c r="K75" s="277"/>
      <c r="L75"/>
      <c r="M75"/>
      <c r="N75"/>
      <c r="O75"/>
      <c r="P75"/>
      <c r="Q75"/>
      <c r="R75" s="1408"/>
      <c r="S75" s="3233"/>
      <c r="T75" s="3233"/>
      <c r="U75" s="4220"/>
      <c r="V75" s="4221" t="s">
        <v>3552</v>
      </c>
      <c r="W75" s="3233"/>
      <c r="X75" s="4217"/>
      <c r="Y75" s="3233"/>
      <c r="Z75" s="3233"/>
      <c r="AA75" s="3233"/>
      <c r="AB75" s="3233"/>
      <c r="AC75" s="3233"/>
      <c r="AD75" s="3233"/>
      <c r="AF75" s="3169"/>
      <c r="AG75" s="3169"/>
      <c r="AH75" s="3169"/>
      <c r="AI75" s="3169"/>
      <c r="AJ75" s="3169"/>
      <c r="AK75" s="3169"/>
      <c r="AL75" s="3169"/>
      <c r="AM75" s="3169"/>
      <c r="AN75" s="3169"/>
    </row>
    <row r="76" spans="1:40" s="244" customFormat="1">
      <c r="A76" s="46"/>
      <c r="B76"/>
      <c r="C76"/>
      <c r="D76"/>
      <c r="E76"/>
      <c r="F76"/>
      <c r="G76"/>
      <c r="H76"/>
      <c r="I76"/>
      <c r="J76"/>
      <c r="K76" s="277"/>
      <c r="L76"/>
      <c r="M76"/>
      <c r="N76"/>
      <c r="O76"/>
      <c r="P76"/>
      <c r="Q76"/>
      <c r="R76" s="1408"/>
      <c r="S76" s="3233"/>
      <c r="T76" s="3233"/>
      <c r="U76" s="1761"/>
      <c r="V76" s="3233" t="s">
        <v>3550</v>
      </c>
      <c r="W76" s="3233"/>
      <c r="X76" s="4217"/>
      <c r="Y76" s="3233"/>
      <c r="Z76" s="3233"/>
      <c r="AA76" s="3233"/>
      <c r="AB76" s="3233"/>
      <c r="AC76" s="3233"/>
      <c r="AD76" s="3233"/>
      <c r="AF76" s="3169"/>
      <c r="AG76" s="3169"/>
      <c r="AH76" s="3169"/>
      <c r="AI76" s="3169"/>
      <c r="AJ76" s="3169"/>
      <c r="AK76" s="3169"/>
      <c r="AL76" s="3169"/>
      <c r="AM76" s="3169"/>
      <c r="AN76" s="3169"/>
    </row>
    <row r="77" spans="1:40" s="244" customFormat="1">
      <c r="A77" s="46"/>
      <c r="B77"/>
      <c r="C77"/>
      <c r="D77"/>
      <c r="E77"/>
      <c r="F77"/>
      <c r="G77"/>
      <c r="H77"/>
      <c r="I77"/>
      <c r="J77"/>
      <c r="K77" s="277"/>
      <c r="L77"/>
      <c r="M77"/>
      <c r="N77"/>
      <c r="O77"/>
      <c r="P77"/>
      <c r="Q77"/>
      <c r="R77" s="1408"/>
      <c r="S77" s="3233"/>
      <c r="T77" s="3233"/>
      <c r="U77" s="1761"/>
      <c r="V77" s="3233" t="s">
        <v>3549</v>
      </c>
      <c r="W77" s="3233"/>
      <c r="X77" s="5146"/>
      <c r="Y77" s="3233"/>
      <c r="Z77" s="3233"/>
      <c r="AA77" s="3233"/>
      <c r="AB77" s="3233"/>
      <c r="AC77" s="3233"/>
      <c r="AD77" s="3233"/>
      <c r="AF77" s="3169"/>
      <c r="AG77" s="3169"/>
      <c r="AH77" s="3169"/>
      <c r="AI77" s="3169"/>
      <c r="AJ77" s="3169"/>
      <c r="AK77" s="3169"/>
      <c r="AL77" s="3169"/>
      <c r="AM77" s="3169"/>
      <c r="AN77" s="3169"/>
    </row>
    <row r="78" spans="1:40" s="244" customFormat="1" ht="13.5" thickBot="1">
      <c r="A78" s="46"/>
      <c r="B78"/>
      <c r="C78"/>
      <c r="D78"/>
      <c r="E78"/>
      <c r="F78"/>
      <c r="G78"/>
      <c r="H78"/>
      <c r="I78"/>
      <c r="J78"/>
      <c r="K78" s="277"/>
      <c r="L78"/>
      <c r="M78"/>
      <c r="N78"/>
      <c r="O78"/>
      <c r="P78"/>
      <c r="Q78"/>
      <c r="R78"/>
      <c r="U78" s="1769"/>
      <c r="V78" s="4218"/>
      <c r="W78" s="4218"/>
      <c r="X78" s="4219"/>
      <c r="Y78" s="3233"/>
      <c r="Z78" s="3233"/>
      <c r="AA78" s="3233"/>
      <c r="AB78" s="3233"/>
      <c r="AC78" s="3233"/>
      <c r="AD78" s="3233"/>
      <c r="AF78" s="3169"/>
      <c r="AG78" s="3169"/>
      <c r="AH78" s="3169"/>
      <c r="AI78" s="3169"/>
      <c r="AJ78" s="3169"/>
      <c r="AK78" s="3169"/>
      <c r="AL78" s="3169"/>
      <c r="AM78" s="3169"/>
      <c r="AN78" s="3169"/>
    </row>
    <row r="79" spans="1:40" s="244" customFormat="1">
      <c r="A79" s="46"/>
      <c r="B79"/>
      <c r="C79"/>
      <c r="D79"/>
      <c r="E79"/>
      <c r="F79"/>
      <c r="G79"/>
      <c r="H79"/>
      <c r="I79"/>
      <c r="J79"/>
      <c r="K79" s="277"/>
      <c r="L79"/>
      <c r="M79"/>
      <c r="N79"/>
      <c r="O79"/>
      <c r="P79"/>
      <c r="Q79"/>
      <c r="R79"/>
      <c r="U79" s="1408"/>
      <c r="V79" s="3233"/>
      <c r="W79" s="3233"/>
      <c r="X79" s="3233"/>
      <c r="Y79" s="3233"/>
      <c r="Z79" s="3233"/>
      <c r="AA79" s="3233"/>
      <c r="AB79" s="3233"/>
      <c r="AC79" s="3233"/>
      <c r="AD79" s="3233"/>
      <c r="AF79" s="3169"/>
      <c r="AG79" s="3169"/>
      <c r="AH79" s="3169"/>
      <c r="AI79" s="3169"/>
      <c r="AJ79" s="3169"/>
      <c r="AK79" s="3169"/>
      <c r="AL79" s="3169"/>
      <c r="AM79" s="3169"/>
      <c r="AN79" s="3169"/>
    </row>
    <row r="80" spans="1:40" s="244" customFormat="1">
      <c r="A80" s="46"/>
      <c r="B80"/>
      <c r="C80"/>
      <c r="D80"/>
      <c r="E80"/>
      <c r="F80"/>
      <c r="G80"/>
      <c r="H80"/>
      <c r="I80"/>
      <c r="J80"/>
      <c r="K80" s="277"/>
      <c r="L80"/>
      <c r="M80"/>
      <c r="N80"/>
      <c r="O80"/>
      <c r="P80"/>
      <c r="Q80"/>
      <c r="R80"/>
      <c r="U80"/>
      <c r="X80" s="1782"/>
      <c r="AF80" s="3169"/>
      <c r="AG80" s="3169"/>
      <c r="AH80" s="3169"/>
      <c r="AI80" s="3169"/>
      <c r="AJ80" s="3169"/>
      <c r="AK80" s="3169"/>
      <c r="AL80" s="3169"/>
      <c r="AM80" s="3169"/>
      <c r="AN80" s="3169"/>
    </row>
    <row r="81" spans="1:40" s="244" customFormat="1">
      <c r="A81" s="46"/>
      <c r="B81"/>
      <c r="C81"/>
      <c r="D81"/>
      <c r="E81"/>
      <c r="F81"/>
      <c r="G81"/>
      <c r="H81"/>
      <c r="I81"/>
      <c r="J81"/>
      <c r="K81" s="277"/>
      <c r="L81"/>
      <c r="M81"/>
      <c r="N81"/>
      <c r="O81"/>
      <c r="P81"/>
      <c r="Q81"/>
      <c r="R81"/>
      <c r="U81"/>
      <c r="AF81" s="3169"/>
      <c r="AG81" s="3169"/>
      <c r="AH81" s="3169"/>
      <c r="AI81" s="3169"/>
      <c r="AJ81" s="3169"/>
      <c r="AK81" s="3169"/>
      <c r="AL81" s="3169"/>
      <c r="AM81" s="3169"/>
      <c r="AN81" s="3169"/>
    </row>
    <row r="82" spans="1:40">
      <c r="V82" s="244"/>
      <c r="W82" s="244"/>
      <c r="X82" s="244"/>
      <c r="Y82" s="244"/>
      <c r="Z82" s="244"/>
      <c r="AA82" s="244"/>
      <c r="AB82" s="244"/>
      <c r="AC82" s="244"/>
      <c r="AD82" s="244"/>
    </row>
    <row r="83" spans="1:40">
      <c r="V83" s="244"/>
      <c r="W83" s="244"/>
      <c r="X83" s="244"/>
      <c r="Y83" s="244"/>
      <c r="Z83" s="244"/>
      <c r="AA83" s="244"/>
      <c r="AB83" s="244"/>
      <c r="AC83" s="244"/>
      <c r="AD83" s="244"/>
    </row>
    <row r="84" spans="1:40">
      <c r="V84" s="244"/>
      <c r="W84" s="244"/>
      <c r="X84" s="244"/>
      <c r="Y84" s="244"/>
      <c r="Z84" s="244"/>
      <c r="AA84" s="244"/>
      <c r="AB84" s="244"/>
      <c r="AC84" s="244"/>
      <c r="AD84" s="244"/>
    </row>
    <row r="85" spans="1:40">
      <c r="V85" s="244"/>
      <c r="W85" s="244"/>
      <c r="X85" s="244"/>
      <c r="Y85" s="244"/>
      <c r="Z85" s="244"/>
      <c r="AA85" s="244"/>
      <c r="AB85" s="244"/>
      <c r="AC85" s="244"/>
      <c r="AD85" s="244"/>
    </row>
    <row r="86" spans="1:40">
      <c r="V86" s="244"/>
      <c r="W86" s="244"/>
      <c r="X86" s="244"/>
      <c r="Y86" s="244"/>
      <c r="Z86" s="244"/>
      <c r="AA86" s="244"/>
      <c r="AB86" s="244"/>
      <c r="AC86" s="244"/>
      <c r="AD86" s="244"/>
    </row>
    <row r="87" spans="1:40">
      <c r="V87" s="244"/>
      <c r="W87" s="244"/>
      <c r="X87" s="244"/>
      <c r="Y87" s="244"/>
      <c r="Z87" s="244"/>
      <c r="AA87" s="244"/>
      <c r="AB87" s="244"/>
      <c r="AC87" s="244"/>
      <c r="AD87" s="244"/>
    </row>
    <row r="88" spans="1:40">
      <c r="V88" s="244"/>
      <c r="W88" s="244"/>
      <c r="X88" s="244"/>
      <c r="Y88" s="244"/>
      <c r="Z88" s="244"/>
      <c r="AA88" s="244"/>
      <c r="AB88" s="244"/>
      <c r="AC88" s="244"/>
      <c r="AD88" s="244"/>
    </row>
    <row r="89" spans="1:40">
      <c r="V89" s="244"/>
      <c r="W89" s="244"/>
      <c r="X89" s="244"/>
      <c r="Y89" s="244"/>
      <c r="Z89" s="244"/>
      <c r="AA89" s="244"/>
      <c r="AB89" s="244"/>
      <c r="AC89" s="244"/>
      <c r="AD89" s="244"/>
    </row>
    <row r="90" spans="1:40">
      <c r="V90" s="244"/>
      <c r="W90" s="244"/>
      <c r="X90" s="244"/>
      <c r="Y90" s="244"/>
      <c r="Z90" s="244"/>
      <c r="AA90" s="244"/>
      <c r="AB90" s="244"/>
      <c r="AC90" s="244"/>
      <c r="AD90" s="244"/>
    </row>
    <row r="91" spans="1:40">
      <c r="V91" s="244"/>
      <c r="W91" s="244"/>
      <c r="X91" s="244"/>
      <c r="Y91" s="244"/>
      <c r="Z91" s="244"/>
      <c r="AA91" s="244"/>
      <c r="AB91" s="244"/>
      <c r="AC91" s="244"/>
      <c r="AD91" s="244"/>
    </row>
    <row r="92" spans="1:40">
      <c r="V92" s="244"/>
      <c r="W92" s="244"/>
      <c r="X92" s="244"/>
      <c r="Y92" s="244"/>
      <c r="Z92" s="244"/>
      <c r="AA92" s="244"/>
      <c r="AB92" s="244"/>
      <c r="AC92" s="244"/>
      <c r="AD92" s="244"/>
    </row>
    <row r="93" spans="1:40">
      <c r="V93" s="244"/>
      <c r="W93" s="244"/>
      <c r="X93" s="244"/>
    </row>
  </sheetData>
  <sheetProtection password="F07E" sheet="1" objects="1" scenarios="1"/>
  <mergeCells count="21">
    <mergeCell ref="AB31:AC44"/>
    <mergeCell ref="C66:H66"/>
    <mergeCell ref="C68:H68"/>
    <mergeCell ref="C12:E13"/>
    <mergeCell ref="L10:N10"/>
    <mergeCell ref="B11:K11"/>
    <mergeCell ref="L11:N11"/>
    <mergeCell ref="C32:N32"/>
    <mergeCell ref="C39:N39"/>
    <mergeCell ref="V18:AC29"/>
    <mergeCell ref="B8:D8"/>
    <mergeCell ref="E8:L8"/>
    <mergeCell ref="M8:N8"/>
    <mergeCell ref="B9:D9"/>
    <mergeCell ref="E9:L9"/>
    <mergeCell ref="M9:N9"/>
    <mergeCell ref="M5:N5"/>
    <mergeCell ref="B6:B7"/>
    <mergeCell ref="C6:D7"/>
    <mergeCell ref="M6:N7"/>
    <mergeCell ref="E7:L7"/>
  </mergeCells>
  <conditionalFormatting sqref="B11:N11">
    <cfRule type="expression" dxfId="178" priority="109">
      <formula>IF(NoColor,1,0)</formula>
    </cfRule>
  </conditionalFormatting>
  <conditionalFormatting sqref="L19">
    <cfRule type="expression" dxfId="177" priority="108">
      <formula>IF(NoColor,1,0)</formula>
    </cfRule>
  </conditionalFormatting>
  <conditionalFormatting sqref="N61">
    <cfRule type="expression" dxfId="176" priority="86">
      <formula>IF(NoColor,1,0)</formula>
    </cfRule>
  </conditionalFormatting>
  <conditionalFormatting sqref="N15">
    <cfRule type="expression" dxfId="175" priority="84">
      <formula>IF(NoColor,1,0)</formula>
    </cfRule>
  </conditionalFormatting>
  <conditionalFormatting sqref="N59">
    <cfRule type="expression" dxfId="174" priority="85">
      <formula>IF(NoColor,1,0)</formula>
    </cfRule>
  </conditionalFormatting>
  <conditionalFormatting sqref="N16">
    <cfRule type="expression" dxfId="173" priority="83">
      <formula>IF(NoColor,1,0)</formula>
    </cfRule>
  </conditionalFormatting>
  <conditionalFormatting sqref="L21">
    <cfRule type="expression" dxfId="172" priority="81">
      <formula>IF(NoColor,1,0)</formula>
    </cfRule>
  </conditionalFormatting>
  <conditionalFormatting sqref="N22">
    <cfRule type="expression" dxfId="171" priority="80">
      <formula>IF(NoColor,1,0)</formula>
    </cfRule>
  </conditionalFormatting>
  <conditionalFormatting sqref="N28">
    <cfRule type="expression" dxfId="170" priority="76">
      <formula>IF(NoColor,1,0)</formula>
    </cfRule>
  </conditionalFormatting>
  <conditionalFormatting sqref="N31">
    <cfRule type="expression" dxfId="169" priority="73">
      <formula>IF(NoColor,1,0)</formula>
    </cfRule>
  </conditionalFormatting>
  <conditionalFormatting sqref="N36">
    <cfRule type="expression" dxfId="168" priority="69">
      <formula>IF(NoColor,1,0)</formula>
    </cfRule>
  </conditionalFormatting>
  <conditionalFormatting sqref="N38">
    <cfRule type="expression" dxfId="167" priority="67">
      <formula>IF(NoColor,1,0)</formula>
    </cfRule>
  </conditionalFormatting>
  <conditionalFormatting sqref="N42">
    <cfRule type="expression" dxfId="166" priority="66">
      <formula>IF(NoColor,1,0)</formula>
    </cfRule>
  </conditionalFormatting>
  <conditionalFormatting sqref="L45">
    <cfRule type="expression" dxfId="165" priority="63">
      <formula>IF(NoColor,1,0)</formula>
    </cfRule>
  </conditionalFormatting>
  <conditionalFormatting sqref="N46">
    <cfRule type="expression" dxfId="164" priority="62">
      <formula>IF(NoColor,1,0)</formula>
    </cfRule>
  </conditionalFormatting>
  <conditionalFormatting sqref="N48">
    <cfRule type="expression" dxfId="163" priority="61">
      <formula>IF(NoColor,1,0)</formula>
    </cfRule>
  </conditionalFormatting>
  <conditionalFormatting sqref="N49">
    <cfRule type="expression" dxfId="162" priority="60">
      <formula>IF(NoColor,1,0)</formula>
    </cfRule>
  </conditionalFormatting>
  <conditionalFormatting sqref="L58">
    <cfRule type="expression" dxfId="161" priority="54">
      <formula>IF(NoColor,1,0)</formula>
    </cfRule>
  </conditionalFormatting>
  <conditionalFormatting sqref="L25">
    <cfRule type="expression" dxfId="160" priority="52">
      <formula>IF(NoColor,1,0)</formula>
    </cfRule>
  </conditionalFormatting>
  <conditionalFormatting sqref="L27">
    <cfRule type="expression" dxfId="159" priority="51">
      <formula>IF(NoColor,1,0)</formula>
    </cfRule>
  </conditionalFormatting>
  <conditionalFormatting sqref="N29">
    <cfRule type="expression" dxfId="158" priority="50">
      <formula>IF(NoColor,1,0)</formula>
    </cfRule>
  </conditionalFormatting>
  <conditionalFormatting sqref="N30">
    <cfRule type="expression" dxfId="157" priority="49">
      <formula>IF(NoColor,1,0)</formula>
    </cfRule>
  </conditionalFormatting>
  <conditionalFormatting sqref="L33">
    <cfRule type="expression" dxfId="156" priority="48">
      <formula>IF(NoColor,1,0)</formula>
    </cfRule>
  </conditionalFormatting>
  <conditionalFormatting sqref="L35">
    <cfRule type="expression" dxfId="155" priority="46">
      <formula>IF(NoColor,1,0)</formula>
    </cfRule>
  </conditionalFormatting>
  <conditionalFormatting sqref="N37">
    <cfRule type="expression" dxfId="154" priority="45">
      <formula>IF(NoColor,1,0)</formula>
    </cfRule>
  </conditionalFormatting>
  <conditionalFormatting sqref="L50">
    <cfRule type="expression" dxfId="153" priority="44">
      <formula>IF(NoColor,1,0)</formula>
    </cfRule>
  </conditionalFormatting>
  <conditionalFormatting sqref="L52">
    <cfRule type="expression" dxfId="152" priority="43">
      <formula>IF(NoColor,1,0)</formula>
    </cfRule>
  </conditionalFormatting>
  <conditionalFormatting sqref="L54">
    <cfRule type="expression" dxfId="151" priority="42">
      <formula>IF(NoColor,1,0)</formula>
    </cfRule>
  </conditionalFormatting>
  <conditionalFormatting sqref="L55">
    <cfRule type="expression" dxfId="150" priority="41">
      <formula>IF(NoColor,1,0)</formula>
    </cfRule>
  </conditionalFormatting>
  <conditionalFormatting sqref="L57">
    <cfRule type="expression" dxfId="149" priority="40">
      <formula>IF(NoColor,1,0)</formula>
    </cfRule>
  </conditionalFormatting>
  <conditionalFormatting sqref="N41">
    <cfRule type="expression" dxfId="148" priority="39">
      <formula>IF(NoColor,1,0)</formula>
    </cfRule>
  </conditionalFormatting>
  <conditionalFormatting sqref="AC61">
    <cfRule type="expression" dxfId="147" priority="37">
      <formula>IF(NoColor,1,0)</formula>
    </cfRule>
  </conditionalFormatting>
  <conditionalFormatting sqref="AC66">
    <cfRule type="expression" dxfId="146" priority="32">
      <formula>IF(NoColor,1,0)</formula>
    </cfRule>
  </conditionalFormatting>
  <conditionalFormatting sqref="AA57">
    <cfRule type="expression" dxfId="145" priority="35">
      <formula>IF(NoColor,1,0)</formula>
    </cfRule>
  </conditionalFormatting>
  <conditionalFormatting sqref="AC63">
    <cfRule type="expression" dxfId="144" priority="30">
      <formula>IF(NoColor,1,0)</formula>
    </cfRule>
  </conditionalFormatting>
  <conditionalFormatting sqref="AC53">
    <cfRule type="expression" dxfId="143" priority="31">
      <formula>IF(NoColor,1,0)</formula>
    </cfRule>
  </conditionalFormatting>
  <conditionalFormatting sqref="N43:N45">
    <cfRule type="expression" dxfId="142" priority="29">
      <formula>IF(NoColor,1,0)</formula>
    </cfRule>
  </conditionalFormatting>
  <conditionalFormatting sqref="L43">
    <cfRule type="expression" dxfId="141" priority="28">
      <formula>IF(NoColor,1,0)</formula>
    </cfRule>
  </conditionalFormatting>
  <conditionalFormatting sqref="L44">
    <cfRule type="expression" dxfId="140" priority="27">
      <formula>IF(NoColor,1,0)</formula>
    </cfRule>
  </conditionalFormatting>
  <conditionalFormatting sqref="AA60">
    <cfRule type="expression" dxfId="139" priority="24">
      <formula>IF(NoColor,1,0)</formula>
    </cfRule>
  </conditionalFormatting>
  <conditionalFormatting sqref="L23">
    <cfRule type="expression" dxfId="138" priority="23">
      <formula>IF(NoColor,1,0)</formula>
    </cfRule>
  </conditionalFormatting>
  <conditionalFormatting sqref="F12">
    <cfRule type="expression" dxfId="137" priority="22">
      <formula>IF(NoColor,1,0)</formula>
    </cfRule>
  </conditionalFormatting>
  <conditionalFormatting sqref="F13">
    <cfRule type="expression" dxfId="136" priority="21">
      <formula>IF(NoColor,1,0)</formula>
    </cfRule>
  </conditionalFormatting>
  <conditionalFormatting sqref="F14">
    <cfRule type="expression" dxfId="135" priority="20">
      <formula>IF(NoColor,1,0)</formula>
    </cfRule>
  </conditionalFormatting>
  <conditionalFormatting sqref="N17">
    <cfRule type="expression" dxfId="134" priority="18">
      <formula>IF(NoColor,1,0)</formula>
    </cfRule>
  </conditionalFormatting>
  <conditionalFormatting sqref="O21">
    <cfRule type="expression" dxfId="133" priority="17">
      <formula>IF($L$21&lt;&gt;"",TRUE,FALSE)</formula>
    </cfRule>
  </conditionalFormatting>
  <conditionalFormatting sqref="Q21">
    <cfRule type="expression" dxfId="132" priority="16">
      <formula>IF($L$21&lt;&gt;"",TRUE,FALSE)</formula>
    </cfRule>
  </conditionalFormatting>
  <conditionalFormatting sqref="E54">
    <cfRule type="expression" dxfId="131" priority="15">
      <formula>($L$54&lt;0)</formula>
    </cfRule>
  </conditionalFormatting>
  <conditionalFormatting sqref="U72">
    <cfRule type="expression" dxfId="130" priority="14">
      <formula>IF(NoColor,1,0)</formula>
    </cfRule>
  </conditionalFormatting>
  <conditionalFormatting sqref="V75">
    <cfRule type="expression" dxfId="129" priority="10">
      <formula>IF(NoColor,1,0)</formula>
    </cfRule>
  </conditionalFormatting>
  <conditionalFormatting sqref="U75">
    <cfRule type="expression" dxfId="128" priority="12">
      <formula>IF(NoColor,1,0)</formula>
    </cfRule>
  </conditionalFormatting>
  <conditionalFormatting sqref="V72">
    <cfRule type="expression" dxfId="127" priority="11">
      <formula>IF(NoColor,1,0)</formula>
    </cfRule>
  </conditionalFormatting>
  <conditionalFormatting sqref="L34">
    <cfRule type="expression" dxfId="126" priority="9">
      <formula>IF(NoColor,1,0)</formula>
    </cfRule>
  </conditionalFormatting>
  <conditionalFormatting sqref="B2:B3">
    <cfRule type="expression" dxfId="125" priority="8">
      <formula>AND(N45&lt;&gt;"---",$Q$2)</formula>
    </cfRule>
  </conditionalFormatting>
  <conditionalFormatting sqref="M3">
    <cfRule type="expression" dxfId="124" priority="7">
      <formula>NOT(F8960_Applicable)</formula>
    </cfRule>
  </conditionalFormatting>
  <conditionalFormatting sqref="Q52">
    <cfRule type="expression" dxfId="123" priority="6">
      <formula>AND(F8960_Tax&lt;&gt;"",F8960_Tax&gt;0)</formula>
    </cfRule>
  </conditionalFormatting>
  <conditionalFormatting sqref="Q53">
    <cfRule type="expression" dxfId="122" priority="5">
      <formula>AND(F8960_Tax&lt;&gt;"",F8960_Tax&gt;0)</formula>
    </cfRule>
  </conditionalFormatting>
  <conditionalFormatting sqref="Q54">
    <cfRule type="expression" dxfId="121" priority="4">
      <formula>AND(F8960_Tax&lt;&gt;"",F8960_Tax&gt;0)</formula>
    </cfRule>
  </conditionalFormatting>
  <conditionalFormatting sqref="U8:W8">
    <cfRule type="expression" dxfId="120" priority="3">
      <formula>AND(OR(File_Marr_Joint&lt;&gt;"",File_Qual_Widow&lt;&gt;""),F8960_Applicable)</formula>
    </cfRule>
  </conditionalFormatting>
  <conditionalFormatting sqref="U9:V9">
    <cfRule type="expression" dxfId="119" priority="2">
      <formula>AND(File_Marr_Sep&lt;&gt;"",F8960_Applicable)</formula>
    </cfRule>
  </conditionalFormatting>
  <conditionalFormatting sqref="U10:V10">
    <cfRule type="expression" dxfId="118" priority="1">
      <formula>AND(OR(File_Single&lt;&gt;"",File_Head&lt;&gt;""),F8960_Applicable)</formula>
    </cfRule>
  </conditionalFormatting>
  <hyperlinks>
    <hyperlink ref="C66:H66" r:id="rId1" display="Download Form 8960"/>
    <hyperlink ref="C68:H68" r:id="rId2" display="Download Form 8960 Instructions"/>
  </hyperlinks>
  <printOptions horizontalCentered="1"/>
  <pageMargins left="0.44" right="0.25" top="0.47" bottom="0.25" header="0.27" footer="0.25"/>
  <pageSetup scale="91" fitToHeight="0" orientation="portrait" horizontalDpi="4294967293" verticalDpi="4294967293" r:id="rId3"/>
  <headerFooter alignWithMargins="0"/>
  <rowBreaks count="1" manualBreakCount="1">
    <brk id="62" min="1" max="12" man="1"/>
  </rowBreaks>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27"/>
  <sheetViews>
    <sheetView zoomScaleNormal="100" zoomScaleSheetLayoutView="100" workbookViewId="0">
      <selection activeCell="AM19" sqref="AM19"/>
    </sheetView>
  </sheetViews>
  <sheetFormatPr defaultColWidth="9.140625" defaultRowHeight="12.75"/>
  <cols>
    <col min="1" max="1" width="3.7109375" style="46" customWidth="1"/>
    <col min="2" max="2" width="4.7109375" style="46" customWidth="1"/>
    <col min="3" max="3" width="4" style="46" customWidth="1"/>
    <col min="4" max="10" width="3.7109375" style="46" customWidth="1"/>
    <col min="11" max="11" width="4.42578125" style="46" customWidth="1"/>
    <col min="12" max="13" width="3.7109375" style="46" customWidth="1"/>
    <col min="14" max="14" width="4.42578125" style="46" customWidth="1"/>
    <col min="15" max="19" width="3.7109375" style="46" customWidth="1"/>
    <col min="20" max="20" width="4.42578125" style="46" customWidth="1"/>
    <col min="21" max="23" width="3.7109375" style="46" customWidth="1"/>
    <col min="24" max="24" width="4.42578125" style="46" customWidth="1"/>
    <col min="25" max="27" width="3.7109375" style="46" customWidth="1"/>
    <col min="28" max="28" width="4.42578125" style="46" customWidth="1"/>
    <col min="29" max="32" width="3.7109375" style="46" customWidth="1"/>
    <col min="33" max="33" width="4.42578125" style="46" customWidth="1"/>
    <col min="34" max="36" width="3.7109375" style="46" customWidth="1"/>
    <col min="37" max="37" width="9.140625" style="46"/>
    <col min="38" max="38" width="4.42578125" style="46" customWidth="1"/>
    <col min="39" max="39" width="12.5703125" style="46" customWidth="1"/>
    <col min="40" max="40" width="2" style="46" customWidth="1"/>
    <col min="41" max="46" width="9.140625" style="46"/>
    <col min="47" max="48" width="9.85546875" style="46" customWidth="1"/>
    <col min="49" max="49" width="3.28515625" style="46" customWidth="1"/>
    <col min="50" max="50" width="9.140625" style="46" customWidth="1"/>
    <col min="51" max="51" width="2.85546875" style="46" customWidth="1"/>
    <col min="52" max="52" width="3.7109375" style="46" customWidth="1"/>
    <col min="53" max="54" width="9.140625" style="46"/>
    <col min="55" max="55" width="12.85546875" style="46" customWidth="1"/>
    <col min="56" max="56" width="9.140625" style="46"/>
    <col min="57" max="57" width="13" style="46" customWidth="1"/>
    <col min="58" max="58" width="5.140625" style="46" customWidth="1"/>
    <col min="59" max="60" width="9.85546875" style="46" customWidth="1"/>
    <col min="61" max="61" width="3.42578125" style="46" customWidth="1"/>
    <col min="62" max="63" width="9.140625" style="46"/>
    <col min="64" max="64" width="5.140625" style="46" customWidth="1"/>
    <col min="65" max="73" width="10.7109375" style="3169" customWidth="1"/>
    <col min="74" max="16384" width="9.140625" style="46"/>
  </cols>
  <sheetData>
    <row r="1" spans="1:65" ht="24" customHeight="1">
      <c r="A1" s="1228"/>
      <c r="B1" s="1971" t="s">
        <v>1424</v>
      </c>
      <c r="C1" s="1228"/>
      <c r="D1" s="1228"/>
      <c r="E1" s="1228"/>
      <c r="F1" s="1228"/>
      <c r="G1" s="1228"/>
      <c r="H1" s="1228"/>
      <c r="I1" s="1228"/>
      <c r="J1" s="1228"/>
      <c r="K1" s="1228"/>
      <c r="L1" s="1228"/>
      <c r="M1" s="1228"/>
      <c r="N1" s="1228"/>
      <c r="O1" s="1228"/>
      <c r="P1" s="1228"/>
      <c r="Q1" s="1228"/>
      <c r="R1" s="1972"/>
      <c r="S1" s="1228"/>
      <c r="T1" s="1228"/>
      <c r="U1" s="1228"/>
      <c r="V1" s="1228"/>
      <c r="W1" s="1228"/>
      <c r="X1" s="1228"/>
      <c r="Y1" s="1228"/>
      <c r="Z1" s="1228"/>
      <c r="AA1" s="1228"/>
      <c r="AB1" s="1228"/>
      <c r="AC1" s="1228"/>
      <c r="AD1" s="1228"/>
      <c r="AE1" s="1228"/>
      <c r="AF1" s="1228"/>
      <c r="AG1" s="1228"/>
      <c r="AH1" s="1228"/>
      <c r="AI1" s="1228"/>
      <c r="AJ1" s="1228"/>
      <c r="AK1" s="1228"/>
      <c r="AL1" s="1443"/>
      <c r="AM1" s="1443"/>
      <c r="AN1" s="1443"/>
      <c r="AO1" s="1443"/>
      <c r="AP1" s="1443"/>
      <c r="AQ1" s="1443"/>
      <c r="AR1" s="1443"/>
      <c r="AS1" s="1443"/>
      <c r="AT1" s="1443"/>
      <c r="AU1" s="1443"/>
      <c r="AV1" s="1443"/>
      <c r="AW1" s="1443"/>
      <c r="AX1" s="1443"/>
      <c r="AY1" s="1443"/>
      <c r="AZ1" s="1443"/>
      <c r="BA1" s="1443"/>
      <c r="BB1" s="1443"/>
      <c r="BC1" s="2095"/>
      <c r="BD1" s="1443"/>
      <c r="BE1" s="1443"/>
      <c r="BF1" s="1443"/>
      <c r="BG1" s="1443"/>
      <c r="BH1" s="1443"/>
      <c r="BI1" s="1443"/>
      <c r="BJ1" s="1443"/>
      <c r="BK1" s="1443"/>
      <c r="BL1" s="1443"/>
      <c r="BM1" s="3168" t="s">
        <v>2552</v>
      </c>
    </row>
    <row r="2" spans="1:65" ht="13.5" customHeight="1">
      <c r="A2" s="1228"/>
      <c r="B2" s="2326" t="str">
        <f>IF(AND(NOT(Alaska),NOT(Hawaii)),"X","")</f>
        <v>X</v>
      </c>
      <c r="C2" s="1970" t="s">
        <v>1425</v>
      </c>
      <c r="D2" s="1228"/>
      <c r="E2" s="1228"/>
      <c r="F2" s="1228"/>
      <c r="G2" s="1228"/>
      <c r="H2" s="1228"/>
      <c r="I2" s="1228"/>
      <c r="J2" s="1228"/>
      <c r="K2" s="1228"/>
      <c r="L2" s="2326" t="str">
        <f>IF(Alaska,"X","")</f>
        <v/>
      </c>
      <c r="M2" s="1970" t="s">
        <v>1362</v>
      </c>
      <c r="N2" s="1228"/>
      <c r="O2" s="1228"/>
      <c r="P2" s="1228"/>
      <c r="Q2" s="1228"/>
      <c r="R2" s="1972" t="str">
        <f>IF(AL2&lt;1,"Check one.",IF(AL2&gt;1,"Check ONLY ONE.",""))</f>
        <v/>
      </c>
      <c r="S2" s="1228"/>
      <c r="T2" s="1228"/>
      <c r="U2" s="1228"/>
      <c r="V2" s="2326" t="str">
        <f>IF(Hawaii,"X","")</f>
        <v/>
      </c>
      <c r="W2" s="1970" t="s">
        <v>1363</v>
      </c>
      <c r="X2" s="1228"/>
      <c r="Y2" s="1228"/>
      <c r="Z2" s="1228"/>
      <c r="AA2" s="1228"/>
      <c r="AB2" s="1228"/>
      <c r="AC2" s="1228"/>
      <c r="AD2" s="1228"/>
      <c r="AE2" s="1228"/>
      <c r="AF2" s="1228"/>
      <c r="AG2" s="1228"/>
      <c r="AH2" s="1228"/>
      <c r="AI2" s="1228"/>
      <c r="AJ2" s="1228"/>
      <c r="AK2" s="1228"/>
      <c r="AL2" s="1616">
        <f>SUM(AM2,AO2,AP2)</f>
        <v>1</v>
      </c>
      <c r="AM2" s="1616">
        <f>IF(B2&lt;&gt;"",1,0)</f>
        <v>1</v>
      </c>
      <c r="AN2" s="1616"/>
      <c r="AO2" s="1616">
        <f>IF(L2&lt;&gt;"",1,0)</f>
        <v>0</v>
      </c>
      <c r="AP2" s="1616">
        <f>IF(V2&lt;&gt;"",1,0)</f>
        <v>0</v>
      </c>
      <c r="AQ2" s="1443"/>
      <c r="AR2" s="1443"/>
      <c r="AS2" s="8148" t="s">
        <v>1416</v>
      </c>
      <c r="AT2" s="8149"/>
      <c r="AU2" s="8149"/>
      <c r="AV2" s="8149"/>
      <c r="AW2" s="8149"/>
      <c r="AX2" s="8149"/>
      <c r="AY2" s="2097"/>
      <c r="AZ2" s="1443"/>
      <c r="BA2" s="1443"/>
      <c r="BB2" s="1607"/>
      <c r="BC2" s="2095"/>
      <c r="BD2" s="2095"/>
      <c r="BE2" s="2095"/>
      <c r="BF2" s="1443"/>
      <c r="BG2" s="1443"/>
      <c r="BH2" s="1443"/>
      <c r="BI2" s="1443"/>
      <c r="BJ2" s="1443"/>
      <c r="BK2" s="1443"/>
      <c r="BL2" s="1443"/>
    </row>
    <row r="3" spans="1:65" ht="24" customHeight="1">
      <c r="A3" s="1228"/>
      <c r="B3" s="1228"/>
      <c r="C3" s="1228"/>
      <c r="D3" s="1228"/>
      <c r="E3" s="1228"/>
      <c r="F3" s="1228"/>
      <c r="G3" s="1228"/>
      <c r="H3" s="1228"/>
      <c r="I3" s="1228"/>
      <c r="J3" s="1228"/>
      <c r="K3" s="1228"/>
      <c r="L3" s="1228"/>
      <c r="M3" s="1228"/>
      <c r="N3" s="1228"/>
      <c r="O3" s="1228"/>
      <c r="P3" s="1228"/>
      <c r="Q3" s="1228"/>
      <c r="R3" s="1228"/>
      <c r="S3" s="1228"/>
      <c r="T3" s="1228"/>
      <c r="U3" s="1228"/>
      <c r="V3" s="1228"/>
      <c r="W3" s="1228"/>
      <c r="X3" s="1228"/>
      <c r="Y3" s="1228"/>
      <c r="Z3" s="1228"/>
      <c r="AA3" s="1228"/>
      <c r="AB3" s="1228"/>
      <c r="AC3" s="1228"/>
      <c r="AD3" s="1228"/>
      <c r="AE3" s="1228"/>
      <c r="AF3" s="1228"/>
      <c r="AG3" s="1228"/>
      <c r="AH3" s="1228"/>
      <c r="AI3" s="1228"/>
      <c r="AJ3" s="1228"/>
      <c r="AK3" s="1228"/>
      <c r="AL3" s="1443"/>
      <c r="AM3" s="1443"/>
      <c r="AN3" s="1443"/>
      <c r="AO3" s="1443"/>
      <c r="AP3" s="1443"/>
      <c r="AQ3" s="1443"/>
      <c r="AR3" s="1443"/>
      <c r="AS3" s="8149"/>
      <c r="AT3" s="8149"/>
      <c r="AU3" s="8149"/>
      <c r="AV3" s="8149"/>
      <c r="AW3" s="8149"/>
      <c r="AX3" s="8149"/>
      <c r="AY3" s="2097"/>
      <c r="AZ3" s="1443"/>
      <c r="BA3" s="1443"/>
      <c r="BB3" s="1443"/>
      <c r="BC3" s="1443"/>
      <c r="BD3" s="1443"/>
      <c r="BE3" s="1443"/>
      <c r="BF3" s="1443"/>
      <c r="BG3" s="1443"/>
      <c r="BH3" s="1443"/>
      <c r="BI3" s="1443"/>
      <c r="BJ3" s="1607"/>
      <c r="BK3" s="1607"/>
      <c r="BL3" s="1443"/>
    </row>
    <row r="4" spans="1:65" ht="18" customHeight="1">
      <c r="A4" s="1228"/>
      <c r="B4" s="1443"/>
      <c r="C4" s="1443"/>
      <c r="D4" s="7568" t="s">
        <v>1358</v>
      </c>
      <c r="E4" s="7569"/>
      <c r="F4" s="7569"/>
      <c r="G4" s="7569"/>
      <c r="H4" s="1554"/>
      <c r="I4" s="4215"/>
      <c r="J4" s="1443"/>
      <c r="K4" s="1443"/>
      <c r="L4" s="1443"/>
      <c r="M4" s="1443"/>
      <c r="N4" s="1443"/>
      <c r="O4" s="1443"/>
      <c r="P4" s="1443"/>
      <c r="Q4" s="1443"/>
      <c r="R4" s="1443"/>
      <c r="S4" s="1443"/>
      <c r="T4" s="1443"/>
      <c r="U4" s="1443"/>
      <c r="V4" s="1443"/>
      <c r="W4" s="1443"/>
      <c r="X4" s="1443"/>
      <c r="Y4" s="1443"/>
      <c r="Z4" s="1443"/>
      <c r="AA4" s="1443"/>
      <c r="AB4" s="4093"/>
      <c r="AC4" s="8135" t="s">
        <v>169</v>
      </c>
      <c r="AD4" s="7573"/>
      <c r="AE4" s="7573"/>
      <c r="AF4" s="7573"/>
      <c r="AG4" s="7573"/>
      <c r="AH4" s="7573"/>
      <c r="AI4" s="7573"/>
      <c r="AJ4" s="7573"/>
      <c r="AK4" s="1228"/>
      <c r="AL4" s="1443"/>
      <c r="AM4" s="1443"/>
      <c r="AN4" s="1443"/>
      <c r="AO4" s="1443"/>
      <c r="AP4" s="1443"/>
      <c r="AQ4" s="1443"/>
      <c r="AR4" s="1443"/>
      <c r="AS4" s="8149"/>
      <c r="AT4" s="8149"/>
      <c r="AU4" s="8149"/>
      <c r="AV4" s="8149"/>
      <c r="AW4" s="8149"/>
      <c r="AX4" s="8149"/>
      <c r="AY4" s="2097"/>
      <c r="AZ4" s="1443"/>
      <c r="BA4" s="1443"/>
      <c r="BB4" s="1443"/>
      <c r="BC4" s="1443"/>
      <c r="BD4" s="1443"/>
      <c r="BE4" s="1443"/>
      <c r="BF4" s="1443"/>
      <c r="BG4" s="1443"/>
      <c r="BH4" s="1443"/>
      <c r="BI4" s="1443"/>
      <c r="BJ4" s="1607"/>
      <c r="BK4" s="1607"/>
      <c r="BL4" s="1443"/>
    </row>
    <row r="5" spans="1:65" ht="24" customHeight="1">
      <c r="A5" s="1228"/>
      <c r="B5" s="7574" t="s">
        <v>331</v>
      </c>
      <c r="C5" s="5505"/>
      <c r="D5" s="7569"/>
      <c r="E5" s="7569"/>
      <c r="F5" s="7569"/>
      <c r="G5" s="7569"/>
      <c r="H5" s="1554"/>
      <c r="I5" s="7570" t="s">
        <v>1360</v>
      </c>
      <c r="J5" s="8166"/>
      <c r="K5" s="8166"/>
      <c r="L5" s="8166"/>
      <c r="M5" s="8166"/>
      <c r="N5" s="8166"/>
      <c r="O5" s="8166"/>
      <c r="P5" s="8166"/>
      <c r="Q5" s="8166"/>
      <c r="R5" s="8166"/>
      <c r="S5" s="8166"/>
      <c r="T5" s="8166"/>
      <c r="U5" s="8166"/>
      <c r="V5" s="8166"/>
      <c r="W5" s="8166"/>
      <c r="X5" s="8166"/>
      <c r="Y5" s="8166"/>
      <c r="Z5" s="8166"/>
      <c r="AA5" s="8166"/>
      <c r="AB5" s="8167"/>
      <c r="AC5" s="7575">
        <f>TaxYear</f>
        <v>2018</v>
      </c>
      <c r="AD5" s="7576"/>
      <c r="AE5" s="7576"/>
      <c r="AF5" s="7576"/>
      <c r="AG5" s="7576"/>
      <c r="AH5" s="7576"/>
      <c r="AI5" s="7576"/>
      <c r="AJ5" s="7576"/>
      <c r="AK5" s="1228"/>
      <c r="AL5" s="1443"/>
      <c r="AM5" s="8130" t="s">
        <v>2682</v>
      </c>
      <c r="AN5" s="8130"/>
      <c r="AO5" s="8131"/>
      <c r="AP5" s="8131"/>
      <c r="AQ5" s="8131"/>
      <c r="AR5" s="8131"/>
      <c r="AS5" s="8149"/>
      <c r="AT5" s="8149"/>
      <c r="AU5" s="8149"/>
      <c r="AV5" s="8149"/>
      <c r="AW5" s="8149"/>
      <c r="AX5" s="8149"/>
      <c r="AY5" s="2097"/>
      <c r="AZ5" s="1443"/>
      <c r="BA5" s="1443"/>
      <c r="BB5" s="1443"/>
      <c r="BC5" s="1443"/>
      <c r="BD5" s="1443"/>
      <c r="BE5" s="1443"/>
      <c r="BF5" s="1443"/>
      <c r="BG5" s="1443"/>
      <c r="BH5" s="1443"/>
      <c r="BI5" s="1443"/>
      <c r="BJ5" s="1607"/>
      <c r="BK5" s="1607"/>
      <c r="BL5" s="1443"/>
    </row>
    <row r="6" spans="1:65" ht="6.75" customHeight="1">
      <c r="A6" s="1228"/>
      <c r="B6" s="1443"/>
      <c r="C6" s="1443"/>
      <c r="D6" s="1443"/>
      <c r="E6" s="1443"/>
      <c r="F6" s="1443"/>
      <c r="G6" s="1443"/>
      <c r="H6" s="1554"/>
      <c r="I6" s="1930"/>
      <c r="J6" s="1931"/>
      <c r="K6" s="1931"/>
      <c r="L6" s="1931"/>
      <c r="M6" s="1931"/>
      <c r="N6" s="1931"/>
      <c r="O6" s="1931"/>
      <c r="P6" s="1931"/>
      <c r="Q6" s="1931"/>
      <c r="R6" s="1931"/>
      <c r="S6" s="1931"/>
      <c r="T6" s="1931"/>
      <c r="U6" s="1931"/>
      <c r="V6" s="1931"/>
      <c r="W6" s="1931"/>
      <c r="X6" s="1931"/>
      <c r="Y6" s="1931"/>
      <c r="Z6" s="1931"/>
      <c r="AA6" s="1931"/>
      <c r="AB6" s="1932"/>
      <c r="AC6" s="7577"/>
      <c r="AD6" s="7578"/>
      <c r="AE6" s="7578"/>
      <c r="AF6" s="7578"/>
      <c r="AG6" s="7578"/>
      <c r="AH6" s="7578"/>
      <c r="AI6" s="7578"/>
      <c r="AJ6" s="7578"/>
      <c r="AK6" s="1228"/>
      <c r="AL6" s="1443"/>
      <c r="AM6" s="8131"/>
      <c r="AN6" s="8131"/>
      <c r="AO6" s="8131"/>
      <c r="AP6" s="8131"/>
      <c r="AQ6" s="8131"/>
      <c r="AR6" s="8131"/>
      <c r="AS6" s="8149"/>
      <c r="AT6" s="8149"/>
      <c r="AU6" s="8149"/>
      <c r="AV6" s="8149"/>
      <c r="AW6" s="8149"/>
      <c r="AX6" s="8149"/>
      <c r="AY6" s="2097"/>
      <c r="AZ6" s="1443"/>
      <c r="BA6" s="1443"/>
      <c r="BB6" s="1443"/>
      <c r="BC6" s="1443"/>
      <c r="BD6" s="1443"/>
      <c r="BE6" s="1443"/>
      <c r="BF6" s="1443"/>
      <c r="BG6" s="1443"/>
      <c r="BH6" s="1443"/>
      <c r="BI6" s="1443"/>
      <c r="BJ6" s="1607"/>
      <c r="BK6" s="1607"/>
      <c r="BL6" s="1443"/>
    </row>
    <row r="7" spans="1:65" ht="12.75" customHeight="1">
      <c r="A7" s="1228"/>
      <c r="B7" s="1443" t="s">
        <v>202</v>
      </c>
      <c r="C7" s="1443"/>
      <c r="D7" s="1443"/>
      <c r="E7" s="1443"/>
      <c r="F7" s="1443"/>
      <c r="G7" s="1443"/>
      <c r="H7" s="1554"/>
      <c r="I7" s="8153" t="s">
        <v>1359</v>
      </c>
      <c r="J7" s="8154"/>
      <c r="K7" s="8154"/>
      <c r="L7" s="8154"/>
      <c r="M7" s="8154"/>
      <c r="N7" s="8154"/>
      <c r="O7" s="8154"/>
      <c r="P7" s="8154"/>
      <c r="Q7" s="8154"/>
      <c r="R7" s="8154"/>
      <c r="S7" s="8154"/>
      <c r="T7" s="8154"/>
      <c r="U7" s="8154"/>
      <c r="V7" s="8154"/>
      <c r="W7" s="8154"/>
      <c r="X7" s="8154"/>
      <c r="Y7" s="8154"/>
      <c r="Z7" s="8154"/>
      <c r="AA7" s="8154"/>
      <c r="AB7" s="8155"/>
      <c r="AC7" s="1610"/>
      <c r="AD7" s="8185" t="s">
        <v>958</v>
      </c>
      <c r="AE7" s="5843"/>
      <c r="AF7" s="5843"/>
      <c r="AG7" s="5843"/>
      <c r="AH7" s="8085">
        <v>73</v>
      </c>
      <c r="AI7" s="8085"/>
      <c r="AJ7" s="1443"/>
      <c r="AK7" s="1228"/>
      <c r="AL7" s="1443"/>
      <c r="AM7" s="8131"/>
      <c r="AN7" s="8131"/>
      <c r="AO7" s="8131"/>
      <c r="AP7" s="8131"/>
      <c r="AQ7" s="8131"/>
      <c r="AR7" s="8131"/>
      <c r="AS7" s="8149"/>
      <c r="AT7" s="8149"/>
      <c r="AU7" s="8149"/>
      <c r="AV7" s="8149"/>
      <c r="AW7" s="8149"/>
      <c r="AX7" s="8149"/>
      <c r="AY7" s="2097"/>
      <c r="AZ7" s="1443"/>
      <c r="BA7" s="1443"/>
      <c r="BB7" s="1443"/>
      <c r="BC7" s="1443"/>
      <c r="BD7" s="1443"/>
      <c r="BE7" s="1443"/>
      <c r="BF7" s="1443"/>
      <c r="BG7" s="1443"/>
      <c r="BH7" s="1443"/>
      <c r="BI7" s="1443"/>
      <c r="BJ7" s="1607"/>
      <c r="BK7" s="1607"/>
      <c r="BL7" s="1443"/>
    </row>
    <row r="8" spans="1:65" ht="13.5" customHeight="1" thickBot="1">
      <c r="A8" s="1228"/>
      <c r="B8" s="1612" t="s">
        <v>450</v>
      </c>
      <c r="C8" s="1612"/>
      <c r="D8" s="1612"/>
      <c r="E8" s="1612"/>
      <c r="F8" s="1612"/>
      <c r="G8" s="1612"/>
      <c r="H8" s="1613"/>
      <c r="I8" s="8150" t="s">
        <v>4519</v>
      </c>
      <c r="J8" s="8151"/>
      <c r="K8" s="8151"/>
      <c r="L8" s="8151"/>
      <c r="M8" s="8151"/>
      <c r="N8" s="8151"/>
      <c r="O8" s="8151"/>
      <c r="P8" s="8151"/>
      <c r="Q8" s="8151"/>
      <c r="R8" s="8151"/>
      <c r="S8" s="8151"/>
      <c r="T8" s="8151"/>
      <c r="U8" s="8151"/>
      <c r="V8" s="8151"/>
      <c r="W8" s="8151"/>
      <c r="X8" s="8151"/>
      <c r="Y8" s="8151"/>
      <c r="Z8" s="8151"/>
      <c r="AA8" s="8151"/>
      <c r="AB8" s="8152"/>
      <c r="AC8" s="1933"/>
      <c r="AD8" s="7183" t="s">
        <v>1397</v>
      </c>
      <c r="AE8" s="8184"/>
      <c r="AF8" s="8184"/>
      <c r="AG8" s="8184"/>
      <c r="AH8" s="8086"/>
      <c r="AI8" s="8086"/>
      <c r="AJ8" s="1612"/>
      <c r="AK8" s="1228"/>
      <c r="AL8" s="1443"/>
      <c r="AM8" s="8131"/>
      <c r="AN8" s="8131"/>
      <c r="AO8" s="8131"/>
      <c r="AP8" s="8131"/>
      <c r="AQ8" s="8131"/>
      <c r="AR8" s="8131"/>
      <c r="AS8" s="8149"/>
      <c r="AT8" s="8149"/>
      <c r="AU8" s="8149"/>
      <c r="AV8" s="8149"/>
      <c r="AW8" s="8149"/>
      <c r="AX8" s="8149"/>
      <c r="AY8" s="2097"/>
      <c r="AZ8" s="1443"/>
      <c r="BA8" s="1443"/>
      <c r="BB8" s="1443"/>
      <c r="BC8" s="1443"/>
      <c r="BD8" s="1443"/>
      <c r="BE8" s="1443"/>
      <c r="BF8" s="1443"/>
      <c r="BG8" s="1443"/>
      <c r="BH8" s="1443"/>
      <c r="BI8" s="1443"/>
      <c r="BJ8" s="1607"/>
      <c r="BK8" s="1607"/>
      <c r="BL8" s="1443"/>
    </row>
    <row r="9" spans="1:65">
      <c r="A9" s="1228"/>
      <c r="B9" s="1934" t="s">
        <v>1361</v>
      </c>
      <c r="C9" s="1934"/>
      <c r="D9" s="1934"/>
      <c r="E9" s="1934"/>
      <c r="F9" s="1934"/>
      <c r="G9" s="1934"/>
      <c r="H9" s="1934"/>
      <c r="I9" s="1934"/>
      <c r="J9" s="1934"/>
      <c r="K9" s="1934"/>
      <c r="L9" s="1934"/>
      <c r="M9" s="1934"/>
      <c r="N9" s="1934"/>
      <c r="O9" s="1934"/>
      <c r="P9" s="1934"/>
      <c r="Q9" s="1934"/>
      <c r="R9" s="1934"/>
      <c r="S9" s="1934"/>
      <c r="T9" s="1934"/>
      <c r="U9" s="1934"/>
      <c r="V9" s="1934"/>
      <c r="W9" s="1934"/>
      <c r="X9" s="1934"/>
      <c r="Y9" s="1935" t="s">
        <v>99</v>
      </c>
      <c r="Z9" s="1605"/>
      <c r="AA9" s="1605"/>
      <c r="AB9" s="1605"/>
      <c r="AC9" s="1965"/>
      <c r="AD9" s="2121"/>
      <c r="AE9" s="2121"/>
      <c r="AF9" s="2121"/>
      <c r="AG9" s="2121"/>
      <c r="AH9" s="2121"/>
      <c r="AI9" s="2121"/>
      <c r="AJ9" s="2121"/>
      <c r="AK9" s="1228"/>
      <c r="AL9" s="1443"/>
      <c r="AM9" s="8131"/>
      <c r="AN9" s="8131"/>
      <c r="AO9" s="8131"/>
      <c r="AP9" s="8131"/>
      <c r="AQ9" s="8131"/>
      <c r="AR9" s="8131"/>
      <c r="AS9" s="8149"/>
      <c r="AT9" s="8149"/>
      <c r="AU9" s="8149"/>
      <c r="AV9" s="8149"/>
      <c r="AW9" s="8149"/>
      <c r="AX9" s="8149"/>
      <c r="AY9" s="2097"/>
      <c r="AZ9" s="1443"/>
      <c r="BA9" s="1443"/>
      <c r="BB9" s="1443"/>
      <c r="BC9" s="1443"/>
      <c r="BD9" s="1443"/>
      <c r="BE9" s="1443"/>
      <c r="BF9" s="1443"/>
      <c r="BG9" s="1443"/>
      <c r="BH9" s="1443"/>
      <c r="BI9" s="1443"/>
      <c r="BJ9" s="1607"/>
      <c r="BK9" s="1607"/>
      <c r="BL9" s="1443"/>
    </row>
    <row r="10" spans="1:65" ht="13.5" customHeight="1">
      <c r="A10" s="1228"/>
      <c r="B10" s="7564" t="str">
        <f>IF(Names="","",Names)</f>
        <v/>
      </c>
      <c r="C10" s="7565"/>
      <c r="D10" s="7565"/>
      <c r="E10" s="7565"/>
      <c r="F10" s="7565"/>
      <c r="G10" s="7565"/>
      <c r="H10" s="7565"/>
      <c r="I10" s="7565"/>
      <c r="J10" s="7565"/>
      <c r="K10" s="7565"/>
      <c r="L10" s="5924"/>
      <c r="M10" s="5924"/>
      <c r="N10" s="5924"/>
      <c r="O10" s="5924"/>
      <c r="P10" s="5924"/>
      <c r="Q10" s="5924"/>
      <c r="R10" s="5924"/>
      <c r="S10" s="5924"/>
      <c r="T10" s="6052"/>
      <c r="U10" s="6052"/>
      <c r="V10" s="6052"/>
      <c r="W10" s="6052"/>
      <c r="X10" s="7376"/>
      <c r="Y10" s="7567" t="str">
        <f>IF(OR(NoSSN,SS_Yours=""),"",SS_Yours)</f>
        <v/>
      </c>
      <c r="Z10" s="5579"/>
      <c r="AA10" s="5579"/>
      <c r="AB10" s="5579"/>
      <c r="AC10" s="5579"/>
      <c r="AD10" s="5579"/>
      <c r="AE10" s="5579"/>
      <c r="AF10" s="5579"/>
      <c r="AG10" s="5579"/>
      <c r="AH10" s="5579"/>
      <c r="AI10" s="5579"/>
      <c r="AJ10" s="5579"/>
      <c r="AK10" s="1228"/>
      <c r="AL10" s="1443"/>
      <c r="AM10" s="8131"/>
      <c r="AN10" s="8131"/>
      <c r="AO10" s="8131"/>
      <c r="AP10" s="8131"/>
      <c r="AQ10" s="8131"/>
      <c r="AR10" s="8131"/>
      <c r="AS10" s="8149"/>
      <c r="AT10" s="8149"/>
      <c r="AU10" s="8149"/>
      <c r="AV10" s="8149"/>
      <c r="AW10" s="8149"/>
      <c r="AX10" s="8149"/>
      <c r="AY10" s="2097"/>
      <c r="AZ10" s="1443"/>
      <c r="BA10" s="1443"/>
      <c r="BB10" s="1443"/>
      <c r="BC10" s="1443"/>
      <c r="BD10" s="1443"/>
      <c r="BE10" s="1443"/>
      <c r="BF10" s="1443"/>
      <c r="BG10" s="1443"/>
      <c r="BH10" s="1443"/>
      <c r="BI10" s="1443"/>
      <c r="BJ10" s="1607"/>
      <c r="BK10" s="1607"/>
      <c r="BL10" s="1443"/>
    </row>
    <row r="11" spans="1:65" ht="5.25" customHeight="1">
      <c r="A11" s="1228"/>
      <c r="B11" s="7566"/>
      <c r="C11" s="7566"/>
      <c r="D11" s="7566"/>
      <c r="E11" s="7566"/>
      <c r="F11" s="7566"/>
      <c r="G11" s="7566"/>
      <c r="H11" s="7566"/>
      <c r="I11" s="7566"/>
      <c r="J11" s="7566"/>
      <c r="K11" s="7566"/>
      <c r="L11" s="7566"/>
      <c r="M11" s="7566"/>
      <c r="N11" s="7566"/>
      <c r="O11" s="7566"/>
      <c r="P11" s="7566"/>
      <c r="Q11" s="7566"/>
      <c r="R11" s="7566"/>
      <c r="S11" s="7566"/>
      <c r="T11" s="7378"/>
      <c r="U11" s="7378"/>
      <c r="V11" s="7378"/>
      <c r="W11" s="7378"/>
      <c r="X11" s="7379"/>
      <c r="Y11" s="5580"/>
      <c r="Z11" s="5577"/>
      <c r="AA11" s="5577"/>
      <c r="AB11" s="5577"/>
      <c r="AC11" s="5577"/>
      <c r="AD11" s="5577"/>
      <c r="AE11" s="5577"/>
      <c r="AF11" s="5577"/>
      <c r="AG11" s="5577"/>
      <c r="AH11" s="5577"/>
      <c r="AI11" s="5577"/>
      <c r="AJ11" s="5577"/>
      <c r="AK11" s="1228"/>
      <c r="AL11" s="1443"/>
      <c r="AM11" s="8131"/>
      <c r="AN11" s="8131"/>
      <c r="AO11" s="8131"/>
      <c r="AP11" s="8131"/>
      <c r="AQ11" s="8131"/>
      <c r="AR11" s="8131"/>
      <c r="AS11" s="8149"/>
      <c r="AT11" s="8149"/>
      <c r="AU11" s="8149"/>
      <c r="AV11" s="8149"/>
      <c r="AW11" s="8149"/>
      <c r="AX11" s="8149"/>
      <c r="AY11" s="2097"/>
      <c r="AZ11" s="1443"/>
      <c r="BA11" s="1443"/>
      <c r="BB11" s="1443"/>
      <c r="BC11" s="1443"/>
      <c r="BD11" s="1443"/>
      <c r="BE11" s="1443"/>
      <c r="BF11" s="1443"/>
      <c r="BG11" s="1443"/>
      <c r="BH11" s="1443"/>
      <c r="BI11" s="1443"/>
      <c r="BJ11" s="1607"/>
      <c r="BK11" s="1607"/>
      <c r="BL11" s="1443"/>
    </row>
    <row r="12" spans="1:65" ht="5.25" customHeight="1" thickBot="1">
      <c r="A12" s="1228"/>
      <c r="B12" s="8162" t="s">
        <v>2072</v>
      </c>
      <c r="C12" s="8163"/>
      <c r="D12" s="8163"/>
      <c r="E12" s="8163"/>
      <c r="F12" s="8163"/>
      <c r="G12" s="8163"/>
      <c r="H12" s="8163"/>
      <c r="I12" s="8163"/>
      <c r="J12" s="8163"/>
      <c r="K12" s="8163"/>
      <c r="L12" s="8163"/>
      <c r="M12" s="8163"/>
      <c r="N12" s="8163"/>
      <c r="O12" s="8163"/>
      <c r="P12" s="8163"/>
      <c r="Q12" s="8163"/>
      <c r="R12" s="8163"/>
      <c r="S12" s="8163"/>
      <c r="T12" s="8163"/>
      <c r="U12" s="8163"/>
      <c r="V12" s="8163"/>
      <c r="W12" s="8163"/>
      <c r="X12" s="8163"/>
      <c r="Y12" s="8163"/>
      <c r="Z12" s="8163"/>
      <c r="AA12" s="8163"/>
      <c r="AB12" s="8163"/>
      <c r="AC12" s="8163"/>
      <c r="AD12" s="8163"/>
      <c r="AE12" s="8163"/>
      <c r="AF12" s="8163"/>
      <c r="AG12" s="8163"/>
      <c r="AH12" s="8163"/>
      <c r="AI12" s="1443"/>
      <c r="AJ12" s="1443"/>
      <c r="AK12" s="1228"/>
      <c r="AL12" s="1443"/>
      <c r="AM12" s="1443"/>
      <c r="AN12" s="1443"/>
      <c r="AO12" s="1443"/>
      <c r="AP12" s="1443"/>
      <c r="AQ12" s="1443"/>
      <c r="AR12" s="1443"/>
      <c r="AS12" s="1443"/>
      <c r="AT12" s="1443"/>
      <c r="AU12" s="1443"/>
      <c r="AV12" s="1443"/>
      <c r="AW12" s="1443"/>
      <c r="AX12" s="1443"/>
      <c r="AY12" s="1443"/>
      <c r="AZ12" s="1443"/>
      <c r="BA12" s="1443"/>
      <c r="BB12" s="1443"/>
      <c r="BC12" s="1443"/>
      <c r="BD12" s="1443"/>
      <c r="BE12" s="1443"/>
      <c r="BF12" s="1443"/>
      <c r="BG12" s="1443"/>
      <c r="BH12" s="1443"/>
      <c r="BI12" s="1443"/>
      <c r="BJ12" s="1607"/>
      <c r="BK12" s="1607"/>
      <c r="BL12" s="1443"/>
    </row>
    <row r="13" spans="1:65" ht="15" customHeight="1" thickBot="1">
      <c r="A13" s="1228"/>
      <c r="B13" s="6462"/>
      <c r="C13" s="6462"/>
      <c r="D13" s="6462"/>
      <c r="E13" s="6462"/>
      <c r="F13" s="6462"/>
      <c r="G13" s="6462"/>
      <c r="H13" s="6462"/>
      <c r="I13" s="6462"/>
      <c r="J13" s="6462"/>
      <c r="K13" s="6462"/>
      <c r="L13" s="6462"/>
      <c r="M13" s="6462"/>
      <c r="N13" s="6462"/>
      <c r="O13" s="6462"/>
      <c r="P13" s="6462"/>
      <c r="Q13" s="6462"/>
      <c r="R13" s="6462"/>
      <c r="S13" s="6462"/>
      <c r="T13" s="6462"/>
      <c r="U13" s="6462"/>
      <c r="V13" s="6462"/>
      <c r="W13" s="6462"/>
      <c r="X13" s="6462"/>
      <c r="Y13" s="6462"/>
      <c r="Z13" s="6462"/>
      <c r="AA13" s="6462"/>
      <c r="AB13" s="6462"/>
      <c r="AC13" s="6462"/>
      <c r="AD13" s="6462"/>
      <c r="AE13" s="6462"/>
      <c r="AF13" s="6462"/>
      <c r="AG13" s="6462"/>
      <c r="AH13" s="6462"/>
      <c r="AI13" s="1587"/>
      <c r="AJ13" s="1443"/>
      <c r="AK13" s="1228"/>
      <c r="AL13" s="3365" t="s">
        <v>2681</v>
      </c>
      <c r="AM13" s="1616" t="b">
        <f>IF(AND($AI$13&lt;&gt;"",OR(File_Head&lt;&gt;"",File_Marr_Joint&lt;&gt;"",File_Qual_Widow&lt;&gt;"",File_Single&lt;&gt;"")),TRUE,FALSE)</f>
        <v>0</v>
      </c>
      <c r="AN13" s="1443"/>
      <c r="AO13" s="1443"/>
      <c r="AP13" s="1443"/>
      <c r="AQ13" s="1443"/>
      <c r="AR13" s="1443"/>
      <c r="AS13" s="1443"/>
      <c r="AT13" s="1443"/>
      <c r="AU13" s="1443"/>
      <c r="AV13" s="1443"/>
      <c r="AW13" s="1443"/>
      <c r="AX13" s="1443"/>
      <c r="AY13" s="1443"/>
      <c r="AZ13" s="1443"/>
      <c r="BA13" s="1443"/>
      <c r="BB13" s="1443"/>
      <c r="BC13" s="1443"/>
      <c r="BD13" s="1443"/>
      <c r="BE13" s="1443"/>
      <c r="BF13" s="1443"/>
      <c r="BG13" s="1443"/>
      <c r="BH13" s="1443"/>
      <c r="BI13" s="1443"/>
      <c r="BJ13" s="1607"/>
      <c r="BK13" s="1607"/>
      <c r="BL13" s="1443"/>
    </row>
    <row r="14" spans="1:65" ht="6" customHeight="1">
      <c r="A14" s="1228"/>
      <c r="B14" s="8164"/>
      <c r="C14" s="8164"/>
      <c r="D14" s="8164"/>
      <c r="E14" s="8164"/>
      <c r="F14" s="8164"/>
      <c r="G14" s="8164"/>
      <c r="H14" s="8164"/>
      <c r="I14" s="8164"/>
      <c r="J14" s="8164"/>
      <c r="K14" s="8164"/>
      <c r="L14" s="8164"/>
      <c r="M14" s="8164"/>
      <c r="N14" s="8164"/>
      <c r="O14" s="8164"/>
      <c r="P14" s="8164"/>
      <c r="Q14" s="8164"/>
      <c r="R14" s="8164"/>
      <c r="S14" s="8164"/>
      <c r="T14" s="8164"/>
      <c r="U14" s="8164"/>
      <c r="V14" s="8164"/>
      <c r="W14" s="8164"/>
      <c r="X14" s="8164"/>
      <c r="Y14" s="8164"/>
      <c r="Z14" s="8164"/>
      <c r="AA14" s="8164"/>
      <c r="AB14" s="8164"/>
      <c r="AC14" s="8164"/>
      <c r="AD14" s="8164"/>
      <c r="AE14" s="8164"/>
      <c r="AF14" s="8164"/>
      <c r="AG14" s="8164"/>
      <c r="AH14" s="8164"/>
      <c r="AI14" s="1936"/>
      <c r="AJ14" s="1936"/>
      <c r="AK14" s="1228"/>
      <c r="AL14" s="1443"/>
      <c r="AM14" s="1443"/>
      <c r="AN14" s="1443"/>
      <c r="AO14" s="1443"/>
      <c r="AP14" s="1443"/>
      <c r="AQ14" s="1443"/>
      <c r="AR14" s="1443"/>
      <c r="AS14" s="1443"/>
      <c r="AT14" s="1443"/>
      <c r="AU14" s="1443"/>
      <c r="AV14" s="1443"/>
      <c r="AW14" s="1443"/>
      <c r="AX14" s="1443"/>
      <c r="AY14" s="1443"/>
      <c r="AZ14" s="1443"/>
      <c r="BA14" s="1443"/>
      <c r="BB14" s="1443"/>
      <c r="BC14" s="1443"/>
      <c r="BD14" s="1443"/>
      <c r="BE14" s="1443"/>
      <c r="BF14" s="1443"/>
      <c r="BG14" s="1443"/>
      <c r="BH14" s="1443"/>
      <c r="BI14" s="1443"/>
      <c r="BJ14" s="1607"/>
      <c r="BK14" s="1607"/>
      <c r="BL14" s="1443"/>
    </row>
    <row r="15" spans="1:65" ht="18" customHeight="1">
      <c r="A15" s="1228"/>
      <c r="B15" s="2124" t="s">
        <v>58</v>
      </c>
      <c r="C15" s="2125"/>
      <c r="D15" s="2126" t="s">
        <v>1565</v>
      </c>
      <c r="E15" s="1937"/>
      <c r="F15" s="1937"/>
      <c r="G15" s="1937"/>
      <c r="H15" s="1937"/>
      <c r="I15" s="1937"/>
      <c r="J15" s="1937"/>
      <c r="K15" s="1937"/>
      <c r="L15" s="1937"/>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63"/>
      <c r="AJ15" s="2122" t="str">
        <f>IF($AM$13,"Checkbox is only for 'Married Filing Separately' filers. See instructions.","")</f>
        <v/>
      </c>
      <c r="AK15" s="1228"/>
      <c r="AL15" s="3364"/>
      <c r="AM15" s="2101" t="str">
        <f>IF(AJ15&lt;&gt;"","Check this box to remove message.","")</f>
        <v/>
      </c>
      <c r="AN15" s="2101"/>
      <c r="AO15" s="1443"/>
      <c r="AP15" s="1443"/>
      <c r="AQ15" s="1443"/>
      <c r="AR15" s="1443"/>
      <c r="AS15" s="1443"/>
      <c r="AT15" s="1443"/>
      <c r="AU15" s="1443"/>
      <c r="AV15" s="1443"/>
      <c r="AW15" s="1443"/>
      <c r="AX15" s="1443"/>
      <c r="AY15" s="1443"/>
      <c r="AZ15" s="1443"/>
      <c r="BA15" s="1443"/>
      <c r="BB15" s="1443"/>
      <c r="BC15" s="1443"/>
      <c r="BD15" s="1443"/>
      <c r="BE15" s="1443"/>
      <c r="BF15" s="1443"/>
      <c r="BG15" s="1443"/>
      <c r="BH15" s="1443"/>
      <c r="BI15" s="1443"/>
      <c r="BJ15" s="1607"/>
      <c r="BK15" s="1607"/>
      <c r="BL15" s="1443"/>
    </row>
    <row r="16" spans="1:65">
      <c r="A16" s="1228"/>
      <c r="B16" s="1443"/>
      <c r="C16" s="1443"/>
      <c r="D16" s="1443"/>
      <c r="E16" s="1443"/>
      <c r="F16" s="1443"/>
      <c r="G16" s="1443"/>
      <c r="H16" s="1443"/>
      <c r="I16" s="1443"/>
      <c r="J16" s="1443"/>
      <c r="K16" s="1443"/>
      <c r="L16" s="1443"/>
      <c r="M16" s="1443"/>
      <c r="N16" s="1443"/>
      <c r="O16" s="1443"/>
      <c r="P16" s="1443"/>
      <c r="Q16" s="1443"/>
      <c r="R16" s="1443"/>
      <c r="S16" s="1443"/>
      <c r="T16" s="1443"/>
      <c r="U16" s="1443"/>
      <c r="V16" s="1443"/>
      <c r="W16" s="1443"/>
      <c r="X16" s="1443"/>
      <c r="Y16" s="1443"/>
      <c r="Z16" s="1443"/>
      <c r="AA16" s="1443"/>
      <c r="AB16" s="1443"/>
      <c r="AC16" s="1443"/>
      <c r="AD16" s="1938"/>
      <c r="AE16" s="1443"/>
      <c r="AF16" s="1443"/>
      <c r="AG16" s="1443"/>
      <c r="AH16" s="1443"/>
      <c r="AI16" s="1443"/>
      <c r="AJ16" s="1443"/>
      <c r="AK16" s="1228"/>
      <c r="AL16" s="1443"/>
      <c r="AM16" s="1075" t="s">
        <v>101</v>
      </c>
      <c r="AN16" s="1443"/>
      <c r="AO16" s="1443"/>
      <c r="AP16" s="1443"/>
      <c r="AQ16" s="1443"/>
      <c r="AR16" s="1443"/>
      <c r="AS16" s="2097"/>
      <c r="AT16" s="2097"/>
      <c r="AU16" s="2097"/>
      <c r="AV16" s="2097"/>
      <c r="AW16" s="2097"/>
      <c r="AX16" s="2097"/>
      <c r="AY16" s="2097"/>
      <c r="AZ16" s="1443"/>
      <c r="BA16" s="1607"/>
      <c r="BB16" s="1607"/>
      <c r="BC16" s="2096"/>
      <c r="BD16" s="2096"/>
      <c r="BE16" s="2096"/>
      <c r="BF16" s="1607"/>
      <c r="BG16" s="1607"/>
      <c r="BH16" s="1607"/>
      <c r="BI16" s="1607"/>
      <c r="BJ16" s="1607"/>
      <c r="BK16" s="1607"/>
      <c r="BL16" s="1443"/>
    </row>
    <row r="17" spans="1:64" ht="15" customHeight="1">
      <c r="A17" s="1228"/>
      <c r="B17" s="1443"/>
      <c r="C17" s="1939" t="s">
        <v>165</v>
      </c>
      <c r="D17" s="3269" t="s">
        <v>3816</v>
      </c>
      <c r="E17" s="1443"/>
      <c r="F17" s="1443"/>
      <c r="G17" s="1443"/>
      <c r="H17" s="1443"/>
      <c r="I17" s="1443"/>
      <c r="J17" s="1443"/>
      <c r="K17" s="1443"/>
      <c r="L17" s="1443"/>
      <c r="M17" s="1443"/>
      <c r="N17" s="1443"/>
      <c r="O17" s="1443"/>
      <c r="P17" s="1443"/>
      <c r="Q17" s="1443"/>
      <c r="R17" s="1443"/>
      <c r="S17" s="1443"/>
      <c r="T17" s="1443"/>
      <c r="U17" s="1443"/>
      <c r="V17" s="1443"/>
      <c r="W17" s="1443"/>
      <c r="X17" s="1443"/>
      <c r="Y17" s="1443"/>
      <c r="Z17" s="1443"/>
      <c r="AA17" s="1443"/>
      <c r="AB17" s="1443"/>
      <c r="AC17" s="1443"/>
      <c r="AD17" s="1940">
        <v>1</v>
      </c>
      <c r="AE17" s="5984">
        <f>IF(AND(File_Marr_Sep&lt;&gt;"",AI13=""),"",TaxFamilySize)</f>
        <v>0</v>
      </c>
      <c r="AF17" s="8158"/>
      <c r="AG17" s="8158"/>
      <c r="AH17" s="8158"/>
      <c r="AI17" s="8158"/>
      <c r="AJ17" s="8158"/>
      <c r="AK17" s="1228"/>
      <c r="AL17" s="1443"/>
      <c r="AM17" s="1443"/>
      <c r="AN17" s="1443"/>
      <c r="AO17" s="8100" t="s">
        <v>1500</v>
      </c>
      <c r="AP17" s="7293"/>
      <c r="AQ17" s="7293"/>
      <c r="AR17" s="7293"/>
      <c r="AS17" s="7293"/>
      <c r="AT17" s="7293"/>
      <c r="AU17" s="7293"/>
      <c r="AV17" s="7293"/>
      <c r="AW17" s="7293"/>
      <c r="AX17" s="7293"/>
      <c r="AY17" s="2134"/>
      <c r="AZ17" s="1443"/>
      <c r="BA17" s="8100" t="s">
        <v>4529</v>
      </c>
      <c r="BB17" s="8101"/>
      <c r="BC17" s="8101"/>
      <c r="BD17" s="8101"/>
      <c r="BE17" s="8101"/>
      <c r="BF17" s="8101"/>
      <c r="BG17" s="8101"/>
      <c r="BH17" s="8101"/>
      <c r="BI17" s="8101"/>
      <c r="BJ17" s="8101"/>
      <c r="BK17" s="2134"/>
      <c r="BL17" s="1443"/>
    </row>
    <row r="18" spans="1:64" ht="6.75" customHeight="1" thickBot="1">
      <c r="A18" s="1228"/>
      <c r="B18" s="1443"/>
      <c r="C18" s="1443"/>
      <c r="D18" s="3269"/>
      <c r="E18" s="1443"/>
      <c r="F18" s="1443"/>
      <c r="G18" s="1443"/>
      <c r="H18" s="1443"/>
      <c r="I18" s="1443"/>
      <c r="J18" s="1443"/>
      <c r="K18" s="1443"/>
      <c r="L18" s="1443"/>
      <c r="M18" s="1443"/>
      <c r="N18" s="1443"/>
      <c r="O18" s="1443"/>
      <c r="P18" s="1443"/>
      <c r="Q18" s="1443"/>
      <c r="R18" s="1443"/>
      <c r="S18" s="1443"/>
      <c r="T18" s="1443"/>
      <c r="U18" s="1443"/>
      <c r="V18" s="1443"/>
      <c r="W18" s="1443"/>
      <c r="X18" s="1443"/>
      <c r="Y18" s="1443"/>
      <c r="Z18" s="1443"/>
      <c r="AA18" s="1443"/>
      <c r="AB18" s="1443"/>
      <c r="AC18" s="1443"/>
      <c r="AD18" s="1941"/>
      <c r="AE18" s="1443"/>
      <c r="AF18" s="1443"/>
      <c r="AG18" s="1443"/>
      <c r="AH18" s="1443"/>
      <c r="AI18" s="1443"/>
      <c r="AJ18" s="1443"/>
      <c r="AK18" s="1228"/>
      <c r="AL18" s="1443"/>
      <c r="AM18" s="1443"/>
      <c r="AN18" s="1443"/>
      <c r="AO18" s="8106"/>
      <c r="AP18" s="5628"/>
      <c r="AQ18" s="5628"/>
      <c r="AR18" s="5628"/>
      <c r="AS18" s="5628"/>
      <c r="AT18" s="5628"/>
      <c r="AU18" s="5628"/>
      <c r="AV18" s="5628"/>
      <c r="AW18" s="5628"/>
      <c r="AX18" s="5628"/>
      <c r="AY18" s="2133"/>
      <c r="AZ18" s="1443"/>
      <c r="BA18" s="8102"/>
      <c r="BB18" s="8103"/>
      <c r="BC18" s="8103"/>
      <c r="BD18" s="8103"/>
      <c r="BE18" s="8103"/>
      <c r="BF18" s="8103"/>
      <c r="BG18" s="8103"/>
      <c r="BH18" s="8103"/>
      <c r="BI18" s="8103"/>
      <c r="BJ18" s="8103"/>
      <c r="BK18" s="2133"/>
      <c r="BL18" s="1443"/>
    </row>
    <row r="19" spans="1:64" ht="15.75" thickBot="1">
      <c r="A19" s="1228"/>
      <c r="B19" s="1443"/>
      <c r="C19" s="1939" t="s">
        <v>386</v>
      </c>
      <c r="D19" s="3269" t="s">
        <v>2996</v>
      </c>
      <c r="E19" s="1443"/>
      <c r="F19" s="1443"/>
      <c r="G19" s="1443"/>
      <c r="H19" s="1443"/>
      <c r="I19" s="1443"/>
      <c r="J19" s="1443"/>
      <c r="K19" s="1443"/>
      <c r="L19" s="1443"/>
      <c r="M19" s="1443"/>
      <c r="N19" s="1443"/>
      <c r="O19" s="1443"/>
      <c r="P19" s="1443"/>
      <c r="Q19" s="1443"/>
      <c r="R19" s="1443"/>
      <c r="S19" s="1939"/>
      <c r="T19" s="1443"/>
      <c r="U19" s="1443"/>
      <c r="V19" s="1443"/>
      <c r="W19" s="1940" t="s">
        <v>386</v>
      </c>
      <c r="X19" s="6452">
        <f>IF(AM19&lt;&gt;"",ROUND(AM19,0),AV43)</f>
        <v>0</v>
      </c>
      <c r="Y19" s="8165"/>
      <c r="Z19" s="8165"/>
      <c r="AA19" s="8165"/>
      <c r="AB19" s="8165"/>
      <c r="AC19" s="8165"/>
      <c r="AD19" s="1941"/>
      <c r="AE19" s="1443"/>
      <c r="AF19" s="1443"/>
      <c r="AG19" s="1443"/>
      <c r="AH19" s="1443"/>
      <c r="AI19" s="1443"/>
      <c r="AJ19" s="1443"/>
      <c r="AK19" s="1228"/>
      <c r="AL19" s="2254" t="s">
        <v>386</v>
      </c>
      <c r="AM19" s="2077"/>
      <c r="AN19" s="1443"/>
      <c r="AO19" s="8106"/>
      <c r="AP19" s="5628"/>
      <c r="AQ19" s="5628"/>
      <c r="AR19" s="5628"/>
      <c r="AS19" s="5628"/>
      <c r="AT19" s="5628"/>
      <c r="AU19" s="5628"/>
      <c r="AV19" s="5628"/>
      <c r="AW19" s="5628"/>
      <c r="AX19" s="5628"/>
      <c r="AY19" s="2133"/>
      <c r="AZ19" s="1443"/>
      <c r="BA19" s="8102"/>
      <c r="BB19" s="8103"/>
      <c r="BC19" s="8103"/>
      <c r="BD19" s="8103"/>
      <c r="BE19" s="8103"/>
      <c r="BF19" s="8103"/>
      <c r="BG19" s="8103"/>
      <c r="BH19" s="8103"/>
      <c r="BI19" s="8103"/>
      <c r="BJ19" s="8103"/>
      <c r="BK19" s="2133"/>
      <c r="BL19" s="1443"/>
    </row>
    <row r="20" spans="1:64" ht="15.75" thickBot="1">
      <c r="A20" s="1228"/>
      <c r="B20" s="1443"/>
      <c r="C20" s="1942" t="s">
        <v>54</v>
      </c>
      <c r="D20" s="3269" t="s">
        <v>2580</v>
      </c>
      <c r="E20" s="1443"/>
      <c r="F20" s="1443"/>
      <c r="G20" s="1443"/>
      <c r="H20" s="1443"/>
      <c r="I20" s="1443"/>
      <c r="J20" s="1443"/>
      <c r="K20" s="1943"/>
      <c r="L20" s="3250"/>
      <c r="M20" s="3251"/>
      <c r="N20" s="1943"/>
      <c r="O20" s="1943"/>
      <c r="P20" s="1943"/>
      <c r="Q20" s="1943"/>
      <c r="R20" s="1943"/>
      <c r="S20" s="1443"/>
      <c r="T20" s="1443"/>
      <c r="U20" s="1443"/>
      <c r="V20" s="1443"/>
      <c r="W20" s="3252" t="s">
        <v>387</v>
      </c>
      <c r="X20" s="8145">
        <f>IF(AM20&lt;&gt;"",ROUND(AM20,0),BH43)</f>
        <v>0</v>
      </c>
      <c r="Y20" s="8146"/>
      <c r="Z20" s="8146"/>
      <c r="AA20" s="8146"/>
      <c r="AB20" s="8146"/>
      <c r="AC20" s="8147"/>
      <c r="AD20" s="1940"/>
      <c r="AE20" s="3249"/>
      <c r="AF20" s="3249"/>
      <c r="AG20" s="3249"/>
      <c r="AH20" s="3249"/>
      <c r="AI20" s="3249"/>
      <c r="AJ20" s="3249"/>
      <c r="AK20" s="1228"/>
      <c r="AL20" s="2254" t="s">
        <v>387</v>
      </c>
      <c r="AM20" s="2077"/>
      <c r="AN20" s="1443"/>
      <c r="AO20" s="8107"/>
      <c r="AP20" s="6065"/>
      <c r="AQ20" s="6065"/>
      <c r="AR20" s="6065"/>
      <c r="AS20" s="6065"/>
      <c r="AT20" s="6065"/>
      <c r="AU20" s="6065"/>
      <c r="AV20" s="6065"/>
      <c r="AW20" s="6065"/>
      <c r="AX20" s="6065"/>
      <c r="AY20" s="2133"/>
      <c r="AZ20" s="1443"/>
      <c r="BA20" s="8104"/>
      <c r="BB20" s="8105"/>
      <c r="BC20" s="8105"/>
      <c r="BD20" s="8105"/>
      <c r="BE20" s="8105"/>
      <c r="BF20" s="8105"/>
      <c r="BG20" s="8105"/>
      <c r="BH20" s="8105"/>
      <c r="BI20" s="8105"/>
      <c r="BJ20" s="8105"/>
      <c r="BK20" s="2133"/>
      <c r="BL20" s="1443"/>
    </row>
    <row r="21" spans="1:64" ht="7.5" customHeight="1" thickBot="1">
      <c r="A21" s="1228"/>
      <c r="B21" s="1443"/>
      <c r="C21" s="1443"/>
      <c r="D21" s="1443"/>
      <c r="E21" s="1443"/>
      <c r="F21" s="1443"/>
      <c r="G21" s="1443"/>
      <c r="H21" s="1443"/>
      <c r="I21" s="1443"/>
      <c r="J21" s="1443"/>
      <c r="K21" s="1443"/>
      <c r="L21" s="1443"/>
      <c r="M21" s="1443"/>
      <c r="N21" s="1443"/>
      <c r="O21" s="1443"/>
      <c r="P21" s="1443"/>
      <c r="Q21" s="1443"/>
      <c r="R21" s="1443"/>
      <c r="S21" s="1443"/>
      <c r="T21" s="1443"/>
      <c r="U21" s="1443"/>
      <c r="V21" s="1443"/>
      <c r="W21" s="1443"/>
      <c r="X21" s="1443"/>
      <c r="Y21" s="1443"/>
      <c r="Z21" s="1443"/>
      <c r="AA21" s="1443"/>
      <c r="AB21" s="1443"/>
      <c r="AC21" s="1443"/>
      <c r="AD21" s="1941"/>
      <c r="AE21" s="1443"/>
      <c r="AF21" s="1443"/>
      <c r="AG21" s="1443"/>
      <c r="AH21" s="1443"/>
      <c r="AI21" s="1443"/>
      <c r="AJ21" s="1443"/>
      <c r="AK21" s="1228"/>
      <c r="AL21" s="1443"/>
      <c r="AM21" s="1443"/>
      <c r="AN21" s="1443"/>
      <c r="AO21" s="1964"/>
      <c r="AP21" s="1957"/>
      <c r="AQ21" s="1957"/>
      <c r="AR21" s="1957"/>
      <c r="AS21" s="1957"/>
      <c r="AT21" s="1957"/>
      <c r="AU21" s="1957"/>
      <c r="AV21" s="1957"/>
      <c r="AW21" s="1957"/>
      <c r="AX21" s="1957"/>
      <c r="AY21" s="1958"/>
      <c r="AZ21" s="1443"/>
      <c r="BA21" s="1964"/>
      <c r="BB21" s="1957"/>
      <c r="BC21" s="1957"/>
      <c r="BD21" s="1957"/>
      <c r="BE21" s="1957"/>
      <c r="BF21" s="1957"/>
      <c r="BG21" s="1957"/>
      <c r="BH21" s="1957"/>
      <c r="BI21" s="1957"/>
      <c r="BJ21" s="1957"/>
      <c r="BK21" s="1958"/>
      <c r="BL21" s="1443"/>
    </row>
    <row r="22" spans="1:64" ht="15.75" thickBot="1">
      <c r="A22" s="1228"/>
      <c r="B22" s="1942"/>
      <c r="C22" s="1939" t="s">
        <v>167</v>
      </c>
      <c r="D22" s="3269" t="s">
        <v>2073</v>
      </c>
      <c r="E22" s="1443"/>
      <c r="F22" s="1443"/>
      <c r="G22" s="1443"/>
      <c r="H22" s="1443"/>
      <c r="I22" s="1443"/>
      <c r="J22" s="1443"/>
      <c r="K22" s="1443"/>
      <c r="L22" s="1443"/>
      <c r="M22" s="1443"/>
      <c r="N22" s="1443"/>
      <c r="O22" s="1443"/>
      <c r="P22" s="1443"/>
      <c r="Q22" s="1443"/>
      <c r="R22" s="1443"/>
      <c r="S22" s="1443"/>
      <c r="T22" s="1443"/>
      <c r="U22" s="1443"/>
      <c r="V22" s="1443"/>
      <c r="W22" s="1443"/>
      <c r="X22" s="1443"/>
      <c r="Y22" s="1443"/>
      <c r="Z22" s="1443"/>
      <c r="AA22" s="1443"/>
      <c r="AB22" s="1443"/>
      <c r="AC22" s="1943" t="s">
        <v>312</v>
      </c>
      <c r="AD22" s="1940">
        <v>3</v>
      </c>
      <c r="AE22" s="5984">
        <f>IF(AM22&lt;&gt;"",ROUND(AM22,0),SUM(X19,X20))</f>
        <v>0</v>
      </c>
      <c r="AF22" s="8134"/>
      <c r="AG22" s="8134"/>
      <c r="AH22" s="8134"/>
      <c r="AI22" s="8134"/>
      <c r="AJ22" s="8134"/>
      <c r="AK22" s="1228"/>
      <c r="AL22" s="2254">
        <v>3</v>
      </c>
      <c r="AM22" s="2077"/>
      <c r="AN22" s="1443"/>
      <c r="AO22" s="1965"/>
      <c r="AP22" s="1607" t="s">
        <v>1418</v>
      </c>
      <c r="AQ22" s="1443"/>
      <c r="AR22" s="1443"/>
      <c r="AS22" s="1443"/>
      <c r="AT22" s="1443"/>
      <c r="AU22" s="1443"/>
      <c r="AV22" s="1443"/>
      <c r="AW22" s="1443"/>
      <c r="AX22" s="1443"/>
      <c r="AY22" s="1966"/>
      <c r="AZ22" s="1443"/>
      <c r="BA22" s="1965"/>
      <c r="BB22" s="1607" t="s">
        <v>1419</v>
      </c>
      <c r="BC22" s="1443"/>
      <c r="BD22" s="1443"/>
      <c r="BE22" s="1443"/>
      <c r="BF22" s="1443"/>
      <c r="BG22" s="1443"/>
      <c r="BH22" s="1443"/>
      <c r="BI22" s="1443"/>
      <c r="BJ22" s="1443"/>
      <c r="BK22" s="1966"/>
      <c r="BL22" s="1443"/>
    </row>
    <row r="23" spans="1:64" ht="6" customHeight="1">
      <c r="A23" s="1228"/>
      <c r="B23" s="1443"/>
      <c r="C23" s="1443"/>
      <c r="D23" s="1443"/>
      <c r="E23" s="1443"/>
      <c r="F23" s="1443"/>
      <c r="G23" s="1443"/>
      <c r="H23" s="1443"/>
      <c r="I23" s="1443"/>
      <c r="J23" s="1443"/>
      <c r="K23" s="1443"/>
      <c r="L23" s="1443"/>
      <c r="M23" s="1443"/>
      <c r="N23" s="1443"/>
      <c r="O23" s="1443"/>
      <c r="P23" s="1443"/>
      <c r="Q23" s="1443"/>
      <c r="R23" s="1443"/>
      <c r="S23" s="1443"/>
      <c r="T23" s="1443"/>
      <c r="U23" s="1443"/>
      <c r="V23" s="1443"/>
      <c r="W23" s="1443"/>
      <c r="X23" s="1443"/>
      <c r="Y23" s="1443"/>
      <c r="Z23" s="1443"/>
      <c r="AA23" s="1443"/>
      <c r="AB23" s="1443"/>
      <c r="AC23" s="1443"/>
      <c r="AD23" s="1941"/>
      <c r="AE23" s="1443"/>
      <c r="AF23" s="1443"/>
      <c r="AG23" s="1443"/>
      <c r="AH23" s="1443"/>
      <c r="AI23" s="1443"/>
      <c r="AJ23" s="1443"/>
      <c r="AK23" s="1228"/>
      <c r="AL23" s="1443"/>
      <c r="AM23" s="1443"/>
      <c r="AN23" s="1443"/>
      <c r="AO23" s="1965"/>
      <c r="AP23" s="1443"/>
      <c r="AQ23" s="1443"/>
      <c r="AR23" s="1443"/>
      <c r="AS23" s="1443"/>
      <c r="AT23" s="1443"/>
      <c r="AU23" s="1443"/>
      <c r="AV23" s="1443"/>
      <c r="AW23" s="1443"/>
      <c r="AX23" s="1443"/>
      <c r="AY23" s="1966"/>
      <c r="AZ23" s="1443"/>
      <c r="BA23" s="1965"/>
      <c r="BB23" s="1443"/>
      <c r="BC23" s="1443"/>
      <c r="BD23" s="1443"/>
      <c r="BE23" s="1443"/>
      <c r="BF23" s="1443"/>
      <c r="BG23" s="1443"/>
      <c r="BH23" s="1443"/>
      <c r="BI23" s="1443"/>
      <c r="BJ23" s="1443"/>
      <c r="BK23" s="1966"/>
      <c r="BL23" s="1443"/>
    </row>
    <row r="24" spans="1:64" ht="15">
      <c r="A24" s="1228"/>
      <c r="B24" s="1443"/>
      <c r="C24" s="1939" t="s">
        <v>168</v>
      </c>
      <c r="D24" s="1607" t="s">
        <v>1990</v>
      </c>
      <c r="E24" s="1443"/>
      <c r="F24" s="1443"/>
      <c r="G24" s="1443"/>
      <c r="H24" s="1443"/>
      <c r="I24" s="1443"/>
      <c r="J24" s="1443"/>
      <c r="K24" s="1443"/>
      <c r="L24" s="1443"/>
      <c r="M24" s="1443"/>
      <c r="N24" s="1443"/>
      <c r="O24" s="1443"/>
      <c r="P24" s="1443"/>
      <c r="Q24" s="1443"/>
      <c r="R24" s="1443"/>
      <c r="S24" s="1443"/>
      <c r="T24" s="1443"/>
      <c r="U24" s="1443"/>
      <c r="V24" s="1443"/>
      <c r="W24" s="1443"/>
      <c r="X24" s="1443"/>
      <c r="Y24" s="1443"/>
      <c r="Z24" s="1443"/>
      <c r="AA24" s="1443"/>
      <c r="AB24" s="1443"/>
      <c r="AC24" s="1443"/>
      <c r="AD24" s="1941"/>
      <c r="AE24" s="1443"/>
      <c r="AF24" s="1443"/>
      <c r="AG24" s="1443"/>
      <c r="AH24" s="1443"/>
      <c r="AI24" s="1443"/>
      <c r="AJ24" s="1443"/>
      <c r="AK24" s="1228"/>
      <c r="AL24" s="1443"/>
      <c r="AM24" s="2098">
        <f>IF($AE$17&gt;8,LOOKUP($AE$17,$AP$75:$AP$83,$AQ$75:$AQ$83)+(($AE$17-8)*AQ84),LOOKUP($AE$17,$AP$75:$AP$83,$AQ$75:$AQ$83))</f>
        <v>0</v>
      </c>
      <c r="AN24" s="2098"/>
      <c r="AO24" s="1967" t="s">
        <v>336</v>
      </c>
      <c r="AP24" s="1592" t="s">
        <v>1417</v>
      </c>
      <c r="AQ24" s="1443"/>
      <c r="AR24" s="1443"/>
      <c r="AS24" s="1443"/>
      <c r="AT24" s="1443"/>
      <c r="AU24" s="1443"/>
      <c r="AV24" s="1443"/>
      <c r="AW24" s="1443"/>
      <c r="AX24" s="1443"/>
      <c r="AY24" s="1966"/>
      <c r="AZ24" s="1443"/>
      <c r="BA24" s="1967" t="s">
        <v>336</v>
      </c>
      <c r="BB24" s="1592" t="s">
        <v>3718</v>
      </c>
      <c r="BC24" s="1443"/>
      <c r="BD24" s="1443"/>
      <c r="BE24" s="1443"/>
      <c r="BF24" s="1443"/>
      <c r="BG24" s="1443"/>
      <c r="BH24" s="1443"/>
      <c r="BI24" s="1443"/>
      <c r="BJ24" s="1443"/>
      <c r="BK24" s="1966"/>
      <c r="BL24" s="1443"/>
    </row>
    <row r="25" spans="1:64" ht="14.25" customHeight="1">
      <c r="A25" s="1228"/>
      <c r="B25" s="1443"/>
      <c r="C25" s="1443"/>
      <c r="D25" s="1607" t="s">
        <v>1991</v>
      </c>
      <c r="E25" s="1443"/>
      <c r="F25" s="1443"/>
      <c r="G25" s="1443"/>
      <c r="H25" s="1443"/>
      <c r="I25" s="1443"/>
      <c r="J25" s="1443"/>
      <c r="K25" s="1443"/>
      <c r="L25" s="1443"/>
      <c r="M25" s="1443"/>
      <c r="N25" s="1943" t="s">
        <v>38</v>
      </c>
      <c r="O25" s="1973" t="str">
        <f>IF(AND($AL$2=1,L2&lt;&gt;""),"X","")</f>
        <v/>
      </c>
      <c r="P25" s="1607" t="s">
        <v>1362</v>
      </c>
      <c r="Q25" s="1607"/>
      <c r="R25" s="1943" t="s">
        <v>54</v>
      </c>
      <c r="S25" s="1973" t="str">
        <f>IF(AND($AL$2=1,V2&lt;&gt;""),"X","")</f>
        <v/>
      </c>
      <c r="T25" s="1607" t="s">
        <v>1363</v>
      </c>
      <c r="U25" s="1443"/>
      <c r="V25" s="1943" t="s">
        <v>55</v>
      </c>
      <c r="W25" s="1973" t="str">
        <f>IF(AND($AL$2=1,B2&lt;&gt;""),"X","")</f>
        <v>X</v>
      </c>
      <c r="X25" s="1443" t="s">
        <v>1364</v>
      </c>
      <c r="Y25" s="1443"/>
      <c r="Z25" s="1443"/>
      <c r="AA25" s="1443"/>
      <c r="AB25" s="1443"/>
      <c r="AC25" s="1443"/>
      <c r="AD25" s="1940">
        <v>4</v>
      </c>
      <c r="AE25" s="5984">
        <f>IF(AND(File_Marr_Sep&lt;&gt;"",AI13=""),"",IF(W25&lt;&gt;"",AM24,IF(O25&lt;&gt;"",AM25,IF(S25&lt;&gt;"",AM26,""))))</f>
        <v>0</v>
      </c>
      <c r="AF25" s="8134"/>
      <c r="AG25" s="8134"/>
      <c r="AH25" s="8134"/>
      <c r="AI25" s="8134"/>
      <c r="AJ25" s="8134"/>
      <c r="AK25" s="1228"/>
      <c r="AL25" s="1443"/>
      <c r="AM25" s="2098">
        <f>IF($AE$17&gt;8,LOOKUP($AE$17,$AP$75:$AP$83,$AR$75:$AR$83)+(($AE$17-8)*AR84),LOOKUP($AE$17,$AP$75:$AP$83,$AR$75:$AR$83))</f>
        <v>0</v>
      </c>
      <c r="AN25" s="2098"/>
      <c r="AO25" s="1965"/>
      <c r="AP25" s="1592" t="s">
        <v>3820</v>
      </c>
      <c r="AQ25" s="1443"/>
      <c r="AR25" s="1443"/>
      <c r="AS25" s="1443"/>
      <c r="AT25" s="1443"/>
      <c r="AU25" s="1968" t="s">
        <v>336</v>
      </c>
      <c r="AV25" s="1984">
        <f>Adj_Gross_Inc</f>
        <v>0</v>
      </c>
      <c r="AW25" s="1443"/>
      <c r="AX25" s="1443"/>
      <c r="AY25" s="1966"/>
      <c r="AZ25" s="1443"/>
      <c r="BA25" s="1965"/>
      <c r="BB25" s="1592" t="s">
        <v>3717</v>
      </c>
      <c r="BC25" s="1443"/>
      <c r="BD25" s="1443"/>
      <c r="BE25" s="1443"/>
      <c r="BF25" s="1443"/>
      <c r="BG25" s="1968"/>
      <c r="BH25" s="1443"/>
      <c r="BI25" s="1443"/>
      <c r="BJ25" s="1443"/>
      <c r="BK25" s="1966"/>
      <c r="BL25" s="1443"/>
    </row>
    <row r="26" spans="1:64" ht="12.75" customHeight="1" thickBot="1">
      <c r="A26" s="1228"/>
      <c r="B26" s="1443"/>
      <c r="C26" s="1443"/>
      <c r="D26" s="1443"/>
      <c r="E26" s="1443"/>
      <c r="F26" s="1443"/>
      <c r="G26" s="1443"/>
      <c r="H26" s="1443"/>
      <c r="I26" s="1443"/>
      <c r="J26" s="1443"/>
      <c r="K26" s="1443"/>
      <c r="L26" s="1443"/>
      <c r="M26" s="1443"/>
      <c r="N26" s="1443"/>
      <c r="O26" s="1443"/>
      <c r="P26" s="1443"/>
      <c r="Q26" s="1443"/>
      <c r="R26" s="1443"/>
      <c r="S26" s="1443"/>
      <c r="T26" s="1443"/>
      <c r="U26" s="1443"/>
      <c r="V26" s="1443"/>
      <c r="W26" s="1443"/>
      <c r="X26" s="1443"/>
      <c r="Y26" s="1443"/>
      <c r="Z26" s="1443"/>
      <c r="AA26" s="1443"/>
      <c r="AB26" s="1443"/>
      <c r="AC26" s="1443"/>
      <c r="AD26" s="1941"/>
      <c r="AE26" s="1443"/>
      <c r="AF26" s="1443"/>
      <c r="AG26" s="1443"/>
      <c r="AH26" s="1443"/>
      <c r="AI26" s="1443"/>
      <c r="AJ26" s="1957"/>
      <c r="AK26" s="1228"/>
      <c r="AL26" s="1443"/>
      <c r="AM26" s="2098">
        <f>IF($AE$17&gt;8,LOOKUP($AE$17,$AP$75:$AP$83,$AS$75:$AS$83)+(($AE$17-8)*AS84),LOOKUP($AE$17,$AP$75:$AP$83,$AS$75:$AS$83))</f>
        <v>0</v>
      </c>
      <c r="AN26" s="2098"/>
      <c r="AO26" s="1965"/>
      <c r="AP26" s="1592"/>
      <c r="AQ26" s="1443"/>
      <c r="AR26" s="1443"/>
      <c r="AS26" s="1443"/>
      <c r="AT26" s="1443"/>
      <c r="AU26" s="1443"/>
      <c r="AV26" s="1443"/>
      <c r="AW26" s="1443"/>
      <c r="AX26" s="1443"/>
      <c r="AY26" s="1966"/>
      <c r="AZ26" s="1443"/>
      <c r="BA26" s="1965"/>
      <c r="BB26" s="1592"/>
      <c r="BC26" s="1443"/>
      <c r="BD26" s="1443"/>
      <c r="BE26" s="1443"/>
      <c r="BF26" s="1443"/>
      <c r="BG26" s="1968" t="s">
        <v>336</v>
      </c>
      <c r="BH26" s="1983"/>
      <c r="BI26" s="1443"/>
      <c r="BJ26" s="1443"/>
      <c r="BK26" s="1966"/>
      <c r="BL26" s="1443"/>
    </row>
    <row r="27" spans="1:64" ht="15.75" customHeight="1" thickBot="1">
      <c r="A27" s="1228"/>
      <c r="B27" s="1443"/>
      <c r="C27" s="1939" t="s">
        <v>228</v>
      </c>
      <c r="D27" s="1607" t="s">
        <v>1992</v>
      </c>
      <c r="E27" s="1443"/>
      <c r="F27" s="1443"/>
      <c r="G27" s="1443"/>
      <c r="H27" s="1443"/>
      <c r="I27" s="1443"/>
      <c r="J27" s="1443"/>
      <c r="K27" s="1443"/>
      <c r="L27" s="1443"/>
      <c r="M27" s="1443"/>
      <c r="N27" s="1443"/>
      <c r="O27" s="1443"/>
      <c r="P27" s="1443"/>
      <c r="Q27" s="1443"/>
      <c r="R27" s="1443"/>
      <c r="S27" s="1443"/>
      <c r="T27" s="1443"/>
      <c r="U27" s="1443"/>
      <c r="V27" s="1443"/>
      <c r="W27" s="1443"/>
      <c r="X27" s="1443"/>
      <c r="Y27" s="1443"/>
      <c r="Z27" s="1443"/>
      <c r="AA27" s="1443"/>
      <c r="AB27" s="1443"/>
      <c r="AC27" s="1943" t="s">
        <v>1993</v>
      </c>
      <c r="AD27" s="1940">
        <v>5</v>
      </c>
      <c r="AE27" s="8117" t="str">
        <f>IF(AM27&lt;&gt;"",ROUND(AM27,0),IF(OR(AE25="",AE25=0),"",AT60))</f>
        <v/>
      </c>
      <c r="AF27" s="6091"/>
      <c r="AG27" s="6091"/>
      <c r="AH27" s="6091"/>
      <c r="AI27" s="6091"/>
      <c r="AJ27" s="2680" t="str">
        <f>"%"</f>
        <v>%</v>
      </c>
      <c r="AK27" s="1228"/>
      <c r="AL27" s="2254">
        <v>5</v>
      </c>
      <c r="AM27" s="2077"/>
      <c r="AN27" s="2137"/>
      <c r="AO27" s="1965"/>
      <c r="AP27" s="1592"/>
      <c r="AQ27" s="1443"/>
      <c r="AR27" s="1443"/>
      <c r="AS27" s="1443"/>
      <c r="AT27" s="1443"/>
      <c r="AU27" s="1443"/>
      <c r="AV27" s="1443"/>
      <c r="AW27" s="1443"/>
      <c r="AX27" s="1443"/>
      <c r="AY27" s="1966"/>
      <c r="AZ27" s="1443"/>
      <c r="BA27" s="1965"/>
      <c r="BB27" s="1592"/>
      <c r="BC27" s="1443"/>
      <c r="BD27" s="1443"/>
      <c r="BE27" s="1443"/>
      <c r="BF27" s="1443"/>
      <c r="BG27" s="1443"/>
      <c r="BH27" s="1443"/>
      <c r="BI27" s="1443"/>
      <c r="BJ27" s="1443"/>
      <c r="BK27" s="1966"/>
      <c r="BL27" s="1443"/>
    </row>
    <row r="28" spans="1:64" ht="15" customHeight="1">
      <c r="A28" s="1228"/>
      <c r="B28" s="1443"/>
      <c r="C28" s="1939" t="s">
        <v>112</v>
      </c>
      <c r="D28" s="1607" t="s">
        <v>1561</v>
      </c>
      <c r="E28" s="1443"/>
      <c r="F28" s="1443"/>
      <c r="G28" s="1443"/>
      <c r="H28" s="1443"/>
      <c r="I28" s="1443"/>
      <c r="J28" s="1443"/>
      <c r="K28" s="1443"/>
      <c r="L28" s="1443"/>
      <c r="M28" s="1443"/>
      <c r="N28" s="1443"/>
      <c r="O28" s="1443"/>
      <c r="P28" s="1443"/>
      <c r="Q28" s="1443"/>
      <c r="R28" s="1443"/>
      <c r="S28" s="1443"/>
      <c r="T28" s="1443"/>
      <c r="U28" s="1443"/>
      <c r="V28" s="1443"/>
      <c r="W28" s="1443"/>
      <c r="X28" s="1443"/>
      <c r="Y28" s="1443"/>
      <c r="Z28" s="1443"/>
      <c r="AA28" s="1443"/>
      <c r="AB28" s="1443"/>
      <c r="AC28" s="1443"/>
      <c r="AD28" s="1944"/>
      <c r="AE28" s="1945"/>
      <c r="AF28" s="1945"/>
      <c r="AG28" s="1945"/>
      <c r="AH28" s="1945"/>
      <c r="AI28" s="1945"/>
      <c r="AJ28" s="1945"/>
      <c r="AK28" s="1228"/>
      <c r="AL28" s="1443"/>
      <c r="AM28" s="1616">
        <v>401</v>
      </c>
      <c r="AN28" s="1616"/>
      <c r="AO28" s="1967" t="s">
        <v>0</v>
      </c>
      <c r="AP28" s="1592" t="s">
        <v>3821</v>
      </c>
      <c r="AQ28" s="1443"/>
      <c r="AR28" s="1443"/>
      <c r="AS28" s="1443"/>
      <c r="AT28" s="1443"/>
      <c r="AU28" s="1443"/>
      <c r="AV28" s="1443"/>
      <c r="AW28" s="1443"/>
      <c r="AX28" s="1443"/>
      <c r="AY28" s="1966"/>
      <c r="AZ28" s="1443"/>
      <c r="BA28" s="1967" t="s">
        <v>0</v>
      </c>
      <c r="BB28" s="1592" t="s">
        <v>1420</v>
      </c>
      <c r="BC28" s="1443"/>
      <c r="BD28" s="1443"/>
      <c r="BE28" s="1443"/>
      <c r="BF28" s="1443"/>
      <c r="BG28" s="1443"/>
      <c r="BH28" s="1443"/>
      <c r="BI28" s="1443"/>
      <c r="BJ28" s="1443"/>
      <c r="BK28" s="1966"/>
      <c r="BL28" s="1443"/>
    </row>
    <row r="29" spans="1:64" ht="15.75">
      <c r="A29" s="1228"/>
      <c r="B29" s="1443"/>
      <c r="C29" s="1443"/>
      <c r="D29" s="1973" t="str">
        <f>IF(OR(AL2&lt;&gt;1,AE25="",AE25=0),"",IF(AE27=AM28,"","X"))</f>
        <v/>
      </c>
      <c r="E29" s="1615" t="s">
        <v>1994</v>
      </c>
      <c r="F29" s="1443"/>
      <c r="G29" s="1443"/>
      <c r="H29" s="1443"/>
      <c r="I29" s="1443"/>
      <c r="J29" s="1443"/>
      <c r="K29" s="1443"/>
      <c r="L29" s="1443"/>
      <c r="M29" s="1443"/>
      <c r="N29" s="1443"/>
      <c r="O29" s="1443"/>
      <c r="P29" s="1443"/>
      <c r="Q29" s="1443"/>
      <c r="R29" s="1443"/>
      <c r="S29" s="1443"/>
      <c r="T29" s="1443"/>
      <c r="U29" s="1443"/>
      <c r="V29" s="1443"/>
      <c r="W29" s="1443"/>
      <c r="X29" s="1443"/>
      <c r="Y29" s="1443"/>
      <c r="Z29" s="1443"/>
      <c r="AA29" s="1443"/>
      <c r="AB29" s="1443"/>
      <c r="AC29" s="1443"/>
      <c r="AD29" s="1944"/>
      <c r="AE29" s="1945"/>
      <c r="AF29" s="1945"/>
      <c r="AG29" s="1945"/>
      <c r="AH29" s="1945"/>
      <c r="AI29" s="1945"/>
      <c r="AJ29" s="1945"/>
      <c r="AK29" s="1228"/>
      <c r="AL29" s="1443"/>
      <c r="AM29" s="1616">
        <v>134</v>
      </c>
      <c r="AN29" s="1616"/>
      <c r="AO29" s="1965"/>
      <c r="AP29" s="1592" t="s">
        <v>3822</v>
      </c>
      <c r="AQ29" s="1443"/>
      <c r="AR29" s="1443"/>
      <c r="AS29" s="1443"/>
      <c r="AT29" s="1968" t="s">
        <v>0</v>
      </c>
      <c r="AU29" s="4827">
        <f>'1040'!N36</f>
        <v>0</v>
      </c>
      <c r="AV29" s="1443"/>
      <c r="AW29" s="1443"/>
      <c r="AX29" s="1443"/>
      <c r="AY29" s="1966"/>
      <c r="AZ29" s="1443"/>
      <c r="BA29" s="1965"/>
      <c r="BB29" s="1592" t="s">
        <v>3823</v>
      </c>
      <c r="BC29" s="1443"/>
      <c r="BD29" s="1443"/>
      <c r="BE29" s="1443"/>
      <c r="BF29" s="1968" t="s">
        <v>0</v>
      </c>
      <c r="BG29" s="1983"/>
      <c r="BH29" s="1443"/>
      <c r="BI29" s="1443"/>
      <c r="BJ29" s="1443"/>
      <c r="BK29" s="1966"/>
      <c r="BL29" s="1443"/>
    </row>
    <row r="30" spans="1:64" ht="14.25" customHeight="1">
      <c r="A30" s="1228"/>
      <c r="B30" s="1443"/>
      <c r="C30" s="1443"/>
      <c r="D30" s="1443"/>
      <c r="E30" s="1443"/>
      <c r="F30" s="1443"/>
      <c r="G30" s="1443"/>
      <c r="H30" s="1443"/>
      <c r="I30" s="1443"/>
      <c r="J30" s="1443"/>
      <c r="K30" s="1443"/>
      <c r="L30" s="1443"/>
      <c r="M30" s="1443"/>
      <c r="N30" s="1443"/>
      <c r="O30" s="1443"/>
      <c r="P30" s="1443"/>
      <c r="Q30" s="1443"/>
      <c r="R30" s="1443"/>
      <c r="S30" s="1443"/>
      <c r="T30" s="1443"/>
      <c r="U30" s="1443"/>
      <c r="V30" s="1443"/>
      <c r="W30" s="1443"/>
      <c r="X30" s="1443"/>
      <c r="Y30" s="1443"/>
      <c r="Z30" s="1443"/>
      <c r="AA30" s="1443"/>
      <c r="AB30" s="1443"/>
      <c r="AC30" s="1443"/>
      <c r="AD30" s="1944"/>
      <c r="AE30" s="1945"/>
      <c r="AF30" s="1945"/>
      <c r="AG30" s="1945"/>
      <c r="AH30" s="1945"/>
      <c r="AI30" s="1945"/>
      <c r="AJ30" s="1945"/>
      <c r="AK30" s="1228"/>
      <c r="AL30" s="1443"/>
      <c r="AM30" s="1616"/>
      <c r="AN30" s="1616"/>
      <c r="AO30" s="1965"/>
      <c r="AP30" s="1592"/>
      <c r="AQ30" s="1443"/>
      <c r="AR30" s="1443"/>
      <c r="AS30" s="1443"/>
      <c r="AT30" s="1968"/>
      <c r="AU30" s="1443"/>
      <c r="AV30" s="1443"/>
      <c r="AW30" s="1443"/>
      <c r="AX30" s="1443"/>
      <c r="AY30" s="1966"/>
      <c r="AZ30" s="1443"/>
      <c r="BA30" s="1965"/>
      <c r="BB30" s="1592"/>
      <c r="BC30" s="1443"/>
      <c r="BD30" s="1443"/>
      <c r="BE30" s="1443"/>
      <c r="BF30" s="1443"/>
      <c r="BG30" s="1443"/>
      <c r="BH30" s="1443"/>
      <c r="BI30" s="1443"/>
      <c r="BJ30" s="1443"/>
      <c r="BK30" s="1966"/>
      <c r="BL30" s="1443"/>
    </row>
    <row r="31" spans="1:64" ht="12.75" customHeight="1">
      <c r="A31" s="1228"/>
      <c r="B31" s="1443"/>
      <c r="C31" s="1443"/>
      <c r="D31" s="1973" t="str">
        <f>IF(OR(AL2&lt;&gt;1,AE25="",AE25=0),"",IF(AE27=AM28,"X",""))</f>
        <v/>
      </c>
      <c r="E31" s="1607" t="s">
        <v>2074</v>
      </c>
      <c r="F31" s="1443"/>
      <c r="G31" s="1443"/>
      <c r="H31" s="1443"/>
      <c r="I31" s="1443"/>
      <c r="J31" s="1443"/>
      <c r="K31" s="1443"/>
      <c r="L31" s="1443"/>
      <c r="M31" s="1443"/>
      <c r="N31" s="1443"/>
      <c r="O31" s="1443"/>
      <c r="P31" s="1443"/>
      <c r="Q31" s="1443"/>
      <c r="R31" s="1443"/>
      <c r="S31" s="1443"/>
      <c r="T31" s="1443"/>
      <c r="U31" s="1443"/>
      <c r="V31" s="1443"/>
      <c r="W31" s="1443"/>
      <c r="X31" s="1443"/>
      <c r="Y31" s="1443"/>
      <c r="Z31" s="1443"/>
      <c r="AA31" s="1443"/>
      <c r="AB31" s="1443"/>
      <c r="AC31" s="1443"/>
      <c r="AD31" s="1944"/>
      <c r="AE31" s="1945"/>
      <c r="AF31" s="1945"/>
      <c r="AG31" s="1945"/>
      <c r="AH31" s="1945"/>
      <c r="AI31" s="1945"/>
      <c r="AJ31" s="1945"/>
      <c r="AK31" s="1228"/>
      <c r="AL31" s="1443"/>
      <c r="AM31" s="1616">
        <v>302</v>
      </c>
      <c r="AN31" s="1616"/>
      <c r="AO31" s="1965"/>
      <c r="AP31" s="1592"/>
      <c r="AQ31" s="1443"/>
      <c r="AR31" s="1443"/>
      <c r="AS31" s="1443"/>
      <c r="AT31" s="1443"/>
      <c r="AU31" s="1443"/>
      <c r="AV31" s="1443"/>
      <c r="AW31" s="1443"/>
      <c r="AX31" s="1443"/>
      <c r="AY31" s="1966"/>
      <c r="AZ31" s="1443"/>
      <c r="BA31" s="1965"/>
      <c r="BB31" s="1592"/>
      <c r="BC31" s="1443"/>
      <c r="BD31" s="1443"/>
      <c r="BE31" s="1443"/>
      <c r="BF31" s="1443"/>
      <c r="BG31" s="1443"/>
      <c r="BH31" s="1443"/>
      <c r="BI31" s="1443"/>
      <c r="BJ31" s="1443"/>
      <c r="BK31" s="1966"/>
      <c r="BL31" s="1443"/>
    </row>
    <row r="32" spans="1:64" ht="13.5" customHeight="1">
      <c r="A32" s="1228"/>
      <c r="B32" s="1443"/>
      <c r="C32" s="1443"/>
      <c r="D32" s="1443"/>
      <c r="E32" s="1607" t="s">
        <v>1562</v>
      </c>
      <c r="F32" s="1443"/>
      <c r="G32" s="1443"/>
      <c r="H32" s="1443"/>
      <c r="I32" s="1443"/>
      <c r="J32" s="1443"/>
      <c r="K32" s="1443"/>
      <c r="L32" s="1443"/>
      <c r="M32" s="1443"/>
      <c r="N32" s="1443"/>
      <c r="O32" s="1443"/>
      <c r="P32" s="1443"/>
      <c r="Q32" s="1443"/>
      <c r="R32" s="1443"/>
      <c r="S32" s="1443"/>
      <c r="T32" s="1443"/>
      <c r="U32" s="1443"/>
      <c r="V32" s="1443"/>
      <c r="W32" s="1443"/>
      <c r="X32" s="1443"/>
      <c r="Y32" s="1443"/>
      <c r="Z32" s="1443"/>
      <c r="AA32" s="1443"/>
      <c r="AB32" s="1443"/>
      <c r="AC32" s="1443"/>
      <c r="AD32" s="1944"/>
      <c r="AE32" s="1945"/>
      <c r="AF32" s="1945"/>
      <c r="AG32" s="1945"/>
      <c r="AH32" s="1945"/>
      <c r="AI32" s="1945"/>
      <c r="AJ32" s="1945"/>
      <c r="AK32" s="1228"/>
      <c r="AL32" s="1443"/>
      <c r="AM32" s="1443"/>
      <c r="AN32" s="1443"/>
      <c r="AO32" s="1965"/>
      <c r="AP32" s="1592"/>
      <c r="AQ32" s="1443"/>
      <c r="AR32" s="1443"/>
      <c r="AS32" s="1443"/>
      <c r="AT32" s="1443"/>
      <c r="AU32" s="1443"/>
      <c r="AV32" s="1443"/>
      <c r="AW32" s="1443"/>
      <c r="AX32" s="1443"/>
      <c r="AY32" s="1966"/>
      <c r="AZ32" s="1443"/>
      <c r="BA32" s="1965"/>
      <c r="BB32" s="1592"/>
      <c r="BC32" s="1443"/>
      <c r="BD32" s="1443"/>
      <c r="BE32" s="1443"/>
      <c r="BF32" s="1443"/>
      <c r="BG32" s="1443"/>
      <c r="BH32" s="1443"/>
      <c r="BI32" s="1443"/>
      <c r="BJ32" s="1443"/>
      <c r="BK32" s="1966"/>
      <c r="BL32" s="1443"/>
    </row>
    <row r="33" spans="1:64">
      <c r="A33" s="1228"/>
      <c r="B33" s="1443"/>
      <c r="C33" s="1443"/>
      <c r="D33" s="1443"/>
      <c r="E33" s="1443"/>
      <c r="F33" s="1443"/>
      <c r="G33" s="1443"/>
      <c r="H33" s="1443"/>
      <c r="I33" s="1443"/>
      <c r="J33" s="1443"/>
      <c r="K33" s="1443"/>
      <c r="L33" s="1443"/>
      <c r="M33" s="1443"/>
      <c r="N33" s="1443"/>
      <c r="O33" s="1443"/>
      <c r="P33" s="1443"/>
      <c r="Q33" s="1443"/>
      <c r="R33" s="1443"/>
      <c r="S33" s="1443"/>
      <c r="T33" s="1443"/>
      <c r="U33" s="1443"/>
      <c r="V33" s="1443"/>
      <c r="W33" s="1443"/>
      <c r="X33" s="1443"/>
      <c r="Y33" s="1443"/>
      <c r="Z33" s="1443"/>
      <c r="AA33" s="1443"/>
      <c r="AB33" s="1443"/>
      <c r="AC33" s="1443"/>
      <c r="AD33" s="1944"/>
      <c r="AE33" s="1945"/>
      <c r="AF33" s="1945"/>
      <c r="AG33" s="1945"/>
      <c r="AH33" s="1945"/>
      <c r="AI33" s="1945"/>
      <c r="AJ33" s="1945"/>
      <c r="AK33" s="1228"/>
      <c r="AL33" s="1443"/>
      <c r="AM33" s="1443"/>
      <c r="AN33" s="1443"/>
      <c r="AO33" s="1967" t="s">
        <v>1</v>
      </c>
      <c r="AP33" s="1592" t="s">
        <v>4525</v>
      </c>
      <c r="AQ33" s="1443"/>
      <c r="AR33" s="1443"/>
      <c r="AS33" s="1443"/>
      <c r="AT33" s="1443"/>
      <c r="AU33" s="1443"/>
      <c r="AV33" s="1443"/>
      <c r="AW33" s="1443"/>
      <c r="AX33" s="1443"/>
      <c r="AY33" s="1966"/>
      <c r="AZ33" s="1443"/>
      <c r="BA33" s="1967" t="s">
        <v>1</v>
      </c>
      <c r="BB33" s="1592" t="s">
        <v>1421</v>
      </c>
      <c r="BC33" s="1443"/>
      <c r="BD33" s="1443"/>
      <c r="BE33" s="1443"/>
      <c r="BF33" s="1443"/>
      <c r="BG33" s="1443"/>
      <c r="BH33" s="1443"/>
      <c r="BI33" s="1443"/>
      <c r="BJ33" s="1443"/>
      <c r="BK33" s="1966"/>
      <c r="BL33" s="1443"/>
    </row>
    <row r="34" spans="1:64" ht="13.5" customHeight="1">
      <c r="A34" s="1228"/>
      <c r="B34" s="1443"/>
      <c r="C34" s="1939" t="s">
        <v>113</v>
      </c>
      <c r="D34" s="1443" t="s">
        <v>1365</v>
      </c>
      <c r="E34" s="1443"/>
      <c r="F34" s="1443"/>
      <c r="G34" s="1443"/>
      <c r="H34" s="1443"/>
      <c r="I34" s="1443"/>
      <c r="J34" s="1443"/>
      <c r="K34" s="1443"/>
      <c r="L34" s="1443"/>
      <c r="M34" s="1443"/>
      <c r="N34" s="1443"/>
      <c r="O34" s="1443"/>
      <c r="P34" s="1443"/>
      <c r="Q34" s="1443"/>
      <c r="R34" s="1443"/>
      <c r="S34" s="1443"/>
      <c r="T34" s="1443"/>
      <c r="U34" s="1443"/>
      <c r="V34" s="1443"/>
      <c r="W34" s="1443"/>
      <c r="X34" s="1443"/>
      <c r="Y34" s="1443"/>
      <c r="Z34" s="1443"/>
      <c r="AA34" s="1443"/>
      <c r="AB34" s="1443"/>
      <c r="AC34" s="1443"/>
      <c r="AD34" s="1940">
        <v>7</v>
      </c>
      <c r="AE34" s="8156" t="str">
        <f>IF(AND(File_Marr_Sep&lt;&gt;"",AI13=""),"",IF(OR(AL2&lt;&gt;1,AE27=0,AE17=0,D31="X"),"",LOOKUP(AE27,BA54:BA223,BB54:BB223)))</f>
        <v/>
      </c>
      <c r="AF34" s="8157"/>
      <c r="AG34" s="8157"/>
      <c r="AH34" s="8157"/>
      <c r="AI34" s="8157"/>
      <c r="AJ34" s="8157"/>
      <c r="AK34" s="1228"/>
      <c r="AL34" s="1443"/>
      <c r="AM34" s="1443"/>
      <c r="AN34" s="1443"/>
      <c r="AO34" s="1965"/>
      <c r="AP34" s="1592" t="s">
        <v>4526</v>
      </c>
      <c r="AQ34" s="1443"/>
      <c r="AR34" s="1443"/>
      <c r="AS34" s="1443"/>
      <c r="AT34" s="1968" t="s">
        <v>1</v>
      </c>
      <c r="AU34" s="4827">
        <f>IF(ISERROR(SUM('2555'!AE184,-'2555'!AE198)),"",SUM('2555'!AE184,-'2555'!AE198))</f>
        <v>0</v>
      </c>
      <c r="AV34" s="1443"/>
      <c r="AW34" s="1443"/>
      <c r="AX34" s="1443"/>
      <c r="AY34" s="1966"/>
      <c r="AZ34" s="1443"/>
      <c r="BA34" s="1965"/>
      <c r="BB34" s="1592" t="s">
        <v>1423</v>
      </c>
      <c r="BC34" s="1443"/>
      <c r="BD34" s="1443"/>
      <c r="BE34" s="1443"/>
      <c r="BF34" s="1968"/>
      <c r="BG34" s="1968"/>
      <c r="BH34" s="1443"/>
      <c r="BI34" s="1443"/>
      <c r="BJ34" s="1443"/>
      <c r="BK34" s="1966"/>
      <c r="BL34" s="1443"/>
    </row>
    <row r="35" spans="1:64" ht="6" customHeight="1" thickBot="1">
      <c r="A35" s="1228"/>
      <c r="B35" s="1443"/>
      <c r="C35" s="1443"/>
      <c r="D35" s="1443"/>
      <c r="E35" s="1443"/>
      <c r="F35" s="1443"/>
      <c r="G35" s="1443"/>
      <c r="H35" s="1443"/>
      <c r="I35" s="1443"/>
      <c r="J35" s="1443"/>
      <c r="K35" s="1443"/>
      <c r="L35" s="1443"/>
      <c r="M35" s="1443"/>
      <c r="N35" s="1443"/>
      <c r="O35" s="1443"/>
      <c r="P35" s="1443"/>
      <c r="Q35" s="1443"/>
      <c r="R35" s="1443"/>
      <c r="S35" s="1443"/>
      <c r="T35" s="1443"/>
      <c r="U35" s="1443"/>
      <c r="V35" s="1443"/>
      <c r="W35" s="1443"/>
      <c r="X35" s="1443"/>
      <c r="Y35" s="1443"/>
      <c r="Z35" s="1443"/>
      <c r="AA35" s="1443"/>
      <c r="AB35" s="1443"/>
      <c r="AC35" s="1443"/>
      <c r="AD35" s="1941"/>
      <c r="AE35" s="1443"/>
      <c r="AF35" s="1443"/>
      <c r="AG35" s="1443"/>
      <c r="AH35" s="1443"/>
      <c r="AI35" s="1443"/>
      <c r="AJ35" s="1443"/>
      <c r="AK35" s="1228"/>
      <c r="AL35" s="1607"/>
      <c r="AM35" s="2099"/>
      <c r="AN35" s="2099"/>
      <c r="AO35" s="1965"/>
      <c r="AP35" s="1592"/>
      <c r="AQ35" s="1443"/>
      <c r="AR35" s="1443"/>
      <c r="AS35" s="1443"/>
      <c r="AT35" s="1443"/>
      <c r="AU35" s="1443"/>
      <c r="AV35" s="1443"/>
      <c r="AW35" s="1443"/>
      <c r="AX35" s="1443"/>
      <c r="AY35" s="1966"/>
      <c r="AZ35" s="1443"/>
      <c r="BA35" s="1965"/>
      <c r="BB35" s="1592"/>
      <c r="BC35" s="1443"/>
      <c r="BD35" s="1443"/>
      <c r="BE35" s="1443"/>
      <c r="BF35" s="1443"/>
      <c r="BG35" s="1443"/>
      <c r="BH35" s="1443"/>
      <c r="BI35" s="1443"/>
      <c r="BJ35" s="1443"/>
      <c r="BK35" s="1966"/>
      <c r="BL35" s="1443"/>
    </row>
    <row r="36" spans="1:64" ht="14.25" customHeight="1" thickBot="1">
      <c r="A36" s="1228"/>
      <c r="B36" s="1443"/>
      <c r="C36" s="1939" t="s">
        <v>39</v>
      </c>
      <c r="D36" s="1592" t="s">
        <v>2075</v>
      </c>
      <c r="E36" s="1443"/>
      <c r="F36" s="1443"/>
      <c r="G36" s="1443"/>
      <c r="H36" s="1443"/>
      <c r="I36" s="1443"/>
      <c r="J36" s="1443"/>
      <c r="K36" s="1443"/>
      <c r="L36" s="1941"/>
      <c r="M36" s="8159"/>
      <c r="N36" s="5409"/>
      <c r="O36" s="5409"/>
      <c r="P36" s="5409"/>
      <c r="Q36" s="5409"/>
      <c r="R36" s="5409"/>
      <c r="S36" s="1939" t="s">
        <v>54</v>
      </c>
      <c r="T36" s="1607" t="s">
        <v>1563</v>
      </c>
      <c r="U36" s="1443"/>
      <c r="V36" s="1443"/>
      <c r="W36" s="1443"/>
      <c r="X36" s="1443"/>
      <c r="Y36" s="1443"/>
      <c r="Z36" s="1443"/>
      <c r="AA36" s="1443"/>
      <c r="AB36" s="1443"/>
      <c r="AC36" s="1443"/>
      <c r="AD36" s="1941"/>
      <c r="AE36" s="1443"/>
      <c r="AF36" s="1443"/>
      <c r="AG36" s="1443"/>
      <c r="AH36" s="1443"/>
      <c r="AI36" s="1443"/>
      <c r="AJ36" s="1443"/>
      <c r="AK36" s="1228"/>
      <c r="AL36" s="2254" t="s">
        <v>39</v>
      </c>
      <c r="AM36" s="2077"/>
      <c r="AN36" s="2137"/>
      <c r="AO36" s="1965"/>
      <c r="AP36" s="1592"/>
      <c r="AQ36" s="1443"/>
      <c r="AR36" s="1443"/>
      <c r="AS36" s="1443"/>
      <c r="AT36" s="1443"/>
      <c r="AU36" s="1443"/>
      <c r="AV36" s="1443"/>
      <c r="AW36" s="1443"/>
      <c r="AX36" s="1443"/>
      <c r="AY36" s="1966"/>
      <c r="AZ36" s="1443"/>
      <c r="BA36" s="1965"/>
      <c r="BB36" s="1592" t="s">
        <v>1422</v>
      </c>
      <c r="BC36" s="1443"/>
      <c r="BD36" s="1443"/>
      <c r="BE36" s="1443"/>
      <c r="BF36" s="1968" t="s">
        <v>1</v>
      </c>
      <c r="BG36" s="1983"/>
      <c r="BH36" s="1443"/>
      <c r="BI36" s="1443"/>
      <c r="BJ36" s="1443"/>
      <c r="BK36" s="1966"/>
      <c r="BL36" s="1443"/>
    </row>
    <row r="37" spans="1:64" ht="15.75" thickBot="1">
      <c r="A37" s="1228"/>
      <c r="B37" s="1612"/>
      <c r="C37" s="1612"/>
      <c r="D37" s="2381" t="s">
        <v>2076</v>
      </c>
      <c r="E37" s="1612"/>
      <c r="F37" s="1612"/>
      <c r="G37" s="1612"/>
      <c r="H37" s="1612"/>
      <c r="I37" s="1612"/>
      <c r="J37" s="1612"/>
      <c r="K37" s="1612"/>
      <c r="L37" s="1946" t="s">
        <v>39</v>
      </c>
      <c r="M37" s="5981" t="str">
        <f>IF(AND(File_Marr_Sep&lt;&gt;"",AI13=""),"",IF(AM36&lt;&gt;"",ROUND(AM36,0),IF(OR(AL2&lt;&gt;1,AE27=0,AE17=0,D31="X"),"",ROUND(AE22*AE34,0))))</f>
        <v/>
      </c>
      <c r="N37" s="8132"/>
      <c r="O37" s="8132"/>
      <c r="P37" s="8132"/>
      <c r="Q37" s="8132"/>
      <c r="R37" s="8132"/>
      <c r="S37" s="1612"/>
      <c r="T37" s="2123" t="s">
        <v>1564</v>
      </c>
      <c r="U37" s="1612"/>
      <c r="V37" s="1612"/>
      <c r="W37" s="1612"/>
      <c r="X37" s="1612"/>
      <c r="Y37" s="1612"/>
      <c r="Z37" s="1612"/>
      <c r="AA37" s="1612"/>
      <c r="AB37" s="1612"/>
      <c r="AC37" s="1612"/>
      <c r="AD37" s="1947" t="s">
        <v>40</v>
      </c>
      <c r="AE37" s="6144" t="str">
        <f>IF(AND(File_Marr_Sep&lt;&gt;"",AI13=""),"",IF(AM37&lt;&gt;"",ROUND(AM37,0),IF(OR(AL2&lt;&gt;1,AE27=0,AE17=0,D31="X"),"",ROUND(M37/12,0))))</f>
        <v/>
      </c>
      <c r="AF37" s="8133"/>
      <c r="AG37" s="8133"/>
      <c r="AH37" s="8133"/>
      <c r="AI37" s="8133"/>
      <c r="AJ37" s="8133"/>
      <c r="AK37" s="1228"/>
      <c r="AL37" s="2254" t="s">
        <v>40</v>
      </c>
      <c r="AM37" s="4519"/>
      <c r="AN37" s="2137"/>
      <c r="AO37" s="1965"/>
      <c r="AP37" s="1592"/>
      <c r="AQ37" s="1443"/>
      <c r="AR37" s="1443"/>
      <c r="AS37" s="1443"/>
      <c r="AT37" s="1443"/>
      <c r="AU37" s="1443"/>
      <c r="AV37" s="1443"/>
      <c r="AW37" s="1443"/>
      <c r="AX37" s="1443"/>
      <c r="AY37" s="1966"/>
      <c r="AZ37" s="1443"/>
      <c r="BA37" s="1965"/>
      <c r="BB37" s="1592"/>
      <c r="BC37" s="1443"/>
      <c r="BD37" s="1443"/>
      <c r="BE37" s="1443"/>
      <c r="BF37" s="1443"/>
      <c r="BG37" s="1443"/>
      <c r="BH37" s="1443"/>
      <c r="BI37" s="1443"/>
      <c r="BJ37" s="1443"/>
      <c r="BK37" s="1966"/>
      <c r="BL37" s="1443"/>
    </row>
    <row r="38" spans="1:64" ht="15.75">
      <c r="A38" s="1228"/>
      <c r="B38" s="2124" t="s">
        <v>130</v>
      </c>
      <c r="C38" s="2125"/>
      <c r="D38" s="2126" t="s">
        <v>1566</v>
      </c>
      <c r="E38" s="1937"/>
      <c r="F38" s="1937"/>
      <c r="G38" s="1937"/>
      <c r="H38" s="1937"/>
      <c r="I38" s="1937"/>
      <c r="J38" s="1937"/>
      <c r="K38" s="1937"/>
      <c r="L38" s="1937"/>
      <c r="M38" s="1936"/>
      <c r="N38" s="1936"/>
      <c r="O38" s="1936"/>
      <c r="P38" s="1936"/>
      <c r="Q38" s="1936"/>
      <c r="R38" s="1936"/>
      <c r="S38" s="1937"/>
      <c r="T38" s="1937"/>
      <c r="U38" s="1937"/>
      <c r="V38" s="1937"/>
      <c r="W38" s="1937"/>
      <c r="X38" s="1937"/>
      <c r="Y38" s="1937"/>
      <c r="Z38" s="1937"/>
      <c r="AA38" s="1937"/>
      <c r="AB38" s="1937"/>
      <c r="AC38" s="1937"/>
      <c r="AD38" s="1937"/>
      <c r="AE38" s="1937"/>
      <c r="AF38" s="1937"/>
      <c r="AG38" s="1937"/>
      <c r="AH38" s="1937"/>
      <c r="AI38" s="1937"/>
      <c r="AJ38" s="1937"/>
      <c r="AK38" s="1228"/>
      <c r="AL38" s="1443"/>
      <c r="AM38" s="2099"/>
      <c r="AN38" s="2099"/>
      <c r="AO38" s="1967" t="s">
        <v>455</v>
      </c>
      <c r="AP38" s="1592" t="s">
        <v>4527</v>
      </c>
      <c r="AQ38" s="1443"/>
      <c r="AR38" s="1443"/>
      <c r="AS38" s="1443"/>
      <c r="AT38" s="1443"/>
      <c r="AU38" s="1443"/>
      <c r="AV38" s="1443"/>
      <c r="AW38" s="1443"/>
      <c r="AX38" s="1443"/>
      <c r="AY38" s="1966"/>
      <c r="AZ38" s="1443"/>
      <c r="BA38" s="1967" t="s">
        <v>455</v>
      </c>
      <c r="BB38" s="3405" t="s">
        <v>3719</v>
      </c>
      <c r="BC38" s="1443"/>
      <c r="BD38" s="1443"/>
      <c r="BE38" s="1443"/>
      <c r="BF38" s="1443"/>
      <c r="BG38" s="1443"/>
      <c r="BH38" s="1443"/>
      <c r="BI38" s="1443"/>
      <c r="BJ38" s="1443"/>
      <c r="BK38" s="1966"/>
      <c r="BL38" s="1443"/>
    </row>
    <row r="39" spans="1:64" ht="18" customHeight="1">
      <c r="A39" s="1228"/>
      <c r="B39" s="1443"/>
      <c r="C39" s="1939" t="s">
        <v>115</v>
      </c>
      <c r="D39" s="1607" t="s">
        <v>1567</v>
      </c>
      <c r="E39" s="1443"/>
      <c r="F39" s="1443"/>
      <c r="G39" s="1443"/>
      <c r="H39" s="1443"/>
      <c r="I39" s="1443"/>
      <c r="J39" s="1443"/>
      <c r="K39" s="1443"/>
      <c r="L39" s="1443"/>
      <c r="M39" s="1443"/>
      <c r="N39" s="1443"/>
      <c r="O39" s="1443"/>
      <c r="P39" s="1443"/>
      <c r="Q39" s="1443"/>
      <c r="R39" s="1443"/>
      <c r="S39" s="1443"/>
      <c r="T39" s="1443"/>
      <c r="U39" s="1443"/>
      <c r="V39" s="1443"/>
      <c r="W39" s="1443"/>
      <c r="X39" s="1443"/>
      <c r="Y39" s="1443"/>
      <c r="Z39" s="1443"/>
      <c r="AA39" s="1443"/>
      <c r="AB39" s="1443"/>
      <c r="AC39" s="1443"/>
      <c r="AD39" s="1443"/>
      <c r="AE39" s="1443"/>
      <c r="AF39" s="1443"/>
      <c r="AG39" s="1443"/>
      <c r="AH39" s="1443"/>
      <c r="AI39" s="1443"/>
      <c r="AJ39" s="1443"/>
      <c r="AK39" s="1228"/>
      <c r="AL39" s="1443"/>
      <c r="AM39" s="1443"/>
      <c r="AN39" s="1443"/>
      <c r="AO39" s="1965"/>
      <c r="AP39" s="4279" t="s">
        <v>3825</v>
      </c>
      <c r="AQ39" s="1443"/>
      <c r="AR39" s="1443"/>
      <c r="AS39" s="1443"/>
      <c r="AT39" s="4826" t="s">
        <v>455</v>
      </c>
      <c r="AU39" s="4827">
        <f>IF(SocSecBenefits&gt;SocSecBenefits_Taxable,SUM(SocSecBenefits,-SocSecBenefits_Taxable),0)</f>
        <v>0</v>
      </c>
      <c r="AV39" s="1443"/>
      <c r="AW39" s="1443"/>
      <c r="AX39" s="1443"/>
      <c r="AY39" s="1966"/>
      <c r="AZ39" s="1443"/>
      <c r="BA39" s="1965"/>
      <c r="BB39" s="1592" t="s">
        <v>3824</v>
      </c>
      <c r="BC39" s="1443"/>
      <c r="BD39" s="1443"/>
      <c r="BE39" s="1443"/>
      <c r="BF39" s="1443"/>
      <c r="BG39" s="1443"/>
      <c r="BH39" s="1443"/>
      <c r="BI39" s="1443"/>
      <c r="BJ39" s="1443"/>
      <c r="BK39" s="1966"/>
      <c r="BL39" s="1443"/>
    </row>
    <row r="40" spans="1:64" ht="15.75">
      <c r="A40" s="1228"/>
      <c r="B40" s="1443"/>
      <c r="C40" s="1939"/>
      <c r="D40" s="1929"/>
      <c r="E40" s="1615" t="s">
        <v>474</v>
      </c>
      <c r="F40" s="1443"/>
      <c r="G40" s="1607" t="s">
        <v>2078</v>
      </c>
      <c r="H40" s="1443"/>
      <c r="I40" s="1607" t="s">
        <v>2079</v>
      </c>
      <c r="J40" s="1443"/>
      <c r="K40" s="1443"/>
      <c r="L40" s="1443"/>
      <c r="M40" s="1443"/>
      <c r="N40" s="1443"/>
      <c r="O40" s="1443"/>
      <c r="P40" s="1443"/>
      <c r="Q40" s="1443"/>
      <c r="R40" s="1443"/>
      <c r="S40" s="1443"/>
      <c r="T40" s="1443"/>
      <c r="U40" s="1443"/>
      <c r="V40" s="1443"/>
      <c r="W40" s="1443"/>
      <c r="X40" s="1443"/>
      <c r="Y40" s="1443"/>
      <c r="Z40" s="1973" t="str">
        <f>IF(OR(AL2&lt;&gt;1,D40&lt;&gt;""),"","X")</f>
        <v>X</v>
      </c>
      <c r="AA40" s="1615" t="s">
        <v>1996</v>
      </c>
      <c r="AB40" s="1443"/>
      <c r="AC40" s="1443"/>
      <c r="AD40" s="1443"/>
      <c r="AE40" s="1443"/>
      <c r="AF40" s="1443"/>
      <c r="AG40" s="1443"/>
      <c r="AH40" s="1443"/>
      <c r="AI40" s="1443"/>
      <c r="AJ40" s="1443"/>
      <c r="AK40" s="1228"/>
      <c r="AL40" s="1443"/>
      <c r="AM40" s="1443"/>
      <c r="AN40" s="1443"/>
      <c r="AO40" s="1965"/>
      <c r="AP40" s="1592"/>
      <c r="AQ40" s="1443"/>
      <c r="AR40" s="1443"/>
      <c r="AS40" s="1443"/>
      <c r="AT40" s="1443"/>
      <c r="AU40" s="1443"/>
      <c r="AV40" s="1443"/>
      <c r="AW40" s="1443"/>
      <c r="AX40" s="1443"/>
      <c r="AY40" s="1966"/>
      <c r="AZ40" s="1443"/>
      <c r="BA40" s="1965"/>
      <c r="BB40" s="4279" t="s">
        <v>3825</v>
      </c>
      <c r="BC40" s="1443"/>
      <c r="BD40" s="1443"/>
      <c r="BE40" s="1443"/>
      <c r="BF40" s="1968" t="s">
        <v>455</v>
      </c>
      <c r="BG40" s="1983"/>
      <c r="BH40" s="1443"/>
      <c r="BI40" s="1443"/>
      <c r="BJ40" s="1443"/>
      <c r="BK40" s="1966"/>
      <c r="BL40" s="1443"/>
    </row>
    <row r="41" spans="1:64">
      <c r="A41" s="1228"/>
      <c r="B41" s="1443"/>
      <c r="C41" s="1443"/>
      <c r="D41" s="1443"/>
      <c r="E41" s="1443"/>
      <c r="F41" s="1443"/>
      <c r="G41" s="1443"/>
      <c r="H41" s="1443"/>
      <c r="I41" s="1443" t="s">
        <v>2077</v>
      </c>
      <c r="J41" s="1443"/>
      <c r="K41" s="1443"/>
      <c r="L41" s="1443"/>
      <c r="M41" s="1443"/>
      <c r="N41" s="1443"/>
      <c r="O41" s="1443"/>
      <c r="P41" s="1443"/>
      <c r="Q41" s="1443"/>
      <c r="R41" s="1443"/>
      <c r="S41" s="1443"/>
      <c r="T41" s="1443"/>
      <c r="U41" s="1443"/>
      <c r="V41" s="1443"/>
      <c r="W41" s="1443"/>
      <c r="X41" s="1443"/>
      <c r="Y41" s="1443"/>
      <c r="Z41" s="1443"/>
      <c r="AA41" s="1443"/>
      <c r="AB41" s="1443"/>
      <c r="AC41" s="1443"/>
      <c r="AD41" s="1443"/>
      <c r="AE41" s="1443"/>
      <c r="AF41" s="1443"/>
      <c r="AG41" s="1443"/>
      <c r="AH41" s="1443"/>
      <c r="AI41" s="1443"/>
      <c r="AJ41" s="1443"/>
      <c r="AK41" s="1228"/>
      <c r="AL41" s="1443"/>
      <c r="AM41" s="1443"/>
      <c r="AN41" s="1443"/>
      <c r="AO41" s="1965"/>
      <c r="AP41" s="1592"/>
      <c r="AQ41" s="1443"/>
      <c r="AR41" s="1443"/>
      <c r="AS41" s="1443"/>
      <c r="AT41" s="1443"/>
      <c r="AU41" s="1443"/>
      <c r="AV41" s="1443"/>
      <c r="AW41" s="1443"/>
      <c r="AX41" s="1607"/>
      <c r="AY41" s="1966"/>
      <c r="AZ41" s="1443"/>
      <c r="BA41" s="1965"/>
      <c r="BB41" s="1592"/>
      <c r="BC41" s="1443"/>
      <c r="BD41" s="1443"/>
      <c r="BE41" s="1443"/>
      <c r="BF41" s="1443"/>
      <c r="BG41" s="1443"/>
      <c r="BH41" s="1443"/>
      <c r="BI41" s="1443"/>
      <c r="BJ41" s="1443"/>
      <c r="BK41" s="1966"/>
      <c r="BL41" s="1443"/>
    </row>
    <row r="42" spans="1:64" ht="14.25" customHeight="1">
      <c r="A42" s="1228"/>
      <c r="B42" s="1443"/>
      <c r="C42" s="1939" t="s">
        <v>116</v>
      </c>
      <c r="D42" s="1607" t="s">
        <v>1568</v>
      </c>
      <c r="E42" s="1443"/>
      <c r="F42" s="1443"/>
      <c r="G42" s="1443"/>
      <c r="H42" s="1443"/>
      <c r="I42" s="1443"/>
      <c r="J42" s="1443"/>
      <c r="K42" s="1443"/>
      <c r="L42" s="1443"/>
      <c r="M42" s="1443"/>
      <c r="N42" s="1443"/>
      <c r="O42" s="1443"/>
      <c r="P42" s="1443"/>
      <c r="Q42" s="1443"/>
      <c r="R42" s="1443"/>
      <c r="S42" s="1443"/>
      <c r="T42" s="1443"/>
      <c r="U42" s="1443"/>
      <c r="V42" s="1443"/>
      <c r="W42" s="1443"/>
      <c r="X42" s="1443"/>
      <c r="Y42" s="1443"/>
      <c r="Z42" s="1443"/>
      <c r="AA42" s="1443"/>
      <c r="AB42" s="1443"/>
      <c r="AC42" s="1443"/>
      <c r="AD42" s="1443"/>
      <c r="AE42" s="1443"/>
      <c r="AF42" s="1443"/>
      <c r="AG42" s="1443"/>
      <c r="AH42" s="1443"/>
      <c r="AI42" s="1443"/>
      <c r="AJ42" s="1443"/>
      <c r="AK42" s="1228"/>
      <c r="AL42" s="1443"/>
      <c r="AM42" s="1443"/>
      <c r="AN42" s="1443"/>
      <c r="AO42" s="1967" t="s">
        <v>35</v>
      </c>
      <c r="AP42" s="1592" t="s">
        <v>2139</v>
      </c>
      <c r="AQ42" s="1443"/>
      <c r="AR42" s="1443"/>
      <c r="AS42" s="1443"/>
      <c r="AT42" s="1443"/>
      <c r="AU42" s="1968"/>
      <c r="AV42" s="1968"/>
      <c r="AW42" s="1443"/>
      <c r="AX42" s="1607" t="s">
        <v>101</v>
      </c>
      <c r="AY42" s="2135"/>
      <c r="AZ42" s="1443"/>
      <c r="BA42" s="1965"/>
      <c r="BB42" s="1592"/>
      <c r="BC42" s="1443"/>
      <c r="BD42" s="1443"/>
      <c r="BE42" s="1443"/>
      <c r="BF42" s="1443"/>
      <c r="BG42" s="1443"/>
      <c r="BH42" s="1443"/>
      <c r="BI42" s="1443"/>
      <c r="BJ42" s="1607" t="s">
        <v>101</v>
      </c>
      <c r="BK42" s="1966"/>
      <c r="BL42" s="1443"/>
    </row>
    <row r="43" spans="1:64" ht="15.75">
      <c r="A43" s="1228"/>
      <c r="B43" s="1443"/>
      <c r="C43" s="1939"/>
      <c r="D43" s="1929"/>
      <c r="E43" s="1607" t="s">
        <v>1995</v>
      </c>
      <c r="F43" s="1443"/>
      <c r="G43" s="1443"/>
      <c r="H43" s="1443"/>
      <c r="I43" s="1443"/>
      <c r="J43" s="1443"/>
      <c r="K43" s="1443"/>
      <c r="L43" s="1443"/>
      <c r="M43" s="1443"/>
      <c r="N43" s="1443"/>
      <c r="O43" s="1443"/>
      <c r="P43" s="1443"/>
      <c r="Q43" s="1443"/>
      <c r="R43" s="1443"/>
      <c r="S43" s="1443"/>
      <c r="T43" s="1443"/>
      <c r="U43" s="1443"/>
      <c r="V43" s="1443"/>
      <c r="W43" s="1443"/>
      <c r="X43" s="1443"/>
      <c r="Y43" s="1443"/>
      <c r="Z43" s="1973" t="str">
        <f>IF(OR(AL2&lt;&gt;1,D43&lt;&gt;""),"","X")</f>
        <v>X</v>
      </c>
      <c r="AA43" s="1607" t="s">
        <v>1569</v>
      </c>
      <c r="AB43" s="1443"/>
      <c r="AC43" s="1443"/>
      <c r="AD43" s="1443"/>
      <c r="AE43" s="1443"/>
      <c r="AF43" s="1443"/>
      <c r="AG43" s="1443"/>
      <c r="AH43" s="1443"/>
      <c r="AI43" s="1443"/>
      <c r="AJ43" s="1443"/>
      <c r="AK43" s="1228"/>
      <c r="AL43" s="1443"/>
      <c r="AM43" s="1443"/>
      <c r="AN43" s="1443"/>
      <c r="AO43" s="1967"/>
      <c r="AP43" s="1592" t="s">
        <v>2138</v>
      </c>
      <c r="AQ43" s="1443"/>
      <c r="AR43" s="1443"/>
      <c r="AS43" s="1443"/>
      <c r="AT43" s="1443"/>
      <c r="AU43" s="1968" t="s">
        <v>35</v>
      </c>
      <c r="AV43" s="4827">
        <f>IF(AX43&lt;&gt;"",ROUND(AX43,0),ROUND(SUM(AV25,AU29,AU34,AU39),0))</f>
        <v>0</v>
      </c>
      <c r="AW43" s="1443"/>
      <c r="AX43" s="3948"/>
      <c r="AY43" s="2135"/>
      <c r="AZ43" s="1443"/>
      <c r="BA43" s="1967" t="s">
        <v>35</v>
      </c>
      <c r="BB43" s="1592" t="s">
        <v>2139</v>
      </c>
      <c r="BC43" s="1443"/>
      <c r="BD43" s="1443"/>
      <c r="BE43" s="1443"/>
      <c r="BF43" s="1443"/>
      <c r="BG43" s="1968" t="s">
        <v>35</v>
      </c>
      <c r="BH43" s="1982">
        <f>IF(BJ43&lt;&gt;"",ROUND(BJ43,0),ROUND(SUM(BH26,BG29,BG36,BG40),0))</f>
        <v>0</v>
      </c>
      <c r="BI43" s="1443"/>
      <c r="BJ43" s="2132"/>
      <c r="BK43" s="2135"/>
      <c r="BL43" s="1443"/>
    </row>
    <row r="44" spans="1:64">
      <c r="A44" s="1228"/>
      <c r="B44" s="1443"/>
      <c r="C44" s="1443"/>
      <c r="D44" s="1443"/>
      <c r="E44" s="1443" t="s">
        <v>1366</v>
      </c>
      <c r="F44" s="1443"/>
      <c r="G44" s="1443"/>
      <c r="H44" s="1443"/>
      <c r="I44" s="1443"/>
      <c r="J44" s="1443"/>
      <c r="K44" s="1443"/>
      <c r="L44" s="1443"/>
      <c r="M44" s="1443"/>
      <c r="N44" s="1443"/>
      <c r="O44" s="1443"/>
      <c r="P44" s="1443"/>
      <c r="Q44" s="1443"/>
      <c r="R44" s="1443"/>
      <c r="S44" s="1443"/>
      <c r="T44" s="1443"/>
      <c r="U44" s="1443"/>
      <c r="V44" s="1443"/>
      <c r="W44" s="1443"/>
      <c r="X44" s="1443"/>
      <c r="Y44" s="1443"/>
      <c r="Z44" s="1443"/>
      <c r="AA44" s="1443" t="s">
        <v>1367</v>
      </c>
      <c r="AB44" s="1443"/>
      <c r="AC44" s="1443"/>
      <c r="AD44" s="1443"/>
      <c r="AE44" s="1443"/>
      <c r="AF44" s="1443"/>
      <c r="AG44" s="1443"/>
      <c r="AH44" s="1443"/>
      <c r="AI44" s="1443"/>
      <c r="AJ44" s="1443"/>
      <c r="AK44" s="1228"/>
      <c r="AL44" s="1443"/>
      <c r="AM44" s="1443"/>
      <c r="AN44" s="1443"/>
      <c r="AO44" s="1969"/>
      <c r="AP44" s="1953"/>
      <c r="AQ44" s="1936"/>
      <c r="AR44" s="1936"/>
      <c r="AS44" s="1936"/>
      <c r="AT44" s="1936"/>
      <c r="AU44" s="1936"/>
      <c r="AV44" s="1936"/>
      <c r="AW44" s="1443"/>
      <c r="AX44" s="1936"/>
      <c r="AY44" s="1966"/>
      <c r="AZ44" s="1443"/>
      <c r="BA44" s="1967"/>
      <c r="BB44" s="1592" t="s">
        <v>2140</v>
      </c>
      <c r="BC44" s="1443"/>
      <c r="BD44" s="1443"/>
      <c r="BE44" s="1443"/>
      <c r="BF44" s="1443"/>
      <c r="BG44" s="1443"/>
      <c r="BH44" s="1443"/>
      <c r="BI44" s="1443"/>
      <c r="BJ44" s="1443"/>
      <c r="BK44" s="2135"/>
      <c r="BL44" s="1443"/>
    </row>
    <row r="45" spans="1:64" ht="12.75" customHeight="1">
      <c r="A45" s="1228"/>
      <c r="B45" s="1936"/>
      <c r="C45" s="1936"/>
      <c r="D45" s="1936"/>
      <c r="E45" s="1936"/>
      <c r="F45" s="1936"/>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6"/>
      <c r="AJ45" s="1936"/>
      <c r="AK45" s="1228"/>
      <c r="AL45" s="1443"/>
      <c r="AM45" s="1443"/>
      <c r="AN45" s="1443"/>
      <c r="AO45" s="8136" t="s">
        <v>4528</v>
      </c>
      <c r="AP45" s="8137"/>
      <c r="AQ45" s="8137"/>
      <c r="AR45" s="8137"/>
      <c r="AS45" s="8137"/>
      <c r="AT45" s="8137"/>
      <c r="AU45" s="8137"/>
      <c r="AV45" s="8137"/>
      <c r="AW45" s="8137"/>
      <c r="AX45" s="8137"/>
      <c r="AY45" s="8138"/>
      <c r="AZ45" s="1443"/>
      <c r="BA45" s="1969"/>
      <c r="BB45" s="1953"/>
      <c r="BC45" s="1936"/>
      <c r="BD45" s="1936"/>
      <c r="BE45" s="1936"/>
      <c r="BF45" s="1936"/>
      <c r="BG45" s="1936"/>
      <c r="BH45" s="1936"/>
      <c r="BI45" s="1936"/>
      <c r="BJ45" s="1936"/>
      <c r="BK45" s="1966"/>
      <c r="BL45" s="1443"/>
    </row>
    <row r="46" spans="1:64" ht="5.25" customHeight="1">
      <c r="A46" s="1228"/>
      <c r="B46" s="8124" t="s">
        <v>1368</v>
      </c>
      <c r="C46" s="8125"/>
      <c r="D46" s="8125"/>
      <c r="E46" s="8125"/>
      <c r="F46" s="8125"/>
      <c r="G46" s="8127" t="s">
        <v>4520</v>
      </c>
      <c r="H46" s="8128"/>
      <c r="I46" s="8128"/>
      <c r="J46" s="8128"/>
      <c r="K46" s="8128"/>
      <c r="L46" s="8127" t="s">
        <v>1571</v>
      </c>
      <c r="M46" s="8128"/>
      <c r="N46" s="8128"/>
      <c r="O46" s="8128"/>
      <c r="P46" s="8128"/>
      <c r="Q46" s="8127" t="s">
        <v>1570</v>
      </c>
      <c r="R46" s="8128"/>
      <c r="S46" s="8128"/>
      <c r="T46" s="8128"/>
      <c r="U46" s="8128"/>
      <c r="V46" s="8127" t="s">
        <v>1593</v>
      </c>
      <c r="W46" s="8128"/>
      <c r="X46" s="8128"/>
      <c r="Y46" s="8128"/>
      <c r="Z46" s="8128"/>
      <c r="AA46" s="8127" t="s">
        <v>1595</v>
      </c>
      <c r="AB46" s="8128"/>
      <c r="AC46" s="8128"/>
      <c r="AD46" s="8128"/>
      <c r="AE46" s="8128"/>
      <c r="AF46" s="8127" t="s">
        <v>1597</v>
      </c>
      <c r="AG46" s="8128"/>
      <c r="AH46" s="8128"/>
      <c r="AI46" s="8128"/>
      <c r="AJ46" s="8160"/>
      <c r="AK46" s="1228"/>
      <c r="AL46" s="1443"/>
      <c r="AM46" s="1443"/>
      <c r="AN46" s="1443"/>
      <c r="AO46" s="8139"/>
      <c r="AP46" s="8140"/>
      <c r="AQ46" s="8140"/>
      <c r="AR46" s="8140"/>
      <c r="AS46" s="8140"/>
      <c r="AT46" s="8140"/>
      <c r="AU46" s="8140"/>
      <c r="AV46" s="8140"/>
      <c r="AW46" s="8140"/>
      <c r="AX46" s="8140"/>
      <c r="AY46" s="8141"/>
      <c r="AZ46" s="1443"/>
      <c r="BA46" s="8136" t="s">
        <v>1590</v>
      </c>
      <c r="BB46" s="8137"/>
      <c r="BC46" s="8137"/>
      <c r="BD46" s="8137"/>
      <c r="BE46" s="8137"/>
      <c r="BF46" s="8137"/>
      <c r="BG46" s="8137"/>
      <c r="BH46" s="8137"/>
      <c r="BI46" s="8137"/>
      <c r="BJ46" s="8137"/>
      <c r="BK46" s="8138"/>
      <c r="BL46" s="1443"/>
    </row>
    <row r="47" spans="1:64">
      <c r="A47" s="1228"/>
      <c r="B47" s="8126"/>
      <c r="C47" s="8126"/>
      <c r="D47" s="8126"/>
      <c r="E47" s="8126"/>
      <c r="F47" s="8126"/>
      <c r="G47" s="8129"/>
      <c r="H47" s="8129"/>
      <c r="I47" s="8129"/>
      <c r="J47" s="8129"/>
      <c r="K47" s="8129"/>
      <c r="L47" s="8129"/>
      <c r="M47" s="8129"/>
      <c r="N47" s="8129"/>
      <c r="O47" s="8129"/>
      <c r="P47" s="8129"/>
      <c r="Q47" s="8129"/>
      <c r="R47" s="8129"/>
      <c r="S47" s="8129"/>
      <c r="T47" s="8129"/>
      <c r="U47" s="8129"/>
      <c r="V47" s="8129"/>
      <c r="W47" s="8129"/>
      <c r="X47" s="8129"/>
      <c r="Y47" s="8129"/>
      <c r="Z47" s="8129"/>
      <c r="AA47" s="8129"/>
      <c r="AB47" s="8129"/>
      <c r="AC47" s="8129"/>
      <c r="AD47" s="8129"/>
      <c r="AE47" s="8129"/>
      <c r="AF47" s="8129"/>
      <c r="AG47" s="8129"/>
      <c r="AH47" s="8129"/>
      <c r="AI47" s="8129"/>
      <c r="AJ47" s="8161"/>
      <c r="AK47" s="1228"/>
      <c r="AL47" s="1443"/>
      <c r="AM47" s="1588"/>
      <c r="AN47" s="1588"/>
      <c r="AO47" s="8139"/>
      <c r="AP47" s="8140"/>
      <c r="AQ47" s="8140"/>
      <c r="AR47" s="8140"/>
      <c r="AS47" s="8140"/>
      <c r="AT47" s="8140"/>
      <c r="AU47" s="8140"/>
      <c r="AV47" s="8140"/>
      <c r="AW47" s="8140"/>
      <c r="AX47" s="8140"/>
      <c r="AY47" s="8141"/>
      <c r="AZ47" s="1443"/>
      <c r="BA47" s="8139"/>
      <c r="BB47" s="8140"/>
      <c r="BC47" s="8140"/>
      <c r="BD47" s="8140"/>
      <c r="BE47" s="8140"/>
      <c r="BF47" s="8140"/>
      <c r="BG47" s="8140"/>
      <c r="BH47" s="8140"/>
      <c r="BI47" s="8140"/>
      <c r="BJ47" s="8140"/>
      <c r="BK47" s="8141"/>
      <c r="BL47" s="1443"/>
    </row>
    <row r="48" spans="1:64" ht="14.25" customHeight="1">
      <c r="A48" s="1228"/>
      <c r="B48" s="8126"/>
      <c r="C48" s="8126"/>
      <c r="D48" s="8126"/>
      <c r="E48" s="8126"/>
      <c r="F48" s="8126"/>
      <c r="G48" s="8129"/>
      <c r="H48" s="8129"/>
      <c r="I48" s="8129"/>
      <c r="J48" s="8129"/>
      <c r="K48" s="8129"/>
      <c r="L48" s="8129"/>
      <c r="M48" s="8129"/>
      <c r="N48" s="8129"/>
      <c r="O48" s="8129"/>
      <c r="P48" s="8129"/>
      <c r="Q48" s="8129"/>
      <c r="R48" s="8129"/>
      <c r="S48" s="8129"/>
      <c r="T48" s="8129"/>
      <c r="U48" s="8129"/>
      <c r="V48" s="8129"/>
      <c r="W48" s="8129"/>
      <c r="X48" s="8129"/>
      <c r="Y48" s="8129"/>
      <c r="Z48" s="8129"/>
      <c r="AA48" s="8129"/>
      <c r="AB48" s="8129"/>
      <c r="AC48" s="8129"/>
      <c r="AD48" s="8129"/>
      <c r="AE48" s="8129"/>
      <c r="AF48" s="8129"/>
      <c r="AG48" s="8129"/>
      <c r="AH48" s="8129"/>
      <c r="AI48" s="8129"/>
      <c r="AJ48" s="8161"/>
      <c r="AK48" s="1228"/>
      <c r="AL48" s="1443"/>
      <c r="AM48" s="1588"/>
      <c r="AN48" s="1588"/>
      <c r="AO48" s="8142"/>
      <c r="AP48" s="8143"/>
      <c r="AQ48" s="8143"/>
      <c r="AR48" s="8143"/>
      <c r="AS48" s="8143"/>
      <c r="AT48" s="8143"/>
      <c r="AU48" s="8143"/>
      <c r="AV48" s="8143"/>
      <c r="AW48" s="8143"/>
      <c r="AX48" s="8143"/>
      <c r="AY48" s="8144"/>
      <c r="AZ48" s="1443"/>
      <c r="BA48" s="8139"/>
      <c r="BB48" s="8140"/>
      <c r="BC48" s="8140"/>
      <c r="BD48" s="8140"/>
      <c r="BE48" s="8140"/>
      <c r="BF48" s="8140"/>
      <c r="BG48" s="8140"/>
      <c r="BH48" s="8140"/>
      <c r="BI48" s="8140"/>
      <c r="BJ48" s="8140"/>
      <c r="BK48" s="8141"/>
      <c r="BL48" s="1443"/>
    </row>
    <row r="49" spans="1:75">
      <c r="A49" s="1228"/>
      <c r="B49" s="8126"/>
      <c r="C49" s="8126"/>
      <c r="D49" s="8126"/>
      <c r="E49" s="8126"/>
      <c r="F49" s="8126"/>
      <c r="G49" s="8129"/>
      <c r="H49" s="8129"/>
      <c r="I49" s="8129"/>
      <c r="J49" s="8129"/>
      <c r="K49" s="8129"/>
      <c r="L49" s="8129"/>
      <c r="M49" s="8129"/>
      <c r="N49" s="8129"/>
      <c r="O49" s="8129"/>
      <c r="P49" s="8129"/>
      <c r="Q49" s="8129"/>
      <c r="R49" s="8129"/>
      <c r="S49" s="8129"/>
      <c r="T49" s="8129"/>
      <c r="U49" s="8129"/>
      <c r="V49" s="8129"/>
      <c r="W49" s="8129"/>
      <c r="X49" s="8129"/>
      <c r="Y49" s="8129"/>
      <c r="Z49" s="8129"/>
      <c r="AA49" s="8129"/>
      <c r="AB49" s="8129"/>
      <c r="AC49" s="8129"/>
      <c r="AD49" s="8129"/>
      <c r="AE49" s="8129"/>
      <c r="AF49" s="8129"/>
      <c r="AG49" s="8129"/>
      <c r="AH49" s="8129"/>
      <c r="AI49" s="8129"/>
      <c r="AJ49" s="8161"/>
      <c r="AK49" s="1228"/>
      <c r="AL49" s="1443"/>
      <c r="AM49" s="1588"/>
      <c r="AN49" s="1588"/>
      <c r="AO49" s="1443"/>
      <c r="AP49" s="1443"/>
      <c r="AQ49" s="1443"/>
      <c r="AR49" s="1443"/>
      <c r="AS49" s="1443"/>
      <c r="AT49" s="1443"/>
      <c r="AU49" s="1443"/>
      <c r="AV49" s="1443"/>
      <c r="AW49" s="1443"/>
      <c r="AX49" s="1443"/>
      <c r="AY49" s="1443"/>
      <c r="AZ49" s="1443"/>
      <c r="BA49" s="8142"/>
      <c r="BB49" s="8143"/>
      <c r="BC49" s="8143"/>
      <c r="BD49" s="8143"/>
      <c r="BE49" s="8143"/>
      <c r="BF49" s="8143"/>
      <c r="BG49" s="8143"/>
      <c r="BH49" s="8143"/>
      <c r="BI49" s="8143"/>
      <c r="BJ49" s="8143"/>
      <c r="BK49" s="8144"/>
      <c r="BL49" s="1443"/>
      <c r="BV49" s="2152"/>
      <c r="BW49" s="2152"/>
    </row>
    <row r="50" spans="1:75" ht="15">
      <c r="A50" s="1228"/>
      <c r="B50" s="1948" t="s">
        <v>801</v>
      </c>
      <c r="C50" s="8087" t="s">
        <v>4521</v>
      </c>
      <c r="D50" s="8087"/>
      <c r="E50" s="8087"/>
      <c r="F50" s="8088"/>
      <c r="G50" s="8118"/>
      <c r="H50" s="8118"/>
      <c r="I50" s="8118"/>
      <c r="J50" s="8118"/>
      <c r="K50" s="8118"/>
      <c r="L50" s="8118"/>
      <c r="M50" s="8118"/>
      <c r="N50" s="8118"/>
      <c r="O50" s="8118"/>
      <c r="P50" s="8118"/>
      <c r="Q50" s="8119" t="str">
        <f>IF(OR(D40&lt;&gt;"",D43="",D31="X"),"",IF(M37&lt;&gt;"",M37,""))</f>
        <v/>
      </c>
      <c r="R50" s="8120"/>
      <c r="S50" s="8120"/>
      <c r="T50" s="8120"/>
      <c r="U50" s="8121"/>
      <c r="V50" s="8122" t="str">
        <f>IF(OR(D40&lt;&gt;"",D43="",G50="",L50="",D31="X"),"",IF(Q50="",L50,IF(SUM(L50,-Q50)&lt;0,0,SUM(L50,-Q50))))</f>
        <v/>
      </c>
      <c r="W50" s="8122"/>
      <c r="X50" s="8122"/>
      <c r="Y50" s="8122"/>
      <c r="Z50" s="8122"/>
      <c r="AA50" s="8122" t="str">
        <f>IF(OR(D40&lt;&gt;"",D43="",D31="X"),"",IF(AND(G50&lt;&gt;"",L50&lt;&gt;""),MIN(G50,V50),""))</f>
        <v/>
      </c>
      <c r="AB50" s="8122"/>
      <c r="AC50" s="8122"/>
      <c r="AD50" s="8122"/>
      <c r="AE50" s="8122"/>
      <c r="AF50" s="8118"/>
      <c r="AG50" s="8118"/>
      <c r="AH50" s="8118"/>
      <c r="AI50" s="8118"/>
      <c r="AJ50" s="8123"/>
      <c r="AK50" s="1228"/>
      <c r="AL50" s="1443"/>
      <c r="AM50" s="1588"/>
      <c r="AN50" s="1588"/>
      <c r="AO50" s="1616"/>
      <c r="AP50" s="1443"/>
      <c r="AQ50" s="1443"/>
      <c r="AR50" s="1443"/>
      <c r="AS50" s="1443"/>
      <c r="AT50" s="1443"/>
      <c r="AU50" s="1443"/>
      <c r="AV50" s="1443"/>
      <c r="AW50" s="1443"/>
      <c r="AX50" s="1443"/>
      <c r="AY50" s="1443"/>
      <c r="AZ50" s="1443"/>
      <c r="BA50" s="1443"/>
      <c r="BB50" s="1443"/>
      <c r="BC50" s="1443"/>
      <c r="BD50" s="1443"/>
      <c r="BE50" s="1443"/>
      <c r="BF50" s="1443"/>
      <c r="BG50" s="1443"/>
      <c r="BH50" s="1443"/>
      <c r="BI50" s="1443"/>
      <c r="BJ50" s="1443"/>
      <c r="BK50" s="1443"/>
      <c r="BL50" s="1443"/>
      <c r="BV50" s="2152"/>
      <c r="BW50" s="2152"/>
    </row>
    <row r="51" spans="1:75" ht="13.5" thickBot="1">
      <c r="A51" s="1228"/>
      <c r="B51" s="8124" t="s">
        <v>1369</v>
      </c>
      <c r="C51" s="8125"/>
      <c r="D51" s="8125"/>
      <c r="E51" s="8125"/>
      <c r="F51" s="8125"/>
      <c r="G51" s="8127" t="s">
        <v>1591</v>
      </c>
      <c r="H51" s="8128"/>
      <c r="I51" s="8128"/>
      <c r="J51" s="8128"/>
      <c r="K51" s="8128"/>
      <c r="L51" s="8127" t="s">
        <v>1592</v>
      </c>
      <c r="M51" s="8128"/>
      <c r="N51" s="8128"/>
      <c r="O51" s="8128"/>
      <c r="P51" s="8128"/>
      <c r="Q51" s="8127" t="s">
        <v>2080</v>
      </c>
      <c r="R51" s="8128"/>
      <c r="S51" s="8128"/>
      <c r="T51" s="8128"/>
      <c r="U51" s="8128"/>
      <c r="V51" s="8127" t="s">
        <v>1594</v>
      </c>
      <c r="W51" s="8128"/>
      <c r="X51" s="8128"/>
      <c r="Y51" s="8128"/>
      <c r="Z51" s="8128"/>
      <c r="AA51" s="8127" t="s">
        <v>1596</v>
      </c>
      <c r="AB51" s="8128"/>
      <c r="AC51" s="8128"/>
      <c r="AD51" s="8128"/>
      <c r="AE51" s="8128"/>
      <c r="AF51" s="8127" t="s">
        <v>1598</v>
      </c>
      <c r="AG51" s="8128"/>
      <c r="AH51" s="8128"/>
      <c r="AI51" s="8128"/>
      <c r="AJ51" s="8160"/>
      <c r="AK51" s="1228"/>
      <c r="AL51" s="1607"/>
      <c r="AM51" s="3352"/>
      <c r="AN51" s="3352"/>
      <c r="AO51" s="1616"/>
      <c r="AP51" s="1443"/>
      <c r="AQ51" s="1443"/>
      <c r="AR51" s="1443"/>
      <c r="AS51" s="1443"/>
      <c r="AT51" s="1443"/>
      <c r="AU51" s="1443"/>
      <c r="AV51" s="1443"/>
      <c r="AW51" s="1443"/>
      <c r="AX51" s="1443"/>
      <c r="AY51" s="1443"/>
      <c r="AZ51" s="1443"/>
      <c r="BA51" s="1443"/>
      <c r="BB51" s="1443"/>
      <c r="BC51" s="1443"/>
      <c r="BD51" s="1443"/>
      <c r="BE51" s="1443"/>
      <c r="BF51" s="1443"/>
      <c r="BG51" s="1443"/>
      <c r="BH51" s="1443"/>
      <c r="BI51" s="1443"/>
      <c r="BJ51" s="1443"/>
      <c r="BK51" s="1443"/>
      <c r="BL51" s="1443"/>
      <c r="BV51" s="2152"/>
      <c r="BW51" s="2152"/>
    </row>
    <row r="52" spans="1:75" ht="16.5" customHeight="1">
      <c r="A52" s="1228"/>
      <c r="B52" s="8126"/>
      <c r="C52" s="8126"/>
      <c r="D52" s="8126"/>
      <c r="E52" s="8126"/>
      <c r="F52" s="8126"/>
      <c r="G52" s="8129"/>
      <c r="H52" s="8129"/>
      <c r="I52" s="8129"/>
      <c r="J52" s="8129"/>
      <c r="K52" s="8129"/>
      <c r="L52" s="8129"/>
      <c r="M52" s="8129"/>
      <c r="N52" s="8129"/>
      <c r="O52" s="8129"/>
      <c r="P52" s="8129"/>
      <c r="Q52" s="8129"/>
      <c r="R52" s="8129"/>
      <c r="S52" s="8129"/>
      <c r="T52" s="8129"/>
      <c r="U52" s="8129"/>
      <c r="V52" s="8129"/>
      <c r="W52" s="8129"/>
      <c r="X52" s="8129"/>
      <c r="Y52" s="8129"/>
      <c r="Z52" s="8129"/>
      <c r="AA52" s="8129"/>
      <c r="AB52" s="8129"/>
      <c r="AC52" s="8129"/>
      <c r="AD52" s="8129"/>
      <c r="AE52" s="8129"/>
      <c r="AF52" s="8129"/>
      <c r="AG52" s="8129"/>
      <c r="AH52" s="8129"/>
      <c r="AI52" s="8129"/>
      <c r="AJ52" s="8161"/>
      <c r="AK52" s="1228"/>
      <c r="AL52" s="1607"/>
      <c r="AM52" s="3352"/>
      <c r="AN52" s="3352"/>
      <c r="AO52" s="1616"/>
      <c r="AP52" s="1443"/>
      <c r="AQ52" s="1443"/>
      <c r="AR52" s="1443"/>
      <c r="AS52" s="1443"/>
      <c r="AT52" s="1443"/>
      <c r="AU52" s="1443"/>
      <c r="AV52" s="1443"/>
      <c r="AW52" s="1443"/>
      <c r="AX52" s="1443"/>
      <c r="AY52" s="1443"/>
      <c r="AZ52" s="1443"/>
      <c r="BA52" s="8089" t="s">
        <v>2581</v>
      </c>
      <c r="BB52" s="8090"/>
      <c r="BC52" s="1443"/>
      <c r="BD52" s="1443"/>
      <c r="BE52" s="1443"/>
      <c r="BF52" s="1443"/>
      <c r="BG52" s="1443"/>
      <c r="BH52" s="1443"/>
      <c r="BI52" s="1443"/>
      <c r="BJ52" s="1443"/>
      <c r="BK52" s="1443"/>
      <c r="BL52" s="1443"/>
      <c r="BV52" s="2152"/>
      <c r="BW52" s="2152"/>
    </row>
    <row r="53" spans="1:75" ht="16.5" customHeight="1">
      <c r="A53" s="1228"/>
      <c r="B53" s="8126"/>
      <c r="C53" s="8126"/>
      <c r="D53" s="8126"/>
      <c r="E53" s="8126"/>
      <c r="F53" s="8126"/>
      <c r="G53" s="8129"/>
      <c r="H53" s="8129"/>
      <c r="I53" s="8129"/>
      <c r="J53" s="8129"/>
      <c r="K53" s="8129"/>
      <c r="L53" s="8129"/>
      <c r="M53" s="8129"/>
      <c r="N53" s="8129"/>
      <c r="O53" s="8129"/>
      <c r="P53" s="8129"/>
      <c r="Q53" s="8129"/>
      <c r="R53" s="8129"/>
      <c r="S53" s="8129"/>
      <c r="T53" s="8129"/>
      <c r="U53" s="8129"/>
      <c r="V53" s="8129"/>
      <c r="W53" s="8129"/>
      <c r="X53" s="8129"/>
      <c r="Y53" s="8129"/>
      <c r="Z53" s="8129"/>
      <c r="AA53" s="8129"/>
      <c r="AB53" s="8129"/>
      <c r="AC53" s="8129"/>
      <c r="AD53" s="8129"/>
      <c r="AE53" s="8129"/>
      <c r="AF53" s="8129"/>
      <c r="AG53" s="8129"/>
      <c r="AH53" s="8129"/>
      <c r="AI53" s="8129"/>
      <c r="AJ53" s="8161"/>
      <c r="AK53" s="1228"/>
      <c r="AL53" s="1443"/>
      <c r="AM53" s="3352"/>
      <c r="AN53" s="3352"/>
      <c r="AO53" s="1616"/>
      <c r="AP53" s="2140"/>
      <c r="AQ53" s="2140"/>
      <c r="AR53" s="1443"/>
      <c r="AS53" s="1443"/>
      <c r="AT53" s="1443"/>
      <c r="AU53" s="1443"/>
      <c r="AV53" s="1443"/>
      <c r="AW53" s="1443"/>
      <c r="AX53" s="1443"/>
      <c r="AY53" s="1443"/>
      <c r="AZ53" s="2227"/>
      <c r="BA53" s="8091"/>
      <c r="BB53" s="8092"/>
      <c r="BC53" s="1443"/>
      <c r="BD53" s="3360"/>
      <c r="BE53" s="1443"/>
      <c r="BF53" s="1443"/>
      <c r="BG53" s="1443"/>
      <c r="BH53" s="1443"/>
      <c r="BI53" s="3361"/>
      <c r="BJ53" s="3361"/>
      <c r="BK53" s="3361"/>
      <c r="BL53" s="1443"/>
    </row>
    <row r="54" spans="1:75" ht="16.5" customHeight="1">
      <c r="A54" s="1228"/>
      <c r="B54" s="8126"/>
      <c r="C54" s="8126"/>
      <c r="D54" s="8126"/>
      <c r="E54" s="8126"/>
      <c r="F54" s="8126"/>
      <c r="G54" s="8129"/>
      <c r="H54" s="8129"/>
      <c r="I54" s="8129"/>
      <c r="J54" s="8129"/>
      <c r="K54" s="8129"/>
      <c r="L54" s="8129"/>
      <c r="M54" s="8129"/>
      <c r="N54" s="8129"/>
      <c r="O54" s="8129"/>
      <c r="P54" s="8129"/>
      <c r="Q54" s="8129"/>
      <c r="R54" s="8129"/>
      <c r="S54" s="8129"/>
      <c r="T54" s="8129"/>
      <c r="U54" s="8129"/>
      <c r="V54" s="8129"/>
      <c r="W54" s="8129"/>
      <c r="X54" s="8129"/>
      <c r="Y54" s="8129"/>
      <c r="Z54" s="8129"/>
      <c r="AA54" s="8129"/>
      <c r="AB54" s="8129"/>
      <c r="AC54" s="8129"/>
      <c r="AD54" s="8129"/>
      <c r="AE54" s="8129"/>
      <c r="AF54" s="8129"/>
      <c r="AG54" s="8129"/>
      <c r="AH54" s="8129"/>
      <c r="AI54" s="8129"/>
      <c r="AJ54" s="8161"/>
      <c r="AK54" s="1228"/>
      <c r="AL54" s="1443"/>
      <c r="AM54" s="1443"/>
      <c r="AN54" s="1443"/>
      <c r="AO54" s="1443"/>
      <c r="AP54" s="2140"/>
      <c r="AQ54" s="2140"/>
      <c r="AR54" s="1443"/>
      <c r="AS54" s="1443"/>
      <c r="AT54" s="1443"/>
      <c r="AU54" s="1443"/>
      <c r="AV54" s="1443"/>
      <c r="AW54" s="1443"/>
      <c r="AX54" s="1443"/>
      <c r="AY54" s="1443"/>
      <c r="AZ54" s="2208"/>
      <c r="BA54" s="3265">
        <v>0</v>
      </c>
      <c r="BB54" s="3266">
        <v>2.01E-2</v>
      </c>
      <c r="BC54" s="1443"/>
      <c r="BD54" s="3360"/>
      <c r="BE54" s="3361"/>
      <c r="BF54" s="3362"/>
      <c r="BG54" s="3361"/>
      <c r="BH54" s="3361"/>
      <c r="BI54" s="3361"/>
      <c r="BJ54" s="3361"/>
      <c r="BK54" s="3361"/>
      <c r="BL54" s="1443"/>
      <c r="BM54" s="3169" t="s">
        <v>442</v>
      </c>
    </row>
    <row r="55" spans="1:75" ht="16.5" customHeight="1">
      <c r="A55" s="1228"/>
      <c r="B55" s="1948" t="s">
        <v>248</v>
      </c>
      <c r="C55" s="1949"/>
      <c r="D55" s="8168" t="s">
        <v>1370</v>
      </c>
      <c r="E55" s="8168"/>
      <c r="F55" s="8168"/>
      <c r="G55" s="8118"/>
      <c r="H55" s="8118"/>
      <c r="I55" s="8118"/>
      <c r="J55" s="8118"/>
      <c r="K55" s="8118"/>
      <c r="L55" s="8118"/>
      <c r="M55" s="8118"/>
      <c r="N55" s="8118"/>
      <c r="O55" s="8118"/>
      <c r="P55" s="8118"/>
      <c r="Q55" s="8119"/>
      <c r="R55" s="8120"/>
      <c r="S55" s="8120"/>
      <c r="T55" s="8120"/>
      <c r="U55" s="8121"/>
      <c r="V55" s="8122" t="str">
        <f t="shared" ref="V55:V66" si="0">IF(OR(G55="",L55="",$D$43&lt;&gt;"",$D$31="X"),"",IF(Q55="",L55,IF(SUM(L55,-Q55)&lt;0,0,SUM(L55,-Q55))))</f>
        <v/>
      </c>
      <c r="W55" s="8122"/>
      <c r="X55" s="8122"/>
      <c r="Y55" s="8122"/>
      <c r="Z55" s="8122"/>
      <c r="AA55" s="8122" t="str">
        <f t="shared" ref="AA55:AA66" si="1">IF(OR(G55="",L55="",$D$43&lt;&gt;"",$D$31="X"),"",MIN(G55,V55))</f>
        <v/>
      </c>
      <c r="AB55" s="8122"/>
      <c r="AC55" s="8122"/>
      <c r="AD55" s="8122"/>
      <c r="AE55" s="8122"/>
      <c r="AF55" s="8169"/>
      <c r="AG55" s="8169"/>
      <c r="AH55" s="8169"/>
      <c r="AI55" s="8169"/>
      <c r="AJ55" s="8170"/>
      <c r="AK55" s="1228"/>
      <c r="AL55" s="1443"/>
      <c r="AM55" s="1443"/>
      <c r="AN55" s="1443"/>
      <c r="AO55" s="1443"/>
      <c r="AP55" s="2145" t="s">
        <v>1589</v>
      </c>
      <c r="AQ55" s="2146"/>
      <c r="AR55" s="2147"/>
      <c r="AS55" s="2148"/>
      <c r="AT55" s="2149"/>
      <c r="AU55" s="2150"/>
      <c r="AV55" s="1443"/>
      <c r="AW55" s="1443"/>
      <c r="AX55" s="1443"/>
      <c r="AY55" s="1443"/>
      <c r="AZ55" s="2208"/>
      <c r="BA55" s="3265">
        <v>133</v>
      </c>
      <c r="BB55" s="3266">
        <v>3.0200000000000001E-2</v>
      </c>
      <c r="BC55" s="3632"/>
      <c r="BD55" s="3360"/>
      <c r="BE55" s="3363"/>
      <c r="BF55" s="3362"/>
      <c r="BG55" s="3361"/>
      <c r="BH55" s="3361"/>
      <c r="BI55" s="3361"/>
      <c r="BJ55" s="3361"/>
      <c r="BK55" s="3361"/>
      <c r="BL55" s="1443"/>
    </row>
    <row r="56" spans="1:75" ht="14.25" customHeight="1">
      <c r="A56" s="1228"/>
      <c r="B56" s="1948" t="s">
        <v>803</v>
      </c>
      <c r="C56" s="1949"/>
      <c r="D56" s="8168" t="s">
        <v>1371</v>
      </c>
      <c r="E56" s="8168"/>
      <c r="F56" s="8168"/>
      <c r="G56" s="8118"/>
      <c r="H56" s="8118"/>
      <c r="I56" s="8118"/>
      <c r="J56" s="8118"/>
      <c r="K56" s="8118"/>
      <c r="L56" s="8118"/>
      <c r="M56" s="8118"/>
      <c r="N56" s="8118"/>
      <c r="O56" s="8118"/>
      <c r="P56" s="8118"/>
      <c r="Q56" s="8119"/>
      <c r="R56" s="8120"/>
      <c r="S56" s="8120"/>
      <c r="T56" s="8120"/>
      <c r="U56" s="8121"/>
      <c r="V56" s="8122" t="str">
        <f t="shared" si="0"/>
        <v/>
      </c>
      <c r="W56" s="8122"/>
      <c r="X56" s="8122"/>
      <c r="Y56" s="8122"/>
      <c r="Z56" s="8122"/>
      <c r="AA56" s="8122" t="str">
        <f t="shared" si="1"/>
        <v/>
      </c>
      <c r="AB56" s="8122"/>
      <c r="AC56" s="8122"/>
      <c r="AD56" s="8122"/>
      <c r="AE56" s="8122"/>
      <c r="AF56" s="8169"/>
      <c r="AG56" s="8169"/>
      <c r="AH56" s="8169"/>
      <c r="AI56" s="8169"/>
      <c r="AJ56" s="8170"/>
      <c r="AK56" s="1228"/>
      <c r="AL56" s="1443"/>
      <c r="AM56" s="1443"/>
      <c r="AN56" s="1443"/>
      <c r="AO56" s="1443"/>
      <c r="AP56" s="2138" t="s">
        <v>336</v>
      </c>
      <c r="AQ56" s="2139" t="s">
        <v>2141</v>
      </c>
      <c r="AR56" s="2140"/>
      <c r="AS56" s="2141"/>
      <c r="AT56" s="2142">
        <f>AE22</f>
        <v>0</v>
      </c>
      <c r="AU56" s="3254"/>
      <c r="AV56" s="1443"/>
      <c r="AW56" s="1443"/>
      <c r="AX56" s="1443"/>
      <c r="AY56" s="1443"/>
      <c r="AZ56" s="2208"/>
      <c r="BA56" s="3265">
        <v>134</v>
      </c>
      <c r="BB56" s="3266">
        <v>3.0800000000000001E-2</v>
      </c>
      <c r="BC56" s="3635"/>
      <c r="BD56" s="3360"/>
      <c r="BE56" s="3361"/>
      <c r="BF56" s="3362"/>
      <c r="BG56" s="3361"/>
      <c r="BH56" s="3361"/>
      <c r="BI56" s="3361"/>
      <c r="BJ56" s="3361"/>
      <c r="BK56" s="3361"/>
      <c r="BL56" s="1443"/>
    </row>
    <row r="57" spans="1:75" ht="14.25" customHeight="1">
      <c r="A57" s="1228"/>
      <c r="B57" s="1948" t="s">
        <v>815</v>
      </c>
      <c r="C57" s="1949"/>
      <c r="D57" s="8168" t="s">
        <v>1372</v>
      </c>
      <c r="E57" s="8168"/>
      <c r="F57" s="8168"/>
      <c r="G57" s="8118"/>
      <c r="H57" s="8118"/>
      <c r="I57" s="8118"/>
      <c r="J57" s="8118"/>
      <c r="K57" s="8118"/>
      <c r="L57" s="8118"/>
      <c r="M57" s="8118"/>
      <c r="N57" s="8118"/>
      <c r="O57" s="8118"/>
      <c r="P57" s="8118"/>
      <c r="Q57" s="8119"/>
      <c r="R57" s="8120"/>
      <c r="S57" s="8120"/>
      <c r="T57" s="8120"/>
      <c r="U57" s="8121"/>
      <c r="V57" s="8122" t="str">
        <f t="shared" si="0"/>
        <v/>
      </c>
      <c r="W57" s="8122"/>
      <c r="X57" s="8122"/>
      <c r="Y57" s="8122"/>
      <c r="Z57" s="8122"/>
      <c r="AA57" s="8122" t="str">
        <f t="shared" si="1"/>
        <v/>
      </c>
      <c r="AB57" s="8122"/>
      <c r="AC57" s="8122"/>
      <c r="AD57" s="8122"/>
      <c r="AE57" s="8122"/>
      <c r="AF57" s="8169"/>
      <c r="AG57" s="8169"/>
      <c r="AH57" s="8169"/>
      <c r="AI57" s="8169"/>
      <c r="AJ57" s="8170"/>
      <c r="AK57" s="1228"/>
      <c r="AL57" s="1443"/>
      <c r="AM57" s="1443"/>
      <c r="AN57" s="1443"/>
      <c r="AO57" s="1443"/>
      <c r="AP57" s="2138" t="s">
        <v>0</v>
      </c>
      <c r="AQ57" s="2139" t="s">
        <v>1586</v>
      </c>
      <c r="AR57" s="2140"/>
      <c r="AS57" s="2142">
        <f>AE25</f>
        <v>0</v>
      </c>
      <c r="AT57" s="2141"/>
      <c r="AU57" s="1966"/>
      <c r="AV57" s="1443"/>
      <c r="AW57" s="1443"/>
      <c r="AX57" s="1443"/>
      <c r="AY57" s="1443"/>
      <c r="AZ57" s="2208"/>
      <c r="BA57" s="3265">
        <v>135</v>
      </c>
      <c r="BB57" s="3266">
        <v>3.1399999999999997E-2</v>
      </c>
      <c r="BC57" s="3633"/>
      <c r="BD57" s="3360"/>
      <c r="BE57" s="3361"/>
      <c r="BF57" s="3362"/>
      <c r="BG57" s="3361"/>
      <c r="BH57" s="3361"/>
      <c r="BI57" s="3361"/>
      <c r="BJ57" s="3361"/>
      <c r="BK57" s="3361"/>
      <c r="BL57" s="1443"/>
    </row>
    <row r="58" spans="1:75" ht="14.25" customHeight="1">
      <c r="A58" s="1228"/>
      <c r="B58" s="1948" t="s">
        <v>816</v>
      </c>
      <c r="C58" s="1949"/>
      <c r="D58" s="8168" t="s">
        <v>1373</v>
      </c>
      <c r="E58" s="8168"/>
      <c r="F58" s="8168"/>
      <c r="G58" s="8118"/>
      <c r="H58" s="8118"/>
      <c r="I58" s="8118"/>
      <c r="J58" s="8118"/>
      <c r="K58" s="8118"/>
      <c r="L58" s="8118"/>
      <c r="M58" s="8118"/>
      <c r="N58" s="8118"/>
      <c r="O58" s="8118"/>
      <c r="P58" s="8118"/>
      <c r="Q58" s="8119"/>
      <c r="R58" s="8120"/>
      <c r="S58" s="8120"/>
      <c r="T58" s="8120"/>
      <c r="U58" s="8121"/>
      <c r="V58" s="8122" t="str">
        <f t="shared" si="0"/>
        <v/>
      </c>
      <c r="W58" s="8122"/>
      <c r="X58" s="8122"/>
      <c r="Y58" s="8122"/>
      <c r="Z58" s="8122"/>
      <c r="AA58" s="8122" t="str">
        <f t="shared" si="1"/>
        <v/>
      </c>
      <c r="AB58" s="8122"/>
      <c r="AC58" s="8122"/>
      <c r="AD58" s="8122"/>
      <c r="AE58" s="8122"/>
      <c r="AF58" s="8169"/>
      <c r="AG58" s="8169"/>
      <c r="AH58" s="8169"/>
      <c r="AI58" s="8169"/>
      <c r="AJ58" s="8170"/>
      <c r="AK58" s="1228"/>
      <c r="AL58" s="1443"/>
      <c r="AM58" s="1443"/>
      <c r="AN58" s="1443"/>
      <c r="AO58" s="1443"/>
      <c r="AP58" s="2138" t="s">
        <v>1</v>
      </c>
      <c r="AQ58" s="2139" t="str">
        <f>"Multiply the amount on line 2 by "&amp;TEXT(AU58,"0.0")</f>
        <v>Multiply the amount on line 2 by 4.0</v>
      </c>
      <c r="AR58" s="2140"/>
      <c r="AS58" s="1443"/>
      <c r="AT58" s="2142">
        <f>IF(AND(File_Marr_Sep&lt;&gt;"",AI13=""),"",ROUND(AS57*AU58,0))</f>
        <v>0</v>
      </c>
      <c r="AU58" s="2143">
        <v>4</v>
      </c>
      <c r="AV58" s="1443"/>
      <c r="AW58" s="1443"/>
      <c r="AX58" s="1443"/>
      <c r="AY58" s="1443"/>
      <c r="AZ58" s="2208"/>
      <c r="BA58" s="3265">
        <v>136</v>
      </c>
      <c r="BB58" s="3266">
        <v>3.2000000000000001E-2</v>
      </c>
      <c r="BC58" s="3632"/>
      <c r="BD58" s="3360"/>
      <c r="BE58" s="3361"/>
      <c r="BF58" s="3362"/>
      <c r="BG58" s="3361"/>
      <c r="BH58" s="3361"/>
      <c r="BI58" s="3361"/>
      <c r="BJ58" s="3361"/>
      <c r="BK58" s="3361"/>
      <c r="BL58" s="1443"/>
    </row>
    <row r="59" spans="1:75" ht="14.25" customHeight="1">
      <c r="A59" s="1228"/>
      <c r="B59" s="1948" t="s">
        <v>1374</v>
      </c>
      <c r="C59" s="1949"/>
      <c r="D59" s="8168" t="s">
        <v>1375</v>
      </c>
      <c r="E59" s="8168"/>
      <c r="F59" s="8168"/>
      <c r="G59" s="8118"/>
      <c r="H59" s="8118"/>
      <c r="I59" s="8118"/>
      <c r="J59" s="8118"/>
      <c r="K59" s="8118"/>
      <c r="L59" s="8118"/>
      <c r="M59" s="8118"/>
      <c r="N59" s="8118"/>
      <c r="O59" s="8118"/>
      <c r="P59" s="8118"/>
      <c r="Q59" s="8119"/>
      <c r="R59" s="8120"/>
      <c r="S59" s="8120"/>
      <c r="T59" s="8120"/>
      <c r="U59" s="8121"/>
      <c r="V59" s="8122" t="str">
        <f t="shared" si="0"/>
        <v/>
      </c>
      <c r="W59" s="8122"/>
      <c r="X59" s="8122"/>
      <c r="Y59" s="8122"/>
      <c r="Z59" s="8122"/>
      <c r="AA59" s="8122" t="str">
        <f t="shared" si="1"/>
        <v/>
      </c>
      <c r="AB59" s="8122"/>
      <c r="AC59" s="8122"/>
      <c r="AD59" s="8122"/>
      <c r="AE59" s="8122"/>
      <c r="AF59" s="8169"/>
      <c r="AG59" s="8169"/>
      <c r="AH59" s="8169"/>
      <c r="AI59" s="8169"/>
      <c r="AJ59" s="8170"/>
      <c r="AK59" s="1228"/>
      <c r="AL59" s="1443"/>
      <c r="AM59" s="1443"/>
      <c r="AN59" s="1443"/>
      <c r="AO59" s="1443"/>
      <c r="AP59" s="2138" t="s">
        <v>455</v>
      </c>
      <c r="AQ59" s="2139" t="s">
        <v>1587</v>
      </c>
      <c r="AR59" s="2140"/>
      <c r="AS59" s="1443"/>
      <c r="AT59" s="1443"/>
      <c r="AU59" s="1966"/>
      <c r="AV59" s="1443"/>
      <c r="AW59" s="1443"/>
      <c r="AX59" s="1443"/>
      <c r="AY59" s="1443"/>
      <c r="AZ59" s="2208"/>
      <c r="BA59" s="3265">
        <v>137</v>
      </c>
      <c r="BB59" s="3266">
        <v>3.2599999999999997E-2</v>
      </c>
      <c r="BC59" s="3632"/>
      <c r="BD59" s="3360"/>
      <c r="BE59" s="3361"/>
      <c r="BF59" s="3362"/>
      <c r="BG59" s="3361"/>
      <c r="BH59" s="3361"/>
      <c r="BI59" s="3361"/>
      <c r="BJ59" s="3361"/>
      <c r="BK59" s="3361"/>
      <c r="BL59" s="1443"/>
    </row>
    <row r="60" spans="1:75" ht="14.25" customHeight="1">
      <c r="A60" s="1228"/>
      <c r="B60" s="1948" t="s">
        <v>1376</v>
      </c>
      <c r="C60" s="1949"/>
      <c r="D60" s="8168" t="s">
        <v>1377</v>
      </c>
      <c r="E60" s="8168"/>
      <c r="F60" s="8168"/>
      <c r="G60" s="8118"/>
      <c r="H60" s="8118"/>
      <c r="I60" s="8118"/>
      <c r="J60" s="8118"/>
      <c r="K60" s="8118"/>
      <c r="L60" s="8118"/>
      <c r="M60" s="8118"/>
      <c r="N60" s="8118"/>
      <c r="O60" s="8118"/>
      <c r="P60" s="8118"/>
      <c r="Q60" s="8119"/>
      <c r="R60" s="8120"/>
      <c r="S60" s="8120"/>
      <c r="T60" s="8120"/>
      <c r="U60" s="8121"/>
      <c r="V60" s="8122" t="str">
        <f t="shared" si="0"/>
        <v/>
      </c>
      <c r="W60" s="8122"/>
      <c r="X60" s="8122"/>
      <c r="Y60" s="8122"/>
      <c r="Z60" s="8122"/>
      <c r="AA60" s="8122" t="str">
        <f t="shared" si="1"/>
        <v/>
      </c>
      <c r="AB60" s="8122"/>
      <c r="AC60" s="8122"/>
      <c r="AD60" s="8122"/>
      <c r="AE60" s="8122"/>
      <c r="AF60" s="8169"/>
      <c r="AG60" s="8169"/>
      <c r="AH60" s="8169"/>
      <c r="AI60" s="8169"/>
      <c r="AJ60" s="8170"/>
      <c r="AK60" s="1228"/>
      <c r="AL60" s="1443"/>
      <c r="AM60" s="1443"/>
      <c r="AN60" s="1443"/>
      <c r="AO60" s="1443"/>
      <c r="AP60" s="2144"/>
      <c r="AQ60" s="2139" t="s">
        <v>1588</v>
      </c>
      <c r="AR60" s="2140"/>
      <c r="AS60" s="1615" t="str">
        <f>IF(AU60,"Yes","No")</f>
        <v>No</v>
      </c>
      <c r="AT60" s="2530" t="str">
        <f>IF(ISERROR(AT56/AS57),"---",IF(AND(File_Marr_Sep&lt;&gt;"",AI13=""),"",IF(AU60,AM28,TRUNC(100*(AT56/AS57)))))</f>
        <v>---</v>
      </c>
      <c r="AU60" s="2143" t="b">
        <f>IF(AT56&gt;AT58,TRUE,FALSE)</f>
        <v>0</v>
      </c>
      <c r="AV60" s="1443"/>
      <c r="AW60" s="1443"/>
      <c r="AX60" s="1443"/>
      <c r="AY60" s="1443"/>
      <c r="AZ60" s="2208"/>
      <c r="BA60" s="3265">
        <v>138</v>
      </c>
      <c r="BB60" s="3266">
        <v>3.32E-2</v>
      </c>
      <c r="BC60" s="3632"/>
      <c r="BD60" s="3360"/>
      <c r="BE60" s="3361"/>
      <c r="BF60" s="3362"/>
      <c r="BG60" s="3361"/>
      <c r="BH60" s="3361"/>
      <c r="BI60" s="3361"/>
      <c r="BJ60" s="3361"/>
      <c r="BK60" s="3361"/>
      <c r="BL60" s="1443"/>
    </row>
    <row r="61" spans="1:75" ht="14.25" customHeight="1">
      <c r="A61" s="1228"/>
      <c r="B61" s="1948" t="s">
        <v>1378</v>
      </c>
      <c r="C61" s="1949"/>
      <c r="D61" s="8168" t="s">
        <v>1379</v>
      </c>
      <c r="E61" s="8168"/>
      <c r="F61" s="8168"/>
      <c r="G61" s="8118"/>
      <c r="H61" s="8118"/>
      <c r="I61" s="8118"/>
      <c r="J61" s="8118"/>
      <c r="K61" s="8118"/>
      <c r="L61" s="8118"/>
      <c r="M61" s="8118"/>
      <c r="N61" s="8118"/>
      <c r="O61" s="8118"/>
      <c r="P61" s="8118"/>
      <c r="Q61" s="8119"/>
      <c r="R61" s="8120"/>
      <c r="S61" s="8120"/>
      <c r="T61" s="8120"/>
      <c r="U61" s="8121"/>
      <c r="V61" s="8122" t="str">
        <f t="shared" si="0"/>
        <v/>
      </c>
      <c r="W61" s="8122"/>
      <c r="X61" s="8122"/>
      <c r="Y61" s="8122"/>
      <c r="Z61" s="8122"/>
      <c r="AA61" s="8122" t="str">
        <f t="shared" si="1"/>
        <v/>
      </c>
      <c r="AB61" s="8122"/>
      <c r="AC61" s="8122"/>
      <c r="AD61" s="8122"/>
      <c r="AE61" s="8122"/>
      <c r="AF61" s="8169"/>
      <c r="AG61" s="8169"/>
      <c r="AH61" s="8169"/>
      <c r="AI61" s="8169"/>
      <c r="AJ61" s="8170"/>
      <c r="AK61" s="1228"/>
      <c r="AL61" s="1443"/>
      <c r="AM61" s="1443"/>
      <c r="AN61" s="1443"/>
      <c r="AO61" s="1443"/>
      <c r="AP61" s="2144"/>
      <c r="AQ61" s="2151"/>
      <c r="AR61" s="2151"/>
      <c r="AS61" s="1443"/>
      <c r="AT61" s="1443"/>
      <c r="AU61" s="1966"/>
      <c r="AV61" s="1443"/>
      <c r="AW61" s="1443"/>
      <c r="AX61" s="1443"/>
      <c r="AY61" s="1443"/>
      <c r="AZ61" s="2208"/>
      <c r="BA61" s="3265">
        <v>139</v>
      </c>
      <c r="BB61" s="3266">
        <v>3.3799999999999997E-2</v>
      </c>
      <c r="BC61" s="3632"/>
      <c r="BD61" s="3360"/>
      <c r="BE61" s="3361"/>
      <c r="BF61" s="3362"/>
      <c r="BG61" s="3361"/>
      <c r="BH61" s="3361"/>
      <c r="BI61" s="3361"/>
      <c r="BJ61" s="3361"/>
      <c r="BK61" s="3361"/>
      <c r="BL61" s="1443"/>
    </row>
    <row r="62" spans="1:75" ht="14.25" customHeight="1">
      <c r="A62" s="1228"/>
      <c r="B62" s="1948" t="s">
        <v>1380</v>
      </c>
      <c r="C62" s="1949"/>
      <c r="D62" s="8168" t="s">
        <v>1381</v>
      </c>
      <c r="E62" s="8168"/>
      <c r="F62" s="8168"/>
      <c r="G62" s="8118"/>
      <c r="H62" s="8118"/>
      <c r="I62" s="8118"/>
      <c r="J62" s="8118"/>
      <c r="K62" s="8118"/>
      <c r="L62" s="8118"/>
      <c r="M62" s="8118"/>
      <c r="N62" s="8118"/>
      <c r="O62" s="8118"/>
      <c r="P62" s="8118"/>
      <c r="Q62" s="8119"/>
      <c r="R62" s="8120"/>
      <c r="S62" s="8120"/>
      <c r="T62" s="8120"/>
      <c r="U62" s="8121"/>
      <c r="V62" s="8122" t="str">
        <f t="shared" si="0"/>
        <v/>
      </c>
      <c r="W62" s="8122"/>
      <c r="X62" s="8122"/>
      <c r="Y62" s="8122"/>
      <c r="Z62" s="8122"/>
      <c r="AA62" s="8122" t="str">
        <f t="shared" si="1"/>
        <v/>
      </c>
      <c r="AB62" s="8122"/>
      <c r="AC62" s="8122"/>
      <c r="AD62" s="8122"/>
      <c r="AE62" s="8122"/>
      <c r="AF62" s="8169"/>
      <c r="AG62" s="8169"/>
      <c r="AH62" s="8169"/>
      <c r="AI62" s="8169"/>
      <c r="AJ62" s="8170"/>
      <c r="AK62" s="1228"/>
      <c r="AL62" s="1443"/>
      <c r="AM62" s="4518"/>
      <c r="AN62" s="1443"/>
      <c r="AO62" s="1443"/>
      <c r="AP62" s="8111" t="str">
        <f>IF($AU$60,"Line 4.  Enter 401 here and on line 5 of Form 8962.","Line 4.  Divide the amount on line 1 by the amount on line 2. ")</f>
        <v xml:space="preserve">Line 4.  Divide the amount on line 1 by the amount on line 2. </v>
      </c>
      <c r="AQ62" s="8112"/>
      <c r="AR62" s="8112"/>
      <c r="AS62" s="8112"/>
      <c r="AT62" s="8112"/>
      <c r="AU62" s="8113"/>
      <c r="AV62" s="1443"/>
      <c r="AW62" s="1443"/>
      <c r="AX62" s="1443"/>
      <c r="AY62" s="1443"/>
      <c r="AZ62" s="2208"/>
      <c r="BA62" s="3265">
        <v>140</v>
      </c>
      <c r="BB62" s="3266">
        <v>3.44E-2</v>
      </c>
      <c r="BC62" s="3632"/>
      <c r="BD62" s="3360"/>
      <c r="BE62" s="3361"/>
      <c r="BF62" s="3362"/>
      <c r="BG62" s="3361"/>
      <c r="BH62" s="3361"/>
      <c r="BI62" s="3361"/>
      <c r="BJ62" s="3361"/>
      <c r="BK62" s="3361"/>
      <c r="BL62" s="1443"/>
    </row>
    <row r="63" spans="1:75" ht="14.25" customHeight="1">
      <c r="A63" s="1228"/>
      <c r="B63" s="1948" t="s">
        <v>1382</v>
      </c>
      <c r="C63" s="1949"/>
      <c r="D63" s="8168" t="s">
        <v>1383</v>
      </c>
      <c r="E63" s="8168"/>
      <c r="F63" s="8168"/>
      <c r="G63" s="8118"/>
      <c r="H63" s="8118"/>
      <c r="I63" s="8118"/>
      <c r="J63" s="8118"/>
      <c r="K63" s="8118"/>
      <c r="L63" s="8118"/>
      <c r="M63" s="8118"/>
      <c r="N63" s="8118"/>
      <c r="O63" s="8118"/>
      <c r="P63" s="8118"/>
      <c r="Q63" s="8119"/>
      <c r="R63" s="8120"/>
      <c r="S63" s="8120"/>
      <c r="T63" s="8120"/>
      <c r="U63" s="8121"/>
      <c r="V63" s="8122" t="str">
        <f t="shared" si="0"/>
        <v/>
      </c>
      <c r="W63" s="8122"/>
      <c r="X63" s="8122"/>
      <c r="Y63" s="8122"/>
      <c r="Z63" s="8122"/>
      <c r="AA63" s="8122" t="str">
        <f t="shared" si="1"/>
        <v/>
      </c>
      <c r="AB63" s="8122"/>
      <c r="AC63" s="8122"/>
      <c r="AD63" s="8122"/>
      <c r="AE63" s="8122"/>
      <c r="AF63" s="8169"/>
      <c r="AG63" s="8169"/>
      <c r="AH63" s="8169"/>
      <c r="AI63" s="8169"/>
      <c r="AJ63" s="8170"/>
      <c r="AK63" s="1228"/>
      <c r="AL63" s="1443"/>
      <c r="AM63" s="1443"/>
      <c r="AN63" s="1443"/>
      <c r="AO63" s="1443"/>
      <c r="AP63" s="8114" t="str">
        <f>IF($AU$60,"","Multiply by 100. Do not round. Use no numbers after the decimal point.")</f>
        <v>Multiply by 100. Do not round. Use no numbers after the decimal point.</v>
      </c>
      <c r="AQ63" s="8115"/>
      <c r="AR63" s="8115"/>
      <c r="AS63" s="8115"/>
      <c r="AT63" s="8115"/>
      <c r="AU63" s="8116"/>
      <c r="AV63" s="1443"/>
      <c r="AW63" s="1443"/>
      <c r="AX63" s="1443"/>
      <c r="AY63" s="1443"/>
      <c r="AZ63" s="2208"/>
      <c r="BA63" s="3265">
        <v>141</v>
      </c>
      <c r="BB63" s="3266">
        <v>3.5000000000000003E-2</v>
      </c>
      <c r="BC63" s="3632"/>
      <c r="BD63" s="3360"/>
      <c r="BE63" s="3361"/>
      <c r="BF63" s="3362"/>
      <c r="BG63" s="3361"/>
      <c r="BH63" s="3361"/>
      <c r="BI63" s="3361"/>
      <c r="BJ63" s="3361"/>
      <c r="BK63" s="3361"/>
      <c r="BL63" s="1443"/>
    </row>
    <row r="64" spans="1:75" ht="14.25" customHeight="1" thickBot="1">
      <c r="A64" s="1228"/>
      <c r="B64" s="1948" t="s">
        <v>1384</v>
      </c>
      <c r="C64" s="1949"/>
      <c r="D64" s="8168" t="s">
        <v>1385</v>
      </c>
      <c r="E64" s="8168"/>
      <c r="F64" s="8168"/>
      <c r="G64" s="8118"/>
      <c r="H64" s="8118"/>
      <c r="I64" s="8118"/>
      <c r="J64" s="8118"/>
      <c r="K64" s="8118"/>
      <c r="L64" s="8118"/>
      <c r="M64" s="8118"/>
      <c r="N64" s="8118"/>
      <c r="O64" s="8118"/>
      <c r="P64" s="8118"/>
      <c r="Q64" s="8119"/>
      <c r="R64" s="8120"/>
      <c r="S64" s="8120"/>
      <c r="T64" s="8120"/>
      <c r="U64" s="8121"/>
      <c r="V64" s="8122" t="str">
        <f t="shared" si="0"/>
        <v/>
      </c>
      <c r="W64" s="8122"/>
      <c r="X64" s="8122"/>
      <c r="Y64" s="8122"/>
      <c r="Z64" s="8122"/>
      <c r="AA64" s="8122" t="str">
        <f t="shared" si="1"/>
        <v/>
      </c>
      <c r="AB64" s="8122"/>
      <c r="AC64" s="8122"/>
      <c r="AD64" s="8122"/>
      <c r="AE64" s="8122"/>
      <c r="AF64" s="8169"/>
      <c r="AG64" s="8169"/>
      <c r="AH64" s="8169"/>
      <c r="AI64" s="8169"/>
      <c r="AJ64" s="8170"/>
      <c r="AK64" s="1228"/>
      <c r="AL64" s="1443"/>
      <c r="AM64" s="1443"/>
      <c r="AN64" s="1443"/>
      <c r="AO64" s="1443"/>
      <c r="AP64" s="3356"/>
      <c r="AQ64" s="2140"/>
      <c r="AR64" s="2140"/>
      <c r="AS64" s="1443"/>
      <c r="AT64" s="1443"/>
      <c r="AU64" s="1443"/>
      <c r="AV64" s="1443"/>
      <c r="AW64" s="1443"/>
      <c r="AX64" s="1443"/>
      <c r="AY64" s="1443"/>
      <c r="AZ64" s="2208"/>
      <c r="BA64" s="3265">
        <v>142</v>
      </c>
      <c r="BB64" s="3266">
        <v>3.5499999999999997E-2</v>
      </c>
      <c r="BC64" s="3632"/>
      <c r="BD64" s="3360"/>
      <c r="BE64" s="3361"/>
      <c r="BF64" s="3362"/>
      <c r="BG64" s="3361"/>
      <c r="BH64" s="3361"/>
      <c r="BI64" s="3361"/>
      <c r="BJ64" s="3361"/>
      <c r="BK64" s="3361"/>
      <c r="BL64" s="1443"/>
    </row>
    <row r="65" spans="1:64" ht="14.25" customHeight="1" thickBot="1">
      <c r="A65" s="1228"/>
      <c r="B65" s="1948" t="s">
        <v>1386</v>
      </c>
      <c r="C65" s="1949"/>
      <c r="D65" s="8168" t="s">
        <v>1387</v>
      </c>
      <c r="E65" s="8168"/>
      <c r="F65" s="8168"/>
      <c r="G65" s="8118"/>
      <c r="H65" s="8118"/>
      <c r="I65" s="8118"/>
      <c r="J65" s="8118"/>
      <c r="K65" s="8118"/>
      <c r="L65" s="8118"/>
      <c r="M65" s="8118"/>
      <c r="N65" s="8118"/>
      <c r="O65" s="8118"/>
      <c r="P65" s="8118"/>
      <c r="Q65" s="8119"/>
      <c r="R65" s="8120"/>
      <c r="S65" s="8120"/>
      <c r="T65" s="8120"/>
      <c r="U65" s="8121"/>
      <c r="V65" s="8122" t="str">
        <f t="shared" si="0"/>
        <v/>
      </c>
      <c r="W65" s="8122"/>
      <c r="X65" s="8122"/>
      <c r="Y65" s="8122"/>
      <c r="Z65" s="8122"/>
      <c r="AA65" s="8122" t="str">
        <f t="shared" si="1"/>
        <v/>
      </c>
      <c r="AB65" s="8122"/>
      <c r="AC65" s="8122"/>
      <c r="AD65" s="8122"/>
      <c r="AE65" s="8122"/>
      <c r="AF65" s="8169"/>
      <c r="AG65" s="8169"/>
      <c r="AH65" s="8169"/>
      <c r="AI65" s="8169"/>
      <c r="AJ65" s="8170"/>
      <c r="AK65" s="1228"/>
      <c r="AL65" s="1443"/>
      <c r="AM65" s="1443"/>
      <c r="AN65" s="1443"/>
      <c r="AO65" s="1443"/>
      <c r="AP65" s="1977" t="s">
        <v>1426</v>
      </c>
      <c r="AQ65" s="1978"/>
      <c r="AR65" s="1978"/>
      <c r="AS65" s="1979"/>
      <c r="AT65" s="1443"/>
      <c r="AU65" s="1443"/>
      <c r="AV65" s="1443"/>
      <c r="AW65" s="1443"/>
      <c r="AX65" s="1443"/>
      <c r="AY65" s="1443"/>
      <c r="AZ65" s="2208"/>
      <c r="BA65" s="3265">
        <v>143</v>
      </c>
      <c r="BB65" s="3266">
        <v>3.61E-2</v>
      </c>
      <c r="BC65" s="3632"/>
      <c r="BD65" s="3360"/>
      <c r="BE65" s="3361"/>
      <c r="BF65" s="3362"/>
      <c r="BG65" s="3361"/>
      <c r="BH65" s="3361"/>
      <c r="BI65" s="3361"/>
      <c r="BJ65" s="3361"/>
      <c r="BK65" s="3361"/>
      <c r="BL65" s="1443"/>
    </row>
    <row r="66" spans="1:64" ht="14.25" customHeight="1" thickBot="1">
      <c r="A66" s="1228"/>
      <c r="B66" s="1950" t="s">
        <v>1388</v>
      </c>
      <c r="C66" s="1951"/>
      <c r="D66" s="8187" t="s">
        <v>1389</v>
      </c>
      <c r="E66" s="8187"/>
      <c r="F66" s="8187"/>
      <c r="G66" s="8188"/>
      <c r="H66" s="8188"/>
      <c r="I66" s="8188"/>
      <c r="J66" s="8188"/>
      <c r="K66" s="8188"/>
      <c r="L66" s="8188"/>
      <c r="M66" s="8188"/>
      <c r="N66" s="8188"/>
      <c r="O66" s="8188"/>
      <c r="P66" s="8188"/>
      <c r="Q66" s="8189"/>
      <c r="R66" s="8190"/>
      <c r="S66" s="8190"/>
      <c r="T66" s="8190"/>
      <c r="U66" s="8191"/>
      <c r="V66" s="8192" t="str">
        <f t="shared" si="0"/>
        <v/>
      </c>
      <c r="W66" s="8192"/>
      <c r="X66" s="8192"/>
      <c r="Y66" s="8192"/>
      <c r="Z66" s="8192"/>
      <c r="AA66" s="8192" t="str">
        <f t="shared" si="1"/>
        <v/>
      </c>
      <c r="AB66" s="8192"/>
      <c r="AC66" s="8192"/>
      <c r="AD66" s="8192"/>
      <c r="AE66" s="8192"/>
      <c r="AF66" s="8193"/>
      <c r="AG66" s="8193"/>
      <c r="AH66" s="8193"/>
      <c r="AI66" s="8193"/>
      <c r="AJ66" s="8194"/>
      <c r="AK66" s="1228"/>
      <c r="AL66" s="1443"/>
      <c r="AM66" s="1607" t="s">
        <v>101</v>
      </c>
      <c r="AN66" s="1607"/>
      <c r="AO66" s="1607"/>
      <c r="AP66" s="1975" t="s">
        <v>1429</v>
      </c>
      <c r="AQ66" s="1976" t="s">
        <v>1430</v>
      </c>
      <c r="AR66" s="1976" t="s">
        <v>77</v>
      </c>
      <c r="AS66" s="1980" t="s">
        <v>1427</v>
      </c>
      <c r="AT66" s="1443"/>
      <c r="AU66" s="1443"/>
      <c r="AV66" s="1443"/>
      <c r="AW66" s="1443"/>
      <c r="AX66" s="1443"/>
      <c r="AY66" s="1443"/>
      <c r="AZ66" s="2208"/>
      <c r="BA66" s="3265">
        <v>144</v>
      </c>
      <c r="BB66" s="3266">
        <v>3.6700000000000003E-2</v>
      </c>
      <c r="BC66" s="3632"/>
      <c r="BD66" s="3360"/>
      <c r="BE66" s="3361"/>
      <c r="BF66" s="3362"/>
      <c r="BG66" s="3361"/>
      <c r="BH66" s="3361"/>
      <c r="BI66" s="3361"/>
      <c r="BJ66" s="3361"/>
      <c r="BK66" s="3361"/>
      <c r="BL66" s="1443"/>
    </row>
    <row r="67" spans="1:64" ht="14.25" customHeight="1" thickBot="1">
      <c r="A67" s="1228"/>
      <c r="B67" s="1952" t="s">
        <v>1390</v>
      </c>
      <c r="C67" s="1605"/>
      <c r="D67" s="1607" t="s">
        <v>1572</v>
      </c>
      <c r="E67" s="1443"/>
      <c r="F67" s="1443"/>
      <c r="G67" s="1443"/>
      <c r="H67" s="1443"/>
      <c r="I67" s="1443"/>
      <c r="J67" s="1443"/>
      <c r="K67" s="1443"/>
      <c r="L67" s="1443"/>
      <c r="M67" s="1443"/>
      <c r="N67" s="1443"/>
      <c r="O67" s="1443"/>
      <c r="P67" s="1443"/>
      <c r="Q67" s="1443"/>
      <c r="R67" s="1443"/>
      <c r="S67" s="1443"/>
      <c r="T67" s="1443"/>
      <c r="U67" s="1443"/>
      <c r="V67" s="1443"/>
      <c r="W67" s="1443"/>
      <c r="X67" s="1443"/>
      <c r="Y67" s="1443"/>
      <c r="Z67" s="1443"/>
      <c r="AA67" s="1443"/>
      <c r="AB67" s="1443"/>
      <c r="AC67" s="1443"/>
      <c r="AD67" s="1940">
        <v>24</v>
      </c>
      <c r="AE67" s="5983">
        <f>IF(AM67&lt;&gt;"",ROUND(AM67,0),IF(D31="X",0,IF(AND(AA50&lt;&gt;"",AA50&gt;0),ROUND(AA50,0),ROUND(AL67,0))))</f>
        <v>0</v>
      </c>
      <c r="AF67" s="8186"/>
      <c r="AG67" s="8186"/>
      <c r="AH67" s="8186"/>
      <c r="AI67" s="8186"/>
      <c r="AJ67" s="8186"/>
      <c r="AK67" s="1228"/>
      <c r="AL67" s="1616">
        <f>IF(ISERROR(ROUND(SUM(AA55:AA66),0)),"",ROUND(SUM(AA55:AA66),0))</f>
        <v>0</v>
      </c>
      <c r="AM67" s="3353"/>
      <c r="AN67" s="3354"/>
      <c r="AO67" s="3354"/>
      <c r="AP67" s="1974">
        <v>0</v>
      </c>
      <c r="AQ67" s="1981">
        <v>200</v>
      </c>
      <c r="AR67" s="2337">
        <v>300</v>
      </c>
      <c r="AS67" s="2338">
        <v>600</v>
      </c>
      <c r="AT67" s="1443"/>
      <c r="AU67" s="1443"/>
      <c r="AV67" s="1443"/>
      <c r="AW67" s="1443"/>
      <c r="AX67" s="1443"/>
      <c r="AY67" s="1443"/>
      <c r="AZ67" s="2208"/>
      <c r="BA67" s="3265">
        <v>145</v>
      </c>
      <c r="BB67" s="3266">
        <v>3.73E-2</v>
      </c>
      <c r="BC67" s="3632"/>
      <c r="BD67" s="3360"/>
      <c r="BE67" s="3361"/>
      <c r="BF67" s="3362"/>
      <c r="BG67" s="3361"/>
      <c r="BH67" s="3361"/>
      <c r="BI67" s="3361"/>
      <c r="BJ67" s="3361"/>
      <c r="BK67" s="3361"/>
      <c r="BL67" s="1443"/>
    </row>
    <row r="68" spans="1:64" ht="15.75" thickBot="1">
      <c r="A68" s="1228"/>
      <c r="B68" s="1942" t="s">
        <v>1391</v>
      </c>
      <c r="C68" s="1443"/>
      <c r="D68" s="1607" t="s">
        <v>1573</v>
      </c>
      <c r="E68" s="1443"/>
      <c r="F68" s="1443"/>
      <c r="G68" s="1443"/>
      <c r="H68" s="1443"/>
      <c r="I68" s="1443"/>
      <c r="J68" s="1443"/>
      <c r="K68" s="1443"/>
      <c r="L68" s="1443"/>
      <c r="M68" s="1443"/>
      <c r="N68" s="1443"/>
      <c r="O68" s="1443"/>
      <c r="P68" s="1443"/>
      <c r="Q68" s="1443"/>
      <c r="R68" s="1443"/>
      <c r="S68" s="1443"/>
      <c r="T68" s="1443"/>
      <c r="U68" s="1443"/>
      <c r="V68" s="1443"/>
      <c r="W68" s="1443"/>
      <c r="X68" s="1443"/>
      <c r="Y68" s="1443"/>
      <c r="Z68" s="1443"/>
      <c r="AA68" s="1443"/>
      <c r="AB68" s="1443"/>
      <c r="AC68" s="1443"/>
      <c r="AD68" s="1940">
        <v>25</v>
      </c>
      <c r="AE68" s="8108">
        <f>IF(AM68&lt;&gt;"",ROUND(AM68,0),IF(D40&lt;&gt;"","",IF(AND(AF50&lt;&gt;"",AF50&gt;0),ROUND(AF50,0),ROUND(AL68,0))))</f>
        <v>0</v>
      </c>
      <c r="AF68" s="8109"/>
      <c r="AG68" s="8109"/>
      <c r="AH68" s="8109"/>
      <c r="AI68" s="8109"/>
      <c r="AJ68" s="8109"/>
      <c r="AK68" s="1228"/>
      <c r="AL68" s="1616">
        <f>IF(ISERROR(ROUND(SUM(AF55:AF66),0)),"",ROUND(SUM(AF55:AF66),0))</f>
        <v>0</v>
      </c>
      <c r="AM68" s="3353"/>
      <c r="AN68" s="3354"/>
      <c r="AO68" s="3354"/>
      <c r="AP68" s="1974">
        <v>200</v>
      </c>
      <c r="AQ68" s="1981">
        <v>300</v>
      </c>
      <c r="AR68" s="2337">
        <v>775</v>
      </c>
      <c r="AS68" s="2338">
        <v>1550</v>
      </c>
      <c r="AT68" s="1443"/>
      <c r="AU68" s="1443"/>
      <c r="AV68" s="1443"/>
      <c r="AW68" s="1443"/>
      <c r="AX68" s="1443"/>
      <c r="AY68" s="1443"/>
      <c r="AZ68" s="2208"/>
      <c r="BA68" s="3265">
        <v>146</v>
      </c>
      <c r="BB68" s="3266">
        <v>3.7900000000000003E-2</v>
      </c>
      <c r="BC68" s="3632"/>
      <c r="BD68" s="3360"/>
      <c r="BE68" s="3361"/>
      <c r="BF68" s="3362"/>
      <c r="BG68" s="3361"/>
      <c r="BH68" s="3361"/>
      <c r="BI68" s="3361"/>
      <c r="BJ68" s="3361"/>
      <c r="BK68" s="3361"/>
      <c r="BL68" s="1443"/>
    </row>
    <row r="69" spans="1:64" ht="15">
      <c r="A69" s="1228"/>
      <c r="B69" s="1942" t="s">
        <v>1392</v>
      </c>
      <c r="C69" s="1443"/>
      <c r="D69" s="2753" t="s">
        <v>3817</v>
      </c>
      <c r="E69" s="1815"/>
      <c r="F69" s="1815"/>
      <c r="G69" s="1815"/>
      <c r="H69" s="1815"/>
      <c r="I69" s="1815"/>
      <c r="J69" s="1815"/>
      <c r="K69" s="1815"/>
      <c r="L69" s="1815"/>
      <c r="M69" s="1815"/>
      <c r="N69" s="1815"/>
      <c r="O69" s="1815"/>
      <c r="P69" s="1815"/>
      <c r="Q69" s="1815"/>
      <c r="R69" s="1815"/>
      <c r="S69" s="1815"/>
      <c r="T69" s="1815"/>
      <c r="U69" s="1815"/>
      <c r="V69" s="1815"/>
      <c r="W69" s="1815"/>
      <c r="X69" s="1815"/>
      <c r="Y69" s="1815"/>
      <c r="Z69" s="1815"/>
      <c r="AA69" s="1815"/>
      <c r="AB69" s="1815"/>
      <c r="AC69" s="1855"/>
      <c r="AD69" s="1941"/>
      <c r="AE69" s="1443"/>
      <c r="AF69" s="1443"/>
      <c r="AG69" s="1443"/>
      <c r="AH69" s="1443"/>
      <c r="AI69" s="1443"/>
      <c r="AJ69" s="1443"/>
      <c r="AK69" s="1228"/>
      <c r="AL69" s="1443"/>
      <c r="AM69" s="1443"/>
      <c r="AN69" s="1443"/>
      <c r="AO69" s="1443"/>
      <c r="AP69" s="1974">
        <v>300</v>
      </c>
      <c r="AQ69" s="1981">
        <v>400</v>
      </c>
      <c r="AR69" s="2337">
        <v>1300</v>
      </c>
      <c r="AS69" s="2338">
        <v>2600</v>
      </c>
      <c r="AT69" s="1443"/>
      <c r="AU69" s="1443"/>
      <c r="AV69" s="1443"/>
      <c r="AW69" s="1443"/>
      <c r="AX69" s="1443"/>
      <c r="AY69" s="1443"/>
      <c r="AZ69" s="2208"/>
      <c r="BA69" s="3265">
        <v>147</v>
      </c>
      <c r="BB69" s="3266">
        <v>3.85E-2</v>
      </c>
      <c r="BC69" s="3632"/>
      <c r="BD69" s="3360"/>
      <c r="BE69" s="3361"/>
      <c r="BF69" s="3362"/>
      <c r="BG69" s="3361"/>
      <c r="BH69" s="3361"/>
      <c r="BI69" s="3361"/>
      <c r="BJ69" s="3361"/>
      <c r="BK69" s="3361"/>
      <c r="BL69" s="1443"/>
    </row>
    <row r="70" spans="1:64" ht="13.5" thickBot="1">
      <c r="A70" s="1228"/>
      <c r="B70" s="1443"/>
      <c r="C70" s="1443"/>
      <c r="D70" s="2753" t="s">
        <v>3818</v>
      </c>
      <c r="E70" s="1815"/>
      <c r="F70" s="1815"/>
      <c r="G70" s="1815"/>
      <c r="H70" s="1815"/>
      <c r="I70" s="1815"/>
      <c r="J70" s="1815"/>
      <c r="K70" s="1815"/>
      <c r="L70" s="1815"/>
      <c r="M70" s="1815"/>
      <c r="N70" s="1815"/>
      <c r="O70" s="1815"/>
      <c r="P70" s="1815"/>
      <c r="Q70" s="1815"/>
      <c r="R70" s="1815"/>
      <c r="S70" s="1815"/>
      <c r="T70" s="1815"/>
      <c r="U70" s="1815"/>
      <c r="V70" s="1815"/>
      <c r="W70" s="1815"/>
      <c r="X70" s="1815"/>
      <c r="Y70" s="1815"/>
      <c r="Z70" s="1815"/>
      <c r="AA70" s="4819" t="s">
        <v>3819</v>
      </c>
      <c r="AB70" s="8195" t="b">
        <f>AND(AE67&gt;0,AE68&gt;0,AE67=AE68)</f>
        <v>0</v>
      </c>
      <c r="AC70" s="8196"/>
      <c r="AD70" s="1941"/>
      <c r="AE70" s="8110" t="b">
        <f>IF(AE67&gt;AE68,TRUE,FALSE)</f>
        <v>0</v>
      </c>
      <c r="AF70" s="5738"/>
      <c r="AG70" s="5738"/>
      <c r="AH70" s="5738"/>
      <c r="AI70" s="5738"/>
      <c r="AJ70" s="5738"/>
      <c r="AK70" s="1228"/>
      <c r="AL70" s="1443"/>
      <c r="AM70" s="1443"/>
      <c r="AN70" s="1443"/>
      <c r="AO70" s="1443"/>
      <c r="AP70" s="8093" t="s">
        <v>2032</v>
      </c>
      <c r="AQ70" s="8094"/>
      <c r="AR70" s="8095"/>
      <c r="AS70" s="8096"/>
      <c r="AT70" s="1443"/>
      <c r="AU70" s="1443"/>
      <c r="AV70" s="1443"/>
      <c r="AW70" s="1443"/>
      <c r="AX70" s="1443"/>
      <c r="AY70" s="1443"/>
      <c r="AZ70" s="2208"/>
      <c r="BA70" s="3265">
        <v>148</v>
      </c>
      <c r="BB70" s="3266">
        <v>3.9100000000000003E-2</v>
      </c>
      <c r="BC70" s="3632"/>
      <c r="BD70" s="3360"/>
      <c r="BE70" s="3361"/>
      <c r="BF70" s="3362"/>
      <c r="BG70" s="3361"/>
      <c r="BH70" s="3361"/>
      <c r="BI70" s="3361"/>
      <c r="BJ70" s="3361"/>
      <c r="BK70" s="3361"/>
      <c r="BL70" s="1443"/>
    </row>
    <row r="71" spans="1:64" ht="13.5" thickBot="1">
      <c r="A71" s="1228"/>
      <c r="B71" s="1936"/>
      <c r="C71" s="1936"/>
      <c r="D71" s="3400" t="s">
        <v>2081</v>
      </c>
      <c r="E71" s="2112"/>
      <c r="F71" s="2112"/>
      <c r="G71" s="2112"/>
      <c r="H71" s="2112"/>
      <c r="I71" s="2112"/>
      <c r="J71" s="2112"/>
      <c r="K71" s="2112"/>
      <c r="L71" s="2112"/>
      <c r="M71" s="2112"/>
      <c r="N71" s="2112"/>
      <c r="O71" s="2112"/>
      <c r="P71" s="2112"/>
      <c r="Q71" s="2112"/>
      <c r="R71" s="2112"/>
      <c r="S71" s="2112"/>
      <c r="T71" s="2112"/>
      <c r="U71" s="2112"/>
      <c r="V71" s="2112"/>
      <c r="W71" s="2112"/>
      <c r="X71" s="2112"/>
      <c r="Y71" s="2112"/>
      <c r="Z71" s="2112"/>
      <c r="AA71" s="2112"/>
      <c r="AB71" s="2112"/>
      <c r="AC71" s="4820" t="s">
        <v>981</v>
      </c>
      <c r="AD71" s="1940">
        <v>26</v>
      </c>
      <c r="AE71" s="5983" t="str">
        <f>IF(AM71&lt;&gt;"",AM71,IF(OR(AE17=0,D31&lt;&gt;"",AE68&gt;AE67),"",IF(AB70,0,IF(AE70,SUM(AE67,-AE68),""))))</f>
        <v/>
      </c>
      <c r="AF71" s="8134"/>
      <c r="AG71" s="8134"/>
      <c r="AH71" s="8134"/>
      <c r="AI71" s="8134"/>
      <c r="AJ71" s="8134"/>
      <c r="AK71" s="1228"/>
      <c r="AL71" s="1443"/>
      <c r="AM71" s="3353"/>
      <c r="AN71" s="3354"/>
      <c r="AO71" s="3355"/>
      <c r="AP71" s="3357"/>
      <c r="AQ71" s="3357"/>
      <c r="AR71" s="1616" t="str">
        <f>IF(OR(AE17=0,AE27=400,AE27=401),"",LOOKUP($AE$27,$AP$67:$AP$69,AR67:AR69))</f>
        <v/>
      </c>
      <c r="AS71" s="1616" t="str">
        <f>IF(OR(AE17=0,AE27=400,AE27=401),"",LOOKUP($AE$27,$AP$67:$AP$69,AS67:AS69))</f>
        <v/>
      </c>
      <c r="AT71" s="1443"/>
      <c r="AU71" s="1443"/>
      <c r="AV71" s="1443"/>
      <c r="AW71" s="1443"/>
      <c r="AX71" s="1443"/>
      <c r="AY71" s="1443"/>
      <c r="AZ71" s="2208"/>
      <c r="BA71" s="3265">
        <v>149</v>
      </c>
      <c r="BB71" s="3266">
        <v>3.9699999999999999E-2</v>
      </c>
      <c r="BC71" s="3632"/>
      <c r="BD71" s="3360"/>
      <c r="BE71" s="3361"/>
      <c r="BF71" s="3362"/>
      <c r="BG71" s="3361"/>
      <c r="BH71" s="3361"/>
      <c r="BI71" s="3361"/>
      <c r="BJ71" s="3361"/>
      <c r="BK71" s="3361"/>
      <c r="BL71" s="1443"/>
    </row>
    <row r="72" spans="1:64" ht="15" customHeight="1" thickBot="1">
      <c r="A72" s="1228"/>
      <c r="B72" s="2124" t="s">
        <v>363</v>
      </c>
      <c r="C72" s="2125"/>
      <c r="D72" s="1954" t="s">
        <v>1574</v>
      </c>
      <c r="E72" s="1936"/>
      <c r="F72" s="1936"/>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6"/>
      <c r="AJ72" s="1936"/>
      <c r="AK72" s="1228"/>
      <c r="AL72" s="1443"/>
      <c r="AM72" s="1443"/>
      <c r="AN72" s="1443"/>
      <c r="AO72" s="1443"/>
      <c r="AP72" s="3357"/>
      <c r="AQ72" s="3357"/>
      <c r="AR72" s="1443"/>
      <c r="AS72" s="1443"/>
      <c r="AT72" s="1443"/>
      <c r="AU72" s="1443"/>
      <c r="AV72" s="1443"/>
      <c r="AW72" s="1443"/>
      <c r="AX72" s="1443"/>
      <c r="AY72" s="1443"/>
      <c r="AZ72" s="2208"/>
      <c r="BA72" s="3265">
        <v>150</v>
      </c>
      <c r="BB72" s="3266">
        <v>4.0300000000000002E-2</v>
      </c>
      <c r="BC72" s="3634"/>
      <c r="BD72" s="3360"/>
      <c r="BE72" s="3361"/>
      <c r="BF72" s="3362"/>
      <c r="BG72" s="3361"/>
      <c r="BH72" s="3361"/>
      <c r="BI72" s="3361"/>
      <c r="BJ72" s="3361"/>
      <c r="BK72" s="3361"/>
      <c r="BL72" s="1443"/>
    </row>
    <row r="73" spans="1:64" ht="18" customHeight="1" thickBot="1">
      <c r="A73" s="1228"/>
      <c r="B73" s="1942" t="s">
        <v>1428</v>
      </c>
      <c r="C73" s="1607" t="s">
        <v>1575</v>
      </c>
      <c r="D73" s="1443"/>
      <c r="E73" s="1443"/>
      <c r="F73" s="1443"/>
      <c r="G73" s="1443"/>
      <c r="H73" s="1443"/>
      <c r="I73" s="1443"/>
      <c r="J73" s="1443"/>
      <c r="K73" s="1443"/>
      <c r="L73" s="1443"/>
      <c r="M73" s="1443"/>
      <c r="N73" s="1443"/>
      <c r="O73" s="1443"/>
      <c r="P73" s="1443"/>
      <c r="Q73" s="1443"/>
      <c r="R73" s="1443"/>
      <c r="S73" s="1443"/>
      <c r="T73" s="1443"/>
      <c r="U73" s="1443"/>
      <c r="V73" s="1443"/>
      <c r="W73" s="1443"/>
      <c r="X73" s="1443"/>
      <c r="Y73" s="1443"/>
      <c r="Z73" s="1443"/>
      <c r="AA73" s="1443"/>
      <c r="AB73" s="1443"/>
      <c r="AC73" s="1443"/>
      <c r="AD73" s="1940">
        <v>27</v>
      </c>
      <c r="AE73" s="8108" t="str">
        <f>IF(AM73&lt;&gt;"",AM73,IF(OR(AE67=AE68,AE70),"",IF(AE68&gt;AE67,SUM(AE68,-AE67),0)))</f>
        <v/>
      </c>
      <c r="AF73" s="8109"/>
      <c r="AG73" s="8109"/>
      <c r="AH73" s="8109"/>
      <c r="AI73" s="8109"/>
      <c r="AJ73" s="8109"/>
      <c r="AK73" s="1228"/>
      <c r="AL73" s="1443"/>
      <c r="AM73" s="3353"/>
      <c r="AN73" s="3354"/>
      <c r="AO73" s="3355"/>
      <c r="AP73" s="3262" t="s">
        <v>1585</v>
      </c>
      <c r="AQ73" s="3263"/>
      <c r="AR73" s="3263"/>
      <c r="AS73" s="3264"/>
      <c r="AT73" s="1443"/>
      <c r="AU73" s="1443"/>
      <c r="AV73" s="1443"/>
      <c r="AW73" s="1443"/>
      <c r="AX73" s="1443"/>
      <c r="AY73" s="1443"/>
      <c r="AZ73" s="2208"/>
      <c r="BA73" s="3265">
        <v>151</v>
      </c>
      <c r="BB73" s="3266">
        <v>4.0800000000000003E-2</v>
      </c>
      <c r="BC73" s="3632"/>
      <c r="BD73" s="3360"/>
      <c r="BE73" s="3361"/>
      <c r="BF73" s="3362"/>
      <c r="BG73" s="3361"/>
      <c r="BH73" s="3361"/>
      <c r="BI73" s="3361"/>
      <c r="BJ73" s="3361"/>
      <c r="BK73" s="3361"/>
      <c r="BL73" s="1443"/>
    </row>
    <row r="74" spans="1:64" ht="15.75" customHeight="1" thickBot="1">
      <c r="A74" s="1228"/>
      <c r="B74" s="1942" t="s">
        <v>1393</v>
      </c>
      <c r="C74" s="1607" t="s">
        <v>1576</v>
      </c>
      <c r="D74" s="1443"/>
      <c r="E74" s="1443"/>
      <c r="F74" s="1443"/>
      <c r="G74" s="1443"/>
      <c r="H74" s="1443"/>
      <c r="I74" s="1443"/>
      <c r="J74" s="1443"/>
      <c r="K74" s="1443"/>
      <c r="L74" s="1443"/>
      <c r="M74" s="1443"/>
      <c r="N74" s="1443"/>
      <c r="O74" s="1443"/>
      <c r="P74" s="1443"/>
      <c r="Q74" s="1443"/>
      <c r="R74" s="1443"/>
      <c r="S74" s="1443"/>
      <c r="T74" s="1443"/>
      <c r="U74" s="1443"/>
      <c r="V74" s="1443"/>
      <c r="W74" s="1443"/>
      <c r="X74" s="1443"/>
      <c r="Y74" s="1443"/>
      <c r="Z74" s="1443"/>
      <c r="AA74" s="1443"/>
      <c r="AB74" s="1443"/>
      <c r="AC74" s="1943" t="s">
        <v>635</v>
      </c>
      <c r="AD74" s="1940">
        <v>28</v>
      </c>
      <c r="AE74" s="5983" t="str">
        <f>IF(AM74&lt;&gt;"",AM74,IF(OR(AND(AE67=0,AE68=0),AE70,AB70),"",IF(File_Single&lt;&gt;"",AR71,AS71)))</f>
        <v/>
      </c>
      <c r="AF74" s="8134"/>
      <c r="AG74" s="8134"/>
      <c r="AH74" s="8134"/>
      <c r="AI74" s="8134"/>
      <c r="AJ74" s="8134"/>
      <c r="AK74" s="1228"/>
      <c r="AL74" s="1443"/>
      <c r="AM74" s="3353"/>
      <c r="AN74" s="3354"/>
      <c r="AO74" s="3355"/>
      <c r="AP74" s="3259"/>
      <c r="AQ74" s="3260" t="s">
        <v>1583</v>
      </c>
      <c r="AR74" s="3260" t="s">
        <v>1362</v>
      </c>
      <c r="AS74" s="3261" t="s">
        <v>1363</v>
      </c>
      <c r="AT74" s="1443"/>
      <c r="AU74" s="1443"/>
      <c r="AV74" s="1443"/>
      <c r="AW74" s="1443"/>
      <c r="AX74" s="1443"/>
      <c r="AY74" s="1443"/>
      <c r="AZ74" s="2208"/>
      <c r="BA74" s="3265">
        <v>152</v>
      </c>
      <c r="BB74" s="3266">
        <v>4.1200000000000001E-2</v>
      </c>
      <c r="BC74" s="3632"/>
      <c r="BD74" s="3360"/>
      <c r="BE74" s="3361"/>
      <c r="BF74" s="3362"/>
      <c r="BG74" s="3361"/>
      <c r="BH74" s="3361"/>
      <c r="BI74" s="3361"/>
      <c r="BJ74" s="3361"/>
      <c r="BK74" s="3361"/>
      <c r="BL74" s="1443"/>
    </row>
    <row r="75" spans="1:64" ht="15.75" thickBot="1">
      <c r="A75" s="1228"/>
      <c r="B75" s="1942" t="s">
        <v>1394</v>
      </c>
      <c r="C75" s="1607" t="s">
        <v>4522</v>
      </c>
      <c r="D75" s="1443"/>
      <c r="E75" s="1443"/>
      <c r="F75" s="1443"/>
      <c r="G75" s="1443"/>
      <c r="H75" s="1443"/>
      <c r="I75" s="1443"/>
      <c r="J75" s="1443"/>
      <c r="K75" s="1443"/>
      <c r="L75" s="1443"/>
      <c r="M75" s="1443"/>
      <c r="N75" s="1443"/>
      <c r="O75" s="1443"/>
      <c r="P75" s="1443"/>
      <c r="Q75" s="1443"/>
      <c r="R75" s="1443"/>
      <c r="S75" s="1443"/>
      <c r="T75" s="1443"/>
      <c r="U75" s="1443"/>
      <c r="V75" s="1443"/>
      <c r="W75" s="1443"/>
      <c r="X75" s="1443"/>
      <c r="Y75" s="1443"/>
      <c r="Z75" s="1443"/>
      <c r="AA75" s="1443"/>
      <c r="AB75" s="1443"/>
      <c r="AC75" s="1443"/>
      <c r="AD75" s="1941"/>
      <c r="AE75" s="1443"/>
      <c r="AF75" s="1443"/>
      <c r="AG75" s="1443"/>
      <c r="AH75" s="1443"/>
      <c r="AI75" s="1443"/>
      <c r="AJ75" s="1443"/>
      <c r="AK75" s="1228"/>
      <c r="AL75" s="2379"/>
      <c r="AM75" s="2379"/>
      <c r="AN75" s="2379"/>
      <c r="AO75" s="2379"/>
      <c r="AP75" s="3255">
        <v>0</v>
      </c>
      <c r="AQ75" s="3256"/>
      <c r="AR75" s="3256"/>
      <c r="AS75" s="3257"/>
      <c r="AT75" s="1443"/>
      <c r="AU75" s="1443"/>
      <c r="AV75" s="1443"/>
      <c r="AW75" s="1443"/>
      <c r="AX75" s="1443"/>
      <c r="AY75" s="1443"/>
      <c r="AZ75" s="2208"/>
      <c r="BA75" s="3265">
        <v>153</v>
      </c>
      <c r="BB75" s="3266">
        <v>4.1700000000000001E-2</v>
      </c>
      <c r="BC75" s="3632"/>
      <c r="BD75" s="3360"/>
      <c r="BE75" s="3361"/>
      <c r="BF75" s="3362"/>
      <c r="BG75" s="3361"/>
      <c r="BH75" s="3361"/>
      <c r="BI75" s="3361"/>
      <c r="BJ75" s="3361"/>
      <c r="BK75" s="3361"/>
      <c r="BL75" s="1443"/>
    </row>
    <row r="76" spans="1:64" ht="13.5" thickBot="1">
      <c r="A76" s="1228"/>
      <c r="B76" s="1443"/>
      <c r="C76" s="1607" t="s">
        <v>3422</v>
      </c>
      <c r="D76" s="1443"/>
      <c r="E76" s="1443"/>
      <c r="F76" s="1443"/>
      <c r="G76" s="1443"/>
      <c r="H76" s="1443"/>
      <c r="I76" s="1443"/>
      <c r="J76" s="1443"/>
      <c r="K76" s="1443"/>
      <c r="L76" s="1443"/>
      <c r="M76" s="1443"/>
      <c r="N76" s="1443"/>
      <c r="O76" s="1443"/>
      <c r="P76" s="1443"/>
      <c r="Q76" s="1443"/>
      <c r="R76" s="1443"/>
      <c r="S76" s="1443"/>
      <c r="T76" s="1443"/>
      <c r="U76" s="1443"/>
      <c r="V76" s="1443"/>
      <c r="W76" s="1443"/>
      <c r="X76" s="1443"/>
      <c r="Y76" s="1443"/>
      <c r="Z76" s="1443"/>
      <c r="AA76" s="1443"/>
      <c r="AB76" s="1443"/>
      <c r="AC76" s="1943" t="s">
        <v>1342</v>
      </c>
      <c r="AD76" s="3731">
        <v>29</v>
      </c>
      <c r="AE76" s="8182" t="str">
        <f>IF(AM76&lt;&gt;"",AM76,IF(OR(AE67=AE68,AE70),"",MIN(AE73,AE74)))</f>
        <v/>
      </c>
      <c r="AF76" s="8183"/>
      <c r="AG76" s="8183"/>
      <c r="AH76" s="8183"/>
      <c r="AI76" s="8183"/>
      <c r="AJ76" s="8183"/>
      <c r="AK76" s="1228"/>
      <c r="AL76" s="1443"/>
      <c r="AM76" s="3353"/>
      <c r="AN76" s="3354"/>
      <c r="AO76" s="1443"/>
      <c r="AP76" s="3255">
        <v>1</v>
      </c>
      <c r="AQ76" s="4828">
        <v>12060</v>
      </c>
      <c r="AR76" s="4828">
        <v>15060</v>
      </c>
      <c r="AS76" s="4829">
        <v>13860</v>
      </c>
      <c r="AT76" s="3359"/>
      <c r="AU76" s="1443"/>
      <c r="AV76" s="1443"/>
      <c r="AW76" s="1443"/>
      <c r="AX76" s="1443"/>
      <c r="AY76" s="1443"/>
      <c r="AZ76" s="2208"/>
      <c r="BA76" s="3265">
        <v>154</v>
      </c>
      <c r="BB76" s="3266">
        <v>4.2099999999999999E-2</v>
      </c>
      <c r="BC76" s="3632"/>
      <c r="BD76" s="3360"/>
      <c r="BE76" s="3361"/>
      <c r="BF76" s="3362"/>
      <c r="BG76" s="3361"/>
      <c r="BH76" s="3361"/>
      <c r="BI76" s="3361"/>
      <c r="BJ76" s="3361"/>
      <c r="BK76" s="3361"/>
      <c r="BL76" s="1443"/>
    </row>
    <row r="77" spans="1:64" ht="15.75">
      <c r="A77" s="4824"/>
      <c r="B77" s="4821" t="s">
        <v>564</v>
      </c>
      <c r="C77" s="1109"/>
      <c r="D77" s="1109"/>
      <c r="E77" s="1109"/>
      <c r="F77" s="1109"/>
      <c r="G77" s="1109"/>
      <c r="H77" s="1109"/>
      <c r="I77" s="1109"/>
      <c r="J77" s="1109"/>
      <c r="K77" s="1109"/>
      <c r="L77" s="1109"/>
      <c r="M77" s="1109"/>
      <c r="N77" s="1109"/>
      <c r="O77" s="1109"/>
      <c r="P77" s="1109"/>
      <c r="Q77" s="33"/>
      <c r="R77" s="33"/>
      <c r="S77" s="33"/>
      <c r="T77" s="33"/>
      <c r="U77" s="4822"/>
      <c r="V77" s="33"/>
      <c r="W77" s="4822" t="s">
        <v>1395</v>
      </c>
      <c r="X77" s="33"/>
      <c r="Y77" s="33"/>
      <c r="Z77" s="33"/>
      <c r="AA77" s="33"/>
      <c r="AB77" s="33"/>
      <c r="AC77" s="33"/>
      <c r="AD77" s="33"/>
      <c r="AE77" s="33"/>
      <c r="AF77" s="33"/>
      <c r="AG77" s="33"/>
      <c r="AH77" s="4823" t="s">
        <v>1396</v>
      </c>
      <c r="AI77" s="33"/>
      <c r="AJ77" s="4823" t="str">
        <f>"("&amp;TaxYear&amp;")"</f>
        <v>(2018)</v>
      </c>
      <c r="AK77" s="1228"/>
      <c r="AL77" s="1443"/>
      <c r="AM77" s="1443"/>
      <c r="AN77" s="1443"/>
      <c r="AO77" s="1443"/>
      <c r="AP77" s="3255">
        <v>2</v>
      </c>
      <c r="AQ77" s="4828">
        <v>16240</v>
      </c>
      <c r="AR77" s="4828">
        <v>20290</v>
      </c>
      <c r="AS77" s="4829">
        <v>18670</v>
      </c>
      <c r="AT77" s="3359"/>
      <c r="AU77" s="1443"/>
      <c r="AV77" s="1443"/>
      <c r="AW77" s="1443"/>
      <c r="AX77" s="1443"/>
      <c r="AY77" s="1443"/>
      <c r="AZ77" s="2208"/>
      <c r="BA77" s="3265">
        <v>155</v>
      </c>
      <c r="BB77" s="3266">
        <v>4.2599999999999999E-2</v>
      </c>
      <c r="BC77" s="3632"/>
      <c r="BD77" s="3360"/>
      <c r="BE77" s="3361"/>
      <c r="BF77" s="3362"/>
      <c r="BG77" s="3361"/>
      <c r="BH77" s="3361"/>
      <c r="BI77" s="3361"/>
      <c r="BJ77" s="3361"/>
      <c r="BK77" s="3361"/>
      <c r="BL77" s="1443"/>
    </row>
    <row r="78" spans="1:64" ht="18" customHeight="1" thickBot="1">
      <c r="A78" s="1228"/>
      <c r="B78" s="1703" t="str">
        <f>"Form 8962 ("&amp;TaxYear&amp;")"</f>
        <v>Form 8962 (2018)</v>
      </c>
      <c r="C78" s="1703"/>
      <c r="D78" s="1703"/>
      <c r="E78" s="1703"/>
      <c r="F78" s="1703"/>
      <c r="G78" s="1703"/>
      <c r="H78" s="1703"/>
      <c r="I78" s="1703"/>
      <c r="J78" s="1703"/>
      <c r="K78" s="1703"/>
      <c r="L78" s="1703"/>
      <c r="M78" s="1703"/>
      <c r="N78" s="1703"/>
      <c r="O78" s="1703"/>
      <c r="P78" s="1703"/>
      <c r="Q78" s="1703"/>
      <c r="R78" s="1703"/>
      <c r="S78" s="1703"/>
      <c r="T78" s="1703"/>
      <c r="U78" s="1703"/>
      <c r="V78" s="1703"/>
      <c r="W78" s="1703"/>
      <c r="X78" s="1703"/>
      <c r="Y78" s="1703"/>
      <c r="Z78" s="1703"/>
      <c r="AA78" s="1703"/>
      <c r="AB78" s="1703"/>
      <c r="AC78" s="1703"/>
      <c r="AD78" s="1703"/>
      <c r="AE78" s="1703"/>
      <c r="AF78" s="1703"/>
      <c r="AG78" s="1703"/>
      <c r="AH78" s="1703"/>
      <c r="AI78" s="2245" t="s">
        <v>225</v>
      </c>
      <c r="AJ78" s="2246">
        <v>2</v>
      </c>
      <c r="AK78" s="1228"/>
      <c r="AL78" s="1443"/>
      <c r="AM78" s="1443"/>
      <c r="AN78" s="1443"/>
      <c r="AO78" s="1443"/>
      <c r="AP78" s="3255">
        <v>3</v>
      </c>
      <c r="AQ78" s="4828">
        <v>20420</v>
      </c>
      <c r="AR78" s="4828">
        <v>25520</v>
      </c>
      <c r="AS78" s="4829">
        <v>23480</v>
      </c>
      <c r="AT78" s="3359"/>
      <c r="AU78" s="1443"/>
      <c r="AV78" s="1443"/>
      <c r="AW78" s="1443"/>
      <c r="AX78" s="1443"/>
      <c r="AY78" s="1443"/>
      <c r="AZ78" s="2208"/>
      <c r="BA78" s="3265">
        <v>156</v>
      </c>
      <c r="BB78" s="3266">
        <v>4.3099999999999999E-2</v>
      </c>
      <c r="BC78" s="3632"/>
      <c r="BD78" s="3360"/>
      <c r="BE78" s="3361"/>
      <c r="BF78" s="3362"/>
      <c r="BG78" s="3361"/>
      <c r="BH78" s="3361"/>
      <c r="BI78" s="3361"/>
      <c r="BJ78" s="3361"/>
      <c r="BK78" s="3361"/>
      <c r="BL78" s="1443"/>
    </row>
    <row r="79" spans="1:64" ht="18" customHeight="1" thickTop="1">
      <c r="A79" s="1228"/>
      <c r="B79" s="2124" t="s">
        <v>546</v>
      </c>
      <c r="C79" s="2125"/>
      <c r="D79" s="1954" t="s">
        <v>2082</v>
      </c>
      <c r="E79" s="1936"/>
      <c r="F79" s="1936"/>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6"/>
      <c r="AJ79" s="1936"/>
      <c r="AK79" s="1228"/>
      <c r="AL79" s="1443"/>
      <c r="AM79" s="1443"/>
      <c r="AN79" s="1443"/>
      <c r="AO79" s="1443"/>
      <c r="AP79" s="3255">
        <v>4</v>
      </c>
      <c r="AQ79" s="4828">
        <v>24600</v>
      </c>
      <c r="AR79" s="4828">
        <v>30750</v>
      </c>
      <c r="AS79" s="4829">
        <v>28290</v>
      </c>
      <c r="AT79" s="3359"/>
      <c r="AU79" s="1443"/>
      <c r="AV79" s="1443"/>
      <c r="AW79" s="1443"/>
      <c r="AX79" s="1443"/>
      <c r="AY79" s="1443"/>
      <c r="AZ79" s="2208"/>
      <c r="BA79" s="3265">
        <v>157</v>
      </c>
      <c r="BB79" s="3266">
        <v>4.3499999999999997E-2</v>
      </c>
      <c r="BC79" s="3632"/>
      <c r="BD79" s="3360"/>
      <c r="BE79" s="3361"/>
      <c r="BF79" s="3362"/>
      <c r="BG79" s="3361"/>
      <c r="BH79" s="3361"/>
      <c r="BI79" s="3361"/>
      <c r="BJ79" s="3361"/>
      <c r="BK79" s="3361"/>
      <c r="BL79" s="1443"/>
    </row>
    <row r="80" spans="1:64" ht="17.25" customHeight="1">
      <c r="A80" s="1228"/>
      <c r="B80" s="3271" t="s">
        <v>1398</v>
      </c>
      <c r="C80" s="1937"/>
      <c r="D80" s="1937"/>
      <c r="E80" s="1937"/>
      <c r="F80" s="1937"/>
      <c r="G80" s="1937"/>
      <c r="H80" s="1937"/>
      <c r="I80" s="1937"/>
      <c r="J80" s="1937"/>
      <c r="K80" s="1937"/>
      <c r="L80" s="1937"/>
      <c r="M80" s="1937"/>
      <c r="N80" s="1937"/>
      <c r="O80" s="1937"/>
      <c r="P80" s="1937"/>
      <c r="Q80" s="1937"/>
      <c r="R80" s="1937"/>
      <c r="S80" s="1937"/>
      <c r="T80" s="1937"/>
      <c r="U80" s="1937"/>
      <c r="V80" s="1937"/>
      <c r="W80" s="1937"/>
      <c r="X80" s="1937"/>
      <c r="Y80" s="1937"/>
      <c r="Z80" s="1937"/>
      <c r="AA80" s="1937"/>
      <c r="AB80" s="1937"/>
      <c r="AC80" s="1937"/>
      <c r="AD80" s="1937"/>
      <c r="AE80" s="1937"/>
      <c r="AF80" s="1937"/>
      <c r="AG80" s="1937"/>
      <c r="AH80" s="1937"/>
      <c r="AI80" s="1937"/>
      <c r="AJ80" s="1937"/>
      <c r="AK80" s="1228"/>
      <c r="AL80" s="1443"/>
      <c r="AM80" s="1443"/>
      <c r="AN80" s="1443"/>
      <c r="AO80" s="1443"/>
      <c r="AP80" s="3255">
        <v>5</v>
      </c>
      <c r="AQ80" s="4828">
        <v>28780</v>
      </c>
      <c r="AR80" s="4828">
        <v>35980</v>
      </c>
      <c r="AS80" s="4829">
        <v>33100</v>
      </c>
      <c r="AT80" s="3359"/>
      <c r="AU80" s="1443"/>
      <c r="AV80" s="1443"/>
      <c r="AW80" s="1443"/>
      <c r="AX80" s="1443"/>
      <c r="AY80" s="1443"/>
      <c r="AZ80" s="2208"/>
      <c r="BA80" s="3265">
        <v>158</v>
      </c>
      <c r="BB80" s="3266">
        <v>4.3999999999999997E-2</v>
      </c>
      <c r="BC80" s="3632"/>
      <c r="BD80" s="3360"/>
      <c r="BE80" s="3361"/>
      <c r="BF80" s="3362"/>
      <c r="BG80" s="3361"/>
      <c r="BH80" s="3361"/>
      <c r="BI80" s="3361"/>
      <c r="BJ80" s="3361"/>
      <c r="BK80" s="3361"/>
      <c r="BL80" s="1443"/>
    </row>
    <row r="81" spans="1:64">
      <c r="A81" s="1228"/>
      <c r="B81" s="1955" t="s">
        <v>2083</v>
      </c>
      <c r="C81" s="1936"/>
      <c r="D81" s="1936"/>
      <c r="E81" s="1936"/>
      <c r="F81" s="1936"/>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6"/>
      <c r="AJ81" s="1936"/>
      <c r="AK81" s="1228"/>
      <c r="AL81" s="1443"/>
      <c r="AM81" s="1443"/>
      <c r="AN81" s="1443"/>
      <c r="AO81" s="1443"/>
      <c r="AP81" s="3255">
        <v>6</v>
      </c>
      <c r="AQ81" s="4828">
        <v>32960</v>
      </c>
      <c r="AR81" s="4828">
        <v>41210</v>
      </c>
      <c r="AS81" s="4829">
        <v>37910</v>
      </c>
      <c r="AT81" s="3359"/>
      <c r="AU81" s="1443"/>
      <c r="AV81" s="1443"/>
      <c r="AW81" s="1443"/>
      <c r="AX81" s="1443"/>
      <c r="AY81" s="1443"/>
      <c r="AZ81" s="2208"/>
      <c r="BA81" s="3265">
        <v>159</v>
      </c>
      <c r="BB81" s="3266">
        <v>4.4499999999999998E-2</v>
      </c>
      <c r="BC81" s="3632"/>
      <c r="BD81" s="3360"/>
      <c r="BE81" s="3361"/>
      <c r="BF81" s="3362"/>
      <c r="BG81" s="3362"/>
      <c r="BH81" s="3361"/>
      <c r="BI81" s="3361"/>
      <c r="BJ81" s="3361"/>
      <c r="BK81" s="3361"/>
      <c r="BL81" s="1443"/>
    </row>
    <row r="82" spans="1:64" ht="16.5" customHeight="1">
      <c r="A82" s="1228"/>
      <c r="B82" s="1942" t="s">
        <v>1399</v>
      </c>
      <c r="C82" s="1443"/>
      <c r="D82" s="1956" t="s">
        <v>1137</v>
      </c>
      <c r="E82" s="1957" t="s">
        <v>1400</v>
      </c>
      <c r="F82" s="1957"/>
      <c r="G82" s="1957"/>
      <c r="H82" s="1957"/>
      <c r="I82" s="1957"/>
      <c r="J82" s="1957"/>
      <c r="K82" s="1957"/>
      <c r="L82" s="1957"/>
      <c r="M82" s="1958"/>
      <c r="N82" s="1959" t="s">
        <v>1139</v>
      </c>
      <c r="O82" s="2127" t="s">
        <v>1577</v>
      </c>
      <c r="P82" s="1957"/>
      <c r="Q82" s="1957"/>
      <c r="R82" s="1957"/>
      <c r="S82" s="1957"/>
      <c r="T82" s="1957"/>
      <c r="U82" s="1957"/>
      <c r="V82" s="1958"/>
      <c r="W82" s="1959" t="s">
        <v>1142</v>
      </c>
      <c r="X82" s="1957" t="s">
        <v>1401</v>
      </c>
      <c r="Y82" s="1957"/>
      <c r="Z82" s="1957"/>
      <c r="AA82" s="1957"/>
      <c r="AB82" s="1957"/>
      <c r="AC82" s="1958"/>
      <c r="AD82" s="1959" t="s">
        <v>938</v>
      </c>
      <c r="AE82" s="1957" t="s">
        <v>1402</v>
      </c>
      <c r="AF82" s="1957"/>
      <c r="AG82" s="1957"/>
      <c r="AH82" s="1957"/>
      <c r="AI82" s="1957"/>
      <c r="AJ82" s="1957"/>
      <c r="AK82" s="1228"/>
      <c r="AL82" s="1443"/>
      <c r="AM82" s="1443"/>
      <c r="AN82" s="1443"/>
      <c r="AO82" s="1443"/>
      <c r="AP82" s="3255">
        <v>7</v>
      </c>
      <c r="AQ82" s="4828">
        <v>37140</v>
      </c>
      <c r="AR82" s="4828">
        <v>46440</v>
      </c>
      <c r="AS82" s="4829">
        <v>42720</v>
      </c>
      <c r="AT82" s="3359"/>
      <c r="AU82" s="1443"/>
      <c r="AV82" s="1443"/>
      <c r="AW82" s="1443"/>
      <c r="AX82" s="1443"/>
      <c r="AY82" s="1443"/>
      <c r="AZ82" s="2208"/>
      <c r="BA82" s="3265">
        <v>160</v>
      </c>
      <c r="BB82" s="3266">
        <v>4.4900000000000002E-2</v>
      </c>
      <c r="BC82" s="3632"/>
      <c r="BD82" s="3360"/>
      <c r="BE82" s="3361"/>
      <c r="BF82" s="3362"/>
      <c r="BG82" s="3362"/>
      <c r="BH82" s="3361"/>
      <c r="BI82" s="3361"/>
      <c r="BJ82" s="3361"/>
      <c r="BK82" s="3361"/>
      <c r="BL82" s="1443"/>
    </row>
    <row r="83" spans="1:64" ht="15">
      <c r="A83" s="1228"/>
      <c r="B83" s="1942"/>
      <c r="D83" s="8171"/>
      <c r="E83" s="8172"/>
      <c r="F83" s="8172"/>
      <c r="G83" s="8172"/>
      <c r="H83" s="8172"/>
      <c r="I83" s="8173"/>
      <c r="J83" s="8173"/>
      <c r="K83" s="8173"/>
      <c r="L83" s="8173"/>
      <c r="M83" s="8174"/>
      <c r="N83" s="8175"/>
      <c r="O83" s="8176"/>
      <c r="P83" s="8176"/>
      <c r="Q83" s="8176"/>
      <c r="R83" s="8176"/>
      <c r="S83" s="8177"/>
      <c r="T83" s="8177"/>
      <c r="U83" s="8177"/>
      <c r="V83" s="8178"/>
      <c r="W83" s="8179"/>
      <c r="X83" s="8180"/>
      <c r="Y83" s="8180"/>
      <c r="Z83" s="8180"/>
      <c r="AA83" s="8180"/>
      <c r="AB83" s="8181"/>
      <c r="AC83" s="8181"/>
      <c r="AD83" s="8179"/>
      <c r="AE83" s="8180"/>
      <c r="AF83" s="8180"/>
      <c r="AG83" s="8180"/>
      <c r="AH83" s="8180"/>
      <c r="AI83" s="8181"/>
      <c r="AJ83" s="8181"/>
      <c r="AK83" s="1228"/>
      <c r="AL83" s="1443"/>
      <c r="AM83" s="1443"/>
      <c r="AN83" s="1443"/>
      <c r="AO83" s="1443"/>
      <c r="AP83" s="3255">
        <v>8</v>
      </c>
      <c r="AQ83" s="4828">
        <v>41320</v>
      </c>
      <c r="AR83" s="4828">
        <v>51670</v>
      </c>
      <c r="AS83" s="4829">
        <v>47530</v>
      </c>
      <c r="AT83" s="3359"/>
      <c r="AU83" s="1443"/>
      <c r="AV83" s="1443"/>
      <c r="AW83" s="1443"/>
      <c r="AX83" s="1443"/>
      <c r="AY83" s="1443"/>
      <c r="AZ83" s="2208"/>
      <c r="BA83" s="3265">
        <v>161</v>
      </c>
      <c r="BB83" s="3266">
        <v>4.5400000000000003E-2</v>
      </c>
      <c r="BC83" s="3632"/>
      <c r="BD83" s="3360"/>
      <c r="BE83" s="3361"/>
      <c r="BF83" s="3362"/>
      <c r="BG83" s="3362"/>
      <c r="BH83" s="3361"/>
      <c r="BI83" s="3361"/>
      <c r="BJ83" s="3361"/>
      <c r="BK83" s="3361"/>
      <c r="BL83" s="1443"/>
    </row>
    <row r="84" spans="1:64" ht="13.5" thickBot="1">
      <c r="A84" s="1228"/>
      <c r="B84" s="1443"/>
      <c r="C84" s="1443"/>
      <c r="D84" s="8197" t="s">
        <v>1403</v>
      </c>
      <c r="E84" s="8198"/>
      <c r="F84" s="8198"/>
      <c r="G84" s="8198"/>
      <c r="H84" s="8198"/>
      <c r="I84" s="8199"/>
      <c r="J84" s="8204" t="s">
        <v>1578</v>
      </c>
      <c r="K84" s="8205"/>
      <c r="L84" s="8205"/>
      <c r="M84" s="8205"/>
      <c r="N84" s="8205"/>
      <c r="O84" s="8205"/>
      <c r="P84" s="8205"/>
      <c r="Q84" s="8205"/>
      <c r="R84" s="8206"/>
      <c r="S84" s="8204" t="s">
        <v>1579</v>
      </c>
      <c r="T84" s="8205"/>
      <c r="U84" s="8205"/>
      <c r="V84" s="8205"/>
      <c r="W84" s="8205"/>
      <c r="X84" s="8205"/>
      <c r="Y84" s="8205"/>
      <c r="Z84" s="8205"/>
      <c r="AA84" s="8206"/>
      <c r="AB84" s="8210" t="s">
        <v>1580</v>
      </c>
      <c r="AC84" s="8205"/>
      <c r="AD84" s="8205"/>
      <c r="AE84" s="8205"/>
      <c r="AF84" s="8205"/>
      <c r="AG84" s="8205"/>
      <c r="AH84" s="8205"/>
      <c r="AI84" s="8205"/>
      <c r="AJ84" s="8205"/>
      <c r="AK84" s="1228"/>
      <c r="AL84" s="1443"/>
      <c r="AM84" s="1443"/>
      <c r="AN84" s="1443"/>
      <c r="AO84" s="1443"/>
      <c r="AP84" s="3258" t="s">
        <v>2137</v>
      </c>
      <c r="AQ84" s="4830">
        <v>4180</v>
      </c>
      <c r="AR84" s="4830">
        <v>5230</v>
      </c>
      <c r="AS84" s="4831">
        <v>4810</v>
      </c>
      <c r="AT84" s="1443"/>
      <c r="AU84" s="1443"/>
      <c r="AV84" s="1443"/>
      <c r="AW84" s="1443"/>
      <c r="AX84" s="1443"/>
      <c r="AY84" s="1443"/>
      <c r="AZ84" s="2208"/>
      <c r="BA84" s="3265">
        <v>162</v>
      </c>
      <c r="BB84" s="3266">
        <v>4.58E-2</v>
      </c>
      <c r="BC84" s="3632"/>
      <c r="BD84" s="3360"/>
      <c r="BE84" s="3361"/>
      <c r="BF84" s="3362"/>
      <c r="BG84" s="3362"/>
      <c r="BH84" s="3361"/>
      <c r="BI84" s="3361"/>
      <c r="BJ84" s="3361"/>
      <c r="BK84" s="3361"/>
      <c r="BL84" s="1443"/>
    </row>
    <row r="85" spans="1:64">
      <c r="A85" s="1228"/>
      <c r="B85" s="1443"/>
      <c r="C85" s="1443"/>
      <c r="D85" s="8200"/>
      <c r="E85" s="8200"/>
      <c r="F85" s="8200"/>
      <c r="G85" s="8200"/>
      <c r="H85" s="8200"/>
      <c r="I85" s="8201"/>
      <c r="J85" s="8207"/>
      <c r="K85" s="8208"/>
      <c r="L85" s="8208"/>
      <c r="M85" s="8208"/>
      <c r="N85" s="8208"/>
      <c r="O85" s="8208"/>
      <c r="P85" s="8208"/>
      <c r="Q85" s="8208"/>
      <c r="R85" s="8209"/>
      <c r="S85" s="8207"/>
      <c r="T85" s="8208"/>
      <c r="U85" s="8208"/>
      <c r="V85" s="8208"/>
      <c r="W85" s="8208"/>
      <c r="X85" s="8208"/>
      <c r="Y85" s="8208"/>
      <c r="Z85" s="8208"/>
      <c r="AA85" s="8209"/>
      <c r="AB85" s="8207"/>
      <c r="AC85" s="8208"/>
      <c r="AD85" s="8208"/>
      <c r="AE85" s="8208"/>
      <c r="AF85" s="8208"/>
      <c r="AG85" s="8208"/>
      <c r="AH85" s="8208"/>
      <c r="AI85" s="8208"/>
      <c r="AJ85" s="8208"/>
      <c r="AK85" s="1228"/>
      <c r="AL85" s="1443"/>
      <c r="AM85" s="1443"/>
      <c r="AN85" s="1443"/>
      <c r="AO85" s="1443"/>
      <c r="AP85" s="1588"/>
      <c r="AQ85" s="3358"/>
      <c r="AR85" s="3358"/>
      <c r="AS85" s="3358"/>
      <c r="AT85" s="1443"/>
      <c r="AU85" s="1443"/>
      <c r="AV85" s="1443"/>
      <c r="AW85" s="1443"/>
      <c r="AX85" s="1443"/>
      <c r="AY85" s="1443"/>
      <c r="AZ85" s="2208"/>
      <c r="BA85" s="3265">
        <v>163</v>
      </c>
      <c r="BB85" s="3266">
        <v>4.6300000000000001E-2</v>
      </c>
      <c r="BC85" s="3632"/>
      <c r="BD85" s="3360"/>
      <c r="BE85" s="3361"/>
      <c r="BF85" s="3362"/>
      <c r="BG85" s="3362"/>
      <c r="BH85" s="3361"/>
      <c r="BI85" s="3361"/>
      <c r="BJ85" s="3361"/>
      <c r="BK85" s="3361"/>
      <c r="BL85" s="1443"/>
    </row>
    <row r="86" spans="1:64">
      <c r="A86" s="1228"/>
      <c r="B86" s="1443"/>
      <c r="C86" s="1443"/>
      <c r="D86" s="8200"/>
      <c r="E86" s="8200"/>
      <c r="F86" s="8200"/>
      <c r="G86" s="8200"/>
      <c r="H86" s="8200"/>
      <c r="I86" s="8201"/>
      <c r="J86" s="8207"/>
      <c r="K86" s="8208"/>
      <c r="L86" s="8208"/>
      <c r="M86" s="8208"/>
      <c r="N86" s="8208"/>
      <c r="O86" s="8208"/>
      <c r="P86" s="8208"/>
      <c r="Q86" s="8208"/>
      <c r="R86" s="8209"/>
      <c r="S86" s="8207"/>
      <c r="T86" s="8208"/>
      <c r="U86" s="8208"/>
      <c r="V86" s="8208"/>
      <c r="W86" s="8208"/>
      <c r="X86" s="8208"/>
      <c r="Y86" s="8208"/>
      <c r="Z86" s="8208"/>
      <c r="AA86" s="8209"/>
      <c r="AB86" s="8207"/>
      <c r="AC86" s="8208"/>
      <c r="AD86" s="8208"/>
      <c r="AE86" s="8208"/>
      <c r="AF86" s="8208"/>
      <c r="AG86" s="8208"/>
      <c r="AH86" s="8208"/>
      <c r="AI86" s="8208"/>
      <c r="AJ86" s="8208"/>
      <c r="AK86" s="1228"/>
      <c r="AL86" s="1443"/>
      <c r="AM86" s="1443"/>
      <c r="AN86" s="1443"/>
      <c r="AO86" s="1443"/>
      <c r="AP86" s="3357"/>
      <c r="AQ86" s="3357"/>
      <c r="AR86" s="1443"/>
      <c r="AS86" s="1443"/>
      <c r="AT86" s="1443"/>
      <c r="AU86" s="1443"/>
      <c r="AV86" s="1443"/>
      <c r="AW86" s="1443"/>
      <c r="AX86" s="1443"/>
      <c r="AY86" s="1443"/>
      <c r="AZ86" s="2208"/>
      <c r="BA86" s="3265">
        <v>164</v>
      </c>
      <c r="BB86" s="3266">
        <v>4.6800000000000001E-2</v>
      </c>
      <c r="BC86" s="3632"/>
      <c r="BD86" s="3360"/>
      <c r="BE86" s="3361"/>
      <c r="BF86" s="3362"/>
      <c r="BG86" s="3362"/>
      <c r="BH86" s="3361"/>
      <c r="BI86" s="3361"/>
      <c r="BJ86" s="3361"/>
      <c r="BK86" s="3361"/>
      <c r="BL86" s="1443"/>
    </row>
    <row r="87" spans="1:64">
      <c r="A87" s="1228"/>
      <c r="B87" s="1443"/>
      <c r="C87" s="1443"/>
      <c r="D87" s="8200"/>
      <c r="E87" s="8200"/>
      <c r="F87" s="8200"/>
      <c r="G87" s="8200"/>
      <c r="H87" s="8200"/>
      <c r="I87" s="8201"/>
      <c r="J87" s="8207"/>
      <c r="K87" s="8208"/>
      <c r="L87" s="8208"/>
      <c r="M87" s="8208"/>
      <c r="N87" s="8208"/>
      <c r="O87" s="8208"/>
      <c r="P87" s="8208"/>
      <c r="Q87" s="8208"/>
      <c r="R87" s="8209"/>
      <c r="S87" s="8207"/>
      <c r="T87" s="8208"/>
      <c r="U87" s="8208"/>
      <c r="V87" s="8208"/>
      <c r="W87" s="8208"/>
      <c r="X87" s="8208"/>
      <c r="Y87" s="8208"/>
      <c r="Z87" s="8208"/>
      <c r="AA87" s="8209"/>
      <c r="AB87" s="8207"/>
      <c r="AC87" s="8208"/>
      <c r="AD87" s="8208"/>
      <c r="AE87" s="8208"/>
      <c r="AF87" s="8208"/>
      <c r="AG87" s="8208"/>
      <c r="AH87" s="8208"/>
      <c r="AI87" s="8208"/>
      <c r="AJ87" s="8208"/>
      <c r="AK87" s="1228"/>
      <c r="AL87" s="1443"/>
      <c r="AM87" s="1443"/>
      <c r="AN87" s="1443"/>
      <c r="AO87" s="1443"/>
      <c r="AP87" s="3357"/>
      <c r="AQ87" s="3357"/>
      <c r="AR87" s="1443"/>
      <c r="AS87" s="1443"/>
      <c r="AT87" s="1443"/>
      <c r="AU87" s="1443"/>
      <c r="AV87" s="1443"/>
      <c r="AW87" s="1443"/>
      <c r="AX87" s="1443"/>
      <c r="AY87" s="1443"/>
      <c r="AZ87" s="2208"/>
      <c r="BA87" s="3265">
        <v>165</v>
      </c>
      <c r="BB87" s="3266">
        <v>4.7199999999999999E-2</v>
      </c>
      <c r="BC87" s="3632"/>
      <c r="BD87" s="3360"/>
      <c r="BE87" s="3361"/>
      <c r="BF87" s="3362"/>
      <c r="BG87" s="3362"/>
      <c r="BH87" s="3361"/>
      <c r="BI87" s="3361"/>
      <c r="BJ87" s="3361"/>
      <c r="BK87" s="3361"/>
      <c r="BL87" s="1443"/>
    </row>
    <row r="88" spans="1:64" ht="18" customHeight="1">
      <c r="A88" s="1228"/>
      <c r="B88" s="1936"/>
      <c r="C88" s="1936"/>
      <c r="D88" s="8202"/>
      <c r="E88" s="8202"/>
      <c r="F88" s="8202"/>
      <c r="G88" s="8202"/>
      <c r="H88" s="8202"/>
      <c r="I88" s="8203"/>
      <c r="J88" s="8211"/>
      <c r="K88" s="8212"/>
      <c r="L88" s="8212"/>
      <c r="M88" s="8212"/>
      <c r="N88" s="8212"/>
      <c r="O88" s="8213"/>
      <c r="P88" s="8213"/>
      <c r="Q88" s="8213"/>
      <c r="R88" s="8214"/>
      <c r="S88" s="8211"/>
      <c r="T88" s="8212"/>
      <c r="U88" s="8212"/>
      <c r="V88" s="8212"/>
      <c r="W88" s="8212"/>
      <c r="X88" s="8213"/>
      <c r="Y88" s="8213"/>
      <c r="Z88" s="8213"/>
      <c r="AA88" s="8214"/>
      <c r="AB88" s="8212"/>
      <c r="AC88" s="8212"/>
      <c r="AD88" s="8212"/>
      <c r="AE88" s="8212"/>
      <c r="AF88" s="8212"/>
      <c r="AG88" s="8213"/>
      <c r="AH88" s="8213"/>
      <c r="AI88" s="8213"/>
      <c r="AJ88" s="8213"/>
      <c r="AK88" s="1228"/>
      <c r="AL88" s="1443"/>
      <c r="AM88" s="1443"/>
      <c r="AN88" s="1443"/>
      <c r="AO88" s="1443"/>
      <c r="AP88" s="2140"/>
      <c r="AQ88" s="2140"/>
      <c r="AR88" s="1443"/>
      <c r="AS88" s="1443"/>
      <c r="AT88" s="1443"/>
      <c r="AU88" s="1443"/>
      <c r="AV88" s="1443"/>
      <c r="AW88" s="1443"/>
      <c r="AX88" s="1443"/>
      <c r="AY88" s="1443"/>
      <c r="AZ88" s="2208"/>
      <c r="BA88" s="3265">
        <v>166</v>
      </c>
      <c r="BB88" s="3266">
        <v>4.7699999999999999E-2</v>
      </c>
      <c r="BC88" s="3632"/>
      <c r="BD88" s="3360"/>
      <c r="BE88" s="3361"/>
      <c r="BF88" s="3362"/>
      <c r="BG88" s="3362"/>
      <c r="BH88" s="3361"/>
      <c r="BI88" s="3361"/>
      <c r="BJ88" s="3361"/>
      <c r="BK88" s="3361"/>
      <c r="BL88" s="1443"/>
    </row>
    <row r="89" spans="1:64">
      <c r="A89" s="1228"/>
      <c r="B89" s="1955" t="s">
        <v>2084</v>
      </c>
      <c r="C89" s="1936"/>
      <c r="D89" s="1936"/>
      <c r="E89" s="1936"/>
      <c r="F89" s="1936"/>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6"/>
      <c r="AJ89" s="1936"/>
      <c r="AK89" s="1228"/>
      <c r="AL89" s="1443"/>
      <c r="AM89" s="1443"/>
      <c r="AN89" s="1443"/>
      <c r="AO89" s="1443"/>
      <c r="AP89" s="2140"/>
      <c r="AQ89" s="2140"/>
      <c r="AR89" s="1443"/>
      <c r="AS89" s="1443"/>
      <c r="AT89" s="1443"/>
      <c r="AU89" s="1443"/>
      <c r="AV89" s="1443"/>
      <c r="AW89" s="1443"/>
      <c r="AX89" s="1443"/>
      <c r="AY89" s="1443"/>
      <c r="AZ89" s="2208"/>
      <c r="BA89" s="3265">
        <v>167</v>
      </c>
      <c r="BB89" s="3266">
        <v>4.82E-2</v>
      </c>
      <c r="BC89" s="3632"/>
      <c r="BD89" s="3360"/>
      <c r="BE89" s="3361"/>
      <c r="BF89" s="3362"/>
      <c r="BG89" s="3362"/>
      <c r="BH89" s="3361"/>
      <c r="BI89" s="3361"/>
      <c r="BJ89" s="3361"/>
      <c r="BK89" s="3361"/>
      <c r="BL89" s="1443"/>
    </row>
    <row r="90" spans="1:64" ht="16.5" customHeight="1">
      <c r="A90" s="1228"/>
      <c r="B90" s="1942" t="s">
        <v>1404</v>
      </c>
      <c r="C90" s="1443"/>
      <c r="D90" s="1956" t="s">
        <v>1137</v>
      </c>
      <c r="E90" s="1957" t="s">
        <v>1400</v>
      </c>
      <c r="F90" s="1957"/>
      <c r="G90" s="1957"/>
      <c r="H90" s="1957"/>
      <c r="I90" s="1957"/>
      <c r="J90" s="1957"/>
      <c r="K90" s="1957"/>
      <c r="L90" s="1957"/>
      <c r="M90" s="1958"/>
      <c r="N90" s="1959" t="s">
        <v>1139</v>
      </c>
      <c r="O90" s="2127" t="s">
        <v>1577</v>
      </c>
      <c r="P90" s="1957"/>
      <c r="Q90" s="1957"/>
      <c r="R90" s="1957"/>
      <c r="S90" s="1957"/>
      <c r="T90" s="1957"/>
      <c r="U90" s="1957"/>
      <c r="V90" s="1958"/>
      <c r="W90" s="1959" t="s">
        <v>1142</v>
      </c>
      <c r="X90" s="1957" t="s">
        <v>1401</v>
      </c>
      <c r="Y90" s="1957"/>
      <c r="Z90" s="1957"/>
      <c r="AA90" s="1957"/>
      <c r="AB90" s="1957"/>
      <c r="AC90" s="1958"/>
      <c r="AD90" s="1959" t="s">
        <v>938</v>
      </c>
      <c r="AE90" s="1957" t="s">
        <v>1402</v>
      </c>
      <c r="AF90" s="1957"/>
      <c r="AG90" s="1957"/>
      <c r="AH90" s="1957"/>
      <c r="AI90" s="1957"/>
      <c r="AJ90" s="1957"/>
      <c r="AK90" s="1228"/>
      <c r="AL90" s="1443"/>
      <c r="AM90" s="1443"/>
      <c r="AN90" s="1443"/>
      <c r="AO90" s="1443"/>
      <c r="AP90" s="2140"/>
      <c r="AQ90" s="2140"/>
      <c r="AR90" s="1443"/>
      <c r="AS90" s="1443"/>
      <c r="AT90" s="1443"/>
      <c r="AU90" s="1443"/>
      <c r="AV90" s="1443"/>
      <c r="AW90" s="1443"/>
      <c r="AX90" s="1443"/>
      <c r="AY90" s="1443"/>
      <c r="AZ90" s="2208"/>
      <c r="BA90" s="3265">
        <v>168</v>
      </c>
      <c r="BB90" s="3266">
        <v>4.8599999999999997E-2</v>
      </c>
      <c r="BC90" s="3632"/>
      <c r="BD90" s="3360"/>
      <c r="BE90" s="3361"/>
      <c r="BF90" s="3362"/>
      <c r="BG90" s="3362"/>
      <c r="BH90" s="3361"/>
      <c r="BI90" s="3361"/>
      <c r="BJ90" s="3361"/>
      <c r="BK90" s="3361"/>
      <c r="BL90" s="1443"/>
    </row>
    <row r="91" spans="1:64" ht="15">
      <c r="A91" s="1228"/>
      <c r="B91" s="1942"/>
      <c r="D91" s="8172"/>
      <c r="E91" s="8172"/>
      <c r="F91" s="8172"/>
      <c r="G91" s="8172"/>
      <c r="H91" s="8172"/>
      <c r="I91" s="8173"/>
      <c r="J91" s="8173"/>
      <c r="K91" s="8173"/>
      <c r="L91" s="8173"/>
      <c r="M91" s="8174"/>
      <c r="N91" s="8175"/>
      <c r="O91" s="8176"/>
      <c r="P91" s="8176"/>
      <c r="Q91" s="8176"/>
      <c r="R91" s="8176"/>
      <c r="S91" s="8177"/>
      <c r="T91" s="8177"/>
      <c r="U91" s="8177"/>
      <c r="V91" s="8178"/>
      <c r="W91" s="8215"/>
      <c r="X91" s="8180"/>
      <c r="Y91" s="8180"/>
      <c r="Z91" s="8180"/>
      <c r="AA91" s="8180"/>
      <c r="AB91" s="8181"/>
      <c r="AC91" s="8181"/>
      <c r="AD91" s="8179"/>
      <c r="AE91" s="8180"/>
      <c r="AF91" s="8180"/>
      <c r="AG91" s="8180"/>
      <c r="AH91" s="8180"/>
      <c r="AI91" s="8181"/>
      <c r="AJ91" s="8181"/>
      <c r="AK91" s="1228"/>
      <c r="AL91" s="1443"/>
      <c r="AM91" s="1443"/>
      <c r="AN91" s="1443"/>
      <c r="AO91" s="1443"/>
      <c r="AP91" s="2140"/>
      <c r="AQ91" s="2140"/>
      <c r="AR91" s="1443"/>
      <c r="AS91" s="1443"/>
      <c r="AT91" s="1443"/>
      <c r="AU91" s="1443"/>
      <c r="AV91" s="1443"/>
      <c r="AW91" s="1443"/>
      <c r="AX91" s="1443"/>
      <c r="AY91" s="1443"/>
      <c r="AZ91" s="2208"/>
      <c r="BA91" s="3265">
        <v>169</v>
      </c>
      <c r="BB91" s="3266">
        <v>4.9099999999999998E-2</v>
      </c>
      <c r="BC91" s="3632"/>
      <c r="BD91" s="3360"/>
      <c r="BE91" s="3361"/>
      <c r="BF91" s="3362"/>
      <c r="BG91" s="3362"/>
      <c r="BH91" s="3361"/>
      <c r="BI91" s="3361"/>
      <c r="BJ91" s="3361"/>
      <c r="BK91" s="3361"/>
      <c r="BL91" s="1443"/>
    </row>
    <row r="92" spans="1:64">
      <c r="A92" s="1228"/>
      <c r="B92" s="1443"/>
      <c r="C92" s="1443"/>
      <c r="D92" s="8197" t="s">
        <v>1403</v>
      </c>
      <c r="E92" s="8198"/>
      <c r="F92" s="8198"/>
      <c r="G92" s="8198"/>
      <c r="H92" s="8198"/>
      <c r="I92" s="8199"/>
      <c r="J92" s="8204" t="s">
        <v>1578</v>
      </c>
      <c r="K92" s="8205"/>
      <c r="L92" s="8205"/>
      <c r="M92" s="8205"/>
      <c r="N92" s="8205"/>
      <c r="O92" s="8205"/>
      <c r="P92" s="8205"/>
      <c r="Q92" s="8205"/>
      <c r="R92" s="8206"/>
      <c r="S92" s="8204" t="s">
        <v>1579</v>
      </c>
      <c r="T92" s="8205"/>
      <c r="U92" s="8205"/>
      <c r="V92" s="8205"/>
      <c r="W92" s="8205"/>
      <c r="X92" s="8205"/>
      <c r="Y92" s="8205"/>
      <c r="Z92" s="8205"/>
      <c r="AA92" s="8206"/>
      <c r="AB92" s="8210" t="s">
        <v>1580</v>
      </c>
      <c r="AC92" s="8205"/>
      <c r="AD92" s="8205"/>
      <c r="AE92" s="8205"/>
      <c r="AF92" s="8205"/>
      <c r="AG92" s="8205"/>
      <c r="AH92" s="8205"/>
      <c r="AI92" s="8205"/>
      <c r="AJ92" s="8205"/>
      <c r="AK92" s="1228"/>
      <c r="AL92" s="1443"/>
      <c r="AM92" s="1443"/>
      <c r="AN92" s="1443"/>
      <c r="AO92" s="1443"/>
      <c r="AP92" s="2140"/>
      <c r="AQ92" s="2140"/>
      <c r="AR92" s="1443"/>
      <c r="AS92" s="1443"/>
      <c r="AT92" s="1443"/>
      <c r="AU92" s="1443"/>
      <c r="AV92" s="1443"/>
      <c r="AW92" s="1443"/>
      <c r="AX92" s="1443"/>
      <c r="AY92" s="1443"/>
      <c r="AZ92" s="2208"/>
      <c r="BA92" s="3265">
        <v>170</v>
      </c>
      <c r="BB92" s="3266">
        <v>4.9500000000000002E-2</v>
      </c>
      <c r="BC92" s="3632"/>
      <c r="BD92" s="1443"/>
      <c r="BE92" s="3361"/>
      <c r="BF92" s="3362"/>
      <c r="BG92" s="3362"/>
      <c r="BH92" s="3361"/>
      <c r="BI92" s="1443"/>
      <c r="BJ92" s="1443"/>
      <c r="BK92" s="1443"/>
      <c r="BL92" s="1443"/>
    </row>
    <row r="93" spans="1:64" ht="12.75" customHeight="1">
      <c r="A93" s="1228"/>
      <c r="B93" s="1443"/>
      <c r="C93" s="1443"/>
      <c r="D93" s="8200"/>
      <c r="E93" s="8200"/>
      <c r="F93" s="8200"/>
      <c r="G93" s="8200"/>
      <c r="H93" s="8200"/>
      <c r="I93" s="8201"/>
      <c r="J93" s="8207"/>
      <c r="K93" s="8208"/>
      <c r="L93" s="8208"/>
      <c r="M93" s="8208"/>
      <c r="N93" s="8208"/>
      <c r="O93" s="8208"/>
      <c r="P93" s="8208"/>
      <c r="Q93" s="8208"/>
      <c r="R93" s="8209"/>
      <c r="S93" s="8207"/>
      <c r="T93" s="8208"/>
      <c r="U93" s="8208"/>
      <c r="V93" s="8208"/>
      <c r="W93" s="8208"/>
      <c r="X93" s="8208"/>
      <c r="Y93" s="8208"/>
      <c r="Z93" s="8208"/>
      <c r="AA93" s="8209"/>
      <c r="AB93" s="8207"/>
      <c r="AC93" s="8208"/>
      <c r="AD93" s="8208"/>
      <c r="AE93" s="8208"/>
      <c r="AF93" s="8208"/>
      <c r="AG93" s="8208"/>
      <c r="AH93" s="8208"/>
      <c r="AI93" s="8208"/>
      <c r="AJ93" s="8208"/>
      <c r="AK93" s="1228"/>
      <c r="AL93" s="1443"/>
      <c r="AM93" s="1443"/>
      <c r="AN93" s="1443"/>
      <c r="AO93" s="1443"/>
      <c r="AP93" s="2140"/>
      <c r="AQ93" s="2140"/>
      <c r="AR93" s="1443"/>
      <c r="AS93" s="1443"/>
      <c r="AT93" s="1443"/>
      <c r="AU93" s="1443"/>
      <c r="AV93" s="1443"/>
      <c r="AW93" s="1443"/>
      <c r="AX93" s="1443"/>
      <c r="AY93" s="1443"/>
      <c r="AZ93" s="2208"/>
      <c r="BA93" s="3265">
        <v>171</v>
      </c>
      <c r="BB93" s="3266">
        <v>0.05</v>
      </c>
      <c r="BC93" s="3632"/>
      <c r="BD93" s="1443"/>
      <c r="BE93" s="1443"/>
      <c r="BF93" s="3362"/>
      <c r="BG93" s="3362"/>
      <c r="BH93" s="1443"/>
      <c r="BI93" s="1443"/>
      <c r="BJ93" s="1443"/>
      <c r="BK93" s="1443"/>
      <c r="BL93" s="1443"/>
    </row>
    <row r="94" spans="1:64">
      <c r="A94" s="1228"/>
      <c r="B94" s="1443"/>
      <c r="C94" s="1443"/>
      <c r="D94" s="8200"/>
      <c r="E94" s="8200"/>
      <c r="F94" s="8200"/>
      <c r="G94" s="8200"/>
      <c r="H94" s="8200"/>
      <c r="I94" s="8201"/>
      <c r="J94" s="8207"/>
      <c r="K94" s="8208"/>
      <c r="L94" s="8208"/>
      <c r="M94" s="8208"/>
      <c r="N94" s="8208"/>
      <c r="O94" s="8208"/>
      <c r="P94" s="8208"/>
      <c r="Q94" s="8208"/>
      <c r="R94" s="8209"/>
      <c r="S94" s="8207"/>
      <c r="T94" s="8208"/>
      <c r="U94" s="8208"/>
      <c r="V94" s="8208"/>
      <c r="W94" s="8208"/>
      <c r="X94" s="8208"/>
      <c r="Y94" s="8208"/>
      <c r="Z94" s="8208"/>
      <c r="AA94" s="8209"/>
      <c r="AB94" s="8207"/>
      <c r="AC94" s="8208"/>
      <c r="AD94" s="8208"/>
      <c r="AE94" s="8208"/>
      <c r="AF94" s="8208"/>
      <c r="AG94" s="8208"/>
      <c r="AH94" s="8208"/>
      <c r="AI94" s="8208"/>
      <c r="AJ94" s="8208"/>
      <c r="AK94" s="1228"/>
      <c r="AL94" s="1443"/>
      <c r="AM94" s="1443"/>
      <c r="AN94" s="1443"/>
      <c r="AO94" s="1443"/>
      <c r="AP94" s="2140"/>
      <c r="AQ94" s="2140"/>
      <c r="AR94" s="1443"/>
      <c r="AS94" s="1443"/>
      <c r="AT94" s="1443"/>
      <c r="AU94" s="1443"/>
      <c r="AV94" s="1443"/>
      <c r="AW94" s="1443"/>
      <c r="AX94" s="1443"/>
      <c r="AY94" s="1443"/>
      <c r="AZ94" s="2208"/>
      <c r="BA94" s="3265">
        <v>172</v>
      </c>
      <c r="BB94" s="3266">
        <v>5.0500000000000003E-2</v>
      </c>
      <c r="BC94" s="3632"/>
      <c r="BD94" s="1443"/>
      <c r="BE94" s="1443"/>
      <c r="BF94" s="3362"/>
      <c r="BG94" s="3362"/>
      <c r="BH94" s="1443"/>
      <c r="BI94" s="1443"/>
      <c r="BJ94" s="1443"/>
      <c r="BK94" s="1443"/>
      <c r="BL94" s="1443"/>
    </row>
    <row r="95" spans="1:64">
      <c r="A95" s="1228"/>
      <c r="B95" s="1443"/>
      <c r="C95" s="1443"/>
      <c r="D95" s="8200"/>
      <c r="E95" s="8200"/>
      <c r="F95" s="8200"/>
      <c r="G95" s="8200"/>
      <c r="H95" s="8200"/>
      <c r="I95" s="8201"/>
      <c r="J95" s="8207"/>
      <c r="K95" s="8208"/>
      <c r="L95" s="8208"/>
      <c r="M95" s="8208"/>
      <c r="N95" s="8208"/>
      <c r="O95" s="8208"/>
      <c r="P95" s="8208"/>
      <c r="Q95" s="8208"/>
      <c r="R95" s="8209"/>
      <c r="S95" s="8207"/>
      <c r="T95" s="8208"/>
      <c r="U95" s="8208"/>
      <c r="V95" s="8208"/>
      <c r="W95" s="8208"/>
      <c r="X95" s="8208"/>
      <c r="Y95" s="8208"/>
      <c r="Z95" s="8208"/>
      <c r="AA95" s="8209"/>
      <c r="AB95" s="8207"/>
      <c r="AC95" s="8208"/>
      <c r="AD95" s="8208"/>
      <c r="AE95" s="8208"/>
      <c r="AF95" s="8208"/>
      <c r="AG95" s="8208"/>
      <c r="AH95" s="8208"/>
      <c r="AI95" s="8208"/>
      <c r="AJ95" s="8208"/>
      <c r="AK95" s="1228"/>
      <c r="AL95" s="1443"/>
      <c r="AM95" s="1443"/>
      <c r="AN95" s="1443"/>
      <c r="AO95" s="1443"/>
      <c r="AP95" s="2140"/>
      <c r="AQ95" s="2140"/>
      <c r="AR95" s="1443"/>
      <c r="AS95" s="1443"/>
      <c r="AT95" s="1443"/>
      <c r="AU95" s="1443"/>
      <c r="AV95" s="1443"/>
      <c r="AW95" s="1443"/>
      <c r="AX95" s="1443"/>
      <c r="AY95" s="1443"/>
      <c r="AZ95" s="2208"/>
      <c r="BA95" s="3265">
        <v>173</v>
      </c>
      <c r="BB95" s="3266">
        <v>5.0900000000000001E-2</v>
      </c>
      <c r="BC95" s="3632"/>
      <c r="BD95" s="1443"/>
      <c r="BE95" s="1443"/>
      <c r="BF95" s="3362"/>
      <c r="BG95" s="3362"/>
      <c r="BH95" s="1443"/>
      <c r="BI95" s="1443"/>
      <c r="BJ95" s="1443"/>
      <c r="BK95" s="1443"/>
      <c r="BL95" s="1443"/>
    </row>
    <row r="96" spans="1:64" ht="18" customHeight="1">
      <c r="A96" s="1228"/>
      <c r="B96" s="1936"/>
      <c r="C96" s="1936"/>
      <c r="D96" s="8202"/>
      <c r="E96" s="8202"/>
      <c r="F96" s="8202"/>
      <c r="G96" s="8202"/>
      <c r="H96" s="8202"/>
      <c r="I96" s="8203"/>
      <c r="J96" s="8211"/>
      <c r="K96" s="8212"/>
      <c r="L96" s="8212"/>
      <c r="M96" s="8212"/>
      <c r="N96" s="8212"/>
      <c r="O96" s="8213"/>
      <c r="P96" s="8213"/>
      <c r="Q96" s="8213"/>
      <c r="R96" s="8214"/>
      <c r="S96" s="8211"/>
      <c r="T96" s="8212"/>
      <c r="U96" s="8212"/>
      <c r="V96" s="8212"/>
      <c r="W96" s="8212"/>
      <c r="X96" s="8213"/>
      <c r="Y96" s="8213"/>
      <c r="Z96" s="8213"/>
      <c r="AA96" s="8214"/>
      <c r="AB96" s="8212"/>
      <c r="AC96" s="8212"/>
      <c r="AD96" s="8212"/>
      <c r="AE96" s="8212"/>
      <c r="AF96" s="8212"/>
      <c r="AG96" s="8213"/>
      <c r="AH96" s="8213"/>
      <c r="AI96" s="8213"/>
      <c r="AJ96" s="8213"/>
      <c r="AK96" s="1228"/>
      <c r="AL96" s="1443"/>
      <c r="AM96" s="1443"/>
      <c r="AN96" s="1443"/>
      <c r="AO96" s="1443"/>
      <c r="AP96" s="2140"/>
      <c r="AQ96" s="2140"/>
      <c r="AR96" s="1443"/>
      <c r="AS96" s="1443"/>
      <c r="AT96" s="1443"/>
      <c r="AU96" s="1443"/>
      <c r="AV96" s="1443"/>
      <c r="AW96" s="1443"/>
      <c r="AX96" s="1443"/>
      <c r="AY96" s="1443"/>
      <c r="AZ96" s="2208"/>
      <c r="BA96" s="3265">
        <v>174</v>
      </c>
      <c r="BB96" s="3266">
        <v>5.1400000000000001E-2</v>
      </c>
      <c r="BC96" s="3632"/>
      <c r="BD96" s="1443"/>
      <c r="BE96" s="1443"/>
      <c r="BF96" s="3362"/>
      <c r="BG96" s="3362"/>
      <c r="BH96" s="1443"/>
      <c r="BI96" s="1443"/>
      <c r="BJ96" s="1443"/>
      <c r="BK96" s="1443"/>
      <c r="BL96" s="1443"/>
    </row>
    <row r="97" spans="1:64" ht="15">
      <c r="A97" s="1228"/>
      <c r="B97" s="4825" t="s">
        <v>2085</v>
      </c>
      <c r="C97" s="1936"/>
      <c r="D97" s="1936"/>
      <c r="E97" s="1936"/>
      <c r="F97" s="1936"/>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6"/>
      <c r="AJ97" s="1936"/>
      <c r="AK97" s="1228"/>
      <c r="AL97" s="1443"/>
      <c r="AM97" s="1443"/>
      <c r="AN97" s="1443"/>
      <c r="AO97" s="1443"/>
      <c r="AP97" s="2140"/>
      <c r="AQ97" s="2140"/>
      <c r="AR97" s="1443"/>
      <c r="AS97" s="1443"/>
      <c r="AT97" s="1443"/>
      <c r="AU97" s="1443"/>
      <c r="AV97" s="1443"/>
      <c r="AW97" s="1443"/>
      <c r="AX97" s="1443"/>
      <c r="AY97" s="1443"/>
      <c r="AZ97" s="2208"/>
      <c r="BA97" s="3265">
        <v>175</v>
      </c>
      <c r="BB97" s="3266">
        <v>5.1900000000000002E-2</v>
      </c>
      <c r="BC97" s="3632"/>
      <c r="BD97" s="1443"/>
      <c r="BE97" s="1443"/>
      <c r="BF97" s="3362"/>
      <c r="BG97" s="3362"/>
      <c r="BH97" s="1443"/>
      <c r="BI97" s="1443"/>
      <c r="BJ97" s="1443"/>
      <c r="BK97" s="1443"/>
      <c r="BL97" s="1443"/>
    </row>
    <row r="98" spans="1:64" ht="16.5" customHeight="1">
      <c r="A98" s="1228"/>
      <c r="B98" s="1942" t="s">
        <v>1405</v>
      </c>
      <c r="C98" s="1443"/>
      <c r="D98" s="1956" t="s">
        <v>1137</v>
      </c>
      <c r="E98" s="1957" t="s">
        <v>1400</v>
      </c>
      <c r="F98" s="1957"/>
      <c r="G98" s="1957"/>
      <c r="H98" s="1957"/>
      <c r="I98" s="1957"/>
      <c r="J98" s="1957"/>
      <c r="K98" s="1957"/>
      <c r="L98" s="1957"/>
      <c r="M98" s="1958"/>
      <c r="N98" s="1959" t="s">
        <v>1139</v>
      </c>
      <c r="O98" s="2127" t="s">
        <v>1577</v>
      </c>
      <c r="P98" s="1957"/>
      <c r="Q98" s="1957"/>
      <c r="R98" s="1957"/>
      <c r="S98" s="1957"/>
      <c r="T98" s="1957"/>
      <c r="U98" s="1957"/>
      <c r="V98" s="1958"/>
      <c r="W98" s="1959" t="s">
        <v>1142</v>
      </c>
      <c r="X98" s="1957" t="s">
        <v>1401</v>
      </c>
      <c r="Y98" s="1957"/>
      <c r="Z98" s="1957"/>
      <c r="AA98" s="1957"/>
      <c r="AB98" s="1957"/>
      <c r="AC98" s="1958"/>
      <c r="AD98" s="1959" t="s">
        <v>938</v>
      </c>
      <c r="AE98" s="1957" t="s">
        <v>1402</v>
      </c>
      <c r="AF98" s="1957"/>
      <c r="AG98" s="1957"/>
      <c r="AH98" s="1957"/>
      <c r="AI98" s="1957"/>
      <c r="AJ98" s="1957"/>
      <c r="AK98" s="1228"/>
      <c r="AL98" s="1443"/>
      <c r="AM98" s="1443"/>
      <c r="AN98" s="1443"/>
      <c r="AO98" s="1443"/>
      <c r="AP98" s="2140"/>
      <c r="AQ98" s="2140"/>
      <c r="AR98" s="1443"/>
      <c r="AS98" s="1443"/>
      <c r="AT98" s="1443"/>
      <c r="AU98" s="1443"/>
      <c r="AV98" s="1443"/>
      <c r="AW98" s="1443"/>
      <c r="AX98" s="1443"/>
      <c r="AY98" s="1443"/>
      <c r="AZ98" s="2208"/>
      <c r="BA98" s="3265">
        <v>176</v>
      </c>
      <c r="BB98" s="3266">
        <v>5.2299999999999999E-2</v>
      </c>
      <c r="BC98" s="3632"/>
      <c r="BD98" s="1443"/>
      <c r="BE98" s="1443"/>
      <c r="BF98" s="3362"/>
      <c r="BG98" s="3362"/>
      <c r="BH98" s="1443"/>
      <c r="BI98" s="1443"/>
      <c r="BJ98" s="1443"/>
      <c r="BK98" s="1443"/>
      <c r="BL98" s="1443"/>
    </row>
    <row r="99" spans="1:64" ht="15">
      <c r="A99" s="1228"/>
      <c r="B99" s="1942"/>
      <c r="D99" s="8172"/>
      <c r="E99" s="8172"/>
      <c r="F99" s="8172"/>
      <c r="G99" s="8172"/>
      <c r="H99" s="8172"/>
      <c r="I99" s="8173"/>
      <c r="J99" s="8173"/>
      <c r="K99" s="8173"/>
      <c r="L99" s="8173"/>
      <c r="M99" s="8174"/>
      <c r="N99" s="8175"/>
      <c r="O99" s="8176"/>
      <c r="P99" s="8176"/>
      <c r="Q99" s="8176"/>
      <c r="R99" s="8176"/>
      <c r="S99" s="8177"/>
      <c r="T99" s="8177"/>
      <c r="U99" s="8177"/>
      <c r="V99" s="8178"/>
      <c r="W99" s="8215"/>
      <c r="X99" s="8180"/>
      <c r="Y99" s="8180"/>
      <c r="Z99" s="8180"/>
      <c r="AA99" s="8180"/>
      <c r="AB99" s="8181"/>
      <c r="AC99" s="8181"/>
      <c r="AD99" s="8179"/>
      <c r="AE99" s="8180"/>
      <c r="AF99" s="8180"/>
      <c r="AG99" s="8180"/>
      <c r="AH99" s="8180"/>
      <c r="AI99" s="8181"/>
      <c r="AJ99" s="8181"/>
      <c r="AK99" s="1228"/>
      <c r="AL99" s="1443"/>
      <c r="AM99" s="1443"/>
      <c r="AN99" s="1443"/>
      <c r="AO99" s="1443"/>
      <c r="AP99" s="2140"/>
      <c r="AQ99" s="2140"/>
      <c r="AR99" s="1443"/>
      <c r="AS99" s="1443"/>
      <c r="AT99" s="1443"/>
      <c r="AU99" s="1443"/>
      <c r="AV99" s="1443"/>
      <c r="AW99" s="1443"/>
      <c r="AX99" s="1443"/>
      <c r="AY99" s="1443"/>
      <c r="AZ99" s="2208"/>
      <c r="BA99" s="3265">
        <v>177</v>
      </c>
      <c r="BB99" s="3266">
        <v>5.28E-2</v>
      </c>
      <c r="BC99" s="3632"/>
      <c r="BD99" s="1443"/>
      <c r="BE99" s="1443"/>
      <c r="BF99" s="3362"/>
      <c r="BG99" s="3362"/>
      <c r="BH99" s="1443"/>
      <c r="BI99" s="1443"/>
      <c r="BJ99" s="1443"/>
      <c r="BK99" s="1443"/>
      <c r="BL99" s="1443"/>
    </row>
    <row r="100" spans="1:64">
      <c r="A100" s="1228"/>
      <c r="B100" s="1443"/>
      <c r="C100" s="1443"/>
      <c r="D100" s="8197" t="s">
        <v>1403</v>
      </c>
      <c r="E100" s="8198"/>
      <c r="F100" s="8198"/>
      <c r="G100" s="8198"/>
      <c r="H100" s="8198"/>
      <c r="I100" s="8199"/>
      <c r="J100" s="8204" t="s">
        <v>1578</v>
      </c>
      <c r="K100" s="8205"/>
      <c r="L100" s="8205"/>
      <c r="M100" s="8205"/>
      <c r="N100" s="8205"/>
      <c r="O100" s="8205"/>
      <c r="P100" s="8205"/>
      <c r="Q100" s="8205"/>
      <c r="R100" s="8206"/>
      <c r="S100" s="8204" t="s">
        <v>1579</v>
      </c>
      <c r="T100" s="8205"/>
      <c r="U100" s="8205"/>
      <c r="V100" s="8205"/>
      <c r="W100" s="8205"/>
      <c r="X100" s="8205"/>
      <c r="Y100" s="8205"/>
      <c r="Z100" s="8205"/>
      <c r="AA100" s="8206"/>
      <c r="AB100" s="8210" t="s">
        <v>1580</v>
      </c>
      <c r="AC100" s="8205"/>
      <c r="AD100" s="8205"/>
      <c r="AE100" s="8205"/>
      <c r="AF100" s="8205"/>
      <c r="AG100" s="8205"/>
      <c r="AH100" s="8205"/>
      <c r="AI100" s="8205"/>
      <c r="AJ100" s="8205"/>
      <c r="AK100" s="1228"/>
      <c r="AL100" s="1443"/>
      <c r="AM100" s="1443"/>
      <c r="AN100" s="1443"/>
      <c r="AO100" s="1443"/>
      <c r="AP100" s="2140"/>
      <c r="AQ100" s="2140"/>
      <c r="AR100" s="1443"/>
      <c r="AS100" s="1443"/>
      <c r="AT100" s="1443"/>
      <c r="AU100" s="1443"/>
      <c r="AV100" s="1443"/>
      <c r="AW100" s="1443"/>
      <c r="AX100" s="1443"/>
      <c r="AY100" s="1443"/>
      <c r="AZ100" s="2208"/>
      <c r="BA100" s="3265">
        <v>178</v>
      </c>
      <c r="BB100" s="3266">
        <v>5.3199999999999997E-2</v>
      </c>
      <c r="BC100" s="3632"/>
      <c r="BD100" s="1443"/>
      <c r="BE100" s="1443"/>
      <c r="BF100" s="3362"/>
      <c r="BG100" s="3362"/>
      <c r="BH100" s="1443"/>
      <c r="BI100" s="1443"/>
      <c r="BJ100" s="1443"/>
      <c r="BK100" s="1443"/>
      <c r="BL100" s="1443"/>
    </row>
    <row r="101" spans="1:64" ht="12.75" customHeight="1">
      <c r="A101" s="1228"/>
      <c r="B101" s="1443"/>
      <c r="C101" s="1443"/>
      <c r="D101" s="8200"/>
      <c r="E101" s="8200"/>
      <c r="F101" s="8200"/>
      <c r="G101" s="8200"/>
      <c r="H101" s="8200"/>
      <c r="I101" s="8201"/>
      <c r="J101" s="8207"/>
      <c r="K101" s="8208"/>
      <c r="L101" s="8208"/>
      <c r="M101" s="8208"/>
      <c r="N101" s="8208"/>
      <c r="O101" s="8208"/>
      <c r="P101" s="8208"/>
      <c r="Q101" s="8208"/>
      <c r="R101" s="8209"/>
      <c r="S101" s="8207"/>
      <c r="T101" s="8208"/>
      <c r="U101" s="8208"/>
      <c r="V101" s="8208"/>
      <c r="W101" s="8208"/>
      <c r="X101" s="8208"/>
      <c r="Y101" s="8208"/>
      <c r="Z101" s="8208"/>
      <c r="AA101" s="8209"/>
      <c r="AB101" s="8207"/>
      <c r="AC101" s="8208"/>
      <c r="AD101" s="8208"/>
      <c r="AE101" s="8208"/>
      <c r="AF101" s="8208"/>
      <c r="AG101" s="8208"/>
      <c r="AH101" s="8208"/>
      <c r="AI101" s="8208"/>
      <c r="AJ101" s="8208"/>
      <c r="AK101" s="1228"/>
      <c r="AL101" s="1443"/>
      <c r="AM101" s="1443"/>
      <c r="AN101" s="1443"/>
      <c r="AO101" s="1443"/>
      <c r="AP101" s="2140"/>
      <c r="AQ101" s="2140"/>
      <c r="AR101" s="1443"/>
      <c r="AS101" s="1443"/>
      <c r="AT101" s="1443"/>
      <c r="AU101" s="1443"/>
      <c r="AV101" s="1443"/>
      <c r="AW101" s="1443"/>
      <c r="AX101" s="1443"/>
      <c r="AY101" s="1443"/>
      <c r="AZ101" s="2208"/>
      <c r="BA101" s="3265">
        <v>179</v>
      </c>
      <c r="BB101" s="3266">
        <v>5.3699999999999998E-2</v>
      </c>
      <c r="BC101" s="3632"/>
      <c r="BD101" s="1443"/>
      <c r="BE101" s="1443"/>
      <c r="BF101" s="3362"/>
      <c r="BG101" s="3362"/>
      <c r="BH101" s="1443"/>
      <c r="BI101" s="1443"/>
      <c r="BJ101" s="1443"/>
      <c r="BK101" s="1443"/>
      <c r="BL101" s="1443"/>
    </row>
    <row r="102" spans="1:64">
      <c r="A102" s="1228"/>
      <c r="B102" s="1443"/>
      <c r="C102" s="1443"/>
      <c r="D102" s="8200"/>
      <c r="E102" s="8200"/>
      <c r="F102" s="8200"/>
      <c r="G102" s="8200"/>
      <c r="H102" s="8200"/>
      <c r="I102" s="8201"/>
      <c r="J102" s="8207"/>
      <c r="K102" s="8208"/>
      <c r="L102" s="8208"/>
      <c r="M102" s="8208"/>
      <c r="N102" s="8208"/>
      <c r="O102" s="8208"/>
      <c r="P102" s="8208"/>
      <c r="Q102" s="8208"/>
      <c r="R102" s="8209"/>
      <c r="S102" s="8207"/>
      <c r="T102" s="8208"/>
      <c r="U102" s="8208"/>
      <c r="V102" s="8208"/>
      <c r="W102" s="8208"/>
      <c r="X102" s="8208"/>
      <c r="Y102" s="8208"/>
      <c r="Z102" s="8208"/>
      <c r="AA102" s="8209"/>
      <c r="AB102" s="8207"/>
      <c r="AC102" s="8208"/>
      <c r="AD102" s="8208"/>
      <c r="AE102" s="8208"/>
      <c r="AF102" s="8208"/>
      <c r="AG102" s="8208"/>
      <c r="AH102" s="8208"/>
      <c r="AI102" s="8208"/>
      <c r="AJ102" s="8208"/>
      <c r="AK102" s="1228"/>
      <c r="AL102" s="1443"/>
      <c r="AM102" s="1443"/>
      <c r="AN102" s="1443"/>
      <c r="AO102" s="1443"/>
      <c r="AP102" s="2140"/>
      <c r="AQ102" s="2140"/>
      <c r="AR102" s="1443"/>
      <c r="AS102" s="1443"/>
      <c r="AT102" s="1443"/>
      <c r="AU102" s="1443"/>
      <c r="AV102" s="1443"/>
      <c r="AW102" s="1443"/>
      <c r="AX102" s="1443"/>
      <c r="AY102" s="1443"/>
      <c r="AZ102" s="2208"/>
      <c r="BA102" s="3265">
        <v>180</v>
      </c>
      <c r="BB102" s="3266">
        <v>5.4199999999999998E-2</v>
      </c>
      <c r="BC102" s="3632"/>
      <c r="BD102" s="1443"/>
      <c r="BE102" s="1443"/>
      <c r="BF102" s="3362"/>
      <c r="BG102" s="3362"/>
      <c r="BH102" s="1443"/>
      <c r="BI102" s="1443"/>
      <c r="BJ102" s="1443"/>
      <c r="BK102" s="1443"/>
      <c r="BL102" s="1443"/>
    </row>
    <row r="103" spans="1:64">
      <c r="A103" s="1228"/>
      <c r="B103" s="1443"/>
      <c r="C103" s="1443"/>
      <c r="D103" s="8200"/>
      <c r="E103" s="8200"/>
      <c r="F103" s="8200"/>
      <c r="G103" s="8200"/>
      <c r="H103" s="8200"/>
      <c r="I103" s="8201"/>
      <c r="J103" s="8207"/>
      <c r="K103" s="8208"/>
      <c r="L103" s="8208"/>
      <c r="M103" s="8208"/>
      <c r="N103" s="8208"/>
      <c r="O103" s="8208"/>
      <c r="P103" s="8208"/>
      <c r="Q103" s="8208"/>
      <c r="R103" s="8209"/>
      <c r="S103" s="8207"/>
      <c r="T103" s="8208"/>
      <c r="U103" s="8208"/>
      <c r="V103" s="8208"/>
      <c r="W103" s="8208"/>
      <c r="X103" s="8208"/>
      <c r="Y103" s="8208"/>
      <c r="Z103" s="8208"/>
      <c r="AA103" s="8209"/>
      <c r="AB103" s="8207"/>
      <c r="AC103" s="8208"/>
      <c r="AD103" s="8208"/>
      <c r="AE103" s="8208"/>
      <c r="AF103" s="8208"/>
      <c r="AG103" s="8208"/>
      <c r="AH103" s="8208"/>
      <c r="AI103" s="8208"/>
      <c r="AJ103" s="8208"/>
      <c r="AK103" s="1228"/>
      <c r="AL103" s="1443"/>
      <c r="AM103" s="1443"/>
      <c r="AN103" s="1443"/>
      <c r="AO103" s="1443"/>
      <c r="AP103" s="2140"/>
      <c r="AQ103" s="2140"/>
      <c r="AR103" s="1443"/>
      <c r="AS103" s="1443"/>
      <c r="AT103" s="1443"/>
      <c r="AU103" s="1443"/>
      <c r="AV103" s="1443"/>
      <c r="AW103" s="1443"/>
      <c r="AX103" s="1443"/>
      <c r="AY103" s="1443"/>
      <c r="AZ103" s="2208"/>
      <c r="BA103" s="3265">
        <v>181</v>
      </c>
      <c r="BB103" s="3266">
        <v>5.4600000000000003E-2</v>
      </c>
      <c r="BC103" s="3632"/>
      <c r="BD103" s="1443"/>
      <c r="BE103" s="1443"/>
      <c r="BF103" s="3362"/>
      <c r="BG103" s="3362"/>
      <c r="BH103" s="1443"/>
      <c r="BI103" s="1443"/>
      <c r="BJ103" s="1443"/>
      <c r="BK103" s="1443"/>
      <c r="BL103" s="1443"/>
    </row>
    <row r="104" spans="1:64" ht="18" customHeight="1">
      <c r="A104" s="1228"/>
      <c r="B104" s="1936"/>
      <c r="C104" s="1936"/>
      <c r="D104" s="8202"/>
      <c r="E104" s="8202"/>
      <c r="F104" s="8202"/>
      <c r="G104" s="8202"/>
      <c r="H104" s="8202"/>
      <c r="I104" s="8203"/>
      <c r="J104" s="8211"/>
      <c r="K104" s="8212"/>
      <c r="L104" s="8212"/>
      <c r="M104" s="8212"/>
      <c r="N104" s="8212"/>
      <c r="O104" s="8213"/>
      <c r="P104" s="8213"/>
      <c r="Q104" s="8213"/>
      <c r="R104" s="8214"/>
      <c r="S104" s="8211"/>
      <c r="T104" s="8212"/>
      <c r="U104" s="8212"/>
      <c r="V104" s="8212"/>
      <c r="W104" s="8212"/>
      <c r="X104" s="8213"/>
      <c r="Y104" s="8213"/>
      <c r="Z104" s="8213"/>
      <c r="AA104" s="8214"/>
      <c r="AB104" s="8212"/>
      <c r="AC104" s="8212"/>
      <c r="AD104" s="8212"/>
      <c r="AE104" s="8212"/>
      <c r="AF104" s="8212"/>
      <c r="AG104" s="8213"/>
      <c r="AH104" s="8213"/>
      <c r="AI104" s="8213"/>
      <c r="AJ104" s="8213"/>
      <c r="AK104" s="1228"/>
      <c r="AL104" s="1443"/>
      <c r="AM104" s="1443"/>
      <c r="AN104" s="1443"/>
      <c r="AO104" s="1443"/>
      <c r="AP104" s="2140"/>
      <c r="AQ104" s="2140"/>
      <c r="AR104" s="1443"/>
      <c r="AS104" s="1443"/>
      <c r="AT104" s="1443"/>
      <c r="AU104" s="1443"/>
      <c r="AV104" s="1443"/>
      <c r="AW104" s="1443"/>
      <c r="AX104" s="1443"/>
      <c r="AY104" s="1443"/>
      <c r="AZ104" s="2208"/>
      <c r="BA104" s="3265">
        <v>182</v>
      </c>
      <c r="BB104" s="3266">
        <v>5.5100000000000003E-2</v>
      </c>
      <c r="BC104" s="3632"/>
      <c r="BD104" s="1443"/>
      <c r="BE104" s="1443"/>
      <c r="BF104" s="3362"/>
      <c r="BG104" s="3362"/>
      <c r="BH104" s="1443"/>
      <c r="BI104" s="1443"/>
      <c r="BJ104" s="1443"/>
      <c r="BK104" s="1443"/>
      <c r="BL104" s="1443"/>
    </row>
    <row r="105" spans="1:64" ht="15">
      <c r="A105" s="1228"/>
      <c r="B105" s="4825" t="s">
        <v>2086</v>
      </c>
      <c r="C105" s="1936"/>
      <c r="D105" s="1936"/>
      <c r="E105" s="1936"/>
      <c r="F105" s="1936"/>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6"/>
      <c r="AJ105" s="1936"/>
      <c r="AK105" s="1228"/>
      <c r="AL105" s="1443"/>
      <c r="AM105" s="1443"/>
      <c r="AN105" s="1443"/>
      <c r="AO105" s="1443"/>
      <c r="AP105" s="1443"/>
      <c r="AQ105" s="1443"/>
      <c r="AR105" s="1443"/>
      <c r="AS105" s="1443"/>
      <c r="AT105" s="1443"/>
      <c r="AU105" s="1443"/>
      <c r="AV105" s="1443"/>
      <c r="AW105" s="1443"/>
      <c r="AX105" s="1443"/>
      <c r="AY105" s="1443"/>
      <c r="AZ105" s="2208"/>
      <c r="BA105" s="3265">
        <v>183</v>
      </c>
      <c r="BB105" s="3266">
        <v>5.5500000000000001E-2</v>
      </c>
      <c r="BC105" s="3632"/>
      <c r="BD105" s="1443"/>
      <c r="BE105" s="1443"/>
      <c r="BF105" s="3362"/>
      <c r="BG105" s="3362"/>
      <c r="BH105" s="1443"/>
      <c r="BI105" s="1443"/>
      <c r="BJ105" s="1443"/>
      <c r="BK105" s="1443"/>
      <c r="BL105" s="1443"/>
    </row>
    <row r="106" spans="1:64" ht="16.5" customHeight="1">
      <c r="A106" s="1228"/>
      <c r="B106" s="1942" t="s">
        <v>1406</v>
      </c>
      <c r="C106" s="1443"/>
      <c r="D106" s="1956" t="s">
        <v>1137</v>
      </c>
      <c r="E106" s="1957" t="s">
        <v>1400</v>
      </c>
      <c r="F106" s="1957"/>
      <c r="G106" s="1957"/>
      <c r="H106" s="1957"/>
      <c r="I106" s="1957"/>
      <c r="J106" s="1957"/>
      <c r="K106" s="1957"/>
      <c r="L106" s="1957"/>
      <c r="M106" s="1958"/>
      <c r="N106" s="1959" t="s">
        <v>1139</v>
      </c>
      <c r="O106" s="2127" t="s">
        <v>1577</v>
      </c>
      <c r="P106" s="1957"/>
      <c r="Q106" s="1957"/>
      <c r="R106" s="1957"/>
      <c r="S106" s="1957"/>
      <c r="T106" s="1957"/>
      <c r="U106" s="1957"/>
      <c r="V106" s="1958"/>
      <c r="W106" s="1959" t="s">
        <v>1142</v>
      </c>
      <c r="X106" s="1957" t="s">
        <v>1401</v>
      </c>
      <c r="Y106" s="1957"/>
      <c r="Z106" s="1957"/>
      <c r="AA106" s="1957"/>
      <c r="AB106" s="1957"/>
      <c r="AC106" s="1958"/>
      <c r="AD106" s="1959" t="s">
        <v>938</v>
      </c>
      <c r="AE106" s="1957" t="s">
        <v>1402</v>
      </c>
      <c r="AF106" s="1957"/>
      <c r="AG106" s="1957"/>
      <c r="AH106" s="1957"/>
      <c r="AI106" s="1957"/>
      <c r="AJ106" s="1957"/>
      <c r="AK106" s="1228"/>
      <c r="AL106" s="1443"/>
      <c r="AM106" s="1443"/>
      <c r="AN106" s="1443"/>
      <c r="AO106" s="1443"/>
      <c r="AP106" s="1443"/>
      <c r="AQ106" s="1443"/>
      <c r="AR106" s="1443"/>
      <c r="AS106" s="1443"/>
      <c r="AT106" s="1443"/>
      <c r="AU106" s="1443"/>
      <c r="AV106" s="1443"/>
      <c r="AW106" s="1443"/>
      <c r="AX106" s="1443"/>
      <c r="AY106" s="1443"/>
      <c r="AZ106" s="2208"/>
      <c r="BA106" s="3265">
        <v>184</v>
      </c>
      <c r="BB106" s="3266">
        <v>5.6000000000000001E-2</v>
      </c>
      <c r="BC106" s="3632"/>
      <c r="BD106" s="1443"/>
      <c r="BE106" s="1443"/>
      <c r="BF106" s="3362"/>
      <c r="BG106" s="3362"/>
      <c r="BH106" s="1443"/>
      <c r="BI106" s="1443"/>
      <c r="BJ106" s="1443"/>
      <c r="BK106" s="1443"/>
      <c r="BL106" s="1443"/>
    </row>
    <row r="107" spans="1:64" ht="15">
      <c r="A107" s="1228"/>
      <c r="B107" s="1942"/>
      <c r="D107" s="8172"/>
      <c r="E107" s="8172"/>
      <c r="F107" s="8172"/>
      <c r="G107" s="8172"/>
      <c r="H107" s="8172"/>
      <c r="I107" s="8173"/>
      <c r="J107" s="8173"/>
      <c r="K107" s="8173"/>
      <c r="L107" s="8173"/>
      <c r="M107" s="8174"/>
      <c r="N107" s="8175"/>
      <c r="O107" s="8176"/>
      <c r="P107" s="8176"/>
      <c r="Q107" s="8176"/>
      <c r="R107" s="8176"/>
      <c r="S107" s="8177"/>
      <c r="T107" s="8177"/>
      <c r="U107" s="8177"/>
      <c r="V107" s="8178"/>
      <c r="W107" s="8215"/>
      <c r="X107" s="8180"/>
      <c r="Y107" s="8180"/>
      <c r="Z107" s="8180"/>
      <c r="AA107" s="8180"/>
      <c r="AB107" s="8181"/>
      <c r="AC107" s="8181"/>
      <c r="AD107" s="8179"/>
      <c r="AE107" s="8180"/>
      <c r="AF107" s="8180"/>
      <c r="AG107" s="8180"/>
      <c r="AH107" s="8180"/>
      <c r="AI107" s="8181"/>
      <c r="AJ107" s="8181"/>
      <c r="AK107" s="1228"/>
      <c r="AL107" s="1443"/>
      <c r="AM107" s="1443"/>
      <c r="AN107" s="1443"/>
      <c r="AO107" s="1443"/>
      <c r="AP107" s="1443"/>
      <c r="AQ107" s="1443"/>
      <c r="AR107" s="1443"/>
      <c r="AS107" s="1443"/>
      <c r="AT107" s="1443"/>
      <c r="AU107" s="1443"/>
      <c r="AV107" s="1443"/>
      <c r="AW107" s="1443"/>
      <c r="AX107" s="1443"/>
      <c r="AY107" s="1443"/>
      <c r="AZ107" s="2208"/>
      <c r="BA107" s="3265">
        <v>185</v>
      </c>
      <c r="BB107" s="3266">
        <v>5.6500000000000002E-2</v>
      </c>
      <c r="BC107" s="3632"/>
      <c r="BD107" s="1443"/>
      <c r="BE107" s="1443"/>
      <c r="BF107" s="3362"/>
      <c r="BG107" s="3362"/>
      <c r="BH107" s="1443"/>
      <c r="BI107" s="1443"/>
      <c r="BJ107" s="1443"/>
      <c r="BK107" s="1443"/>
      <c r="BL107" s="1443"/>
    </row>
    <row r="108" spans="1:64">
      <c r="A108" s="1228"/>
      <c r="B108" s="1443"/>
      <c r="C108" s="1443"/>
      <c r="D108" s="8197" t="s">
        <v>1403</v>
      </c>
      <c r="E108" s="8198"/>
      <c r="F108" s="8198"/>
      <c r="G108" s="8198"/>
      <c r="H108" s="8198"/>
      <c r="I108" s="8199"/>
      <c r="J108" s="8204" t="s">
        <v>1578</v>
      </c>
      <c r="K108" s="8205"/>
      <c r="L108" s="8205"/>
      <c r="M108" s="8205"/>
      <c r="N108" s="8205"/>
      <c r="O108" s="8205"/>
      <c r="P108" s="8205"/>
      <c r="Q108" s="8205"/>
      <c r="R108" s="8206"/>
      <c r="S108" s="8204" t="s">
        <v>1579</v>
      </c>
      <c r="T108" s="8205"/>
      <c r="U108" s="8205"/>
      <c r="V108" s="8205"/>
      <c r="W108" s="8205"/>
      <c r="X108" s="8205"/>
      <c r="Y108" s="8205"/>
      <c r="Z108" s="8205"/>
      <c r="AA108" s="8206"/>
      <c r="AB108" s="8210" t="s">
        <v>1580</v>
      </c>
      <c r="AC108" s="8205"/>
      <c r="AD108" s="8205"/>
      <c r="AE108" s="8205"/>
      <c r="AF108" s="8205"/>
      <c r="AG108" s="8205"/>
      <c r="AH108" s="8205"/>
      <c r="AI108" s="8205"/>
      <c r="AJ108" s="8205"/>
      <c r="AK108" s="1228"/>
      <c r="AL108" s="1443"/>
      <c r="AM108" s="1443"/>
      <c r="AN108" s="1443"/>
      <c r="AO108" s="1443"/>
      <c r="AP108" s="1443"/>
      <c r="AQ108" s="1443"/>
      <c r="AR108" s="1443"/>
      <c r="AS108" s="1443"/>
      <c r="AT108" s="1443"/>
      <c r="AU108" s="1443"/>
      <c r="AV108" s="1443"/>
      <c r="AW108" s="1443"/>
      <c r="AX108" s="1443"/>
      <c r="AY108" s="1443"/>
      <c r="AZ108" s="2208"/>
      <c r="BA108" s="3265">
        <v>186</v>
      </c>
      <c r="BB108" s="3266">
        <v>5.6899999999999999E-2</v>
      </c>
      <c r="BC108" s="3632"/>
      <c r="BD108" s="1443"/>
      <c r="BE108" s="1443"/>
      <c r="BF108" s="3362"/>
      <c r="BG108" s="3362"/>
      <c r="BH108" s="1443"/>
      <c r="BI108" s="1443"/>
      <c r="BJ108" s="1443"/>
      <c r="BK108" s="1443"/>
      <c r="BL108" s="1443"/>
    </row>
    <row r="109" spans="1:64" ht="12.75" customHeight="1">
      <c r="A109" s="1228"/>
      <c r="B109" s="1443"/>
      <c r="C109" s="1443"/>
      <c r="D109" s="8200"/>
      <c r="E109" s="8200"/>
      <c r="F109" s="8200"/>
      <c r="G109" s="8200"/>
      <c r="H109" s="8200"/>
      <c r="I109" s="8201"/>
      <c r="J109" s="8207"/>
      <c r="K109" s="8208"/>
      <c r="L109" s="8208"/>
      <c r="M109" s="8208"/>
      <c r="N109" s="8208"/>
      <c r="O109" s="8208"/>
      <c r="P109" s="8208"/>
      <c r="Q109" s="8208"/>
      <c r="R109" s="8209"/>
      <c r="S109" s="8207"/>
      <c r="T109" s="8208"/>
      <c r="U109" s="8208"/>
      <c r="V109" s="8208"/>
      <c r="W109" s="8208"/>
      <c r="X109" s="8208"/>
      <c r="Y109" s="8208"/>
      <c r="Z109" s="8208"/>
      <c r="AA109" s="8209"/>
      <c r="AB109" s="8207"/>
      <c r="AC109" s="8208"/>
      <c r="AD109" s="8208"/>
      <c r="AE109" s="8208"/>
      <c r="AF109" s="8208"/>
      <c r="AG109" s="8208"/>
      <c r="AH109" s="8208"/>
      <c r="AI109" s="8208"/>
      <c r="AJ109" s="8208"/>
      <c r="AK109" s="1228"/>
      <c r="AL109" s="1443"/>
      <c r="AM109" s="1443"/>
      <c r="AN109" s="1443"/>
      <c r="AO109" s="1443"/>
      <c r="AP109" s="1443"/>
      <c r="AQ109" s="1443"/>
      <c r="AR109" s="1443"/>
      <c r="AS109" s="1443"/>
      <c r="AT109" s="1443"/>
      <c r="AU109" s="1443"/>
      <c r="AV109" s="1443"/>
      <c r="AW109" s="1443"/>
      <c r="AX109" s="1443"/>
      <c r="AY109" s="1443"/>
      <c r="AZ109" s="2208"/>
      <c r="BA109" s="3265">
        <v>187</v>
      </c>
      <c r="BB109" s="3266">
        <v>5.74E-2</v>
      </c>
      <c r="BC109" s="3632"/>
      <c r="BD109" s="1443"/>
      <c r="BE109" s="1443"/>
      <c r="BF109" s="3362"/>
      <c r="BG109" s="3362"/>
      <c r="BH109" s="1443"/>
      <c r="BI109" s="1443"/>
      <c r="BJ109" s="1443"/>
      <c r="BK109" s="1443"/>
      <c r="BL109" s="1443"/>
    </row>
    <row r="110" spans="1:64">
      <c r="A110" s="1228"/>
      <c r="B110" s="1443"/>
      <c r="C110" s="1443"/>
      <c r="D110" s="8200"/>
      <c r="E110" s="8200"/>
      <c r="F110" s="8200"/>
      <c r="G110" s="8200"/>
      <c r="H110" s="8200"/>
      <c r="I110" s="8201"/>
      <c r="J110" s="8207"/>
      <c r="K110" s="8208"/>
      <c r="L110" s="8208"/>
      <c r="M110" s="8208"/>
      <c r="N110" s="8208"/>
      <c r="O110" s="8208"/>
      <c r="P110" s="8208"/>
      <c r="Q110" s="8208"/>
      <c r="R110" s="8209"/>
      <c r="S110" s="8207"/>
      <c r="T110" s="8208"/>
      <c r="U110" s="8208"/>
      <c r="V110" s="8208"/>
      <c r="W110" s="8208"/>
      <c r="X110" s="8208"/>
      <c r="Y110" s="8208"/>
      <c r="Z110" s="8208"/>
      <c r="AA110" s="8209"/>
      <c r="AB110" s="8207"/>
      <c r="AC110" s="8208"/>
      <c r="AD110" s="8208"/>
      <c r="AE110" s="8208"/>
      <c r="AF110" s="8208"/>
      <c r="AG110" s="8208"/>
      <c r="AH110" s="8208"/>
      <c r="AI110" s="8208"/>
      <c r="AJ110" s="8208"/>
      <c r="AK110" s="1228"/>
      <c r="AL110" s="1443"/>
      <c r="AM110" s="1443"/>
      <c r="AN110" s="1443"/>
      <c r="AO110" s="1443"/>
      <c r="AP110" s="1443"/>
      <c r="AQ110" s="1443"/>
      <c r="AR110" s="1443"/>
      <c r="AS110" s="1443"/>
      <c r="AT110" s="1443"/>
      <c r="AU110" s="1443"/>
      <c r="AV110" s="1443"/>
      <c r="AW110" s="1443"/>
      <c r="AX110" s="1443"/>
      <c r="AY110" s="1443"/>
      <c r="AZ110" s="2208"/>
      <c r="BA110" s="3265">
        <v>188</v>
      </c>
      <c r="BB110" s="3266">
        <v>5.79E-2</v>
      </c>
      <c r="BC110" s="3632"/>
      <c r="BD110" s="1443"/>
      <c r="BE110" s="1443"/>
      <c r="BF110" s="3362"/>
      <c r="BG110" s="3362"/>
      <c r="BH110" s="1443"/>
      <c r="BI110" s="1443"/>
      <c r="BJ110" s="1443"/>
      <c r="BK110" s="1443"/>
      <c r="BL110" s="1443"/>
    </row>
    <row r="111" spans="1:64">
      <c r="A111" s="1228"/>
      <c r="B111" s="1443"/>
      <c r="C111" s="1443"/>
      <c r="D111" s="8200"/>
      <c r="E111" s="8200"/>
      <c r="F111" s="8200"/>
      <c r="G111" s="8200"/>
      <c r="H111" s="8200"/>
      <c r="I111" s="8201"/>
      <c r="J111" s="8207"/>
      <c r="K111" s="8208"/>
      <c r="L111" s="8208"/>
      <c r="M111" s="8208"/>
      <c r="N111" s="8208"/>
      <c r="O111" s="8208"/>
      <c r="P111" s="8208"/>
      <c r="Q111" s="8208"/>
      <c r="R111" s="8209"/>
      <c r="S111" s="8207"/>
      <c r="T111" s="8208"/>
      <c r="U111" s="8208"/>
      <c r="V111" s="8208"/>
      <c r="W111" s="8208"/>
      <c r="X111" s="8208"/>
      <c r="Y111" s="8208"/>
      <c r="Z111" s="8208"/>
      <c r="AA111" s="8209"/>
      <c r="AB111" s="8207"/>
      <c r="AC111" s="8208"/>
      <c r="AD111" s="8208"/>
      <c r="AE111" s="8208"/>
      <c r="AF111" s="8208"/>
      <c r="AG111" s="8208"/>
      <c r="AH111" s="8208"/>
      <c r="AI111" s="8208"/>
      <c r="AJ111" s="8208"/>
      <c r="AK111" s="1228"/>
      <c r="AL111" s="1443"/>
      <c r="AM111" s="1443"/>
      <c r="AN111" s="1443"/>
      <c r="AO111" s="1443"/>
      <c r="AP111" s="1443"/>
      <c r="AQ111" s="1443"/>
      <c r="AR111" s="1443"/>
      <c r="AS111" s="1443"/>
      <c r="AT111" s="1443"/>
      <c r="AU111" s="1443"/>
      <c r="AV111" s="1443"/>
      <c r="AW111" s="1443"/>
      <c r="AX111" s="1443"/>
      <c r="AY111" s="1443"/>
      <c r="AZ111" s="2208"/>
      <c r="BA111" s="3265">
        <v>189</v>
      </c>
      <c r="BB111" s="3266">
        <v>5.8299999999999998E-2</v>
      </c>
      <c r="BC111" s="3632"/>
      <c r="BD111" s="1443"/>
      <c r="BE111" s="1443"/>
      <c r="BF111" s="3362"/>
      <c r="BG111" s="3362"/>
      <c r="BH111" s="1443"/>
      <c r="BI111" s="1443"/>
      <c r="BJ111" s="1443"/>
      <c r="BK111" s="1443"/>
      <c r="BL111" s="1443"/>
    </row>
    <row r="112" spans="1:64" ht="18" customHeight="1">
      <c r="A112" s="1228"/>
      <c r="B112" s="1936"/>
      <c r="C112" s="1936"/>
      <c r="D112" s="8202"/>
      <c r="E112" s="8202"/>
      <c r="F112" s="8202"/>
      <c r="G112" s="8202"/>
      <c r="H112" s="8202"/>
      <c r="I112" s="8203"/>
      <c r="J112" s="8211"/>
      <c r="K112" s="8212"/>
      <c r="L112" s="8212"/>
      <c r="M112" s="8212"/>
      <c r="N112" s="8212"/>
      <c r="O112" s="8213"/>
      <c r="P112" s="8213"/>
      <c r="Q112" s="8213"/>
      <c r="R112" s="8214"/>
      <c r="S112" s="8211"/>
      <c r="T112" s="8212"/>
      <c r="U112" s="8212"/>
      <c r="V112" s="8212"/>
      <c r="W112" s="8212"/>
      <c r="X112" s="8213"/>
      <c r="Y112" s="8213"/>
      <c r="Z112" s="8213"/>
      <c r="AA112" s="8214"/>
      <c r="AB112" s="8212"/>
      <c r="AC112" s="8212"/>
      <c r="AD112" s="8212"/>
      <c r="AE112" s="8212"/>
      <c r="AF112" s="8212"/>
      <c r="AG112" s="8213"/>
      <c r="AH112" s="8213"/>
      <c r="AI112" s="8213"/>
      <c r="AJ112" s="8213"/>
      <c r="AK112" s="1228"/>
      <c r="AL112" s="1443"/>
      <c r="AM112" s="1443"/>
      <c r="AN112" s="1443"/>
      <c r="AO112" s="1443"/>
      <c r="AP112" s="1443"/>
      <c r="AQ112" s="1443"/>
      <c r="AR112" s="1443"/>
      <c r="AS112" s="1443"/>
      <c r="AT112" s="1443"/>
      <c r="AU112" s="1443"/>
      <c r="AV112" s="1443"/>
      <c r="AW112" s="1443"/>
      <c r="AX112" s="1443"/>
      <c r="AY112" s="1443"/>
      <c r="AZ112" s="2208"/>
      <c r="BA112" s="3265">
        <v>190</v>
      </c>
      <c r="BB112" s="3266">
        <v>5.8799999999999998E-2</v>
      </c>
      <c r="BC112" s="3632"/>
      <c r="BD112" s="1443"/>
      <c r="BE112" s="1443"/>
      <c r="BF112" s="3362"/>
      <c r="BG112" s="3362"/>
      <c r="BH112" s="1443"/>
      <c r="BI112" s="1443"/>
      <c r="BJ112" s="1443"/>
      <c r="BK112" s="1443"/>
      <c r="BL112" s="1443"/>
    </row>
    <row r="113" spans="1:64" ht="15">
      <c r="A113" s="1228"/>
      <c r="B113" s="1942" t="s">
        <v>1407</v>
      </c>
      <c r="C113" s="1607" t="s">
        <v>2087</v>
      </c>
      <c r="D113" s="1443"/>
      <c r="E113" s="1443"/>
      <c r="F113" s="1443"/>
      <c r="G113" s="1443"/>
      <c r="H113" s="1443"/>
      <c r="I113" s="1443"/>
      <c r="J113" s="1443"/>
      <c r="K113" s="1443"/>
      <c r="L113" s="1443"/>
      <c r="M113" s="1443"/>
      <c r="N113" s="1443"/>
      <c r="O113" s="1443"/>
      <c r="P113" s="1443"/>
      <c r="Q113" s="1443"/>
      <c r="R113" s="1443"/>
      <c r="S113" s="1443"/>
      <c r="T113" s="1443"/>
      <c r="U113" s="1443"/>
      <c r="V113" s="1443"/>
      <c r="W113" s="1443"/>
      <c r="X113" s="1443"/>
      <c r="Y113" s="1443"/>
      <c r="Z113" s="1443"/>
      <c r="AA113" s="1443"/>
      <c r="AB113" s="1443"/>
      <c r="AC113" s="1443"/>
      <c r="AD113" s="1443"/>
      <c r="AE113" s="1443"/>
      <c r="AF113" s="1443"/>
      <c r="AG113" s="1443"/>
      <c r="AH113" s="1443"/>
      <c r="AI113" s="1443"/>
      <c r="AJ113" s="1443"/>
      <c r="AK113" s="1228"/>
      <c r="AL113" s="1443"/>
      <c r="AM113" s="1443"/>
      <c r="AN113" s="1443"/>
      <c r="AO113" s="1443"/>
      <c r="AP113" s="1443"/>
      <c r="AQ113" s="1443"/>
      <c r="AR113" s="1443"/>
      <c r="AS113" s="1443"/>
      <c r="AT113" s="1443"/>
      <c r="AU113" s="1443"/>
      <c r="AV113" s="1443"/>
      <c r="AW113" s="1443"/>
      <c r="AX113" s="1443"/>
      <c r="AY113" s="1443"/>
      <c r="AZ113" s="2208"/>
      <c r="BA113" s="3265">
        <v>191</v>
      </c>
      <c r="BB113" s="3266">
        <v>5.9200000000000003E-2</v>
      </c>
      <c r="BC113" s="3632"/>
      <c r="BD113" s="1443"/>
      <c r="BE113" s="1443"/>
      <c r="BF113" s="3362"/>
      <c r="BG113" s="3362"/>
      <c r="BH113" s="1443"/>
      <c r="BI113" s="1443"/>
      <c r="BJ113" s="1443"/>
      <c r="BK113" s="1443"/>
      <c r="BL113" s="1443"/>
    </row>
    <row r="114" spans="1:64" ht="15.75">
      <c r="A114" s="1228"/>
      <c r="B114" s="1443"/>
      <c r="C114" s="1929"/>
      <c r="D114" s="1960" t="s">
        <v>474</v>
      </c>
      <c r="E114" s="1443"/>
      <c r="F114" s="3269" t="s">
        <v>4523</v>
      </c>
      <c r="G114" s="1443"/>
      <c r="H114" s="1443"/>
      <c r="I114" s="1443"/>
      <c r="J114" s="1443"/>
      <c r="K114" s="1443"/>
      <c r="L114" s="1443"/>
      <c r="M114" s="1443"/>
      <c r="N114" s="1443"/>
      <c r="O114" s="1443"/>
      <c r="P114" s="1443"/>
      <c r="Q114" s="1443"/>
      <c r="R114" s="1443"/>
      <c r="S114" s="1443"/>
      <c r="T114" s="1443"/>
      <c r="U114" s="1443"/>
      <c r="V114" s="1443"/>
      <c r="W114" s="1443"/>
      <c r="X114" s="1443"/>
      <c r="Y114" s="1443"/>
      <c r="Z114" s="1443"/>
      <c r="AA114" s="1443"/>
      <c r="AB114" s="1443"/>
      <c r="AC114" s="1443"/>
      <c r="AD114" s="1443"/>
      <c r="AE114" s="1443"/>
      <c r="AF114" s="1443"/>
      <c r="AG114" s="1443"/>
      <c r="AH114" s="1443"/>
      <c r="AI114" s="1443"/>
      <c r="AJ114" s="1443"/>
      <c r="AK114" s="1228"/>
      <c r="AL114" s="1443"/>
      <c r="AM114" s="1443"/>
      <c r="AN114" s="1443"/>
      <c r="AO114" s="1443"/>
      <c r="AP114" s="1443"/>
      <c r="AQ114" s="1443"/>
      <c r="AR114" s="1443"/>
      <c r="AS114" s="1443"/>
      <c r="AT114" s="1443"/>
      <c r="AU114" s="1443"/>
      <c r="AV114" s="1443"/>
      <c r="AW114" s="1443"/>
      <c r="AX114" s="1443"/>
      <c r="AY114" s="1443"/>
      <c r="AZ114" s="2208"/>
      <c r="BA114" s="3265">
        <v>192</v>
      </c>
      <c r="BB114" s="3266">
        <v>5.9700000000000003E-2</v>
      </c>
      <c r="BC114" s="3632"/>
      <c r="BD114" s="1443"/>
      <c r="BE114" s="1443"/>
      <c r="BF114" s="3362"/>
      <c r="BG114" s="3362"/>
      <c r="BH114" s="1443"/>
      <c r="BI114" s="1443"/>
      <c r="BJ114" s="1443"/>
      <c r="BK114" s="1443"/>
      <c r="BL114" s="1443"/>
    </row>
    <row r="115" spans="1:64" ht="14.25">
      <c r="A115" s="1228"/>
      <c r="B115" s="1443"/>
      <c r="C115" s="3269" t="s">
        <v>2088</v>
      </c>
      <c r="D115" s="1443"/>
      <c r="E115" s="1443"/>
      <c r="F115" s="1443"/>
      <c r="G115" s="1443"/>
      <c r="H115" s="1443"/>
      <c r="I115" s="1443"/>
      <c r="J115" s="1443"/>
      <c r="K115" s="1443"/>
      <c r="L115" s="1443"/>
      <c r="M115" s="1443"/>
      <c r="N115" s="1443"/>
      <c r="O115" s="1443"/>
      <c r="P115" s="1443"/>
      <c r="Q115" s="1443"/>
      <c r="R115" s="1443"/>
      <c r="S115" s="1443"/>
      <c r="T115" s="1443"/>
      <c r="U115" s="1443"/>
      <c r="V115" s="1443"/>
      <c r="W115" s="1443"/>
      <c r="X115" s="1443"/>
      <c r="Y115" s="1443"/>
      <c r="Z115" s="1443"/>
      <c r="AA115" s="1443"/>
      <c r="AB115" s="1443"/>
      <c r="AC115" s="1443"/>
      <c r="AD115" s="1443"/>
      <c r="AE115" s="1443"/>
      <c r="AF115" s="1443"/>
      <c r="AG115" s="1443"/>
      <c r="AH115" s="1443"/>
      <c r="AI115" s="1443"/>
      <c r="AJ115" s="1443"/>
      <c r="AK115" s="1228"/>
      <c r="AL115" s="1443"/>
      <c r="AM115" s="1443"/>
      <c r="AN115" s="1443"/>
      <c r="AO115" s="1443"/>
      <c r="AP115" s="1443"/>
      <c r="AQ115" s="1443"/>
      <c r="AR115" s="1443"/>
      <c r="AS115" s="1443"/>
      <c r="AT115" s="1443"/>
      <c r="AU115" s="1443"/>
      <c r="AV115" s="1443"/>
      <c r="AW115" s="1443"/>
      <c r="AX115" s="1443"/>
      <c r="AY115" s="1443"/>
      <c r="AZ115" s="2208"/>
      <c r="BA115" s="3265">
        <v>193</v>
      </c>
      <c r="BB115" s="3266">
        <v>6.0199999999999997E-2</v>
      </c>
      <c r="BC115" s="3632"/>
      <c r="BD115" s="1443"/>
      <c r="BE115" s="1443"/>
      <c r="BF115" s="3362"/>
      <c r="BG115" s="3362"/>
      <c r="BH115" s="1443"/>
      <c r="BI115" s="1443"/>
      <c r="BJ115" s="1443"/>
      <c r="BK115" s="1443"/>
      <c r="BL115" s="1443"/>
    </row>
    <row r="116" spans="1:64" ht="14.25">
      <c r="A116" s="1228"/>
      <c r="B116" s="1443"/>
      <c r="C116" s="3269" t="s">
        <v>2089</v>
      </c>
      <c r="D116" s="1443"/>
      <c r="E116" s="1443"/>
      <c r="F116" s="1443"/>
      <c r="G116" s="1443"/>
      <c r="H116" s="1443"/>
      <c r="I116" s="1443"/>
      <c r="J116" s="1443"/>
      <c r="K116" s="1443"/>
      <c r="L116" s="1443"/>
      <c r="M116" s="1443"/>
      <c r="N116" s="1443"/>
      <c r="O116" s="1443"/>
      <c r="P116" s="1443"/>
      <c r="Q116" s="1443"/>
      <c r="R116" s="1443"/>
      <c r="S116" s="1443"/>
      <c r="T116" s="1443"/>
      <c r="U116" s="1443"/>
      <c r="V116" s="1443"/>
      <c r="W116" s="1443"/>
      <c r="X116" s="1443"/>
      <c r="Y116" s="1443"/>
      <c r="Z116" s="1443"/>
      <c r="AA116" s="1443"/>
      <c r="AB116" s="1443"/>
      <c r="AC116" s="1443"/>
      <c r="AD116" s="1443"/>
      <c r="AE116" s="1443"/>
      <c r="AF116" s="1443"/>
      <c r="AG116" s="1443"/>
      <c r="AH116" s="1443"/>
      <c r="AI116" s="1443"/>
      <c r="AJ116" s="1443"/>
      <c r="AK116" s="1228"/>
      <c r="AL116" s="1443"/>
      <c r="AM116" s="1443"/>
      <c r="AN116" s="1443"/>
      <c r="AO116" s="1443"/>
      <c r="AP116" s="1443"/>
      <c r="AQ116" s="1443"/>
      <c r="AR116" s="1443"/>
      <c r="AS116" s="1443"/>
      <c r="AT116" s="1443"/>
      <c r="AU116" s="1443"/>
      <c r="AV116" s="1443"/>
      <c r="AW116" s="1443"/>
      <c r="AX116" s="1443"/>
      <c r="AY116" s="1443"/>
      <c r="AZ116" s="2208"/>
      <c r="BA116" s="3265">
        <v>194</v>
      </c>
      <c r="BB116" s="3266">
        <v>6.0600000000000001E-2</v>
      </c>
      <c r="BC116" s="3632"/>
      <c r="BD116" s="1443"/>
      <c r="BE116" s="1443"/>
      <c r="BF116" s="3362"/>
      <c r="BG116" s="3362"/>
      <c r="BH116" s="1443"/>
      <c r="BI116" s="1443"/>
      <c r="BJ116" s="1443"/>
      <c r="BK116" s="1443"/>
      <c r="BL116" s="1443"/>
    </row>
    <row r="117" spans="1:64">
      <c r="A117" s="1228"/>
      <c r="B117" s="1443"/>
      <c r="C117" s="1443"/>
      <c r="D117" s="1443"/>
      <c r="E117" s="1443"/>
      <c r="F117" s="1443"/>
      <c r="G117" s="1443"/>
      <c r="H117" s="1443"/>
      <c r="I117" s="1443"/>
      <c r="J117" s="1443"/>
      <c r="K117" s="1443"/>
      <c r="L117" s="1443"/>
      <c r="M117" s="1443"/>
      <c r="N117" s="1443"/>
      <c r="O117" s="1443"/>
      <c r="P117" s="1443"/>
      <c r="Q117" s="1443"/>
      <c r="R117" s="1443"/>
      <c r="S117" s="1443"/>
      <c r="T117" s="1443"/>
      <c r="U117" s="1443"/>
      <c r="V117" s="1443"/>
      <c r="W117" s="1443"/>
      <c r="X117" s="1443"/>
      <c r="Y117" s="1443"/>
      <c r="Z117" s="1443"/>
      <c r="AA117" s="1443"/>
      <c r="AB117" s="1443"/>
      <c r="AC117" s="1443"/>
      <c r="AD117" s="1443"/>
      <c r="AE117" s="1443"/>
      <c r="AF117" s="1443"/>
      <c r="AG117" s="1443"/>
      <c r="AH117" s="1443"/>
      <c r="AI117" s="1443"/>
      <c r="AJ117" s="1443"/>
      <c r="AK117" s="1228"/>
      <c r="AL117" s="1443"/>
      <c r="AM117" s="1443"/>
      <c r="AN117" s="1443"/>
      <c r="AO117" s="1443"/>
      <c r="AP117" s="1443"/>
      <c r="AQ117" s="1443"/>
      <c r="AR117" s="1443"/>
      <c r="AS117" s="1443"/>
      <c r="AT117" s="1443"/>
      <c r="AU117" s="1443"/>
      <c r="AV117" s="1443"/>
      <c r="AW117" s="1443"/>
      <c r="AX117" s="1443"/>
      <c r="AY117" s="1443"/>
      <c r="AZ117" s="2208"/>
      <c r="BA117" s="3265">
        <v>195</v>
      </c>
      <c r="BB117" s="3266">
        <v>6.1100000000000002E-2</v>
      </c>
      <c r="BC117" s="3632"/>
      <c r="BD117" s="1443"/>
      <c r="BE117" s="1443"/>
      <c r="BF117" s="3362"/>
      <c r="BG117" s="3362"/>
      <c r="BH117" s="1443"/>
      <c r="BI117" s="1443"/>
      <c r="BJ117" s="1443"/>
      <c r="BK117" s="1443"/>
      <c r="BL117" s="1443"/>
    </row>
    <row r="118" spans="1:64" ht="15.75">
      <c r="A118" s="1228"/>
      <c r="B118" s="1443"/>
      <c r="C118" s="1929"/>
      <c r="D118" s="1960" t="s">
        <v>1408</v>
      </c>
      <c r="E118" s="1443"/>
      <c r="F118" s="1443"/>
      <c r="G118" s="1443"/>
      <c r="H118" s="1443"/>
      <c r="I118" s="1443"/>
      <c r="J118" s="1443"/>
      <c r="K118" s="1443"/>
      <c r="L118" s="1443"/>
      <c r="M118" s="1443"/>
      <c r="N118" s="1443"/>
      <c r="O118" s="1443"/>
      <c r="P118" s="1443"/>
      <c r="Q118" s="1443"/>
      <c r="R118" s="1443"/>
      <c r="S118" s="1443"/>
      <c r="T118" s="1443"/>
      <c r="U118" s="1443"/>
      <c r="V118" s="1443"/>
      <c r="W118" s="1443"/>
      <c r="X118" s="1443"/>
      <c r="Y118" s="1443"/>
      <c r="Z118" s="1443"/>
      <c r="AA118" s="1443"/>
      <c r="AB118" s="1443"/>
      <c r="AC118" s="1443"/>
      <c r="AD118" s="1443"/>
      <c r="AE118" s="1443"/>
      <c r="AF118" s="1443"/>
      <c r="AG118" s="1443"/>
      <c r="AH118" s="1443"/>
      <c r="AI118" s="1443"/>
      <c r="AJ118" s="1443"/>
      <c r="AK118" s="1228"/>
      <c r="AL118" s="1443"/>
      <c r="AM118" s="1443"/>
      <c r="AN118" s="1443"/>
      <c r="AO118" s="1443"/>
      <c r="AP118" s="1443"/>
      <c r="AQ118" s="1443"/>
      <c r="AR118" s="1443"/>
      <c r="AS118" s="1443"/>
      <c r="AT118" s="1443"/>
      <c r="AU118" s="1443"/>
      <c r="AV118" s="1443"/>
      <c r="AW118" s="1443"/>
      <c r="AX118" s="1443"/>
      <c r="AY118" s="1443"/>
      <c r="AZ118" s="2208"/>
      <c r="BA118" s="3265">
        <v>196</v>
      </c>
      <c r="BB118" s="3266">
        <v>6.1600000000000002E-2</v>
      </c>
      <c r="BC118" s="3632"/>
      <c r="BD118" s="1443"/>
      <c r="BE118" s="1443"/>
      <c r="BF118" s="3362"/>
      <c r="BG118" s="3362"/>
      <c r="BH118" s="1443"/>
      <c r="BI118" s="1443"/>
      <c r="BJ118" s="1443"/>
      <c r="BK118" s="1443"/>
      <c r="BL118" s="1443"/>
    </row>
    <row r="119" spans="1:64" ht="13.5" thickBot="1">
      <c r="A119" s="1228"/>
      <c r="B119" s="1443"/>
      <c r="C119" s="1443"/>
      <c r="D119" s="1443"/>
      <c r="E119" s="1443"/>
      <c r="F119" s="1443"/>
      <c r="G119" s="1443"/>
      <c r="H119" s="1443"/>
      <c r="I119" s="1443"/>
      <c r="J119" s="1443"/>
      <c r="K119" s="1443"/>
      <c r="L119" s="1443"/>
      <c r="M119" s="1443"/>
      <c r="N119" s="1443"/>
      <c r="O119" s="1443"/>
      <c r="P119" s="1443"/>
      <c r="Q119" s="1443"/>
      <c r="R119" s="1443"/>
      <c r="S119" s="1443"/>
      <c r="T119" s="1443"/>
      <c r="U119" s="1443"/>
      <c r="V119" s="1443"/>
      <c r="W119" s="1443"/>
      <c r="X119" s="1443"/>
      <c r="Y119" s="1443"/>
      <c r="Z119" s="1443"/>
      <c r="AA119" s="1443"/>
      <c r="AB119" s="1443"/>
      <c r="AC119" s="1443"/>
      <c r="AD119" s="1443"/>
      <c r="AE119" s="1443"/>
      <c r="AF119" s="1443"/>
      <c r="AG119" s="1443"/>
      <c r="AH119" s="1443"/>
      <c r="AI119" s="1443"/>
      <c r="AJ119" s="1443"/>
      <c r="AK119" s="1228"/>
      <c r="AL119" s="1443"/>
      <c r="AM119" s="1443"/>
      <c r="AN119" s="1443"/>
      <c r="AO119" s="1443"/>
      <c r="AP119" s="1443"/>
      <c r="AQ119" s="1443"/>
      <c r="AR119" s="1443"/>
      <c r="AS119" s="1443"/>
      <c r="AT119" s="1443"/>
      <c r="AU119" s="1443"/>
      <c r="AV119" s="1443"/>
      <c r="AW119" s="1443"/>
      <c r="AX119" s="1443"/>
      <c r="AY119" s="1443"/>
      <c r="AZ119" s="2208"/>
      <c r="BA119" s="3265">
        <v>197</v>
      </c>
      <c r="BB119" s="3266">
        <v>6.2E-2</v>
      </c>
      <c r="BC119" s="3632"/>
      <c r="BD119" s="1443"/>
      <c r="BE119" s="1443"/>
      <c r="BF119" s="3362"/>
      <c r="BG119" s="3362"/>
      <c r="BH119" s="1443"/>
      <c r="BI119" s="1443"/>
      <c r="BJ119" s="1443"/>
      <c r="BK119" s="1443"/>
      <c r="BL119" s="1443"/>
    </row>
    <row r="120" spans="1:64" ht="18" customHeight="1">
      <c r="A120" s="1228"/>
      <c r="B120" s="2124" t="s">
        <v>135</v>
      </c>
      <c r="C120" s="2125"/>
      <c r="D120" s="1961" t="s">
        <v>1581</v>
      </c>
      <c r="E120" s="1962"/>
      <c r="F120" s="1962"/>
      <c r="G120" s="1962"/>
      <c r="H120" s="1962"/>
      <c r="I120" s="1962"/>
      <c r="J120" s="1962"/>
      <c r="K120" s="1962"/>
      <c r="L120" s="1962"/>
      <c r="M120" s="1962"/>
      <c r="N120" s="1962"/>
      <c r="O120" s="1962"/>
      <c r="P120" s="1962"/>
      <c r="Q120" s="1962"/>
      <c r="R120" s="1962"/>
      <c r="S120" s="1962"/>
      <c r="T120" s="1962"/>
      <c r="U120" s="1962"/>
      <c r="V120" s="1962"/>
      <c r="W120" s="1962"/>
      <c r="X120" s="1962"/>
      <c r="Y120" s="1962"/>
      <c r="Z120" s="1962"/>
      <c r="AA120" s="1962"/>
      <c r="AB120" s="1962"/>
      <c r="AC120" s="1962"/>
      <c r="AD120" s="1962"/>
      <c r="AE120" s="1962"/>
      <c r="AF120" s="1962"/>
      <c r="AG120" s="1962"/>
      <c r="AH120" s="1962"/>
      <c r="AI120" s="1962"/>
      <c r="AJ120" s="1962"/>
      <c r="AK120" s="1228"/>
      <c r="AL120" s="1443"/>
      <c r="AM120" s="1443"/>
      <c r="AN120" s="1443"/>
      <c r="AO120" s="1443"/>
      <c r="AP120" s="1443"/>
      <c r="AQ120" s="1443"/>
      <c r="AR120" s="1443"/>
      <c r="AS120" s="1443"/>
      <c r="AT120" s="1443"/>
      <c r="AU120" s="1443"/>
      <c r="AV120" s="1443"/>
      <c r="AW120" s="1443"/>
      <c r="AX120" s="1443"/>
      <c r="AY120" s="1443"/>
      <c r="AZ120" s="2208"/>
      <c r="BA120" s="3265">
        <v>198</v>
      </c>
      <c r="BB120" s="3266">
        <v>6.25E-2</v>
      </c>
      <c r="BC120" s="3632"/>
      <c r="BD120" s="1443"/>
      <c r="BE120" s="1443"/>
      <c r="BF120" s="3362"/>
      <c r="BG120" s="3362"/>
      <c r="BH120" s="1443"/>
      <c r="BI120" s="1443"/>
      <c r="BJ120" s="1443"/>
      <c r="BK120" s="1443"/>
      <c r="BL120" s="1443"/>
    </row>
    <row r="121" spans="1:64" ht="14.25">
      <c r="A121" s="1228"/>
      <c r="B121" s="3269" t="s">
        <v>4524</v>
      </c>
      <c r="C121" s="1443"/>
      <c r="D121" s="1443"/>
      <c r="E121" s="1443"/>
      <c r="F121" s="1443"/>
      <c r="G121" s="1443"/>
      <c r="H121" s="1443"/>
      <c r="I121" s="1443"/>
      <c r="J121" s="1443"/>
      <c r="K121" s="1443"/>
      <c r="L121" s="1443"/>
      <c r="M121" s="1443"/>
      <c r="N121" s="1443"/>
      <c r="O121" s="1443"/>
      <c r="P121" s="1443"/>
      <c r="Q121" s="1443"/>
      <c r="R121" s="1443"/>
      <c r="S121" s="1443"/>
      <c r="T121" s="1443"/>
      <c r="U121" s="1443"/>
      <c r="V121" s="1443"/>
      <c r="W121" s="1443"/>
      <c r="X121" s="1443"/>
      <c r="Y121" s="1443"/>
      <c r="Z121" s="1443"/>
      <c r="AA121" s="1443"/>
      <c r="AB121" s="1443"/>
      <c r="AC121" s="1443"/>
      <c r="AD121" s="1443"/>
      <c r="AE121" s="1443"/>
      <c r="AF121" s="1443"/>
      <c r="AG121" s="1443"/>
      <c r="AH121" s="1443"/>
      <c r="AI121" s="1443"/>
      <c r="AJ121" s="1443"/>
      <c r="AK121" s="1228"/>
      <c r="AL121" s="1443"/>
      <c r="AM121" s="1443"/>
      <c r="AN121" s="1443"/>
      <c r="AO121" s="1443"/>
      <c r="AP121" s="1443"/>
      <c r="AQ121" s="1443"/>
      <c r="AR121" s="1443"/>
      <c r="AS121" s="1443"/>
      <c r="AT121" s="1443"/>
      <c r="AU121" s="1443"/>
      <c r="AV121" s="1443"/>
      <c r="AW121" s="1443"/>
      <c r="AX121" s="1443"/>
      <c r="AY121" s="1443"/>
      <c r="AZ121" s="2208"/>
      <c r="BA121" s="3265">
        <v>199</v>
      </c>
      <c r="BB121" s="3266">
        <v>6.2899999999999998E-2</v>
      </c>
      <c r="BC121" s="3632"/>
      <c r="BD121" s="1443"/>
      <c r="BE121" s="1443"/>
      <c r="BF121" s="3362"/>
      <c r="BG121" s="3362"/>
      <c r="BH121" s="1443"/>
      <c r="BI121" s="1443"/>
      <c r="BJ121" s="1443"/>
      <c r="BK121" s="1443"/>
      <c r="BL121" s="1443"/>
    </row>
    <row r="122" spans="1:64" ht="14.25">
      <c r="A122" s="1228"/>
      <c r="B122" s="3388" t="s">
        <v>1582</v>
      </c>
      <c r="C122" s="1936"/>
      <c r="D122" s="1936"/>
      <c r="E122" s="1936"/>
      <c r="F122" s="1936"/>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6"/>
      <c r="AJ122" s="1936"/>
      <c r="AK122" s="1228"/>
      <c r="AL122" s="1443"/>
      <c r="AM122" s="1443"/>
      <c r="AN122" s="1443"/>
      <c r="AO122" s="1443"/>
      <c r="AP122" s="1443"/>
      <c r="AQ122" s="1443"/>
      <c r="AR122" s="1443"/>
      <c r="AS122" s="1443"/>
      <c r="AT122" s="1443"/>
      <c r="AU122" s="1443"/>
      <c r="AV122" s="1443"/>
      <c r="AW122" s="1443"/>
      <c r="AX122" s="1443"/>
      <c r="AY122" s="1443"/>
      <c r="AZ122" s="2208"/>
      <c r="BA122" s="3265">
        <v>200</v>
      </c>
      <c r="BB122" s="3266">
        <v>6.3399999999999998E-2</v>
      </c>
      <c r="BC122" s="3634"/>
      <c r="BD122" s="1443"/>
      <c r="BE122" s="1443"/>
      <c r="BF122" s="3362"/>
      <c r="BG122" s="3362"/>
      <c r="BH122" s="1443"/>
      <c r="BI122" s="1443"/>
      <c r="BJ122" s="1443"/>
      <c r="BK122" s="1443"/>
      <c r="BL122" s="1443"/>
    </row>
    <row r="123" spans="1:64" ht="15">
      <c r="A123" s="1228"/>
      <c r="B123" s="8099" t="s">
        <v>1414</v>
      </c>
      <c r="C123" s="2120"/>
      <c r="D123" s="8097" t="s">
        <v>1412</v>
      </c>
      <c r="E123" s="7293"/>
      <c r="F123" s="7293"/>
      <c r="G123" s="7293"/>
      <c r="H123" s="7225"/>
      <c r="I123" s="2383" t="s">
        <v>1137</v>
      </c>
      <c r="J123" s="8229" t="s">
        <v>1409</v>
      </c>
      <c r="K123" s="8229"/>
      <c r="L123" s="8229"/>
      <c r="M123" s="8229"/>
      <c r="N123" s="8229"/>
      <c r="O123" s="8230"/>
      <c r="P123" s="2382" t="s">
        <v>1139</v>
      </c>
      <c r="Q123" s="8231" t="s">
        <v>2090</v>
      </c>
      <c r="R123" s="8229"/>
      <c r="S123" s="8229"/>
      <c r="T123" s="8229"/>
      <c r="U123" s="8229"/>
      <c r="V123" s="8230"/>
      <c r="W123" s="2382" t="s">
        <v>1142</v>
      </c>
      <c r="X123" s="8229" t="s">
        <v>1410</v>
      </c>
      <c r="Y123" s="8229"/>
      <c r="Z123" s="8229"/>
      <c r="AA123" s="8229"/>
      <c r="AB123" s="8229"/>
      <c r="AC123" s="8230"/>
      <c r="AD123" s="2382" t="s">
        <v>938</v>
      </c>
      <c r="AE123" s="8229" t="s">
        <v>1411</v>
      </c>
      <c r="AF123" s="8229"/>
      <c r="AG123" s="8229"/>
      <c r="AH123" s="8229"/>
      <c r="AI123" s="8229"/>
      <c r="AJ123" s="8229"/>
      <c r="AK123" s="1228"/>
      <c r="AL123" s="1443"/>
      <c r="AM123" s="1443"/>
      <c r="AN123" s="1443"/>
      <c r="AO123" s="1443"/>
      <c r="AP123" s="1443"/>
      <c r="AQ123" s="1443"/>
      <c r="AR123" s="1443"/>
      <c r="AS123" s="1443"/>
      <c r="AT123" s="1443"/>
      <c r="AU123" s="1443"/>
      <c r="AV123" s="1443"/>
      <c r="AW123" s="1443"/>
      <c r="AX123" s="1443"/>
      <c r="AY123" s="1443"/>
      <c r="AZ123" s="2208"/>
      <c r="BA123" s="3265">
        <v>201</v>
      </c>
      <c r="BB123" s="3266">
        <v>6.3799999999999996E-2</v>
      </c>
      <c r="BC123" s="3632"/>
      <c r="BD123" s="1443"/>
      <c r="BE123" s="1443"/>
      <c r="BF123" s="3362"/>
      <c r="BG123" s="3362"/>
      <c r="BH123" s="1443"/>
      <c r="BI123" s="1443"/>
      <c r="BJ123" s="1443"/>
      <c r="BK123" s="1443"/>
      <c r="BL123" s="1443"/>
    </row>
    <row r="124" spans="1:64" ht="25.5" customHeight="1">
      <c r="A124" s="1228"/>
      <c r="B124" s="7712"/>
      <c r="C124" s="2129"/>
      <c r="D124" s="6065"/>
      <c r="E124" s="6065"/>
      <c r="F124" s="6065"/>
      <c r="G124" s="6065"/>
      <c r="H124" s="6066"/>
      <c r="I124" s="8224"/>
      <c r="J124" s="8225"/>
      <c r="K124" s="8225"/>
      <c r="L124" s="8225"/>
      <c r="M124" s="8225"/>
      <c r="N124" s="8226"/>
      <c r="O124" s="8227"/>
      <c r="P124" s="8215"/>
      <c r="Q124" s="8180"/>
      <c r="R124" s="8180"/>
      <c r="S124" s="8180"/>
      <c r="T124" s="8180"/>
      <c r="U124" s="8181"/>
      <c r="V124" s="8228"/>
      <c r="W124" s="8215"/>
      <c r="X124" s="8180"/>
      <c r="Y124" s="8180"/>
      <c r="Z124" s="8180"/>
      <c r="AA124" s="8180"/>
      <c r="AB124" s="8181"/>
      <c r="AC124" s="8228"/>
      <c r="AD124" s="8215"/>
      <c r="AE124" s="8180"/>
      <c r="AF124" s="8180"/>
      <c r="AG124" s="8180"/>
      <c r="AH124" s="8180"/>
      <c r="AI124" s="8181"/>
      <c r="AJ124" s="8181"/>
      <c r="AK124" s="1228"/>
      <c r="AL124" s="1443"/>
      <c r="AM124" s="1443"/>
      <c r="AN124" s="1443"/>
      <c r="AO124" s="1443"/>
      <c r="AP124" s="1443"/>
      <c r="AQ124" s="1443"/>
      <c r="AR124" s="1443"/>
      <c r="AS124" s="1443"/>
      <c r="AT124" s="1443"/>
      <c r="AU124" s="1443"/>
      <c r="AV124" s="1443"/>
      <c r="AW124" s="1443"/>
      <c r="AX124" s="1443"/>
      <c r="AY124" s="1443"/>
      <c r="AZ124" s="2208"/>
      <c r="BA124" s="3265">
        <v>202</v>
      </c>
      <c r="BB124" s="3266">
        <v>6.4100000000000004E-2</v>
      </c>
      <c r="BC124" s="3632"/>
      <c r="BD124" s="1443"/>
      <c r="BE124" s="1443"/>
      <c r="BF124" s="3362"/>
      <c r="BG124" s="3362"/>
      <c r="BH124" s="1443"/>
      <c r="BI124" s="1443"/>
      <c r="BJ124" s="1443"/>
      <c r="BK124" s="1443"/>
      <c r="BL124" s="1443"/>
    </row>
    <row r="125" spans="1:64" ht="15">
      <c r="A125" s="1228"/>
      <c r="B125" s="8099" t="s">
        <v>1415</v>
      </c>
      <c r="C125" s="2120"/>
      <c r="D125" s="8097" t="s">
        <v>1413</v>
      </c>
      <c r="E125" s="7293"/>
      <c r="F125" s="7293"/>
      <c r="G125" s="7293"/>
      <c r="H125" s="7225"/>
      <c r="I125" s="2383" t="s">
        <v>1137</v>
      </c>
      <c r="J125" s="8229" t="s">
        <v>1409</v>
      </c>
      <c r="K125" s="8229"/>
      <c r="L125" s="8229"/>
      <c r="M125" s="8229"/>
      <c r="N125" s="8229"/>
      <c r="O125" s="8230"/>
      <c r="P125" s="2382" t="s">
        <v>1139</v>
      </c>
      <c r="Q125" s="8231" t="s">
        <v>2090</v>
      </c>
      <c r="R125" s="8229"/>
      <c r="S125" s="8229"/>
      <c r="T125" s="8229"/>
      <c r="U125" s="8229"/>
      <c r="V125" s="8230"/>
      <c r="W125" s="2382" t="s">
        <v>1142</v>
      </c>
      <c r="X125" s="8229" t="s">
        <v>1410</v>
      </c>
      <c r="Y125" s="8229"/>
      <c r="Z125" s="8229"/>
      <c r="AA125" s="8229"/>
      <c r="AB125" s="8229"/>
      <c r="AC125" s="8230"/>
      <c r="AD125" s="2382" t="s">
        <v>938</v>
      </c>
      <c r="AE125" s="8229" t="s">
        <v>1411</v>
      </c>
      <c r="AF125" s="8229"/>
      <c r="AG125" s="8229"/>
      <c r="AH125" s="8229"/>
      <c r="AI125" s="8229"/>
      <c r="AJ125" s="8229"/>
      <c r="AK125" s="1228"/>
      <c r="AL125" s="1443"/>
      <c r="AM125" s="1443"/>
      <c r="AN125" s="1443"/>
      <c r="AO125" s="1443"/>
      <c r="AP125" s="1443"/>
      <c r="AQ125" s="1443"/>
      <c r="AR125" s="1443"/>
      <c r="AS125" s="1443"/>
      <c r="AT125" s="1443"/>
      <c r="AU125" s="1443"/>
      <c r="AV125" s="1443"/>
      <c r="AW125" s="1443"/>
      <c r="AX125" s="1443"/>
      <c r="AY125" s="1443"/>
      <c r="AZ125" s="2208"/>
      <c r="BA125" s="3265">
        <v>203</v>
      </c>
      <c r="BB125" s="3266">
        <v>6.4500000000000002E-2</v>
      </c>
      <c r="BC125" s="3632"/>
      <c r="BD125" s="1443"/>
      <c r="BE125" s="1443"/>
      <c r="BF125" s="3362"/>
      <c r="BG125" s="3362"/>
      <c r="BH125" s="1443"/>
      <c r="BI125" s="1443"/>
      <c r="BJ125" s="1443"/>
      <c r="BK125" s="1443"/>
      <c r="BL125" s="1443"/>
    </row>
    <row r="126" spans="1:64" ht="27" customHeight="1" thickBot="1">
      <c r="A126" s="1228"/>
      <c r="B126" s="6988"/>
      <c r="C126" s="2131"/>
      <c r="D126" s="5629"/>
      <c r="E126" s="5629"/>
      <c r="F126" s="5629"/>
      <c r="G126" s="5629"/>
      <c r="H126" s="8098"/>
      <c r="I126" s="8216"/>
      <c r="J126" s="8217"/>
      <c r="K126" s="8217"/>
      <c r="L126" s="8217"/>
      <c r="M126" s="8217"/>
      <c r="N126" s="8218"/>
      <c r="O126" s="8219"/>
      <c r="P126" s="8220"/>
      <c r="Q126" s="8221"/>
      <c r="R126" s="8221"/>
      <c r="S126" s="8221"/>
      <c r="T126" s="8221"/>
      <c r="U126" s="8222"/>
      <c r="V126" s="8223"/>
      <c r="W126" s="8220"/>
      <c r="X126" s="8221"/>
      <c r="Y126" s="8221"/>
      <c r="Z126" s="8221"/>
      <c r="AA126" s="8221"/>
      <c r="AB126" s="8222"/>
      <c r="AC126" s="8223"/>
      <c r="AD126" s="8220"/>
      <c r="AE126" s="8221"/>
      <c r="AF126" s="8221"/>
      <c r="AG126" s="8221"/>
      <c r="AH126" s="8221"/>
      <c r="AI126" s="8222"/>
      <c r="AJ126" s="8222"/>
      <c r="AK126" s="1228"/>
      <c r="AL126" s="2379"/>
      <c r="AM126" s="2379"/>
      <c r="AN126" s="2379"/>
      <c r="AO126" s="1443"/>
      <c r="AP126" s="1443"/>
      <c r="AQ126" s="1443"/>
      <c r="AR126" s="1443"/>
      <c r="AS126" s="1443"/>
      <c r="AT126" s="1443"/>
      <c r="AU126" s="1443"/>
      <c r="AV126" s="1443"/>
      <c r="AW126" s="1443"/>
      <c r="AX126" s="1443"/>
      <c r="AY126" s="1443"/>
      <c r="AZ126" s="2208"/>
      <c r="BA126" s="3265">
        <v>204</v>
      </c>
      <c r="BB126" s="3266">
        <v>6.4799999999999996E-2</v>
      </c>
      <c r="BC126" s="3632"/>
      <c r="BD126" s="1443"/>
      <c r="BE126" s="1443"/>
      <c r="BF126" s="3362"/>
      <c r="BG126" s="3362"/>
      <c r="BH126" s="1443"/>
      <c r="BI126" s="1443"/>
      <c r="BJ126" s="1443"/>
      <c r="BK126" s="1443"/>
      <c r="BL126" s="1443"/>
    </row>
    <row r="127" spans="1:64" ht="15.75">
      <c r="A127" s="1228"/>
      <c r="B127" s="2130"/>
      <c r="C127" s="74"/>
      <c r="D127" s="74"/>
      <c r="E127" s="74"/>
      <c r="F127" s="74"/>
      <c r="G127" s="74"/>
      <c r="H127" s="74"/>
      <c r="I127" s="74"/>
      <c r="J127" s="74"/>
      <c r="K127" s="74"/>
      <c r="L127" s="74"/>
      <c r="M127" s="74"/>
      <c r="N127" s="74"/>
      <c r="O127" s="74"/>
      <c r="P127" s="74"/>
      <c r="Q127" s="24"/>
      <c r="R127" s="24"/>
      <c r="S127" s="24"/>
      <c r="T127" s="24"/>
      <c r="U127" s="538"/>
      <c r="V127" s="24"/>
      <c r="W127" s="538"/>
      <c r="X127" s="24"/>
      <c r="Y127" s="24"/>
      <c r="Z127" s="24"/>
      <c r="AA127" s="24"/>
      <c r="AB127" s="24"/>
      <c r="AC127" s="24"/>
      <c r="AD127" s="24"/>
      <c r="AE127" s="24"/>
      <c r="AF127" s="24"/>
      <c r="AG127" s="24"/>
      <c r="AH127" s="1127" t="s">
        <v>1396</v>
      </c>
      <c r="AI127" s="24"/>
      <c r="AJ127" s="1127" t="str">
        <f>"("&amp;TaxYear&amp;")"</f>
        <v>(2018)</v>
      </c>
      <c r="AK127" s="1228"/>
      <c r="AL127" s="2379"/>
      <c r="AM127" s="2379"/>
      <c r="AN127" s="2379"/>
      <c r="AO127" s="2379"/>
      <c r="AP127" s="1443"/>
      <c r="AQ127" s="1443"/>
      <c r="AR127" s="1443"/>
      <c r="AS127" s="1443"/>
      <c r="AT127" s="1443"/>
      <c r="AU127" s="1443"/>
      <c r="AV127" s="1443"/>
      <c r="AW127" s="1443"/>
      <c r="AX127" s="1443"/>
      <c r="AY127" s="1443"/>
      <c r="AZ127" s="2208"/>
      <c r="BA127" s="3265">
        <v>205</v>
      </c>
      <c r="BB127" s="3266">
        <v>6.5199999999999994E-2</v>
      </c>
      <c r="BC127" s="3632"/>
      <c r="BD127" s="1443"/>
      <c r="BE127" s="1443"/>
      <c r="BF127" s="3362"/>
      <c r="BG127" s="3362"/>
      <c r="BH127" s="1443"/>
      <c r="BI127" s="1443"/>
      <c r="BJ127" s="1443"/>
      <c r="BK127" s="1443"/>
      <c r="BL127" s="1443"/>
    </row>
    <row r="128" spans="1:64" ht="21.75" customHeight="1">
      <c r="A128" s="1228"/>
      <c r="B128" s="1228"/>
      <c r="C128" s="1228"/>
      <c r="D128" s="1228"/>
      <c r="E128" s="1228"/>
      <c r="F128" s="1228"/>
      <c r="G128" s="1228"/>
      <c r="H128" s="1228"/>
      <c r="I128" s="1228"/>
      <c r="J128" s="1228"/>
      <c r="K128" s="1228"/>
      <c r="L128" s="1228"/>
      <c r="M128" s="1228"/>
      <c r="N128" s="1228"/>
      <c r="O128" s="1228"/>
      <c r="P128" s="1228"/>
      <c r="Q128" s="1228"/>
      <c r="R128" s="1228"/>
      <c r="S128" s="1228"/>
      <c r="T128" s="1228"/>
      <c r="U128" s="1228"/>
      <c r="V128" s="1228"/>
      <c r="W128" s="1228"/>
      <c r="X128" s="1228"/>
      <c r="Y128" s="1228"/>
      <c r="Z128" s="1228"/>
      <c r="AA128" s="1228"/>
      <c r="AB128" s="1228"/>
      <c r="AC128" s="1228"/>
      <c r="AD128" s="1228"/>
      <c r="AE128" s="1228"/>
      <c r="AF128" s="1228"/>
      <c r="AG128" s="1228"/>
      <c r="AH128" s="1228"/>
      <c r="AI128" s="1228"/>
      <c r="AJ128" s="1228"/>
      <c r="AK128" s="1228"/>
      <c r="AL128" s="1443"/>
      <c r="AM128" s="1443"/>
      <c r="AN128" s="1443"/>
      <c r="AO128" s="1443"/>
      <c r="AP128" s="1443"/>
      <c r="AQ128" s="1443"/>
      <c r="AR128" s="1443"/>
      <c r="AS128" s="1443"/>
      <c r="AT128" s="1443"/>
      <c r="AU128" s="1443"/>
      <c r="AV128" s="1443"/>
      <c r="AW128" s="1443"/>
      <c r="AX128" s="1443"/>
      <c r="AY128" s="1443"/>
      <c r="AZ128" s="2208"/>
      <c r="BA128" s="3265">
        <v>206</v>
      </c>
      <c r="BB128" s="3266">
        <v>6.5500000000000003E-2</v>
      </c>
      <c r="BC128" s="3632"/>
      <c r="BD128" s="1443"/>
      <c r="BE128" s="1443"/>
      <c r="BF128" s="3362"/>
      <c r="BG128" s="3362"/>
      <c r="BH128" s="1443"/>
      <c r="BI128" s="1443"/>
      <c r="BJ128" s="1443"/>
      <c r="BK128" s="1443"/>
      <c r="BL128" s="1443"/>
    </row>
    <row r="129" spans="38:64">
      <c r="AL129" s="1443"/>
      <c r="AM129" s="1443"/>
      <c r="AN129" s="1443"/>
      <c r="AZ129" s="2208"/>
      <c r="BA129" s="3265">
        <v>207</v>
      </c>
      <c r="BB129" s="3266">
        <v>6.59E-2</v>
      </c>
      <c r="BC129" s="3632"/>
      <c r="BD129" s="1443"/>
      <c r="BE129" s="1443"/>
      <c r="BF129" s="3362"/>
      <c r="BG129" s="3362"/>
      <c r="BH129" s="1443"/>
      <c r="BI129" s="1443"/>
      <c r="BJ129" s="1443"/>
      <c r="BK129" s="1443"/>
      <c r="BL129" s="1443"/>
    </row>
    <row r="130" spans="38:64">
      <c r="AZ130" s="2208"/>
      <c r="BA130" s="3265">
        <v>208</v>
      </c>
      <c r="BB130" s="3266">
        <v>6.6199999999999995E-2</v>
      </c>
      <c r="BF130" s="3253"/>
      <c r="BG130" s="3253"/>
    </row>
    <row r="131" spans="38:64">
      <c r="AZ131" s="2208"/>
      <c r="BA131" s="3265">
        <v>209</v>
      </c>
      <c r="BB131" s="3266">
        <v>6.6600000000000006E-2</v>
      </c>
      <c r="BF131" s="3253"/>
      <c r="BG131" s="3253"/>
    </row>
    <row r="132" spans="38:64">
      <c r="AZ132" s="2208"/>
      <c r="BA132" s="3265">
        <v>210</v>
      </c>
      <c r="BB132" s="3266">
        <v>6.6900000000000001E-2</v>
      </c>
      <c r="BF132" s="3253"/>
      <c r="BG132" s="3253"/>
    </row>
    <row r="133" spans="38:64">
      <c r="AZ133" s="2208"/>
      <c r="BA133" s="3265">
        <v>211</v>
      </c>
      <c r="BB133" s="3266">
        <v>6.7299999999999999E-2</v>
      </c>
      <c r="BF133" s="3253"/>
      <c r="BG133" s="3253"/>
    </row>
    <row r="134" spans="38:64">
      <c r="AZ134" s="2208"/>
      <c r="BA134" s="3265">
        <v>212</v>
      </c>
      <c r="BB134" s="3266">
        <v>6.7599999999999993E-2</v>
      </c>
      <c r="BF134" s="3253"/>
      <c r="BG134" s="3253"/>
    </row>
    <row r="135" spans="38:64">
      <c r="AZ135" s="2208"/>
      <c r="BA135" s="3265">
        <v>213</v>
      </c>
      <c r="BB135" s="3266">
        <v>6.8000000000000005E-2</v>
      </c>
      <c r="BF135" s="3253"/>
      <c r="BG135" s="3253"/>
    </row>
    <row r="136" spans="38:64">
      <c r="AZ136" s="2208"/>
      <c r="BA136" s="3265">
        <v>214</v>
      </c>
      <c r="BB136" s="3266">
        <v>6.83E-2</v>
      </c>
      <c r="BF136" s="3253"/>
      <c r="BG136" s="3253"/>
    </row>
    <row r="137" spans="38:64">
      <c r="AZ137" s="2208"/>
      <c r="BA137" s="3265">
        <v>215</v>
      </c>
      <c r="BB137" s="3266">
        <v>6.8699999999999997E-2</v>
      </c>
      <c r="BF137" s="3253"/>
      <c r="BG137" s="3253"/>
    </row>
    <row r="138" spans="38:64">
      <c r="AZ138" s="2208"/>
      <c r="BA138" s="3265">
        <v>216</v>
      </c>
      <c r="BB138" s="3266">
        <v>6.9000000000000006E-2</v>
      </c>
      <c r="BF138" s="3253"/>
      <c r="BG138" s="3253"/>
    </row>
    <row r="139" spans="38:64">
      <c r="AZ139" s="2208"/>
      <c r="BA139" s="3265">
        <v>217</v>
      </c>
      <c r="BB139" s="3266">
        <v>6.9400000000000003E-2</v>
      </c>
      <c r="BF139" s="3253"/>
      <c r="BG139" s="3253"/>
    </row>
    <row r="140" spans="38:64">
      <c r="AZ140" s="2208"/>
      <c r="BA140" s="3265">
        <v>218</v>
      </c>
      <c r="BB140" s="3266">
        <v>6.9699999999999998E-2</v>
      </c>
      <c r="BF140" s="3253"/>
      <c r="BG140" s="3253"/>
    </row>
    <row r="141" spans="38:64">
      <c r="AZ141" s="2208"/>
      <c r="BA141" s="3265">
        <v>219</v>
      </c>
      <c r="BB141" s="3266">
        <v>7.0099999999999996E-2</v>
      </c>
      <c r="BF141" s="3253"/>
      <c r="BG141" s="3253"/>
    </row>
    <row r="142" spans="38:64">
      <c r="AZ142" s="2208"/>
      <c r="BA142" s="3265">
        <v>220</v>
      </c>
      <c r="BB142" s="3266">
        <v>7.0400000000000004E-2</v>
      </c>
      <c r="BF142" s="3253"/>
      <c r="BG142" s="3253"/>
    </row>
    <row r="143" spans="38:64">
      <c r="AZ143" s="2208"/>
      <c r="BA143" s="3265">
        <v>221</v>
      </c>
      <c r="BB143" s="3266">
        <v>7.0800000000000002E-2</v>
      </c>
      <c r="BF143" s="3253"/>
      <c r="BG143" s="3253"/>
    </row>
    <row r="144" spans="38:64">
      <c r="AZ144" s="2208"/>
      <c r="BA144" s="3265">
        <v>222</v>
      </c>
      <c r="BB144" s="3266">
        <v>7.1099999999999997E-2</v>
      </c>
      <c r="BF144" s="3253"/>
      <c r="BG144" s="3253"/>
    </row>
    <row r="145" spans="52:59">
      <c r="AZ145" s="2208"/>
      <c r="BA145" s="3265">
        <v>223</v>
      </c>
      <c r="BB145" s="3266">
        <v>7.1499999999999994E-2</v>
      </c>
      <c r="BF145" s="3253"/>
      <c r="BG145" s="3253"/>
    </row>
    <row r="146" spans="52:59">
      <c r="AZ146" s="2208"/>
      <c r="BA146" s="3265">
        <v>224</v>
      </c>
      <c r="BB146" s="3266">
        <v>7.1800000000000003E-2</v>
      </c>
      <c r="BF146" s="3253"/>
      <c r="BG146" s="3253"/>
    </row>
    <row r="147" spans="52:59">
      <c r="AZ147" s="2208"/>
      <c r="BA147" s="3265">
        <v>225</v>
      </c>
      <c r="BB147" s="3266">
        <v>7.22E-2</v>
      </c>
      <c r="BF147" s="3253"/>
      <c r="BG147" s="3253"/>
    </row>
    <row r="148" spans="52:59">
      <c r="AZ148" s="2208"/>
      <c r="BA148" s="3265">
        <v>226</v>
      </c>
      <c r="BB148" s="3266">
        <v>7.2599999999999998E-2</v>
      </c>
      <c r="BF148" s="3253"/>
      <c r="BG148" s="3253"/>
    </row>
    <row r="149" spans="52:59">
      <c r="AZ149" s="2208"/>
      <c r="BA149" s="3265">
        <v>227</v>
      </c>
      <c r="BB149" s="3266">
        <v>7.2900000000000006E-2</v>
      </c>
      <c r="BF149" s="3253"/>
      <c r="BG149" s="3253"/>
    </row>
    <row r="150" spans="52:59">
      <c r="AZ150" s="2208"/>
      <c r="BA150" s="3265">
        <v>228</v>
      </c>
      <c r="BB150" s="3266">
        <v>7.3300000000000004E-2</v>
      </c>
      <c r="BF150" s="3253"/>
      <c r="BG150" s="3253"/>
    </row>
    <row r="151" spans="52:59">
      <c r="AZ151" s="2208"/>
      <c r="BA151" s="3265">
        <v>229</v>
      </c>
      <c r="BB151" s="3266">
        <v>7.3599999999999999E-2</v>
      </c>
      <c r="BF151" s="3253"/>
      <c r="BG151" s="3253"/>
    </row>
    <row r="152" spans="52:59">
      <c r="AZ152" s="2208"/>
      <c r="BA152" s="3265">
        <v>230</v>
      </c>
      <c r="BB152" s="3266">
        <v>7.3999999999999996E-2</v>
      </c>
      <c r="BF152" s="3253"/>
      <c r="BG152" s="3253"/>
    </row>
    <row r="153" spans="52:59">
      <c r="AZ153" s="2208"/>
      <c r="BA153" s="3265">
        <v>231</v>
      </c>
      <c r="BB153" s="3266">
        <v>7.4300000000000005E-2</v>
      </c>
      <c r="BF153" s="3253"/>
      <c r="BG153" s="3253"/>
    </row>
    <row r="154" spans="52:59">
      <c r="AZ154" s="2208"/>
      <c r="BA154" s="3265">
        <v>232</v>
      </c>
      <c r="BB154" s="3266">
        <v>7.4700000000000003E-2</v>
      </c>
      <c r="BF154" s="3253"/>
      <c r="BG154" s="3253"/>
    </row>
    <row r="155" spans="52:59">
      <c r="AZ155" s="2208"/>
      <c r="BA155" s="3265">
        <v>233</v>
      </c>
      <c r="BB155" s="3266">
        <v>7.4999999999999997E-2</v>
      </c>
      <c r="BF155" s="3253"/>
      <c r="BG155" s="3253"/>
    </row>
    <row r="156" spans="52:59">
      <c r="AZ156" s="2208"/>
      <c r="BA156" s="3265">
        <v>234</v>
      </c>
      <c r="BB156" s="3266">
        <v>7.5399999999999995E-2</v>
      </c>
      <c r="BF156" s="3253"/>
      <c r="BG156" s="3253"/>
    </row>
    <row r="157" spans="52:59">
      <c r="AZ157" s="2208"/>
      <c r="BA157" s="3265">
        <v>235</v>
      </c>
      <c r="BB157" s="3266">
        <v>7.5700000000000003E-2</v>
      </c>
      <c r="BF157" s="3253"/>
      <c r="BG157" s="3253"/>
    </row>
    <row r="158" spans="52:59">
      <c r="AZ158" s="2208"/>
      <c r="BA158" s="3265">
        <v>236</v>
      </c>
      <c r="BB158" s="3266">
        <v>7.6100000000000001E-2</v>
      </c>
      <c r="BF158" s="3253"/>
      <c r="BG158" s="3253"/>
    </row>
    <row r="159" spans="52:59">
      <c r="AZ159" s="2208"/>
      <c r="BA159" s="3265">
        <v>237</v>
      </c>
      <c r="BB159" s="3266">
        <v>7.6399999999999996E-2</v>
      </c>
      <c r="BF159" s="3253"/>
      <c r="BG159" s="3253"/>
    </row>
    <row r="160" spans="52:59">
      <c r="AZ160" s="2208"/>
      <c r="BA160" s="3265">
        <v>238</v>
      </c>
      <c r="BB160" s="3266">
        <v>7.6799999999999993E-2</v>
      </c>
      <c r="BF160" s="3253"/>
      <c r="BG160" s="3253"/>
    </row>
    <row r="161" spans="52:59">
      <c r="AZ161" s="2208"/>
      <c r="BA161" s="3265">
        <v>239</v>
      </c>
      <c r="BB161" s="3266">
        <v>7.7100000000000002E-2</v>
      </c>
      <c r="BF161" s="3253"/>
      <c r="BG161" s="3253"/>
    </row>
    <row r="162" spans="52:59">
      <c r="AZ162" s="2208"/>
      <c r="BA162" s="3265">
        <v>240</v>
      </c>
      <c r="BB162" s="3266">
        <v>7.7499999999999999E-2</v>
      </c>
      <c r="BF162" s="3253"/>
      <c r="BG162" s="3253"/>
    </row>
    <row r="163" spans="52:59">
      <c r="AZ163" s="2208"/>
      <c r="BA163" s="3265">
        <v>241</v>
      </c>
      <c r="BB163" s="3266">
        <v>7.7799999999999994E-2</v>
      </c>
      <c r="BF163" s="3253"/>
      <c r="BG163" s="3253"/>
    </row>
    <row r="164" spans="52:59">
      <c r="AZ164" s="2208"/>
      <c r="BA164" s="3265">
        <v>242</v>
      </c>
      <c r="BB164" s="3266">
        <v>7.8200000000000006E-2</v>
      </c>
      <c r="BF164" s="3253"/>
      <c r="BG164" s="3253"/>
    </row>
    <row r="165" spans="52:59">
      <c r="AZ165" s="2208"/>
      <c r="BA165" s="3265">
        <v>243</v>
      </c>
      <c r="BB165" s="3266">
        <v>7.85E-2</v>
      </c>
      <c r="BF165" s="3253"/>
      <c r="BG165" s="3253"/>
    </row>
    <row r="166" spans="52:59">
      <c r="AZ166" s="2208"/>
      <c r="BA166" s="3265">
        <v>244</v>
      </c>
      <c r="BB166" s="3266">
        <v>7.8899999999999998E-2</v>
      </c>
      <c r="BF166" s="3253"/>
      <c r="BG166" s="3253"/>
    </row>
    <row r="167" spans="52:59">
      <c r="AZ167" s="2208"/>
      <c r="BA167" s="3265">
        <v>245</v>
      </c>
      <c r="BB167" s="3266">
        <v>7.9200000000000007E-2</v>
      </c>
      <c r="BF167" s="3253"/>
      <c r="BG167" s="3253"/>
    </row>
    <row r="168" spans="52:59">
      <c r="AZ168" s="2208"/>
      <c r="BA168" s="3265">
        <v>246</v>
      </c>
      <c r="BB168" s="3266">
        <v>7.9600000000000004E-2</v>
      </c>
      <c r="BF168" s="3253"/>
      <c r="BG168" s="3253"/>
    </row>
    <row r="169" spans="52:59">
      <c r="AZ169" s="2208"/>
      <c r="BA169" s="3265">
        <v>247</v>
      </c>
      <c r="BB169" s="3266">
        <v>7.9899999999999999E-2</v>
      </c>
      <c r="BF169" s="3253"/>
      <c r="BG169" s="3253"/>
    </row>
    <row r="170" spans="52:59">
      <c r="AZ170" s="2208"/>
      <c r="BA170" s="3265">
        <v>248</v>
      </c>
      <c r="BB170" s="3266">
        <v>8.0299999999999996E-2</v>
      </c>
      <c r="BF170" s="3253"/>
      <c r="BG170" s="3253"/>
    </row>
    <row r="171" spans="52:59">
      <c r="AZ171" s="2208"/>
      <c r="BA171" s="3265">
        <v>249</v>
      </c>
      <c r="BB171" s="3266">
        <v>8.0600000000000005E-2</v>
      </c>
      <c r="BF171" s="3253"/>
      <c r="BG171" s="3253"/>
    </row>
    <row r="172" spans="52:59">
      <c r="AZ172" s="2208"/>
      <c r="BA172" s="3265">
        <v>250</v>
      </c>
      <c r="BB172" s="3266">
        <v>8.1000000000000003E-2</v>
      </c>
      <c r="BF172" s="3253"/>
      <c r="BG172" s="3253"/>
    </row>
    <row r="173" spans="52:59">
      <c r="AZ173" s="2208"/>
      <c r="BA173" s="3265">
        <v>251</v>
      </c>
      <c r="BB173" s="3266">
        <v>8.1299999999999997E-2</v>
      </c>
      <c r="BF173" s="3253"/>
      <c r="BG173" s="3253"/>
    </row>
    <row r="174" spans="52:59">
      <c r="AZ174" s="2208"/>
      <c r="BA174" s="3265">
        <v>252</v>
      </c>
      <c r="BB174" s="3266">
        <v>8.1600000000000006E-2</v>
      </c>
      <c r="BF174" s="3253"/>
      <c r="BG174" s="3253"/>
    </row>
    <row r="175" spans="52:59">
      <c r="AZ175" s="2208"/>
      <c r="BA175" s="3265">
        <v>253</v>
      </c>
      <c r="BB175" s="3266">
        <v>8.1900000000000001E-2</v>
      </c>
      <c r="BF175" s="3253"/>
      <c r="BG175" s="3253"/>
    </row>
    <row r="176" spans="52:59">
      <c r="AZ176" s="2208"/>
      <c r="BA176" s="3265">
        <v>254</v>
      </c>
      <c r="BB176" s="3266">
        <v>8.2199999999999995E-2</v>
      </c>
      <c r="BF176" s="3253"/>
      <c r="BG176" s="3253"/>
    </row>
    <row r="177" spans="52:59">
      <c r="AZ177" s="2208"/>
      <c r="BA177" s="3265">
        <v>255</v>
      </c>
      <c r="BB177" s="3266">
        <v>8.2500000000000004E-2</v>
      </c>
      <c r="BF177" s="3253"/>
      <c r="BG177" s="3253"/>
    </row>
    <row r="178" spans="52:59">
      <c r="AZ178" s="2208"/>
      <c r="BA178" s="3265">
        <v>256</v>
      </c>
      <c r="BB178" s="3266">
        <v>8.2799999999999999E-2</v>
      </c>
      <c r="BF178" s="3253"/>
      <c r="BG178" s="3253"/>
    </row>
    <row r="179" spans="52:59">
      <c r="AZ179" s="2208"/>
      <c r="BA179" s="3265">
        <v>257</v>
      </c>
      <c r="BB179" s="3266">
        <v>8.3000000000000004E-2</v>
      </c>
      <c r="BF179" s="3253"/>
      <c r="BG179" s="3253"/>
    </row>
    <row r="180" spans="52:59">
      <c r="AZ180" s="2208"/>
      <c r="BA180" s="3265">
        <v>258</v>
      </c>
      <c r="BB180" s="3266">
        <v>8.3299999999999999E-2</v>
      </c>
      <c r="BF180" s="3253"/>
      <c r="BG180" s="3253"/>
    </row>
    <row r="181" spans="52:59">
      <c r="AZ181" s="2208"/>
      <c r="BA181" s="3265">
        <v>259</v>
      </c>
      <c r="BB181" s="3266">
        <v>8.3599999999999994E-2</v>
      </c>
      <c r="BF181" s="3253"/>
      <c r="BG181" s="3253"/>
    </row>
    <row r="182" spans="52:59">
      <c r="AZ182" s="2208"/>
      <c r="BA182" s="3265">
        <v>260</v>
      </c>
      <c r="BB182" s="3266">
        <v>8.3900000000000002E-2</v>
      </c>
      <c r="BF182" s="3253"/>
      <c r="BG182" s="3253"/>
    </row>
    <row r="183" spans="52:59">
      <c r="AZ183" s="2208"/>
      <c r="BA183" s="3265">
        <v>261</v>
      </c>
      <c r="BB183" s="3266">
        <v>8.4199999999999997E-2</v>
      </c>
      <c r="BF183" s="3253"/>
      <c r="BG183" s="3253"/>
    </row>
    <row r="184" spans="52:59">
      <c r="AZ184" s="2208"/>
      <c r="BA184" s="3265">
        <v>262</v>
      </c>
      <c r="BB184" s="3266">
        <v>8.4500000000000006E-2</v>
      </c>
      <c r="BF184" s="3253"/>
      <c r="BG184" s="3253"/>
    </row>
    <row r="185" spans="52:59">
      <c r="AZ185" s="2208"/>
      <c r="BA185" s="3265">
        <v>263</v>
      </c>
      <c r="BB185" s="3266">
        <v>8.48E-2</v>
      </c>
      <c r="BF185" s="3253"/>
      <c r="BG185" s="3253"/>
    </row>
    <row r="186" spans="52:59">
      <c r="AZ186" s="2208"/>
      <c r="BA186" s="3265">
        <v>264</v>
      </c>
      <c r="BB186" s="3266">
        <v>8.5099999999999995E-2</v>
      </c>
      <c r="BF186" s="3253"/>
      <c r="BG186" s="3253"/>
    </row>
    <row r="187" spans="52:59">
      <c r="AZ187" s="2208"/>
      <c r="BA187" s="3265">
        <v>265</v>
      </c>
      <c r="BB187" s="3266">
        <v>8.5400000000000004E-2</v>
      </c>
      <c r="BF187" s="3253"/>
      <c r="BG187" s="3253"/>
    </row>
    <row r="188" spans="52:59">
      <c r="AZ188" s="2208"/>
      <c r="BA188" s="3265">
        <v>266</v>
      </c>
      <c r="BB188" s="3266">
        <v>8.5699999999999998E-2</v>
      </c>
      <c r="BF188" s="3253"/>
      <c r="BG188" s="3253"/>
    </row>
    <row r="189" spans="52:59">
      <c r="AZ189" s="2208"/>
      <c r="BA189" s="3265">
        <v>267</v>
      </c>
      <c r="BB189" s="3266">
        <v>8.5999999999999993E-2</v>
      </c>
      <c r="BF189" s="3253"/>
      <c r="BG189" s="3253"/>
    </row>
    <row r="190" spans="52:59">
      <c r="AZ190" s="2208"/>
      <c r="BA190" s="3265">
        <v>268</v>
      </c>
      <c r="BB190" s="3266">
        <v>8.6300000000000002E-2</v>
      </c>
      <c r="BF190" s="3253"/>
      <c r="BG190" s="3253"/>
    </row>
    <row r="191" spans="52:59">
      <c r="AZ191" s="2208"/>
      <c r="BA191" s="3265">
        <v>269</v>
      </c>
      <c r="BB191" s="3266">
        <v>8.6499999999999994E-2</v>
      </c>
      <c r="BF191" s="3253"/>
      <c r="BG191" s="3253"/>
    </row>
    <row r="192" spans="52:59">
      <c r="AZ192" s="2208"/>
      <c r="BA192" s="3265">
        <v>270</v>
      </c>
      <c r="BB192" s="3266">
        <v>8.6800000000000002E-2</v>
      </c>
      <c r="BF192" s="3253"/>
      <c r="BG192" s="3253"/>
    </row>
    <row r="193" spans="52:59">
      <c r="AZ193" s="2208"/>
      <c r="BA193" s="3265">
        <v>271</v>
      </c>
      <c r="BB193" s="3266">
        <v>8.7099999999999997E-2</v>
      </c>
      <c r="BF193" s="3253"/>
      <c r="BG193" s="3253"/>
    </row>
    <row r="194" spans="52:59">
      <c r="AZ194" s="2208"/>
      <c r="BA194" s="3265">
        <v>272</v>
      </c>
      <c r="BB194" s="3266">
        <v>8.7400000000000005E-2</v>
      </c>
      <c r="BF194" s="3253"/>
      <c r="BG194" s="3253"/>
    </row>
    <row r="195" spans="52:59">
      <c r="AZ195" s="2208"/>
      <c r="BA195" s="3265">
        <v>273</v>
      </c>
      <c r="BB195" s="3266">
        <v>8.77E-2</v>
      </c>
      <c r="BF195" s="3253"/>
      <c r="BG195" s="3253"/>
    </row>
    <row r="196" spans="52:59">
      <c r="AZ196" s="2208"/>
      <c r="BA196" s="3265">
        <v>274</v>
      </c>
      <c r="BB196" s="3266">
        <v>8.7999999999999995E-2</v>
      </c>
      <c r="BF196" s="3253"/>
      <c r="BG196" s="3253"/>
    </row>
    <row r="197" spans="52:59">
      <c r="AZ197" s="2208"/>
      <c r="BA197" s="3265">
        <v>275</v>
      </c>
      <c r="BB197" s="3266">
        <v>8.8300000000000003E-2</v>
      </c>
      <c r="BF197" s="3253"/>
      <c r="BG197" s="3253"/>
    </row>
    <row r="198" spans="52:59">
      <c r="AZ198" s="2208"/>
      <c r="BA198" s="3265">
        <v>276</v>
      </c>
      <c r="BB198" s="3266">
        <v>8.8599999999999998E-2</v>
      </c>
      <c r="BF198" s="3253"/>
      <c r="BG198" s="3253"/>
    </row>
    <row r="199" spans="52:59">
      <c r="AZ199" s="2208"/>
      <c r="BA199" s="3265">
        <v>277</v>
      </c>
      <c r="BB199" s="3266">
        <v>8.8900000000000007E-2</v>
      </c>
      <c r="BF199" s="3253"/>
      <c r="BG199" s="3253"/>
    </row>
    <row r="200" spans="52:59">
      <c r="AZ200" s="2208"/>
      <c r="BA200" s="3265">
        <v>278</v>
      </c>
      <c r="BB200" s="3266">
        <v>8.9200000000000002E-2</v>
      </c>
      <c r="BF200" s="3253"/>
      <c r="BG200" s="3253"/>
    </row>
    <row r="201" spans="52:59">
      <c r="AZ201" s="2208"/>
      <c r="BA201" s="3265">
        <v>279</v>
      </c>
      <c r="BB201" s="3266">
        <v>8.9499999999999996E-2</v>
      </c>
      <c r="BF201" s="3253"/>
      <c r="BG201" s="3253"/>
    </row>
    <row r="202" spans="52:59">
      <c r="AZ202" s="2208"/>
      <c r="BA202" s="3265">
        <v>280</v>
      </c>
      <c r="BB202" s="3266">
        <v>8.9800000000000005E-2</v>
      </c>
      <c r="BF202" s="3253"/>
      <c r="BG202" s="3253"/>
    </row>
    <row r="203" spans="52:59">
      <c r="AZ203" s="2208"/>
      <c r="BA203" s="3265">
        <v>281</v>
      </c>
      <c r="BB203" s="3266">
        <v>9.01E-2</v>
      </c>
      <c r="BF203" s="3253"/>
      <c r="BG203" s="3253"/>
    </row>
    <row r="204" spans="52:59">
      <c r="AZ204" s="2208"/>
      <c r="BA204" s="3265">
        <v>282</v>
      </c>
      <c r="BB204" s="3266">
        <v>9.0300000000000005E-2</v>
      </c>
      <c r="BF204" s="3253"/>
      <c r="BG204" s="3253"/>
    </row>
    <row r="205" spans="52:59">
      <c r="AZ205" s="2208"/>
      <c r="BA205" s="3265">
        <v>283</v>
      </c>
      <c r="BB205" s="3266">
        <v>9.06E-2</v>
      </c>
      <c r="BF205" s="3253"/>
      <c r="BG205" s="3253"/>
    </row>
    <row r="206" spans="52:59">
      <c r="AZ206" s="2208"/>
      <c r="BA206" s="3265">
        <v>284</v>
      </c>
      <c r="BB206" s="3266">
        <v>9.0899999999999995E-2</v>
      </c>
      <c r="BF206" s="3253"/>
      <c r="BG206" s="3253"/>
    </row>
    <row r="207" spans="52:59">
      <c r="AZ207" s="2208"/>
      <c r="BA207" s="3265">
        <v>285</v>
      </c>
      <c r="BB207" s="3266">
        <v>9.1200000000000003E-2</v>
      </c>
      <c r="BF207" s="3253"/>
      <c r="BG207" s="3253"/>
    </row>
    <row r="208" spans="52:59">
      <c r="AZ208" s="2208"/>
      <c r="BA208" s="3265">
        <v>286</v>
      </c>
      <c r="BB208" s="3266">
        <v>9.1499999999999998E-2</v>
      </c>
      <c r="BF208" s="3253"/>
      <c r="BG208" s="3253"/>
    </row>
    <row r="209" spans="52:59">
      <c r="AZ209" s="2208"/>
      <c r="BA209" s="3265">
        <v>287</v>
      </c>
      <c r="BB209" s="3266">
        <v>9.1800000000000007E-2</v>
      </c>
      <c r="BF209" s="3253"/>
      <c r="BG209" s="3253"/>
    </row>
    <row r="210" spans="52:59">
      <c r="AZ210" s="2208"/>
      <c r="BA210" s="3265">
        <v>288</v>
      </c>
      <c r="BB210" s="3266">
        <v>9.2100000000000001E-2</v>
      </c>
      <c r="BF210" s="3253"/>
      <c r="BG210" s="3253"/>
    </row>
    <row r="211" spans="52:59">
      <c r="AZ211" s="2208"/>
      <c r="BA211" s="3265">
        <v>289</v>
      </c>
      <c r="BB211" s="3266">
        <v>9.2399999999999996E-2</v>
      </c>
      <c r="BF211" s="3253"/>
      <c r="BG211" s="3253"/>
    </row>
    <row r="212" spans="52:59">
      <c r="AZ212" s="2208"/>
      <c r="BA212" s="3265">
        <v>290</v>
      </c>
      <c r="BB212" s="3266">
        <v>9.2700000000000005E-2</v>
      </c>
      <c r="BF212" s="3253"/>
      <c r="BG212" s="3253"/>
    </row>
    <row r="213" spans="52:59">
      <c r="AZ213" s="2208"/>
      <c r="BA213" s="3265">
        <v>291</v>
      </c>
      <c r="BB213" s="3266">
        <v>9.2999999999999999E-2</v>
      </c>
      <c r="BF213" s="3253"/>
      <c r="BG213" s="3253"/>
    </row>
    <row r="214" spans="52:59">
      <c r="AZ214" s="2208"/>
      <c r="BA214" s="3265">
        <v>292</v>
      </c>
      <c r="BB214" s="3266">
        <v>9.3299999999999994E-2</v>
      </c>
      <c r="BF214" s="3253"/>
      <c r="BG214" s="3253"/>
    </row>
    <row r="215" spans="52:59">
      <c r="AZ215" s="2208"/>
      <c r="BA215" s="3265">
        <v>293</v>
      </c>
      <c r="BB215" s="3266">
        <v>9.3600000000000003E-2</v>
      </c>
      <c r="BF215" s="3253"/>
      <c r="BG215" s="3253"/>
    </row>
    <row r="216" spans="52:59">
      <c r="AZ216" s="2208"/>
      <c r="BA216" s="3265">
        <v>294</v>
      </c>
      <c r="BB216" s="3266">
        <v>9.3799999999999994E-2</v>
      </c>
      <c r="BF216" s="3253"/>
      <c r="BG216" s="3253"/>
    </row>
    <row r="217" spans="52:59">
      <c r="AZ217" s="2208"/>
      <c r="BA217" s="3265">
        <v>295</v>
      </c>
      <c r="BB217" s="3266">
        <v>9.4100000000000003E-2</v>
      </c>
      <c r="BF217" s="3253"/>
      <c r="BG217" s="3253"/>
    </row>
    <row r="218" spans="52:59">
      <c r="AZ218" s="2208"/>
      <c r="BA218" s="3265">
        <v>296</v>
      </c>
      <c r="BB218" s="3266">
        <v>9.4399999999999998E-2</v>
      </c>
      <c r="BF218" s="3253"/>
      <c r="BG218" s="3253"/>
    </row>
    <row r="219" spans="52:59">
      <c r="AZ219" s="2208"/>
      <c r="BA219" s="3265">
        <v>297</v>
      </c>
      <c r="BB219" s="3266">
        <v>9.4700000000000006E-2</v>
      </c>
      <c r="BF219" s="3253"/>
      <c r="BG219" s="3253"/>
    </row>
    <row r="220" spans="52:59">
      <c r="AZ220" s="2208"/>
      <c r="BA220" s="3265">
        <v>298</v>
      </c>
      <c r="BB220" s="3266">
        <v>9.5000000000000001E-2</v>
      </c>
      <c r="BF220" s="3253"/>
      <c r="BG220" s="3253"/>
    </row>
    <row r="221" spans="52:59">
      <c r="AZ221" s="2208"/>
      <c r="BA221" s="3265">
        <v>299</v>
      </c>
      <c r="BB221" s="3266">
        <v>9.5299999999999996E-2</v>
      </c>
      <c r="BF221" s="3253"/>
      <c r="BG221" s="3253"/>
    </row>
    <row r="222" spans="52:59">
      <c r="AZ222" s="2208"/>
      <c r="BA222" s="3265">
        <v>300</v>
      </c>
      <c r="BB222" s="3266">
        <v>9.5600000000000004E-2</v>
      </c>
      <c r="BF222" s="3253"/>
      <c r="BG222" s="3253"/>
    </row>
    <row r="223" spans="52:59" ht="13.5" thickBot="1">
      <c r="AZ223" s="2208"/>
      <c r="BA223" s="3267">
        <v>400</v>
      </c>
      <c r="BB223" s="3268">
        <v>9.5600000000000004E-2</v>
      </c>
      <c r="BF223" s="3253"/>
      <c r="BG223" s="3253"/>
    </row>
    <row r="224" spans="52:59">
      <c r="AZ224" s="1443"/>
      <c r="BA224" s="1443"/>
      <c r="BB224" s="1443"/>
      <c r="BF224" s="3253"/>
      <c r="BG224" s="3253"/>
    </row>
    <row r="225" spans="58:59">
      <c r="BF225" s="3253"/>
      <c r="BG225" s="3253"/>
    </row>
    <row r="226" spans="58:59">
      <c r="BF226" s="3253"/>
      <c r="BG226" s="3253"/>
    </row>
    <row r="227" spans="58:59">
      <c r="BF227" s="3253"/>
      <c r="BG227" s="3253"/>
    </row>
  </sheetData>
  <sheetProtection password="F07E" sheet="1" objects="1" scenarios="1"/>
  <mergeCells count="210">
    <mergeCell ref="Q125:V125"/>
    <mergeCell ref="X125:AC125"/>
    <mergeCell ref="AE125:AJ125"/>
    <mergeCell ref="D99:M99"/>
    <mergeCell ref="N99:V99"/>
    <mergeCell ref="W99:AC99"/>
    <mergeCell ref="AD99:AJ99"/>
    <mergeCell ref="D100:I104"/>
    <mergeCell ref="J100:R103"/>
    <mergeCell ref="S100:AA103"/>
    <mergeCell ref="AB100:AJ103"/>
    <mergeCell ref="J104:R104"/>
    <mergeCell ref="S104:AA104"/>
    <mergeCell ref="AB104:AJ104"/>
    <mergeCell ref="I126:O126"/>
    <mergeCell ref="P126:V126"/>
    <mergeCell ref="W126:AC126"/>
    <mergeCell ref="AD126:AJ126"/>
    <mergeCell ref="I124:O124"/>
    <mergeCell ref="P124:V124"/>
    <mergeCell ref="W124:AC124"/>
    <mergeCell ref="AD124:AJ124"/>
    <mergeCell ref="D107:M107"/>
    <mergeCell ref="N107:V107"/>
    <mergeCell ref="W107:AC107"/>
    <mergeCell ref="AD107:AJ107"/>
    <mergeCell ref="D108:I112"/>
    <mergeCell ref="J108:R111"/>
    <mergeCell ref="S108:AA111"/>
    <mergeCell ref="AB108:AJ111"/>
    <mergeCell ref="J112:R112"/>
    <mergeCell ref="S112:AA112"/>
    <mergeCell ref="AB112:AJ112"/>
    <mergeCell ref="J123:O123"/>
    <mergeCell ref="Q123:V123"/>
    <mergeCell ref="X123:AC123"/>
    <mergeCell ref="AE123:AJ123"/>
    <mergeCell ref="J125:O125"/>
    <mergeCell ref="D92:I96"/>
    <mergeCell ref="J92:R95"/>
    <mergeCell ref="S92:AA95"/>
    <mergeCell ref="AB92:AJ95"/>
    <mergeCell ref="J96:R96"/>
    <mergeCell ref="S96:AA96"/>
    <mergeCell ref="AB96:AJ96"/>
    <mergeCell ref="D84:I88"/>
    <mergeCell ref="J84:R87"/>
    <mergeCell ref="S84:AA87"/>
    <mergeCell ref="AB84:AJ87"/>
    <mergeCell ref="J88:R88"/>
    <mergeCell ref="S88:AA88"/>
    <mergeCell ref="AB88:AJ88"/>
    <mergeCell ref="D91:M91"/>
    <mergeCell ref="N91:V91"/>
    <mergeCell ref="W91:AC91"/>
    <mergeCell ref="AD91:AJ91"/>
    <mergeCell ref="D83:M83"/>
    <mergeCell ref="N83:V83"/>
    <mergeCell ref="W83:AC83"/>
    <mergeCell ref="AD83:AJ83"/>
    <mergeCell ref="AE74:AJ74"/>
    <mergeCell ref="AE76:AJ76"/>
    <mergeCell ref="D4:G5"/>
    <mergeCell ref="B5:C5"/>
    <mergeCell ref="AD8:AG8"/>
    <mergeCell ref="AD7:AG7"/>
    <mergeCell ref="AE71:AJ71"/>
    <mergeCell ref="AE67:AJ67"/>
    <mergeCell ref="AE68:AJ68"/>
    <mergeCell ref="AA65:AE65"/>
    <mergeCell ref="AF65:AJ65"/>
    <mergeCell ref="D66:F66"/>
    <mergeCell ref="G66:K66"/>
    <mergeCell ref="L66:P66"/>
    <mergeCell ref="Q66:U66"/>
    <mergeCell ref="V66:Z66"/>
    <mergeCell ref="AA66:AE66"/>
    <mergeCell ref="AF66:AJ66"/>
    <mergeCell ref="D65:F65"/>
    <mergeCell ref="AB70:AC70"/>
    <mergeCell ref="G65:K65"/>
    <mergeCell ref="L65:P65"/>
    <mergeCell ref="Q65:U65"/>
    <mergeCell ref="V65:Z65"/>
    <mergeCell ref="AA63:AE63"/>
    <mergeCell ref="AF63:AJ63"/>
    <mergeCell ref="D64:F64"/>
    <mergeCell ref="G64:K64"/>
    <mergeCell ref="L64:P64"/>
    <mergeCell ref="Q64:U64"/>
    <mergeCell ref="V64:Z64"/>
    <mergeCell ref="AA64:AE64"/>
    <mergeCell ref="AF64:AJ64"/>
    <mergeCell ref="D63:F63"/>
    <mergeCell ref="G63:K63"/>
    <mergeCell ref="L63:P63"/>
    <mergeCell ref="Q63:U63"/>
    <mergeCell ref="V63:Z63"/>
    <mergeCell ref="D62:F62"/>
    <mergeCell ref="G62:K62"/>
    <mergeCell ref="L62:P62"/>
    <mergeCell ref="Q62:U62"/>
    <mergeCell ref="V62:Z62"/>
    <mergeCell ref="AA62:AE62"/>
    <mergeCell ref="AF62:AJ62"/>
    <mergeCell ref="D61:F61"/>
    <mergeCell ref="G61:K61"/>
    <mergeCell ref="L61:P61"/>
    <mergeCell ref="Q61:U61"/>
    <mergeCell ref="V61:Z61"/>
    <mergeCell ref="D60:F60"/>
    <mergeCell ref="G60:K60"/>
    <mergeCell ref="L60:P60"/>
    <mergeCell ref="Q60:U60"/>
    <mergeCell ref="V60:Z60"/>
    <mergeCell ref="AA60:AE60"/>
    <mergeCell ref="AF60:AJ60"/>
    <mergeCell ref="AA61:AE61"/>
    <mergeCell ref="AF61:AJ61"/>
    <mergeCell ref="AA58:AE58"/>
    <mergeCell ref="AF58:AJ58"/>
    <mergeCell ref="G57:K57"/>
    <mergeCell ref="L57:P57"/>
    <mergeCell ref="Q57:U57"/>
    <mergeCell ref="B51:F54"/>
    <mergeCell ref="G51:K54"/>
    <mergeCell ref="L51:P54"/>
    <mergeCell ref="Q51:U54"/>
    <mergeCell ref="V51:Z54"/>
    <mergeCell ref="D57:F57"/>
    <mergeCell ref="AA51:AE54"/>
    <mergeCell ref="AF51:AJ54"/>
    <mergeCell ref="D55:F55"/>
    <mergeCell ref="G55:K55"/>
    <mergeCell ref="L55:P55"/>
    <mergeCell ref="Q55:U55"/>
    <mergeCell ref="V55:Z55"/>
    <mergeCell ref="AA55:AE55"/>
    <mergeCell ref="I5:AB5"/>
    <mergeCell ref="D59:F59"/>
    <mergeCell ref="G59:K59"/>
    <mergeCell ref="L59:P59"/>
    <mergeCell ref="Q59:U59"/>
    <mergeCell ref="AF55:AJ55"/>
    <mergeCell ref="D56:F56"/>
    <mergeCell ref="G56:K56"/>
    <mergeCell ref="L56:P56"/>
    <mergeCell ref="Q56:U56"/>
    <mergeCell ref="V56:Z56"/>
    <mergeCell ref="AA56:AE56"/>
    <mergeCell ref="AF56:AJ56"/>
    <mergeCell ref="V57:Z57"/>
    <mergeCell ref="AA57:AE57"/>
    <mergeCell ref="AF57:AJ57"/>
    <mergeCell ref="D58:F58"/>
    <mergeCell ref="G58:K58"/>
    <mergeCell ref="L58:P58"/>
    <mergeCell ref="Q58:U58"/>
    <mergeCell ref="V58:Z58"/>
    <mergeCell ref="V59:Z59"/>
    <mergeCell ref="AA59:AE59"/>
    <mergeCell ref="AF59:AJ59"/>
    <mergeCell ref="V46:Z49"/>
    <mergeCell ref="AM5:AR11"/>
    <mergeCell ref="M37:R37"/>
    <mergeCell ref="AE37:AJ37"/>
    <mergeCell ref="AE25:AJ25"/>
    <mergeCell ref="AC5:AJ6"/>
    <mergeCell ref="AC4:AJ4"/>
    <mergeCell ref="BA46:BK49"/>
    <mergeCell ref="AO45:AY48"/>
    <mergeCell ref="X20:AC20"/>
    <mergeCell ref="AS2:AX11"/>
    <mergeCell ref="I8:AB8"/>
    <mergeCell ref="I7:AB7"/>
    <mergeCell ref="AE34:AJ34"/>
    <mergeCell ref="AE17:AJ17"/>
    <mergeCell ref="AE22:AJ22"/>
    <mergeCell ref="M36:R36"/>
    <mergeCell ref="AA46:AE49"/>
    <mergeCell ref="AF46:AJ49"/>
    <mergeCell ref="B12:AH14"/>
    <mergeCell ref="Y10:AJ11"/>
    <mergeCell ref="X19:AC19"/>
    <mergeCell ref="B10:X11"/>
    <mergeCell ref="L46:P49"/>
    <mergeCell ref="AH7:AI8"/>
    <mergeCell ref="C50:F50"/>
    <mergeCell ref="BA52:BB53"/>
    <mergeCell ref="AP70:AS70"/>
    <mergeCell ref="D125:H126"/>
    <mergeCell ref="D123:H124"/>
    <mergeCell ref="B123:B124"/>
    <mergeCell ref="B125:B126"/>
    <mergeCell ref="BA17:BJ20"/>
    <mergeCell ref="AO17:AX20"/>
    <mergeCell ref="AE73:AJ73"/>
    <mergeCell ref="AE70:AJ70"/>
    <mergeCell ref="AP62:AU62"/>
    <mergeCell ref="AP63:AU63"/>
    <mergeCell ref="AE27:AI27"/>
    <mergeCell ref="G50:K50"/>
    <mergeCell ref="L50:P50"/>
    <mergeCell ref="Q50:U50"/>
    <mergeCell ref="V50:Z50"/>
    <mergeCell ref="AA50:AE50"/>
    <mergeCell ref="AF50:AJ50"/>
    <mergeCell ref="B46:F49"/>
    <mergeCell ref="G46:K49"/>
    <mergeCell ref="Q46:U49"/>
  </mergeCells>
  <conditionalFormatting sqref="B10:K10">
    <cfRule type="expression" dxfId="117" priority="223">
      <formula>IF(NoColor,1,0)</formula>
    </cfRule>
  </conditionalFormatting>
  <conditionalFormatting sqref="AE20:AJ20">
    <cfRule type="expression" dxfId="116" priority="193">
      <formula>IF(NoColor,1,0)</formula>
    </cfRule>
  </conditionalFormatting>
  <conditionalFormatting sqref="M37">
    <cfRule type="expression" dxfId="115" priority="220">
      <formula>IF(NoColor,1,0)</formula>
    </cfRule>
  </conditionalFormatting>
  <conditionalFormatting sqref="AF55:AJ66 G55:P66">
    <cfRule type="expression" dxfId="114" priority="218">
      <formula>IF(NoColor,1,0)</formula>
    </cfRule>
  </conditionalFormatting>
  <conditionalFormatting sqref="M37:R37">
    <cfRule type="expression" dxfId="113" priority="217">
      <formula>IF(NoColor,1,0)</formula>
    </cfRule>
  </conditionalFormatting>
  <conditionalFormatting sqref="AE37">
    <cfRule type="expression" dxfId="112" priority="216">
      <formula>IF(NoColor,1,0)</formula>
    </cfRule>
  </conditionalFormatting>
  <conditionalFormatting sqref="AE37:AJ37">
    <cfRule type="expression" dxfId="111" priority="215">
      <formula>IF(NoColor,1,0)</formula>
    </cfRule>
  </conditionalFormatting>
  <conditionalFormatting sqref="AE34">
    <cfRule type="expression" dxfId="110" priority="214">
      <formula>IF(NoColor,1,0)</formula>
    </cfRule>
  </conditionalFormatting>
  <conditionalFormatting sqref="AE34:AJ34">
    <cfRule type="expression" dxfId="109" priority="213">
      <formula>IF(NoColor,1,0)</formula>
    </cfRule>
  </conditionalFormatting>
  <conditionalFormatting sqref="M20">
    <cfRule type="expression" dxfId="108" priority="202">
      <formula>IF(NoColor,1,0)</formula>
    </cfRule>
  </conditionalFormatting>
  <conditionalFormatting sqref="M20:R20">
    <cfRule type="expression" dxfId="107" priority="201">
      <formula>IF(NoColor,1,0)</formula>
    </cfRule>
  </conditionalFormatting>
  <conditionalFormatting sqref="AE27">
    <cfRule type="expression" dxfId="106" priority="200">
      <formula>IF(NoColor,1,0)</formula>
    </cfRule>
  </conditionalFormatting>
  <conditionalFormatting sqref="AE27 AJ27">
    <cfRule type="expression" dxfId="105" priority="199">
      <formula>IF(NoColor,1,0)</formula>
    </cfRule>
  </conditionalFormatting>
  <conditionalFormatting sqref="AE25">
    <cfRule type="expression" dxfId="104" priority="198">
      <formula>IF(NoColor,1,0)</formula>
    </cfRule>
  </conditionalFormatting>
  <conditionalFormatting sqref="AE25:AJ25">
    <cfRule type="expression" dxfId="103" priority="197">
      <formula>IF(NoColor,1,0)</formula>
    </cfRule>
  </conditionalFormatting>
  <conditionalFormatting sqref="AE22">
    <cfRule type="expression" dxfId="102" priority="196">
      <formula>IF(NoColor,1,0)</formula>
    </cfRule>
  </conditionalFormatting>
  <conditionalFormatting sqref="AE22:AJ22">
    <cfRule type="expression" dxfId="101" priority="195">
      <formula>IF(NoColor,1,0)</formula>
    </cfRule>
  </conditionalFormatting>
  <conditionalFormatting sqref="AE20">
    <cfRule type="expression" dxfId="100" priority="194">
      <formula>IF(NoColor,1,0)</formula>
    </cfRule>
  </conditionalFormatting>
  <conditionalFormatting sqref="AE17">
    <cfRule type="expression" dxfId="99" priority="192">
      <formula>IF(NoColor,1,0)</formula>
    </cfRule>
  </conditionalFormatting>
  <conditionalFormatting sqref="AE17:AJ17">
    <cfRule type="expression" dxfId="98" priority="191">
      <formula>IF(NoColor,1,0)</formula>
    </cfRule>
  </conditionalFormatting>
  <conditionalFormatting sqref="AE67">
    <cfRule type="expression" dxfId="97" priority="190">
      <formula>IF(NoColor,1,0)</formula>
    </cfRule>
  </conditionalFormatting>
  <conditionalFormatting sqref="AE67:AJ67">
    <cfRule type="expression" dxfId="96" priority="189">
      <formula>IF(NoColor,1,0)</formula>
    </cfRule>
  </conditionalFormatting>
  <conditionalFormatting sqref="AE68">
    <cfRule type="expression" dxfId="95" priority="188">
      <formula>IF(NoColor,1,0)</formula>
    </cfRule>
  </conditionalFormatting>
  <conditionalFormatting sqref="AE68:AJ68">
    <cfRule type="expression" dxfId="94" priority="187">
      <formula>IF(NoColor,1,0)</formula>
    </cfRule>
  </conditionalFormatting>
  <conditionalFormatting sqref="AE71">
    <cfRule type="expression" dxfId="93" priority="186">
      <formula>IF(NoColor,1,0)</formula>
    </cfRule>
  </conditionalFormatting>
  <conditionalFormatting sqref="AE71:AJ71">
    <cfRule type="expression" dxfId="92" priority="185">
      <formula>IF(NoColor,1,0)</formula>
    </cfRule>
  </conditionalFormatting>
  <conditionalFormatting sqref="D83:H83">
    <cfRule type="expression" dxfId="91" priority="180">
      <formula>IF(NoColor,1,0)</formula>
    </cfRule>
  </conditionalFormatting>
  <conditionalFormatting sqref="C118">
    <cfRule type="expression" dxfId="90" priority="151">
      <formula>IF(NoColor,1,0)</formula>
    </cfRule>
  </conditionalFormatting>
  <conditionalFormatting sqref="N83:R83">
    <cfRule type="expression" dxfId="89" priority="179">
      <formula>IF(NoColor,1,0)</formula>
    </cfRule>
  </conditionalFormatting>
  <conditionalFormatting sqref="W83:AA83">
    <cfRule type="expression" dxfId="88" priority="178">
      <formula>IF(NoColor,1,0)</formula>
    </cfRule>
  </conditionalFormatting>
  <conditionalFormatting sqref="AD83:AH83">
    <cfRule type="expression" dxfId="87" priority="177">
      <formula>IF(NoColor,1,0)</formula>
    </cfRule>
  </conditionalFormatting>
  <conditionalFormatting sqref="J88:N88">
    <cfRule type="expression" dxfId="86" priority="176">
      <formula>IF(NoColor,1,0)</formula>
    </cfRule>
  </conditionalFormatting>
  <conditionalFormatting sqref="S88:W88">
    <cfRule type="expression" dxfId="85" priority="175">
      <formula>IF(NoColor,1,0)</formula>
    </cfRule>
  </conditionalFormatting>
  <conditionalFormatting sqref="AB88:AF88">
    <cfRule type="expression" dxfId="84" priority="174">
      <formula>IF(NoColor,1,0)</formula>
    </cfRule>
  </conditionalFormatting>
  <conditionalFormatting sqref="C114">
    <cfRule type="expression" dxfId="83" priority="152">
      <formula>IF(NoColor,1,0)</formula>
    </cfRule>
  </conditionalFormatting>
  <conditionalFormatting sqref="I124:M124">
    <cfRule type="expression" dxfId="82" priority="150">
      <formula>IF(NoColor,1,0)</formula>
    </cfRule>
  </conditionalFormatting>
  <conditionalFormatting sqref="P124:T124">
    <cfRule type="expression" dxfId="81" priority="149">
      <formula>IF(NoColor,1,0)</formula>
    </cfRule>
  </conditionalFormatting>
  <conditionalFormatting sqref="W124:AA124">
    <cfRule type="expression" dxfId="80" priority="148">
      <formula>IF(NoColor,1,0)</formula>
    </cfRule>
  </conditionalFormatting>
  <conditionalFormatting sqref="AD124:AH124">
    <cfRule type="expression" dxfId="79" priority="147">
      <formula>IF(NoColor,1,0)</formula>
    </cfRule>
  </conditionalFormatting>
  <conditionalFormatting sqref="AE76">
    <cfRule type="expression" dxfId="78" priority="134">
      <formula>IF(NoColor,1,0)</formula>
    </cfRule>
  </conditionalFormatting>
  <conditionalFormatting sqref="D43">
    <cfRule type="expression" dxfId="77" priority="141">
      <formula>IF(NoColor,1,0)</formula>
    </cfRule>
  </conditionalFormatting>
  <conditionalFormatting sqref="AE76:AJ76">
    <cfRule type="expression" dxfId="76" priority="133">
      <formula>IF(NoColor,1,0)</formula>
    </cfRule>
  </conditionalFormatting>
  <conditionalFormatting sqref="D29">
    <cfRule type="expression" dxfId="75" priority="138">
      <formula>IF(NoColor,1,0)</formula>
    </cfRule>
  </conditionalFormatting>
  <conditionalFormatting sqref="AA50:AE50">
    <cfRule type="expression" dxfId="74" priority="128">
      <formula>IF(NoColor,1,0)</formula>
    </cfRule>
  </conditionalFormatting>
  <conditionalFormatting sqref="AE74">
    <cfRule type="expression" dxfId="73" priority="136">
      <formula>IF(NoColor,1,0)</formula>
    </cfRule>
  </conditionalFormatting>
  <conditionalFormatting sqref="AE74:AJ74">
    <cfRule type="expression" dxfId="72" priority="135">
      <formula>IF(NoColor,1,0)</formula>
    </cfRule>
  </conditionalFormatting>
  <conditionalFormatting sqref="G50:K50">
    <cfRule type="expression" dxfId="71" priority="64">
      <formula>IF($D$43="",1,0)</formula>
    </cfRule>
    <cfRule type="expression" dxfId="70" priority="132">
      <formula>IF(NoColor,1,0)</formula>
    </cfRule>
  </conditionalFormatting>
  <conditionalFormatting sqref="Q50:U50">
    <cfRule type="expression" dxfId="69" priority="130">
      <formula>IF(NoColor,1,0)</formula>
    </cfRule>
  </conditionalFormatting>
  <conditionalFormatting sqref="V50:Z50">
    <cfRule type="expression" dxfId="68" priority="129">
      <formula>IF(NoColor,1,0)</formula>
    </cfRule>
  </conditionalFormatting>
  <conditionalFormatting sqref="AF50:AJ50">
    <cfRule type="expression" dxfId="67" priority="127">
      <formula>IF(NoColor,1,0)</formula>
    </cfRule>
  </conditionalFormatting>
  <conditionalFormatting sqref="AJ15">
    <cfRule type="expression" dxfId="66" priority="123">
      <formula>IF(AL15&lt;&gt;"",1,0)</formula>
    </cfRule>
  </conditionalFormatting>
  <conditionalFormatting sqref="AS2:AX11">
    <cfRule type="expression" dxfId="65" priority="122">
      <formula>IF(File_Marr_Sep&lt;&gt;"",TRUE,FALSE)</formula>
    </cfRule>
  </conditionalFormatting>
  <conditionalFormatting sqref="O25">
    <cfRule type="expression" dxfId="64" priority="110">
      <formula>IF(NoColor,1,0)</formula>
    </cfRule>
  </conditionalFormatting>
  <conditionalFormatting sqref="D31">
    <cfRule type="expression" dxfId="63" priority="118">
      <formula>IF(NoColor,1,0)</formula>
    </cfRule>
  </conditionalFormatting>
  <conditionalFormatting sqref="Z40">
    <cfRule type="expression" dxfId="62" priority="116">
      <formula>IF(NoColor,1,0)</formula>
    </cfRule>
  </conditionalFormatting>
  <conditionalFormatting sqref="D40">
    <cfRule type="expression" dxfId="61" priority="117">
      <formula>IF(NoColor,1,0)</formula>
    </cfRule>
  </conditionalFormatting>
  <conditionalFormatting sqref="AE73:AJ73">
    <cfRule type="expression" dxfId="60" priority="108">
      <formula>IF(NoColor,1,0)</formula>
    </cfRule>
  </conditionalFormatting>
  <conditionalFormatting sqref="Z43">
    <cfRule type="expression" dxfId="59" priority="113">
      <formula>IF(NoColor,1,0)</formula>
    </cfRule>
  </conditionalFormatting>
  <conditionalFormatting sqref="W25">
    <cfRule type="expression" dxfId="58" priority="112">
      <formula>IF(NoColor,1,0)</formula>
    </cfRule>
  </conditionalFormatting>
  <conditionalFormatting sqref="S25">
    <cfRule type="expression" dxfId="57" priority="111">
      <formula>IF(NoColor,1,0)</formula>
    </cfRule>
  </conditionalFormatting>
  <conditionalFormatting sqref="AE73">
    <cfRule type="expression" dxfId="56" priority="109">
      <formula>IF(NoColor,1,0)</formula>
    </cfRule>
  </conditionalFormatting>
  <conditionalFormatting sqref="BH43">
    <cfRule type="expression" dxfId="55" priority="101">
      <formula>IF(NoColor,1,0)</formula>
    </cfRule>
  </conditionalFormatting>
  <conditionalFormatting sqref="AU29">
    <cfRule type="expression" dxfId="54" priority="106">
      <formula>IF(NoColor,1,0)</formula>
    </cfRule>
  </conditionalFormatting>
  <conditionalFormatting sqref="AV25">
    <cfRule type="expression" dxfId="53" priority="99">
      <formula>IF(NoColor,1,0)</formula>
    </cfRule>
  </conditionalFormatting>
  <conditionalFormatting sqref="BH26">
    <cfRule type="expression" dxfId="52" priority="93">
      <formula>IF(NoColor,1,0)</formula>
    </cfRule>
  </conditionalFormatting>
  <conditionalFormatting sqref="BG29">
    <cfRule type="expression" dxfId="51" priority="88">
      <formula>IF(NoColor,1,0)</formula>
    </cfRule>
  </conditionalFormatting>
  <conditionalFormatting sqref="V2">
    <cfRule type="expression" dxfId="50" priority="83">
      <formula>IF(NoColor,1,0)</formula>
    </cfRule>
  </conditionalFormatting>
  <conditionalFormatting sqref="V55:Z66">
    <cfRule type="expression" dxfId="49" priority="67">
      <formula>IF(NoColor,1,0)</formula>
    </cfRule>
  </conditionalFormatting>
  <conditionalFormatting sqref="AA55:AE66">
    <cfRule type="expression" dxfId="48" priority="66">
      <formula>IF(NoColor,1,0)</formula>
    </cfRule>
  </conditionalFormatting>
  <conditionalFormatting sqref="Q55:U66">
    <cfRule type="expression" dxfId="47" priority="65">
      <formula>IF(NoColor,1,0)</formula>
    </cfRule>
  </conditionalFormatting>
  <conditionalFormatting sqref="L50:P50">
    <cfRule type="expression" dxfId="46" priority="62">
      <formula>IF($D$43="",1,0)</formula>
    </cfRule>
    <cfRule type="expression" dxfId="45" priority="63">
      <formula>IF(NoColor,1,0)</formula>
    </cfRule>
  </conditionalFormatting>
  <conditionalFormatting sqref="G55:U66">
    <cfRule type="expression" dxfId="44" priority="61">
      <formula>IF($D$43&lt;&gt;"",1,0)</formula>
    </cfRule>
  </conditionalFormatting>
  <conditionalFormatting sqref="AI13">
    <cfRule type="expression" dxfId="43" priority="60">
      <formula>IF(NoColor,1,0)</formula>
    </cfRule>
  </conditionalFormatting>
  <conditionalFormatting sqref="Y10">
    <cfRule type="expression" dxfId="42" priority="59">
      <formula>IF(NoColor,1,0)</formula>
    </cfRule>
  </conditionalFormatting>
  <conditionalFormatting sqref="B12:AH14">
    <cfRule type="expression" dxfId="41" priority="49">
      <formula>IF(AND(File_Marr_Sep&lt;&gt;"",$AI$13=""),1,0)</formula>
    </cfRule>
  </conditionalFormatting>
  <conditionalFormatting sqref="AU34">
    <cfRule type="expression" dxfId="40" priority="48">
      <formula>IF(NoColor,1,0)</formula>
    </cfRule>
  </conditionalFormatting>
  <conditionalFormatting sqref="L2">
    <cfRule type="expression" dxfId="39" priority="45">
      <formula>IF(NoColor,1,0)</formula>
    </cfRule>
  </conditionalFormatting>
  <conditionalFormatting sqref="B2">
    <cfRule type="expression" dxfId="38" priority="44">
      <formula>IF(NoColor,1,0)</formula>
    </cfRule>
  </conditionalFormatting>
  <conditionalFormatting sqref="D91:H91">
    <cfRule type="expression" dxfId="37" priority="43">
      <formula>IF(NoColor,1,0)</formula>
    </cfRule>
  </conditionalFormatting>
  <conditionalFormatting sqref="N91:R91">
    <cfRule type="expression" dxfId="36" priority="42">
      <formula>IF(NoColor,1,0)</formula>
    </cfRule>
  </conditionalFormatting>
  <conditionalFormatting sqref="W91:AA91">
    <cfRule type="expression" dxfId="35" priority="41">
      <formula>IF(NoColor,1,0)</formula>
    </cfRule>
  </conditionalFormatting>
  <conditionalFormatting sqref="AD91:AH91">
    <cfRule type="expression" dxfId="34" priority="40">
      <formula>IF(NoColor,1,0)</formula>
    </cfRule>
  </conditionalFormatting>
  <conditionalFormatting sqref="D99:H99">
    <cfRule type="expression" dxfId="33" priority="39">
      <formula>IF(NoColor,1,0)</formula>
    </cfRule>
  </conditionalFormatting>
  <conditionalFormatting sqref="N99:R99">
    <cfRule type="expression" dxfId="32" priority="38">
      <formula>IF(NoColor,1,0)</formula>
    </cfRule>
  </conditionalFormatting>
  <conditionalFormatting sqref="W99:AA99">
    <cfRule type="expression" dxfId="31" priority="37">
      <formula>IF(NoColor,1,0)</formula>
    </cfRule>
  </conditionalFormatting>
  <conditionalFormatting sqref="AD99:AH99">
    <cfRule type="expression" dxfId="30" priority="36">
      <formula>IF(NoColor,1,0)</formula>
    </cfRule>
  </conditionalFormatting>
  <conditionalFormatting sqref="D107:H107">
    <cfRule type="expression" dxfId="29" priority="35">
      <formula>IF(NoColor,1,0)</formula>
    </cfRule>
  </conditionalFormatting>
  <conditionalFormatting sqref="N107:R107">
    <cfRule type="expression" dxfId="28" priority="34">
      <formula>IF(NoColor,1,0)</formula>
    </cfRule>
  </conditionalFormatting>
  <conditionalFormatting sqref="W107:AA107">
    <cfRule type="expression" dxfId="27" priority="33">
      <formula>IF(NoColor,1,0)</formula>
    </cfRule>
  </conditionalFormatting>
  <conditionalFormatting sqref="AD107:AH107">
    <cfRule type="expression" dxfId="26" priority="32">
      <formula>IF(NoColor,1,0)</formula>
    </cfRule>
  </conditionalFormatting>
  <conditionalFormatting sqref="I126:M126">
    <cfRule type="expression" dxfId="25" priority="31">
      <formula>IF(NoColor,1,0)</formula>
    </cfRule>
  </conditionalFormatting>
  <conditionalFormatting sqref="P126:T126">
    <cfRule type="expression" dxfId="24" priority="30">
      <formula>IF(NoColor,1,0)</formula>
    </cfRule>
  </conditionalFormatting>
  <conditionalFormatting sqref="W126:AA126">
    <cfRule type="expression" dxfId="23" priority="29">
      <formula>IF(NoColor,1,0)</formula>
    </cfRule>
  </conditionalFormatting>
  <conditionalFormatting sqref="AD126:AH126">
    <cfRule type="expression" dxfId="22" priority="28">
      <formula>IF(NoColor,1,0)</formula>
    </cfRule>
  </conditionalFormatting>
  <conditionalFormatting sqref="J96:N96">
    <cfRule type="expression" dxfId="21" priority="27">
      <formula>IF(NoColor,1,0)</formula>
    </cfRule>
  </conditionalFormatting>
  <conditionalFormatting sqref="S96:W96">
    <cfRule type="expression" dxfId="20" priority="26">
      <formula>IF(NoColor,1,0)</formula>
    </cfRule>
  </conditionalFormatting>
  <conditionalFormatting sqref="AB96:AF96">
    <cfRule type="expression" dxfId="19" priority="25">
      <formula>IF(NoColor,1,0)</formula>
    </cfRule>
  </conditionalFormatting>
  <conditionalFormatting sqref="J104:N104">
    <cfRule type="expression" dxfId="18" priority="24">
      <formula>IF(NoColor,1,0)</formula>
    </cfRule>
  </conditionalFormatting>
  <conditionalFormatting sqref="S104:W104">
    <cfRule type="expression" dxfId="17" priority="23">
      <formula>IF(NoColor,1,0)</formula>
    </cfRule>
  </conditionalFormatting>
  <conditionalFormatting sqref="AB104:AF104">
    <cfRule type="expression" dxfId="16" priority="22">
      <formula>IF(NoColor,1,0)</formula>
    </cfRule>
  </conditionalFormatting>
  <conditionalFormatting sqref="J112:N112">
    <cfRule type="expression" dxfId="15" priority="21">
      <formula>IF(NoColor,1,0)</formula>
    </cfRule>
  </conditionalFormatting>
  <conditionalFormatting sqref="S112:W112">
    <cfRule type="expression" dxfId="14" priority="20">
      <formula>IF(NoColor,1,0)</formula>
    </cfRule>
  </conditionalFormatting>
  <conditionalFormatting sqref="AB112:AF112">
    <cfRule type="expression" dxfId="13" priority="19">
      <formula>IF(NoColor,1,0)</formula>
    </cfRule>
  </conditionalFormatting>
  <conditionalFormatting sqref="X19">
    <cfRule type="expression" dxfId="12" priority="18">
      <formula>IF(NoColor,1,0)</formula>
    </cfRule>
  </conditionalFormatting>
  <conditionalFormatting sqref="X19:AC19">
    <cfRule type="expression" dxfId="11" priority="17">
      <formula>IF(NoColor,1,0)</formula>
    </cfRule>
  </conditionalFormatting>
  <conditionalFormatting sqref="X20">
    <cfRule type="expression" dxfId="10" priority="16">
      <formula>IF(NoColor,1,0)</formula>
    </cfRule>
  </conditionalFormatting>
  <conditionalFormatting sqref="X20:AC20">
    <cfRule type="expression" dxfId="9" priority="15">
      <formula>IF(NoColor,1,0)</formula>
    </cfRule>
  </conditionalFormatting>
  <conditionalFormatting sqref="AL15">
    <cfRule type="expression" dxfId="8" priority="13">
      <formula>$AM$13</formula>
    </cfRule>
  </conditionalFormatting>
  <conditionalFormatting sqref="AM5:AR11">
    <cfRule type="expression" dxfId="7" priority="12">
      <formula>OR(File_Marr_Sep&lt;&gt;"",AI13&lt;&gt;"")</formula>
    </cfRule>
  </conditionalFormatting>
  <conditionalFormatting sqref="AL13">
    <cfRule type="expression" dxfId="6" priority="9">
      <formula>IF(AND(File_Marr_Sep&lt;&gt;"",$AI$13&lt;&gt;""),TRUE,FALSE)</formula>
    </cfRule>
    <cfRule type="expression" dxfId="5" priority="11">
      <formula>OR(File_Marr_Sep&lt;&gt;"",AND(File_Marr_Sep="",AI13&lt;&gt;""))</formula>
    </cfRule>
  </conditionalFormatting>
  <conditionalFormatting sqref="BG36">
    <cfRule type="expression" dxfId="4" priority="7">
      <formula>IF(NoColor,1,0)</formula>
    </cfRule>
  </conditionalFormatting>
  <conditionalFormatting sqref="BG40">
    <cfRule type="expression" dxfId="3" priority="6">
      <formula>IF(NoColor,1,0)</formula>
    </cfRule>
  </conditionalFormatting>
  <conditionalFormatting sqref="AA70">
    <cfRule type="expression" dxfId="2" priority="3">
      <formula>$AB$70</formula>
    </cfRule>
  </conditionalFormatting>
  <conditionalFormatting sqref="AU39">
    <cfRule type="expression" dxfId="1" priority="2">
      <formula>IF(NoColor,1,0)</formula>
    </cfRule>
  </conditionalFormatting>
  <conditionalFormatting sqref="AV43">
    <cfRule type="expression" dxfId="0" priority="1">
      <formula>IF(NoColor,1,0)</formula>
    </cfRule>
  </conditionalFormatting>
  <pageMargins left="0.7" right="0.2" top="0.25" bottom="0.25" header="0" footer="0"/>
  <pageSetup scale="72" fitToHeight="0" orientation="portrait" horizontalDpi="4294967293" verticalDpi="4294967293" r:id="rId1"/>
  <rowBreaks count="1" manualBreakCount="1">
    <brk id="77" min="1" max="35" man="1"/>
  </row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106"/>
  <sheetViews>
    <sheetView zoomScaleNormal="100" workbookViewId="0">
      <pane ySplit="2" topLeftCell="A3" activePane="bottomLeft" state="frozen"/>
      <selection activeCell="O28" sqref="O28"/>
      <selection pane="bottomLeft" sqref="A1:B1"/>
    </sheetView>
  </sheetViews>
  <sheetFormatPr defaultColWidth="14.7109375" defaultRowHeight="12.75"/>
  <cols>
    <col min="1" max="1" width="14.7109375" style="2153" customWidth="1"/>
    <col min="2" max="2" width="14.7109375" style="2180" customWidth="1"/>
    <col min="3" max="5" width="11.85546875" style="2153" customWidth="1"/>
    <col min="6" max="6" width="11.85546875" style="2180" customWidth="1"/>
    <col min="7" max="9" width="11.85546875" style="2153" customWidth="1"/>
    <col min="10" max="10" width="11.85546875" style="2180" customWidth="1"/>
    <col min="11" max="11" width="14.7109375" style="940" customWidth="1"/>
    <col min="12" max="16384" width="14.7109375" style="2153"/>
  </cols>
  <sheetData>
    <row r="1" spans="1:11" s="2175" customFormat="1">
      <c r="A1" s="8232" t="s">
        <v>1664</v>
      </c>
      <c r="B1" s="8232"/>
      <c r="C1" s="8233" t="s">
        <v>1665</v>
      </c>
      <c r="D1" s="8234"/>
      <c r="E1" s="8234"/>
      <c r="F1" s="8235"/>
      <c r="G1" s="8233" t="s">
        <v>1666</v>
      </c>
      <c r="H1" s="8234"/>
      <c r="I1" s="8234"/>
      <c r="J1" s="8235"/>
    </row>
    <row r="2" spans="1:11" s="1407" customFormat="1" ht="12" thickBot="1">
      <c r="A2" s="2176" t="s">
        <v>1667</v>
      </c>
      <c r="B2" s="2177" t="s">
        <v>1668</v>
      </c>
      <c r="C2" s="2178" t="s">
        <v>1669</v>
      </c>
      <c r="D2" s="2178" t="s">
        <v>1670</v>
      </c>
      <c r="E2" s="2178" t="s">
        <v>1762</v>
      </c>
      <c r="F2" s="2179" t="s">
        <v>1761</v>
      </c>
      <c r="G2" s="2178" t="s">
        <v>1669</v>
      </c>
      <c r="H2" s="2178" t="s">
        <v>1670</v>
      </c>
      <c r="I2" s="2178" t="s">
        <v>1762</v>
      </c>
      <c r="J2" s="2179" t="s">
        <v>1761</v>
      </c>
      <c r="K2" s="734"/>
    </row>
    <row r="3" spans="1:11" ht="13.5">
      <c r="A3" s="4723">
        <v>1</v>
      </c>
      <c r="B3" s="4724">
        <v>50</v>
      </c>
      <c r="C3" s="4723">
        <v>2</v>
      </c>
      <c r="D3" s="4723">
        <v>9</v>
      </c>
      <c r="E3" s="4723">
        <v>10</v>
      </c>
      <c r="F3" s="4724">
        <v>11</v>
      </c>
      <c r="G3" s="4723">
        <v>2</v>
      </c>
      <c r="H3" s="4723">
        <v>9</v>
      </c>
      <c r="I3" s="4723">
        <v>10</v>
      </c>
      <c r="J3" s="4724">
        <v>11</v>
      </c>
      <c r="K3" s="2153"/>
    </row>
    <row r="4" spans="1:11" s="4722" customFormat="1" ht="13.5">
      <c r="A4" s="2287">
        <v>50</v>
      </c>
      <c r="B4" s="2286">
        <v>100</v>
      </c>
      <c r="C4" s="2287">
        <v>6</v>
      </c>
      <c r="D4" s="2287">
        <v>26</v>
      </c>
      <c r="E4" s="2287">
        <v>30</v>
      </c>
      <c r="F4" s="2286">
        <v>34</v>
      </c>
      <c r="G4" s="2287">
        <v>6</v>
      </c>
      <c r="H4" s="2287">
        <v>26</v>
      </c>
      <c r="I4" s="2287">
        <v>30</v>
      </c>
      <c r="J4" s="2286">
        <v>34</v>
      </c>
    </row>
    <row r="5" spans="1:11" s="4722" customFormat="1" ht="13.5">
      <c r="A5" s="2287">
        <v>100</v>
      </c>
      <c r="B5" s="2286">
        <v>150</v>
      </c>
      <c r="C5" s="2287">
        <v>10</v>
      </c>
      <c r="D5" s="2287">
        <v>43</v>
      </c>
      <c r="E5" s="2287">
        <v>50</v>
      </c>
      <c r="F5" s="2286">
        <v>56</v>
      </c>
      <c r="G5" s="2287">
        <v>10</v>
      </c>
      <c r="H5" s="2287">
        <v>43</v>
      </c>
      <c r="I5" s="2287">
        <v>50</v>
      </c>
      <c r="J5" s="2286">
        <v>56</v>
      </c>
    </row>
    <row r="6" spans="1:11" s="4722" customFormat="1" ht="13.5">
      <c r="A6" s="2287">
        <v>150</v>
      </c>
      <c r="B6" s="2286">
        <v>200</v>
      </c>
      <c r="C6" s="2287">
        <v>13</v>
      </c>
      <c r="D6" s="2287">
        <v>60</v>
      </c>
      <c r="E6" s="2287">
        <v>70</v>
      </c>
      <c r="F6" s="2286">
        <v>79</v>
      </c>
      <c r="G6" s="2287">
        <v>13</v>
      </c>
      <c r="H6" s="2287">
        <v>60</v>
      </c>
      <c r="I6" s="2287">
        <v>70</v>
      </c>
      <c r="J6" s="2286">
        <v>79</v>
      </c>
    </row>
    <row r="7" spans="1:11" s="4722" customFormat="1" ht="13.5">
      <c r="A7" s="2287">
        <v>200</v>
      </c>
      <c r="B7" s="2286">
        <v>250</v>
      </c>
      <c r="C7" s="2287">
        <v>17</v>
      </c>
      <c r="D7" s="2287">
        <v>77</v>
      </c>
      <c r="E7" s="2287">
        <v>90</v>
      </c>
      <c r="F7" s="2286">
        <v>101</v>
      </c>
      <c r="G7" s="2287">
        <v>17</v>
      </c>
      <c r="H7" s="2287">
        <v>77</v>
      </c>
      <c r="I7" s="2287">
        <v>90</v>
      </c>
      <c r="J7" s="2286">
        <v>101</v>
      </c>
    </row>
    <row r="8" spans="1:11" s="4722" customFormat="1" ht="13.5">
      <c r="A8" s="2287">
        <v>250</v>
      </c>
      <c r="B8" s="2286">
        <v>300</v>
      </c>
      <c r="C8" s="2287">
        <v>21</v>
      </c>
      <c r="D8" s="2287">
        <v>94</v>
      </c>
      <c r="E8" s="2287">
        <v>110</v>
      </c>
      <c r="F8" s="2286">
        <v>124</v>
      </c>
      <c r="G8" s="2287">
        <v>21</v>
      </c>
      <c r="H8" s="2287">
        <v>94</v>
      </c>
      <c r="I8" s="2287">
        <v>110</v>
      </c>
      <c r="J8" s="2286">
        <v>124</v>
      </c>
    </row>
    <row r="9" spans="1:11" s="4722" customFormat="1" ht="13.5">
      <c r="A9" s="2287">
        <v>300</v>
      </c>
      <c r="B9" s="2286">
        <v>350</v>
      </c>
      <c r="C9" s="2287">
        <v>25</v>
      </c>
      <c r="D9" s="2287">
        <v>111</v>
      </c>
      <c r="E9" s="2287">
        <v>130</v>
      </c>
      <c r="F9" s="2286">
        <v>146</v>
      </c>
      <c r="G9" s="2287">
        <v>25</v>
      </c>
      <c r="H9" s="2287">
        <v>111</v>
      </c>
      <c r="I9" s="2287">
        <v>130</v>
      </c>
      <c r="J9" s="2286">
        <v>146</v>
      </c>
    </row>
    <row r="10" spans="1:11" s="4722" customFormat="1" ht="13.5">
      <c r="A10" s="2287">
        <v>350</v>
      </c>
      <c r="B10" s="2286">
        <v>400</v>
      </c>
      <c r="C10" s="2287">
        <v>29</v>
      </c>
      <c r="D10" s="2287">
        <v>128</v>
      </c>
      <c r="E10" s="2287">
        <v>150</v>
      </c>
      <c r="F10" s="2286">
        <v>169</v>
      </c>
      <c r="G10" s="2287">
        <v>29</v>
      </c>
      <c r="H10" s="2287">
        <v>128</v>
      </c>
      <c r="I10" s="2287">
        <v>150</v>
      </c>
      <c r="J10" s="2286">
        <v>169</v>
      </c>
    </row>
    <row r="11" spans="1:11" s="4722" customFormat="1" ht="13.5">
      <c r="A11" s="2287">
        <v>400</v>
      </c>
      <c r="B11" s="2286">
        <v>450</v>
      </c>
      <c r="C11" s="2287">
        <v>33</v>
      </c>
      <c r="D11" s="2287">
        <v>145</v>
      </c>
      <c r="E11" s="2287">
        <v>170</v>
      </c>
      <c r="F11" s="2286">
        <v>191</v>
      </c>
      <c r="G11" s="2287">
        <v>33</v>
      </c>
      <c r="H11" s="2287">
        <v>145</v>
      </c>
      <c r="I11" s="2287">
        <v>170</v>
      </c>
      <c r="J11" s="2286">
        <v>191</v>
      </c>
    </row>
    <row r="12" spans="1:11" s="4722" customFormat="1" ht="13.5">
      <c r="A12" s="2287">
        <v>450</v>
      </c>
      <c r="B12" s="2286">
        <v>500</v>
      </c>
      <c r="C12" s="2287">
        <v>36</v>
      </c>
      <c r="D12" s="2287">
        <v>162</v>
      </c>
      <c r="E12" s="2287">
        <v>190</v>
      </c>
      <c r="F12" s="2286">
        <v>214</v>
      </c>
      <c r="G12" s="2287">
        <v>36</v>
      </c>
      <c r="H12" s="2287">
        <v>162</v>
      </c>
      <c r="I12" s="2287">
        <v>190</v>
      </c>
      <c r="J12" s="2286">
        <v>214</v>
      </c>
    </row>
    <row r="13" spans="1:11" s="4722" customFormat="1" ht="13.5">
      <c r="A13" s="2287">
        <v>500</v>
      </c>
      <c r="B13" s="2286">
        <v>550</v>
      </c>
      <c r="C13" s="2287">
        <v>40</v>
      </c>
      <c r="D13" s="2287">
        <v>179</v>
      </c>
      <c r="E13" s="2287">
        <v>210</v>
      </c>
      <c r="F13" s="2286">
        <v>236</v>
      </c>
      <c r="G13" s="2287">
        <v>40</v>
      </c>
      <c r="H13" s="2287">
        <v>179</v>
      </c>
      <c r="I13" s="2287">
        <v>210</v>
      </c>
      <c r="J13" s="2286">
        <v>236</v>
      </c>
    </row>
    <row r="14" spans="1:11" s="4722" customFormat="1" ht="13.5">
      <c r="A14" s="2287">
        <v>550</v>
      </c>
      <c r="B14" s="2286">
        <v>600</v>
      </c>
      <c r="C14" s="2287">
        <v>44</v>
      </c>
      <c r="D14" s="2287">
        <v>196</v>
      </c>
      <c r="E14" s="2287">
        <v>230</v>
      </c>
      <c r="F14" s="2286">
        <v>259</v>
      </c>
      <c r="G14" s="2287">
        <v>44</v>
      </c>
      <c r="H14" s="2287">
        <v>196</v>
      </c>
      <c r="I14" s="2287">
        <v>230</v>
      </c>
      <c r="J14" s="2286">
        <v>259</v>
      </c>
    </row>
    <row r="15" spans="1:11" s="4722" customFormat="1" ht="13.5">
      <c r="A15" s="2287">
        <v>600</v>
      </c>
      <c r="B15" s="2286">
        <v>650</v>
      </c>
      <c r="C15" s="2287">
        <v>48</v>
      </c>
      <c r="D15" s="2287">
        <v>213</v>
      </c>
      <c r="E15" s="2287">
        <v>250</v>
      </c>
      <c r="F15" s="2286">
        <v>281</v>
      </c>
      <c r="G15" s="2287">
        <v>48</v>
      </c>
      <c r="H15" s="2287">
        <v>213</v>
      </c>
      <c r="I15" s="2287">
        <v>250</v>
      </c>
      <c r="J15" s="2286">
        <v>281</v>
      </c>
    </row>
    <row r="16" spans="1:11" s="4722" customFormat="1" ht="13.5">
      <c r="A16" s="2287">
        <v>650</v>
      </c>
      <c r="B16" s="2286">
        <v>700</v>
      </c>
      <c r="C16" s="2287">
        <v>52</v>
      </c>
      <c r="D16" s="2287">
        <v>230</v>
      </c>
      <c r="E16" s="2287">
        <v>270</v>
      </c>
      <c r="F16" s="2286">
        <v>304</v>
      </c>
      <c r="G16" s="2287">
        <v>52</v>
      </c>
      <c r="H16" s="2287">
        <v>230</v>
      </c>
      <c r="I16" s="2287">
        <v>270</v>
      </c>
      <c r="J16" s="2286">
        <v>304</v>
      </c>
    </row>
    <row r="17" spans="1:10" s="4722" customFormat="1" ht="13.5">
      <c r="A17" s="2287">
        <v>700</v>
      </c>
      <c r="B17" s="2286">
        <v>750</v>
      </c>
      <c r="C17" s="2287">
        <v>55</v>
      </c>
      <c r="D17" s="2287">
        <v>247</v>
      </c>
      <c r="E17" s="2287">
        <v>290</v>
      </c>
      <c r="F17" s="2286">
        <v>326</v>
      </c>
      <c r="G17" s="2287">
        <v>55</v>
      </c>
      <c r="H17" s="2287">
        <v>247</v>
      </c>
      <c r="I17" s="2287">
        <v>290</v>
      </c>
      <c r="J17" s="2286">
        <v>326</v>
      </c>
    </row>
    <row r="18" spans="1:10" s="4722" customFormat="1" ht="13.5">
      <c r="A18" s="2287">
        <v>750</v>
      </c>
      <c r="B18" s="2286">
        <v>800</v>
      </c>
      <c r="C18" s="2287">
        <v>59</v>
      </c>
      <c r="D18" s="2287">
        <v>264</v>
      </c>
      <c r="E18" s="2287">
        <v>310</v>
      </c>
      <c r="F18" s="2286">
        <v>349</v>
      </c>
      <c r="G18" s="2287">
        <v>59</v>
      </c>
      <c r="H18" s="2287">
        <v>264</v>
      </c>
      <c r="I18" s="2287">
        <v>310</v>
      </c>
      <c r="J18" s="2286">
        <v>349</v>
      </c>
    </row>
    <row r="19" spans="1:10" s="4722" customFormat="1" ht="13.5">
      <c r="A19" s="2287">
        <v>800</v>
      </c>
      <c r="B19" s="2286">
        <v>850</v>
      </c>
      <c r="C19" s="2287">
        <v>63</v>
      </c>
      <c r="D19" s="2287">
        <v>281</v>
      </c>
      <c r="E19" s="2287">
        <v>330</v>
      </c>
      <c r="F19" s="2286">
        <v>371</v>
      </c>
      <c r="G19" s="2287">
        <v>63</v>
      </c>
      <c r="H19" s="2287">
        <v>281</v>
      </c>
      <c r="I19" s="2287">
        <v>330</v>
      </c>
      <c r="J19" s="2286">
        <v>371</v>
      </c>
    </row>
    <row r="20" spans="1:10" s="4722" customFormat="1" ht="13.5">
      <c r="A20" s="2287">
        <v>850</v>
      </c>
      <c r="B20" s="2286">
        <v>900</v>
      </c>
      <c r="C20" s="2287">
        <v>67</v>
      </c>
      <c r="D20" s="2287">
        <v>298</v>
      </c>
      <c r="E20" s="2287">
        <v>350</v>
      </c>
      <c r="F20" s="2286">
        <v>394</v>
      </c>
      <c r="G20" s="2287">
        <v>67</v>
      </c>
      <c r="H20" s="2287">
        <v>298</v>
      </c>
      <c r="I20" s="2287">
        <v>350</v>
      </c>
      <c r="J20" s="2286">
        <v>394</v>
      </c>
    </row>
    <row r="21" spans="1:10" s="4722" customFormat="1" ht="13.5">
      <c r="A21" s="2287">
        <v>900</v>
      </c>
      <c r="B21" s="2286">
        <v>950</v>
      </c>
      <c r="C21" s="2287">
        <v>71</v>
      </c>
      <c r="D21" s="2287">
        <v>315</v>
      </c>
      <c r="E21" s="2287">
        <v>370</v>
      </c>
      <c r="F21" s="2286">
        <v>416</v>
      </c>
      <c r="G21" s="2287">
        <v>71</v>
      </c>
      <c r="H21" s="2287">
        <v>315</v>
      </c>
      <c r="I21" s="2287">
        <v>370</v>
      </c>
      <c r="J21" s="2286">
        <v>416</v>
      </c>
    </row>
    <row r="22" spans="1:10" s="4722" customFormat="1" ht="13.5">
      <c r="A22" s="2287">
        <v>950</v>
      </c>
      <c r="B22" s="2286">
        <v>1000</v>
      </c>
      <c r="C22" s="2287">
        <v>75</v>
      </c>
      <c r="D22" s="2287">
        <v>332</v>
      </c>
      <c r="E22" s="2287">
        <v>390</v>
      </c>
      <c r="F22" s="2286">
        <v>439</v>
      </c>
      <c r="G22" s="2287">
        <v>75</v>
      </c>
      <c r="H22" s="2287">
        <v>332</v>
      </c>
      <c r="I22" s="2287">
        <v>390</v>
      </c>
      <c r="J22" s="2286">
        <v>439</v>
      </c>
    </row>
    <row r="23" spans="1:10" s="4722" customFormat="1" ht="13.5">
      <c r="A23" s="2287">
        <v>1000</v>
      </c>
      <c r="B23" s="2286">
        <v>1050</v>
      </c>
      <c r="C23" s="2287">
        <v>78</v>
      </c>
      <c r="D23" s="2287">
        <v>349</v>
      </c>
      <c r="E23" s="2287">
        <v>410</v>
      </c>
      <c r="F23" s="2286">
        <v>461</v>
      </c>
      <c r="G23" s="2287">
        <v>78</v>
      </c>
      <c r="H23" s="2287">
        <v>349</v>
      </c>
      <c r="I23" s="2287">
        <v>410</v>
      </c>
      <c r="J23" s="2286">
        <v>461</v>
      </c>
    </row>
    <row r="24" spans="1:10" s="4722" customFormat="1" ht="13.5">
      <c r="A24" s="2287">
        <v>1050</v>
      </c>
      <c r="B24" s="2286">
        <v>1100</v>
      </c>
      <c r="C24" s="2287">
        <v>82</v>
      </c>
      <c r="D24" s="2287">
        <v>366</v>
      </c>
      <c r="E24" s="2287">
        <v>430</v>
      </c>
      <c r="F24" s="2286">
        <v>484</v>
      </c>
      <c r="G24" s="2287">
        <v>82</v>
      </c>
      <c r="H24" s="2287">
        <v>366</v>
      </c>
      <c r="I24" s="2287">
        <v>430</v>
      </c>
      <c r="J24" s="2286">
        <v>484</v>
      </c>
    </row>
    <row r="25" spans="1:10" s="4722" customFormat="1" ht="13.5">
      <c r="A25" s="2287">
        <v>1100</v>
      </c>
      <c r="B25" s="2286">
        <v>1150</v>
      </c>
      <c r="C25" s="2287">
        <v>86</v>
      </c>
      <c r="D25" s="2287">
        <v>383</v>
      </c>
      <c r="E25" s="2287">
        <v>450</v>
      </c>
      <c r="F25" s="2286">
        <v>506</v>
      </c>
      <c r="G25" s="2287">
        <v>86</v>
      </c>
      <c r="H25" s="2287">
        <v>383</v>
      </c>
      <c r="I25" s="2287">
        <v>450</v>
      </c>
      <c r="J25" s="2286">
        <v>506</v>
      </c>
    </row>
    <row r="26" spans="1:10" s="4722" customFormat="1" ht="13.5">
      <c r="A26" s="2287">
        <v>1150</v>
      </c>
      <c r="B26" s="2286">
        <v>1200</v>
      </c>
      <c r="C26" s="2287">
        <v>90</v>
      </c>
      <c r="D26" s="2287">
        <v>400</v>
      </c>
      <c r="E26" s="2287">
        <v>470</v>
      </c>
      <c r="F26" s="2286">
        <v>529</v>
      </c>
      <c r="G26" s="2287">
        <v>90</v>
      </c>
      <c r="H26" s="2287">
        <v>400</v>
      </c>
      <c r="I26" s="2287">
        <v>470</v>
      </c>
      <c r="J26" s="2286">
        <v>529</v>
      </c>
    </row>
    <row r="27" spans="1:10" s="4722" customFormat="1" ht="13.5">
      <c r="A27" s="2287">
        <v>1200</v>
      </c>
      <c r="B27" s="2286">
        <v>1250</v>
      </c>
      <c r="C27" s="2287">
        <v>94</v>
      </c>
      <c r="D27" s="2287">
        <v>417</v>
      </c>
      <c r="E27" s="2287">
        <v>490</v>
      </c>
      <c r="F27" s="2286">
        <v>551</v>
      </c>
      <c r="G27" s="2287">
        <v>94</v>
      </c>
      <c r="H27" s="2287">
        <v>417</v>
      </c>
      <c r="I27" s="2287">
        <v>490</v>
      </c>
      <c r="J27" s="2286">
        <v>551</v>
      </c>
    </row>
    <row r="28" spans="1:10" s="4722" customFormat="1" ht="13.5">
      <c r="A28" s="2287">
        <v>1250</v>
      </c>
      <c r="B28" s="2286">
        <v>1300</v>
      </c>
      <c r="C28" s="2287">
        <v>98</v>
      </c>
      <c r="D28" s="2287">
        <v>434</v>
      </c>
      <c r="E28" s="2287">
        <v>510</v>
      </c>
      <c r="F28" s="2286">
        <v>574</v>
      </c>
      <c r="G28" s="2287">
        <v>98</v>
      </c>
      <c r="H28" s="2287">
        <v>434</v>
      </c>
      <c r="I28" s="2287">
        <v>510</v>
      </c>
      <c r="J28" s="2286">
        <v>574</v>
      </c>
    </row>
    <row r="29" spans="1:10" s="4722" customFormat="1" ht="13.5">
      <c r="A29" s="2287">
        <v>1300</v>
      </c>
      <c r="B29" s="2286">
        <v>1350</v>
      </c>
      <c r="C29" s="2287">
        <v>101</v>
      </c>
      <c r="D29" s="2287">
        <v>451</v>
      </c>
      <c r="E29" s="2287">
        <v>530</v>
      </c>
      <c r="F29" s="2286">
        <v>596</v>
      </c>
      <c r="G29" s="2287">
        <v>101</v>
      </c>
      <c r="H29" s="2287">
        <v>451</v>
      </c>
      <c r="I29" s="2287">
        <v>530</v>
      </c>
      <c r="J29" s="2286">
        <v>596</v>
      </c>
    </row>
    <row r="30" spans="1:10" s="4722" customFormat="1" ht="13.5">
      <c r="A30" s="2287">
        <v>1350</v>
      </c>
      <c r="B30" s="2286">
        <v>1400</v>
      </c>
      <c r="C30" s="2287">
        <v>105</v>
      </c>
      <c r="D30" s="2287">
        <v>468</v>
      </c>
      <c r="E30" s="2287">
        <v>550</v>
      </c>
      <c r="F30" s="2286">
        <v>619</v>
      </c>
      <c r="G30" s="2287">
        <v>105</v>
      </c>
      <c r="H30" s="2287">
        <v>468</v>
      </c>
      <c r="I30" s="2287">
        <v>550</v>
      </c>
      <c r="J30" s="2286">
        <v>619</v>
      </c>
    </row>
    <row r="31" spans="1:10" s="4722" customFormat="1" ht="13.5">
      <c r="A31" s="2287">
        <v>1400</v>
      </c>
      <c r="B31" s="2286">
        <v>1450</v>
      </c>
      <c r="C31" s="2287">
        <v>109</v>
      </c>
      <c r="D31" s="2287">
        <v>485</v>
      </c>
      <c r="E31" s="2287">
        <v>570</v>
      </c>
      <c r="F31" s="2286">
        <v>641</v>
      </c>
      <c r="G31" s="2287">
        <v>109</v>
      </c>
      <c r="H31" s="2287">
        <v>485</v>
      </c>
      <c r="I31" s="2287">
        <v>570</v>
      </c>
      <c r="J31" s="2286">
        <v>641</v>
      </c>
    </row>
    <row r="32" spans="1:10" s="4722" customFormat="1" ht="13.5">
      <c r="A32" s="2287">
        <v>1450</v>
      </c>
      <c r="B32" s="2286">
        <v>1500</v>
      </c>
      <c r="C32" s="2287">
        <v>113</v>
      </c>
      <c r="D32" s="2287">
        <v>502</v>
      </c>
      <c r="E32" s="2287">
        <v>590</v>
      </c>
      <c r="F32" s="2286">
        <v>664</v>
      </c>
      <c r="G32" s="2287">
        <v>113</v>
      </c>
      <c r="H32" s="2287">
        <v>502</v>
      </c>
      <c r="I32" s="2287">
        <v>590</v>
      </c>
      <c r="J32" s="2286">
        <v>664</v>
      </c>
    </row>
    <row r="33" spans="1:10" s="4722" customFormat="1" ht="13.5">
      <c r="A33" s="2287">
        <v>1500</v>
      </c>
      <c r="B33" s="2286">
        <v>1550</v>
      </c>
      <c r="C33" s="2287">
        <v>117</v>
      </c>
      <c r="D33" s="2287">
        <v>519</v>
      </c>
      <c r="E33" s="2287">
        <v>610</v>
      </c>
      <c r="F33" s="2286">
        <v>686</v>
      </c>
      <c r="G33" s="2287">
        <v>117</v>
      </c>
      <c r="H33" s="2287">
        <v>519</v>
      </c>
      <c r="I33" s="2287">
        <v>610</v>
      </c>
      <c r="J33" s="2286">
        <v>686</v>
      </c>
    </row>
    <row r="34" spans="1:10" s="4722" customFormat="1" ht="13.5">
      <c r="A34" s="2287">
        <v>1550</v>
      </c>
      <c r="B34" s="2286">
        <v>1600</v>
      </c>
      <c r="C34" s="2287">
        <v>120</v>
      </c>
      <c r="D34" s="2287">
        <v>536</v>
      </c>
      <c r="E34" s="2287">
        <v>630</v>
      </c>
      <c r="F34" s="2286">
        <v>709</v>
      </c>
      <c r="G34" s="2287">
        <v>120</v>
      </c>
      <c r="H34" s="2287">
        <v>536</v>
      </c>
      <c r="I34" s="2287">
        <v>630</v>
      </c>
      <c r="J34" s="2286">
        <v>709</v>
      </c>
    </row>
    <row r="35" spans="1:10" s="4722" customFormat="1" ht="13.5">
      <c r="A35" s="2287">
        <v>1600</v>
      </c>
      <c r="B35" s="2286">
        <v>1650</v>
      </c>
      <c r="C35" s="2287">
        <v>124</v>
      </c>
      <c r="D35" s="2287">
        <v>553</v>
      </c>
      <c r="E35" s="2287">
        <v>650</v>
      </c>
      <c r="F35" s="2286">
        <v>731</v>
      </c>
      <c r="G35" s="2287">
        <v>124</v>
      </c>
      <c r="H35" s="2287">
        <v>553</v>
      </c>
      <c r="I35" s="2287">
        <v>650</v>
      </c>
      <c r="J35" s="2286">
        <v>731</v>
      </c>
    </row>
    <row r="36" spans="1:10" s="4722" customFormat="1" ht="13.5">
      <c r="A36" s="2287">
        <v>1650</v>
      </c>
      <c r="B36" s="2286">
        <v>1700</v>
      </c>
      <c r="C36" s="2287">
        <v>128</v>
      </c>
      <c r="D36" s="2287">
        <v>570</v>
      </c>
      <c r="E36" s="2287">
        <v>670</v>
      </c>
      <c r="F36" s="2286">
        <v>754</v>
      </c>
      <c r="G36" s="2287">
        <v>128</v>
      </c>
      <c r="H36" s="2287">
        <v>570</v>
      </c>
      <c r="I36" s="2287">
        <v>670</v>
      </c>
      <c r="J36" s="2286">
        <v>754</v>
      </c>
    </row>
    <row r="37" spans="1:10" s="4722" customFormat="1" ht="13.5">
      <c r="A37" s="2287">
        <v>1700</v>
      </c>
      <c r="B37" s="2286">
        <v>1750</v>
      </c>
      <c r="C37" s="2287">
        <v>132</v>
      </c>
      <c r="D37" s="2287">
        <v>587</v>
      </c>
      <c r="E37" s="2287">
        <v>690</v>
      </c>
      <c r="F37" s="2286">
        <v>776</v>
      </c>
      <c r="G37" s="2287">
        <v>132</v>
      </c>
      <c r="H37" s="2287">
        <v>587</v>
      </c>
      <c r="I37" s="2287">
        <v>690</v>
      </c>
      <c r="J37" s="2286">
        <v>776</v>
      </c>
    </row>
    <row r="38" spans="1:10" s="4722" customFormat="1" ht="13.5">
      <c r="A38" s="2287">
        <v>1750</v>
      </c>
      <c r="B38" s="2286">
        <v>1800</v>
      </c>
      <c r="C38" s="2287">
        <v>136</v>
      </c>
      <c r="D38" s="2287">
        <v>604</v>
      </c>
      <c r="E38" s="2287">
        <v>710</v>
      </c>
      <c r="F38" s="2286">
        <v>799</v>
      </c>
      <c r="G38" s="2287">
        <v>136</v>
      </c>
      <c r="H38" s="2287">
        <v>604</v>
      </c>
      <c r="I38" s="2287">
        <v>710</v>
      </c>
      <c r="J38" s="2286">
        <v>799</v>
      </c>
    </row>
    <row r="39" spans="1:10" s="4722" customFormat="1" ht="13.5">
      <c r="A39" s="2287">
        <v>1800</v>
      </c>
      <c r="B39" s="2286">
        <v>1850</v>
      </c>
      <c r="C39" s="2287">
        <v>140</v>
      </c>
      <c r="D39" s="2287">
        <v>621</v>
      </c>
      <c r="E39" s="2287">
        <v>730</v>
      </c>
      <c r="F39" s="2286">
        <v>821</v>
      </c>
      <c r="G39" s="2287">
        <v>140</v>
      </c>
      <c r="H39" s="2287">
        <v>621</v>
      </c>
      <c r="I39" s="2287">
        <v>730</v>
      </c>
      <c r="J39" s="2286">
        <v>821</v>
      </c>
    </row>
    <row r="40" spans="1:10" s="4722" customFormat="1" ht="13.5">
      <c r="A40" s="2287">
        <v>1850</v>
      </c>
      <c r="B40" s="2286">
        <v>1900</v>
      </c>
      <c r="C40" s="2287">
        <v>143</v>
      </c>
      <c r="D40" s="2287">
        <v>638</v>
      </c>
      <c r="E40" s="2287">
        <v>750</v>
      </c>
      <c r="F40" s="2286">
        <v>844</v>
      </c>
      <c r="G40" s="2287">
        <v>143</v>
      </c>
      <c r="H40" s="2287">
        <v>638</v>
      </c>
      <c r="I40" s="2287">
        <v>750</v>
      </c>
      <c r="J40" s="2286">
        <v>844</v>
      </c>
    </row>
    <row r="41" spans="1:10" s="4722" customFormat="1" ht="13.5">
      <c r="A41" s="2287">
        <v>1900</v>
      </c>
      <c r="B41" s="2286">
        <v>1950</v>
      </c>
      <c r="C41" s="2287">
        <v>147</v>
      </c>
      <c r="D41" s="2287">
        <v>655</v>
      </c>
      <c r="E41" s="2287">
        <v>770</v>
      </c>
      <c r="F41" s="2286">
        <v>866</v>
      </c>
      <c r="G41" s="2287">
        <v>147</v>
      </c>
      <c r="H41" s="2287">
        <v>655</v>
      </c>
      <c r="I41" s="2287">
        <v>770</v>
      </c>
      <c r="J41" s="2286">
        <v>866</v>
      </c>
    </row>
    <row r="42" spans="1:10" s="4722" customFormat="1" ht="13.5">
      <c r="A42" s="2287">
        <v>1950</v>
      </c>
      <c r="B42" s="2286">
        <v>2000</v>
      </c>
      <c r="C42" s="2287">
        <v>151</v>
      </c>
      <c r="D42" s="2287">
        <v>672</v>
      </c>
      <c r="E42" s="2287">
        <v>790</v>
      </c>
      <c r="F42" s="2286">
        <v>889</v>
      </c>
      <c r="G42" s="2287">
        <v>151</v>
      </c>
      <c r="H42" s="2287">
        <v>672</v>
      </c>
      <c r="I42" s="2287">
        <v>790</v>
      </c>
      <c r="J42" s="2286">
        <v>889</v>
      </c>
    </row>
    <row r="43" spans="1:10" s="4722" customFormat="1" ht="13.5">
      <c r="A43" s="2287">
        <v>2000</v>
      </c>
      <c r="B43" s="2286">
        <v>2050</v>
      </c>
      <c r="C43" s="2287">
        <v>155</v>
      </c>
      <c r="D43" s="2287">
        <v>689</v>
      </c>
      <c r="E43" s="2287">
        <v>810</v>
      </c>
      <c r="F43" s="2286">
        <v>911</v>
      </c>
      <c r="G43" s="2287">
        <v>155</v>
      </c>
      <c r="H43" s="2287">
        <v>689</v>
      </c>
      <c r="I43" s="2287">
        <v>810</v>
      </c>
      <c r="J43" s="2286">
        <v>911</v>
      </c>
    </row>
    <row r="44" spans="1:10" s="4722" customFormat="1" ht="13.5">
      <c r="A44" s="2287">
        <v>2050</v>
      </c>
      <c r="B44" s="2286">
        <v>2100</v>
      </c>
      <c r="C44" s="2287">
        <v>159</v>
      </c>
      <c r="D44" s="2287">
        <v>706</v>
      </c>
      <c r="E44" s="2287">
        <v>830</v>
      </c>
      <c r="F44" s="2286">
        <v>934</v>
      </c>
      <c r="G44" s="2287">
        <v>159</v>
      </c>
      <c r="H44" s="2287">
        <v>706</v>
      </c>
      <c r="I44" s="2287">
        <v>830</v>
      </c>
      <c r="J44" s="2286">
        <v>934</v>
      </c>
    </row>
    <row r="45" spans="1:10" s="4722" customFormat="1" ht="13.5">
      <c r="A45" s="2287">
        <v>2100</v>
      </c>
      <c r="B45" s="2286">
        <v>2150</v>
      </c>
      <c r="C45" s="2287">
        <v>163</v>
      </c>
      <c r="D45" s="2287">
        <v>723</v>
      </c>
      <c r="E45" s="2287">
        <v>850</v>
      </c>
      <c r="F45" s="2286">
        <v>956</v>
      </c>
      <c r="G45" s="2287">
        <v>163</v>
      </c>
      <c r="H45" s="2287">
        <v>723</v>
      </c>
      <c r="I45" s="2287">
        <v>850</v>
      </c>
      <c r="J45" s="2286">
        <v>956</v>
      </c>
    </row>
    <row r="46" spans="1:10" s="4722" customFormat="1" ht="13.5">
      <c r="A46" s="2287">
        <v>2150</v>
      </c>
      <c r="B46" s="2286">
        <v>2200</v>
      </c>
      <c r="C46" s="2287">
        <v>166</v>
      </c>
      <c r="D46" s="2287">
        <v>740</v>
      </c>
      <c r="E46" s="2287">
        <v>870</v>
      </c>
      <c r="F46" s="2286">
        <v>979</v>
      </c>
      <c r="G46" s="2287">
        <v>166</v>
      </c>
      <c r="H46" s="2287">
        <v>740</v>
      </c>
      <c r="I46" s="2287">
        <v>870</v>
      </c>
      <c r="J46" s="2286">
        <v>979</v>
      </c>
    </row>
    <row r="47" spans="1:10" s="4722" customFormat="1" ht="13.5">
      <c r="A47" s="2287">
        <v>2200</v>
      </c>
      <c r="B47" s="2286">
        <v>2250</v>
      </c>
      <c r="C47" s="2287">
        <v>170</v>
      </c>
      <c r="D47" s="2287">
        <v>757</v>
      </c>
      <c r="E47" s="2287">
        <v>890</v>
      </c>
      <c r="F47" s="2286">
        <v>1001</v>
      </c>
      <c r="G47" s="2287">
        <v>170</v>
      </c>
      <c r="H47" s="2287">
        <v>757</v>
      </c>
      <c r="I47" s="2287">
        <v>890</v>
      </c>
      <c r="J47" s="2286">
        <v>1001</v>
      </c>
    </row>
    <row r="48" spans="1:10" s="4722" customFormat="1" ht="13.5">
      <c r="A48" s="2287">
        <v>2250</v>
      </c>
      <c r="B48" s="2286">
        <v>2300</v>
      </c>
      <c r="C48" s="2287">
        <v>174</v>
      </c>
      <c r="D48" s="2287">
        <v>774</v>
      </c>
      <c r="E48" s="2287">
        <v>910</v>
      </c>
      <c r="F48" s="2286">
        <v>1024</v>
      </c>
      <c r="G48" s="2287">
        <v>174</v>
      </c>
      <c r="H48" s="2287">
        <v>774</v>
      </c>
      <c r="I48" s="2287">
        <v>910</v>
      </c>
      <c r="J48" s="2286">
        <v>1024</v>
      </c>
    </row>
    <row r="49" spans="1:10" s="4722" customFormat="1" ht="13.5">
      <c r="A49" s="2287">
        <v>2300</v>
      </c>
      <c r="B49" s="2286">
        <v>2350</v>
      </c>
      <c r="C49" s="2287">
        <v>178</v>
      </c>
      <c r="D49" s="2287">
        <v>791</v>
      </c>
      <c r="E49" s="2287">
        <v>930</v>
      </c>
      <c r="F49" s="2286">
        <v>1046</v>
      </c>
      <c r="G49" s="2287">
        <v>178</v>
      </c>
      <c r="H49" s="2287">
        <v>791</v>
      </c>
      <c r="I49" s="2287">
        <v>930</v>
      </c>
      <c r="J49" s="2286">
        <v>1046</v>
      </c>
    </row>
    <row r="50" spans="1:10" s="4722" customFormat="1" ht="13.5">
      <c r="A50" s="2287">
        <v>2350</v>
      </c>
      <c r="B50" s="2286">
        <v>2400</v>
      </c>
      <c r="C50" s="2287">
        <v>182</v>
      </c>
      <c r="D50" s="2287">
        <v>808</v>
      </c>
      <c r="E50" s="2287">
        <v>950</v>
      </c>
      <c r="F50" s="2286">
        <v>1069</v>
      </c>
      <c r="G50" s="2287">
        <v>182</v>
      </c>
      <c r="H50" s="2287">
        <v>808</v>
      </c>
      <c r="I50" s="2287">
        <v>950</v>
      </c>
      <c r="J50" s="2286">
        <v>1069</v>
      </c>
    </row>
    <row r="51" spans="1:10" s="4722" customFormat="1" ht="13.5">
      <c r="A51" s="2287">
        <v>2400</v>
      </c>
      <c r="B51" s="2286">
        <v>2450</v>
      </c>
      <c r="C51" s="2287">
        <v>186</v>
      </c>
      <c r="D51" s="2287">
        <v>825</v>
      </c>
      <c r="E51" s="2287">
        <v>970</v>
      </c>
      <c r="F51" s="2286">
        <v>1091</v>
      </c>
      <c r="G51" s="2287">
        <v>186</v>
      </c>
      <c r="H51" s="2287">
        <v>825</v>
      </c>
      <c r="I51" s="2287">
        <v>970</v>
      </c>
      <c r="J51" s="2286">
        <v>1091</v>
      </c>
    </row>
    <row r="52" spans="1:10" s="4722" customFormat="1" ht="13.5">
      <c r="A52" s="2287">
        <v>2450</v>
      </c>
      <c r="B52" s="2286">
        <v>2500</v>
      </c>
      <c r="C52" s="2287">
        <v>189</v>
      </c>
      <c r="D52" s="2287">
        <v>842</v>
      </c>
      <c r="E52" s="2287">
        <v>990</v>
      </c>
      <c r="F52" s="2286">
        <v>1114</v>
      </c>
      <c r="G52" s="2287">
        <v>189</v>
      </c>
      <c r="H52" s="2287">
        <v>842</v>
      </c>
      <c r="I52" s="2287">
        <v>990</v>
      </c>
      <c r="J52" s="2286">
        <v>1114</v>
      </c>
    </row>
    <row r="53" spans="1:10" s="4722" customFormat="1" ht="13.5">
      <c r="A53" s="2287">
        <v>2500</v>
      </c>
      <c r="B53" s="2286">
        <v>2550</v>
      </c>
      <c r="C53" s="2287">
        <v>193</v>
      </c>
      <c r="D53" s="2287">
        <v>859</v>
      </c>
      <c r="E53" s="2287">
        <v>1010</v>
      </c>
      <c r="F53" s="2286">
        <v>1136</v>
      </c>
      <c r="G53" s="2287">
        <v>193</v>
      </c>
      <c r="H53" s="2287">
        <v>859</v>
      </c>
      <c r="I53" s="2287">
        <v>1010</v>
      </c>
      <c r="J53" s="2286">
        <v>1136</v>
      </c>
    </row>
    <row r="54" spans="1:10" s="4722" customFormat="1" ht="13.5">
      <c r="A54" s="2287">
        <v>2550</v>
      </c>
      <c r="B54" s="2286">
        <v>2600</v>
      </c>
      <c r="C54" s="2287">
        <v>197</v>
      </c>
      <c r="D54" s="2287">
        <v>876</v>
      </c>
      <c r="E54" s="2287">
        <v>1030</v>
      </c>
      <c r="F54" s="2286">
        <v>1159</v>
      </c>
      <c r="G54" s="2287">
        <v>197</v>
      </c>
      <c r="H54" s="2287">
        <v>876</v>
      </c>
      <c r="I54" s="2287">
        <v>1030</v>
      </c>
      <c r="J54" s="2286">
        <v>1159</v>
      </c>
    </row>
    <row r="55" spans="1:10" s="4722" customFormat="1" ht="13.5">
      <c r="A55" s="2287">
        <v>2600</v>
      </c>
      <c r="B55" s="2286">
        <v>2650</v>
      </c>
      <c r="C55" s="2287">
        <v>201</v>
      </c>
      <c r="D55" s="2287">
        <v>893</v>
      </c>
      <c r="E55" s="2287">
        <v>1050</v>
      </c>
      <c r="F55" s="2286">
        <v>1181</v>
      </c>
      <c r="G55" s="2287">
        <v>201</v>
      </c>
      <c r="H55" s="2287">
        <v>893</v>
      </c>
      <c r="I55" s="2287">
        <v>1050</v>
      </c>
      <c r="J55" s="2286">
        <v>1181</v>
      </c>
    </row>
    <row r="56" spans="1:10" s="4722" customFormat="1" ht="13.5">
      <c r="A56" s="2287">
        <v>2650</v>
      </c>
      <c r="B56" s="2286">
        <v>2700</v>
      </c>
      <c r="C56" s="2287">
        <v>205</v>
      </c>
      <c r="D56" s="2287">
        <v>910</v>
      </c>
      <c r="E56" s="2287">
        <v>1070</v>
      </c>
      <c r="F56" s="2286">
        <v>1204</v>
      </c>
      <c r="G56" s="2287">
        <v>205</v>
      </c>
      <c r="H56" s="2287">
        <v>910</v>
      </c>
      <c r="I56" s="2287">
        <v>1070</v>
      </c>
      <c r="J56" s="2286">
        <v>1204</v>
      </c>
    </row>
    <row r="57" spans="1:10" s="4722" customFormat="1" ht="13.5">
      <c r="A57" s="2287">
        <v>2700</v>
      </c>
      <c r="B57" s="2286">
        <v>2750</v>
      </c>
      <c r="C57" s="2287">
        <v>208</v>
      </c>
      <c r="D57" s="2287">
        <v>927</v>
      </c>
      <c r="E57" s="2287">
        <v>1090</v>
      </c>
      <c r="F57" s="2286">
        <v>1226</v>
      </c>
      <c r="G57" s="2287">
        <v>208</v>
      </c>
      <c r="H57" s="2287">
        <v>927</v>
      </c>
      <c r="I57" s="2287">
        <v>1090</v>
      </c>
      <c r="J57" s="2286">
        <v>1226</v>
      </c>
    </row>
    <row r="58" spans="1:10" s="4722" customFormat="1" ht="13.5">
      <c r="A58" s="2287">
        <v>2750</v>
      </c>
      <c r="B58" s="2286">
        <v>2800</v>
      </c>
      <c r="C58" s="2287">
        <v>212</v>
      </c>
      <c r="D58" s="2287">
        <v>944</v>
      </c>
      <c r="E58" s="2287">
        <v>1110</v>
      </c>
      <c r="F58" s="2286">
        <v>1249</v>
      </c>
      <c r="G58" s="2287">
        <v>212</v>
      </c>
      <c r="H58" s="2287">
        <v>944</v>
      </c>
      <c r="I58" s="2287">
        <v>1110</v>
      </c>
      <c r="J58" s="2286">
        <v>1249</v>
      </c>
    </row>
    <row r="59" spans="1:10" s="4722" customFormat="1" ht="13.5">
      <c r="A59" s="2287">
        <v>2800</v>
      </c>
      <c r="B59" s="2286">
        <v>2850</v>
      </c>
      <c r="C59" s="2287">
        <v>216</v>
      </c>
      <c r="D59" s="2287">
        <v>961</v>
      </c>
      <c r="E59" s="2287">
        <v>1130</v>
      </c>
      <c r="F59" s="2286">
        <v>1271</v>
      </c>
      <c r="G59" s="2287">
        <v>216</v>
      </c>
      <c r="H59" s="2287">
        <v>961</v>
      </c>
      <c r="I59" s="2287">
        <v>1130</v>
      </c>
      <c r="J59" s="2286">
        <v>1271</v>
      </c>
    </row>
    <row r="60" spans="1:10" s="4722" customFormat="1" ht="13.5">
      <c r="A60" s="2287">
        <v>2850</v>
      </c>
      <c r="B60" s="2286">
        <v>2900</v>
      </c>
      <c r="C60" s="2287">
        <v>220</v>
      </c>
      <c r="D60" s="2287">
        <v>978</v>
      </c>
      <c r="E60" s="2287">
        <v>1150</v>
      </c>
      <c r="F60" s="2286">
        <v>1294</v>
      </c>
      <c r="G60" s="2287">
        <v>220</v>
      </c>
      <c r="H60" s="2287">
        <v>978</v>
      </c>
      <c r="I60" s="2287">
        <v>1150</v>
      </c>
      <c r="J60" s="2286">
        <v>1294</v>
      </c>
    </row>
    <row r="61" spans="1:10" s="4722" customFormat="1" ht="13.5">
      <c r="A61" s="2287">
        <v>2900</v>
      </c>
      <c r="B61" s="2286">
        <v>2950</v>
      </c>
      <c r="C61" s="2287">
        <v>224</v>
      </c>
      <c r="D61" s="2287">
        <v>995</v>
      </c>
      <c r="E61" s="2287">
        <v>1170</v>
      </c>
      <c r="F61" s="2286">
        <v>1316</v>
      </c>
      <c r="G61" s="2287">
        <v>224</v>
      </c>
      <c r="H61" s="2287">
        <v>995</v>
      </c>
      <c r="I61" s="2287">
        <v>1170</v>
      </c>
      <c r="J61" s="2286">
        <v>1316</v>
      </c>
    </row>
    <row r="62" spans="1:10" s="4722" customFormat="1" ht="13.5">
      <c r="A62" s="2287">
        <v>2950</v>
      </c>
      <c r="B62" s="2286">
        <v>3000</v>
      </c>
      <c r="C62" s="2287">
        <v>228</v>
      </c>
      <c r="D62" s="2287">
        <v>1012</v>
      </c>
      <c r="E62" s="2287">
        <v>1190</v>
      </c>
      <c r="F62" s="2286">
        <v>1339</v>
      </c>
      <c r="G62" s="2287">
        <v>228</v>
      </c>
      <c r="H62" s="2287">
        <v>1012</v>
      </c>
      <c r="I62" s="2287">
        <v>1190</v>
      </c>
      <c r="J62" s="2286">
        <v>1339</v>
      </c>
    </row>
    <row r="63" spans="1:10" s="4722" customFormat="1" ht="13.5">
      <c r="A63" s="2287">
        <v>3000</v>
      </c>
      <c r="B63" s="2286">
        <v>3050</v>
      </c>
      <c r="C63" s="2287">
        <v>231</v>
      </c>
      <c r="D63" s="2287">
        <v>1029</v>
      </c>
      <c r="E63" s="2287">
        <v>1210</v>
      </c>
      <c r="F63" s="2286">
        <v>1361</v>
      </c>
      <c r="G63" s="2287">
        <v>231</v>
      </c>
      <c r="H63" s="2287">
        <v>1029</v>
      </c>
      <c r="I63" s="2287">
        <v>1210</v>
      </c>
      <c r="J63" s="2286">
        <v>1361</v>
      </c>
    </row>
    <row r="64" spans="1:10" s="4722" customFormat="1" ht="13.5">
      <c r="A64" s="2287">
        <v>3050</v>
      </c>
      <c r="B64" s="2286">
        <v>3100</v>
      </c>
      <c r="C64" s="2287">
        <v>235</v>
      </c>
      <c r="D64" s="2287">
        <v>1046</v>
      </c>
      <c r="E64" s="2287">
        <v>1230</v>
      </c>
      <c r="F64" s="2286">
        <v>1384</v>
      </c>
      <c r="G64" s="2287">
        <v>235</v>
      </c>
      <c r="H64" s="2287">
        <v>1046</v>
      </c>
      <c r="I64" s="2287">
        <v>1230</v>
      </c>
      <c r="J64" s="2286">
        <v>1384</v>
      </c>
    </row>
    <row r="65" spans="1:10" s="4722" customFormat="1" ht="13.5">
      <c r="A65" s="2287">
        <v>3100</v>
      </c>
      <c r="B65" s="2286">
        <v>3150</v>
      </c>
      <c r="C65" s="2287">
        <v>239</v>
      </c>
      <c r="D65" s="2287">
        <v>1063</v>
      </c>
      <c r="E65" s="2287">
        <v>1250</v>
      </c>
      <c r="F65" s="2286">
        <v>1406</v>
      </c>
      <c r="G65" s="2287">
        <v>239</v>
      </c>
      <c r="H65" s="2287">
        <v>1063</v>
      </c>
      <c r="I65" s="2287">
        <v>1250</v>
      </c>
      <c r="J65" s="2286">
        <v>1406</v>
      </c>
    </row>
    <row r="66" spans="1:10" s="4722" customFormat="1" ht="13.5">
      <c r="A66" s="2287">
        <v>3150</v>
      </c>
      <c r="B66" s="2286">
        <v>3200</v>
      </c>
      <c r="C66" s="2287">
        <v>243</v>
      </c>
      <c r="D66" s="2287">
        <v>1080</v>
      </c>
      <c r="E66" s="2287">
        <v>1270</v>
      </c>
      <c r="F66" s="2286">
        <v>1429</v>
      </c>
      <c r="G66" s="2287">
        <v>243</v>
      </c>
      <c r="H66" s="2287">
        <v>1080</v>
      </c>
      <c r="I66" s="2287">
        <v>1270</v>
      </c>
      <c r="J66" s="2286">
        <v>1429</v>
      </c>
    </row>
    <row r="67" spans="1:10" s="4722" customFormat="1" ht="13.5">
      <c r="A67" s="2287">
        <v>3200</v>
      </c>
      <c r="B67" s="2286">
        <v>3250</v>
      </c>
      <c r="C67" s="2287">
        <v>247</v>
      </c>
      <c r="D67" s="2287">
        <v>1097</v>
      </c>
      <c r="E67" s="2287">
        <v>1290</v>
      </c>
      <c r="F67" s="2286">
        <v>1451</v>
      </c>
      <c r="G67" s="2287">
        <v>247</v>
      </c>
      <c r="H67" s="2287">
        <v>1097</v>
      </c>
      <c r="I67" s="2287">
        <v>1290</v>
      </c>
      <c r="J67" s="2286">
        <v>1451</v>
      </c>
    </row>
    <row r="68" spans="1:10" s="4722" customFormat="1" ht="13.5">
      <c r="A68" s="2287">
        <v>3250</v>
      </c>
      <c r="B68" s="2286">
        <v>3300</v>
      </c>
      <c r="C68" s="2287">
        <v>251</v>
      </c>
      <c r="D68" s="2287">
        <v>1114</v>
      </c>
      <c r="E68" s="2287">
        <v>1310</v>
      </c>
      <c r="F68" s="2286">
        <v>1474</v>
      </c>
      <c r="G68" s="2287">
        <v>251</v>
      </c>
      <c r="H68" s="2287">
        <v>1114</v>
      </c>
      <c r="I68" s="2287">
        <v>1310</v>
      </c>
      <c r="J68" s="2286">
        <v>1474</v>
      </c>
    </row>
    <row r="69" spans="1:10" s="4722" customFormat="1" ht="13.5">
      <c r="A69" s="2287">
        <v>3300</v>
      </c>
      <c r="B69" s="2286">
        <v>3350</v>
      </c>
      <c r="C69" s="2287">
        <v>254</v>
      </c>
      <c r="D69" s="2287">
        <v>1131</v>
      </c>
      <c r="E69" s="2287">
        <v>1330</v>
      </c>
      <c r="F69" s="2286">
        <v>1496</v>
      </c>
      <c r="G69" s="2287">
        <v>254</v>
      </c>
      <c r="H69" s="2287">
        <v>1131</v>
      </c>
      <c r="I69" s="2287">
        <v>1330</v>
      </c>
      <c r="J69" s="2286">
        <v>1496</v>
      </c>
    </row>
    <row r="70" spans="1:10" s="4722" customFormat="1" ht="13.5">
      <c r="A70" s="2287">
        <v>3350</v>
      </c>
      <c r="B70" s="2286">
        <v>3400</v>
      </c>
      <c r="C70" s="2287">
        <v>258</v>
      </c>
      <c r="D70" s="2287">
        <v>1148</v>
      </c>
      <c r="E70" s="2287">
        <v>1350</v>
      </c>
      <c r="F70" s="2286">
        <v>1519</v>
      </c>
      <c r="G70" s="2287">
        <v>258</v>
      </c>
      <c r="H70" s="2287">
        <v>1148</v>
      </c>
      <c r="I70" s="2287">
        <v>1350</v>
      </c>
      <c r="J70" s="2286">
        <v>1519</v>
      </c>
    </row>
    <row r="71" spans="1:10" s="4722" customFormat="1" ht="13.5">
      <c r="A71" s="2287">
        <v>3400</v>
      </c>
      <c r="B71" s="2286">
        <v>3450</v>
      </c>
      <c r="C71" s="2287">
        <v>262</v>
      </c>
      <c r="D71" s="2287">
        <v>1165</v>
      </c>
      <c r="E71" s="2287">
        <v>1370</v>
      </c>
      <c r="F71" s="2286">
        <v>1541</v>
      </c>
      <c r="G71" s="2287">
        <v>262</v>
      </c>
      <c r="H71" s="2287">
        <v>1165</v>
      </c>
      <c r="I71" s="2287">
        <v>1370</v>
      </c>
      <c r="J71" s="2286">
        <v>1541</v>
      </c>
    </row>
    <row r="72" spans="1:10" s="4722" customFormat="1" ht="13.5">
      <c r="A72" s="2287">
        <v>3450</v>
      </c>
      <c r="B72" s="2286">
        <v>3500</v>
      </c>
      <c r="C72" s="2287">
        <v>266</v>
      </c>
      <c r="D72" s="2287">
        <v>1182</v>
      </c>
      <c r="E72" s="2287">
        <v>1390</v>
      </c>
      <c r="F72" s="2286">
        <v>1564</v>
      </c>
      <c r="G72" s="2287">
        <v>266</v>
      </c>
      <c r="H72" s="2287">
        <v>1182</v>
      </c>
      <c r="I72" s="2287">
        <v>1390</v>
      </c>
      <c r="J72" s="2286">
        <v>1564</v>
      </c>
    </row>
    <row r="73" spans="1:10" s="4722" customFormat="1" ht="13.5">
      <c r="A73" s="2287">
        <v>3500</v>
      </c>
      <c r="B73" s="2286">
        <v>3550</v>
      </c>
      <c r="C73" s="2287">
        <v>270</v>
      </c>
      <c r="D73" s="2287">
        <v>1199</v>
      </c>
      <c r="E73" s="2287">
        <v>1410</v>
      </c>
      <c r="F73" s="2286">
        <v>1586</v>
      </c>
      <c r="G73" s="2287">
        <v>270</v>
      </c>
      <c r="H73" s="2287">
        <v>1199</v>
      </c>
      <c r="I73" s="2287">
        <v>1410</v>
      </c>
      <c r="J73" s="2286">
        <v>1586</v>
      </c>
    </row>
    <row r="74" spans="1:10" s="4722" customFormat="1" ht="13.5">
      <c r="A74" s="2287">
        <v>3550</v>
      </c>
      <c r="B74" s="2286">
        <v>3600</v>
      </c>
      <c r="C74" s="2287">
        <v>273</v>
      </c>
      <c r="D74" s="2287">
        <v>1216</v>
      </c>
      <c r="E74" s="2287">
        <v>1430</v>
      </c>
      <c r="F74" s="2286">
        <v>1609</v>
      </c>
      <c r="G74" s="2287">
        <v>273</v>
      </c>
      <c r="H74" s="2287">
        <v>1216</v>
      </c>
      <c r="I74" s="2287">
        <v>1430</v>
      </c>
      <c r="J74" s="2286">
        <v>1609</v>
      </c>
    </row>
    <row r="75" spans="1:10" s="4722" customFormat="1" ht="13.5">
      <c r="A75" s="2287">
        <v>3600</v>
      </c>
      <c r="B75" s="2286">
        <v>3650</v>
      </c>
      <c r="C75" s="2287">
        <v>277</v>
      </c>
      <c r="D75" s="2287">
        <v>1233</v>
      </c>
      <c r="E75" s="2287">
        <v>1450</v>
      </c>
      <c r="F75" s="2286">
        <v>1631</v>
      </c>
      <c r="G75" s="2287">
        <v>277</v>
      </c>
      <c r="H75" s="2287">
        <v>1233</v>
      </c>
      <c r="I75" s="2287">
        <v>1450</v>
      </c>
      <c r="J75" s="2286">
        <v>1631</v>
      </c>
    </row>
    <row r="76" spans="1:10" s="4722" customFormat="1" ht="13.5">
      <c r="A76" s="2287">
        <v>3650</v>
      </c>
      <c r="B76" s="2286">
        <v>3700</v>
      </c>
      <c r="C76" s="2287">
        <v>281</v>
      </c>
      <c r="D76" s="2287">
        <v>1250</v>
      </c>
      <c r="E76" s="2287">
        <v>1470</v>
      </c>
      <c r="F76" s="2286">
        <v>1654</v>
      </c>
      <c r="G76" s="2287">
        <v>281</v>
      </c>
      <c r="H76" s="2287">
        <v>1250</v>
      </c>
      <c r="I76" s="2287">
        <v>1470</v>
      </c>
      <c r="J76" s="2286">
        <v>1654</v>
      </c>
    </row>
    <row r="77" spans="1:10" s="4722" customFormat="1" ht="13.5">
      <c r="A77" s="2287">
        <v>3700</v>
      </c>
      <c r="B77" s="2286">
        <v>3750</v>
      </c>
      <c r="C77" s="2287">
        <v>285</v>
      </c>
      <c r="D77" s="2287">
        <v>1267</v>
      </c>
      <c r="E77" s="2287">
        <v>1490</v>
      </c>
      <c r="F77" s="2286">
        <v>1676</v>
      </c>
      <c r="G77" s="2287">
        <v>285</v>
      </c>
      <c r="H77" s="2287">
        <v>1267</v>
      </c>
      <c r="I77" s="2287">
        <v>1490</v>
      </c>
      <c r="J77" s="2286">
        <v>1676</v>
      </c>
    </row>
    <row r="78" spans="1:10" s="4722" customFormat="1" ht="13.5">
      <c r="A78" s="2287">
        <v>3750</v>
      </c>
      <c r="B78" s="2286">
        <v>3800</v>
      </c>
      <c r="C78" s="2287">
        <v>289</v>
      </c>
      <c r="D78" s="2287">
        <v>1284</v>
      </c>
      <c r="E78" s="2287">
        <v>1510</v>
      </c>
      <c r="F78" s="2286">
        <v>1699</v>
      </c>
      <c r="G78" s="2287">
        <v>289</v>
      </c>
      <c r="H78" s="2287">
        <v>1284</v>
      </c>
      <c r="I78" s="2287">
        <v>1510</v>
      </c>
      <c r="J78" s="2286">
        <v>1699</v>
      </c>
    </row>
    <row r="79" spans="1:10" s="4722" customFormat="1" ht="13.5">
      <c r="A79" s="2287">
        <v>3800</v>
      </c>
      <c r="B79" s="2286">
        <v>3850</v>
      </c>
      <c r="C79" s="2287">
        <v>293</v>
      </c>
      <c r="D79" s="2287">
        <v>1301</v>
      </c>
      <c r="E79" s="2287">
        <v>1530</v>
      </c>
      <c r="F79" s="2286">
        <v>1721</v>
      </c>
      <c r="G79" s="2287">
        <v>293</v>
      </c>
      <c r="H79" s="2287">
        <v>1301</v>
      </c>
      <c r="I79" s="2287">
        <v>1530</v>
      </c>
      <c r="J79" s="2286">
        <v>1721</v>
      </c>
    </row>
    <row r="80" spans="1:10" s="4722" customFormat="1" ht="13.5">
      <c r="A80" s="2287">
        <v>3850</v>
      </c>
      <c r="B80" s="2286">
        <v>3900</v>
      </c>
      <c r="C80" s="2287">
        <v>296</v>
      </c>
      <c r="D80" s="2287">
        <v>1318</v>
      </c>
      <c r="E80" s="2287">
        <v>1550</v>
      </c>
      <c r="F80" s="2286">
        <v>1744</v>
      </c>
      <c r="G80" s="2287">
        <v>296</v>
      </c>
      <c r="H80" s="2287">
        <v>1318</v>
      </c>
      <c r="I80" s="2287">
        <v>1550</v>
      </c>
      <c r="J80" s="2286">
        <v>1744</v>
      </c>
    </row>
    <row r="81" spans="1:10" s="4722" customFormat="1" ht="13.5">
      <c r="A81" s="2287">
        <v>3900</v>
      </c>
      <c r="B81" s="2286">
        <v>3950</v>
      </c>
      <c r="C81" s="2287">
        <v>300</v>
      </c>
      <c r="D81" s="2287">
        <v>1335</v>
      </c>
      <c r="E81" s="2287">
        <v>1570</v>
      </c>
      <c r="F81" s="2286">
        <v>1766</v>
      </c>
      <c r="G81" s="2287">
        <v>300</v>
      </c>
      <c r="H81" s="2287">
        <v>1335</v>
      </c>
      <c r="I81" s="2287">
        <v>1570</v>
      </c>
      <c r="J81" s="2286">
        <v>1766</v>
      </c>
    </row>
    <row r="82" spans="1:10" s="4722" customFormat="1" ht="13.5">
      <c r="A82" s="2287">
        <v>3950</v>
      </c>
      <c r="B82" s="2286">
        <v>4000</v>
      </c>
      <c r="C82" s="2287">
        <v>304</v>
      </c>
      <c r="D82" s="2287">
        <v>1352</v>
      </c>
      <c r="E82" s="2287">
        <v>1590</v>
      </c>
      <c r="F82" s="2286">
        <v>1789</v>
      </c>
      <c r="G82" s="2287">
        <v>304</v>
      </c>
      <c r="H82" s="2287">
        <v>1352</v>
      </c>
      <c r="I82" s="2287">
        <v>1590</v>
      </c>
      <c r="J82" s="2286">
        <v>1789</v>
      </c>
    </row>
    <row r="83" spans="1:10" s="4722" customFormat="1" ht="13.5">
      <c r="A83" s="2287">
        <v>4000</v>
      </c>
      <c r="B83" s="2286">
        <v>4050</v>
      </c>
      <c r="C83" s="2287">
        <v>308</v>
      </c>
      <c r="D83" s="2287">
        <v>1369</v>
      </c>
      <c r="E83" s="2287">
        <v>1610</v>
      </c>
      <c r="F83" s="2286">
        <v>1811</v>
      </c>
      <c r="G83" s="2287">
        <v>308</v>
      </c>
      <c r="H83" s="2287">
        <v>1369</v>
      </c>
      <c r="I83" s="2287">
        <v>1610</v>
      </c>
      <c r="J83" s="2286">
        <v>1811</v>
      </c>
    </row>
    <row r="84" spans="1:10" s="4722" customFormat="1" ht="13.5">
      <c r="A84" s="2287">
        <v>4050</v>
      </c>
      <c r="B84" s="2286">
        <v>4100</v>
      </c>
      <c r="C84" s="2287">
        <v>312</v>
      </c>
      <c r="D84" s="2287">
        <v>1386</v>
      </c>
      <c r="E84" s="2287">
        <v>1630</v>
      </c>
      <c r="F84" s="2286">
        <v>1834</v>
      </c>
      <c r="G84" s="2287">
        <v>312</v>
      </c>
      <c r="H84" s="2287">
        <v>1386</v>
      </c>
      <c r="I84" s="2287">
        <v>1630</v>
      </c>
      <c r="J84" s="2286">
        <v>1834</v>
      </c>
    </row>
    <row r="85" spans="1:10" s="4722" customFormat="1" ht="13.5">
      <c r="A85" s="2287">
        <v>4100</v>
      </c>
      <c r="B85" s="2286">
        <v>4150</v>
      </c>
      <c r="C85" s="2287">
        <v>316</v>
      </c>
      <c r="D85" s="2287">
        <v>1403</v>
      </c>
      <c r="E85" s="2287">
        <v>1650</v>
      </c>
      <c r="F85" s="2286">
        <v>1856</v>
      </c>
      <c r="G85" s="2287">
        <v>316</v>
      </c>
      <c r="H85" s="2287">
        <v>1403</v>
      </c>
      <c r="I85" s="2287">
        <v>1650</v>
      </c>
      <c r="J85" s="2286">
        <v>1856</v>
      </c>
    </row>
    <row r="86" spans="1:10" s="4722" customFormat="1" ht="13.5">
      <c r="A86" s="2287">
        <v>4150</v>
      </c>
      <c r="B86" s="2286">
        <v>4200</v>
      </c>
      <c r="C86" s="2287">
        <v>319</v>
      </c>
      <c r="D86" s="2287">
        <v>1420</v>
      </c>
      <c r="E86" s="2287">
        <v>1670</v>
      </c>
      <c r="F86" s="2286">
        <v>1879</v>
      </c>
      <c r="G86" s="2287">
        <v>319</v>
      </c>
      <c r="H86" s="2287">
        <v>1420</v>
      </c>
      <c r="I86" s="2287">
        <v>1670</v>
      </c>
      <c r="J86" s="2286">
        <v>1879</v>
      </c>
    </row>
    <row r="87" spans="1:10" s="4722" customFormat="1" ht="13.5">
      <c r="A87" s="2287">
        <v>4200</v>
      </c>
      <c r="B87" s="2286">
        <v>4250</v>
      </c>
      <c r="C87" s="2287">
        <v>323</v>
      </c>
      <c r="D87" s="2287">
        <v>1437</v>
      </c>
      <c r="E87" s="2287">
        <v>1690</v>
      </c>
      <c r="F87" s="2286">
        <v>1901</v>
      </c>
      <c r="G87" s="2287">
        <v>323</v>
      </c>
      <c r="H87" s="2287">
        <v>1437</v>
      </c>
      <c r="I87" s="2287">
        <v>1690</v>
      </c>
      <c r="J87" s="2286">
        <v>1901</v>
      </c>
    </row>
    <row r="88" spans="1:10" s="4722" customFormat="1" ht="13.5">
      <c r="A88" s="2287">
        <v>4250</v>
      </c>
      <c r="B88" s="2286">
        <v>4300</v>
      </c>
      <c r="C88" s="2287">
        <v>327</v>
      </c>
      <c r="D88" s="2287">
        <v>1454</v>
      </c>
      <c r="E88" s="2287">
        <v>1710</v>
      </c>
      <c r="F88" s="2286">
        <v>1924</v>
      </c>
      <c r="G88" s="2287">
        <v>327</v>
      </c>
      <c r="H88" s="2287">
        <v>1454</v>
      </c>
      <c r="I88" s="2287">
        <v>1710</v>
      </c>
      <c r="J88" s="2286">
        <v>1924</v>
      </c>
    </row>
    <row r="89" spans="1:10" s="4722" customFormat="1" ht="13.5">
      <c r="A89" s="2287">
        <v>4300</v>
      </c>
      <c r="B89" s="2286">
        <v>4350</v>
      </c>
      <c r="C89" s="2287">
        <v>331</v>
      </c>
      <c r="D89" s="2287">
        <v>1471</v>
      </c>
      <c r="E89" s="2287">
        <v>1730</v>
      </c>
      <c r="F89" s="2286">
        <v>1946</v>
      </c>
      <c r="G89" s="2287">
        <v>331</v>
      </c>
      <c r="H89" s="2287">
        <v>1471</v>
      </c>
      <c r="I89" s="2287">
        <v>1730</v>
      </c>
      <c r="J89" s="2286">
        <v>1946</v>
      </c>
    </row>
    <row r="90" spans="1:10" s="4722" customFormat="1" ht="13.5">
      <c r="A90" s="2287">
        <v>4350</v>
      </c>
      <c r="B90" s="2286">
        <v>4400</v>
      </c>
      <c r="C90" s="2287">
        <v>335</v>
      </c>
      <c r="D90" s="2287">
        <v>1488</v>
      </c>
      <c r="E90" s="2287">
        <v>1750</v>
      </c>
      <c r="F90" s="2286">
        <v>1969</v>
      </c>
      <c r="G90" s="2287">
        <v>335</v>
      </c>
      <c r="H90" s="2287">
        <v>1488</v>
      </c>
      <c r="I90" s="2287">
        <v>1750</v>
      </c>
      <c r="J90" s="2286">
        <v>1969</v>
      </c>
    </row>
    <row r="91" spans="1:10" s="4722" customFormat="1" ht="13.5">
      <c r="A91" s="2287">
        <v>4400</v>
      </c>
      <c r="B91" s="2286">
        <v>4450</v>
      </c>
      <c r="C91" s="2287">
        <v>339</v>
      </c>
      <c r="D91" s="2287">
        <v>1505</v>
      </c>
      <c r="E91" s="2287">
        <v>1770</v>
      </c>
      <c r="F91" s="2286">
        <v>1991</v>
      </c>
      <c r="G91" s="2287">
        <v>339</v>
      </c>
      <c r="H91" s="2287">
        <v>1505</v>
      </c>
      <c r="I91" s="2287">
        <v>1770</v>
      </c>
      <c r="J91" s="2286">
        <v>1991</v>
      </c>
    </row>
    <row r="92" spans="1:10" s="4722" customFormat="1" ht="13.5">
      <c r="A92" s="2287">
        <v>4450</v>
      </c>
      <c r="B92" s="2286">
        <v>4500</v>
      </c>
      <c r="C92" s="2287">
        <v>342</v>
      </c>
      <c r="D92" s="2287">
        <v>1522</v>
      </c>
      <c r="E92" s="2287">
        <v>1790</v>
      </c>
      <c r="F92" s="2286">
        <v>2014</v>
      </c>
      <c r="G92" s="2287">
        <v>342</v>
      </c>
      <c r="H92" s="2287">
        <v>1522</v>
      </c>
      <c r="I92" s="2287">
        <v>1790</v>
      </c>
      <c r="J92" s="2286">
        <v>2014</v>
      </c>
    </row>
    <row r="93" spans="1:10" s="4722" customFormat="1" ht="13.5">
      <c r="A93" s="2287">
        <v>4500</v>
      </c>
      <c r="B93" s="2286">
        <v>4550</v>
      </c>
      <c r="C93" s="2287">
        <v>346</v>
      </c>
      <c r="D93" s="2287">
        <v>1539</v>
      </c>
      <c r="E93" s="2287">
        <v>1810</v>
      </c>
      <c r="F93" s="2286">
        <v>2036</v>
      </c>
      <c r="G93" s="2287">
        <v>346</v>
      </c>
      <c r="H93" s="2287">
        <v>1539</v>
      </c>
      <c r="I93" s="2287">
        <v>1810</v>
      </c>
      <c r="J93" s="2286">
        <v>2036</v>
      </c>
    </row>
    <row r="94" spans="1:10" s="4722" customFormat="1" ht="13.5">
      <c r="A94" s="2287">
        <v>4550</v>
      </c>
      <c r="B94" s="2286">
        <v>4600</v>
      </c>
      <c r="C94" s="2287">
        <v>350</v>
      </c>
      <c r="D94" s="2287">
        <v>1556</v>
      </c>
      <c r="E94" s="2287">
        <v>1830</v>
      </c>
      <c r="F94" s="2286">
        <v>2059</v>
      </c>
      <c r="G94" s="2287">
        <v>350</v>
      </c>
      <c r="H94" s="2287">
        <v>1556</v>
      </c>
      <c r="I94" s="2287">
        <v>1830</v>
      </c>
      <c r="J94" s="2286">
        <v>2059</v>
      </c>
    </row>
    <row r="95" spans="1:10" s="4722" customFormat="1" ht="13.5">
      <c r="A95" s="2287">
        <v>4600</v>
      </c>
      <c r="B95" s="2286">
        <v>4650</v>
      </c>
      <c r="C95" s="2287">
        <v>354</v>
      </c>
      <c r="D95" s="2287">
        <v>1573</v>
      </c>
      <c r="E95" s="2287">
        <v>1850</v>
      </c>
      <c r="F95" s="2286">
        <v>2081</v>
      </c>
      <c r="G95" s="2287">
        <v>354</v>
      </c>
      <c r="H95" s="2287">
        <v>1573</v>
      </c>
      <c r="I95" s="2287">
        <v>1850</v>
      </c>
      <c r="J95" s="2286">
        <v>2081</v>
      </c>
    </row>
    <row r="96" spans="1:10" s="4722" customFormat="1" ht="13.5">
      <c r="A96" s="2287">
        <v>4650</v>
      </c>
      <c r="B96" s="2286">
        <v>4700</v>
      </c>
      <c r="C96" s="2287">
        <v>358</v>
      </c>
      <c r="D96" s="2287">
        <v>1590</v>
      </c>
      <c r="E96" s="2287">
        <v>1870</v>
      </c>
      <c r="F96" s="2286">
        <v>2104</v>
      </c>
      <c r="G96" s="2287">
        <v>358</v>
      </c>
      <c r="H96" s="2287">
        <v>1590</v>
      </c>
      <c r="I96" s="2287">
        <v>1870</v>
      </c>
      <c r="J96" s="2286">
        <v>2104</v>
      </c>
    </row>
    <row r="97" spans="1:10" s="4722" customFormat="1" ht="13.5">
      <c r="A97" s="2287">
        <v>4700</v>
      </c>
      <c r="B97" s="2286">
        <v>4750</v>
      </c>
      <c r="C97" s="2287">
        <v>361</v>
      </c>
      <c r="D97" s="2287">
        <v>1607</v>
      </c>
      <c r="E97" s="2287">
        <v>1890</v>
      </c>
      <c r="F97" s="2286">
        <v>2126</v>
      </c>
      <c r="G97" s="2287">
        <v>361</v>
      </c>
      <c r="H97" s="2287">
        <v>1607</v>
      </c>
      <c r="I97" s="2287">
        <v>1890</v>
      </c>
      <c r="J97" s="2286">
        <v>2126</v>
      </c>
    </row>
    <row r="98" spans="1:10" s="4722" customFormat="1" ht="13.5">
      <c r="A98" s="2287">
        <v>4750</v>
      </c>
      <c r="B98" s="2286">
        <v>4800</v>
      </c>
      <c r="C98" s="2287">
        <v>365</v>
      </c>
      <c r="D98" s="2287">
        <v>1624</v>
      </c>
      <c r="E98" s="2287">
        <v>1910</v>
      </c>
      <c r="F98" s="2286">
        <v>2149</v>
      </c>
      <c r="G98" s="2287">
        <v>365</v>
      </c>
      <c r="H98" s="2287">
        <v>1624</v>
      </c>
      <c r="I98" s="2287">
        <v>1910</v>
      </c>
      <c r="J98" s="2286">
        <v>2149</v>
      </c>
    </row>
    <row r="99" spans="1:10" s="4722" customFormat="1" ht="13.5">
      <c r="A99" s="2287">
        <v>4800</v>
      </c>
      <c r="B99" s="2286">
        <v>4850</v>
      </c>
      <c r="C99" s="2287">
        <v>369</v>
      </c>
      <c r="D99" s="2287">
        <v>1641</v>
      </c>
      <c r="E99" s="2287">
        <v>1930</v>
      </c>
      <c r="F99" s="2286">
        <v>2171</v>
      </c>
      <c r="G99" s="2287">
        <v>369</v>
      </c>
      <c r="H99" s="2287">
        <v>1641</v>
      </c>
      <c r="I99" s="2287">
        <v>1930</v>
      </c>
      <c r="J99" s="2286">
        <v>2171</v>
      </c>
    </row>
    <row r="100" spans="1:10" s="4722" customFormat="1" ht="13.5">
      <c r="A100" s="2287">
        <v>4850</v>
      </c>
      <c r="B100" s="2286">
        <v>4900</v>
      </c>
      <c r="C100" s="2287">
        <v>373</v>
      </c>
      <c r="D100" s="2287">
        <v>1658</v>
      </c>
      <c r="E100" s="2287">
        <v>1950</v>
      </c>
      <c r="F100" s="2286">
        <v>2194</v>
      </c>
      <c r="G100" s="2287">
        <v>373</v>
      </c>
      <c r="H100" s="2287">
        <v>1658</v>
      </c>
      <c r="I100" s="2287">
        <v>1950</v>
      </c>
      <c r="J100" s="2286">
        <v>2194</v>
      </c>
    </row>
    <row r="101" spans="1:10" s="4722" customFormat="1" ht="13.5">
      <c r="A101" s="2287">
        <v>4900</v>
      </c>
      <c r="B101" s="2286">
        <v>4950</v>
      </c>
      <c r="C101" s="2287">
        <v>377</v>
      </c>
      <c r="D101" s="2287">
        <v>1675</v>
      </c>
      <c r="E101" s="2287">
        <v>1970</v>
      </c>
      <c r="F101" s="2286">
        <v>2216</v>
      </c>
      <c r="G101" s="2287">
        <v>377</v>
      </c>
      <c r="H101" s="2287">
        <v>1675</v>
      </c>
      <c r="I101" s="2287">
        <v>1970</v>
      </c>
      <c r="J101" s="2286">
        <v>2216</v>
      </c>
    </row>
    <row r="102" spans="1:10" s="4722" customFormat="1" ht="13.5">
      <c r="A102" s="2287">
        <v>4950</v>
      </c>
      <c r="B102" s="2286">
        <v>5000</v>
      </c>
      <c r="C102" s="2287">
        <v>381</v>
      </c>
      <c r="D102" s="2287">
        <v>1692</v>
      </c>
      <c r="E102" s="2287">
        <v>1990</v>
      </c>
      <c r="F102" s="2286">
        <v>2239</v>
      </c>
      <c r="G102" s="2287">
        <v>381</v>
      </c>
      <c r="H102" s="2287">
        <v>1692</v>
      </c>
      <c r="I102" s="2287">
        <v>1990</v>
      </c>
      <c r="J102" s="2286">
        <v>2239</v>
      </c>
    </row>
    <row r="103" spans="1:10" s="4722" customFormat="1" ht="13.5">
      <c r="A103" s="2287">
        <v>5000</v>
      </c>
      <c r="B103" s="2286">
        <v>5050</v>
      </c>
      <c r="C103" s="2287">
        <v>384</v>
      </c>
      <c r="D103" s="2287">
        <v>1709</v>
      </c>
      <c r="E103" s="2287">
        <v>2010</v>
      </c>
      <c r="F103" s="2286">
        <v>2261</v>
      </c>
      <c r="G103" s="2287">
        <v>384</v>
      </c>
      <c r="H103" s="2287">
        <v>1709</v>
      </c>
      <c r="I103" s="2287">
        <v>2010</v>
      </c>
      <c r="J103" s="2286">
        <v>2261</v>
      </c>
    </row>
    <row r="104" spans="1:10" s="4722" customFormat="1" ht="13.5">
      <c r="A104" s="2287">
        <v>5050</v>
      </c>
      <c r="B104" s="2286">
        <v>5100</v>
      </c>
      <c r="C104" s="2287">
        <v>388</v>
      </c>
      <c r="D104" s="2287">
        <v>1726</v>
      </c>
      <c r="E104" s="2287">
        <v>2030</v>
      </c>
      <c r="F104" s="2286">
        <v>2284</v>
      </c>
      <c r="G104" s="2287">
        <v>388</v>
      </c>
      <c r="H104" s="2287">
        <v>1726</v>
      </c>
      <c r="I104" s="2287">
        <v>2030</v>
      </c>
      <c r="J104" s="2286">
        <v>2284</v>
      </c>
    </row>
    <row r="105" spans="1:10" s="4722" customFormat="1" ht="13.5">
      <c r="A105" s="2287">
        <v>5100</v>
      </c>
      <c r="B105" s="2286">
        <v>5150</v>
      </c>
      <c r="C105" s="2287">
        <v>392</v>
      </c>
      <c r="D105" s="2287">
        <v>1743</v>
      </c>
      <c r="E105" s="2287">
        <v>2050</v>
      </c>
      <c r="F105" s="2286">
        <v>2306</v>
      </c>
      <c r="G105" s="2287">
        <v>392</v>
      </c>
      <c r="H105" s="2287">
        <v>1743</v>
      </c>
      <c r="I105" s="2287">
        <v>2050</v>
      </c>
      <c r="J105" s="2286">
        <v>2306</v>
      </c>
    </row>
    <row r="106" spans="1:10" s="4722" customFormat="1" ht="13.5">
      <c r="A106" s="2287">
        <v>5150</v>
      </c>
      <c r="B106" s="2286">
        <v>5200</v>
      </c>
      <c r="C106" s="2287">
        <v>396</v>
      </c>
      <c r="D106" s="2287">
        <v>1760</v>
      </c>
      <c r="E106" s="2287">
        <v>2070</v>
      </c>
      <c r="F106" s="2286">
        <v>2329</v>
      </c>
      <c r="G106" s="2287">
        <v>396</v>
      </c>
      <c r="H106" s="2287">
        <v>1760</v>
      </c>
      <c r="I106" s="2287">
        <v>2070</v>
      </c>
      <c r="J106" s="2286">
        <v>2329</v>
      </c>
    </row>
    <row r="107" spans="1:10" s="4722" customFormat="1" ht="13.5">
      <c r="A107" s="2287">
        <v>5200</v>
      </c>
      <c r="B107" s="2286">
        <v>5250</v>
      </c>
      <c r="C107" s="2287">
        <v>400</v>
      </c>
      <c r="D107" s="2287">
        <v>1777</v>
      </c>
      <c r="E107" s="2287">
        <v>2090</v>
      </c>
      <c r="F107" s="2286">
        <v>2351</v>
      </c>
      <c r="G107" s="2287">
        <v>400</v>
      </c>
      <c r="H107" s="2287">
        <v>1777</v>
      </c>
      <c r="I107" s="2287">
        <v>2090</v>
      </c>
      <c r="J107" s="2286">
        <v>2351</v>
      </c>
    </row>
    <row r="108" spans="1:10" s="4722" customFormat="1" ht="13.5">
      <c r="A108" s="2287">
        <v>5250</v>
      </c>
      <c r="B108" s="2286">
        <v>5300</v>
      </c>
      <c r="C108" s="2287">
        <v>404</v>
      </c>
      <c r="D108" s="2287">
        <v>1794</v>
      </c>
      <c r="E108" s="2287">
        <v>2110</v>
      </c>
      <c r="F108" s="2286">
        <v>2374</v>
      </c>
      <c r="G108" s="2287">
        <v>404</v>
      </c>
      <c r="H108" s="2287">
        <v>1794</v>
      </c>
      <c r="I108" s="2287">
        <v>2110</v>
      </c>
      <c r="J108" s="2286">
        <v>2374</v>
      </c>
    </row>
    <row r="109" spans="1:10" s="4722" customFormat="1" ht="13.5">
      <c r="A109" s="2287">
        <v>5300</v>
      </c>
      <c r="B109" s="2286">
        <v>5350</v>
      </c>
      <c r="C109" s="2287">
        <v>407</v>
      </c>
      <c r="D109" s="2287">
        <v>1811</v>
      </c>
      <c r="E109" s="2287">
        <v>2130</v>
      </c>
      <c r="F109" s="2286">
        <v>2396</v>
      </c>
      <c r="G109" s="2287">
        <v>407</v>
      </c>
      <c r="H109" s="2287">
        <v>1811</v>
      </c>
      <c r="I109" s="2287">
        <v>2130</v>
      </c>
      <c r="J109" s="2286">
        <v>2396</v>
      </c>
    </row>
    <row r="110" spans="1:10" s="4722" customFormat="1" ht="13.5">
      <c r="A110" s="2287">
        <v>5350</v>
      </c>
      <c r="B110" s="2286">
        <v>5400</v>
      </c>
      <c r="C110" s="2287">
        <v>411</v>
      </c>
      <c r="D110" s="2287">
        <v>1828</v>
      </c>
      <c r="E110" s="2287">
        <v>2150</v>
      </c>
      <c r="F110" s="2286">
        <v>2419</v>
      </c>
      <c r="G110" s="2287">
        <v>411</v>
      </c>
      <c r="H110" s="2287">
        <v>1828</v>
      </c>
      <c r="I110" s="2287">
        <v>2150</v>
      </c>
      <c r="J110" s="2286">
        <v>2419</v>
      </c>
    </row>
    <row r="111" spans="1:10" s="4722" customFormat="1" ht="13.5">
      <c r="A111" s="2287">
        <v>5400</v>
      </c>
      <c r="B111" s="2286">
        <v>5450</v>
      </c>
      <c r="C111" s="2287">
        <v>415</v>
      </c>
      <c r="D111" s="2287">
        <v>1845</v>
      </c>
      <c r="E111" s="2287">
        <v>2170</v>
      </c>
      <c r="F111" s="2286">
        <v>2441</v>
      </c>
      <c r="G111" s="2287">
        <v>415</v>
      </c>
      <c r="H111" s="2287">
        <v>1845</v>
      </c>
      <c r="I111" s="2287">
        <v>2170</v>
      </c>
      <c r="J111" s="2286">
        <v>2441</v>
      </c>
    </row>
    <row r="112" spans="1:10" s="4722" customFormat="1" ht="13.5">
      <c r="A112" s="2287">
        <v>5450</v>
      </c>
      <c r="B112" s="2286">
        <v>5500</v>
      </c>
      <c r="C112" s="2287">
        <v>419</v>
      </c>
      <c r="D112" s="2287">
        <v>1862</v>
      </c>
      <c r="E112" s="2287">
        <v>2190</v>
      </c>
      <c r="F112" s="2286">
        <v>2464</v>
      </c>
      <c r="G112" s="2287">
        <v>419</v>
      </c>
      <c r="H112" s="2287">
        <v>1862</v>
      </c>
      <c r="I112" s="2287">
        <v>2190</v>
      </c>
      <c r="J112" s="2286">
        <v>2464</v>
      </c>
    </row>
    <row r="113" spans="1:10" s="4722" customFormat="1" ht="13.5">
      <c r="A113" s="2287">
        <v>5500</v>
      </c>
      <c r="B113" s="2286">
        <v>5550</v>
      </c>
      <c r="C113" s="2287">
        <v>423</v>
      </c>
      <c r="D113" s="2287">
        <v>1879</v>
      </c>
      <c r="E113" s="2287">
        <v>2210</v>
      </c>
      <c r="F113" s="2286">
        <v>2486</v>
      </c>
      <c r="G113" s="2287">
        <v>423</v>
      </c>
      <c r="H113" s="2287">
        <v>1879</v>
      </c>
      <c r="I113" s="2287">
        <v>2210</v>
      </c>
      <c r="J113" s="2286">
        <v>2486</v>
      </c>
    </row>
    <row r="114" spans="1:10" s="4722" customFormat="1" ht="13.5">
      <c r="A114" s="2287">
        <v>5550</v>
      </c>
      <c r="B114" s="2286">
        <v>5600</v>
      </c>
      <c r="C114" s="2287">
        <v>426</v>
      </c>
      <c r="D114" s="2287">
        <v>1896</v>
      </c>
      <c r="E114" s="2287">
        <v>2230</v>
      </c>
      <c r="F114" s="2286">
        <v>2509</v>
      </c>
      <c r="G114" s="2287">
        <v>426</v>
      </c>
      <c r="H114" s="2287">
        <v>1896</v>
      </c>
      <c r="I114" s="2287">
        <v>2230</v>
      </c>
      <c r="J114" s="2286">
        <v>2509</v>
      </c>
    </row>
    <row r="115" spans="1:10" s="4722" customFormat="1" ht="13.5">
      <c r="A115" s="2287">
        <v>5600</v>
      </c>
      <c r="B115" s="2286">
        <v>5650</v>
      </c>
      <c r="C115" s="2287">
        <v>430</v>
      </c>
      <c r="D115" s="2287">
        <v>1913</v>
      </c>
      <c r="E115" s="2287">
        <v>2250</v>
      </c>
      <c r="F115" s="2286">
        <v>2531</v>
      </c>
      <c r="G115" s="2287">
        <v>430</v>
      </c>
      <c r="H115" s="2287">
        <v>1913</v>
      </c>
      <c r="I115" s="2287">
        <v>2250</v>
      </c>
      <c r="J115" s="2286">
        <v>2531</v>
      </c>
    </row>
    <row r="116" spans="1:10" s="4722" customFormat="1" ht="13.5">
      <c r="A116" s="2287">
        <v>5650</v>
      </c>
      <c r="B116" s="2286">
        <v>5700</v>
      </c>
      <c r="C116" s="2287">
        <v>434</v>
      </c>
      <c r="D116" s="2287">
        <v>1930</v>
      </c>
      <c r="E116" s="2287">
        <v>2270</v>
      </c>
      <c r="F116" s="2286">
        <v>2554</v>
      </c>
      <c r="G116" s="2287">
        <v>434</v>
      </c>
      <c r="H116" s="2287">
        <v>1930</v>
      </c>
      <c r="I116" s="2287">
        <v>2270</v>
      </c>
      <c r="J116" s="2286">
        <v>2554</v>
      </c>
    </row>
    <row r="117" spans="1:10" s="4722" customFormat="1" ht="13.5">
      <c r="A117" s="2287">
        <v>5700</v>
      </c>
      <c r="B117" s="2286">
        <v>5750</v>
      </c>
      <c r="C117" s="2287">
        <v>438</v>
      </c>
      <c r="D117" s="2287">
        <v>1947</v>
      </c>
      <c r="E117" s="2287">
        <v>2290</v>
      </c>
      <c r="F117" s="2286">
        <v>2576</v>
      </c>
      <c r="G117" s="2287">
        <v>438</v>
      </c>
      <c r="H117" s="2287">
        <v>1947</v>
      </c>
      <c r="I117" s="2287">
        <v>2290</v>
      </c>
      <c r="J117" s="2286">
        <v>2576</v>
      </c>
    </row>
    <row r="118" spans="1:10" s="4722" customFormat="1" ht="13.5">
      <c r="A118" s="2287">
        <v>5750</v>
      </c>
      <c r="B118" s="2286">
        <v>5800</v>
      </c>
      <c r="C118" s="2287">
        <v>442</v>
      </c>
      <c r="D118" s="2287">
        <v>1964</v>
      </c>
      <c r="E118" s="2287">
        <v>2310</v>
      </c>
      <c r="F118" s="2286">
        <v>2599</v>
      </c>
      <c r="G118" s="2287">
        <v>442</v>
      </c>
      <c r="H118" s="2287">
        <v>1964</v>
      </c>
      <c r="I118" s="2287">
        <v>2310</v>
      </c>
      <c r="J118" s="2286">
        <v>2599</v>
      </c>
    </row>
    <row r="119" spans="1:10" s="4722" customFormat="1" ht="13.5">
      <c r="A119" s="2287">
        <v>5800</v>
      </c>
      <c r="B119" s="2286">
        <v>5850</v>
      </c>
      <c r="C119" s="2287">
        <v>446</v>
      </c>
      <c r="D119" s="2287">
        <v>1981</v>
      </c>
      <c r="E119" s="2287">
        <v>2330</v>
      </c>
      <c r="F119" s="2286">
        <v>2621</v>
      </c>
      <c r="G119" s="2287">
        <v>446</v>
      </c>
      <c r="H119" s="2287">
        <v>1981</v>
      </c>
      <c r="I119" s="2287">
        <v>2330</v>
      </c>
      <c r="J119" s="2286">
        <v>2621</v>
      </c>
    </row>
    <row r="120" spans="1:10" s="4722" customFormat="1" ht="13.5">
      <c r="A120" s="2287">
        <v>5850</v>
      </c>
      <c r="B120" s="2286">
        <v>5900</v>
      </c>
      <c r="C120" s="2287">
        <v>449</v>
      </c>
      <c r="D120" s="2287">
        <v>1998</v>
      </c>
      <c r="E120" s="2287">
        <v>2350</v>
      </c>
      <c r="F120" s="2286">
        <v>2644</v>
      </c>
      <c r="G120" s="2287">
        <v>449</v>
      </c>
      <c r="H120" s="2287">
        <v>1998</v>
      </c>
      <c r="I120" s="2287">
        <v>2350</v>
      </c>
      <c r="J120" s="2286">
        <v>2644</v>
      </c>
    </row>
    <row r="121" spans="1:10" s="4722" customFormat="1" ht="13.5">
      <c r="A121" s="2287">
        <v>5900</v>
      </c>
      <c r="B121" s="2286">
        <v>5950</v>
      </c>
      <c r="C121" s="2287">
        <v>453</v>
      </c>
      <c r="D121" s="2287">
        <v>2015</v>
      </c>
      <c r="E121" s="2287">
        <v>2370</v>
      </c>
      <c r="F121" s="2286">
        <v>2666</v>
      </c>
      <c r="G121" s="2287">
        <v>453</v>
      </c>
      <c r="H121" s="2287">
        <v>2015</v>
      </c>
      <c r="I121" s="2287">
        <v>2370</v>
      </c>
      <c r="J121" s="2286">
        <v>2666</v>
      </c>
    </row>
    <row r="122" spans="1:10" s="4722" customFormat="1" ht="13.5">
      <c r="A122" s="2287">
        <v>5950</v>
      </c>
      <c r="B122" s="2286">
        <v>6000</v>
      </c>
      <c r="C122" s="2287">
        <v>457</v>
      </c>
      <c r="D122" s="2287">
        <v>2032</v>
      </c>
      <c r="E122" s="2287">
        <v>2390</v>
      </c>
      <c r="F122" s="2286">
        <v>2689</v>
      </c>
      <c r="G122" s="2287">
        <v>457</v>
      </c>
      <c r="H122" s="2287">
        <v>2032</v>
      </c>
      <c r="I122" s="2287">
        <v>2390</v>
      </c>
      <c r="J122" s="2286">
        <v>2689</v>
      </c>
    </row>
    <row r="123" spans="1:10" s="4722" customFormat="1" ht="13.5">
      <c r="A123" s="2287">
        <v>6000</v>
      </c>
      <c r="B123" s="2286">
        <v>6050</v>
      </c>
      <c r="C123" s="2287">
        <v>461</v>
      </c>
      <c r="D123" s="2287">
        <v>2049</v>
      </c>
      <c r="E123" s="2287">
        <v>2410</v>
      </c>
      <c r="F123" s="2286">
        <v>2711</v>
      </c>
      <c r="G123" s="2287">
        <v>461</v>
      </c>
      <c r="H123" s="2287">
        <v>2049</v>
      </c>
      <c r="I123" s="2287">
        <v>2410</v>
      </c>
      <c r="J123" s="2286">
        <v>2711</v>
      </c>
    </row>
    <row r="124" spans="1:10" s="4722" customFormat="1" ht="13.5">
      <c r="A124" s="2287">
        <v>6050</v>
      </c>
      <c r="B124" s="2286">
        <v>6100</v>
      </c>
      <c r="C124" s="2287">
        <v>465</v>
      </c>
      <c r="D124" s="2287">
        <v>2066</v>
      </c>
      <c r="E124" s="2287">
        <v>2430</v>
      </c>
      <c r="F124" s="2286">
        <v>2734</v>
      </c>
      <c r="G124" s="2287">
        <v>465</v>
      </c>
      <c r="H124" s="2287">
        <v>2066</v>
      </c>
      <c r="I124" s="2287">
        <v>2430</v>
      </c>
      <c r="J124" s="2286">
        <v>2734</v>
      </c>
    </row>
    <row r="125" spans="1:10" s="4722" customFormat="1" ht="13.5">
      <c r="A125" s="2287">
        <v>6100</v>
      </c>
      <c r="B125" s="2286">
        <v>6150</v>
      </c>
      <c r="C125" s="2287">
        <v>469</v>
      </c>
      <c r="D125" s="2287">
        <v>2083</v>
      </c>
      <c r="E125" s="2287">
        <v>2450</v>
      </c>
      <c r="F125" s="2286">
        <v>2756</v>
      </c>
      <c r="G125" s="2287">
        <v>469</v>
      </c>
      <c r="H125" s="2287">
        <v>2083</v>
      </c>
      <c r="I125" s="2287">
        <v>2450</v>
      </c>
      <c r="J125" s="2286">
        <v>2756</v>
      </c>
    </row>
    <row r="126" spans="1:10" s="4722" customFormat="1" ht="13.5">
      <c r="A126" s="2287">
        <v>6150</v>
      </c>
      <c r="B126" s="2286">
        <v>6200</v>
      </c>
      <c r="C126" s="2287">
        <v>472</v>
      </c>
      <c r="D126" s="2287">
        <v>2100</v>
      </c>
      <c r="E126" s="2287">
        <v>2470</v>
      </c>
      <c r="F126" s="2286">
        <v>2779</v>
      </c>
      <c r="G126" s="2287">
        <v>472</v>
      </c>
      <c r="H126" s="2287">
        <v>2100</v>
      </c>
      <c r="I126" s="2287">
        <v>2470</v>
      </c>
      <c r="J126" s="2286">
        <v>2779</v>
      </c>
    </row>
    <row r="127" spans="1:10" s="4722" customFormat="1" ht="13.5">
      <c r="A127" s="2287">
        <v>6200</v>
      </c>
      <c r="B127" s="2286">
        <v>6250</v>
      </c>
      <c r="C127" s="2287">
        <v>476</v>
      </c>
      <c r="D127" s="2287">
        <v>2117</v>
      </c>
      <c r="E127" s="2287">
        <v>2490</v>
      </c>
      <c r="F127" s="2286">
        <v>2801</v>
      </c>
      <c r="G127" s="2287">
        <v>476</v>
      </c>
      <c r="H127" s="2287">
        <v>2117</v>
      </c>
      <c r="I127" s="2287">
        <v>2490</v>
      </c>
      <c r="J127" s="2286">
        <v>2801</v>
      </c>
    </row>
    <row r="128" spans="1:10" s="4722" customFormat="1" ht="13.5">
      <c r="A128" s="2287">
        <v>6250</v>
      </c>
      <c r="B128" s="2286">
        <v>6300</v>
      </c>
      <c r="C128" s="2287">
        <v>480</v>
      </c>
      <c r="D128" s="2287">
        <v>2134</v>
      </c>
      <c r="E128" s="2287">
        <v>2510</v>
      </c>
      <c r="F128" s="2286">
        <v>2824</v>
      </c>
      <c r="G128" s="2287">
        <v>480</v>
      </c>
      <c r="H128" s="2287">
        <v>2134</v>
      </c>
      <c r="I128" s="2287">
        <v>2510</v>
      </c>
      <c r="J128" s="2286">
        <v>2824</v>
      </c>
    </row>
    <row r="129" spans="1:10" s="4722" customFormat="1" ht="13.5">
      <c r="A129" s="2287">
        <v>6300</v>
      </c>
      <c r="B129" s="2286">
        <v>6350</v>
      </c>
      <c r="C129" s="2287">
        <v>484</v>
      </c>
      <c r="D129" s="2287">
        <v>2151</v>
      </c>
      <c r="E129" s="2287">
        <v>2530</v>
      </c>
      <c r="F129" s="2286">
        <v>2846</v>
      </c>
      <c r="G129" s="2287">
        <v>484</v>
      </c>
      <c r="H129" s="2287">
        <v>2151</v>
      </c>
      <c r="I129" s="2287">
        <v>2530</v>
      </c>
      <c r="J129" s="2286">
        <v>2846</v>
      </c>
    </row>
    <row r="130" spans="1:10" s="4722" customFormat="1" ht="13.5">
      <c r="A130" s="2287">
        <v>6350</v>
      </c>
      <c r="B130" s="2286">
        <v>6400</v>
      </c>
      <c r="C130" s="2287">
        <v>488</v>
      </c>
      <c r="D130" s="2287">
        <v>2168</v>
      </c>
      <c r="E130" s="2287">
        <v>2550</v>
      </c>
      <c r="F130" s="2286">
        <v>2869</v>
      </c>
      <c r="G130" s="2287">
        <v>488</v>
      </c>
      <c r="H130" s="2287">
        <v>2168</v>
      </c>
      <c r="I130" s="2287">
        <v>2550</v>
      </c>
      <c r="J130" s="2286">
        <v>2869</v>
      </c>
    </row>
    <row r="131" spans="1:10" s="4722" customFormat="1" ht="13.5">
      <c r="A131" s="2287">
        <v>6400</v>
      </c>
      <c r="B131" s="2286">
        <v>6450</v>
      </c>
      <c r="C131" s="2287">
        <v>492</v>
      </c>
      <c r="D131" s="2287">
        <v>2185</v>
      </c>
      <c r="E131" s="2287">
        <v>2570</v>
      </c>
      <c r="F131" s="2286">
        <v>2891</v>
      </c>
      <c r="G131" s="2287">
        <v>492</v>
      </c>
      <c r="H131" s="2287">
        <v>2185</v>
      </c>
      <c r="I131" s="2287">
        <v>2570</v>
      </c>
      <c r="J131" s="2286">
        <v>2891</v>
      </c>
    </row>
    <row r="132" spans="1:10" s="4722" customFormat="1" ht="13.5">
      <c r="A132" s="2287">
        <v>6450</v>
      </c>
      <c r="B132" s="2286">
        <v>6500</v>
      </c>
      <c r="C132" s="2287">
        <v>495</v>
      </c>
      <c r="D132" s="2287">
        <v>2202</v>
      </c>
      <c r="E132" s="2287">
        <v>2590</v>
      </c>
      <c r="F132" s="2286">
        <v>2914</v>
      </c>
      <c r="G132" s="2287">
        <v>495</v>
      </c>
      <c r="H132" s="2287">
        <v>2202</v>
      </c>
      <c r="I132" s="2287">
        <v>2590</v>
      </c>
      <c r="J132" s="2286">
        <v>2914</v>
      </c>
    </row>
    <row r="133" spans="1:10" s="4722" customFormat="1" ht="13.5">
      <c r="A133" s="2287">
        <v>6500</v>
      </c>
      <c r="B133" s="2286">
        <v>6550</v>
      </c>
      <c r="C133" s="2287">
        <v>499</v>
      </c>
      <c r="D133" s="2287">
        <v>2219</v>
      </c>
      <c r="E133" s="2287">
        <v>2610</v>
      </c>
      <c r="F133" s="2286">
        <v>2936</v>
      </c>
      <c r="G133" s="2287">
        <v>499</v>
      </c>
      <c r="H133" s="2287">
        <v>2219</v>
      </c>
      <c r="I133" s="2287">
        <v>2610</v>
      </c>
      <c r="J133" s="2286">
        <v>2936</v>
      </c>
    </row>
    <row r="134" spans="1:10" s="4722" customFormat="1" ht="13.5">
      <c r="A134" s="2287">
        <v>6550</v>
      </c>
      <c r="B134" s="2286">
        <v>6600</v>
      </c>
      <c r="C134" s="2287">
        <v>503</v>
      </c>
      <c r="D134" s="2287">
        <v>2236</v>
      </c>
      <c r="E134" s="2287">
        <v>2630</v>
      </c>
      <c r="F134" s="2286">
        <v>2959</v>
      </c>
      <c r="G134" s="2287">
        <v>503</v>
      </c>
      <c r="H134" s="2287">
        <v>2236</v>
      </c>
      <c r="I134" s="2287">
        <v>2630</v>
      </c>
      <c r="J134" s="2286">
        <v>2959</v>
      </c>
    </row>
    <row r="135" spans="1:10" s="4722" customFormat="1" ht="13.5">
      <c r="A135" s="2287">
        <v>6600</v>
      </c>
      <c r="B135" s="2286">
        <v>6650</v>
      </c>
      <c r="C135" s="2287">
        <v>507</v>
      </c>
      <c r="D135" s="2287">
        <v>2253</v>
      </c>
      <c r="E135" s="2287">
        <v>2650</v>
      </c>
      <c r="F135" s="2286">
        <v>2981</v>
      </c>
      <c r="G135" s="2287">
        <v>507</v>
      </c>
      <c r="H135" s="2287">
        <v>2253</v>
      </c>
      <c r="I135" s="2287">
        <v>2650</v>
      </c>
      <c r="J135" s="2286">
        <v>2981</v>
      </c>
    </row>
    <row r="136" spans="1:10" s="4722" customFormat="1" ht="13.5">
      <c r="A136" s="2287">
        <v>6650</v>
      </c>
      <c r="B136" s="2286">
        <v>6700</v>
      </c>
      <c r="C136" s="2287">
        <v>511</v>
      </c>
      <c r="D136" s="2287">
        <v>2270</v>
      </c>
      <c r="E136" s="2287">
        <v>2670</v>
      </c>
      <c r="F136" s="2286">
        <v>3004</v>
      </c>
      <c r="G136" s="2287">
        <v>511</v>
      </c>
      <c r="H136" s="2287">
        <v>2270</v>
      </c>
      <c r="I136" s="2287">
        <v>2670</v>
      </c>
      <c r="J136" s="2286">
        <v>3004</v>
      </c>
    </row>
    <row r="137" spans="1:10" s="4722" customFormat="1" ht="13.5">
      <c r="A137" s="2287">
        <v>6700</v>
      </c>
      <c r="B137" s="2286">
        <v>6750</v>
      </c>
      <c r="C137" s="2287">
        <v>514</v>
      </c>
      <c r="D137" s="2287">
        <v>2287</v>
      </c>
      <c r="E137" s="2287">
        <v>2690</v>
      </c>
      <c r="F137" s="2286">
        <v>3026</v>
      </c>
      <c r="G137" s="2287">
        <v>514</v>
      </c>
      <c r="H137" s="2287">
        <v>2287</v>
      </c>
      <c r="I137" s="2287">
        <v>2690</v>
      </c>
      <c r="J137" s="2286">
        <v>3026</v>
      </c>
    </row>
    <row r="138" spans="1:10" s="4722" customFormat="1" ht="13.5">
      <c r="A138" s="2287">
        <v>6750</v>
      </c>
      <c r="B138" s="2286">
        <v>6800</v>
      </c>
      <c r="C138" s="2287">
        <v>519</v>
      </c>
      <c r="D138" s="2287">
        <v>2304</v>
      </c>
      <c r="E138" s="2287">
        <v>2710</v>
      </c>
      <c r="F138" s="2286">
        <v>3049</v>
      </c>
      <c r="G138" s="2287">
        <v>519</v>
      </c>
      <c r="H138" s="2287">
        <v>2304</v>
      </c>
      <c r="I138" s="2287">
        <v>2710</v>
      </c>
      <c r="J138" s="2286">
        <v>3049</v>
      </c>
    </row>
    <row r="139" spans="1:10" s="4722" customFormat="1" ht="13.5">
      <c r="A139" s="2287">
        <v>6800</v>
      </c>
      <c r="B139" s="2286">
        <v>6850</v>
      </c>
      <c r="C139" s="2287">
        <v>519</v>
      </c>
      <c r="D139" s="2287">
        <v>2321</v>
      </c>
      <c r="E139" s="2287">
        <v>2730</v>
      </c>
      <c r="F139" s="2286">
        <v>3071</v>
      </c>
      <c r="G139" s="2287">
        <v>519</v>
      </c>
      <c r="H139" s="2287">
        <v>2321</v>
      </c>
      <c r="I139" s="2287">
        <v>2730</v>
      </c>
      <c r="J139" s="2286">
        <v>3071</v>
      </c>
    </row>
    <row r="140" spans="1:10" s="4722" customFormat="1" ht="13.5">
      <c r="A140" s="2287">
        <v>6850</v>
      </c>
      <c r="B140" s="2286">
        <v>6900</v>
      </c>
      <c r="C140" s="2287">
        <v>519</v>
      </c>
      <c r="D140" s="2287">
        <v>2338</v>
      </c>
      <c r="E140" s="2287">
        <v>2750</v>
      </c>
      <c r="F140" s="2286">
        <v>3094</v>
      </c>
      <c r="G140" s="2287">
        <v>519</v>
      </c>
      <c r="H140" s="2287">
        <v>2338</v>
      </c>
      <c r="I140" s="2287">
        <v>2750</v>
      </c>
      <c r="J140" s="2286">
        <v>3094</v>
      </c>
    </row>
    <row r="141" spans="1:10" s="4722" customFormat="1" ht="13.5">
      <c r="A141" s="2287">
        <v>6900</v>
      </c>
      <c r="B141" s="2286">
        <v>6950</v>
      </c>
      <c r="C141" s="2287">
        <v>519</v>
      </c>
      <c r="D141" s="2287">
        <v>2355</v>
      </c>
      <c r="E141" s="2287">
        <v>2770</v>
      </c>
      <c r="F141" s="2286">
        <v>3116</v>
      </c>
      <c r="G141" s="2287">
        <v>519</v>
      </c>
      <c r="H141" s="2287">
        <v>2355</v>
      </c>
      <c r="I141" s="2287">
        <v>2770</v>
      </c>
      <c r="J141" s="2286">
        <v>3116</v>
      </c>
    </row>
    <row r="142" spans="1:10" s="4722" customFormat="1" ht="13.5">
      <c r="A142" s="2287">
        <v>6950</v>
      </c>
      <c r="B142" s="2286">
        <v>7000</v>
      </c>
      <c r="C142" s="2287">
        <v>519</v>
      </c>
      <c r="D142" s="2287">
        <v>2372</v>
      </c>
      <c r="E142" s="2287">
        <v>2790</v>
      </c>
      <c r="F142" s="2286">
        <v>3139</v>
      </c>
      <c r="G142" s="2287">
        <v>519</v>
      </c>
      <c r="H142" s="2287">
        <v>2372</v>
      </c>
      <c r="I142" s="2287">
        <v>2790</v>
      </c>
      <c r="J142" s="2286">
        <v>3139</v>
      </c>
    </row>
    <row r="143" spans="1:10" s="4722" customFormat="1" ht="13.5">
      <c r="A143" s="2287">
        <v>7000</v>
      </c>
      <c r="B143" s="2286">
        <v>7050</v>
      </c>
      <c r="C143" s="2287">
        <v>519</v>
      </c>
      <c r="D143" s="2287">
        <v>2389</v>
      </c>
      <c r="E143" s="2287">
        <v>2810</v>
      </c>
      <c r="F143" s="2286">
        <v>3161</v>
      </c>
      <c r="G143" s="2287">
        <v>519</v>
      </c>
      <c r="H143" s="2287">
        <v>2389</v>
      </c>
      <c r="I143" s="2287">
        <v>2810</v>
      </c>
      <c r="J143" s="2286">
        <v>3161</v>
      </c>
    </row>
    <row r="144" spans="1:10" s="4722" customFormat="1" ht="13.5">
      <c r="A144" s="2287">
        <v>7050</v>
      </c>
      <c r="B144" s="2286">
        <v>7100</v>
      </c>
      <c r="C144" s="2287">
        <v>519</v>
      </c>
      <c r="D144" s="2287">
        <v>2406</v>
      </c>
      <c r="E144" s="2287">
        <v>2830</v>
      </c>
      <c r="F144" s="2286">
        <v>3184</v>
      </c>
      <c r="G144" s="2287">
        <v>519</v>
      </c>
      <c r="H144" s="2287">
        <v>2406</v>
      </c>
      <c r="I144" s="2287">
        <v>2830</v>
      </c>
      <c r="J144" s="2286">
        <v>3184</v>
      </c>
    </row>
    <row r="145" spans="1:10" s="4722" customFormat="1" ht="13.5">
      <c r="A145" s="2287">
        <v>7100</v>
      </c>
      <c r="B145" s="2286">
        <v>7150</v>
      </c>
      <c r="C145" s="2287">
        <v>519</v>
      </c>
      <c r="D145" s="2287">
        <v>2423</v>
      </c>
      <c r="E145" s="2287">
        <v>2850</v>
      </c>
      <c r="F145" s="2286">
        <v>3206</v>
      </c>
      <c r="G145" s="2287">
        <v>519</v>
      </c>
      <c r="H145" s="2287">
        <v>2423</v>
      </c>
      <c r="I145" s="2287">
        <v>2850</v>
      </c>
      <c r="J145" s="2286">
        <v>3206</v>
      </c>
    </row>
    <row r="146" spans="1:10" s="4722" customFormat="1" ht="13.5">
      <c r="A146" s="2287">
        <v>7150</v>
      </c>
      <c r="B146" s="2286">
        <v>7200</v>
      </c>
      <c r="C146" s="2287">
        <v>519</v>
      </c>
      <c r="D146" s="2287">
        <v>2440</v>
      </c>
      <c r="E146" s="2287">
        <v>2870</v>
      </c>
      <c r="F146" s="2286">
        <v>3229</v>
      </c>
      <c r="G146" s="2287">
        <v>519</v>
      </c>
      <c r="H146" s="2287">
        <v>2440</v>
      </c>
      <c r="I146" s="2287">
        <v>2870</v>
      </c>
      <c r="J146" s="2286">
        <v>3229</v>
      </c>
    </row>
    <row r="147" spans="1:10" s="4722" customFormat="1" ht="13.5">
      <c r="A147" s="2287">
        <v>7200</v>
      </c>
      <c r="B147" s="2286">
        <v>7250</v>
      </c>
      <c r="C147" s="2287">
        <v>519</v>
      </c>
      <c r="D147" s="2287">
        <v>2457</v>
      </c>
      <c r="E147" s="2287">
        <v>2890</v>
      </c>
      <c r="F147" s="2286">
        <v>3251</v>
      </c>
      <c r="G147" s="2287">
        <v>519</v>
      </c>
      <c r="H147" s="2287">
        <v>2457</v>
      </c>
      <c r="I147" s="2287">
        <v>2890</v>
      </c>
      <c r="J147" s="2286">
        <v>3251</v>
      </c>
    </row>
    <row r="148" spans="1:10" s="4722" customFormat="1" ht="13.5">
      <c r="A148" s="2287">
        <v>7250</v>
      </c>
      <c r="B148" s="2286">
        <v>7300</v>
      </c>
      <c r="C148" s="2287">
        <v>519</v>
      </c>
      <c r="D148" s="2287">
        <v>2474</v>
      </c>
      <c r="E148" s="2287">
        <v>2910</v>
      </c>
      <c r="F148" s="2286">
        <v>3274</v>
      </c>
      <c r="G148" s="2287">
        <v>519</v>
      </c>
      <c r="H148" s="2287">
        <v>2474</v>
      </c>
      <c r="I148" s="2287">
        <v>2910</v>
      </c>
      <c r="J148" s="2286">
        <v>3274</v>
      </c>
    </row>
    <row r="149" spans="1:10" s="4722" customFormat="1" ht="13.5">
      <c r="A149" s="2287">
        <v>7300</v>
      </c>
      <c r="B149" s="2286">
        <v>7350</v>
      </c>
      <c r="C149" s="2287">
        <v>519</v>
      </c>
      <c r="D149" s="2287">
        <v>2491</v>
      </c>
      <c r="E149" s="2287">
        <v>2930</v>
      </c>
      <c r="F149" s="2286">
        <v>3296</v>
      </c>
      <c r="G149" s="2287">
        <v>519</v>
      </c>
      <c r="H149" s="2287">
        <v>2491</v>
      </c>
      <c r="I149" s="2287">
        <v>2930</v>
      </c>
      <c r="J149" s="2286">
        <v>3296</v>
      </c>
    </row>
    <row r="150" spans="1:10" s="4722" customFormat="1" ht="13.5">
      <c r="A150" s="2287">
        <v>7350</v>
      </c>
      <c r="B150" s="2286">
        <v>7400</v>
      </c>
      <c r="C150" s="2287">
        <v>519</v>
      </c>
      <c r="D150" s="2287">
        <v>2508</v>
      </c>
      <c r="E150" s="2287">
        <v>2950</v>
      </c>
      <c r="F150" s="2286">
        <v>3319</v>
      </c>
      <c r="G150" s="2287">
        <v>519</v>
      </c>
      <c r="H150" s="2287">
        <v>2508</v>
      </c>
      <c r="I150" s="2287">
        <v>2950</v>
      </c>
      <c r="J150" s="2286">
        <v>3319</v>
      </c>
    </row>
    <row r="151" spans="1:10" s="4722" customFormat="1" ht="13.5">
      <c r="A151" s="2287">
        <v>7400</v>
      </c>
      <c r="B151" s="2286">
        <v>7450</v>
      </c>
      <c r="C151" s="2287">
        <v>519</v>
      </c>
      <c r="D151" s="2287">
        <v>2525</v>
      </c>
      <c r="E151" s="2287">
        <v>2970</v>
      </c>
      <c r="F151" s="2286">
        <v>3341</v>
      </c>
      <c r="G151" s="2287">
        <v>519</v>
      </c>
      <c r="H151" s="2287">
        <v>2525</v>
      </c>
      <c r="I151" s="2287">
        <v>2970</v>
      </c>
      <c r="J151" s="2286">
        <v>3341</v>
      </c>
    </row>
    <row r="152" spans="1:10" s="4722" customFormat="1" ht="13.5">
      <c r="A152" s="2287">
        <v>7450</v>
      </c>
      <c r="B152" s="2286">
        <v>7500</v>
      </c>
      <c r="C152" s="2287">
        <v>519</v>
      </c>
      <c r="D152" s="2287">
        <v>2542</v>
      </c>
      <c r="E152" s="2287">
        <v>2990</v>
      </c>
      <c r="F152" s="2286">
        <v>3364</v>
      </c>
      <c r="G152" s="2287">
        <v>519</v>
      </c>
      <c r="H152" s="2287">
        <v>2542</v>
      </c>
      <c r="I152" s="2287">
        <v>2990</v>
      </c>
      <c r="J152" s="2286">
        <v>3364</v>
      </c>
    </row>
    <row r="153" spans="1:10" s="4722" customFormat="1" ht="13.5">
      <c r="A153" s="2287">
        <v>7500</v>
      </c>
      <c r="B153" s="2286">
        <v>7550</v>
      </c>
      <c r="C153" s="2287">
        <v>519</v>
      </c>
      <c r="D153" s="2287">
        <v>2559</v>
      </c>
      <c r="E153" s="2287">
        <v>3010</v>
      </c>
      <c r="F153" s="2286">
        <v>3386</v>
      </c>
      <c r="G153" s="2287">
        <v>519</v>
      </c>
      <c r="H153" s="2287">
        <v>2559</v>
      </c>
      <c r="I153" s="2287">
        <v>3010</v>
      </c>
      <c r="J153" s="2286">
        <v>3386</v>
      </c>
    </row>
    <row r="154" spans="1:10" s="4722" customFormat="1" ht="13.5">
      <c r="A154" s="2287">
        <v>7550</v>
      </c>
      <c r="B154" s="2286">
        <v>7600</v>
      </c>
      <c r="C154" s="2287">
        <v>519</v>
      </c>
      <c r="D154" s="2287">
        <v>2576</v>
      </c>
      <c r="E154" s="2287">
        <v>3030</v>
      </c>
      <c r="F154" s="2286">
        <v>3409</v>
      </c>
      <c r="G154" s="2287">
        <v>519</v>
      </c>
      <c r="H154" s="2287">
        <v>2576</v>
      </c>
      <c r="I154" s="2287">
        <v>3030</v>
      </c>
      <c r="J154" s="2286">
        <v>3409</v>
      </c>
    </row>
    <row r="155" spans="1:10" s="4722" customFormat="1" ht="13.5">
      <c r="A155" s="2287">
        <v>7600</v>
      </c>
      <c r="B155" s="2286">
        <v>7650</v>
      </c>
      <c r="C155" s="2287">
        <v>519</v>
      </c>
      <c r="D155" s="2287">
        <v>2593</v>
      </c>
      <c r="E155" s="2287">
        <v>3050</v>
      </c>
      <c r="F155" s="2286">
        <v>3431</v>
      </c>
      <c r="G155" s="2287">
        <v>519</v>
      </c>
      <c r="H155" s="2287">
        <v>2593</v>
      </c>
      <c r="I155" s="2287">
        <v>3050</v>
      </c>
      <c r="J155" s="2286">
        <v>3431</v>
      </c>
    </row>
    <row r="156" spans="1:10" s="4722" customFormat="1" ht="13.5">
      <c r="A156" s="2287">
        <v>7650</v>
      </c>
      <c r="B156" s="2286">
        <v>7700</v>
      </c>
      <c r="C156" s="2287">
        <v>519</v>
      </c>
      <c r="D156" s="2287">
        <v>2610</v>
      </c>
      <c r="E156" s="2287">
        <v>3070</v>
      </c>
      <c r="F156" s="2286">
        <v>3454</v>
      </c>
      <c r="G156" s="2287">
        <v>519</v>
      </c>
      <c r="H156" s="2287">
        <v>2610</v>
      </c>
      <c r="I156" s="2287">
        <v>3070</v>
      </c>
      <c r="J156" s="2286">
        <v>3454</v>
      </c>
    </row>
    <row r="157" spans="1:10" s="4722" customFormat="1" ht="13.5">
      <c r="A157" s="2287">
        <v>7700</v>
      </c>
      <c r="B157" s="2286">
        <v>7750</v>
      </c>
      <c r="C157" s="2287">
        <v>519</v>
      </c>
      <c r="D157" s="2287">
        <v>2627</v>
      </c>
      <c r="E157" s="2287">
        <v>3090</v>
      </c>
      <c r="F157" s="2286">
        <v>3476</v>
      </c>
      <c r="G157" s="2287">
        <v>519</v>
      </c>
      <c r="H157" s="2287">
        <v>2627</v>
      </c>
      <c r="I157" s="2287">
        <v>3090</v>
      </c>
      <c r="J157" s="2286">
        <v>3476</v>
      </c>
    </row>
    <row r="158" spans="1:10" s="4722" customFormat="1" ht="13.5">
      <c r="A158" s="2287">
        <v>7750</v>
      </c>
      <c r="B158" s="2286">
        <v>7800</v>
      </c>
      <c r="C158" s="2287">
        <v>519</v>
      </c>
      <c r="D158" s="2287">
        <v>2644</v>
      </c>
      <c r="E158" s="2287">
        <v>3110</v>
      </c>
      <c r="F158" s="2286">
        <v>3499</v>
      </c>
      <c r="G158" s="2287">
        <v>519</v>
      </c>
      <c r="H158" s="2287">
        <v>2644</v>
      </c>
      <c r="I158" s="2287">
        <v>3110</v>
      </c>
      <c r="J158" s="2286">
        <v>3499</v>
      </c>
    </row>
    <row r="159" spans="1:10" s="4722" customFormat="1" ht="13.5">
      <c r="A159" s="2287">
        <v>7800</v>
      </c>
      <c r="B159" s="2286">
        <v>7850</v>
      </c>
      <c r="C159" s="2287">
        <v>519</v>
      </c>
      <c r="D159" s="2287">
        <v>2661</v>
      </c>
      <c r="E159" s="2287">
        <v>3130</v>
      </c>
      <c r="F159" s="2286">
        <v>3521</v>
      </c>
      <c r="G159" s="2287">
        <v>519</v>
      </c>
      <c r="H159" s="2287">
        <v>2661</v>
      </c>
      <c r="I159" s="2287">
        <v>3130</v>
      </c>
      <c r="J159" s="2286">
        <v>3521</v>
      </c>
    </row>
    <row r="160" spans="1:10" s="4722" customFormat="1" ht="13.5">
      <c r="A160" s="2287">
        <v>7850</v>
      </c>
      <c r="B160" s="2286">
        <v>7900</v>
      </c>
      <c r="C160" s="2287">
        <v>519</v>
      </c>
      <c r="D160" s="2287">
        <v>2678</v>
      </c>
      <c r="E160" s="2287">
        <v>3150</v>
      </c>
      <c r="F160" s="2286">
        <v>3544</v>
      </c>
      <c r="G160" s="2287">
        <v>519</v>
      </c>
      <c r="H160" s="2287">
        <v>2678</v>
      </c>
      <c r="I160" s="2287">
        <v>3150</v>
      </c>
      <c r="J160" s="2286">
        <v>3544</v>
      </c>
    </row>
    <row r="161" spans="1:10" s="4722" customFormat="1" ht="13.5">
      <c r="A161" s="2287">
        <v>7900</v>
      </c>
      <c r="B161" s="2286">
        <v>7950</v>
      </c>
      <c r="C161" s="2287">
        <v>519</v>
      </c>
      <c r="D161" s="2287">
        <v>2695</v>
      </c>
      <c r="E161" s="2287">
        <v>3170</v>
      </c>
      <c r="F161" s="2286">
        <v>3566</v>
      </c>
      <c r="G161" s="2287">
        <v>519</v>
      </c>
      <c r="H161" s="2287">
        <v>2695</v>
      </c>
      <c r="I161" s="2287">
        <v>3170</v>
      </c>
      <c r="J161" s="2286">
        <v>3566</v>
      </c>
    </row>
    <row r="162" spans="1:10" s="4722" customFormat="1" ht="13.5">
      <c r="A162" s="2287">
        <v>7950</v>
      </c>
      <c r="B162" s="2286">
        <v>8000</v>
      </c>
      <c r="C162" s="2287">
        <v>519</v>
      </c>
      <c r="D162" s="2287">
        <v>2712</v>
      </c>
      <c r="E162" s="2287">
        <v>3190</v>
      </c>
      <c r="F162" s="2286">
        <v>3589</v>
      </c>
      <c r="G162" s="2287">
        <v>519</v>
      </c>
      <c r="H162" s="2287">
        <v>2712</v>
      </c>
      <c r="I162" s="2287">
        <v>3190</v>
      </c>
      <c r="J162" s="2286">
        <v>3589</v>
      </c>
    </row>
    <row r="163" spans="1:10" s="4722" customFormat="1" ht="13.5">
      <c r="A163" s="2287">
        <v>8000</v>
      </c>
      <c r="B163" s="2286">
        <v>8050</v>
      </c>
      <c r="C163" s="2287">
        <v>519</v>
      </c>
      <c r="D163" s="2287">
        <v>2729</v>
      </c>
      <c r="E163" s="2287">
        <v>3210</v>
      </c>
      <c r="F163" s="2286">
        <v>3611</v>
      </c>
      <c r="G163" s="2287">
        <v>519</v>
      </c>
      <c r="H163" s="2287">
        <v>2729</v>
      </c>
      <c r="I163" s="2287">
        <v>3210</v>
      </c>
      <c r="J163" s="2286">
        <v>3611</v>
      </c>
    </row>
    <row r="164" spans="1:10" s="4722" customFormat="1" ht="13.5">
      <c r="A164" s="2287">
        <v>8050</v>
      </c>
      <c r="B164" s="2286">
        <v>8100</v>
      </c>
      <c r="C164" s="2287">
        <v>519</v>
      </c>
      <c r="D164" s="2287">
        <v>2746</v>
      </c>
      <c r="E164" s="2287">
        <v>3230</v>
      </c>
      <c r="F164" s="2286">
        <v>3634</v>
      </c>
      <c r="G164" s="2287">
        <v>519</v>
      </c>
      <c r="H164" s="2287">
        <v>2746</v>
      </c>
      <c r="I164" s="2287">
        <v>3230</v>
      </c>
      <c r="J164" s="2286">
        <v>3634</v>
      </c>
    </row>
    <row r="165" spans="1:10" s="4722" customFormat="1" ht="13.5">
      <c r="A165" s="2287">
        <v>8100</v>
      </c>
      <c r="B165" s="2286">
        <v>8150</v>
      </c>
      <c r="C165" s="2287">
        <v>519</v>
      </c>
      <c r="D165" s="2287">
        <v>2763</v>
      </c>
      <c r="E165" s="2287">
        <v>3250</v>
      </c>
      <c r="F165" s="2286">
        <v>3656</v>
      </c>
      <c r="G165" s="2287">
        <v>519</v>
      </c>
      <c r="H165" s="2287">
        <v>2763</v>
      </c>
      <c r="I165" s="2287">
        <v>3250</v>
      </c>
      <c r="J165" s="2286">
        <v>3656</v>
      </c>
    </row>
    <row r="166" spans="1:10" s="4722" customFormat="1" ht="13.5">
      <c r="A166" s="2287">
        <v>8150</v>
      </c>
      <c r="B166" s="2286">
        <v>8200</v>
      </c>
      <c r="C166" s="2287">
        <v>519</v>
      </c>
      <c r="D166" s="2287">
        <v>2780</v>
      </c>
      <c r="E166" s="2287">
        <v>3270</v>
      </c>
      <c r="F166" s="2286">
        <v>3679</v>
      </c>
      <c r="G166" s="2287">
        <v>519</v>
      </c>
      <c r="H166" s="2287">
        <v>2780</v>
      </c>
      <c r="I166" s="2287">
        <v>3270</v>
      </c>
      <c r="J166" s="2286">
        <v>3679</v>
      </c>
    </row>
    <row r="167" spans="1:10" s="4722" customFormat="1" ht="13.5">
      <c r="A167" s="2287">
        <v>8200</v>
      </c>
      <c r="B167" s="2286">
        <v>8250</v>
      </c>
      <c r="C167" s="2287">
        <v>519</v>
      </c>
      <c r="D167" s="2287">
        <v>2797</v>
      </c>
      <c r="E167" s="2287">
        <v>3290</v>
      </c>
      <c r="F167" s="2286">
        <v>3701</v>
      </c>
      <c r="G167" s="2287">
        <v>519</v>
      </c>
      <c r="H167" s="2287">
        <v>2797</v>
      </c>
      <c r="I167" s="2287">
        <v>3290</v>
      </c>
      <c r="J167" s="2286">
        <v>3701</v>
      </c>
    </row>
    <row r="168" spans="1:10" s="4722" customFormat="1" ht="13.5">
      <c r="A168" s="2287">
        <v>8250</v>
      </c>
      <c r="B168" s="2286">
        <v>8300</v>
      </c>
      <c r="C168" s="2287">
        <v>519</v>
      </c>
      <c r="D168" s="2287">
        <v>2814</v>
      </c>
      <c r="E168" s="2287">
        <v>3310</v>
      </c>
      <c r="F168" s="2286">
        <v>3724</v>
      </c>
      <c r="G168" s="2287">
        <v>519</v>
      </c>
      <c r="H168" s="2287">
        <v>2814</v>
      </c>
      <c r="I168" s="2287">
        <v>3310</v>
      </c>
      <c r="J168" s="2286">
        <v>3724</v>
      </c>
    </row>
    <row r="169" spans="1:10" s="4722" customFormat="1" ht="13.5">
      <c r="A169" s="2287">
        <v>8300</v>
      </c>
      <c r="B169" s="2286">
        <v>8350</v>
      </c>
      <c r="C169" s="2287">
        <v>519</v>
      </c>
      <c r="D169" s="2287">
        <v>2831</v>
      </c>
      <c r="E169" s="2287">
        <v>3330</v>
      </c>
      <c r="F169" s="2286">
        <v>3746</v>
      </c>
      <c r="G169" s="2287">
        <v>519</v>
      </c>
      <c r="H169" s="2287">
        <v>2831</v>
      </c>
      <c r="I169" s="2287">
        <v>3330</v>
      </c>
      <c r="J169" s="2286">
        <v>3746</v>
      </c>
    </row>
    <row r="170" spans="1:10" s="4722" customFormat="1" ht="13.5">
      <c r="A170" s="2287">
        <v>8350</v>
      </c>
      <c r="B170" s="2286">
        <v>8400</v>
      </c>
      <c r="C170" s="2287">
        <v>519</v>
      </c>
      <c r="D170" s="2287">
        <v>2848</v>
      </c>
      <c r="E170" s="2287">
        <v>3350</v>
      </c>
      <c r="F170" s="2286">
        <v>3769</v>
      </c>
      <c r="G170" s="2287">
        <v>519</v>
      </c>
      <c r="H170" s="2287">
        <v>2848</v>
      </c>
      <c r="I170" s="2287">
        <v>3350</v>
      </c>
      <c r="J170" s="2286">
        <v>3769</v>
      </c>
    </row>
    <row r="171" spans="1:10" s="4722" customFormat="1" ht="13.5">
      <c r="A171" s="2287">
        <v>8400</v>
      </c>
      <c r="B171" s="2286">
        <v>8450</v>
      </c>
      <c r="C171" s="2287">
        <v>519</v>
      </c>
      <c r="D171" s="2287">
        <v>2865</v>
      </c>
      <c r="E171" s="2287">
        <v>3370</v>
      </c>
      <c r="F171" s="2286">
        <v>3791</v>
      </c>
      <c r="G171" s="2287">
        <v>519</v>
      </c>
      <c r="H171" s="2287">
        <v>2865</v>
      </c>
      <c r="I171" s="2287">
        <v>3370</v>
      </c>
      <c r="J171" s="2286">
        <v>3791</v>
      </c>
    </row>
    <row r="172" spans="1:10" s="4722" customFormat="1" ht="13.5">
      <c r="A172" s="2287">
        <v>8450</v>
      </c>
      <c r="B172" s="2286">
        <v>8500</v>
      </c>
      <c r="C172" s="2287">
        <v>519</v>
      </c>
      <c r="D172" s="2287">
        <v>2882</v>
      </c>
      <c r="E172" s="2287">
        <v>3390</v>
      </c>
      <c r="F172" s="2286">
        <v>3814</v>
      </c>
      <c r="G172" s="2287">
        <v>519</v>
      </c>
      <c r="H172" s="2287">
        <v>2882</v>
      </c>
      <c r="I172" s="2287">
        <v>3390</v>
      </c>
      <c r="J172" s="2286">
        <v>3814</v>
      </c>
    </row>
    <row r="173" spans="1:10" s="4722" customFormat="1" ht="13.5">
      <c r="A173" s="2287">
        <v>8500</v>
      </c>
      <c r="B173" s="2286">
        <v>8550</v>
      </c>
      <c r="C173" s="2287">
        <v>516</v>
      </c>
      <c r="D173" s="2287">
        <v>2899</v>
      </c>
      <c r="E173" s="2287">
        <v>3410</v>
      </c>
      <c r="F173" s="2286">
        <v>3836</v>
      </c>
      <c r="G173" s="2287">
        <v>519</v>
      </c>
      <c r="H173" s="2287">
        <v>2899</v>
      </c>
      <c r="I173" s="2287">
        <v>3410</v>
      </c>
      <c r="J173" s="2286">
        <v>3836</v>
      </c>
    </row>
    <row r="174" spans="1:10" s="4722" customFormat="1" ht="13.5">
      <c r="A174" s="2287">
        <v>8550</v>
      </c>
      <c r="B174" s="2286">
        <v>8600</v>
      </c>
      <c r="C174" s="2287">
        <v>512</v>
      </c>
      <c r="D174" s="2287">
        <v>2916</v>
      </c>
      <c r="E174" s="2287">
        <v>3430</v>
      </c>
      <c r="F174" s="2286">
        <v>3859</v>
      </c>
      <c r="G174" s="2287">
        <v>519</v>
      </c>
      <c r="H174" s="2287">
        <v>2916</v>
      </c>
      <c r="I174" s="2287">
        <v>3430</v>
      </c>
      <c r="J174" s="2286">
        <v>3859</v>
      </c>
    </row>
    <row r="175" spans="1:10" s="4722" customFormat="1" ht="13.5">
      <c r="A175" s="2287">
        <v>8600</v>
      </c>
      <c r="B175" s="2286">
        <v>8650</v>
      </c>
      <c r="C175" s="2287">
        <v>508</v>
      </c>
      <c r="D175" s="2287">
        <v>2933</v>
      </c>
      <c r="E175" s="2287">
        <v>3450</v>
      </c>
      <c r="F175" s="2286">
        <v>3881</v>
      </c>
      <c r="G175" s="2287">
        <v>519</v>
      </c>
      <c r="H175" s="2287">
        <v>2933</v>
      </c>
      <c r="I175" s="2287">
        <v>3450</v>
      </c>
      <c r="J175" s="2286">
        <v>3881</v>
      </c>
    </row>
    <row r="176" spans="1:10" s="4722" customFormat="1" ht="13.5">
      <c r="A176" s="2287">
        <v>8650</v>
      </c>
      <c r="B176" s="2286">
        <v>8700</v>
      </c>
      <c r="C176" s="2287">
        <v>505</v>
      </c>
      <c r="D176" s="2287">
        <v>2950</v>
      </c>
      <c r="E176" s="2287">
        <v>3470</v>
      </c>
      <c r="F176" s="2286">
        <v>3904</v>
      </c>
      <c r="G176" s="2287">
        <v>519</v>
      </c>
      <c r="H176" s="2287">
        <v>2950</v>
      </c>
      <c r="I176" s="2287">
        <v>3470</v>
      </c>
      <c r="J176" s="2286">
        <v>3904</v>
      </c>
    </row>
    <row r="177" spans="1:10" s="4722" customFormat="1" ht="13.5">
      <c r="A177" s="2287">
        <v>8700</v>
      </c>
      <c r="B177" s="2286">
        <v>8750</v>
      </c>
      <c r="C177" s="2287">
        <v>501</v>
      </c>
      <c r="D177" s="2287">
        <v>2967</v>
      </c>
      <c r="E177" s="2287">
        <v>3490</v>
      </c>
      <c r="F177" s="2286">
        <v>3926</v>
      </c>
      <c r="G177" s="2287">
        <v>519</v>
      </c>
      <c r="H177" s="2287">
        <v>2967</v>
      </c>
      <c r="I177" s="2287">
        <v>3490</v>
      </c>
      <c r="J177" s="2286">
        <v>3926</v>
      </c>
    </row>
    <row r="178" spans="1:10" s="4722" customFormat="1" ht="13.5">
      <c r="A178" s="2287">
        <v>8750</v>
      </c>
      <c r="B178" s="2286">
        <v>8800</v>
      </c>
      <c r="C178" s="2287">
        <v>497</v>
      </c>
      <c r="D178" s="2287">
        <v>2984</v>
      </c>
      <c r="E178" s="2287">
        <v>3510</v>
      </c>
      <c r="F178" s="2286">
        <v>3949</v>
      </c>
      <c r="G178" s="2287">
        <v>519</v>
      </c>
      <c r="H178" s="2287">
        <v>2984</v>
      </c>
      <c r="I178" s="2287">
        <v>3510</v>
      </c>
      <c r="J178" s="2286">
        <v>3949</v>
      </c>
    </row>
    <row r="179" spans="1:10" s="4722" customFormat="1" ht="13.5">
      <c r="A179" s="2287">
        <v>8800</v>
      </c>
      <c r="B179" s="2286">
        <v>8850</v>
      </c>
      <c r="C179" s="2287">
        <v>493</v>
      </c>
      <c r="D179" s="2287">
        <v>3001</v>
      </c>
      <c r="E179" s="2287">
        <v>3530</v>
      </c>
      <c r="F179" s="2286">
        <v>3971</v>
      </c>
      <c r="G179" s="2287">
        <v>519</v>
      </c>
      <c r="H179" s="2287">
        <v>3001</v>
      </c>
      <c r="I179" s="2287">
        <v>3530</v>
      </c>
      <c r="J179" s="2286">
        <v>3971</v>
      </c>
    </row>
    <row r="180" spans="1:10" s="4722" customFormat="1" ht="13.5">
      <c r="A180" s="2287">
        <v>8850</v>
      </c>
      <c r="B180" s="2286">
        <v>8900</v>
      </c>
      <c r="C180" s="2287">
        <v>489</v>
      </c>
      <c r="D180" s="2287">
        <v>3018</v>
      </c>
      <c r="E180" s="2287">
        <v>3550</v>
      </c>
      <c r="F180" s="2286">
        <v>3994</v>
      </c>
      <c r="G180" s="2287">
        <v>519</v>
      </c>
      <c r="H180" s="2287">
        <v>3018</v>
      </c>
      <c r="I180" s="2287">
        <v>3550</v>
      </c>
      <c r="J180" s="2286">
        <v>3994</v>
      </c>
    </row>
    <row r="181" spans="1:10" s="4722" customFormat="1" ht="13.5">
      <c r="A181" s="2287">
        <v>8900</v>
      </c>
      <c r="B181" s="2286">
        <v>8950</v>
      </c>
      <c r="C181" s="2287">
        <v>485</v>
      </c>
      <c r="D181" s="2287">
        <v>3035</v>
      </c>
      <c r="E181" s="2287">
        <v>3570</v>
      </c>
      <c r="F181" s="2286">
        <v>4016</v>
      </c>
      <c r="G181" s="2287">
        <v>519</v>
      </c>
      <c r="H181" s="2287">
        <v>3035</v>
      </c>
      <c r="I181" s="2287">
        <v>3570</v>
      </c>
      <c r="J181" s="2286">
        <v>4016</v>
      </c>
    </row>
    <row r="182" spans="1:10" s="4722" customFormat="1" ht="13.5">
      <c r="A182" s="2287">
        <v>8950</v>
      </c>
      <c r="B182" s="2286">
        <v>9000</v>
      </c>
      <c r="C182" s="2287">
        <v>482</v>
      </c>
      <c r="D182" s="2287">
        <v>3052</v>
      </c>
      <c r="E182" s="2287">
        <v>3590</v>
      </c>
      <c r="F182" s="2286">
        <v>4039</v>
      </c>
      <c r="G182" s="2287">
        <v>519</v>
      </c>
      <c r="H182" s="2287">
        <v>3052</v>
      </c>
      <c r="I182" s="2287">
        <v>3590</v>
      </c>
      <c r="J182" s="2286">
        <v>4039</v>
      </c>
    </row>
    <row r="183" spans="1:10" s="4722" customFormat="1" ht="13.5">
      <c r="A183" s="2287">
        <v>9000</v>
      </c>
      <c r="B183" s="2286">
        <v>9050</v>
      </c>
      <c r="C183" s="2287">
        <v>478</v>
      </c>
      <c r="D183" s="2287">
        <v>3069</v>
      </c>
      <c r="E183" s="2287">
        <v>3610</v>
      </c>
      <c r="F183" s="2286">
        <v>4061</v>
      </c>
      <c r="G183" s="2287">
        <v>519</v>
      </c>
      <c r="H183" s="2287">
        <v>3069</v>
      </c>
      <c r="I183" s="2287">
        <v>3610</v>
      </c>
      <c r="J183" s="2286">
        <v>4061</v>
      </c>
    </row>
    <row r="184" spans="1:10" s="4722" customFormat="1" ht="13.5">
      <c r="A184" s="2287">
        <v>9050</v>
      </c>
      <c r="B184" s="2286">
        <v>9100</v>
      </c>
      <c r="C184" s="2287">
        <v>474</v>
      </c>
      <c r="D184" s="2287">
        <v>3086</v>
      </c>
      <c r="E184" s="2287">
        <v>3630</v>
      </c>
      <c r="F184" s="2286">
        <v>4084</v>
      </c>
      <c r="G184" s="2287">
        <v>519</v>
      </c>
      <c r="H184" s="2287">
        <v>3086</v>
      </c>
      <c r="I184" s="2287">
        <v>3630</v>
      </c>
      <c r="J184" s="2286">
        <v>4084</v>
      </c>
    </row>
    <row r="185" spans="1:10" s="4722" customFormat="1" ht="13.5">
      <c r="A185" s="2287">
        <v>9100</v>
      </c>
      <c r="B185" s="2286">
        <v>9150</v>
      </c>
      <c r="C185" s="2287">
        <v>470</v>
      </c>
      <c r="D185" s="2287">
        <v>3103</v>
      </c>
      <c r="E185" s="2287">
        <v>3650</v>
      </c>
      <c r="F185" s="2286">
        <v>4106</v>
      </c>
      <c r="G185" s="2287">
        <v>519</v>
      </c>
      <c r="H185" s="2287">
        <v>3103</v>
      </c>
      <c r="I185" s="2287">
        <v>3650</v>
      </c>
      <c r="J185" s="2286">
        <v>4106</v>
      </c>
    </row>
    <row r="186" spans="1:10" s="4722" customFormat="1" ht="13.5">
      <c r="A186" s="2287">
        <v>9150</v>
      </c>
      <c r="B186" s="2286">
        <v>9200</v>
      </c>
      <c r="C186" s="2287">
        <v>466</v>
      </c>
      <c r="D186" s="2287">
        <v>3120</v>
      </c>
      <c r="E186" s="2287">
        <v>3670</v>
      </c>
      <c r="F186" s="2286">
        <v>4129</v>
      </c>
      <c r="G186" s="2287">
        <v>519</v>
      </c>
      <c r="H186" s="2287">
        <v>3120</v>
      </c>
      <c r="I186" s="2287">
        <v>3670</v>
      </c>
      <c r="J186" s="2286">
        <v>4129</v>
      </c>
    </row>
    <row r="187" spans="1:10" s="4722" customFormat="1" ht="13.5">
      <c r="A187" s="2287">
        <v>9200</v>
      </c>
      <c r="B187" s="2286">
        <v>9250</v>
      </c>
      <c r="C187" s="2287">
        <v>462</v>
      </c>
      <c r="D187" s="2287">
        <v>3137</v>
      </c>
      <c r="E187" s="2287">
        <v>3690</v>
      </c>
      <c r="F187" s="2286">
        <v>4151</v>
      </c>
      <c r="G187" s="2287">
        <v>519</v>
      </c>
      <c r="H187" s="2287">
        <v>3137</v>
      </c>
      <c r="I187" s="2287">
        <v>3690</v>
      </c>
      <c r="J187" s="2286">
        <v>4151</v>
      </c>
    </row>
    <row r="188" spans="1:10" s="4722" customFormat="1" ht="13.5">
      <c r="A188" s="2287">
        <v>9250</v>
      </c>
      <c r="B188" s="2286">
        <v>9300</v>
      </c>
      <c r="C188" s="2287">
        <v>459</v>
      </c>
      <c r="D188" s="2287">
        <v>3154</v>
      </c>
      <c r="E188" s="2287">
        <v>3710</v>
      </c>
      <c r="F188" s="2286">
        <v>4174</v>
      </c>
      <c r="G188" s="2287">
        <v>519</v>
      </c>
      <c r="H188" s="2287">
        <v>3154</v>
      </c>
      <c r="I188" s="2287">
        <v>3710</v>
      </c>
      <c r="J188" s="2286">
        <v>4174</v>
      </c>
    </row>
    <row r="189" spans="1:10" s="4722" customFormat="1" ht="13.5">
      <c r="A189" s="2287">
        <v>9300</v>
      </c>
      <c r="B189" s="2286">
        <v>9350</v>
      </c>
      <c r="C189" s="2287">
        <v>455</v>
      </c>
      <c r="D189" s="2287">
        <v>3171</v>
      </c>
      <c r="E189" s="2287">
        <v>3730</v>
      </c>
      <c r="F189" s="2286">
        <v>4196</v>
      </c>
      <c r="G189" s="2287">
        <v>519</v>
      </c>
      <c r="H189" s="2287">
        <v>3171</v>
      </c>
      <c r="I189" s="2287">
        <v>3730</v>
      </c>
      <c r="J189" s="2286">
        <v>4196</v>
      </c>
    </row>
    <row r="190" spans="1:10" s="4722" customFormat="1" ht="13.5">
      <c r="A190" s="2287">
        <v>9350</v>
      </c>
      <c r="B190" s="2286">
        <v>9400</v>
      </c>
      <c r="C190" s="2287">
        <v>451</v>
      </c>
      <c r="D190" s="2287">
        <v>3188</v>
      </c>
      <c r="E190" s="2287">
        <v>3750</v>
      </c>
      <c r="F190" s="2286">
        <v>4219</v>
      </c>
      <c r="G190" s="2287">
        <v>519</v>
      </c>
      <c r="H190" s="2287">
        <v>3188</v>
      </c>
      <c r="I190" s="2287">
        <v>3750</v>
      </c>
      <c r="J190" s="2286">
        <v>4219</v>
      </c>
    </row>
    <row r="191" spans="1:10" s="4722" customFormat="1" ht="13.5">
      <c r="A191" s="2287">
        <v>9400</v>
      </c>
      <c r="B191" s="2286">
        <v>9450</v>
      </c>
      <c r="C191" s="2287">
        <v>447</v>
      </c>
      <c r="D191" s="2287">
        <v>3205</v>
      </c>
      <c r="E191" s="2287">
        <v>3770</v>
      </c>
      <c r="F191" s="2286">
        <v>4241</v>
      </c>
      <c r="G191" s="2287">
        <v>519</v>
      </c>
      <c r="H191" s="2287">
        <v>3205</v>
      </c>
      <c r="I191" s="2287">
        <v>3770</v>
      </c>
      <c r="J191" s="2286">
        <v>4241</v>
      </c>
    </row>
    <row r="192" spans="1:10" s="4722" customFormat="1" ht="13.5">
      <c r="A192" s="2287">
        <v>9450</v>
      </c>
      <c r="B192" s="2286">
        <v>9500</v>
      </c>
      <c r="C192" s="2287">
        <v>443</v>
      </c>
      <c r="D192" s="2287">
        <v>3222</v>
      </c>
      <c r="E192" s="2287">
        <v>3790</v>
      </c>
      <c r="F192" s="2286">
        <v>4264</v>
      </c>
      <c r="G192" s="2287">
        <v>519</v>
      </c>
      <c r="H192" s="2287">
        <v>3222</v>
      </c>
      <c r="I192" s="2287">
        <v>3790</v>
      </c>
      <c r="J192" s="2286">
        <v>4264</v>
      </c>
    </row>
    <row r="193" spans="1:10" s="4722" customFormat="1" ht="13.5">
      <c r="A193" s="2287">
        <v>9500</v>
      </c>
      <c r="B193" s="2286">
        <v>9550</v>
      </c>
      <c r="C193" s="2287">
        <v>439</v>
      </c>
      <c r="D193" s="2287">
        <v>3239</v>
      </c>
      <c r="E193" s="2287">
        <v>3810</v>
      </c>
      <c r="F193" s="2286">
        <v>4286</v>
      </c>
      <c r="G193" s="2287">
        <v>519</v>
      </c>
      <c r="H193" s="2287">
        <v>3239</v>
      </c>
      <c r="I193" s="2287">
        <v>3810</v>
      </c>
      <c r="J193" s="2286">
        <v>4286</v>
      </c>
    </row>
    <row r="194" spans="1:10" s="4722" customFormat="1" ht="13.5">
      <c r="A194" s="2287">
        <v>9550</v>
      </c>
      <c r="B194" s="2286">
        <v>9600</v>
      </c>
      <c r="C194" s="2287">
        <v>436</v>
      </c>
      <c r="D194" s="2287">
        <v>3256</v>
      </c>
      <c r="E194" s="2287">
        <v>3830</v>
      </c>
      <c r="F194" s="2286">
        <v>4309</v>
      </c>
      <c r="G194" s="2287">
        <v>519</v>
      </c>
      <c r="H194" s="2287">
        <v>3256</v>
      </c>
      <c r="I194" s="2287">
        <v>3830</v>
      </c>
      <c r="J194" s="2286">
        <v>4309</v>
      </c>
    </row>
    <row r="195" spans="1:10" s="4722" customFormat="1" ht="13.5">
      <c r="A195" s="2287">
        <v>9600</v>
      </c>
      <c r="B195" s="2286">
        <v>9650</v>
      </c>
      <c r="C195" s="2287">
        <v>432</v>
      </c>
      <c r="D195" s="2287">
        <v>3273</v>
      </c>
      <c r="E195" s="2287">
        <v>3850</v>
      </c>
      <c r="F195" s="2286">
        <v>4331</v>
      </c>
      <c r="G195" s="2287">
        <v>519</v>
      </c>
      <c r="H195" s="2287">
        <v>3273</v>
      </c>
      <c r="I195" s="2287">
        <v>3850</v>
      </c>
      <c r="J195" s="2286">
        <v>4331</v>
      </c>
    </row>
    <row r="196" spans="1:10" s="4722" customFormat="1" ht="13.5">
      <c r="A196" s="2287">
        <v>9650</v>
      </c>
      <c r="B196" s="2286">
        <v>9700</v>
      </c>
      <c r="C196" s="2287">
        <v>428</v>
      </c>
      <c r="D196" s="2287">
        <v>3290</v>
      </c>
      <c r="E196" s="2287">
        <v>3870</v>
      </c>
      <c r="F196" s="2286">
        <v>4354</v>
      </c>
      <c r="G196" s="2287">
        <v>519</v>
      </c>
      <c r="H196" s="2287">
        <v>3290</v>
      </c>
      <c r="I196" s="2287">
        <v>3870</v>
      </c>
      <c r="J196" s="2286">
        <v>4354</v>
      </c>
    </row>
    <row r="197" spans="1:10" s="4722" customFormat="1" ht="13.5">
      <c r="A197" s="2287">
        <v>9700</v>
      </c>
      <c r="B197" s="2286">
        <v>9750</v>
      </c>
      <c r="C197" s="2287">
        <v>424</v>
      </c>
      <c r="D197" s="2287">
        <v>3307</v>
      </c>
      <c r="E197" s="2287">
        <v>3890</v>
      </c>
      <c r="F197" s="2286">
        <v>4376</v>
      </c>
      <c r="G197" s="2287">
        <v>519</v>
      </c>
      <c r="H197" s="2287">
        <v>3307</v>
      </c>
      <c r="I197" s="2287">
        <v>3890</v>
      </c>
      <c r="J197" s="2286">
        <v>4376</v>
      </c>
    </row>
    <row r="198" spans="1:10" s="4722" customFormat="1" ht="13.5">
      <c r="A198" s="2287">
        <v>9750</v>
      </c>
      <c r="B198" s="2286">
        <v>9800</v>
      </c>
      <c r="C198" s="2287">
        <v>420</v>
      </c>
      <c r="D198" s="2287">
        <v>3324</v>
      </c>
      <c r="E198" s="2287">
        <v>3910</v>
      </c>
      <c r="F198" s="2286">
        <v>4399</v>
      </c>
      <c r="G198" s="2287">
        <v>519</v>
      </c>
      <c r="H198" s="2287">
        <v>3324</v>
      </c>
      <c r="I198" s="2287">
        <v>3910</v>
      </c>
      <c r="J198" s="2286">
        <v>4399</v>
      </c>
    </row>
    <row r="199" spans="1:10" s="4722" customFormat="1" ht="13.5">
      <c r="A199" s="2287">
        <v>9800</v>
      </c>
      <c r="B199" s="2286">
        <v>9850</v>
      </c>
      <c r="C199" s="2287">
        <v>417</v>
      </c>
      <c r="D199" s="2287">
        <v>3341</v>
      </c>
      <c r="E199" s="2287">
        <v>3930</v>
      </c>
      <c r="F199" s="2286">
        <v>4421</v>
      </c>
      <c r="G199" s="2287">
        <v>519</v>
      </c>
      <c r="H199" s="2287">
        <v>3341</v>
      </c>
      <c r="I199" s="2287">
        <v>3930</v>
      </c>
      <c r="J199" s="2286">
        <v>4421</v>
      </c>
    </row>
    <row r="200" spans="1:10" s="4722" customFormat="1" ht="13.5">
      <c r="A200" s="2287">
        <v>9850</v>
      </c>
      <c r="B200" s="2286">
        <v>9900</v>
      </c>
      <c r="C200" s="2287">
        <v>413</v>
      </c>
      <c r="D200" s="2287">
        <v>3358</v>
      </c>
      <c r="E200" s="2287">
        <v>3950</v>
      </c>
      <c r="F200" s="2286">
        <v>4444</v>
      </c>
      <c r="G200" s="2287">
        <v>519</v>
      </c>
      <c r="H200" s="2287">
        <v>3358</v>
      </c>
      <c r="I200" s="2287">
        <v>3950</v>
      </c>
      <c r="J200" s="2286">
        <v>4444</v>
      </c>
    </row>
    <row r="201" spans="1:10" s="4722" customFormat="1" ht="13.5">
      <c r="A201" s="2287">
        <v>9900</v>
      </c>
      <c r="B201" s="2286">
        <v>9950</v>
      </c>
      <c r="C201" s="2287">
        <v>409</v>
      </c>
      <c r="D201" s="2287">
        <v>3375</v>
      </c>
      <c r="E201" s="2287">
        <v>3970</v>
      </c>
      <c r="F201" s="2286">
        <v>4466</v>
      </c>
      <c r="G201" s="2287">
        <v>519</v>
      </c>
      <c r="H201" s="2287">
        <v>3375</v>
      </c>
      <c r="I201" s="2287">
        <v>3970</v>
      </c>
      <c r="J201" s="2286">
        <v>4466</v>
      </c>
    </row>
    <row r="202" spans="1:10" s="4722" customFormat="1" ht="13.5">
      <c r="A202" s="2287">
        <v>9950</v>
      </c>
      <c r="B202" s="2286">
        <v>10000</v>
      </c>
      <c r="C202" s="2287">
        <v>405</v>
      </c>
      <c r="D202" s="2287">
        <v>3392</v>
      </c>
      <c r="E202" s="2287">
        <v>3990</v>
      </c>
      <c r="F202" s="2286">
        <v>4489</v>
      </c>
      <c r="G202" s="2287">
        <v>519</v>
      </c>
      <c r="H202" s="2287">
        <v>3392</v>
      </c>
      <c r="I202" s="2287">
        <v>3990</v>
      </c>
      <c r="J202" s="2286">
        <v>4489</v>
      </c>
    </row>
    <row r="203" spans="1:10" s="4722" customFormat="1" ht="13.5">
      <c r="A203" s="2287">
        <v>10000</v>
      </c>
      <c r="B203" s="2286">
        <v>10050</v>
      </c>
      <c r="C203" s="2287">
        <v>401</v>
      </c>
      <c r="D203" s="2287">
        <v>3409</v>
      </c>
      <c r="E203" s="2287">
        <v>4010</v>
      </c>
      <c r="F203" s="2286">
        <v>4511</v>
      </c>
      <c r="G203" s="2287">
        <v>519</v>
      </c>
      <c r="H203" s="2287">
        <v>3409</v>
      </c>
      <c r="I203" s="2287">
        <v>4010</v>
      </c>
      <c r="J203" s="2286">
        <v>4511</v>
      </c>
    </row>
    <row r="204" spans="1:10" s="4722" customFormat="1" ht="13.5">
      <c r="A204" s="2287">
        <v>10050</v>
      </c>
      <c r="B204" s="2286">
        <v>10100</v>
      </c>
      <c r="C204" s="2287">
        <v>397</v>
      </c>
      <c r="D204" s="2287">
        <v>3426</v>
      </c>
      <c r="E204" s="2287">
        <v>4030</v>
      </c>
      <c r="F204" s="2286">
        <v>4534</v>
      </c>
      <c r="G204" s="2287">
        <v>519</v>
      </c>
      <c r="H204" s="2287">
        <v>3426</v>
      </c>
      <c r="I204" s="2287">
        <v>4030</v>
      </c>
      <c r="J204" s="2286">
        <v>4534</v>
      </c>
    </row>
    <row r="205" spans="1:10" s="4722" customFormat="1" ht="13.5">
      <c r="A205" s="2287">
        <v>10100</v>
      </c>
      <c r="B205" s="2286">
        <v>10150</v>
      </c>
      <c r="C205" s="2287">
        <v>394</v>
      </c>
      <c r="D205" s="2287">
        <v>3443</v>
      </c>
      <c r="E205" s="2287">
        <v>4050</v>
      </c>
      <c r="F205" s="2286">
        <v>4556</v>
      </c>
      <c r="G205" s="2287">
        <v>519</v>
      </c>
      <c r="H205" s="2287">
        <v>3443</v>
      </c>
      <c r="I205" s="2287">
        <v>4050</v>
      </c>
      <c r="J205" s="2286">
        <v>4556</v>
      </c>
    </row>
    <row r="206" spans="1:10" s="4722" customFormat="1" ht="13.5">
      <c r="A206" s="2287">
        <v>10150</v>
      </c>
      <c r="B206" s="2286">
        <v>10200</v>
      </c>
      <c r="C206" s="2287">
        <v>390</v>
      </c>
      <c r="D206" s="2287">
        <v>3461</v>
      </c>
      <c r="E206" s="2287">
        <v>4070</v>
      </c>
      <c r="F206" s="2286">
        <v>4579</v>
      </c>
      <c r="G206" s="2287">
        <v>519</v>
      </c>
      <c r="H206" s="2287">
        <v>3461</v>
      </c>
      <c r="I206" s="2287">
        <v>4070</v>
      </c>
      <c r="J206" s="2286">
        <v>4579</v>
      </c>
    </row>
    <row r="207" spans="1:10" s="4722" customFormat="1" ht="13.5">
      <c r="A207" s="2287">
        <v>10200</v>
      </c>
      <c r="B207" s="2286">
        <v>10250</v>
      </c>
      <c r="C207" s="2287">
        <v>386</v>
      </c>
      <c r="D207" s="2287">
        <v>3461</v>
      </c>
      <c r="E207" s="2287">
        <v>4090</v>
      </c>
      <c r="F207" s="2286">
        <v>4601</v>
      </c>
      <c r="G207" s="2287">
        <v>519</v>
      </c>
      <c r="H207" s="2287">
        <v>3461</v>
      </c>
      <c r="I207" s="2287">
        <v>4090</v>
      </c>
      <c r="J207" s="2286">
        <v>4601</v>
      </c>
    </row>
    <row r="208" spans="1:10" s="4722" customFormat="1" ht="13.5">
      <c r="A208" s="2287">
        <v>10250</v>
      </c>
      <c r="B208" s="2286">
        <v>10300</v>
      </c>
      <c r="C208" s="2287">
        <v>382</v>
      </c>
      <c r="D208" s="2287">
        <v>3461</v>
      </c>
      <c r="E208" s="2287">
        <v>4110</v>
      </c>
      <c r="F208" s="2286">
        <v>4624</v>
      </c>
      <c r="G208" s="2287">
        <v>519</v>
      </c>
      <c r="H208" s="2287">
        <v>3461</v>
      </c>
      <c r="I208" s="2287">
        <v>4110</v>
      </c>
      <c r="J208" s="2286">
        <v>4624</v>
      </c>
    </row>
    <row r="209" spans="1:10" s="4722" customFormat="1" ht="13.5">
      <c r="A209" s="2287">
        <v>10300</v>
      </c>
      <c r="B209" s="2286">
        <v>10350</v>
      </c>
      <c r="C209" s="2287">
        <v>378</v>
      </c>
      <c r="D209" s="2287">
        <v>3461</v>
      </c>
      <c r="E209" s="2287">
        <v>4130</v>
      </c>
      <c r="F209" s="2286">
        <v>4646</v>
      </c>
      <c r="G209" s="2287">
        <v>519</v>
      </c>
      <c r="H209" s="2287">
        <v>3461</v>
      </c>
      <c r="I209" s="2287">
        <v>4130</v>
      </c>
      <c r="J209" s="2286">
        <v>4646</v>
      </c>
    </row>
    <row r="210" spans="1:10" s="4722" customFormat="1" ht="13.5">
      <c r="A210" s="2287">
        <v>10350</v>
      </c>
      <c r="B210" s="2286">
        <v>10400</v>
      </c>
      <c r="C210" s="2287">
        <v>374</v>
      </c>
      <c r="D210" s="2287">
        <v>3461</v>
      </c>
      <c r="E210" s="2287">
        <v>4150</v>
      </c>
      <c r="F210" s="2286">
        <v>4669</v>
      </c>
      <c r="G210" s="2287">
        <v>519</v>
      </c>
      <c r="H210" s="2287">
        <v>3461</v>
      </c>
      <c r="I210" s="2287">
        <v>4150</v>
      </c>
      <c r="J210" s="2286">
        <v>4669</v>
      </c>
    </row>
    <row r="211" spans="1:10" s="4722" customFormat="1" ht="13.5">
      <c r="A211" s="2287">
        <v>10400</v>
      </c>
      <c r="B211" s="2286">
        <v>10450</v>
      </c>
      <c r="C211" s="2287">
        <v>371</v>
      </c>
      <c r="D211" s="2287">
        <v>3461</v>
      </c>
      <c r="E211" s="2287">
        <v>4170</v>
      </c>
      <c r="F211" s="2286">
        <v>4691</v>
      </c>
      <c r="G211" s="2287">
        <v>519</v>
      </c>
      <c r="H211" s="2287">
        <v>3461</v>
      </c>
      <c r="I211" s="2287">
        <v>4170</v>
      </c>
      <c r="J211" s="2286">
        <v>4691</v>
      </c>
    </row>
    <row r="212" spans="1:10" s="4722" customFormat="1" ht="13.5">
      <c r="A212" s="2287">
        <v>10450</v>
      </c>
      <c r="B212" s="2286">
        <v>10500</v>
      </c>
      <c r="C212" s="2287">
        <v>367</v>
      </c>
      <c r="D212" s="2287">
        <v>3461</v>
      </c>
      <c r="E212" s="2287">
        <v>4190</v>
      </c>
      <c r="F212" s="2286">
        <v>4714</v>
      </c>
      <c r="G212" s="2287">
        <v>519</v>
      </c>
      <c r="H212" s="2287">
        <v>3461</v>
      </c>
      <c r="I212" s="2287">
        <v>4190</v>
      </c>
      <c r="J212" s="2286">
        <v>4714</v>
      </c>
    </row>
    <row r="213" spans="1:10" s="4722" customFormat="1" ht="13.5">
      <c r="A213" s="2287">
        <v>10500</v>
      </c>
      <c r="B213" s="2286">
        <v>10550</v>
      </c>
      <c r="C213" s="2287">
        <v>363</v>
      </c>
      <c r="D213" s="2287">
        <v>3461</v>
      </c>
      <c r="E213" s="2287">
        <v>4210</v>
      </c>
      <c r="F213" s="2286">
        <v>4736</v>
      </c>
      <c r="G213" s="2287">
        <v>519</v>
      </c>
      <c r="H213" s="2287">
        <v>3461</v>
      </c>
      <c r="I213" s="2287">
        <v>4210</v>
      </c>
      <c r="J213" s="2286">
        <v>4736</v>
      </c>
    </row>
    <row r="214" spans="1:10" s="4722" customFormat="1" ht="13.5">
      <c r="A214" s="2287">
        <v>10550</v>
      </c>
      <c r="B214" s="2286">
        <v>10600</v>
      </c>
      <c r="C214" s="2287">
        <v>359</v>
      </c>
      <c r="D214" s="2287">
        <v>3461</v>
      </c>
      <c r="E214" s="2287">
        <v>4230</v>
      </c>
      <c r="F214" s="2286">
        <v>4759</v>
      </c>
      <c r="G214" s="2287">
        <v>519</v>
      </c>
      <c r="H214" s="2287">
        <v>3461</v>
      </c>
      <c r="I214" s="2287">
        <v>4230</v>
      </c>
      <c r="J214" s="2286">
        <v>4759</v>
      </c>
    </row>
    <row r="215" spans="1:10" s="4722" customFormat="1" ht="13.5">
      <c r="A215" s="2287">
        <v>10600</v>
      </c>
      <c r="B215" s="2286">
        <v>10650</v>
      </c>
      <c r="C215" s="2287">
        <v>355</v>
      </c>
      <c r="D215" s="2287">
        <v>3461</v>
      </c>
      <c r="E215" s="2287">
        <v>4250</v>
      </c>
      <c r="F215" s="2286">
        <v>4781</v>
      </c>
      <c r="G215" s="2287">
        <v>519</v>
      </c>
      <c r="H215" s="2287">
        <v>3461</v>
      </c>
      <c r="I215" s="2287">
        <v>4250</v>
      </c>
      <c r="J215" s="2286">
        <v>4781</v>
      </c>
    </row>
    <row r="216" spans="1:10" s="4722" customFormat="1" ht="13.5">
      <c r="A216" s="2287">
        <v>10650</v>
      </c>
      <c r="B216" s="2286">
        <v>10700</v>
      </c>
      <c r="C216" s="2287">
        <v>352</v>
      </c>
      <c r="D216" s="2287">
        <v>3461</v>
      </c>
      <c r="E216" s="2287">
        <v>4270</v>
      </c>
      <c r="F216" s="2286">
        <v>4804</v>
      </c>
      <c r="G216" s="2287">
        <v>519</v>
      </c>
      <c r="H216" s="2287">
        <v>3461</v>
      </c>
      <c r="I216" s="2287">
        <v>4270</v>
      </c>
      <c r="J216" s="2286">
        <v>4804</v>
      </c>
    </row>
    <row r="217" spans="1:10" s="4722" customFormat="1" ht="13.5">
      <c r="A217" s="2287">
        <v>10700</v>
      </c>
      <c r="B217" s="2286">
        <v>10750</v>
      </c>
      <c r="C217" s="2287">
        <v>348</v>
      </c>
      <c r="D217" s="2287">
        <v>3461</v>
      </c>
      <c r="E217" s="2287">
        <v>4290</v>
      </c>
      <c r="F217" s="2286">
        <v>4826</v>
      </c>
      <c r="G217" s="2287">
        <v>519</v>
      </c>
      <c r="H217" s="2287">
        <v>3461</v>
      </c>
      <c r="I217" s="2287">
        <v>4290</v>
      </c>
      <c r="J217" s="2286">
        <v>4826</v>
      </c>
    </row>
    <row r="218" spans="1:10" s="4722" customFormat="1" ht="13.5">
      <c r="A218" s="2287">
        <v>10750</v>
      </c>
      <c r="B218" s="2286">
        <v>10800</v>
      </c>
      <c r="C218" s="2287">
        <v>344</v>
      </c>
      <c r="D218" s="2287">
        <v>3461</v>
      </c>
      <c r="E218" s="2287">
        <v>4310</v>
      </c>
      <c r="F218" s="2286">
        <v>4849</v>
      </c>
      <c r="G218" s="2287">
        <v>519</v>
      </c>
      <c r="H218" s="2287">
        <v>3461</v>
      </c>
      <c r="I218" s="2287">
        <v>4310</v>
      </c>
      <c r="J218" s="2286">
        <v>4849</v>
      </c>
    </row>
    <row r="219" spans="1:10" s="4722" customFormat="1" ht="13.5">
      <c r="A219" s="2287">
        <v>10800</v>
      </c>
      <c r="B219" s="2286">
        <v>10850</v>
      </c>
      <c r="C219" s="2287">
        <v>340</v>
      </c>
      <c r="D219" s="2287">
        <v>3461</v>
      </c>
      <c r="E219" s="2287">
        <v>4330</v>
      </c>
      <c r="F219" s="2286">
        <v>4871</v>
      </c>
      <c r="G219" s="2287">
        <v>519</v>
      </c>
      <c r="H219" s="2287">
        <v>3461</v>
      </c>
      <c r="I219" s="2287">
        <v>4330</v>
      </c>
      <c r="J219" s="2286">
        <v>4871</v>
      </c>
    </row>
    <row r="220" spans="1:10" s="4722" customFormat="1" ht="13.5">
      <c r="A220" s="2287">
        <v>10850</v>
      </c>
      <c r="B220" s="2286">
        <v>10900</v>
      </c>
      <c r="C220" s="2287">
        <v>336</v>
      </c>
      <c r="D220" s="2287">
        <v>3461</v>
      </c>
      <c r="E220" s="2287">
        <v>4350</v>
      </c>
      <c r="F220" s="2286">
        <v>4894</v>
      </c>
      <c r="G220" s="2287">
        <v>519</v>
      </c>
      <c r="H220" s="2287">
        <v>3461</v>
      </c>
      <c r="I220" s="2287">
        <v>4350</v>
      </c>
      <c r="J220" s="2286">
        <v>4894</v>
      </c>
    </row>
    <row r="221" spans="1:10" s="4722" customFormat="1" ht="13.5">
      <c r="A221" s="2287">
        <v>10900</v>
      </c>
      <c r="B221" s="2286">
        <v>10950</v>
      </c>
      <c r="C221" s="2287">
        <v>332</v>
      </c>
      <c r="D221" s="2287">
        <v>3461</v>
      </c>
      <c r="E221" s="2287">
        <v>4370</v>
      </c>
      <c r="F221" s="2286">
        <v>4916</v>
      </c>
      <c r="G221" s="2287">
        <v>519</v>
      </c>
      <c r="H221" s="2287">
        <v>3461</v>
      </c>
      <c r="I221" s="2287">
        <v>4370</v>
      </c>
      <c r="J221" s="2286">
        <v>4916</v>
      </c>
    </row>
    <row r="222" spans="1:10" s="4722" customFormat="1" ht="13.5">
      <c r="A222" s="2287">
        <v>10950</v>
      </c>
      <c r="B222" s="2286">
        <v>11000</v>
      </c>
      <c r="C222" s="2287">
        <v>329</v>
      </c>
      <c r="D222" s="2287">
        <v>3461</v>
      </c>
      <c r="E222" s="2287">
        <v>4390</v>
      </c>
      <c r="F222" s="2286">
        <v>4939</v>
      </c>
      <c r="G222" s="2287">
        <v>519</v>
      </c>
      <c r="H222" s="2287">
        <v>3461</v>
      </c>
      <c r="I222" s="2287">
        <v>4390</v>
      </c>
      <c r="J222" s="2286">
        <v>4939</v>
      </c>
    </row>
    <row r="223" spans="1:10" s="4722" customFormat="1" ht="13.5">
      <c r="A223" s="2287">
        <v>11000</v>
      </c>
      <c r="B223" s="2286">
        <v>11050</v>
      </c>
      <c r="C223" s="2287">
        <v>325</v>
      </c>
      <c r="D223" s="2287">
        <v>3461</v>
      </c>
      <c r="E223" s="2287">
        <v>4410</v>
      </c>
      <c r="F223" s="2286">
        <v>4961</v>
      </c>
      <c r="G223" s="2287">
        <v>519</v>
      </c>
      <c r="H223" s="2287">
        <v>3461</v>
      </c>
      <c r="I223" s="2287">
        <v>4410</v>
      </c>
      <c r="J223" s="2286">
        <v>4961</v>
      </c>
    </row>
    <row r="224" spans="1:10" s="4722" customFormat="1" ht="13.5">
      <c r="A224" s="2287">
        <v>11050</v>
      </c>
      <c r="B224" s="2286">
        <v>11100</v>
      </c>
      <c r="C224" s="2287">
        <v>321</v>
      </c>
      <c r="D224" s="2287">
        <v>3461</v>
      </c>
      <c r="E224" s="2287">
        <v>4430</v>
      </c>
      <c r="F224" s="2286">
        <v>4984</v>
      </c>
      <c r="G224" s="2287">
        <v>519</v>
      </c>
      <c r="H224" s="2287">
        <v>3461</v>
      </c>
      <c r="I224" s="2287">
        <v>4430</v>
      </c>
      <c r="J224" s="2286">
        <v>4984</v>
      </c>
    </row>
    <row r="225" spans="1:10" s="4722" customFormat="1" ht="13.5">
      <c r="A225" s="2287">
        <v>11100</v>
      </c>
      <c r="B225" s="2286">
        <v>11150</v>
      </c>
      <c r="C225" s="2287">
        <v>317</v>
      </c>
      <c r="D225" s="2287">
        <v>3461</v>
      </c>
      <c r="E225" s="2287">
        <v>4450</v>
      </c>
      <c r="F225" s="2286">
        <v>5006</v>
      </c>
      <c r="G225" s="2287">
        <v>519</v>
      </c>
      <c r="H225" s="2287">
        <v>3461</v>
      </c>
      <c r="I225" s="2287">
        <v>4450</v>
      </c>
      <c r="J225" s="2286">
        <v>5006</v>
      </c>
    </row>
    <row r="226" spans="1:10" s="4722" customFormat="1" ht="13.5">
      <c r="A226" s="2287">
        <v>11150</v>
      </c>
      <c r="B226" s="2286">
        <v>11200</v>
      </c>
      <c r="C226" s="2287">
        <v>313</v>
      </c>
      <c r="D226" s="2287">
        <v>3461</v>
      </c>
      <c r="E226" s="2287">
        <v>4470</v>
      </c>
      <c r="F226" s="2286">
        <v>5029</v>
      </c>
      <c r="G226" s="2287">
        <v>519</v>
      </c>
      <c r="H226" s="2287">
        <v>3461</v>
      </c>
      <c r="I226" s="2287">
        <v>4470</v>
      </c>
      <c r="J226" s="2286">
        <v>5029</v>
      </c>
    </row>
    <row r="227" spans="1:10" s="4722" customFormat="1" ht="13.5">
      <c r="A227" s="2287">
        <v>11200</v>
      </c>
      <c r="B227" s="2286">
        <v>11250</v>
      </c>
      <c r="C227" s="2287">
        <v>309</v>
      </c>
      <c r="D227" s="2287">
        <v>3461</v>
      </c>
      <c r="E227" s="2287">
        <v>4490</v>
      </c>
      <c r="F227" s="2286">
        <v>5051</v>
      </c>
      <c r="G227" s="2287">
        <v>519</v>
      </c>
      <c r="H227" s="2287">
        <v>3461</v>
      </c>
      <c r="I227" s="2287">
        <v>4490</v>
      </c>
      <c r="J227" s="2286">
        <v>5051</v>
      </c>
    </row>
    <row r="228" spans="1:10" s="4722" customFormat="1" ht="13.5">
      <c r="A228" s="2287">
        <v>11250</v>
      </c>
      <c r="B228" s="2286">
        <v>11300</v>
      </c>
      <c r="C228" s="2287">
        <v>306</v>
      </c>
      <c r="D228" s="2287">
        <v>3461</v>
      </c>
      <c r="E228" s="2287">
        <v>4510</v>
      </c>
      <c r="F228" s="2286">
        <v>5074</v>
      </c>
      <c r="G228" s="2287">
        <v>519</v>
      </c>
      <c r="H228" s="2287">
        <v>3461</v>
      </c>
      <c r="I228" s="2287">
        <v>4510</v>
      </c>
      <c r="J228" s="2286">
        <v>5074</v>
      </c>
    </row>
    <row r="229" spans="1:10" s="4722" customFormat="1" ht="13.5">
      <c r="A229" s="2287">
        <v>11300</v>
      </c>
      <c r="B229" s="2286">
        <v>11350</v>
      </c>
      <c r="C229" s="2287">
        <v>302</v>
      </c>
      <c r="D229" s="2287">
        <v>3461</v>
      </c>
      <c r="E229" s="2287">
        <v>4530</v>
      </c>
      <c r="F229" s="2286">
        <v>5096</v>
      </c>
      <c r="G229" s="2287">
        <v>519</v>
      </c>
      <c r="H229" s="2287">
        <v>3461</v>
      </c>
      <c r="I229" s="2287">
        <v>4530</v>
      </c>
      <c r="J229" s="2286">
        <v>5096</v>
      </c>
    </row>
    <row r="230" spans="1:10" s="4722" customFormat="1" ht="13.5">
      <c r="A230" s="2287">
        <v>11350</v>
      </c>
      <c r="B230" s="2286">
        <v>11400</v>
      </c>
      <c r="C230" s="2287">
        <v>298</v>
      </c>
      <c r="D230" s="2287">
        <v>3461</v>
      </c>
      <c r="E230" s="2287">
        <v>4550</v>
      </c>
      <c r="F230" s="2286">
        <v>5119</v>
      </c>
      <c r="G230" s="2287">
        <v>519</v>
      </c>
      <c r="H230" s="2287">
        <v>3461</v>
      </c>
      <c r="I230" s="2287">
        <v>4550</v>
      </c>
      <c r="J230" s="2286">
        <v>5119</v>
      </c>
    </row>
    <row r="231" spans="1:10" s="4722" customFormat="1" ht="13.5">
      <c r="A231" s="2287">
        <v>11400</v>
      </c>
      <c r="B231" s="2286">
        <v>11450</v>
      </c>
      <c r="C231" s="2287">
        <v>294</v>
      </c>
      <c r="D231" s="2287">
        <v>3461</v>
      </c>
      <c r="E231" s="2287">
        <v>4570</v>
      </c>
      <c r="F231" s="2286">
        <v>5141</v>
      </c>
      <c r="G231" s="2287">
        <v>519</v>
      </c>
      <c r="H231" s="2287">
        <v>3461</v>
      </c>
      <c r="I231" s="2287">
        <v>4570</v>
      </c>
      <c r="J231" s="2286">
        <v>5141</v>
      </c>
    </row>
    <row r="232" spans="1:10" s="4722" customFormat="1" ht="13.5">
      <c r="A232" s="2287">
        <v>11450</v>
      </c>
      <c r="B232" s="2286">
        <v>11500</v>
      </c>
      <c r="C232" s="2287">
        <v>290</v>
      </c>
      <c r="D232" s="2287">
        <v>3461</v>
      </c>
      <c r="E232" s="2287">
        <v>4590</v>
      </c>
      <c r="F232" s="2286">
        <v>5164</v>
      </c>
      <c r="G232" s="2287">
        <v>519</v>
      </c>
      <c r="H232" s="2287">
        <v>3461</v>
      </c>
      <c r="I232" s="2287">
        <v>4590</v>
      </c>
      <c r="J232" s="2286">
        <v>5164</v>
      </c>
    </row>
    <row r="233" spans="1:10" s="4722" customFormat="1" ht="13.5">
      <c r="A233" s="2287">
        <v>11500</v>
      </c>
      <c r="B233" s="2286">
        <v>11550</v>
      </c>
      <c r="C233" s="2287">
        <v>286</v>
      </c>
      <c r="D233" s="2287">
        <v>3461</v>
      </c>
      <c r="E233" s="2287">
        <v>4610</v>
      </c>
      <c r="F233" s="2286">
        <v>5186</v>
      </c>
      <c r="G233" s="2287">
        <v>519</v>
      </c>
      <c r="H233" s="2287">
        <v>3461</v>
      </c>
      <c r="I233" s="2287">
        <v>4610</v>
      </c>
      <c r="J233" s="2286">
        <v>5186</v>
      </c>
    </row>
    <row r="234" spans="1:10" s="4722" customFormat="1" ht="13.5">
      <c r="A234" s="2287">
        <v>11550</v>
      </c>
      <c r="B234" s="2286">
        <v>11600</v>
      </c>
      <c r="C234" s="2287">
        <v>283</v>
      </c>
      <c r="D234" s="2287">
        <v>3461</v>
      </c>
      <c r="E234" s="2287">
        <v>4630</v>
      </c>
      <c r="F234" s="2286">
        <v>5209</v>
      </c>
      <c r="G234" s="2287">
        <v>519</v>
      </c>
      <c r="H234" s="2287">
        <v>3461</v>
      </c>
      <c r="I234" s="2287">
        <v>4630</v>
      </c>
      <c r="J234" s="2286">
        <v>5209</v>
      </c>
    </row>
    <row r="235" spans="1:10" s="4722" customFormat="1" ht="13.5">
      <c r="A235" s="2287">
        <v>11600</v>
      </c>
      <c r="B235" s="2286">
        <v>11650</v>
      </c>
      <c r="C235" s="2287">
        <v>279</v>
      </c>
      <c r="D235" s="2287">
        <v>3461</v>
      </c>
      <c r="E235" s="2287">
        <v>4650</v>
      </c>
      <c r="F235" s="2286">
        <v>5231</v>
      </c>
      <c r="G235" s="2287">
        <v>519</v>
      </c>
      <c r="H235" s="2287">
        <v>3461</v>
      </c>
      <c r="I235" s="2287">
        <v>4650</v>
      </c>
      <c r="J235" s="2286">
        <v>5231</v>
      </c>
    </row>
    <row r="236" spans="1:10" s="4722" customFormat="1" ht="13.5">
      <c r="A236" s="2287">
        <v>11650</v>
      </c>
      <c r="B236" s="2286">
        <v>11700</v>
      </c>
      <c r="C236" s="2287">
        <v>275</v>
      </c>
      <c r="D236" s="2287">
        <v>3461</v>
      </c>
      <c r="E236" s="2287">
        <v>4670</v>
      </c>
      <c r="F236" s="2286">
        <v>5254</v>
      </c>
      <c r="G236" s="2287">
        <v>519</v>
      </c>
      <c r="H236" s="2287">
        <v>3461</v>
      </c>
      <c r="I236" s="2287">
        <v>4670</v>
      </c>
      <c r="J236" s="2286">
        <v>5254</v>
      </c>
    </row>
    <row r="237" spans="1:10" s="4722" customFormat="1" ht="13.5">
      <c r="A237" s="2287">
        <v>11700</v>
      </c>
      <c r="B237" s="2286">
        <v>11750</v>
      </c>
      <c r="C237" s="2287">
        <v>271</v>
      </c>
      <c r="D237" s="2287">
        <v>3461</v>
      </c>
      <c r="E237" s="2287">
        <v>4690</v>
      </c>
      <c r="F237" s="2286">
        <v>5276</v>
      </c>
      <c r="G237" s="2287">
        <v>519</v>
      </c>
      <c r="H237" s="2287">
        <v>3461</v>
      </c>
      <c r="I237" s="2287">
        <v>4690</v>
      </c>
      <c r="J237" s="2286">
        <v>5276</v>
      </c>
    </row>
    <row r="238" spans="1:10" s="4722" customFormat="1" ht="13.5">
      <c r="A238" s="2287">
        <v>11750</v>
      </c>
      <c r="B238" s="2286">
        <v>11800</v>
      </c>
      <c r="C238" s="2287">
        <v>267</v>
      </c>
      <c r="D238" s="2287">
        <v>3461</v>
      </c>
      <c r="E238" s="2287">
        <v>4710</v>
      </c>
      <c r="F238" s="2286">
        <v>5299</v>
      </c>
      <c r="G238" s="2287">
        <v>519</v>
      </c>
      <c r="H238" s="2287">
        <v>3461</v>
      </c>
      <c r="I238" s="2287">
        <v>4710</v>
      </c>
      <c r="J238" s="2286">
        <v>5299</v>
      </c>
    </row>
    <row r="239" spans="1:10" s="4722" customFormat="1" ht="13.5">
      <c r="A239" s="2287">
        <v>11800</v>
      </c>
      <c r="B239" s="2286">
        <v>11850</v>
      </c>
      <c r="C239" s="2287">
        <v>264</v>
      </c>
      <c r="D239" s="2287">
        <v>3461</v>
      </c>
      <c r="E239" s="2287">
        <v>4730</v>
      </c>
      <c r="F239" s="2286">
        <v>5321</v>
      </c>
      <c r="G239" s="2287">
        <v>519</v>
      </c>
      <c r="H239" s="2287">
        <v>3461</v>
      </c>
      <c r="I239" s="2287">
        <v>4730</v>
      </c>
      <c r="J239" s="2286">
        <v>5321</v>
      </c>
    </row>
    <row r="240" spans="1:10" s="4722" customFormat="1" ht="13.5">
      <c r="A240" s="2287">
        <v>11850</v>
      </c>
      <c r="B240" s="2286">
        <v>11900</v>
      </c>
      <c r="C240" s="2287">
        <v>260</v>
      </c>
      <c r="D240" s="2287">
        <v>3461</v>
      </c>
      <c r="E240" s="2287">
        <v>4750</v>
      </c>
      <c r="F240" s="2286">
        <v>5344</v>
      </c>
      <c r="G240" s="2287">
        <v>519</v>
      </c>
      <c r="H240" s="2287">
        <v>3461</v>
      </c>
      <c r="I240" s="2287">
        <v>4750</v>
      </c>
      <c r="J240" s="2286">
        <v>5344</v>
      </c>
    </row>
    <row r="241" spans="1:10" s="4722" customFormat="1" ht="13.5">
      <c r="A241" s="2287">
        <v>11900</v>
      </c>
      <c r="B241" s="2286">
        <v>11950</v>
      </c>
      <c r="C241" s="2287">
        <v>256</v>
      </c>
      <c r="D241" s="2287">
        <v>3461</v>
      </c>
      <c r="E241" s="2287">
        <v>4770</v>
      </c>
      <c r="F241" s="2286">
        <v>5366</v>
      </c>
      <c r="G241" s="2287">
        <v>519</v>
      </c>
      <c r="H241" s="2287">
        <v>3461</v>
      </c>
      <c r="I241" s="2287">
        <v>4770</v>
      </c>
      <c r="J241" s="2286">
        <v>5366</v>
      </c>
    </row>
    <row r="242" spans="1:10" s="4722" customFormat="1" ht="13.5">
      <c r="A242" s="2287">
        <v>11950</v>
      </c>
      <c r="B242" s="2286">
        <v>12000</v>
      </c>
      <c r="C242" s="2287">
        <v>252</v>
      </c>
      <c r="D242" s="2287">
        <v>3461</v>
      </c>
      <c r="E242" s="2287">
        <v>4790</v>
      </c>
      <c r="F242" s="2286">
        <v>5389</v>
      </c>
      <c r="G242" s="2287">
        <v>519</v>
      </c>
      <c r="H242" s="2287">
        <v>3461</v>
      </c>
      <c r="I242" s="2287">
        <v>4790</v>
      </c>
      <c r="J242" s="2286">
        <v>5389</v>
      </c>
    </row>
    <row r="243" spans="1:10" s="4722" customFormat="1" ht="13.5">
      <c r="A243" s="2287">
        <v>12000</v>
      </c>
      <c r="B243" s="2286">
        <v>12050</v>
      </c>
      <c r="C243" s="2287">
        <v>248</v>
      </c>
      <c r="D243" s="2287">
        <v>3461</v>
      </c>
      <c r="E243" s="2287">
        <v>4810</v>
      </c>
      <c r="F243" s="2286">
        <v>5411</v>
      </c>
      <c r="G243" s="2287">
        <v>519</v>
      </c>
      <c r="H243" s="2287">
        <v>3461</v>
      </c>
      <c r="I243" s="2287">
        <v>4810</v>
      </c>
      <c r="J243" s="2286">
        <v>5411</v>
      </c>
    </row>
    <row r="244" spans="1:10" s="4722" customFormat="1" ht="13.5">
      <c r="A244" s="2287">
        <v>12050</v>
      </c>
      <c r="B244" s="2286">
        <v>12100</v>
      </c>
      <c r="C244" s="2287">
        <v>244</v>
      </c>
      <c r="D244" s="2287">
        <v>3461</v>
      </c>
      <c r="E244" s="2287">
        <v>4830</v>
      </c>
      <c r="F244" s="2286">
        <v>5434</v>
      </c>
      <c r="G244" s="2287">
        <v>519</v>
      </c>
      <c r="H244" s="2287">
        <v>3461</v>
      </c>
      <c r="I244" s="2287">
        <v>4830</v>
      </c>
      <c r="J244" s="2286">
        <v>5434</v>
      </c>
    </row>
    <row r="245" spans="1:10" s="4722" customFormat="1" ht="13.5">
      <c r="A245" s="2287">
        <v>12100</v>
      </c>
      <c r="B245" s="2286">
        <v>12150</v>
      </c>
      <c r="C245" s="2287">
        <v>241</v>
      </c>
      <c r="D245" s="2287">
        <v>3461</v>
      </c>
      <c r="E245" s="2287">
        <v>4850</v>
      </c>
      <c r="F245" s="2286">
        <v>5456</v>
      </c>
      <c r="G245" s="2287">
        <v>519</v>
      </c>
      <c r="H245" s="2287">
        <v>3461</v>
      </c>
      <c r="I245" s="2287">
        <v>4850</v>
      </c>
      <c r="J245" s="2286">
        <v>5456</v>
      </c>
    </row>
    <row r="246" spans="1:10" s="4722" customFormat="1" ht="13.5">
      <c r="A246" s="2287">
        <v>12150</v>
      </c>
      <c r="B246" s="2286">
        <v>12200</v>
      </c>
      <c r="C246" s="2287">
        <v>237</v>
      </c>
      <c r="D246" s="2287">
        <v>3461</v>
      </c>
      <c r="E246" s="2287">
        <v>4870</v>
      </c>
      <c r="F246" s="2286">
        <v>5479</v>
      </c>
      <c r="G246" s="2287">
        <v>519</v>
      </c>
      <c r="H246" s="2287">
        <v>3461</v>
      </c>
      <c r="I246" s="2287">
        <v>4870</v>
      </c>
      <c r="J246" s="2286">
        <v>5479</v>
      </c>
    </row>
    <row r="247" spans="1:10" s="4722" customFormat="1" ht="13.5">
      <c r="A247" s="2287">
        <v>12200</v>
      </c>
      <c r="B247" s="2286">
        <v>12250</v>
      </c>
      <c r="C247" s="2287">
        <v>233</v>
      </c>
      <c r="D247" s="2287">
        <v>3461</v>
      </c>
      <c r="E247" s="2287">
        <v>4890</v>
      </c>
      <c r="F247" s="2286">
        <v>5501</v>
      </c>
      <c r="G247" s="2287">
        <v>519</v>
      </c>
      <c r="H247" s="2287">
        <v>3461</v>
      </c>
      <c r="I247" s="2287">
        <v>4890</v>
      </c>
      <c r="J247" s="2286">
        <v>5501</v>
      </c>
    </row>
    <row r="248" spans="1:10" s="4722" customFormat="1" ht="13.5">
      <c r="A248" s="2287">
        <v>12250</v>
      </c>
      <c r="B248" s="2286">
        <v>12300</v>
      </c>
      <c r="C248" s="2287">
        <v>229</v>
      </c>
      <c r="D248" s="2287">
        <v>3461</v>
      </c>
      <c r="E248" s="2287">
        <v>4910</v>
      </c>
      <c r="F248" s="2286">
        <v>5524</v>
      </c>
      <c r="G248" s="2287">
        <v>519</v>
      </c>
      <c r="H248" s="2287">
        <v>3461</v>
      </c>
      <c r="I248" s="2287">
        <v>4910</v>
      </c>
      <c r="J248" s="2286">
        <v>5524</v>
      </c>
    </row>
    <row r="249" spans="1:10" s="4722" customFormat="1" ht="13.5">
      <c r="A249" s="2287">
        <v>12300</v>
      </c>
      <c r="B249" s="2286">
        <v>12350</v>
      </c>
      <c r="C249" s="2287">
        <v>225</v>
      </c>
      <c r="D249" s="2287">
        <v>3461</v>
      </c>
      <c r="E249" s="2287">
        <v>4930</v>
      </c>
      <c r="F249" s="2286">
        <v>5546</v>
      </c>
      <c r="G249" s="2287">
        <v>519</v>
      </c>
      <c r="H249" s="2287">
        <v>3461</v>
      </c>
      <c r="I249" s="2287">
        <v>4930</v>
      </c>
      <c r="J249" s="2286">
        <v>5546</v>
      </c>
    </row>
    <row r="250" spans="1:10" s="4722" customFormat="1" ht="13.5">
      <c r="A250" s="2287">
        <v>12350</v>
      </c>
      <c r="B250" s="2286">
        <v>12400</v>
      </c>
      <c r="C250" s="2287">
        <v>221</v>
      </c>
      <c r="D250" s="2287">
        <v>3461</v>
      </c>
      <c r="E250" s="2287">
        <v>4950</v>
      </c>
      <c r="F250" s="2286">
        <v>5569</v>
      </c>
      <c r="G250" s="2287">
        <v>519</v>
      </c>
      <c r="H250" s="2287">
        <v>3461</v>
      </c>
      <c r="I250" s="2287">
        <v>4950</v>
      </c>
      <c r="J250" s="2286">
        <v>5569</v>
      </c>
    </row>
    <row r="251" spans="1:10" s="4722" customFormat="1" ht="13.5">
      <c r="A251" s="2287">
        <v>12400</v>
      </c>
      <c r="B251" s="2286">
        <v>12450</v>
      </c>
      <c r="C251" s="2287">
        <v>218</v>
      </c>
      <c r="D251" s="2287">
        <v>3461</v>
      </c>
      <c r="E251" s="2287">
        <v>4970</v>
      </c>
      <c r="F251" s="2286">
        <v>5591</v>
      </c>
      <c r="G251" s="2287">
        <v>519</v>
      </c>
      <c r="H251" s="2287">
        <v>3461</v>
      </c>
      <c r="I251" s="2287">
        <v>4970</v>
      </c>
      <c r="J251" s="2286">
        <v>5591</v>
      </c>
    </row>
    <row r="252" spans="1:10" s="4722" customFormat="1" ht="13.5">
      <c r="A252" s="2287">
        <v>12450</v>
      </c>
      <c r="B252" s="2286">
        <v>12500</v>
      </c>
      <c r="C252" s="2287">
        <v>214</v>
      </c>
      <c r="D252" s="2287">
        <v>3461</v>
      </c>
      <c r="E252" s="2287">
        <v>4990</v>
      </c>
      <c r="F252" s="2286">
        <v>5614</v>
      </c>
      <c r="G252" s="2287">
        <v>519</v>
      </c>
      <c r="H252" s="2287">
        <v>3461</v>
      </c>
      <c r="I252" s="2287">
        <v>4990</v>
      </c>
      <c r="J252" s="2286">
        <v>5614</v>
      </c>
    </row>
    <row r="253" spans="1:10" s="4722" customFormat="1" ht="13.5">
      <c r="A253" s="2287">
        <v>12500</v>
      </c>
      <c r="B253" s="2286">
        <v>12550</v>
      </c>
      <c r="C253" s="2287">
        <v>210</v>
      </c>
      <c r="D253" s="2287">
        <v>3461</v>
      </c>
      <c r="E253" s="2287">
        <v>5010</v>
      </c>
      <c r="F253" s="2286">
        <v>5636</v>
      </c>
      <c r="G253" s="2287">
        <v>519</v>
      </c>
      <c r="H253" s="2287">
        <v>3461</v>
      </c>
      <c r="I253" s="2287">
        <v>5010</v>
      </c>
      <c r="J253" s="2286">
        <v>5636</v>
      </c>
    </row>
    <row r="254" spans="1:10" s="4722" customFormat="1" ht="13.5">
      <c r="A254" s="2287">
        <v>12550</v>
      </c>
      <c r="B254" s="2286">
        <v>12600</v>
      </c>
      <c r="C254" s="2287">
        <v>206</v>
      </c>
      <c r="D254" s="2287">
        <v>3461</v>
      </c>
      <c r="E254" s="2287">
        <v>5030</v>
      </c>
      <c r="F254" s="2286">
        <v>5659</v>
      </c>
      <c r="G254" s="2287">
        <v>519</v>
      </c>
      <c r="H254" s="2287">
        <v>3461</v>
      </c>
      <c r="I254" s="2287">
        <v>5030</v>
      </c>
      <c r="J254" s="2286">
        <v>5659</v>
      </c>
    </row>
    <row r="255" spans="1:10" s="4722" customFormat="1" ht="13.5">
      <c r="A255" s="2287">
        <v>12600</v>
      </c>
      <c r="B255" s="2286">
        <v>12650</v>
      </c>
      <c r="C255" s="2287">
        <v>202</v>
      </c>
      <c r="D255" s="2287">
        <v>3461</v>
      </c>
      <c r="E255" s="2287">
        <v>5050</v>
      </c>
      <c r="F255" s="2286">
        <v>5681</v>
      </c>
      <c r="G255" s="2287">
        <v>519</v>
      </c>
      <c r="H255" s="2287">
        <v>3461</v>
      </c>
      <c r="I255" s="2287">
        <v>5050</v>
      </c>
      <c r="J255" s="2286">
        <v>5681</v>
      </c>
    </row>
    <row r="256" spans="1:10" s="4722" customFormat="1" ht="13.5">
      <c r="A256" s="2287">
        <v>12650</v>
      </c>
      <c r="B256" s="2286">
        <v>12700</v>
      </c>
      <c r="C256" s="2287">
        <v>199</v>
      </c>
      <c r="D256" s="2287">
        <v>3461</v>
      </c>
      <c r="E256" s="2287">
        <v>5070</v>
      </c>
      <c r="F256" s="2286">
        <v>5704</v>
      </c>
      <c r="G256" s="2287">
        <v>519</v>
      </c>
      <c r="H256" s="2287">
        <v>3461</v>
      </c>
      <c r="I256" s="2287">
        <v>5070</v>
      </c>
      <c r="J256" s="2286">
        <v>5704</v>
      </c>
    </row>
    <row r="257" spans="1:10" s="4722" customFormat="1" ht="13.5">
      <c r="A257" s="2287">
        <v>12700</v>
      </c>
      <c r="B257" s="2286">
        <v>12750</v>
      </c>
      <c r="C257" s="2287">
        <v>195</v>
      </c>
      <c r="D257" s="2287">
        <v>3461</v>
      </c>
      <c r="E257" s="2287">
        <v>5090</v>
      </c>
      <c r="F257" s="2286">
        <v>5726</v>
      </c>
      <c r="G257" s="2287">
        <v>519</v>
      </c>
      <c r="H257" s="2287">
        <v>3461</v>
      </c>
      <c r="I257" s="2287">
        <v>5090</v>
      </c>
      <c r="J257" s="2286">
        <v>5726</v>
      </c>
    </row>
    <row r="258" spans="1:10" s="4722" customFormat="1" ht="13.5">
      <c r="A258" s="2287">
        <v>12750</v>
      </c>
      <c r="B258" s="2286">
        <v>12800</v>
      </c>
      <c r="C258" s="2287">
        <v>191</v>
      </c>
      <c r="D258" s="2287">
        <v>3461</v>
      </c>
      <c r="E258" s="2287">
        <v>5110</v>
      </c>
      <c r="F258" s="2286">
        <v>5749</v>
      </c>
      <c r="G258" s="2287">
        <v>519</v>
      </c>
      <c r="H258" s="2287">
        <v>3461</v>
      </c>
      <c r="I258" s="2287">
        <v>5110</v>
      </c>
      <c r="J258" s="2286">
        <v>5749</v>
      </c>
    </row>
    <row r="259" spans="1:10" s="4722" customFormat="1" ht="13.5">
      <c r="A259" s="2287">
        <v>12800</v>
      </c>
      <c r="B259" s="2286">
        <v>12850</v>
      </c>
      <c r="C259" s="2287">
        <v>187</v>
      </c>
      <c r="D259" s="2287">
        <v>3461</v>
      </c>
      <c r="E259" s="2287">
        <v>5130</v>
      </c>
      <c r="F259" s="2286">
        <v>5771</v>
      </c>
      <c r="G259" s="2287">
        <v>519</v>
      </c>
      <c r="H259" s="2287">
        <v>3461</v>
      </c>
      <c r="I259" s="2287">
        <v>5130</v>
      </c>
      <c r="J259" s="2286">
        <v>5771</v>
      </c>
    </row>
    <row r="260" spans="1:10" s="4722" customFormat="1" ht="13.5">
      <c r="A260" s="2287">
        <v>12850</v>
      </c>
      <c r="B260" s="2286">
        <v>12900</v>
      </c>
      <c r="C260" s="2287">
        <v>183</v>
      </c>
      <c r="D260" s="2287">
        <v>3461</v>
      </c>
      <c r="E260" s="2287">
        <v>5150</v>
      </c>
      <c r="F260" s="2286">
        <v>5794</v>
      </c>
      <c r="G260" s="2287">
        <v>519</v>
      </c>
      <c r="H260" s="2287">
        <v>3461</v>
      </c>
      <c r="I260" s="2287">
        <v>5150</v>
      </c>
      <c r="J260" s="2286">
        <v>5794</v>
      </c>
    </row>
    <row r="261" spans="1:10" s="4722" customFormat="1" ht="13.5">
      <c r="A261" s="2287">
        <v>12900</v>
      </c>
      <c r="B261" s="2286">
        <v>12950</v>
      </c>
      <c r="C261" s="2287">
        <v>179</v>
      </c>
      <c r="D261" s="2287">
        <v>3461</v>
      </c>
      <c r="E261" s="2287">
        <v>5170</v>
      </c>
      <c r="F261" s="2286">
        <v>5816</v>
      </c>
      <c r="G261" s="2287">
        <v>519</v>
      </c>
      <c r="H261" s="2287">
        <v>3461</v>
      </c>
      <c r="I261" s="2287">
        <v>5170</v>
      </c>
      <c r="J261" s="2286">
        <v>5816</v>
      </c>
    </row>
    <row r="262" spans="1:10" s="4722" customFormat="1" ht="13.5">
      <c r="A262" s="2287">
        <v>12950</v>
      </c>
      <c r="B262" s="2286">
        <v>13000</v>
      </c>
      <c r="C262" s="2287">
        <v>176</v>
      </c>
      <c r="D262" s="2287">
        <v>3461</v>
      </c>
      <c r="E262" s="2287">
        <v>5190</v>
      </c>
      <c r="F262" s="2286">
        <v>5839</v>
      </c>
      <c r="G262" s="2287">
        <v>519</v>
      </c>
      <c r="H262" s="2287">
        <v>3461</v>
      </c>
      <c r="I262" s="2287">
        <v>5190</v>
      </c>
      <c r="J262" s="2286">
        <v>5839</v>
      </c>
    </row>
    <row r="263" spans="1:10" s="4722" customFormat="1" ht="13.5">
      <c r="A263" s="2287">
        <v>13000</v>
      </c>
      <c r="B263" s="2286">
        <v>13050</v>
      </c>
      <c r="C263" s="2287">
        <v>172</v>
      </c>
      <c r="D263" s="2287">
        <v>3461</v>
      </c>
      <c r="E263" s="2287">
        <v>5210</v>
      </c>
      <c r="F263" s="2286">
        <v>5861</v>
      </c>
      <c r="G263" s="2287">
        <v>519</v>
      </c>
      <c r="H263" s="2287">
        <v>3461</v>
      </c>
      <c r="I263" s="2287">
        <v>5210</v>
      </c>
      <c r="J263" s="2286">
        <v>5861</v>
      </c>
    </row>
    <row r="264" spans="1:10" s="4722" customFormat="1" ht="13.5">
      <c r="A264" s="2287">
        <v>13050</v>
      </c>
      <c r="B264" s="2286">
        <v>13100</v>
      </c>
      <c r="C264" s="2287">
        <v>168</v>
      </c>
      <c r="D264" s="2287">
        <v>3461</v>
      </c>
      <c r="E264" s="2287">
        <v>5230</v>
      </c>
      <c r="F264" s="2286">
        <v>5884</v>
      </c>
      <c r="G264" s="2287">
        <v>519</v>
      </c>
      <c r="H264" s="2287">
        <v>3461</v>
      </c>
      <c r="I264" s="2287">
        <v>5230</v>
      </c>
      <c r="J264" s="2286">
        <v>5884</v>
      </c>
    </row>
    <row r="265" spans="1:10" s="4722" customFormat="1" ht="13.5">
      <c r="A265" s="2287">
        <v>13100</v>
      </c>
      <c r="B265" s="2286">
        <v>13150</v>
      </c>
      <c r="C265" s="2287">
        <v>164</v>
      </c>
      <c r="D265" s="2287">
        <v>3461</v>
      </c>
      <c r="E265" s="2287">
        <v>5250</v>
      </c>
      <c r="F265" s="2286">
        <v>5906</v>
      </c>
      <c r="G265" s="2287">
        <v>519</v>
      </c>
      <c r="H265" s="2287">
        <v>3461</v>
      </c>
      <c r="I265" s="2287">
        <v>5250</v>
      </c>
      <c r="J265" s="2286">
        <v>5906</v>
      </c>
    </row>
    <row r="266" spans="1:10" s="4722" customFormat="1" ht="13.5">
      <c r="A266" s="2287">
        <v>13150</v>
      </c>
      <c r="B266" s="2286">
        <v>13200</v>
      </c>
      <c r="C266" s="2287">
        <v>160</v>
      </c>
      <c r="D266" s="2287">
        <v>3461</v>
      </c>
      <c r="E266" s="2287">
        <v>5270</v>
      </c>
      <c r="F266" s="2286">
        <v>5929</v>
      </c>
      <c r="G266" s="2287">
        <v>519</v>
      </c>
      <c r="H266" s="2287">
        <v>3461</v>
      </c>
      <c r="I266" s="2287">
        <v>5270</v>
      </c>
      <c r="J266" s="2286">
        <v>5929</v>
      </c>
    </row>
    <row r="267" spans="1:10" s="4722" customFormat="1" ht="13.5">
      <c r="A267" s="2287">
        <v>13200</v>
      </c>
      <c r="B267" s="2286">
        <v>13250</v>
      </c>
      <c r="C267" s="2287">
        <v>156</v>
      </c>
      <c r="D267" s="2287">
        <v>3461</v>
      </c>
      <c r="E267" s="2287">
        <v>5290</v>
      </c>
      <c r="F267" s="2286">
        <v>5951</v>
      </c>
      <c r="G267" s="2287">
        <v>519</v>
      </c>
      <c r="H267" s="2287">
        <v>3461</v>
      </c>
      <c r="I267" s="2287">
        <v>5290</v>
      </c>
      <c r="J267" s="2286">
        <v>5951</v>
      </c>
    </row>
    <row r="268" spans="1:10" s="4722" customFormat="1" ht="13.5">
      <c r="A268" s="2287">
        <v>13250</v>
      </c>
      <c r="B268" s="2286">
        <v>13300</v>
      </c>
      <c r="C268" s="2287">
        <v>153</v>
      </c>
      <c r="D268" s="2287">
        <v>3461</v>
      </c>
      <c r="E268" s="2287">
        <v>5310</v>
      </c>
      <c r="F268" s="2286">
        <v>5974</v>
      </c>
      <c r="G268" s="2287">
        <v>519</v>
      </c>
      <c r="H268" s="2287">
        <v>3461</v>
      </c>
      <c r="I268" s="2287">
        <v>5310</v>
      </c>
      <c r="J268" s="2286">
        <v>5974</v>
      </c>
    </row>
    <row r="269" spans="1:10" s="4722" customFormat="1" ht="13.5">
      <c r="A269" s="2287">
        <v>13300</v>
      </c>
      <c r="B269" s="2286">
        <v>13350</v>
      </c>
      <c r="C269" s="2287">
        <v>149</v>
      </c>
      <c r="D269" s="2287">
        <v>3461</v>
      </c>
      <c r="E269" s="2287">
        <v>5330</v>
      </c>
      <c r="F269" s="2286">
        <v>5996</v>
      </c>
      <c r="G269" s="2287">
        <v>519</v>
      </c>
      <c r="H269" s="2287">
        <v>3461</v>
      </c>
      <c r="I269" s="2287">
        <v>5330</v>
      </c>
      <c r="J269" s="2286">
        <v>5996</v>
      </c>
    </row>
    <row r="270" spans="1:10" s="4722" customFormat="1" ht="13.5">
      <c r="A270" s="2287">
        <v>13350</v>
      </c>
      <c r="B270" s="2286">
        <v>13400</v>
      </c>
      <c r="C270" s="2287">
        <v>145</v>
      </c>
      <c r="D270" s="2287">
        <v>3461</v>
      </c>
      <c r="E270" s="2287">
        <v>5350</v>
      </c>
      <c r="F270" s="2286">
        <v>6019</v>
      </c>
      <c r="G270" s="2287">
        <v>519</v>
      </c>
      <c r="H270" s="2287">
        <v>3461</v>
      </c>
      <c r="I270" s="2287">
        <v>5350</v>
      </c>
      <c r="J270" s="2286">
        <v>6019</v>
      </c>
    </row>
    <row r="271" spans="1:10" s="4722" customFormat="1" ht="13.5">
      <c r="A271" s="2287">
        <v>13400</v>
      </c>
      <c r="B271" s="2286">
        <v>13450</v>
      </c>
      <c r="C271" s="2287">
        <v>141</v>
      </c>
      <c r="D271" s="2287">
        <v>3461</v>
      </c>
      <c r="E271" s="2287">
        <v>5370</v>
      </c>
      <c r="F271" s="2286">
        <v>6041</v>
      </c>
      <c r="G271" s="2287">
        <v>519</v>
      </c>
      <c r="H271" s="2287">
        <v>3461</v>
      </c>
      <c r="I271" s="2287">
        <v>5370</v>
      </c>
      <c r="J271" s="2286">
        <v>6041</v>
      </c>
    </row>
    <row r="272" spans="1:10" s="4722" customFormat="1" ht="13.5">
      <c r="A272" s="2287">
        <v>13450</v>
      </c>
      <c r="B272" s="2286">
        <v>13500</v>
      </c>
      <c r="C272" s="2287">
        <v>137</v>
      </c>
      <c r="D272" s="2287">
        <v>3461</v>
      </c>
      <c r="E272" s="2287">
        <v>5390</v>
      </c>
      <c r="F272" s="2286">
        <v>6064</v>
      </c>
      <c r="G272" s="2287">
        <v>519</v>
      </c>
      <c r="H272" s="2287">
        <v>3461</v>
      </c>
      <c r="I272" s="2287">
        <v>5390</v>
      </c>
      <c r="J272" s="2286">
        <v>6064</v>
      </c>
    </row>
    <row r="273" spans="1:10" s="4722" customFormat="1" ht="13.5">
      <c r="A273" s="2287">
        <v>13500</v>
      </c>
      <c r="B273" s="2286">
        <v>13550</v>
      </c>
      <c r="C273" s="2287">
        <v>133</v>
      </c>
      <c r="D273" s="2287">
        <v>3461</v>
      </c>
      <c r="E273" s="2287">
        <v>5410</v>
      </c>
      <c r="F273" s="2286">
        <v>6086</v>
      </c>
      <c r="G273" s="2287">
        <v>519</v>
      </c>
      <c r="H273" s="2287">
        <v>3461</v>
      </c>
      <c r="I273" s="2287">
        <v>5410</v>
      </c>
      <c r="J273" s="2286">
        <v>6086</v>
      </c>
    </row>
    <row r="274" spans="1:10" s="4722" customFormat="1" ht="13.5">
      <c r="A274" s="2287">
        <v>13550</v>
      </c>
      <c r="B274" s="2286">
        <v>13600</v>
      </c>
      <c r="C274" s="2287">
        <v>130</v>
      </c>
      <c r="D274" s="2287">
        <v>3461</v>
      </c>
      <c r="E274" s="2287">
        <v>5430</v>
      </c>
      <c r="F274" s="2286">
        <v>6109</v>
      </c>
      <c r="G274" s="2287">
        <v>519</v>
      </c>
      <c r="H274" s="2287">
        <v>3461</v>
      </c>
      <c r="I274" s="2287">
        <v>5430</v>
      </c>
      <c r="J274" s="2286">
        <v>6109</v>
      </c>
    </row>
    <row r="275" spans="1:10" s="4722" customFormat="1" ht="13.5">
      <c r="A275" s="2287">
        <v>13600</v>
      </c>
      <c r="B275" s="2286">
        <v>13650</v>
      </c>
      <c r="C275" s="2287">
        <v>126</v>
      </c>
      <c r="D275" s="2287">
        <v>3461</v>
      </c>
      <c r="E275" s="2287">
        <v>5450</v>
      </c>
      <c r="F275" s="2286">
        <v>6131</v>
      </c>
      <c r="G275" s="2287">
        <v>519</v>
      </c>
      <c r="H275" s="2287">
        <v>3461</v>
      </c>
      <c r="I275" s="2287">
        <v>5450</v>
      </c>
      <c r="J275" s="2286">
        <v>6131</v>
      </c>
    </row>
    <row r="276" spans="1:10" s="4722" customFormat="1" ht="13.5">
      <c r="A276" s="2287">
        <v>13650</v>
      </c>
      <c r="B276" s="2286">
        <v>13700</v>
      </c>
      <c r="C276" s="2287">
        <v>122</v>
      </c>
      <c r="D276" s="2287">
        <v>3461</v>
      </c>
      <c r="E276" s="2287">
        <v>5470</v>
      </c>
      <c r="F276" s="2286">
        <v>6154</v>
      </c>
      <c r="G276" s="2287">
        <v>519</v>
      </c>
      <c r="H276" s="2287">
        <v>3461</v>
      </c>
      <c r="I276" s="2287">
        <v>5470</v>
      </c>
      <c r="J276" s="2286">
        <v>6154</v>
      </c>
    </row>
    <row r="277" spans="1:10" s="4722" customFormat="1" ht="13.5">
      <c r="A277" s="2287">
        <v>13700</v>
      </c>
      <c r="B277" s="2286">
        <v>13750</v>
      </c>
      <c r="C277" s="2287">
        <v>118</v>
      </c>
      <c r="D277" s="2287">
        <v>3461</v>
      </c>
      <c r="E277" s="2287">
        <v>5490</v>
      </c>
      <c r="F277" s="2286">
        <v>6176</v>
      </c>
      <c r="G277" s="2287">
        <v>519</v>
      </c>
      <c r="H277" s="2287">
        <v>3461</v>
      </c>
      <c r="I277" s="2287">
        <v>5490</v>
      </c>
      <c r="J277" s="2286">
        <v>6176</v>
      </c>
    </row>
    <row r="278" spans="1:10" s="4722" customFormat="1" ht="13.5">
      <c r="A278" s="2287">
        <v>13750</v>
      </c>
      <c r="B278" s="2286">
        <v>13800</v>
      </c>
      <c r="C278" s="2287">
        <v>114</v>
      </c>
      <c r="D278" s="2287">
        <v>3461</v>
      </c>
      <c r="E278" s="2287">
        <v>5510</v>
      </c>
      <c r="F278" s="2286">
        <v>6199</v>
      </c>
      <c r="G278" s="2287">
        <v>519</v>
      </c>
      <c r="H278" s="2287">
        <v>3461</v>
      </c>
      <c r="I278" s="2287">
        <v>5510</v>
      </c>
      <c r="J278" s="2286">
        <v>6199</v>
      </c>
    </row>
    <row r="279" spans="1:10" s="4722" customFormat="1" ht="13.5">
      <c r="A279" s="2287">
        <v>13800</v>
      </c>
      <c r="B279" s="2286">
        <v>13850</v>
      </c>
      <c r="C279" s="2287">
        <v>111</v>
      </c>
      <c r="D279" s="2287">
        <v>3461</v>
      </c>
      <c r="E279" s="2287">
        <v>5530</v>
      </c>
      <c r="F279" s="2286">
        <v>6221</v>
      </c>
      <c r="G279" s="2287">
        <v>519</v>
      </c>
      <c r="H279" s="2287">
        <v>3461</v>
      </c>
      <c r="I279" s="2287">
        <v>5530</v>
      </c>
      <c r="J279" s="2286">
        <v>6221</v>
      </c>
    </row>
    <row r="280" spans="1:10" s="4722" customFormat="1" ht="13.5">
      <c r="A280" s="2287">
        <v>13850</v>
      </c>
      <c r="B280" s="2286">
        <v>13900</v>
      </c>
      <c r="C280" s="2287">
        <v>107</v>
      </c>
      <c r="D280" s="2287">
        <v>3461</v>
      </c>
      <c r="E280" s="2287">
        <v>5550</v>
      </c>
      <c r="F280" s="2286">
        <v>6244</v>
      </c>
      <c r="G280" s="2287">
        <v>519</v>
      </c>
      <c r="H280" s="2287">
        <v>3461</v>
      </c>
      <c r="I280" s="2287">
        <v>5550</v>
      </c>
      <c r="J280" s="2286">
        <v>6244</v>
      </c>
    </row>
    <row r="281" spans="1:10" s="4722" customFormat="1" ht="13.5">
      <c r="A281" s="2287">
        <v>13900</v>
      </c>
      <c r="B281" s="2286">
        <v>13950</v>
      </c>
      <c r="C281" s="2287">
        <v>103</v>
      </c>
      <c r="D281" s="2287">
        <v>3461</v>
      </c>
      <c r="E281" s="2287">
        <v>5570</v>
      </c>
      <c r="F281" s="2286">
        <v>6266</v>
      </c>
      <c r="G281" s="2287">
        <v>519</v>
      </c>
      <c r="H281" s="2287">
        <v>3461</v>
      </c>
      <c r="I281" s="2287">
        <v>5570</v>
      </c>
      <c r="J281" s="2286">
        <v>6266</v>
      </c>
    </row>
    <row r="282" spans="1:10" s="4722" customFormat="1" ht="13.5">
      <c r="A282" s="2287">
        <v>13950</v>
      </c>
      <c r="B282" s="2286">
        <v>14000</v>
      </c>
      <c r="C282" s="2287">
        <v>99</v>
      </c>
      <c r="D282" s="2287">
        <v>3461</v>
      </c>
      <c r="E282" s="2287">
        <v>5590</v>
      </c>
      <c r="F282" s="2286">
        <v>6289</v>
      </c>
      <c r="G282" s="2287">
        <v>519</v>
      </c>
      <c r="H282" s="2287">
        <v>3461</v>
      </c>
      <c r="I282" s="2287">
        <v>5590</v>
      </c>
      <c r="J282" s="2286">
        <v>6289</v>
      </c>
    </row>
    <row r="283" spans="1:10" s="4722" customFormat="1" ht="13.5">
      <c r="A283" s="2287">
        <v>14000</v>
      </c>
      <c r="B283" s="2286">
        <v>14050</v>
      </c>
      <c r="C283" s="2287">
        <v>95</v>
      </c>
      <c r="D283" s="2287">
        <v>3461</v>
      </c>
      <c r="E283" s="2287">
        <v>5610</v>
      </c>
      <c r="F283" s="2286">
        <v>6311</v>
      </c>
      <c r="G283" s="2287">
        <v>519</v>
      </c>
      <c r="H283" s="2287">
        <v>3461</v>
      </c>
      <c r="I283" s="2287">
        <v>5610</v>
      </c>
      <c r="J283" s="2286">
        <v>6311</v>
      </c>
    </row>
    <row r="284" spans="1:10" s="4722" customFormat="1" ht="13.5">
      <c r="A284" s="2287">
        <v>14050</v>
      </c>
      <c r="B284" s="2286">
        <v>14100</v>
      </c>
      <c r="C284" s="2287">
        <v>91</v>
      </c>
      <c r="D284" s="2287">
        <v>3461</v>
      </c>
      <c r="E284" s="2287">
        <v>5630</v>
      </c>
      <c r="F284" s="2286">
        <v>6334</v>
      </c>
      <c r="G284" s="2287">
        <v>519</v>
      </c>
      <c r="H284" s="2287">
        <v>3461</v>
      </c>
      <c r="I284" s="2287">
        <v>5630</v>
      </c>
      <c r="J284" s="2286">
        <v>6334</v>
      </c>
    </row>
    <row r="285" spans="1:10" s="4722" customFormat="1" ht="13.5">
      <c r="A285" s="2287">
        <v>14100</v>
      </c>
      <c r="B285" s="2286">
        <v>14150</v>
      </c>
      <c r="C285" s="2287">
        <v>88</v>
      </c>
      <c r="D285" s="2287">
        <v>3461</v>
      </c>
      <c r="E285" s="2287">
        <v>5650</v>
      </c>
      <c r="F285" s="2286">
        <v>6356</v>
      </c>
      <c r="G285" s="2287">
        <v>519</v>
      </c>
      <c r="H285" s="2287">
        <v>3461</v>
      </c>
      <c r="I285" s="2287">
        <v>5650</v>
      </c>
      <c r="J285" s="2286">
        <v>6356</v>
      </c>
    </row>
    <row r="286" spans="1:10" s="4722" customFormat="1" ht="13.5">
      <c r="A286" s="2287">
        <v>14150</v>
      </c>
      <c r="B286" s="2286">
        <v>14200</v>
      </c>
      <c r="C286" s="2287">
        <v>84</v>
      </c>
      <c r="D286" s="2287">
        <v>3461</v>
      </c>
      <c r="E286" s="2287">
        <v>5670</v>
      </c>
      <c r="F286" s="2286">
        <v>6379</v>
      </c>
      <c r="G286" s="2287">
        <v>519</v>
      </c>
      <c r="H286" s="2287">
        <v>3461</v>
      </c>
      <c r="I286" s="2287">
        <v>5670</v>
      </c>
      <c r="J286" s="2286">
        <v>6379</v>
      </c>
    </row>
    <row r="287" spans="1:10" s="4722" customFormat="1" ht="13.5">
      <c r="A287" s="2287">
        <v>14200</v>
      </c>
      <c r="B287" s="2286">
        <v>14250</v>
      </c>
      <c r="C287" s="2287">
        <v>80</v>
      </c>
      <c r="D287" s="2287">
        <v>3461</v>
      </c>
      <c r="E287" s="2287">
        <v>5690</v>
      </c>
      <c r="F287" s="2286">
        <v>6401</v>
      </c>
      <c r="G287" s="2287">
        <v>514</v>
      </c>
      <c r="H287" s="2287">
        <v>3461</v>
      </c>
      <c r="I287" s="2287">
        <v>5690</v>
      </c>
      <c r="J287" s="2286">
        <v>6401</v>
      </c>
    </row>
    <row r="288" spans="1:10" s="4722" customFormat="1" ht="13.5">
      <c r="A288" s="2287">
        <v>14250</v>
      </c>
      <c r="B288" s="2286">
        <v>14300</v>
      </c>
      <c r="C288" s="2287">
        <v>76</v>
      </c>
      <c r="D288" s="2287">
        <v>3461</v>
      </c>
      <c r="E288" s="2287">
        <v>5716</v>
      </c>
      <c r="F288" s="2286">
        <v>6431</v>
      </c>
      <c r="G288" s="2287">
        <v>511</v>
      </c>
      <c r="H288" s="2287">
        <v>3461</v>
      </c>
      <c r="I288" s="2287">
        <v>5716</v>
      </c>
      <c r="J288" s="2286">
        <v>6431</v>
      </c>
    </row>
    <row r="289" spans="1:10" s="4722" customFormat="1" ht="13.5">
      <c r="A289" s="2287">
        <v>14300</v>
      </c>
      <c r="B289" s="2286">
        <v>14350</v>
      </c>
      <c r="C289" s="2287">
        <v>72</v>
      </c>
      <c r="D289" s="2287">
        <v>3461</v>
      </c>
      <c r="E289" s="2287">
        <v>5716</v>
      </c>
      <c r="F289" s="2286">
        <v>6431</v>
      </c>
      <c r="G289" s="2287">
        <v>507</v>
      </c>
      <c r="H289" s="2287">
        <v>3461</v>
      </c>
      <c r="I289" s="2287">
        <v>5716</v>
      </c>
      <c r="J289" s="2286">
        <v>6431</v>
      </c>
    </row>
    <row r="290" spans="1:10" s="4722" customFormat="1" ht="13.5">
      <c r="A290" s="2287">
        <v>14350</v>
      </c>
      <c r="B290" s="2286">
        <v>14400</v>
      </c>
      <c r="C290" s="2287">
        <v>68</v>
      </c>
      <c r="D290" s="2287">
        <v>3461</v>
      </c>
      <c r="E290" s="2287">
        <v>5716</v>
      </c>
      <c r="F290" s="2286">
        <v>6431</v>
      </c>
      <c r="G290" s="2287">
        <v>503</v>
      </c>
      <c r="H290" s="2287">
        <v>3461</v>
      </c>
      <c r="I290" s="2287">
        <v>5716</v>
      </c>
      <c r="J290" s="2286">
        <v>6431</v>
      </c>
    </row>
    <row r="291" spans="1:10" s="4722" customFormat="1" ht="13.5">
      <c r="A291" s="2287">
        <v>14400</v>
      </c>
      <c r="B291" s="2286">
        <v>14450</v>
      </c>
      <c r="C291" s="2287">
        <v>65</v>
      </c>
      <c r="D291" s="2287">
        <v>3461</v>
      </c>
      <c r="E291" s="2287">
        <v>5716</v>
      </c>
      <c r="F291" s="2286">
        <v>6431</v>
      </c>
      <c r="G291" s="2287">
        <v>499</v>
      </c>
      <c r="H291" s="2287">
        <v>3461</v>
      </c>
      <c r="I291" s="2287">
        <v>5716</v>
      </c>
      <c r="J291" s="2286">
        <v>6431</v>
      </c>
    </row>
    <row r="292" spans="1:10" s="4722" customFormat="1" ht="13.5">
      <c r="A292" s="2287">
        <v>14450</v>
      </c>
      <c r="B292" s="2286">
        <v>14500</v>
      </c>
      <c r="C292" s="2287">
        <v>61</v>
      </c>
      <c r="D292" s="2287">
        <v>3461</v>
      </c>
      <c r="E292" s="2287">
        <v>5716</v>
      </c>
      <c r="F292" s="2286">
        <v>6431</v>
      </c>
      <c r="G292" s="2287">
        <v>495</v>
      </c>
      <c r="H292" s="2287">
        <v>3461</v>
      </c>
      <c r="I292" s="2287">
        <v>5716</v>
      </c>
      <c r="J292" s="2286">
        <v>6431</v>
      </c>
    </row>
    <row r="293" spans="1:10" s="4722" customFormat="1" ht="13.5">
      <c r="A293" s="2287">
        <v>14500</v>
      </c>
      <c r="B293" s="2286">
        <v>14550</v>
      </c>
      <c r="C293" s="2287">
        <v>57</v>
      </c>
      <c r="D293" s="2287">
        <v>3461</v>
      </c>
      <c r="E293" s="2287">
        <v>5716</v>
      </c>
      <c r="F293" s="2286">
        <v>6431</v>
      </c>
      <c r="G293" s="2287">
        <v>492</v>
      </c>
      <c r="H293" s="2287">
        <v>3461</v>
      </c>
      <c r="I293" s="2287">
        <v>5716</v>
      </c>
      <c r="J293" s="2286">
        <v>6431</v>
      </c>
    </row>
    <row r="294" spans="1:10" s="4722" customFormat="1" ht="13.5">
      <c r="A294" s="2287">
        <v>14550</v>
      </c>
      <c r="B294" s="2286">
        <v>14600</v>
      </c>
      <c r="C294" s="2287">
        <v>53</v>
      </c>
      <c r="D294" s="2287">
        <v>3461</v>
      </c>
      <c r="E294" s="2287">
        <v>5716</v>
      </c>
      <c r="F294" s="2286">
        <v>6431</v>
      </c>
      <c r="G294" s="2287">
        <v>488</v>
      </c>
      <c r="H294" s="2287">
        <v>3461</v>
      </c>
      <c r="I294" s="2287">
        <v>5716</v>
      </c>
      <c r="J294" s="2286">
        <v>6431</v>
      </c>
    </row>
    <row r="295" spans="1:10" s="4722" customFormat="1" ht="13.5">
      <c r="A295" s="2287">
        <v>14600</v>
      </c>
      <c r="B295" s="2286">
        <v>14650</v>
      </c>
      <c r="C295" s="2287">
        <v>49</v>
      </c>
      <c r="D295" s="2287">
        <v>3461</v>
      </c>
      <c r="E295" s="2287">
        <v>5716</v>
      </c>
      <c r="F295" s="2286">
        <v>6431</v>
      </c>
      <c r="G295" s="2287">
        <v>484</v>
      </c>
      <c r="H295" s="2287">
        <v>3461</v>
      </c>
      <c r="I295" s="2287">
        <v>5716</v>
      </c>
      <c r="J295" s="2286">
        <v>6431</v>
      </c>
    </row>
    <row r="296" spans="1:10" s="4722" customFormat="1" ht="13.5">
      <c r="A296" s="2287">
        <v>14650</v>
      </c>
      <c r="B296" s="2286">
        <v>14700</v>
      </c>
      <c r="C296" s="2287">
        <v>46</v>
      </c>
      <c r="D296" s="2287">
        <v>3461</v>
      </c>
      <c r="E296" s="2287">
        <v>5716</v>
      </c>
      <c r="F296" s="2286">
        <v>6431</v>
      </c>
      <c r="G296" s="2287">
        <v>480</v>
      </c>
      <c r="H296" s="2287">
        <v>3461</v>
      </c>
      <c r="I296" s="2287">
        <v>5716</v>
      </c>
      <c r="J296" s="2286">
        <v>6431</v>
      </c>
    </row>
    <row r="297" spans="1:10" s="4722" customFormat="1" ht="13.5">
      <c r="A297" s="2287">
        <v>14700</v>
      </c>
      <c r="B297" s="2286">
        <v>14750</v>
      </c>
      <c r="C297" s="2287">
        <v>42</v>
      </c>
      <c r="D297" s="2287">
        <v>3461</v>
      </c>
      <c r="E297" s="2287">
        <v>5716</v>
      </c>
      <c r="F297" s="2286">
        <v>6431</v>
      </c>
      <c r="G297" s="2287">
        <v>476</v>
      </c>
      <c r="H297" s="2287">
        <v>3461</v>
      </c>
      <c r="I297" s="2287">
        <v>5716</v>
      </c>
      <c r="J297" s="2286">
        <v>6431</v>
      </c>
    </row>
    <row r="298" spans="1:10" s="4722" customFormat="1" ht="13.5">
      <c r="A298" s="2287">
        <v>14750</v>
      </c>
      <c r="B298" s="2286">
        <v>14800</v>
      </c>
      <c r="C298" s="2287">
        <v>38</v>
      </c>
      <c r="D298" s="2287">
        <v>3461</v>
      </c>
      <c r="E298" s="2287">
        <v>5716</v>
      </c>
      <c r="F298" s="2286">
        <v>6431</v>
      </c>
      <c r="G298" s="2287">
        <v>472</v>
      </c>
      <c r="H298" s="2287">
        <v>3461</v>
      </c>
      <c r="I298" s="2287">
        <v>5716</v>
      </c>
      <c r="J298" s="2286">
        <v>6431</v>
      </c>
    </row>
    <row r="299" spans="1:10" s="4722" customFormat="1" ht="13.5">
      <c r="A299" s="2287">
        <v>14800</v>
      </c>
      <c r="B299" s="2286">
        <v>14850</v>
      </c>
      <c r="C299" s="2287">
        <v>34</v>
      </c>
      <c r="D299" s="2287">
        <v>3461</v>
      </c>
      <c r="E299" s="2287">
        <v>5716</v>
      </c>
      <c r="F299" s="2286">
        <v>6431</v>
      </c>
      <c r="G299" s="2287">
        <v>469</v>
      </c>
      <c r="H299" s="2287">
        <v>3461</v>
      </c>
      <c r="I299" s="2287">
        <v>5716</v>
      </c>
      <c r="J299" s="2286">
        <v>6431</v>
      </c>
    </row>
    <row r="300" spans="1:10" s="4722" customFormat="1" ht="13.5">
      <c r="A300" s="2287">
        <v>14850</v>
      </c>
      <c r="B300" s="2286">
        <v>14900</v>
      </c>
      <c r="C300" s="2287">
        <v>30</v>
      </c>
      <c r="D300" s="2287">
        <v>3461</v>
      </c>
      <c r="E300" s="2287">
        <v>5716</v>
      </c>
      <c r="F300" s="2286">
        <v>6431</v>
      </c>
      <c r="G300" s="2287">
        <v>465</v>
      </c>
      <c r="H300" s="2287">
        <v>3461</v>
      </c>
      <c r="I300" s="2287">
        <v>5716</v>
      </c>
      <c r="J300" s="2286">
        <v>6431</v>
      </c>
    </row>
    <row r="301" spans="1:10" s="4722" customFormat="1" ht="13.5">
      <c r="A301" s="2287">
        <v>14900</v>
      </c>
      <c r="B301" s="2286">
        <v>14950</v>
      </c>
      <c r="C301" s="2287">
        <v>26</v>
      </c>
      <c r="D301" s="2287">
        <v>3461</v>
      </c>
      <c r="E301" s="2287">
        <v>5716</v>
      </c>
      <c r="F301" s="2286">
        <v>6431</v>
      </c>
      <c r="G301" s="2287">
        <v>461</v>
      </c>
      <c r="H301" s="2287">
        <v>3461</v>
      </c>
      <c r="I301" s="2287">
        <v>5716</v>
      </c>
      <c r="J301" s="2286">
        <v>6431</v>
      </c>
    </row>
    <row r="302" spans="1:10" s="4722" customFormat="1" ht="13.5">
      <c r="A302" s="2287">
        <v>14950</v>
      </c>
      <c r="B302" s="2286">
        <v>15000</v>
      </c>
      <c r="C302" s="2287">
        <v>23</v>
      </c>
      <c r="D302" s="2287">
        <v>3461</v>
      </c>
      <c r="E302" s="2287">
        <v>5716</v>
      </c>
      <c r="F302" s="2286">
        <v>6431</v>
      </c>
      <c r="G302" s="2287">
        <v>457</v>
      </c>
      <c r="H302" s="2287">
        <v>3461</v>
      </c>
      <c r="I302" s="2287">
        <v>5716</v>
      </c>
      <c r="J302" s="2286">
        <v>6431</v>
      </c>
    </row>
    <row r="303" spans="1:10" s="4722" customFormat="1" ht="13.5">
      <c r="A303" s="2287">
        <v>15000</v>
      </c>
      <c r="B303" s="2286">
        <v>15050</v>
      </c>
      <c r="C303" s="2287">
        <v>19</v>
      </c>
      <c r="D303" s="2287">
        <v>3461</v>
      </c>
      <c r="E303" s="2287">
        <v>5716</v>
      </c>
      <c r="F303" s="2286">
        <v>6431</v>
      </c>
      <c r="G303" s="2287">
        <v>453</v>
      </c>
      <c r="H303" s="2287">
        <v>3461</v>
      </c>
      <c r="I303" s="2287">
        <v>5716</v>
      </c>
      <c r="J303" s="2286">
        <v>6431</v>
      </c>
    </row>
    <row r="304" spans="1:10" s="4722" customFormat="1" ht="13.5">
      <c r="A304" s="2287">
        <v>15050</v>
      </c>
      <c r="B304" s="2286">
        <v>15100</v>
      </c>
      <c r="C304" s="2287">
        <v>15</v>
      </c>
      <c r="D304" s="2287">
        <v>3461</v>
      </c>
      <c r="E304" s="2287">
        <v>5716</v>
      </c>
      <c r="F304" s="2286">
        <v>6431</v>
      </c>
      <c r="G304" s="2287">
        <v>449</v>
      </c>
      <c r="H304" s="2287">
        <v>3461</v>
      </c>
      <c r="I304" s="2287">
        <v>5716</v>
      </c>
      <c r="J304" s="2286">
        <v>6431</v>
      </c>
    </row>
    <row r="305" spans="1:10" s="4722" customFormat="1" ht="13.5">
      <c r="A305" s="2287">
        <v>15100</v>
      </c>
      <c r="B305" s="2286">
        <v>15150</v>
      </c>
      <c r="C305" s="2287">
        <v>11</v>
      </c>
      <c r="D305" s="2287">
        <v>3461</v>
      </c>
      <c r="E305" s="2287">
        <v>5716</v>
      </c>
      <c r="F305" s="2286">
        <v>6431</v>
      </c>
      <c r="G305" s="2287">
        <v>446</v>
      </c>
      <c r="H305" s="2287">
        <v>3461</v>
      </c>
      <c r="I305" s="2287">
        <v>5716</v>
      </c>
      <c r="J305" s="2286">
        <v>6431</v>
      </c>
    </row>
    <row r="306" spans="1:10" s="4722" customFormat="1" ht="13.5">
      <c r="A306" s="2287">
        <v>15150</v>
      </c>
      <c r="B306" s="2286">
        <v>15200</v>
      </c>
      <c r="C306" s="2287">
        <v>7</v>
      </c>
      <c r="D306" s="2287">
        <v>3461</v>
      </c>
      <c r="E306" s="2287">
        <v>5716</v>
      </c>
      <c r="F306" s="2286">
        <v>6431</v>
      </c>
      <c r="G306" s="2287">
        <v>442</v>
      </c>
      <c r="H306" s="2287">
        <v>3461</v>
      </c>
      <c r="I306" s="2287">
        <v>5716</v>
      </c>
      <c r="J306" s="2286">
        <v>6431</v>
      </c>
    </row>
    <row r="307" spans="1:10" s="4722" customFormat="1" ht="13.5">
      <c r="A307" s="2287">
        <v>15200</v>
      </c>
      <c r="B307" s="2286">
        <v>15250</v>
      </c>
      <c r="C307" s="2287">
        <v>3</v>
      </c>
      <c r="D307" s="2287">
        <v>3461</v>
      </c>
      <c r="E307" s="2287">
        <v>5716</v>
      </c>
      <c r="F307" s="2286">
        <v>6431</v>
      </c>
      <c r="G307" s="2287">
        <v>438</v>
      </c>
      <c r="H307" s="2287">
        <v>3461</v>
      </c>
      <c r="I307" s="2287">
        <v>5716</v>
      </c>
      <c r="J307" s="2286">
        <v>6431</v>
      </c>
    </row>
    <row r="308" spans="1:10" s="4722" customFormat="1" ht="13.5">
      <c r="A308" s="2287">
        <v>15250</v>
      </c>
      <c r="B308" s="2286">
        <v>15270</v>
      </c>
      <c r="C308" s="2287">
        <v>1</v>
      </c>
      <c r="D308" s="2287">
        <v>3461</v>
      </c>
      <c r="E308" s="2287">
        <v>5716</v>
      </c>
      <c r="F308" s="2286">
        <v>6431</v>
      </c>
      <c r="G308" s="2287">
        <v>434</v>
      </c>
      <c r="H308" s="2287">
        <v>3461</v>
      </c>
      <c r="I308" s="2287">
        <v>5716</v>
      </c>
      <c r="J308" s="2286">
        <v>6431</v>
      </c>
    </row>
    <row r="309" spans="1:10" s="4722" customFormat="1" ht="13.5">
      <c r="A309" s="2287">
        <v>15270</v>
      </c>
      <c r="B309" s="2286">
        <v>15300</v>
      </c>
      <c r="C309" s="2287">
        <v>0</v>
      </c>
      <c r="D309" s="2287">
        <v>3461</v>
      </c>
      <c r="E309" s="2287">
        <v>5716</v>
      </c>
      <c r="F309" s="2286">
        <v>6431</v>
      </c>
      <c r="G309" s="2287">
        <v>434</v>
      </c>
      <c r="H309" s="2287">
        <v>3461</v>
      </c>
      <c r="I309" s="2287">
        <v>5716</v>
      </c>
      <c r="J309" s="2286">
        <v>6431</v>
      </c>
    </row>
    <row r="310" spans="1:10" s="4722" customFormat="1" ht="13.5">
      <c r="A310" s="2287">
        <v>15300</v>
      </c>
      <c r="B310" s="2286">
        <v>15350</v>
      </c>
      <c r="C310" s="2287">
        <v>0</v>
      </c>
      <c r="D310" s="2287">
        <v>3461</v>
      </c>
      <c r="E310" s="2287">
        <v>5716</v>
      </c>
      <c r="F310" s="2286">
        <v>6431</v>
      </c>
      <c r="G310" s="2287">
        <v>430</v>
      </c>
      <c r="H310" s="2287">
        <v>3461</v>
      </c>
      <c r="I310" s="2287">
        <v>5716</v>
      </c>
      <c r="J310" s="2286">
        <v>6431</v>
      </c>
    </row>
    <row r="311" spans="1:10" s="4722" customFormat="1" ht="13.5">
      <c r="A311" s="2287">
        <v>15350</v>
      </c>
      <c r="B311" s="2286">
        <v>15400</v>
      </c>
      <c r="C311" s="2287">
        <v>0</v>
      </c>
      <c r="D311" s="2287">
        <v>3461</v>
      </c>
      <c r="E311" s="2287">
        <v>5716</v>
      </c>
      <c r="F311" s="2286">
        <v>6431</v>
      </c>
      <c r="G311" s="2287">
        <v>426</v>
      </c>
      <c r="H311" s="2287">
        <v>3461</v>
      </c>
      <c r="I311" s="2287">
        <v>5716</v>
      </c>
      <c r="J311" s="2286">
        <v>6431</v>
      </c>
    </row>
    <row r="312" spans="1:10" s="4722" customFormat="1" ht="13.5">
      <c r="A312" s="2287">
        <v>15400</v>
      </c>
      <c r="B312" s="2286">
        <v>15450</v>
      </c>
      <c r="C312" s="2287">
        <v>0</v>
      </c>
      <c r="D312" s="2287">
        <v>3461</v>
      </c>
      <c r="E312" s="2287">
        <v>5716</v>
      </c>
      <c r="F312" s="2286">
        <v>6431</v>
      </c>
      <c r="G312" s="2287">
        <v>423</v>
      </c>
      <c r="H312" s="2287">
        <v>3461</v>
      </c>
      <c r="I312" s="2287">
        <v>5716</v>
      </c>
      <c r="J312" s="2286">
        <v>6431</v>
      </c>
    </row>
    <row r="313" spans="1:10" s="4722" customFormat="1" ht="13.5">
      <c r="A313" s="2287">
        <v>15450</v>
      </c>
      <c r="B313" s="2286">
        <v>15500</v>
      </c>
      <c r="C313" s="2287">
        <v>0</v>
      </c>
      <c r="D313" s="2287">
        <v>3461</v>
      </c>
      <c r="E313" s="2287">
        <v>5716</v>
      </c>
      <c r="F313" s="2286">
        <v>6431</v>
      </c>
      <c r="G313" s="2287">
        <v>419</v>
      </c>
      <c r="H313" s="2287">
        <v>3461</v>
      </c>
      <c r="I313" s="2287">
        <v>5716</v>
      </c>
      <c r="J313" s="2286">
        <v>6431</v>
      </c>
    </row>
    <row r="314" spans="1:10" s="4722" customFormat="1" ht="13.5">
      <c r="A314" s="2287">
        <v>15500</v>
      </c>
      <c r="B314" s="2286">
        <v>15550</v>
      </c>
      <c r="C314" s="2287">
        <v>0</v>
      </c>
      <c r="D314" s="2287">
        <v>3461</v>
      </c>
      <c r="E314" s="2287">
        <v>5716</v>
      </c>
      <c r="F314" s="2286">
        <v>6431</v>
      </c>
      <c r="G314" s="2287">
        <v>415</v>
      </c>
      <c r="H314" s="2287">
        <v>3461</v>
      </c>
      <c r="I314" s="2287">
        <v>5716</v>
      </c>
      <c r="J314" s="2286">
        <v>6431</v>
      </c>
    </row>
    <row r="315" spans="1:10" s="4722" customFormat="1" ht="13.5">
      <c r="A315" s="2287">
        <v>15550</v>
      </c>
      <c r="B315" s="2286">
        <v>15600</v>
      </c>
      <c r="C315" s="2287">
        <v>0</v>
      </c>
      <c r="D315" s="2287">
        <v>3461</v>
      </c>
      <c r="E315" s="2287">
        <v>5716</v>
      </c>
      <c r="F315" s="2286">
        <v>6431</v>
      </c>
      <c r="G315" s="2287">
        <v>411</v>
      </c>
      <c r="H315" s="2287">
        <v>3461</v>
      </c>
      <c r="I315" s="2287">
        <v>5716</v>
      </c>
      <c r="J315" s="2286">
        <v>6431</v>
      </c>
    </row>
    <row r="316" spans="1:10" s="4722" customFormat="1" ht="13.5">
      <c r="A316" s="2287">
        <v>15600</v>
      </c>
      <c r="B316" s="2286">
        <v>15650</v>
      </c>
      <c r="C316" s="2287">
        <v>0</v>
      </c>
      <c r="D316" s="2287">
        <v>3461</v>
      </c>
      <c r="E316" s="2287">
        <v>5716</v>
      </c>
      <c r="F316" s="2286">
        <v>6431</v>
      </c>
      <c r="G316" s="2287">
        <v>407</v>
      </c>
      <c r="H316" s="2287">
        <v>3461</v>
      </c>
      <c r="I316" s="2287">
        <v>5716</v>
      </c>
      <c r="J316" s="2286">
        <v>6431</v>
      </c>
    </row>
    <row r="317" spans="1:10" s="4722" customFormat="1" ht="13.5">
      <c r="A317" s="2287">
        <v>15650</v>
      </c>
      <c r="B317" s="2286">
        <v>15700</v>
      </c>
      <c r="C317" s="2287">
        <v>0</v>
      </c>
      <c r="D317" s="2287">
        <v>3461</v>
      </c>
      <c r="E317" s="2287">
        <v>5716</v>
      </c>
      <c r="F317" s="2286">
        <v>6431</v>
      </c>
      <c r="G317" s="2287">
        <v>404</v>
      </c>
      <c r="H317" s="2287">
        <v>3461</v>
      </c>
      <c r="I317" s="2287">
        <v>5716</v>
      </c>
      <c r="J317" s="2286">
        <v>6431</v>
      </c>
    </row>
    <row r="318" spans="1:10" s="4722" customFormat="1" ht="13.5">
      <c r="A318" s="2287">
        <v>15700</v>
      </c>
      <c r="B318" s="2286">
        <v>15750</v>
      </c>
      <c r="C318" s="2287">
        <v>0</v>
      </c>
      <c r="D318" s="2287">
        <v>3461</v>
      </c>
      <c r="E318" s="2287">
        <v>5716</v>
      </c>
      <c r="F318" s="2286">
        <v>6431</v>
      </c>
      <c r="G318" s="2287">
        <v>400</v>
      </c>
      <c r="H318" s="2287">
        <v>3461</v>
      </c>
      <c r="I318" s="2287">
        <v>5716</v>
      </c>
      <c r="J318" s="2286">
        <v>6431</v>
      </c>
    </row>
    <row r="319" spans="1:10" s="4722" customFormat="1" ht="13.5">
      <c r="A319" s="2287">
        <v>15750</v>
      </c>
      <c r="B319" s="2286">
        <v>15800</v>
      </c>
      <c r="C319" s="2287">
        <v>0</v>
      </c>
      <c r="D319" s="2287">
        <v>3461</v>
      </c>
      <c r="E319" s="2287">
        <v>5716</v>
      </c>
      <c r="F319" s="2286">
        <v>6431</v>
      </c>
      <c r="G319" s="2287">
        <v>396</v>
      </c>
      <c r="H319" s="2287">
        <v>3461</v>
      </c>
      <c r="I319" s="2287">
        <v>5716</v>
      </c>
      <c r="J319" s="2286">
        <v>6431</v>
      </c>
    </row>
    <row r="320" spans="1:10" s="4722" customFormat="1" ht="13.5">
      <c r="A320" s="2287">
        <v>15800</v>
      </c>
      <c r="B320" s="2286">
        <v>15850</v>
      </c>
      <c r="C320" s="2287">
        <v>0</v>
      </c>
      <c r="D320" s="2287">
        <v>3461</v>
      </c>
      <c r="E320" s="2287">
        <v>5716</v>
      </c>
      <c r="F320" s="2286">
        <v>6431</v>
      </c>
      <c r="G320" s="2287">
        <v>392</v>
      </c>
      <c r="H320" s="2287">
        <v>3461</v>
      </c>
      <c r="I320" s="2287">
        <v>5716</v>
      </c>
      <c r="J320" s="2286">
        <v>6431</v>
      </c>
    </row>
    <row r="321" spans="1:10" s="4722" customFormat="1" ht="13.5">
      <c r="A321" s="2287">
        <v>15850</v>
      </c>
      <c r="B321" s="2286">
        <v>15900</v>
      </c>
      <c r="C321" s="2287">
        <v>0</v>
      </c>
      <c r="D321" s="2287">
        <v>3461</v>
      </c>
      <c r="E321" s="2287">
        <v>5716</v>
      </c>
      <c r="F321" s="2286">
        <v>6431</v>
      </c>
      <c r="G321" s="2287">
        <v>388</v>
      </c>
      <c r="H321" s="2287">
        <v>3461</v>
      </c>
      <c r="I321" s="2287">
        <v>5716</v>
      </c>
      <c r="J321" s="2286">
        <v>6431</v>
      </c>
    </row>
    <row r="322" spans="1:10" s="4722" customFormat="1" ht="13.5">
      <c r="A322" s="2287">
        <v>15900</v>
      </c>
      <c r="B322" s="2286">
        <v>15950</v>
      </c>
      <c r="C322" s="2287">
        <v>0</v>
      </c>
      <c r="D322" s="2287">
        <v>3461</v>
      </c>
      <c r="E322" s="2287">
        <v>5716</v>
      </c>
      <c r="F322" s="2286">
        <v>6431</v>
      </c>
      <c r="G322" s="2287">
        <v>384</v>
      </c>
      <c r="H322" s="2287">
        <v>3461</v>
      </c>
      <c r="I322" s="2287">
        <v>5716</v>
      </c>
      <c r="J322" s="2286">
        <v>6431</v>
      </c>
    </row>
    <row r="323" spans="1:10" s="4722" customFormat="1" ht="13.5">
      <c r="A323" s="2287">
        <v>15950</v>
      </c>
      <c r="B323" s="2286">
        <v>16000</v>
      </c>
      <c r="C323" s="2287">
        <v>0</v>
      </c>
      <c r="D323" s="2287">
        <v>3461</v>
      </c>
      <c r="E323" s="2287">
        <v>5716</v>
      </c>
      <c r="F323" s="2286">
        <v>6431</v>
      </c>
      <c r="G323" s="2287">
        <v>381</v>
      </c>
      <c r="H323" s="2287">
        <v>3461</v>
      </c>
      <c r="I323" s="2287">
        <v>5716</v>
      </c>
      <c r="J323" s="2286">
        <v>6431</v>
      </c>
    </row>
    <row r="324" spans="1:10" s="4722" customFormat="1" ht="13.5">
      <c r="A324" s="2287">
        <v>16000</v>
      </c>
      <c r="B324" s="2286">
        <v>16050</v>
      </c>
      <c r="C324" s="2287">
        <v>0</v>
      </c>
      <c r="D324" s="2287">
        <v>3461</v>
      </c>
      <c r="E324" s="2287">
        <v>5716</v>
      </c>
      <c r="F324" s="2286">
        <v>6431</v>
      </c>
      <c r="G324" s="2287">
        <v>377</v>
      </c>
      <c r="H324" s="2287">
        <v>3461</v>
      </c>
      <c r="I324" s="2287">
        <v>5716</v>
      </c>
      <c r="J324" s="2286">
        <v>6431</v>
      </c>
    </row>
    <row r="325" spans="1:10" s="4722" customFormat="1" ht="13.5">
      <c r="A325" s="2287">
        <v>16050</v>
      </c>
      <c r="B325" s="2286">
        <v>16100</v>
      </c>
      <c r="C325" s="2287">
        <v>0</v>
      </c>
      <c r="D325" s="2287">
        <v>3461</v>
      </c>
      <c r="E325" s="2287">
        <v>5716</v>
      </c>
      <c r="F325" s="2286">
        <v>6431</v>
      </c>
      <c r="G325" s="2287">
        <v>373</v>
      </c>
      <c r="H325" s="2287">
        <v>3461</v>
      </c>
      <c r="I325" s="2287">
        <v>5716</v>
      </c>
      <c r="J325" s="2286">
        <v>6431</v>
      </c>
    </row>
    <row r="326" spans="1:10" s="4722" customFormat="1" ht="13.5">
      <c r="A326" s="2287">
        <v>16100</v>
      </c>
      <c r="B326" s="2286">
        <v>16150</v>
      </c>
      <c r="C326" s="2287">
        <v>0</v>
      </c>
      <c r="D326" s="2287">
        <v>3461</v>
      </c>
      <c r="E326" s="2287">
        <v>5716</v>
      </c>
      <c r="F326" s="2286">
        <v>6431</v>
      </c>
      <c r="G326" s="2287">
        <v>369</v>
      </c>
      <c r="H326" s="2287">
        <v>3461</v>
      </c>
      <c r="I326" s="2287">
        <v>5716</v>
      </c>
      <c r="J326" s="2286">
        <v>6431</v>
      </c>
    </row>
    <row r="327" spans="1:10" s="4722" customFormat="1" ht="13.5">
      <c r="A327" s="2287">
        <v>16150</v>
      </c>
      <c r="B327" s="2286">
        <v>16200</v>
      </c>
      <c r="C327" s="2287">
        <v>0</v>
      </c>
      <c r="D327" s="2287">
        <v>3461</v>
      </c>
      <c r="E327" s="2287">
        <v>5716</v>
      </c>
      <c r="F327" s="2286">
        <v>6431</v>
      </c>
      <c r="G327" s="2287">
        <v>365</v>
      </c>
      <c r="H327" s="2287">
        <v>3461</v>
      </c>
      <c r="I327" s="2287">
        <v>5716</v>
      </c>
      <c r="J327" s="2286">
        <v>6431</v>
      </c>
    </row>
    <row r="328" spans="1:10" s="4722" customFormat="1" ht="13.5">
      <c r="A328" s="2287">
        <v>16200</v>
      </c>
      <c r="B328" s="2286">
        <v>16250</v>
      </c>
      <c r="C328" s="2287">
        <v>0</v>
      </c>
      <c r="D328" s="2287">
        <v>3461</v>
      </c>
      <c r="E328" s="2287">
        <v>5716</v>
      </c>
      <c r="F328" s="2286">
        <v>6431</v>
      </c>
      <c r="G328" s="2287">
        <v>361</v>
      </c>
      <c r="H328" s="2287">
        <v>3461</v>
      </c>
      <c r="I328" s="2287">
        <v>5716</v>
      </c>
      <c r="J328" s="2286">
        <v>6431</v>
      </c>
    </row>
    <row r="329" spans="1:10" s="4722" customFormat="1" ht="13.5">
      <c r="A329" s="2287">
        <v>16250</v>
      </c>
      <c r="B329" s="2286">
        <v>16300</v>
      </c>
      <c r="C329" s="2287">
        <v>0</v>
      </c>
      <c r="D329" s="2287">
        <v>3461</v>
      </c>
      <c r="E329" s="2287">
        <v>5716</v>
      </c>
      <c r="F329" s="2286">
        <v>6431</v>
      </c>
      <c r="G329" s="2287">
        <v>358</v>
      </c>
      <c r="H329" s="2287">
        <v>3461</v>
      </c>
      <c r="I329" s="2287">
        <v>5716</v>
      </c>
      <c r="J329" s="2286">
        <v>6431</v>
      </c>
    </row>
    <row r="330" spans="1:10" s="4722" customFormat="1" ht="13.5">
      <c r="A330" s="2287">
        <v>16300</v>
      </c>
      <c r="B330" s="2286">
        <v>16350</v>
      </c>
      <c r="C330" s="2287">
        <v>0</v>
      </c>
      <c r="D330" s="2287">
        <v>3461</v>
      </c>
      <c r="E330" s="2287">
        <v>5716</v>
      </c>
      <c r="F330" s="2286">
        <v>6431</v>
      </c>
      <c r="G330" s="2287">
        <v>354</v>
      </c>
      <c r="H330" s="2287">
        <v>3461</v>
      </c>
      <c r="I330" s="2287">
        <v>5716</v>
      </c>
      <c r="J330" s="2286">
        <v>6431</v>
      </c>
    </row>
    <row r="331" spans="1:10" s="4722" customFormat="1" ht="13.5">
      <c r="A331" s="2287">
        <v>16350</v>
      </c>
      <c r="B331" s="2286">
        <v>16400</v>
      </c>
      <c r="C331" s="2287">
        <v>0</v>
      </c>
      <c r="D331" s="2287">
        <v>3461</v>
      </c>
      <c r="E331" s="2287">
        <v>5716</v>
      </c>
      <c r="F331" s="2286">
        <v>6431</v>
      </c>
      <c r="G331" s="2287">
        <v>350</v>
      </c>
      <c r="H331" s="2287">
        <v>3461</v>
      </c>
      <c r="I331" s="2287">
        <v>5716</v>
      </c>
      <c r="J331" s="2286">
        <v>6431</v>
      </c>
    </row>
    <row r="332" spans="1:10" s="4722" customFormat="1" ht="13.5">
      <c r="A332" s="2287">
        <v>16400</v>
      </c>
      <c r="B332" s="2286">
        <v>16450</v>
      </c>
      <c r="C332" s="2287">
        <v>0</v>
      </c>
      <c r="D332" s="2287">
        <v>3461</v>
      </c>
      <c r="E332" s="2287">
        <v>5716</v>
      </c>
      <c r="F332" s="2286">
        <v>6431</v>
      </c>
      <c r="G332" s="2287">
        <v>346</v>
      </c>
      <c r="H332" s="2287">
        <v>3461</v>
      </c>
      <c r="I332" s="2287">
        <v>5716</v>
      </c>
      <c r="J332" s="2286">
        <v>6431</v>
      </c>
    </row>
    <row r="333" spans="1:10" s="4722" customFormat="1" ht="13.5">
      <c r="A333" s="2287">
        <v>16450</v>
      </c>
      <c r="B333" s="2286">
        <v>16500</v>
      </c>
      <c r="C333" s="2287">
        <v>0</v>
      </c>
      <c r="D333" s="2287">
        <v>3461</v>
      </c>
      <c r="E333" s="2287">
        <v>5716</v>
      </c>
      <c r="F333" s="2286">
        <v>6431</v>
      </c>
      <c r="G333" s="2287">
        <v>342</v>
      </c>
      <c r="H333" s="2287">
        <v>3461</v>
      </c>
      <c r="I333" s="2287">
        <v>5716</v>
      </c>
      <c r="J333" s="2286">
        <v>6431</v>
      </c>
    </row>
    <row r="334" spans="1:10" s="4722" customFormat="1" ht="13.5">
      <c r="A334" s="2287">
        <v>16500</v>
      </c>
      <c r="B334" s="2286">
        <v>16550</v>
      </c>
      <c r="C334" s="2287">
        <v>0</v>
      </c>
      <c r="D334" s="2287">
        <v>3461</v>
      </c>
      <c r="E334" s="2287">
        <v>5716</v>
      </c>
      <c r="F334" s="2286">
        <v>6431</v>
      </c>
      <c r="G334" s="2287">
        <v>339</v>
      </c>
      <c r="H334" s="2287">
        <v>3461</v>
      </c>
      <c r="I334" s="2287">
        <v>5716</v>
      </c>
      <c r="J334" s="2286">
        <v>6431</v>
      </c>
    </row>
    <row r="335" spans="1:10" s="4722" customFormat="1" ht="13.5">
      <c r="A335" s="2287">
        <v>16550</v>
      </c>
      <c r="B335" s="2286">
        <v>16600</v>
      </c>
      <c r="C335" s="2287">
        <v>0</v>
      </c>
      <c r="D335" s="2287">
        <v>3461</v>
      </c>
      <c r="E335" s="2287">
        <v>5716</v>
      </c>
      <c r="F335" s="2286">
        <v>6431</v>
      </c>
      <c r="G335" s="2287">
        <v>335</v>
      </c>
      <c r="H335" s="2287">
        <v>3461</v>
      </c>
      <c r="I335" s="2287">
        <v>5716</v>
      </c>
      <c r="J335" s="2286">
        <v>6431</v>
      </c>
    </row>
    <row r="336" spans="1:10" s="4722" customFormat="1" ht="13.5">
      <c r="A336" s="2287">
        <v>16600</v>
      </c>
      <c r="B336" s="2286">
        <v>16650</v>
      </c>
      <c r="C336" s="2287">
        <v>0</v>
      </c>
      <c r="D336" s="2287">
        <v>3461</v>
      </c>
      <c r="E336" s="2287">
        <v>5716</v>
      </c>
      <c r="F336" s="2286">
        <v>6431</v>
      </c>
      <c r="G336" s="2287">
        <v>331</v>
      </c>
      <c r="H336" s="2287">
        <v>3461</v>
      </c>
      <c r="I336" s="2287">
        <v>5716</v>
      </c>
      <c r="J336" s="2286">
        <v>6431</v>
      </c>
    </row>
    <row r="337" spans="1:10" s="4722" customFormat="1" ht="13.5">
      <c r="A337" s="2287">
        <v>16650</v>
      </c>
      <c r="B337" s="2286">
        <v>16700</v>
      </c>
      <c r="C337" s="2287">
        <v>0</v>
      </c>
      <c r="D337" s="2287">
        <v>3461</v>
      </c>
      <c r="E337" s="2287">
        <v>5716</v>
      </c>
      <c r="F337" s="2286">
        <v>6431</v>
      </c>
      <c r="G337" s="2287">
        <v>327</v>
      </c>
      <c r="H337" s="2287">
        <v>3461</v>
      </c>
      <c r="I337" s="2287">
        <v>5716</v>
      </c>
      <c r="J337" s="2286">
        <v>6431</v>
      </c>
    </row>
    <row r="338" spans="1:10" s="4722" customFormat="1" ht="13.5">
      <c r="A338" s="2287">
        <v>16700</v>
      </c>
      <c r="B338" s="2286">
        <v>16750</v>
      </c>
      <c r="C338" s="2287">
        <v>0</v>
      </c>
      <c r="D338" s="2287">
        <v>3461</v>
      </c>
      <c r="E338" s="2287">
        <v>5716</v>
      </c>
      <c r="F338" s="2286">
        <v>6431</v>
      </c>
      <c r="G338" s="2287">
        <v>323</v>
      </c>
      <c r="H338" s="2287">
        <v>3461</v>
      </c>
      <c r="I338" s="2287">
        <v>5716</v>
      </c>
      <c r="J338" s="2286">
        <v>6431</v>
      </c>
    </row>
    <row r="339" spans="1:10" s="4722" customFormat="1" ht="13.5">
      <c r="A339" s="2287">
        <v>16750</v>
      </c>
      <c r="B339" s="2286">
        <v>16800</v>
      </c>
      <c r="C339" s="2287">
        <v>0</v>
      </c>
      <c r="D339" s="2287">
        <v>3461</v>
      </c>
      <c r="E339" s="2287">
        <v>5716</v>
      </c>
      <c r="F339" s="2286">
        <v>6431</v>
      </c>
      <c r="G339" s="2287">
        <v>319</v>
      </c>
      <c r="H339" s="2287">
        <v>3461</v>
      </c>
      <c r="I339" s="2287">
        <v>5716</v>
      </c>
      <c r="J339" s="2286">
        <v>6431</v>
      </c>
    </row>
    <row r="340" spans="1:10" s="4722" customFormat="1" ht="13.5">
      <c r="A340" s="2287">
        <v>16800</v>
      </c>
      <c r="B340" s="2286">
        <v>16850</v>
      </c>
      <c r="C340" s="2287">
        <v>0</v>
      </c>
      <c r="D340" s="2287">
        <v>3461</v>
      </c>
      <c r="E340" s="2287">
        <v>5716</v>
      </c>
      <c r="F340" s="2286">
        <v>6431</v>
      </c>
      <c r="G340" s="2287">
        <v>316</v>
      </c>
      <c r="H340" s="2287">
        <v>3461</v>
      </c>
      <c r="I340" s="2287">
        <v>5716</v>
      </c>
      <c r="J340" s="2286">
        <v>6431</v>
      </c>
    </row>
    <row r="341" spans="1:10" s="4722" customFormat="1" ht="13.5">
      <c r="A341" s="2287">
        <v>16850</v>
      </c>
      <c r="B341" s="2286">
        <v>16900</v>
      </c>
      <c r="C341" s="2287">
        <v>0</v>
      </c>
      <c r="D341" s="2287">
        <v>3461</v>
      </c>
      <c r="E341" s="2287">
        <v>5716</v>
      </c>
      <c r="F341" s="2286">
        <v>6431</v>
      </c>
      <c r="G341" s="2287">
        <v>312</v>
      </c>
      <c r="H341" s="2287">
        <v>3461</v>
      </c>
      <c r="I341" s="2287">
        <v>5716</v>
      </c>
      <c r="J341" s="2286">
        <v>6431</v>
      </c>
    </row>
    <row r="342" spans="1:10" s="4722" customFormat="1" ht="13.5">
      <c r="A342" s="2287">
        <v>16900</v>
      </c>
      <c r="B342" s="2286">
        <v>16950</v>
      </c>
      <c r="C342" s="2287">
        <v>0</v>
      </c>
      <c r="D342" s="2287">
        <v>3461</v>
      </c>
      <c r="E342" s="2287">
        <v>5716</v>
      </c>
      <c r="F342" s="2286">
        <v>6431</v>
      </c>
      <c r="G342" s="2287">
        <v>308</v>
      </c>
      <c r="H342" s="2287">
        <v>3461</v>
      </c>
      <c r="I342" s="2287">
        <v>5716</v>
      </c>
      <c r="J342" s="2286">
        <v>6431</v>
      </c>
    </row>
    <row r="343" spans="1:10" s="4722" customFormat="1" ht="13.5">
      <c r="A343" s="2287">
        <v>16950</v>
      </c>
      <c r="B343" s="2286">
        <v>17000</v>
      </c>
      <c r="C343" s="2287">
        <v>0</v>
      </c>
      <c r="D343" s="2287">
        <v>3461</v>
      </c>
      <c r="E343" s="2287">
        <v>5716</v>
      </c>
      <c r="F343" s="2286">
        <v>6431</v>
      </c>
      <c r="G343" s="2287">
        <v>304</v>
      </c>
      <c r="H343" s="2287">
        <v>3461</v>
      </c>
      <c r="I343" s="2287">
        <v>5716</v>
      </c>
      <c r="J343" s="2286">
        <v>6431</v>
      </c>
    </row>
    <row r="344" spans="1:10" s="4722" customFormat="1" ht="13.5">
      <c r="A344" s="2287">
        <v>17000</v>
      </c>
      <c r="B344" s="2286">
        <v>17050</v>
      </c>
      <c r="C344" s="2287">
        <v>0</v>
      </c>
      <c r="D344" s="2287">
        <v>3461</v>
      </c>
      <c r="E344" s="2287">
        <v>5716</v>
      </c>
      <c r="F344" s="2286">
        <v>6431</v>
      </c>
      <c r="G344" s="2287">
        <v>300</v>
      </c>
      <c r="H344" s="2287">
        <v>3461</v>
      </c>
      <c r="I344" s="2287">
        <v>5716</v>
      </c>
      <c r="J344" s="2286">
        <v>6431</v>
      </c>
    </row>
    <row r="345" spans="1:10" s="4722" customFormat="1" ht="13.5">
      <c r="A345" s="2287">
        <v>17050</v>
      </c>
      <c r="B345" s="2286">
        <v>17100</v>
      </c>
      <c r="C345" s="2287">
        <v>0</v>
      </c>
      <c r="D345" s="2287">
        <v>3461</v>
      </c>
      <c r="E345" s="2287">
        <v>5716</v>
      </c>
      <c r="F345" s="2286">
        <v>6431</v>
      </c>
      <c r="G345" s="2287">
        <v>296</v>
      </c>
      <c r="H345" s="2287">
        <v>3461</v>
      </c>
      <c r="I345" s="2287">
        <v>5716</v>
      </c>
      <c r="J345" s="2286">
        <v>6431</v>
      </c>
    </row>
    <row r="346" spans="1:10" s="4722" customFormat="1" ht="13.5">
      <c r="A346" s="2287">
        <v>17100</v>
      </c>
      <c r="B346" s="2286">
        <v>17150</v>
      </c>
      <c r="C346" s="2287">
        <v>0</v>
      </c>
      <c r="D346" s="2287">
        <v>3461</v>
      </c>
      <c r="E346" s="2287">
        <v>5716</v>
      </c>
      <c r="F346" s="2286">
        <v>6431</v>
      </c>
      <c r="G346" s="2287">
        <v>293</v>
      </c>
      <c r="H346" s="2287">
        <v>3461</v>
      </c>
      <c r="I346" s="2287">
        <v>5716</v>
      </c>
      <c r="J346" s="2286">
        <v>6431</v>
      </c>
    </row>
    <row r="347" spans="1:10" s="4722" customFormat="1" ht="13.5">
      <c r="A347" s="2287">
        <v>17150</v>
      </c>
      <c r="B347" s="2286">
        <v>17200</v>
      </c>
      <c r="C347" s="2287">
        <v>0</v>
      </c>
      <c r="D347" s="2287">
        <v>3461</v>
      </c>
      <c r="E347" s="2287">
        <v>5716</v>
      </c>
      <c r="F347" s="2286">
        <v>6431</v>
      </c>
      <c r="G347" s="2287">
        <v>289</v>
      </c>
      <c r="H347" s="2287">
        <v>3461</v>
      </c>
      <c r="I347" s="2287">
        <v>5716</v>
      </c>
      <c r="J347" s="2286">
        <v>6431</v>
      </c>
    </row>
    <row r="348" spans="1:10" s="4722" customFormat="1" ht="13.5">
      <c r="A348" s="2287">
        <v>17200</v>
      </c>
      <c r="B348" s="2286">
        <v>17250</v>
      </c>
      <c r="C348" s="2287">
        <v>0</v>
      </c>
      <c r="D348" s="2287">
        <v>3461</v>
      </c>
      <c r="E348" s="2287">
        <v>5716</v>
      </c>
      <c r="F348" s="2286">
        <v>6431</v>
      </c>
      <c r="G348" s="2287">
        <v>285</v>
      </c>
      <c r="H348" s="2287">
        <v>3461</v>
      </c>
      <c r="I348" s="2287">
        <v>5716</v>
      </c>
      <c r="J348" s="2286">
        <v>6431</v>
      </c>
    </row>
    <row r="349" spans="1:10" s="4722" customFormat="1" ht="13.5">
      <c r="A349" s="2287">
        <v>17250</v>
      </c>
      <c r="B349" s="2286">
        <v>17300</v>
      </c>
      <c r="C349" s="2287">
        <v>0</v>
      </c>
      <c r="D349" s="2287">
        <v>3461</v>
      </c>
      <c r="E349" s="2287">
        <v>5716</v>
      </c>
      <c r="F349" s="2286">
        <v>6431</v>
      </c>
      <c r="G349" s="2287">
        <v>281</v>
      </c>
      <c r="H349" s="2287">
        <v>3461</v>
      </c>
      <c r="I349" s="2287">
        <v>5716</v>
      </c>
      <c r="J349" s="2286">
        <v>6431</v>
      </c>
    </row>
    <row r="350" spans="1:10" s="4722" customFormat="1" ht="13.5">
      <c r="A350" s="2287">
        <v>17300</v>
      </c>
      <c r="B350" s="2286">
        <v>17350</v>
      </c>
      <c r="C350" s="2287">
        <v>0</v>
      </c>
      <c r="D350" s="2287">
        <v>3461</v>
      </c>
      <c r="E350" s="2287">
        <v>5716</v>
      </c>
      <c r="F350" s="2286">
        <v>6431</v>
      </c>
      <c r="G350" s="2287">
        <v>277</v>
      </c>
      <c r="H350" s="2287">
        <v>3461</v>
      </c>
      <c r="I350" s="2287">
        <v>5716</v>
      </c>
      <c r="J350" s="2286">
        <v>6431</v>
      </c>
    </row>
    <row r="351" spans="1:10" s="4722" customFormat="1" ht="13.5">
      <c r="A351" s="2287">
        <v>17350</v>
      </c>
      <c r="B351" s="2286">
        <v>17400</v>
      </c>
      <c r="C351" s="2287">
        <v>0</v>
      </c>
      <c r="D351" s="2287">
        <v>3461</v>
      </c>
      <c r="E351" s="2287">
        <v>5716</v>
      </c>
      <c r="F351" s="2286">
        <v>6431</v>
      </c>
      <c r="G351" s="2287">
        <v>273</v>
      </c>
      <c r="H351" s="2287">
        <v>3461</v>
      </c>
      <c r="I351" s="2287">
        <v>5716</v>
      </c>
      <c r="J351" s="2286">
        <v>6431</v>
      </c>
    </row>
    <row r="352" spans="1:10" s="4722" customFormat="1" ht="13.5">
      <c r="A352" s="2287">
        <v>17400</v>
      </c>
      <c r="B352" s="2286">
        <v>17450</v>
      </c>
      <c r="C352" s="2287">
        <v>0</v>
      </c>
      <c r="D352" s="2287">
        <v>3461</v>
      </c>
      <c r="E352" s="2287">
        <v>5716</v>
      </c>
      <c r="F352" s="2286">
        <v>6431</v>
      </c>
      <c r="G352" s="2287">
        <v>270</v>
      </c>
      <c r="H352" s="2287">
        <v>3461</v>
      </c>
      <c r="I352" s="2287">
        <v>5716</v>
      </c>
      <c r="J352" s="2286">
        <v>6431</v>
      </c>
    </row>
    <row r="353" spans="1:10" s="4722" customFormat="1" ht="13.5">
      <c r="A353" s="2287">
        <v>17450</v>
      </c>
      <c r="B353" s="2286">
        <v>17500</v>
      </c>
      <c r="C353" s="2287">
        <v>0</v>
      </c>
      <c r="D353" s="2287">
        <v>3461</v>
      </c>
      <c r="E353" s="2287">
        <v>5716</v>
      </c>
      <c r="F353" s="2286">
        <v>6431</v>
      </c>
      <c r="G353" s="2287">
        <v>266</v>
      </c>
      <c r="H353" s="2287">
        <v>3461</v>
      </c>
      <c r="I353" s="2287">
        <v>5716</v>
      </c>
      <c r="J353" s="2286">
        <v>6431</v>
      </c>
    </row>
    <row r="354" spans="1:10" s="4722" customFormat="1" ht="13.5">
      <c r="A354" s="2287">
        <v>17500</v>
      </c>
      <c r="B354" s="2286">
        <v>17550</v>
      </c>
      <c r="C354" s="2287">
        <v>0</v>
      </c>
      <c r="D354" s="2287">
        <v>3461</v>
      </c>
      <c r="E354" s="2287">
        <v>5716</v>
      </c>
      <c r="F354" s="2286">
        <v>6431</v>
      </c>
      <c r="G354" s="2287">
        <v>262</v>
      </c>
      <c r="H354" s="2287">
        <v>3461</v>
      </c>
      <c r="I354" s="2287">
        <v>5716</v>
      </c>
      <c r="J354" s="2286">
        <v>6431</v>
      </c>
    </row>
    <row r="355" spans="1:10" s="4722" customFormat="1" ht="13.5">
      <c r="A355" s="2287">
        <v>17550</v>
      </c>
      <c r="B355" s="2286">
        <v>17600</v>
      </c>
      <c r="C355" s="2287">
        <v>0</v>
      </c>
      <c r="D355" s="2287">
        <v>3461</v>
      </c>
      <c r="E355" s="2287">
        <v>5716</v>
      </c>
      <c r="F355" s="2286">
        <v>6431</v>
      </c>
      <c r="G355" s="2287">
        <v>258</v>
      </c>
      <c r="H355" s="2287">
        <v>3461</v>
      </c>
      <c r="I355" s="2287">
        <v>5716</v>
      </c>
      <c r="J355" s="2286">
        <v>6431</v>
      </c>
    </row>
    <row r="356" spans="1:10" s="4722" customFormat="1" ht="13.5">
      <c r="A356" s="2287">
        <v>17600</v>
      </c>
      <c r="B356" s="2286">
        <v>17650</v>
      </c>
      <c r="C356" s="2287">
        <v>0</v>
      </c>
      <c r="D356" s="2287">
        <v>3461</v>
      </c>
      <c r="E356" s="2287">
        <v>5716</v>
      </c>
      <c r="F356" s="2286">
        <v>6431</v>
      </c>
      <c r="G356" s="2287">
        <v>254</v>
      </c>
      <c r="H356" s="2287">
        <v>3461</v>
      </c>
      <c r="I356" s="2287">
        <v>5716</v>
      </c>
      <c r="J356" s="2286">
        <v>6431</v>
      </c>
    </row>
    <row r="357" spans="1:10" s="4722" customFormat="1" ht="13.5">
      <c r="A357" s="2287">
        <v>17650</v>
      </c>
      <c r="B357" s="2286">
        <v>17700</v>
      </c>
      <c r="C357" s="2287">
        <v>0</v>
      </c>
      <c r="D357" s="2287">
        <v>3461</v>
      </c>
      <c r="E357" s="2287">
        <v>5716</v>
      </c>
      <c r="F357" s="2286">
        <v>6431</v>
      </c>
      <c r="G357" s="2287">
        <v>251</v>
      </c>
      <c r="H357" s="2287">
        <v>3461</v>
      </c>
      <c r="I357" s="2287">
        <v>5716</v>
      </c>
      <c r="J357" s="2286">
        <v>6431</v>
      </c>
    </row>
    <row r="358" spans="1:10" s="4722" customFormat="1" ht="13.5">
      <c r="A358" s="2287">
        <v>17700</v>
      </c>
      <c r="B358" s="2286">
        <v>17750</v>
      </c>
      <c r="C358" s="2287">
        <v>0</v>
      </c>
      <c r="D358" s="2287">
        <v>3461</v>
      </c>
      <c r="E358" s="2287">
        <v>5716</v>
      </c>
      <c r="F358" s="2286">
        <v>6431</v>
      </c>
      <c r="G358" s="2287">
        <v>247</v>
      </c>
      <c r="H358" s="2287">
        <v>3461</v>
      </c>
      <c r="I358" s="2287">
        <v>5716</v>
      </c>
      <c r="J358" s="2286">
        <v>6431</v>
      </c>
    </row>
    <row r="359" spans="1:10" s="4722" customFormat="1" ht="13.5">
      <c r="A359" s="2287">
        <v>17750</v>
      </c>
      <c r="B359" s="2286">
        <v>17800</v>
      </c>
      <c r="C359" s="2287">
        <v>0</v>
      </c>
      <c r="D359" s="2287">
        <v>3461</v>
      </c>
      <c r="E359" s="2287">
        <v>5716</v>
      </c>
      <c r="F359" s="2286">
        <v>6431</v>
      </c>
      <c r="G359" s="2287">
        <v>243</v>
      </c>
      <c r="H359" s="2287">
        <v>3461</v>
      </c>
      <c r="I359" s="2287">
        <v>5716</v>
      </c>
      <c r="J359" s="2286">
        <v>6431</v>
      </c>
    </row>
    <row r="360" spans="1:10" s="4722" customFormat="1" ht="13.5">
      <c r="A360" s="2287">
        <v>17800</v>
      </c>
      <c r="B360" s="2286">
        <v>17850</v>
      </c>
      <c r="C360" s="2287">
        <v>0</v>
      </c>
      <c r="D360" s="2287">
        <v>3461</v>
      </c>
      <c r="E360" s="2287">
        <v>5716</v>
      </c>
      <c r="F360" s="2286">
        <v>6431</v>
      </c>
      <c r="G360" s="2287">
        <v>239</v>
      </c>
      <c r="H360" s="2287">
        <v>3461</v>
      </c>
      <c r="I360" s="2287">
        <v>5716</v>
      </c>
      <c r="J360" s="2286">
        <v>6431</v>
      </c>
    </row>
    <row r="361" spans="1:10" s="4722" customFormat="1" ht="13.5">
      <c r="A361" s="2287">
        <v>17850</v>
      </c>
      <c r="B361" s="2286">
        <v>17900</v>
      </c>
      <c r="C361" s="2287">
        <v>0</v>
      </c>
      <c r="D361" s="2287">
        <v>3461</v>
      </c>
      <c r="E361" s="2287">
        <v>5716</v>
      </c>
      <c r="F361" s="2286">
        <v>6431</v>
      </c>
      <c r="G361" s="2287">
        <v>235</v>
      </c>
      <c r="H361" s="2287">
        <v>3461</v>
      </c>
      <c r="I361" s="2287">
        <v>5716</v>
      </c>
      <c r="J361" s="2286">
        <v>6431</v>
      </c>
    </row>
    <row r="362" spans="1:10" s="4722" customFormat="1" ht="13.5">
      <c r="A362" s="2287">
        <v>17900</v>
      </c>
      <c r="B362" s="2286">
        <v>17950</v>
      </c>
      <c r="C362" s="2287">
        <v>0</v>
      </c>
      <c r="D362" s="2287">
        <v>3461</v>
      </c>
      <c r="E362" s="2287">
        <v>5716</v>
      </c>
      <c r="F362" s="2286">
        <v>6431</v>
      </c>
      <c r="G362" s="2287">
        <v>231</v>
      </c>
      <c r="H362" s="2287">
        <v>3461</v>
      </c>
      <c r="I362" s="2287">
        <v>5716</v>
      </c>
      <c r="J362" s="2286">
        <v>6431</v>
      </c>
    </row>
    <row r="363" spans="1:10" s="4722" customFormat="1" ht="13.5">
      <c r="A363" s="2287">
        <v>17950</v>
      </c>
      <c r="B363" s="2286">
        <v>18000</v>
      </c>
      <c r="C363" s="2287">
        <v>0</v>
      </c>
      <c r="D363" s="2287">
        <v>3461</v>
      </c>
      <c r="E363" s="2287">
        <v>5716</v>
      </c>
      <c r="F363" s="2286">
        <v>6431</v>
      </c>
      <c r="G363" s="2287">
        <v>228</v>
      </c>
      <c r="H363" s="2287">
        <v>3461</v>
      </c>
      <c r="I363" s="2287">
        <v>5716</v>
      </c>
      <c r="J363" s="2286">
        <v>6431</v>
      </c>
    </row>
    <row r="364" spans="1:10" s="4722" customFormat="1" ht="13.5">
      <c r="A364" s="2287">
        <v>18000</v>
      </c>
      <c r="B364" s="2286">
        <v>18050</v>
      </c>
      <c r="C364" s="2287">
        <v>0</v>
      </c>
      <c r="D364" s="2287">
        <v>3461</v>
      </c>
      <c r="E364" s="2287">
        <v>5716</v>
      </c>
      <c r="F364" s="2286">
        <v>6431</v>
      </c>
      <c r="G364" s="2287">
        <v>224</v>
      </c>
      <c r="H364" s="2287">
        <v>3461</v>
      </c>
      <c r="I364" s="2287">
        <v>5716</v>
      </c>
      <c r="J364" s="2286">
        <v>6431</v>
      </c>
    </row>
    <row r="365" spans="1:10" s="4722" customFormat="1" ht="13.5">
      <c r="A365" s="2287">
        <v>18050</v>
      </c>
      <c r="B365" s="2286">
        <v>18100</v>
      </c>
      <c r="C365" s="2287">
        <v>0</v>
      </c>
      <c r="D365" s="2287">
        <v>3461</v>
      </c>
      <c r="E365" s="2287">
        <v>5716</v>
      </c>
      <c r="F365" s="2286">
        <v>6431</v>
      </c>
      <c r="G365" s="2287">
        <v>220</v>
      </c>
      <c r="H365" s="2287">
        <v>3461</v>
      </c>
      <c r="I365" s="2287">
        <v>5716</v>
      </c>
      <c r="J365" s="2286">
        <v>6431</v>
      </c>
    </row>
    <row r="366" spans="1:10" s="4722" customFormat="1" ht="13.5">
      <c r="A366" s="2287">
        <v>18100</v>
      </c>
      <c r="B366" s="2286">
        <v>18150</v>
      </c>
      <c r="C366" s="2287">
        <v>0</v>
      </c>
      <c r="D366" s="2287">
        <v>3461</v>
      </c>
      <c r="E366" s="2287">
        <v>5716</v>
      </c>
      <c r="F366" s="2286">
        <v>6431</v>
      </c>
      <c r="G366" s="2287">
        <v>216</v>
      </c>
      <c r="H366" s="2287">
        <v>3461</v>
      </c>
      <c r="I366" s="2287">
        <v>5716</v>
      </c>
      <c r="J366" s="2286">
        <v>6431</v>
      </c>
    </row>
    <row r="367" spans="1:10" s="4722" customFormat="1" ht="13.5">
      <c r="A367" s="2287">
        <v>18150</v>
      </c>
      <c r="B367" s="2286">
        <v>18200</v>
      </c>
      <c r="C367" s="2287">
        <v>0</v>
      </c>
      <c r="D367" s="2287">
        <v>3461</v>
      </c>
      <c r="E367" s="2287">
        <v>5716</v>
      </c>
      <c r="F367" s="2286">
        <v>6431</v>
      </c>
      <c r="G367" s="2287">
        <v>212</v>
      </c>
      <c r="H367" s="2287">
        <v>3461</v>
      </c>
      <c r="I367" s="2287">
        <v>5716</v>
      </c>
      <c r="J367" s="2286">
        <v>6431</v>
      </c>
    </row>
    <row r="368" spans="1:10" s="4722" customFormat="1" ht="13.5">
      <c r="A368" s="2287">
        <v>18200</v>
      </c>
      <c r="B368" s="2286">
        <v>18250</v>
      </c>
      <c r="C368" s="2287">
        <v>0</v>
      </c>
      <c r="D368" s="2287">
        <v>3461</v>
      </c>
      <c r="E368" s="2287">
        <v>5716</v>
      </c>
      <c r="F368" s="2286">
        <v>6431</v>
      </c>
      <c r="G368" s="2287">
        <v>208</v>
      </c>
      <c r="H368" s="2287">
        <v>3461</v>
      </c>
      <c r="I368" s="2287">
        <v>5716</v>
      </c>
      <c r="J368" s="2286">
        <v>6431</v>
      </c>
    </row>
    <row r="369" spans="1:10" s="4722" customFormat="1" ht="13.5">
      <c r="A369" s="2287">
        <v>18250</v>
      </c>
      <c r="B369" s="2286">
        <v>18300</v>
      </c>
      <c r="C369" s="2287">
        <v>0</v>
      </c>
      <c r="D369" s="2287">
        <v>3461</v>
      </c>
      <c r="E369" s="2287">
        <v>5716</v>
      </c>
      <c r="F369" s="2286">
        <v>6431</v>
      </c>
      <c r="G369" s="2287">
        <v>205</v>
      </c>
      <c r="H369" s="2287">
        <v>3461</v>
      </c>
      <c r="I369" s="2287">
        <v>5716</v>
      </c>
      <c r="J369" s="2286">
        <v>6431</v>
      </c>
    </row>
    <row r="370" spans="1:10" s="4722" customFormat="1" ht="13.5">
      <c r="A370" s="2287">
        <v>18300</v>
      </c>
      <c r="B370" s="2286">
        <v>18350</v>
      </c>
      <c r="C370" s="2287">
        <v>0</v>
      </c>
      <c r="D370" s="2287">
        <v>3461</v>
      </c>
      <c r="E370" s="2287">
        <v>5716</v>
      </c>
      <c r="F370" s="2286">
        <v>6431</v>
      </c>
      <c r="G370" s="2287">
        <v>201</v>
      </c>
      <c r="H370" s="2287">
        <v>3461</v>
      </c>
      <c r="I370" s="2287">
        <v>5716</v>
      </c>
      <c r="J370" s="2286">
        <v>6431</v>
      </c>
    </row>
    <row r="371" spans="1:10" s="4722" customFormat="1" ht="13.5">
      <c r="A371" s="2287">
        <v>18350</v>
      </c>
      <c r="B371" s="2286">
        <v>18400</v>
      </c>
      <c r="C371" s="2287">
        <v>0</v>
      </c>
      <c r="D371" s="2287">
        <v>3461</v>
      </c>
      <c r="E371" s="2287">
        <v>5716</v>
      </c>
      <c r="F371" s="2286">
        <v>6431</v>
      </c>
      <c r="G371" s="2287">
        <v>197</v>
      </c>
      <c r="H371" s="2287">
        <v>3461</v>
      </c>
      <c r="I371" s="2287">
        <v>5716</v>
      </c>
      <c r="J371" s="2286">
        <v>6431</v>
      </c>
    </row>
    <row r="372" spans="1:10" s="4722" customFormat="1" ht="13.5">
      <c r="A372" s="2287">
        <v>18400</v>
      </c>
      <c r="B372" s="2286">
        <v>18450</v>
      </c>
      <c r="C372" s="2287">
        <v>0</v>
      </c>
      <c r="D372" s="2287">
        <v>3461</v>
      </c>
      <c r="E372" s="2287">
        <v>5716</v>
      </c>
      <c r="F372" s="2286">
        <v>6431</v>
      </c>
      <c r="G372" s="2287">
        <v>193</v>
      </c>
      <c r="H372" s="2287">
        <v>3461</v>
      </c>
      <c r="I372" s="2287">
        <v>5716</v>
      </c>
      <c r="J372" s="2286">
        <v>6431</v>
      </c>
    </row>
    <row r="373" spans="1:10" s="4722" customFormat="1" ht="13.5">
      <c r="A373" s="2287">
        <v>18450</v>
      </c>
      <c r="B373" s="2286">
        <v>18500</v>
      </c>
      <c r="C373" s="2287">
        <v>0</v>
      </c>
      <c r="D373" s="2287">
        <v>3461</v>
      </c>
      <c r="E373" s="2287">
        <v>5716</v>
      </c>
      <c r="F373" s="2286">
        <v>6431</v>
      </c>
      <c r="G373" s="2287">
        <v>189</v>
      </c>
      <c r="H373" s="2287">
        <v>3461</v>
      </c>
      <c r="I373" s="2287">
        <v>5716</v>
      </c>
      <c r="J373" s="2286">
        <v>6431</v>
      </c>
    </row>
    <row r="374" spans="1:10" s="4722" customFormat="1" ht="13.5">
      <c r="A374" s="2287">
        <v>18500</v>
      </c>
      <c r="B374" s="2286">
        <v>18550</v>
      </c>
      <c r="C374" s="2287">
        <v>0</v>
      </c>
      <c r="D374" s="2287">
        <v>3461</v>
      </c>
      <c r="E374" s="2287">
        <v>5716</v>
      </c>
      <c r="F374" s="2286">
        <v>6431</v>
      </c>
      <c r="G374" s="2287">
        <v>186</v>
      </c>
      <c r="H374" s="2287">
        <v>3461</v>
      </c>
      <c r="I374" s="2287">
        <v>5716</v>
      </c>
      <c r="J374" s="2286">
        <v>6431</v>
      </c>
    </row>
    <row r="375" spans="1:10" s="4722" customFormat="1" ht="13.5">
      <c r="A375" s="2287">
        <v>18550</v>
      </c>
      <c r="B375" s="2286">
        <v>18600</v>
      </c>
      <c r="C375" s="2287">
        <v>0</v>
      </c>
      <c r="D375" s="2287">
        <v>3461</v>
      </c>
      <c r="E375" s="2287">
        <v>5716</v>
      </c>
      <c r="F375" s="2286">
        <v>6431</v>
      </c>
      <c r="G375" s="2287">
        <v>182</v>
      </c>
      <c r="H375" s="2287">
        <v>3461</v>
      </c>
      <c r="I375" s="2287">
        <v>5716</v>
      </c>
      <c r="J375" s="2286">
        <v>6431</v>
      </c>
    </row>
    <row r="376" spans="1:10" s="4722" customFormat="1" ht="13.5">
      <c r="A376" s="2287">
        <v>18600</v>
      </c>
      <c r="B376" s="2286">
        <v>18650</v>
      </c>
      <c r="C376" s="2287">
        <v>0</v>
      </c>
      <c r="D376" s="2287">
        <v>3461</v>
      </c>
      <c r="E376" s="2287">
        <v>5716</v>
      </c>
      <c r="F376" s="2286">
        <v>6431</v>
      </c>
      <c r="G376" s="2287">
        <v>178</v>
      </c>
      <c r="H376" s="2287">
        <v>3461</v>
      </c>
      <c r="I376" s="2287">
        <v>5716</v>
      </c>
      <c r="J376" s="2286">
        <v>6431</v>
      </c>
    </row>
    <row r="377" spans="1:10" s="4722" customFormat="1" ht="13.5">
      <c r="A377" s="2287">
        <v>18650</v>
      </c>
      <c r="B377" s="2286">
        <v>18700</v>
      </c>
      <c r="C377" s="2287">
        <v>0</v>
      </c>
      <c r="D377" s="2287">
        <v>3461</v>
      </c>
      <c r="E377" s="2287">
        <v>5716</v>
      </c>
      <c r="F377" s="2286">
        <v>6431</v>
      </c>
      <c r="G377" s="2287">
        <v>174</v>
      </c>
      <c r="H377" s="2287">
        <v>3461</v>
      </c>
      <c r="I377" s="2287">
        <v>5716</v>
      </c>
      <c r="J377" s="2286">
        <v>6431</v>
      </c>
    </row>
    <row r="378" spans="1:10" s="4722" customFormat="1" ht="13.5">
      <c r="A378" s="2287">
        <v>18700</v>
      </c>
      <c r="B378" s="2286">
        <v>18750</v>
      </c>
      <c r="C378" s="2287">
        <v>0</v>
      </c>
      <c r="D378" s="2287">
        <v>3451</v>
      </c>
      <c r="E378" s="2287">
        <v>5702</v>
      </c>
      <c r="F378" s="2286">
        <v>6417</v>
      </c>
      <c r="G378" s="2287">
        <v>170</v>
      </c>
      <c r="H378" s="2287">
        <v>3461</v>
      </c>
      <c r="I378" s="2287">
        <v>5716</v>
      </c>
      <c r="J378" s="2286">
        <v>6431</v>
      </c>
    </row>
    <row r="379" spans="1:10" s="4722" customFormat="1" ht="13.5">
      <c r="A379" s="2287">
        <v>18750</v>
      </c>
      <c r="B379" s="2286">
        <v>18800</v>
      </c>
      <c r="C379" s="2287">
        <v>0</v>
      </c>
      <c r="D379" s="2287">
        <v>3443</v>
      </c>
      <c r="E379" s="2287">
        <v>5692</v>
      </c>
      <c r="F379" s="2286">
        <v>6406</v>
      </c>
      <c r="G379" s="2287">
        <v>166</v>
      </c>
      <c r="H379" s="2287">
        <v>3461</v>
      </c>
      <c r="I379" s="2287">
        <v>5716</v>
      </c>
      <c r="J379" s="2286">
        <v>6431</v>
      </c>
    </row>
    <row r="380" spans="1:10" s="4722" customFormat="1" ht="13.5">
      <c r="A380" s="2287">
        <v>18800</v>
      </c>
      <c r="B380" s="2286">
        <v>18850</v>
      </c>
      <c r="C380" s="2287">
        <v>0</v>
      </c>
      <c r="D380" s="2287">
        <v>3435</v>
      </c>
      <c r="E380" s="2287">
        <v>5681</v>
      </c>
      <c r="F380" s="2286">
        <v>6396</v>
      </c>
      <c r="G380" s="2287">
        <v>163</v>
      </c>
      <c r="H380" s="2287">
        <v>3461</v>
      </c>
      <c r="I380" s="2287">
        <v>5716</v>
      </c>
      <c r="J380" s="2286">
        <v>6431</v>
      </c>
    </row>
    <row r="381" spans="1:10" s="4722" customFormat="1" ht="13.5">
      <c r="A381" s="2287">
        <v>18850</v>
      </c>
      <c r="B381" s="2286">
        <v>18900</v>
      </c>
      <c r="C381" s="2287">
        <v>0</v>
      </c>
      <c r="D381" s="2287">
        <v>3427</v>
      </c>
      <c r="E381" s="2287">
        <v>5671</v>
      </c>
      <c r="F381" s="2286">
        <v>6385</v>
      </c>
      <c r="G381" s="2287">
        <v>159</v>
      </c>
      <c r="H381" s="2287">
        <v>3461</v>
      </c>
      <c r="I381" s="2287">
        <v>5716</v>
      </c>
      <c r="J381" s="2286">
        <v>6431</v>
      </c>
    </row>
    <row r="382" spans="1:10" s="4722" customFormat="1" ht="13.5">
      <c r="A382" s="2287">
        <v>18900</v>
      </c>
      <c r="B382" s="2286">
        <v>18950</v>
      </c>
      <c r="C382" s="2287">
        <v>0</v>
      </c>
      <c r="D382" s="2287">
        <v>3419</v>
      </c>
      <c r="E382" s="2287">
        <v>5660</v>
      </c>
      <c r="F382" s="2286">
        <v>6375</v>
      </c>
      <c r="G382" s="2287">
        <v>155</v>
      </c>
      <c r="H382" s="2287">
        <v>3461</v>
      </c>
      <c r="I382" s="2287">
        <v>5716</v>
      </c>
      <c r="J382" s="2286">
        <v>6431</v>
      </c>
    </row>
    <row r="383" spans="1:10" s="4722" customFormat="1" ht="13.5">
      <c r="A383" s="2287">
        <v>18950</v>
      </c>
      <c r="B383" s="2286">
        <v>19000</v>
      </c>
      <c r="C383" s="2287">
        <v>0</v>
      </c>
      <c r="D383" s="2287">
        <v>3411</v>
      </c>
      <c r="E383" s="2287">
        <v>5650</v>
      </c>
      <c r="F383" s="2286">
        <v>6364</v>
      </c>
      <c r="G383" s="2287">
        <v>151</v>
      </c>
      <c r="H383" s="2287">
        <v>3461</v>
      </c>
      <c r="I383" s="2287">
        <v>5716</v>
      </c>
      <c r="J383" s="2286">
        <v>6431</v>
      </c>
    </row>
    <row r="384" spans="1:10" s="4722" customFormat="1" ht="13.5">
      <c r="A384" s="2287">
        <v>19000</v>
      </c>
      <c r="B384" s="2286">
        <v>19050</v>
      </c>
      <c r="C384" s="2287">
        <v>0</v>
      </c>
      <c r="D384" s="2287">
        <v>3403</v>
      </c>
      <c r="E384" s="2287">
        <v>5639</v>
      </c>
      <c r="F384" s="2286">
        <v>6354</v>
      </c>
      <c r="G384" s="2287">
        <v>147</v>
      </c>
      <c r="H384" s="2287">
        <v>3461</v>
      </c>
      <c r="I384" s="2287">
        <v>5716</v>
      </c>
      <c r="J384" s="2286">
        <v>6431</v>
      </c>
    </row>
    <row r="385" spans="1:10" s="4722" customFormat="1" ht="13.5">
      <c r="A385" s="2287">
        <v>19050</v>
      </c>
      <c r="B385" s="2286">
        <v>19100</v>
      </c>
      <c r="C385" s="2287">
        <v>0</v>
      </c>
      <c r="D385" s="2287">
        <v>3395</v>
      </c>
      <c r="E385" s="2287">
        <v>5629</v>
      </c>
      <c r="F385" s="2286">
        <v>6343</v>
      </c>
      <c r="G385" s="2287">
        <v>143</v>
      </c>
      <c r="H385" s="2287">
        <v>3461</v>
      </c>
      <c r="I385" s="2287">
        <v>5716</v>
      </c>
      <c r="J385" s="2286">
        <v>6431</v>
      </c>
    </row>
    <row r="386" spans="1:10" s="4722" customFormat="1" ht="13.5">
      <c r="A386" s="2287">
        <v>19100</v>
      </c>
      <c r="B386" s="2286">
        <v>19150</v>
      </c>
      <c r="C386" s="2287">
        <v>0</v>
      </c>
      <c r="D386" s="2287">
        <v>3387</v>
      </c>
      <c r="E386" s="2287">
        <v>5618</v>
      </c>
      <c r="F386" s="2286">
        <v>6333</v>
      </c>
      <c r="G386" s="2287">
        <v>140</v>
      </c>
      <c r="H386" s="2287">
        <v>3461</v>
      </c>
      <c r="I386" s="2287">
        <v>5716</v>
      </c>
      <c r="J386" s="2286">
        <v>6431</v>
      </c>
    </row>
    <row r="387" spans="1:10" s="4722" customFormat="1" ht="13.5">
      <c r="A387" s="2287">
        <v>19150</v>
      </c>
      <c r="B387" s="2286">
        <v>19200</v>
      </c>
      <c r="C387" s="2287">
        <v>0</v>
      </c>
      <c r="D387" s="2287">
        <v>3379</v>
      </c>
      <c r="E387" s="2287">
        <v>5608</v>
      </c>
      <c r="F387" s="2286">
        <v>6322</v>
      </c>
      <c r="G387" s="2287">
        <v>136</v>
      </c>
      <c r="H387" s="2287">
        <v>3461</v>
      </c>
      <c r="I387" s="2287">
        <v>5716</v>
      </c>
      <c r="J387" s="2286">
        <v>6431</v>
      </c>
    </row>
    <row r="388" spans="1:10" s="4722" customFormat="1" ht="13.5">
      <c r="A388" s="2287">
        <v>19200</v>
      </c>
      <c r="B388" s="2286">
        <v>19250</v>
      </c>
      <c r="C388" s="2287">
        <v>0</v>
      </c>
      <c r="D388" s="2287">
        <v>3371</v>
      </c>
      <c r="E388" s="2287">
        <v>5597</v>
      </c>
      <c r="F388" s="2286">
        <v>6312</v>
      </c>
      <c r="G388" s="2287">
        <v>132</v>
      </c>
      <c r="H388" s="2287">
        <v>3461</v>
      </c>
      <c r="I388" s="2287">
        <v>5716</v>
      </c>
      <c r="J388" s="2286">
        <v>6431</v>
      </c>
    </row>
    <row r="389" spans="1:10" s="4722" customFormat="1" ht="13.5">
      <c r="A389" s="2287">
        <v>19250</v>
      </c>
      <c r="B389" s="2286">
        <v>19300</v>
      </c>
      <c r="C389" s="2287">
        <v>0</v>
      </c>
      <c r="D389" s="2287">
        <v>3363</v>
      </c>
      <c r="E389" s="2287">
        <v>5586</v>
      </c>
      <c r="F389" s="2286">
        <v>6301</v>
      </c>
      <c r="G389" s="2287">
        <v>128</v>
      </c>
      <c r="H389" s="2287">
        <v>3461</v>
      </c>
      <c r="I389" s="2287">
        <v>5716</v>
      </c>
      <c r="J389" s="2286">
        <v>6431</v>
      </c>
    </row>
    <row r="390" spans="1:10" s="4722" customFormat="1" ht="13.5">
      <c r="A390" s="2287">
        <v>19300</v>
      </c>
      <c r="B390" s="2286">
        <v>19350</v>
      </c>
      <c r="C390" s="2287">
        <v>0</v>
      </c>
      <c r="D390" s="2287">
        <v>3355</v>
      </c>
      <c r="E390" s="2287">
        <v>5576</v>
      </c>
      <c r="F390" s="2286">
        <v>6290</v>
      </c>
      <c r="G390" s="2287">
        <v>124</v>
      </c>
      <c r="H390" s="2287">
        <v>3461</v>
      </c>
      <c r="I390" s="2287">
        <v>5716</v>
      </c>
      <c r="J390" s="2286">
        <v>6431</v>
      </c>
    </row>
    <row r="391" spans="1:10" s="4722" customFormat="1" ht="13.5">
      <c r="A391" s="2287">
        <v>19350</v>
      </c>
      <c r="B391" s="2286">
        <v>19400</v>
      </c>
      <c r="C391" s="2287">
        <v>0</v>
      </c>
      <c r="D391" s="2287">
        <v>3347</v>
      </c>
      <c r="E391" s="2287">
        <v>5565</v>
      </c>
      <c r="F391" s="2286">
        <v>6280</v>
      </c>
      <c r="G391" s="2287">
        <v>120</v>
      </c>
      <c r="H391" s="2287">
        <v>3461</v>
      </c>
      <c r="I391" s="2287">
        <v>5716</v>
      </c>
      <c r="J391" s="2286">
        <v>6431</v>
      </c>
    </row>
    <row r="392" spans="1:10" s="4722" customFormat="1" ht="13.5">
      <c r="A392" s="2287">
        <v>19400</v>
      </c>
      <c r="B392" s="2286">
        <v>19450</v>
      </c>
      <c r="C392" s="2287">
        <v>0</v>
      </c>
      <c r="D392" s="2287">
        <v>3339</v>
      </c>
      <c r="E392" s="2287">
        <v>5555</v>
      </c>
      <c r="F392" s="2286">
        <v>6269</v>
      </c>
      <c r="G392" s="2287">
        <v>117</v>
      </c>
      <c r="H392" s="2287">
        <v>3461</v>
      </c>
      <c r="I392" s="2287">
        <v>5716</v>
      </c>
      <c r="J392" s="2286">
        <v>6431</v>
      </c>
    </row>
    <row r="393" spans="1:10" s="4722" customFormat="1" ht="13.5">
      <c r="A393" s="2287">
        <v>19450</v>
      </c>
      <c r="B393" s="2286">
        <v>19500</v>
      </c>
      <c r="C393" s="2287">
        <v>0</v>
      </c>
      <c r="D393" s="2287">
        <v>3331</v>
      </c>
      <c r="E393" s="2287">
        <v>5544</v>
      </c>
      <c r="F393" s="2286">
        <v>6259</v>
      </c>
      <c r="G393" s="2287">
        <v>113</v>
      </c>
      <c r="H393" s="2287">
        <v>3461</v>
      </c>
      <c r="I393" s="2287">
        <v>5716</v>
      </c>
      <c r="J393" s="2286">
        <v>6431</v>
      </c>
    </row>
    <row r="394" spans="1:10" s="4722" customFormat="1" ht="13.5">
      <c r="A394" s="2287">
        <v>19500</v>
      </c>
      <c r="B394" s="2286">
        <v>19550</v>
      </c>
      <c r="C394" s="2287">
        <v>0</v>
      </c>
      <c r="D394" s="2287">
        <v>3323</v>
      </c>
      <c r="E394" s="2287">
        <v>5534</v>
      </c>
      <c r="F394" s="2286">
        <v>6248</v>
      </c>
      <c r="G394" s="2287">
        <v>109</v>
      </c>
      <c r="H394" s="2287">
        <v>3461</v>
      </c>
      <c r="I394" s="2287">
        <v>5716</v>
      </c>
      <c r="J394" s="2286">
        <v>6431</v>
      </c>
    </row>
    <row r="395" spans="1:10" s="4722" customFormat="1" ht="13.5">
      <c r="A395" s="2287">
        <v>19550</v>
      </c>
      <c r="B395" s="2286">
        <v>19600</v>
      </c>
      <c r="C395" s="2287">
        <v>0</v>
      </c>
      <c r="D395" s="2287">
        <v>3315</v>
      </c>
      <c r="E395" s="2287">
        <v>5523</v>
      </c>
      <c r="F395" s="2286">
        <v>6238</v>
      </c>
      <c r="G395" s="2287">
        <v>105</v>
      </c>
      <c r="H395" s="2287">
        <v>3461</v>
      </c>
      <c r="I395" s="2287">
        <v>5716</v>
      </c>
      <c r="J395" s="2286">
        <v>6431</v>
      </c>
    </row>
    <row r="396" spans="1:10" s="4722" customFormat="1" ht="13.5">
      <c r="A396" s="2287">
        <v>19600</v>
      </c>
      <c r="B396" s="2286">
        <v>19650</v>
      </c>
      <c r="C396" s="2287">
        <v>0</v>
      </c>
      <c r="D396" s="2287">
        <v>3307</v>
      </c>
      <c r="E396" s="2287">
        <v>5513</v>
      </c>
      <c r="F396" s="2286">
        <v>6227</v>
      </c>
      <c r="G396" s="2287">
        <v>101</v>
      </c>
      <c r="H396" s="2287">
        <v>3461</v>
      </c>
      <c r="I396" s="2287">
        <v>5716</v>
      </c>
      <c r="J396" s="2286">
        <v>6431</v>
      </c>
    </row>
    <row r="397" spans="1:10" s="4722" customFormat="1" ht="13.5">
      <c r="A397" s="2287">
        <v>19650</v>
      </c>
      <c r="B397" s="2286">
        <v>19700</v>
      </c>
      <c r="C397" s="2287">
        <v>0</v>
      </c>
      <c r="D397" s="2287">
        <v>3299</v>
      </c>
      <c r="E397" s="2287">
        <v>5502</v>
      </c>
      <c r="F397" s="2286">
        <v>6217</v>
      </c>
      <c r="G397" s="2287">
        <v>98</v>
      </c>
      <c r="H397" s="2287">
        <v>3461</v>
      </c>
      <c r="I397" s="2287">
        <v>5716</v>
      </c>
      <c r="J397" s="2286">
        <v>6431</v>
      </c>
    </row>
    <row r="398" spans="1:10" s="4722" customFormat="1" ht="13.5">
      <c r="A398" s="2287">
        <v>19700</v>
      </c>
      <c r="B398" s="2286">
        <v>19750</v>
      </c>
      <c r="C398" s="2287">
        <v>0</v>
      </c>
      <c r="D398" s="2287">
        <v>3291</v>
      </c>
      <c r="E398" s="2287">
        <v>5492</v>
      </c>
      <c r="F398" s="2286">
        <v>6206</v>
      </c>
      <c r="G398" s="2287">
        <v>94</v>
      </c>
      <c r="H398" s="2287">
        <v>3461</v>
      </c>
      <c r="I398" s="2287">
        <v>5716</v>
      </c>
      <c r="J398" s="2286">
        <v>6431</v>
      </c>
    </row>
    <row r="399" spans="1:10" s="4722" customFormat="1" ht="13.5">
      <c r="A399" s="2287">
        <v>19750</v>
      </c>
      <c r="B399" s="2286">
        <v>19800</v>
      </c>
      <c r="C399" s="2287">
        <v>0</v>
      </c>
      <c r="D399" s="2287">
        <v>3283</v>
      </c>
      <c r="E399" s="2287">
        <v>5481</v>
      </c>
      <c r="F399" s="2286">
        <v>6196</v>
      </c>
      <c r="G399" s="2287">
        <v>90</v>
      </c>
      <c r="H399" s="2287">
        <v>3461</v>
      </c>
      <c r="I399" s="2287">
        <v>5716</v>
      </c>
      <c r="J399" s="2286">
        <v>6431</v>
      </c>
    </row>
    <row r="400" spans="1:10" s="4722" customFormat="1" ht="13.5">
      <c r="A400" s="2287">
        <v>19800</v>
      </c>
      <c r="B400" s="2286">
        <v>19850</v>
      </c>
      <c r="C400" s="2287">
        <v>0</v>
      </c>
      <c r="D400" s="2287">
        <v>3275</v>
      </c>
      <c r="E400" s="2287">
        <v>5471</v>
      </c>
      <c r="F400" s="2286">
        <v>6185</v>
      </c>
      <c r="G400" s="2287">
        <v>86</v>
      </c>
      <c r="H400" s="2287">
        <v>3461</v>
      </c>
      <c r="I400" s="2287">
        <v>5716</v>
      </c>
      <c r="J400" s="2286">
        <v>6431</v>
      </c>
    </row>
    <row r="401" spans="1:10" s="4722" customFormat="1" ht="13.5">
      <c r="A401" s="2287">
        <v>19850</v>
      </c>
      <c r="B401" s="2286">
        <v>19900</v>
      </c>
      <c r="C401" s="2287">
        <v>0</v>
      </c>
      <c r="D401" s="2287">
        <v>3267</v>
      </c>
      <c r="E401" s="2287">
        <v>5460</v>
      </c>
      <c r="F401" s="2286">
        <v>6175</v>
      </c>
      <c r="G401" s="2287">
        <v>82</v>
      </c>
      <c r="H401" s="2287">
        <v>3461</v>
      </c>
      <c r="I401" s="2287">
        <v>5716</v>
      </c>
      <c r="J401" s="2286">
        <v>6431</v>
      </c>
    </row>
    <row r="402" spans="1:10" s="4722" customFormat="1" ht="13.5">
      <c r="A402" s="2287">
        <v>19900</v>
      </c>
      <c r="B402" s="2286">
        <v>19950</v>
      </c>
      <c r="C402" s="2287">
        <v>0</v>
      </c>
      <c r="D402" s="2287">
        <v>3259</v>
      </c>
      <c r="E402" s="2287">
        <v>5450</v>
      </c>
      <c r="F402" s="2286">
        <v>6164</v>
      </c>
      <c r="G402" s="2287">
        <v>78</v>
      </c>
      <c r="H402" s="2287">
        <v>3461</v>
      </c>
      <c r="I402" s="2287">
        <v>5716</v>
      </c>
      <c r="J402" s="2286">
        <v>6431</v>
      </c>
    </row>
    <row r="403" spans="1:10" s="4722" customFormat="1" ht="13.5">
      <c r="A403" s="2287">
        <v>19950</v>
      </c>
      <c r="B403" s="2286">
        <v>20000</v>
      </c>
      <c r="C403" s="2287">
        <v>0</v>
      </c>
      <c r="D403" s="2287">
        <v>3251</v>
      </c>
      <c r="E403" s="2287">
        <v>5439</v>
      </c>
      <c r="F403" s="2286">
        <v>6154</v>
      </c>
      <c r="G403" s="2287">
        <v>75</v>
      </c>
      <c r="H403" s="2287">
        <v>3461</v>
      </c>
      <c r="I403" s="2287">
        <v>5716</v>
      </c>
      <c r="J403" s="2286">
        <v>6431</v>
      </c>
    </row>
    <row r="404" spans="1:10" s="4722" customFormat="1" ht="13.5">
      <c r="A404" s="2287">
        <v>20000</v>
      </c>
      <c r="B404" s="2286">
        <v>20050</v>
      </c>
      <c r="C404" s="2287">
        <v>0</v>
      </c>
      <c r="D404" s="2287">
        <v>3243</v>
      </c>
      <c r="E404" s="2287">
        <v>5429</v>
      </c>
      <c r="F404" s="2286">
        <v>6143</v>
      </c>
      <c r="G404" s="2287">
        <v>71</v>
      </c>
      <c r="H404" s="2287">
        <v>3461</v>
      </c>
      <c r="I404" s="2287">
        <v>5716</v>
      </c>
      <c r="J404" s="2286">
        <v>6431</v>
      </c>
    </row>
    <row r="405" spans="1:10" s="4722" customFormat="1" ht="13.5">
      <c r="A405" s="2287">
        <v>20050</v>
      </c>
      <c r="B405" s="2286">
        <v>20100</v>
      </c>
      <c r="C405" s="2287">
        <v>0</v>
      </c>
      <c r="D405" s="2287">
        <v>3235</v>
      </c>
      <c r="E405" s="2287">
        <v>5418</v>
      </c>
      <c r="F405" s="2286">
        <v>6133</v>
      </c>
      <c r="G405" s="2287">
        <v>67</v>
      </c>
      <c r="H405" s="2287">
        <v>3461</v>
      </c>
      <c r="I405" s="2287">
        <v>5716</v>
      </c>
      <c r="J405" s="2286">
        <v>6431</v>
      </c>
    </row>
    <row r="406" spans="1:10" s="4722" customFormat="1" ht="13.5">
      <c r="A406" s="2287">
        <v>20100</v>
      </c>
      <c r="B406" s="2286">
        <v>20150</v>
      </c>
      <c r="C406" s="2287">
        <v>0</v>
      </c>
      <c r="D406" s="2287">
        <v>3227</v>
      </c>
      <c r="E406" s="2287">
        <v>5407</v>
      </c>
      <c r="F406" s="2286">
        <v>6122</v>
      </c>
      <c r="G406" s="2287">
        <v>63</v>
      </c>
      <c r="H406" s="2287">
        <v>3461</v>
      </c>
      <c r="I406" s="2287">
        <v>5716</v>
      </c>
      <c r="J406" s="2286">
        <v>6431</v>
      </c>
    </row>
    <row r="407" spans="1:10" s="4722" customFormat="1" ht="13.5">
      <c r="A407" s="2287">
        <v>20150</v>
      </c>
      <c r="B407" s="2286">
        <v>20200</v>
      </c>
      <c r="C407" s="2287">
        <v>0</v>
      </c>
      <c r="D407" s="2287">
        <v>3219</v>
      </c>
      <c r="E407" s="2287">
        <v>5397</v>
      </c>
      <c r="F407" s="2286">
        <v>6111</v>
      </c>
      <c r="G407" s="2287">
        <v>59</v>
      </c>
      <c r="H407" s="2287">
        <v>3461</v>
      </c>
      <c r="I407" s="2287">
        <v>5716</v>
      </c>
      <c r="J407" s="2286">
        <v>6431</v>
      </c>
    </row>
    <row r="408" spans="1:10" s="4722" customFormat="1" ht="13.5">
      <c r="A408" s="2287">
        <v>20200</v>
      </c>
      <c r="B408" s="2286">
        <v>20250</v>
      </c>
      <c r="C408" s="2287">
        <v>0</v>
      </c>
      <c r="D408" s="2287">
        <v>3211</v>
      </c>
      <c r="E408" s="2287">
        <v>5386</v>
      </c>
      <c r="F408" s="2286">
        <v>6101</v>
      </c>
      <c r="G408" s="2287">
        <v>55</v>
      </c>
      <c r="H408" s="2287">
        <v>3461</v>
      </c>
      <c r="I408" s="2287">
        <v>5716</v>
      </c>
      <c r="J408" s="2286">
        <v>6431</v>
      </c>
    </row>
    <row r="409" spans="1:10" s="4722" customFormat="1" ht="13.5">
      <c r="A409" s="2287">
        <v>20250</v>
      </c>
      <c r="B409" s="2286">
        <v>20300</v>
      </c>
      <c r="C409" s="2287">
        <v>0</v>
      </c>
      <c r="D409" s="2287">
        <v>3203</v>
      </c>
      <c r="E409" s="2287">
        <v>5376</v>
      </c>
      <c r="F409" s="2286">
        <v>6090</v>
      </c>
      <c r="G409" s="2287">
        <v>52</v>
      </c>
      <c r="H409" s="2287">
        <v>3461</v>
      </c>
      <c r="I409" s="2287">
        <v>5716</v>
      </c>
      <c r="J409" s="2286">
        <v>6431</v>
      </c>
    </row>
    <row r="410" spans="1:10" s="4722" customFormat="1" ht="13.5">
      <c r="A410" s="2287">
        <v>20300</v>
      </c>
      <c r="B410" s="2286">
        <v>20350</v>
      </c>
      <c r="C410" s="2287">
        <v>0</v>
      </c>
      <c r="D410" s="2287">
        <v>3195</v>
      </c>
      <c r="E410" s="2287">
        <v>5365</v>
      </c>
      <c r="F410" s="2286">
        <v>6080</v>
      </c>
      <c r="G410" s="2287">
        <v>48</v>
      </c>
      <c r="H410" s="2287">
        <v>3461</v>
      </c>
      <c r="I410" s="2287">
        <v>5716</v>
      </c>
      <c r="J410" s="2286">
        <v>6431</v>
      </c>
    </row>
    <row r="411" spans="1:10" s="4722" customFormat="1" ht="13.5">
      <c r="A411" s="2287">
        <v>20350</v>
      </c>
      <c r="B411" s="2286">
        <v>20400</v>
      </c>
      <c r="C411" s="2287">
        <v>0</v>
      </c>
      <c r="D411" s="2287">
        <v>3187</v>
      </c>
      <c r="E411" s="2287">
        <v>5355</v>
      </c>
      <c r="F411" s="2286">
        <v>6069</v>
      </c>
      <c r="G411" s="2287">
        <v>44</v>
      </c>
      <c r="H411" s="2287">
        <v>3461</v>
      </c>
      <c r="I411" s="2287">
        <v>5716</v>
      </c>
      <c r="J411" s="2286">
        <v>6431</v>
      </c>
    </row>
    <row r="412" spans="1:10" s="4722" customFormat="1" ht="13.5">
      <c r="A412" s="2287">
        <v>20400</v>
      </c>
      <c r="B412" s="2286">
        <v>20450</v>
      </c>
      <c r="C412" s="2287">
        <v>0</v>
      </c>
      <c r="D412" s="2287">
        <v>3179</v>
      </c>
      <c r="E412" s="2287">
        <v>5344</v>
      </c>
      <c r="F412" s="2286">
        <v>6059</v>
      </c>
      <c r="G412" s="2287">
        <v>40</v>
      </c>
      <c r="H412" s="2287">
        <v>3461</v>
      </c>
      <c r="I412" s="2287">
        <v>5716</v>
      </c>
      <c r="J412" s="2286">
        <v>6431</v>
      </c>
    </row>
    <row r="413" spans="1:10" s="4722" customFormat="1" ht="13.5">
      <c r="A413" s="2287">
        <v>20450</v>
      </c>
      <c r="B413" s="2286">
        <v>20500</v>
      </c>
      <c r="C413" s="2287">
        <v>0</v>
      </c>
      <c r="D413" s="2287">
        <v>3171</v>
      </c>
      <c r="E413" s="2287">
        <v>5334</v>
      </c>
      <c r="F413" s="2286">
        <v>6048</v>
      </c>
      <c r="G413" s="2287">
        <v>36</v>
      </c>
      <c r="H413" s="2287">
        <v>3461</v>
      </c>
      <c r="I413" s="2287">
        <v>5716</v>
      </c>
      <c r="J413" s="2286">
        <v>6431</v>
      </c>
    </row>
    <row r="414" spans="1:10" s="4722" customFormat="1" ht="13.5">
      <c r="A414" s="2287">
        <v>20500</v>
      </c>
      <c r="B414" s="2286">
        <v>20550</v>
      </c>
      <c r="C414" s="2287">
        <v>0</v>
      </c>
      <c r="D414" s="2287">
        <v>3163</v>
      </c>
      <c r="E414" s="2287">
        <v>5323</v>
      </c>
      <c r="F414" s="2286">
        <v>6038</v>
      </c>
      <c r="G414" s="2287">
        <v>33</v>
      </c>
      <c r="H414" s="2287">
        <v>3461</v>
      </c>
      <c r="I414" s="2287">
        <v>5716</v>
      </c>
      <c r="J414" s="2286">
        <v>6431</v>
      </c>
    </row>
    <row r="415" spans="1:10" s="4722" customFormat="1" ht="13.5">
      <c r="A415" s="2287">
        <v>20550</v>
      </c>
      <c r="B415" s="2286">
        <v>20600</v>
      </c>
      <c r="C415" s="2287">
        <v>0</v>
      </c>
      <c r="D415" s="2287">
        <v>3155</v>
      </c>
      <c r="E415" s="2287">
        <v>5313</v>
      </c>
      <c r="F415" s="2286">
        <v>6027</v>
      </c>
      <c r="G415" s="2287">
        <v>29</v>
      </c>
      <c r="H415" s="2287">
        <v>3461</v>
      </c>
      <c r="I415" s="2287">
        <v>5716</v>
      </c>
      <c r="J415" s="2286">
        <v>6431</v>
      </c>
    </row>
    <row r="416" spans="1:10" s="4722" customFormat="1" ht="13.5">
      <c r="A416" s="2287">
        <v>20600</v>
      </c>
      <c r="B416" s="2286">
        <v>20650</v>
      </c>
      <c r="C416" s="2287">
        <v>0</v>
      </c>
      <c r="D416" s="2287">
        <v>3147</v>
      </c>
      <c r="E416" s="2287">
        <v>5302</v>
      </c>
      <c r="F416" s="2286">
        <v>6017</v>
      </c>
      <c r="G416" s="2287">
        <v>25</v>
      </c>
      <c r="H416" s="2287">
        <v>3461</v>
      </c>
      <c r="I416" s="2287">
        <v>5716</v>
      </c>
      <c r="J416" s="2286">
        <v>6431</v>
      </c>
    </row>
    <row r="417" spans="1:10" s="4722" customFormat="1" ht="13.5">
      <c r="A417" s="2287">
        <v>20650</v>
      </c>
      <c r="B417" s="2286">
        <v>20700</v>
      </c>
      <c r="C417" s="2287">
        <v>0</v>
      </c>
      <c r="D417" s="2287">
        <v>3139</v>
      </c>
      <c r="E417" s="2287">
        <v>5292</v>
      </c>
      <c r="F417" s="2286">
        <v>6006</v>
      </c>
      <c r="G417" s="2287">
        <v>21</v>
      </c>
      <c r="H417" s="2287">
        <v>3461</v>
      </c>
      <c r="I417" s="2287">
        <v>5716</v>
      </c>
      <c r="J417" s="2286">
        <v>6431</v>
      </c>
    </row>
    <row r="418" spans="1:10" s="4722" customFormat="1" ht="13.5">
      <c r="A418" s="2287">
        <v>20700</v>
      </c>
      <c r="B418" s="2286">
        <v>20750</v>
      </c>
      <c r="C418" s="2287">
        <v>0</v>
      </c>
      <c r="D418" s="2287">
        <v>3131</v>
      </c>
      <c r="E418" s="2287">
        <v>5281</v>
      </c>
      <c r="F418" s="2286">
        <v>5996</v>
      </c>
      <c r="G418" s="2287">
        <v>17</v>
      </c>
      <c r="H418" s="2287">
        <v>3461</v>
      </c>
      <c r="I418" s="2287">
        <v>5716</v>
      </c>
      <c r="J418" s="2286">
        <v>6431</v>
      </c>
    </row>
    <row r="419" spans="1:10" s="4722" customFormat="1" ht="13.5">
      <c r="A419" s="2287">
        <v>20750</v>
      </c>
      <c r="B419" s="2286">
        <v>20800</v>
      </c>
      <c r="C419" s="2287">
        <v>0</v>
      </c>
      <c r="D419" s="2287">
        <v>3123</v>
      </c>
      <c r="E419" s="2287">
        <v>5271</v>
      </c>
      <c r="F419" s="2286">
        <v>5985</v>
      </c>
      <c r="G419" s="2287">
        <v>13</v>
      </c>
      <c r="H419" s="2287">
        <v>3461</v>
      </c>
      <c r="I419" s="2287">
        <v>5716</v>
      </c>
      <c r="J419" s="2286">
        <v>6431</v>
      </c>
    </row>
    <row r="420" spans="1:10" s="4722" customFormat="1" ht="13.5">
      <c r="A420" s="2287">
        <v>20800</v>
      </c>
      <c r="B420" s="2286">
        <v>20850</v>
      </c>
      <c r="C420" s="2287">
        <v>0</v>
      </c>
      <c r="D420" s="2287">
        <v>3115</v>
      </c>
      <c r="E420" s="2287">
        <v>5260</v>
      </c>
      <c r="F420" s="2286">
        <v>5975</v>
      </c>
      <c r="G420" s="2287">
        <v>10</v>
      </c>
      <c r="H420" s="2287">
        <v>3461</v>
      </c>
      <c r="I420" s="2287">
        <v>5716</v>
      </c>
      <c r="J420" s="2286">
        <v>6431</v>
      </c>
    </row>
    <row r="421" spans="1:10" s="4722" customFormat="1" ht="13.5">
      <c r="A421" s="2287">
        <v>20850</v>
      </c>
      <c r="B421" s="2286">
        <v>20900</v>
      </c>
      <c r="C421" s="2287">
        <v>0</v>
      </c>
      <c r="D421" s="2287">
        <v>3107</v>
      </c>
      <c r="E421" s="2287">
        <v>5250</v>
      </c>
      <c r="F421" s="2286">
        <v>5964</v>
      </c>
      <c r="G421" s="2287">
        <v>6</v>
      </c>
      <c r="H421" s="2287">
        <v>3461</v>
      </c>
      <c r="I421" s="2287">
        <v>5716</v>
      </c>
      <c r="J421" s="2286">
        <v>6431</v>
      </c>
    </row>
    <row r="422" spans="1:10" s="4722" customFormat="1" ht="13.5">
      <c r="A422" s="2287">
        <v>20900</v>
      </c>
      <c r="B422" s="2286">
        <v>20950</v>
      </c>
      <c r="C422" s="2287">
        <v>0</v>
      </c>
      <c r="D422" s="2287">
        <v>3099</v>
      </c>
      <c r="E422" s="2287">
        <v>5239</v>
      </c>
      <c r="F422" s="2286">
        <v>5953</v>
      </c>
      <c r="G422" s="2287">
        <v>2</v>
      </c>
      <c r="H422" s="2287">
        <v>3461</v>
      </c>
      <c r="I422" s="2287">
        <v>5716</v>
      </c>
      <c r="J422" s="2286">
        <v>6431</v>
      </c>
    </row>
    <row r="423" spans="1:10" s="4722" customFormat="1" ht="13.5">
      <c r="A423" s="2287">
        <v>20950</v>
      </c>
      <c r="B423" s="2286">
        <v>21000</v>
      </c>
      <c r="C423" s="2287">
        <v>0</v>
      </c>
      <c r="D423" s="2287">
        <v>3091</v>
      </c>
      <c r="E423" s="2287">
        <v>5228</v>
      </c>
      <c r="F423" s="2286">
        <v>5943</v>
      </c>
      <c r="G423" s="2287">
        <v>0</v>
      </c>
      <c r="H423" s="2287">
        <v>3461</v>
      </c>
      <c r="I423" s="2287">
        <v>5716</v>
      </c>
      <c r="J423" s="2286">
        <v>6431</v>
      </c>
    </row>
    <row r="424" spans="1:10" s="4722" customFormat="1" ht="13.5">
      <c r="A424" s="2287">
        <v>21000</v>
      </c>
      <c r="B424" s="2286">
        <v>21050</v>
      </c>
      <c r="C424" s="2287">
        <v>0</v>
      </c>
      <c r="D424" s="2287">
        <v>3083</v>
      </c>
      <c r="E424" s="2287">
        <v>5218</v>
      </c>
      <c r="F424" s="2286">
        <v>5932</v>
      </c>
      <c r="G424" s="2287">
        <v>0</v>
      </c>
      <c r="H424" s="2287">
        <v>3461</v>
      </c>
      <c r="I424" s="2287">
        <v>5716</v>
      </c>
      <c r="J424" s="2286">
        <v>6431</v>
      </c>
    </row>
    <row r="425" spans="1:10" s="4722" customFormat="1" ht="13.5">
      <c r="A425" s="2287">
        <v>21050</v>
      </c>
      <c r="B425" s="2286">
        <v>21100</v>
      </c>
      <c r="C425" s="2287">
        <v>0</v>
      </c>
      <c r="D425" s="2287">
        <v>3075</v>
      </c>
      <c r="E425" s="2287">
        <v>5207</v>
      </c>
      <c r="F425" s="2286">
        <v>5922</v>
      </c>
      <c r="G425" s="2287">
        <v>0</v>
      </c>
      <c r="H425" s="2287">
        <v>3461</v>
      </c>
      <c r="I425" s="2287">
        <v>5716</v>
      </c>
      <c r="J425" s="2286">
        <v>6431</v>
      </c>
    </row>
    <row r="426" spans="1:10" s="4722" customFormat="1" ht="13.5">
      <c r="A426" s="2287">
        <v>21100</v>
      </c>
      <c r="B426" s="2286">
        <v>21150</v>
      </c>
      <c r="C426" s="2287">
        <v>0</v>
      </c>
      <c r="D426" s="2287">
        <v>3067</v>
      </c>
      <c r="E426" s="2287">
        <v>5197</v>
      </c>
      <c r="F426" s="2286">
        <v>5911</v>
      </c>
      <c r="G426" s="2287">
        <v>0</v>
      </c>
      <c r="H426" s="2287">
        <v>3461</v>
      </c>
      <c r="I426" s="2287">
        <v>5716</v>
      </c>
      <c r="J426" s="2286">
        <v>6431</v>
      </c>
    </row>
    <row r="427" spans="1:10" s="4722" customFormat="1" ht="13.5">
      <c r="A427" s="2287">
        <v>21150</v>
      </c>
      <c r="B427" s="2286">
        <v>21200</v>
      </c>
      <c r="C427" s="2287">
        <v>0</v>
      </c>
      <c r="D427" s="2287">
        <v>3059</v>
      </c>
      <c r="E427" s="2287">
        <v>5186</v>
      </c>
      <c r="F427" s="2286">
        <v>5901</v>
      </c>
      <c r="G427" s="2287">
        <v>0</v>
      </c>
      <c r="H427" s="2287">
        <v>3461</v>
      </c>
      <c r="I427" s="2287">
        <v>5716</v>
      </c>
      <c r="J427" s="2286">
        <v>6431</v>
      </c>
    </row>
    <row r="428" spans="1:10" s="4722" customFormat="1" ht="13.5">
      <c r="A428" s="2287">
        <v>21200</v>
      </c>
      <c r="B428" s="2286">
        <v>21250</v>
      </c>
      <c r="C428" s="2287">
        <v>0</v>
      </c>
      <c r="D428" s="2287">
        <v>3051</v>
      </c>
      <c r="E428" s="2287">
        <v>5176</v>
      </c>
      <c r="F428" s="2286">
        <v>5890</v>
      </c>
      <c r="G428" s="2287">
        <v>0</v>
      </c>
      <c r="H428" s="2287">
        <v>3461</v>
      </c>
      <c r="I428" s="2287">
        <v>5716</v>
      </c>
      <c r="J428" s="2286">
        <v>6431</v>
      </c>
    </row>
    <row r="429" spans="1:10" s="4722" customFormat="1" ht="13.5">
      <c r="A429" s="2287">
        <v>21250</v>
      </c>
      <c r="B429" s="2286">
        <v>21300</v>
      </c>
      <c r="C429" s="2287">
        <v>0</v>
      </c>
      <c r="D429" s="2287">
        <v>3043</v>
      </c>
      <c r="E429" s="2287">
        <v>5165</v>
      </c>
      <c r="F429" s="2286">
        <v>5880</v>
      </c>
      <c r="G429" s="2287">
        <v>0</v>
      </c>
      <c r="H429" s="2287">
        <v>3461</v>
      </c>
      <c r="I429" s="2287">
        <v>5716</v>
      </c>
      <c r="J429" s="2286">
        <v>6431</v>
      </c>
    </row>
    <row r="430" spans="1:10" s="4722" customFormat="1" ht="13.5">
      <c r="A430" s="2287">
        <v>21300</v>
      </c>
      <c r="B430" s="2286">
        <v>21350</v>
      </c>
      <c r="C430" s="2287">
        <v>0</v>
      </c>
      <c r="D430" s="2287">
        <v>3035</v>
      </c>
      <c r="E430" s="2287">
        <v>5155</v>
      </c>
      <c r="F430" s="2286">
        <v>5869</v>
      </c>
      <c r="G430" s="2287">
        <v>0</v>
      </c>
      <c r="H430" s="2287">
        <v>3461</v>
      </c>
      <c r="I430" s="2287">
        <v>5716</v>
      </c>
      <c r="J430" s="2286">
        <v>6431</v>
      </c>
    </row>
    <row r="431" spans="1:10" s="4722" customFormat="1" ht="13.5">
      <c r="A431" s="2287">
        <v>21350</v>
      </c>
      <c r="B431" s="2286">
        <v>21400</v>
      </c>
      <c r="C431" s="2287">
        <v>0</v>
      </c>
      <c r="D431" s="2287">
        <v>3027</v>
      </c>
      <c r="E431" s="2287">
        <v>5144</v>
      </c>
      <c r="F431" s="2286">
        <v>5859</v>
      </c>
      <c r="G431" s="2287">
        <v>0</v>
      </c>
      <c r="H431" s="2287">
        <v>3461</v>
      </c>
      <c r="I431" s="2287">
        <v>5716</v>
      </c>
      <c r="J431" s="2286">
        <v>6431</v>
      </c>
    </row>
    <row r="432" spans="1:10" s="4722" customFormat="1" ht="13.5">
      <c r="A432" s="2287">
        <v>21400</v>
      </c>
      <c r="B432" s="2286">
        <v>21450</v>
      </c>
      <c r="C432" s="2287">
        <v>0</v>
      </c>
      <c r="D432" s="2287">
        <v>3019</v>
      </c>
      <c r="E432" s="2287">
        <v>5134</v>
      </c>
      <c r="F432" s="2286">
        <v>5848</v>
      </c>
      <c r="G432" s="2287">
        <v>0</v>
      </c>
      <c r="H432" s="2287">
        <v>3461</v>
      </c>
      <c r="I432" s="2287">
        <v>5716</v>
      </c>
      <c r="J432" s="2286">
        <v>6431</v>
      </c>
    </row>
    <row r="433" spans="1:10" s="4722" customFormat="1" ht="13.5">
      <c r="A433" s="2287">
        <v>21450</v>
      </c>
      <c r="B433" s="2286">
        <v>21500</v>
      </c>
      <c r="C433" s="2287">
        <v>0</v>
      </c>
      <c r="D433" s="2287">
        <v>3011</v>
      </c>
      <c r="E433" s="2287">
        <v>5123</v>
      </c>
      <c r="F433" s="2286">
        <v>5838</v>
      </c>
      <c r="G433" s="2287">
        <v>0</v>
      </c>
      <c r="H433" s="2287">
        <v>3461</v>
      </c>
      <c r="I433" s="2287">
        <v>5716</v>
      </c>
      <c r="J433" s="2286">
        <v>6431</v>
      </c>
    </row>
    <row r="434" spans="1:10" s="4722" customFormat="1" ht="13.5">
      <c r="A434" s="2287">
        <v>21500</v>
      </c>
      <c r="B434" s="2286">
        <v>21550</v>
      </c>
      <c r="C434" s="2287">
        <v>0</v>
      </c>
      <c r="D434" s="2287">
        <v>3003</v>
      </c>
      <c r="E434" s="2287">
        <v>5113</v>
      </c>
      <c r="F434" s="2286">
        <v>5827</v>
      </c>
      <c r="G434" s="2287">
        <v>0</v>
      </c>
      <c r="H434" s="2287">
        <v>3461</v>
      </c>
      <c r="I434" s="2287">
        <v>5716</v>
      </c>
      <c r="J434" s="2286">
        <v>6431</v>
      </c>
    </row>
    <row r="435" spans="1:10" s="4722" customFormat="1" ht="13.5">
      <c r="A435" s="2287">
        <v>21550</v>
      </c>
      <c r="B435" s="2286">
        <v>21600</v>
      </c>
      <c r="C435" s="2287">
        <v>0</v>
      </c>
      <c r="D435" s="2287">
        <v>2995</v>
      </c>
      <c r="E435" s="2287">
        <v>5102</v>
      </c>
      <c r="F435" s="2286">
        <v>5817</v>
      </c>
      <c r="G435" s="2287">
        <v>0</v>
      </c>
      <c r="H435" s="2287">
        <v>3461</v>
      </c>
      <c r="I435" s="2287">
        <v>5716</v>
      </c>
      <c r="J435" s="2286">
        <v>6431</v>
      </c>
    </row>
    <row r="436" spans="1:10" s="4722" customFormat="1" ht="13.5">
      <c r="A436" s="2287">
        <v>21600</v>
      </c>
      <c r="B436" s="2286">
        <v>21650</v>
      </c>
      <c r="C436" s="2287">
        <v>0</v>
      </c>
      <c r="D436" s="2287">
        <v>2987</v>
      </c>
      <c r="E436" s="2287">
        <v>5092</v>
      </c>
      <c r="F436" s="2286">
        <v>5806</v>
      </c>
      <c r="G436" s="2287">
        <v>0</v>
      </c>
      <c r="H436" s="2287">
        <v>3461</v>
      </c>
      <c r="I436" s="2287">
        <v>5716</v>
      </c>
      <c r="J436" s="2286">
        <v>6431</v>
      </c>
    </row>
    <row r="437" spans="1:10" s="4722" customFormat="1" ht="13.5">
      <c r="A437" s="2287">
        <v>21650</v>
      </c>
      <c r="B437" s="2286">
        <v>21700</v>
      </c>
      <c r="C437" s="2287">
        <v>0</v>
      </c>
      <c r="D437" s="2287">
        <v>2979</v>
      </c>
      <c r="E437" s="2287">
        <v>5081</v>
      </c>
      <c r="F437" s="2286">
        <v>5796</v>
      </c>
      <c r="G437" s="2287">
        <v>0</v>
      </c>
      <c r="H437" s="2287">
        <v>3461</v>
      </c>
      <c r="I437" s="2287">
        <v>5716</v>
      </c>
      <c r="J437" s="2286">
        <v>6431</v>
      </c>
    </row>
    <row r="438" spans="1:10" s="4722" customFormat="1" ht="13.5">
      <c r="A438" s="2287">
        <v>21700</v>
      </c>
      <c r="B438" s="2286">
        <v>21750</v>
      </c>
      <c r="C438" s="2287">
        <v>0</v>
      </c>
      <c r="D438" s="2287">
        <v>2971</v>
      </c>
      <c r="E438" s="2287">
        <v>5071</v>
      </c>
      <c r="F438" s="2286">
        <v>5785</v>
      </c>
      <c r="G438" s="2287">
        <v>0</v>
      </c>
      <c r="H438" s="2287">
        <v>3461</v>
      </c>
      <c r="I438" s="2287">
        <v>5716</v>
      </c>
      <c r="J438" s="2286">
        <v>6431</v>
      </c>
    </row>
    <row r="439" spans="1:10" s="4722" customFormat="1" ht="13.5">
      <c r="A439" s="2287">
        <v>21750</v>
      </c>
      <c r="B439" s="2286">
        <v>21800</v>
      </c>
      <c r="C439" s="2287">
        <v>0</v>
      </c>
      <c r="D439" s="2287">
        <v>2963</v>
      </c>
      <c r="E439" s="2287">
        <v>5060</v>
      </c>
      <c r="F439" s="2286">
        <v>5774</v>
      </c>
      <c r="G439" s="2287">
        <v>0</v>
      </c>
      <c r="H439" s="2287">
        <v>3461</v>
      </c>
      <c r="I439" s="2287">
        <v>5716</v>
      </c>
      <c r="J439" s="2286">
        <v>6431</v>
      </c>
    </row>
    <row r="440" spans="1:10" s="4722" customFormat="1" ht="13.5">
      <c r="A440" s="2287">
        <v>21800</v>
      </c>
      <c r="B440" s="2286">
        <v>21850</v>
      </c>
      <c r="C440" s="2287">
        <v>0</v>
      </c>
      <c r="D440" s="2287">
        <v>2955</v>
      </c>
      <c r="E440" s="2287">
        <v>5049</v>
      </c>
      <c r="F440" s="2286">
        <v>5764</v>
      </c>
      <c r="G440" s="2287">
        <v>0</v>
      </c>
      <c r="H440" s="2287">
        <v>3461</v>
      </c>
      <c r="I440" s="2287">
        <v>5716</v>
      </c>
      <c r="J440" s="2286">
        <v>6431</v>
      </c>
    </row>
    <row r="441" spans="1:10" s="4722" customFormat="1" ht="13.5">
      <c r="A441" s="2287">
        <v>21850</v>
      </c>
      <c r="B441" s="2286">
        <v>21900</v>
      </c>
      <c r="C441" s="2287">
        <v>0</v>
      </c>
      <c r="D441" s="2287">
        <v>2947</v>
      </c>
      <c r="E441" s="2287">
        <v>5039</v>
      </c>
      <c r="F441" s="2286">
        <v>5753</v>
      </c>
      <c r="G441" s="2287">
        <v>0</v>
      </c>
      <c r="H441" s="2287">
        <v>3461</v>
      </c>
      <c r="I441" s="2287">
        <v>5716</v>
      </c>
      <c r="J441" s="2286">
        <v>6431</v>
      </c>
    </row>
    <row r="442" spans="1:10" s="4722" customFormat="1" ht="13.5">
      <c r="A442" s="2287">
        <v>21900</v>
      </c>
      <c r="B442" s="2286">
        <v>21950</v>
      </c>
      <c r="C442" s="2287">
        <v>0</v>
      </c>
      <c r="D442" s="2287">
        <v>2939</v>
      </c>
      <c r="E442" s="2287">
        <v>5028</v>
      </c>
      <c r="F442" s="2286">
        <v>5743</v>
      </c>
      <c r="G442" s="2287">
        <v>0</v>
      </c>
      <c r="H442" s="2287">
        <v>3461</v>
      </c>
      <c r="I442" s="2287">
        <v>5716</v>
      </c>
      <c r="J442" s="2286">
        <v>6431</v>
      </c>
    </row>
    <row r="443" spans="1:10" s="4722" customFormat="1" ht="13.5">
      <c r="A443" s="2287">
        <v>21950</v>
      </c>
      <c r="B443" s="2286">
        <v>22000</v>
      </c>
      <c r="C443" s="2287">
        <v>0</v>
      </c>
      <c r="D443" s="2287">
        <v>2931</v>
      </c>
      <c r="E443" s="2287">
        <v>5018</v>
      </c>
      <c r="F443" s="2286">
        <v>5732</v>
      </c>
      <c r="G443" s="2287">
        <v>0</v>
      </c>
      <c r="H443" s="2287">
        <v>3461</v>
      </c>
      <c r="I443" s="2287">
        <v>5716</v>
      </c>
      <c r="J443" s="2286">
        <v>6431</v>
      </c>
    </row>
    <row r="444" spans="1:10" s="4722" customFormat="1" ht="13.5">
      <c r="A444" s="2287">
        <v>22000</v>
      </c>
      <c r="B444" s="2286">
        <v>22050</v>
      </c>
      <c r="C444" s="2287">
        <v>0</v>
      </c>
      <c r="D444" s="2287">
        <v>2923</v>
      </c>
      <c r="E444" s="2287">
        <v>5007</v>
      </c>
      <c r="F444" s="2286">
        <v>5722</v>
      </c>
      <c r="G444" s="2287">
        <v>0</v>
      </c>
      <c r="H444" s="2287">
        <v>3461</v>
      </c>
      <c r="I444" s="2287">
        <v>5716</v>
      </c>
      <c r="J444" s="2286">
        <v>6431</v>
      </c>
    </row>
    <row r="445" spans="1:10" s="4722" customFormat="1" ht="13.5">
      <c r="A445" s="2287">
        <v>22050</v>
      </c>
      <c r="B445" s="2286">
        <v>22100</v>
      </c>
      <c r="C445" s="2287">
        <v>0</v>
      </c>
      <c r="D445" s="2287">
        <v>2915</v>
      </c>
      <c r="E445" s="2287">
        <v>4997</v>
      </c>
      <c r="F445" s="2286">
        <v>5711</v>
      </c>
      <c r="G445" s="2287">
        <v>0</v>
      </c>
      <c r="H445" s="2287">
        <v>3461</v>
      </c>
      <c r="I445" s="2287">
        <v>5716</v>
      </c>
      <c r="J445" s="2286">
        <v>6431</v>
      </c>
    </row>
    <row r="446" spans="1:10" s="4722" customFormat="1" ht="13.5">
      <c r="A446" s="2287">
        <v>22100</v>
      </c>
      <c r="B446" s="2286">
        <v>22150</v>
      </c>
      <c r="C446" s="2287">
        <v>0</v>
      </c>
      <c r="D446" s="2287">
        <v>2907</v>
      </c>
      <c r="E446" s="2287">
        <v>4986</v>
      </c>
      <c r="F446" s="2286">
        <v>5701</v>
      </c>
      <c r="G446" s="2287">
        <v>0</v>
      </c>
      <c r="H446" s="2287">
        <v>3461</v>
      </c>
      <c r="I446" s="2287">
        <v>5716</v>
      </c>
      <c r="J446" s="2286">
        <v>6431</v>
      </c>
    </row>
    <row r="447" spans="1:10" s="4722" customFormat="1" ht="13.5">
      <c r="A447" s="2287">
        <v>22150</v>
      </c>
      <c r="B447" s="2286">
        <v>22200</v>
      </c>
      <c r="C447" s="2287">
        <v>0</v>
      </c>
      <c r="D447" s="2287">
        <v>2900</v>
      </c>
      <c r="E447" s="2287">
        <v>4976</v>
      </c>
      <c r="F447" s="2286">
        <v>5690</v>
      </c>
      <c r="G447" s="2287">
        <v>0</v>
      </c>
      <c r="H447" s="2287">
        <v>3461</v>
      </c>
      <c r="I447" s="2287">
        <v>5716</v>
      </c>
      <c r="J447" s="2286">
        <v>6431</v>
      </c>
    </row>
    <row r="448" spans="1:10" s="4722" customFormat="1" ht="13.5">
      <c r="A448" s="2287">
        <v>22200</v>
      </c>
      <c r="B448" s="2286">
        <v>22250</v>
      </c>
      <c r="C448" s="2287">
        <v>0</v>
      </c>
      <c r="D448" s="2287">
        <v>2892</v>
      </c>
      <c r="E448" s="2287">
        <v>4965</v>
      </c>
      <c r="F448" s="2286">
        <v>5680</v>
      </c>
      <c r="G448" s="2287">
        <v>0</v>
      </c>
      <c r="H448" s="2287">
        <v>3461</v>
      </c>
      <c r="I448" s="2287">
        <v>5716</v>
      </c>
      <c r="J448" s="2286">
        <v>6431</v>
      </c>
    </row>
    <row r="449" spans="1:10" s="4722" customFormat="1" ht="13.5">
      <c r="A449" s="2287">
        <v>22250</v>
      </c>
      <c r="B449" s="2286">
        <v>22300</v>
      </c>
      <c r="C449" s="2287">
        <v>0</v>
      </c>
      <c r="D449" s="2287">
        <v>2884</v>
      </c>
      <c r="E449" s="2287">
        <v>4955</v>
      </c>
      <c r="F449" s="2286">
        <v>5669</v>
      </c>
      <c r="G449" s="2287">
        <v>0</v>
      </c>
      <c r="H449" s="2287">
        <v>3461</v>
      </c>
      <c r="I449" s="2287">
        <v>5716</v>
      </c>
      <c r="J449" s="2286">
        <v>6431</v>
      </c>
    </row>
    <row r="450" spans="1:10" s="4722" customFormat="1" ht="13.5">
      <c r="A450" s="2287">
        <v>22300</v>
      </c>
      <c r="B450" s="2286">
        <v>22350</v>
      </c>
      <c r="C450" s="2287">
        <v>0</v>
      </c>
      <c r="D450" s="2287">
        <v>2876</v>
      </c>
      <c r="E450" s="2287">
        <v>4944</v>
      </c>
      <c r="F450" s="2286">
        <v>5659</v>
      </c>
      <c r="G450" s="2287">
        <v>0</v>
      </c>
      <c r="H450" s="2287">
        <v>3461</v>
      </c>
      <c r="I450" s="2287">
        <v>5716</v>
      </c>
      <c r="J450" s="2286">
        <v>6431</v>
      </c>
    </row>
    <row r="451" spans="1:10" s="4722" customFormat="1" ht="13.5">
      <c r="A451" s="2287">
        <v>22350</v>
      </c>
      <c r="B451" s="2286">
        <v>22400</v>
      </c>
      <c r="C451" s="2287">
        <v>0</v>
      </c>
      <c r="D451" s="2287">
        <v>2868</v>
      </c>
      <c r="E451" s="2287">
        <v>4934</v>
      </c>
      <c r="F451" s="2286">
        <v>5648</v>
      </c>
      <c r="G451" s="2287">
        <v>0</v>
      </c>
      <c r="H451" s="2287">
        <v>3461</v>
      </c>
      <c r="I451" s="2287">
        <v>5716</v>
      </c>
      <c r="J451" s="2286">
        <v>6431</v>
      </c>
    </row>
    <row r="452" spans="1:10" s="4722" customFormat="1" ht="13.5">
      <c r="A452" s="2287">
        <v>22400</v>
      </c>
      <c r="B452" s="2286">
        <v>22450</v>
      </c>
      <c r="C452" s="2287">
        <v>0</v>
      </c>
      <c r="D452" s="2287">
        <v>2860</v>
      </c>
      <c r="E452" s="2287">
        <v>4923</v>
      </c>
      <c r="F452" s="2286">
        <v>5638</v>
      </c>
      <c r="G452" s="2287">
        <v>0</v>
      </c>
      <c r="H452" s="2287">
        <v>3461</v>
      </c>
      <c r="I452" s="2287">
        <v>5716</v>
      </c>
      <c r="J452" s="2286">
        <v>6431</v>
      </c>
    </row>
    <row r="453" spans="1:10" s="4722" customFormat="1" ht="13.5">
      <c r="A453" s="2287">
        <v>22450</v>
      </c>
      <c r="B453" s="2286">
        <v>22500</v>
      </c>
      <c r="C453" s="2287">
        <v>0</v>
      </c>
      <c r="D453" s="2287">
        <v>2852</v>
      </c>
      <c r="E453" s="2287">
        <v>4913</v>
      </c>
      <c r="F453" s="2286">
        <v>5627</v>
      </c>
      <c r="G453" s="2287">
        <v>0</v>
      </c>
      <c r="H453" s="2287">
        <v>3461</v>
      </c>
      <c r="I453" s="2287">
        <v>5716</v>
      </c>
      <c r="J453" s="2286">
        <v>6431</v>
      </c>
    </row>
    <row r="454" spans="1:10" s="4722" customFormat="1" ht="13.5">
      <c r="A454" s="2287">
        <v>22500</v>
      </c>
      <c r="B454" s="2286">
        <v>22550</v>
      </c>
      <c r="C454" s="2287">
        <v>0</v>
      </c>
      <c r="D454" s="2287">
        <v>2844</v>
      </c>
      <c r="E454" s="2287">
        <v>4902</v>
      </c>
      <c r="F454" s="2286">
        <v>5617</v>
      </c>
      <c r="G454" s="2287">
        <v>0</v>
      </c>
      <c r="H454" s="2287">
        <v>3461</v>
      </c>
      <c r="I454" s="2287">
        <v>5716</v>
      </c>
      <c r="J454" s="2286">
        <v>6431</v>
      </c>
    </row>
    <row r="455" spans="1:10" s="4722" customFormat="1" ht="13.5">
      <c r="A455" s="2287">
        <v>22550</v>
      </c>
      <c r="B455" s="2286">
        <v>22600</v>
      </c>
      <c r="C455" s="2287">
        <v>0</v>
      </c>
      <c r="D455" s="2287">
        <v>2836</v>
      </c>
      <c r="E455" s="2287">
        <v>4892</v>
      </c>
      <c r="F455" s="2286">
        <v>5606</v>
      </c>
      <c r="G455" s="2287">
        <v>0</v>
      </c>
      <c r="H455" s="2287">
        <v>3461</v>
      </c>
      <c r="I455" s="2287">
        <v>5716</v>
      </c>
      <c r="J455" s="2286">
        <v>6431</v>
      </c>
    </row>
    <row r="456" spans="1:10" s="4722" customFormat="1" ht="13.5">
      <c r="A456" s="2287">
        <v>22600</v>
      </c>
      <c r="B456" s="2286">
        <v>22650</v>
      </c>
      <c r="C456" s="2287">
        <v>0</v>
      </c>
      <c r="D456" s="2287">
        <v>2828</v>
      </c>
      <c r="E456" s="2287">
        <v>4881</v>
      </c>
      <c r="F456" s="2286">
        <v>5595</v>
      </c>
      <c r="G456" s="2287">
        <v>0</v>
      </c>
      <c r="H456" s="2287">
        <v>3461</v>
      </c>
      <c r="I456" s="2287">
        <v>5716</v>
      </c>
      <c r="J456" s="2286">
        <v>6431</v>
      </c>
    </row>
    <row r="457" spans="1:10" s="4722" customFormat="1" ht="13.5">
      <c r="A457" s="2287">
        <v>22650</v>
      </c>
      <c r="B457" s="2286">
        <v>22700</v>
      </c>
      <c r="C457" s="2287">
        <v>0</v>
      </c>
      <c r="D457" s="2287">
        <v>2820</v>
      </c>
      <c r="E457" s="2287">
        <v>4870</v>
      </c>
      <c r="F457" s="2286">
        <v>5585</v>
      </c>
      <c r="G457" s="2287">
        <v>0</v>
      </c>
      <c r="H457" s="2287">
        <v>3461</v>
      </c>
      <c r="I457" s="2287">
        <v>5716</v>
      </c>
      <c r="J457" s="2286">
        <v>6431</v>
      </c>
    </row>
    <row r="458" spans="1:10" s="4722" customFormat="1" ht="13.5">
      <c r="A458" s="2287">
        <v>22700</v>
      </c>
      <c r="B458" s="2286">
        <v>22750</v>
      </c>
      <c r="C458" s="2287">
        <v>0</v>
      </c>
      <c r="D458" s="2287">
        <v>2812</v>
      </c>
      <c r="E458" s="2287">
        <v>4860</v>
      </c>
      <c r="F458" s="2286">
        <v>5574</v>
      </c>
      <c r="G458" s="2287">
        <v>0</v>
      </c>
      <c r="H458" s="2287">
        <v>3461</v>
      </c>
      <c r="I458" s="2287">
        <v>5716</v>
      </c>
      <c r="J458" s="2286">
        <v>6431</v>
      </c>
    </row>
    <row r="459" spans="1:10" s="4722" customFormat="1" ht="13.5">
      <c r="A459" s="2287">
        <v>22750</v>
      </c>
      <c r="B459" s="2286">
        <v>22800</v>
      </c>
      <c r="C459" s="2287">
        <v>0</v>
      </c>
      <c r="D459" s="2287">
        <v>2804</v>
      </c>
      <c r="E459" s="2287">
        <v>4849</v>
      </c>
      <c r="F459" s="2286">
        <v>5564</v>
      </c>
      <c r="G459" s="2287">
        <v>0</v>
      </c>
      <c r="H459" s="2287">
        <v>3461</v>
      </c>
      <c r="I459" s="2287">
        <v>5716</v>
      </c>
      <c r="J459" s="2286">
        <v>6431</v>
      </c>
    </row>
    <row r="460" spans="1:10" s="4722" customFormat="1" ht="13.5">
      <c r="A460" s="2287">
        <v>22800</v>
      </c>
      <c r="B460" s="2286">
        <v>22850</v>
      </c>
      <c r="C460" s="2287">
        <v>0</v>
      </c>
      <c r="D460" s="2287">
        <v>2796</v>
      </c>
      <c r="E460" s="2287">
        <v>4839</v>
      </c>
      <c r="F460" s="2286">
        <v>5553</v>
      </c>
      <c r="G460" s="2287">
        <v>0</v>
      </c>
      <c r="H460" s="2287">
        <v>3461</v>
      </c>
      <c r="I460" s="2287">
        <v>5716</v>
      </c>
      <c r="J460" s="2286">
        <v>6431</v>
      </c>
    </row>
    <row r="461" spans="1:10" s="4722" customFormat="1" ht="13.5">
      <c r="A461" s="2287">
        <v>22850</v>
      </c>
      <c r="B461" s="2286">
        <v>22900</v>
      </c>
      <c r="C461" s="2287">
        <v>0</v>
      </c>
      <c r="D461" s="2287">
        <v>2788</v>
      </c>
      <c r="E461" s="2287">
        <v>4828</v>
      </c>
      <c r="F461" s="2286">
        <v>5543</v>
      </c>
      <c r="G461" s="2287">
        <v>0</v>
      </c>
      <c r="H461" s="2287">
        <v>3461</v>
      </c>
      <c r="I461" s="2287">
        <v>5716</v>
      </c>
      <c r="J461" s="2286">
        <v>6431</v>
      </c>
    </row>
    <row r="462" spans="1:10" s="4722" customFormat="1" ht="13.5">
      <c r="A462" s="2287">
        <v>22900</v>
      </c>
      <c r="B462" s="2286">
        <v>22950</v>
      </c>
      <c r="C462" s="2287">
        <v>0</v>
      </c>
      <c r="D462" s="2287">
        <v>2780</v>
      </c>
      <c r="E462" s="2287">
        <v>4818</v>
      </c>
      <c r="F462" s="2286">
        <v>5532</v>
      </c>
      <c r="G462" s="2287">
        <v>0</v>
      </c>
      <c r="H462" s="2287">
        <v>3461</v>
      </c>
      <c r="I462" s="2287">
        <v>5716</v>
      </c>
      <c r="J462" s="2286">
        <v>6431</v>
      </c>
    </row>
    <row r="463" spans="1:10" s="4722" customFormat="1" ht="13.5">
      <c r="A463" s="2287">
        <v>22950</v>
      </c>
      <c r="B463" s="2286">
        <v>23000</v>
      </c>
      <c r="C463" s="2287">
        <v>0</v>
      </c>
      <c r="D463" s="2287">
        <v>2772</v>
      </c>
      <c r="E463" s="2287">
        <v>4807</v>
      </c>
      <c r="F463" s="2286">
        <v>5522</v>
      </c>
      <c r="G463" s="2287">
        <v>0</v>
      </c>
      <c r="H463" s="2287">
        <v>3461</v>
      </c>
      <c r="I463" s="2287">
        <v>5716</v>
      </c>
      <c r="J463" s="2286">
        <v>6431</v>
      </c>
    </row>
    <row r="464" spans="1:10" s="4722" customFormat="1" ht="13.5">
      <c r="A464" s="2287">
        <v>23000</v>
      </c>
      <c r="B464" s="2286">
        <v>23050</v>
      </c>
      <c r="C464" s="2287">
        <v>0</v>
      </c>
      <c r="D464" s="2287">
        <v>2764</v>
      </c>
      <c r="E464" s="2287">
        <v>4797</v>
      </c>
      <c r="F464" s="2286">
        <v>5511</v>
      </c>
      <c r="G464" s="2287">
        <v>0</v>
      </c>
      <c r="H464" s="2287">
        <v>3461</v>
      </c>
      <c r="I464" s="2287">
        <v>5716</v>
      </c>
      <c r="J464" s="2286">
        <v>6431</v>
      </c>
    </row>
    <row r="465" spans="1:10" s="4722" customFormat="1" ht="13.5">
      <c r="A465" s="2287">
        <v>23050</v>
      </c>
      <c r="B465" s="2286">
        <v>23100</v>
      </c>
      <c r="C465" s="2287">
        <v>0</v>
      </c>
      <c r="D465" s="2287">
        <v>2756</v>
      </c>
      <c r="E465" s="2287">
        <v>4786</v>
      </c>
      <c r="F465" s="2286">
        <v>5501</v>
      </c>
      <c r="G465" s="2287">
        <v>0</v>
      </c>
      <c r="H465" s="2287">
        <v>3461</v>
      </c>
      <c r="I465" s="2287">
        <v>5716</v>
      </c>
      <c r="J465" s="2286">
        <v>6431</v>
      </c>
    </row>
    <row r="466" spans="1:10" s="4722" customFormat="1" ht="13.5">
      <c r="A466" s="2287">
        <v>23100</v>
      </c>
      <c r="B466" s="2286">
        <v>23150</v>
      </c>
      <c r="C466" s="2287">
        <v>0</v>
      </c>
      <c r="D466" s="2287">
        <v>2748</v>
      </c>
      <c r="E466" s="2287">
        <v>4776</v>
      </c>
      <c r="F466" s="2286">
        <v>5490</v>
      </c>
      <c r="G466" s="2287">
        <v>0</v>
      </c>
      <c r="H466" s="2287">
        <v>3461</v>
      </c>
      <c r="I466" s="2287">
        <v>5716</v>
      </c>
      <c r="J466" s="2286">
        <v>6431</v>
      </c>
    </row>
    <row r="467" spans="1:10" s="4722" customFormat="1" ht="13.5">
      <c r="A467" s="2287">
        <v>23150</v>
      </c>
      <c r="B467" s="2286">
        <v>23200</v>
      </c>
      <c r="C467" s="2287">
        <v>0</v>
      </c>
      <c r="D467" s="2287">
        <v>2740</v>
      </c>
      <c r="E467" s="2287">
        <v>4765</v>
      </c>
      <c r="F467" s="2286">
        <v>5480</v>
      </c>
      <c r="G467" s="2287">
        <v>0</v>
      </c>
      <c r="H467" s="2287">
        <v>3461</v>
      </c>
      <c r="I467" s="2287">
        <v>5716</v>
      </c>
      <c r="J467" s="2286">
        <v>6431</v>
      </c>
    </row>
    <row r="468" spans="1:10" s="4722" customFormat="1" ht="13.5">
      <c r="A468" s="2287">
        <v>23200</v>
      </c>
      <c r="B468" s="2286">
        <v>23250</v>
      </c>
      <c r="C468" s="2287">
        <v>0</v>
      </c>
      <c r="D468" s="2287">
        <v>2732</v>
      </c>
      <c r="E468" s="2287">
        <v>4755</v>
      </c>
      <c r="F468" s="2286">
        <v>5469</v>
      </c>
      <c r="G468" s="2287">
        <v>0</v>
      </c>
      <c r="H468" s="2287">
        <v>3461</v>
      </c>
      <c r="I468" s="2287">
        <v>5716</v>
      </c>
      <c r="J468" s="2286">
        <v>6431</v>
      </c>
    </row>
    <row r="469" spans="1:10" s="4722" customFormat="1" ht="13.5">
      <c r="A469" s="2287">
        <v>23250</v>
      </c>
      <c r="B469" s="2286">
        <v>23300</v>
      </c>
      <c r="C469" s="2287">
        <v>0</v>
      </c>
      <c r="D469" s="2287">
        <v>2724</v>
      </c>
      <c r="E469" s="2287">
        <v>4744</v>
      </c>
      <c r="F469" s="2286">
        <v>5459</v>
      </c>
      <c r="G469" s="2287">
        <v>0</v>
      </c>
      <c r="H469" s="2287">
        <v>3461</v>
      </c>
      <c r="I469" s="2287">
        <v>5716</v>
      </c>
      <c r="J469" s="2286">
        <v>6431</v>
      </c>
    </row>
    <row r="470" spans="1:10" s="4722" customFormat="1" ht="13.5">
      <c r="A470" s="2287">
        <v>23300</v>
      </c>
      <c r="B470" s="2286">
        <v>23350</v>
      </c>
      <c r="C470" s="2287">
        <v>0</v>
      </c>
      <c r="D470" s="2287">
        <v>2716</v>
      </c>
      <c r="E470" s="2287">
        <v>4734</v>
      </c>
      <c r="F470" s="2286">
        <v>5448</v>
      </c>
      <c r="G470" s="2287">
        <v>0</v>
      </c>
      <c r="H470" s="2287">
        <v>3461</v>
      </c>
      <c r="I470" s="2287">
        <v>5716</v>
      </c>
      <c r="J470" s="2286">
        <v>6431</v>
      </c>
    </row>
    <row r="471" spans="1:10" s="4722" customFormat="1" ht="13.5">
      <c r="A471" s="2287">
        <v>23350</v>
      </c>
      <c r="B471" s="2286">
        <v>23400</v>
      </c>
      <c r="C471" s="2287">
        <v>0</v>
      </c>
      <c r="D471" s="2287">
        <v>2708</v>
      </c>
      <c r="E471" s="2287">
        <v>4723</v>
      </c>
      <c r="F471" s="2286">
        <v>5438</v>
      </c>
      <c r="G471" s="2287">
        <v>0</v>
      </c>
      <c r="H471" s="2287">
        <v>3461</v>
      </c>
      <c r="I471" s="2287">
        <v>5716</v>
      </c>
      <c r="J471" s="2286">
        <v>6431</v>
      </c>
    </row>
    <row r="472" spans="1:10" s="4722" customFormat="1" ht="13.5">
      <c r="A472" s="2287">
        <v>23400</v>
      </c>
      <c r="B472" s="2286">
        <v>23450</v>
      </c>
      <c r="C472" s="2287">
        <v>0</v>
      </c>
      <c r="D472" s="2287">
        <v>2700</v>
      </c>
      <c r="E472" s="2287">
        <v>4712</v>
      </c>
      <c r="F472" s="2286">
        <v>5427</v>
      </c>
      <c r="G472" s="2287">
        <v>0</v>
      </c>
      <c r="H472" s="2287">
        <v>3461</v>
      </c>
      <c r="I472" s="2287">
        <v>5716</v>
      </c>
      <c r="J472" s="2286">
        <v>6431</v>
      </c>
    </row>
    <row r="473" spans="1:10" s="4722" customFormat="1" ht="13.5">
      <c r="A473" s="2287">
        <v>23450</v>
      </c>
      <c r="B473" s="2286">
        <v>23500</v>
      </c>
      <c r="C473" s="2287">
        <v>0</v>
      </c>
      <c r="D473" s="2287">
        <v>2692</v>
      </c>
      <c r="E473" s="2287">
        <v>4702</v>
      </c>
      <c r="F473" s="2286">
        <v>5416</v>
      </c>
      <c r="G473" s="2287">
        <v>0</v>
      </c>
      <c r="H473" s="2287">
        <v>3461</v>
      </c>
      <c r="I473" s="2287">
        <v>5716</v>
      </c>
      <c r="J473" s="2286">
        <v>6431</v>
      </c>
    </row>
    <row r="474" spans="1:10" s="4722" customFormat="1" ht="13.5">
      <c r="A474" s="2287">
        <v>23500</v>
      </c>
      <c r="B474" s="2286">
        <v>23550</v>
      </c>
      <c r="C474" s="2287">
        <v>0</v>
      </c>
      <c r="D474" s="2287">
        <v>2684</v>
      </c>
      <c r="E474" s="2287">
        <v>4691</v>
      </c>
      <c r="F474" s="2286">
        <v>5406</v>
      </c>
      <c r="G474" s="2287">
        <v>0</v>
      </c>
      <c r="H474" s="2287">
        <v>3461</v>
      </c>
      <c r="I474" s="2287">
        <v>5716</v>
      </c>
      <c r="J474" s="2286">
        <v>6431</v>
      </c>
    </row>
    <row r="475" spans="1:10" s="4722" customFormat="1" ht="13.5">
      <c r="A475" s="2287">
        <v>23550</v>
      </c>
      <c r="B475" s="2286">
        <v>23600</v>
      </c>
      <c r="C475" s="2287">
        <v>0</v>
      </c>
      <c r="D475" s="2287">
        <v>2676</v>
      </c>
      <c r="E475" s="2287">
        <v>4681</v>
      </c>
      <c r="F475" s="2286">
        <v>5395</v>
      </c>
      <c r="G475" s="2287">
        <v>0</v>
      </c>
      <c r="H475" s="2287">
        <v>3461</v>
      </c>
      <c r="I475" s="2287">
        <v>5716</v>
      </c>
      <c r="J475" s="2286">
        <v>6431</v>
      </c>
    </row>
    <row r="476" spans="1:10" s="4722" customFormat="1" ht="13.5">
      <c r="A476" s="2287">
        <v>23600</v>
      </c>
      <c r="B476" s="2286">
        <v>23650</v>
      </c>
      <c r="C476" s="2287">
        <v>0</v>
      </c>
      <c r="D476" s="2287">
        <v>2668</v>
      </c>
      <c r="E476" s="2287">
        <v>4670</v>
      </c>
      <c r="F476" s="2286">
        <v>5385</v>
      </c>
      <c r="G476" s="2287">
        <v>0</v>
      </c>
      <c r="H476" s="2287">
        <v>3461</v>
      </c>
      <c r="I476" s="2287">
        <v>5716</v>
      </c>
      <c r="J476" s="2286">
        <v>6431</v>
      </c>
    </row>
    <row r="477" spans="1:10" s="4722" customFormat="1" ht="13.5">
      <c r="A477" s="2287">
        <v>23650</v>
      </c>
      <c r="B477" s="2286">
        <v>23700</v>
      </c>
      <c r="C477" s="2287">
        <v>0</v>
      </c>
      <c r="D477" s="2287">
        <v>2660</v>
      </c>
      <c r="E477" s="2287">
        <v>4660</v>
      </c>
      <c r="F477" s="2286">
        <v>5374</v>
      </c>
      <c r="G477" s="2287">
        <v>0</v>
      </c>
      <c r="H477" s="2287">
        <v>3461</v>
      </c>
      <c r="I477" s="2287">
        <v>5716</v>
      </c>
      <c r="J477" s="2286">
        <v>6431</v>
      </c>
    </row>
    <row r="478" spans="1:10" s="4722" customFormat="1" ht="13.5">
      <c r="A478" s="2287">
        <v>23700</v>
      </c>
      <c r="B478" s="2286">
        <v>23750</v>
      </c>
      <c r="C478" s="2287">
        <v>0</v>
      </c>
      <c r="D478" s="2287">
        <v>2652</v>
      </c>
      <c r="E478" s="2287">
        <v>4649</v>
      </c>
      <c r="F478" s="2286">
        <v>5364</v>
      </c>
      <c r="G478" s="2287">
        <v>0</v>
      </c>
      <c r="H478" s="2287">
        <v>3461</v>
      </c>
      <c r="I478" s="2287">
        <v>5716</v>
      </c>
      <c r="J478" s="2286">
        <v>6431</v>
      </c>
    </row>
    <row r="479" spans="1:10" s="4722" customFormat="1" ht="13.5">
      <c r="A479" s="2287">
        <v>23750</v>
      </c>
      <c r="B479" s="2286">
        <v>23800</v>
      </c>
      <c r="C479" s="2287">
        <v>0</v>
      </c>
      <c r="D479" s="2287">
        <v>2644</v>
      </c>
      <c r="E479" s="2287">
        <v>4639</v>
      </c>
      <c r="F479" s="2286">
        <v>5353</v>
      </c>
      <c r="G479" s="2287">
        <v>0</v>
      </c>
      <c r="H479" s="2287">
        <v>3461</v>
      </c>
      <c r="I479" s="2287">
        <v>5716</v>
      </c>
      <c r="J479" s="2286">
        <v>6431</v>
      </c>
    </row>
    <row r="480" spans="1:10" s="4722" customFormat="1" ht="13.5">
      <c r="A480" s="2287">
        <v>23800</v>
      </c>
      <c r="B480" s="2286">
        <v>23850</v>
      </c>
      <c r="C480" s="2287">
        <v>0</v>
      </c>
      <c r="D480" s="2287">
        <v>2636</v>
      </c>
      <c r="E480" s="2287">
        <v>4628</v>
      </c>
      <c r="F480" s="2286">
        <v>5343</v>
      </c>
      <c r="G480" s="2287">
        <v>0</v>
      </c>
      <c r="H480" s="2287">
        <v>3461</v>
      </c>
      <c r="I480" s="2287">
        <v>5716</v>
      </c>
      <c r="J480" s="2286">
        <v>6431</v>
      </c>
    </row>
    <row r="481" spans="1:10" s="4722" customFormat="1" ht="13.5">
      <c r="A481" s="2287">
        <v>23850</v>
      </c>
      <c r="B481" s="2286">
        <v>23900</v>
      </c>
      <c r="C481" s="2287">
        <v>0</v>
      </c>
      <c r="D481" s="2287">
        <v>2628</v>
      </c>
      <c r="E481" s="2287">
        <v>4618</v>
      </c>
      <c r="F481" s="2286">
        <v>5332</v>
      </c>
      <c r="G481" s="2287">
        <v>0</v>
      </c>
      <c r="H481" s="2287">
        <v>3461</v>
      </c>
      <c r="I481" s="2287">
        <v>5716</v>
      </c>
      <c r="J481" s="2286">
        <v>6431</v>
      </c>
    </row>
    <row r="482" spans="1:10" s="4722" customFormat="1" ht="13.5">
      <c r="A482" s="2287">
        <v>23900</v>
      </c>
      <c r="B482" s="2286">
        <v>23950</v>
      </c>
      <c r="C482" s="2287">
        <v>0</v>
      </c>
      <c r="D482" s="2287">
        <v>2620</v>
      </c>
      <c r="E482" s="2287">
        <v>4607</v>
      </c>
      <c r="F482" s="2286">
        <v>5322</v>
      </c>
      <c r="G482" s="2287">
        <v>0</v>
      </c>
      <c r="H482" s="2287">
        <v>3461</v>
      </c>
      <c r="I482" s="2287">
        <v>5716</v>
      </c>
      <c r="J482" s="2286">
        <v>6431</v>
      </c>
    </row>
    <row r="483" spans="1:10" s="4722" customFormat="1" ht="13.5">
      <c r="A483" s="2287">
        <v>23950</v>
      </c>
      <c r="B483" s="2286">
        <v>24000</v>
      </c>
      <c r="C483" s="2287">
        <v>0</v>
      </c>
      <c r="D483" s="2287">
        <v>2612</v>
      </c>
      <c r="E483" s="2287">
        <v>4597</v>
      </c>
      <c r="F483" s="2286">
        <v>5311</v>
      </c>
      <c r="G483" s="2287">
        <v>0</v>
      </c>
      <c r="H483" s="2287">
        <v>3461</v>
      </c>
      <c r="I483" s="2287">
        <v>5716</v>
      </c>
      <c r="J483" s="2286">
        <v>6431</v>
      </c>
    </row>
    <row r="484" spans="1:10" s="4722" customFormat="1" ht="13.5">
      <c r="A484" s="2287">
        <v>24000</v>
      </c>
      <c r="B484" s="2286">
        <v>24050</v>
      </c>
      <c r="C484" s="2287">
        <v>0</v>
      </c>
      <c r="D484" s="2287">
        <v>2604</v>
      </c>
      <c r="E484" s="2287">
        <v>4586</v>
      </c>
      <c r="F484" s="2286">
        <v>5301</v>
      </c>
      <c r="G484" s="2287">
        <v>0</v>
      </c>
      <c r="H484" s="2287">
        <v>3461</v>
      </c>
      <c r="I484" s="2287">
        <v>5716</v>
      </c>
      <c r="J484" s="2286">
        <v>6431</v>
      </c>
    </row>
    <row r="485" spans="1:10" s="4722" customFormat="1" ht="13.5">
      <c r="A485" s="2287">
        <v>24050</v>
      </c>
      <c r="B485" s="2286">
        <v>24100</v>
      </c>
      <c r="C485" s="2287">
        <v>0</v>
      </c>
      <c r="D485" s="2287">
        <v>2596</v>
      </c>
      <c r="E485" s="2287">
        <v>4576</v>
      </c>
      <c r="F485" s="2286">
        <v>5290</v>
      </c>
      <c r="G485" s="2287">
        <v>0</v>
      </c>
      <c r="H485" s="2287">
        <v>3461</v>
      </c>
      <c r="I485" s="2287">
        <v>5716</v>
      </c>
      <c r="J485" s="2286">
        <v>6431</v>
      </c>
    </row>
    <row r="486" spans="1:10" s="4722" customFormat="1" ht="13.5">
      <c r="A486" s="2287">
        <v>24100</v>
      </c>
      <c r="B486" s="2286">
        <v>24150</v>
      </c>
      <c r="C486" s="2287">
        <v>0</v>
      </c>
      <c r="D486" s="2287">
        <v>2588</v>
      </c>
      <c r="E486" s="2287">
        <v>4565</v>
      </c>
      <c r="F486" s="2286">
        <v>5280</v>
      </c>
      <c r="G486" s="2287">
        <v>0</v>
      </c>
      <c r="H486" s="2287">
        <v>3461</v>
      </c>
      <c r="I486" s="2287">
        <v>5716</v>
      </c>
      <c r="J486" s="2286">
        <v>6431</v>
      </c>
    </row>
    <row r="487" spans="1:10" s="4722" customFormat="1" ht="13.5">
      <c r="A487" s="2287">
        <v>24150</v>
      </c>
      <c r="B487" s="2286">
        <v>24200</v>
      </c>
      <c r="C487" s="2287">
        <v>0</v>
      </c>
      <c r="D487" s="2287">
        <v>2580</v>
      </c>
      <c r="E487" s="2287">
        <v>4555</v>
      </c>
      <c r="F487" s="2286">
        <v>5269</v>
      </c>
      <c r="G487" s="2287">
        <v>0</v>
      </c>
      <c r="H487" s="2287">
        <v>3461</v>
      </c>
      <c r="I487" s="2287">
        <v>5716</v>
      </c>
      <c r="J487" s="2286">
        <v>6431</v>
      </c>
    </row>
    <row r="488" spans="1:10" s="4722" customFormat="1" ht="13.5">
      <c r="A488" s="2287">
        <v>24200</v>
      </c>
      <c r="B488" s="2286">
        <v>24250</v>
      </c>
      <c r="C488" s="2287">
        <v>0</v>
      </c>
      <c r="D488" s="2287">
        <v>2572</v>
      </c>
      <c r="E488" s="2287">
        <v>4544</v>
      </c>
      <c r="F488" s="2286">
        <v>5259</v>
      </c>
      <c r="G488" s="2287">
        <v>0</v>
      </c>
      <c r="H488" s="2287">
        <v>3461</v>
      </c>
      <c r="I488" s="2287">
        <v>5716</v>
      </c>
      <c r="J488" s="2286">
        <v>6431</v>
      </c>
    </row>
    <row r="489" spans="1:10" s="4722" customFormat="1" ht="13.5">
      <c r="A489" s="2287">
        <v>24250</v>
      </c>
      <c r="B489" s="2286">
        <v>24300</v>
      </c>
      <c r="C489" s="2287">
        <v>0</v>
      </c>
      <c r="D489" s="2287">
        <v>2564</v>
      </c>
      <c r="E489" s="2287">
        <v>4533</v>
      </c>
      <c r="F489" s="2286">
        <v>5248</v>
      </c>
      <c r="G489" s="2287">
        <v>0</v>
      </c>
      <c r="H489" s="2287">
        <v>3461</v>
      </c>
      <c r="I489" s="2287">
        <v>5716</v>
      </c>
      <c r="J489" s="2286">
        <v>6431</v>
      </c>
    </row>
    <row r="490" spans="1:10" s="4722" customFormat="1" ht="13.5">
      <c r="A490" s="2287">
        <v>24300</v>
      </c>
      <c r="B490" s="2286">
        <v>24351</v>
      </c>
      <c r="C490" s="2287">
        <v>0</v>
      </c>
      <c r="D490" s="2287">
        <v>2556</v>
      </c>
      <c r="E490" s="2287">
        <v>4523</v>
      </c>
      <c r="F490" s="2286">
        <v>5237</v>
      </c>
      <c r="G490" s="2287">
        <v>0</v>
      </c>
      <c r="H490" s="2287">
        <v>3461</v>
      </c>
      <c r="I490" s="2287">
        <v>5716</v>
      </c>
      <c r="J490" s="2286">
        <v>6431</v>
      </c>
    </row>
    <row r="491" spans="1:10" s="4722" customFormat="1" ht="13.5">
      <c r="A491" s="2287">
        <v>24351</v>
      </c>
      <c r="B491" s="2286">
        <v>24400</v>
      </c>
      <c r="C491" s="2287">
        <v>0</v>
      </c>
      <c r="D491" s="2287">
        <v>2548</v>
      </c>
      <c r="E491" s="2287">
        <v>4512</v>
      </c>
      <c r="F491" s="2286">
        <v>5227</v>
      </c>
      <c r="G491" s="2287">
        <v>0</v>
      </c>
      <c r="H491" s="2287">
        <v>3457</v>
      </c>
      <c r="I491" s="2287">
        <v>5711</v>
      </c>
      <c r="J491" s="2286">
        <v>6425</v>
      </c>
    </row>
    <row r="492" spans="1:10" s="4722" customFormat="1" ht="13.5">
      <c r="A492" s="2287">
        <v>24400</v>
      </c>
      <c r="B492" s="2286">
        <v>24450</v>
      </c>
      <c r="C492" s="2287">
        <v>0</v>
      </c>
      <c r="D492" s="2287">
        <v>2540</v>
      </c>
      <c r="E492" s="2287">
        <v>4502</v>
      </c>
      <c r="F492" s="2286">
        <v>5216</v>
      </c>
      <c r="G492" s="2287">
        <v>0</v>
      </c>
      <c r="H492" s="2287">
        <v>3449</v>
      </c>
      <c r="I492" s="2287">
        <v>5700</v>
      </c>
      <c r="J492" s="2286">
        <v>6415</v>
      </c>
    </row>
    <row r="493" spans="1:10" s="4722" customFormat="1" ht="13.5">
      <c r="A493" s="2287">
        <v>24450</v>
      </c>
      <c r="B493" s="2286">
        <v>24500</v>
      </c>
      <c r="C493" s="2287">
        <v>0</v>
      </c>
      <c r="D493" s="2287">
        <v>2532</v>
      </c>
      <c r="E493" s="2287">
        <v>4491</v>
      </c>
      <c r="F493" s="2286">
        <v>5206</v>
      </c>
      <c r="G493" s="2287">
        <v>0</v>
      </c>
      <c r="H493" s="2287">
        <v>3441</v>
      </c>
      <c r="I493" s="2287">
        <v>5690</v>
      </c>
      <c r="J493" s="2286">
        <v>6404</v>
      </c>
    </row>
    <row r="494" spans="1:10" s="4722" customFormat="1" ht="13.5">
      <c r="A494" s="2287">
        <v>24500</v>
      </c>
      <c r="B494" s="2286">
        <v>24550</v>
      </c>
      <c r="C494" s="2287">
        <v>0</v>
      </c>
      <c r="D494" s="2287">
        <v>2524</v>
      </c>
      <c r="E494" s="2287">
        <v>4481</v>
      </c>
      <c r="F494" s="2286">
        <v>5195</v>
      </c>
      <c r="G494" s="2287">
        <v>0</v>
      </c>
      <c r="H494" s="2287">
        <v>3433</v>
      </c>
      <c r="I494" s="2287">
        <v>5679</v>
      </c>
      <c r="J494" s="2286">
        <v>6394</v>
      </c>
    </row>
    <row r="495" spans="1:10" s="4722" customFormat="1" ht="13.5">
      <c r="A495" s="2287">
        <v>24550</v>
      </c>
      <c r="B495" s="2286">
        <v>24600</v>
      </c>
      <c r="C495" s="2287">
        <v>0</v>
      </c>
      <c r="D495" s="2287">
        <v>2516</v>
      </c>
      <c r="E495" s="2287">
        <v>4470</v>
      </c>
      <c r="F495" s="2286">
        <v>5185</v>
      </c>
      <c r="G495" s="2287">
        <v>0</v>
      </c>
      <c r="H495" s="2287">
        <v>3425</v>
      </c>
      <c r="I495" s="2287">
        <v>5669</v>
      </c>
      <c r="J495" s="2286">
        <v>6383</v>
      </c>
    </row>
    <row r="496" spans="1:10" s="4722" customFormat="1" ht="13.5">
      <c r="A496" s="2287">
        <v>24600</v>
      </c>
      <c r="B496" s="2286">
        <v>24650</v>
      </c>
      <c r="C496" s="2287">
        <v>0</v>
      </c>
      <c r="D496" s="2287">
        <v>2508</v>
      </c>
      <c r="E496" s="2287">
        <v>4460</v>
      </c>
      <c r="F496" s="2286">
        <v>5174</v>
      </c>
      <c r="G496" s="2287">
        <v>0</v>
      </c>
      <c r="H496" s="2287">
        <v>3417</v>
      </c>
      <c r="I496" s="2287">
        <v>5658</v>
      </c>
      <c r="J496" s="2286">
        <v>6373</v>
      </c>
    </row>
    <row r="497" spans="1:10" s="4722" customFormat="1" ht="13.5">
      <c r="A497" s="2287">
        <v>24650</v>
      </c>
      <c r="B497" s="2286">
        <v>24700</v>
      </c>
      <c r="C497" s="2287">
        <v>0</v>
      </c>
      <c r="D497" s="2287">
        <v>2500</v>
      </c>
      <c r="E497" s="2287">
        <v>4449</v>
      </c>
      <c r="F497" s="2286">
        <v>5164</v>
      </c>
      <c r="G497" s="2287">
        <v>0</v>
      </c>
      <c r="H497" s="2287">
        <v>3409</v>
      </c>
      <c r="I497" s="2287">
        <v>5648</v>
      </c>
      <c r="J497" s="2286">
        <v>6362</v>
      </c>
    </row>
    <row r="498" spans="1:10" s="4722" customFormat="1" ht="13.5">
      <c r="A498" s="2287">
        <v>24700</v>
      </c>
      <c r="B498" s="2286">
        <v>24750</v>
      </c>
      <c r="C498" s="2287">
        <v>0</v>
      </c>
      <c r="D498" s="2287">
        <v>2492</v>
      </c>
      <c r="E498" s="2287">
        <v>4439</v>
      </c>
      <c r="F498" s="2286">
        <v>5153</v>
      </c>
      <c r="G498" s="2287">
        <v>0</v>
      </c>
      <c r="H498" s="2287">
        <v>3401</v>
      </c>
      <c r="I498" s="2287">
        <v>5637</v>
      </c>
      <c r="J498" s="2286">
        <v>6352</v>
      </c>
    </row>
    <row r="499" spans="1:10" s="4722" customFormat="1" ht="13.5">
      <c r="A499" s="2287">
        <v>24750</v>
      </c>
      <c r="B499" s="2286">
        <v>24800</v>
      </c>
      <c r="C499" s="2287">
        <v>0</v>
      </c>
      <c r="D499" s="2287">
        <v>2484</v>
      </c>
      <c r="E499" s="2287">
        <v>4428</v>
      </c>
      <c r="F499" s="2286">
        <v>5143</v>
      </c>
      <c r="G499" s="2287">
        <v>0</v>
      </c>
      <c r="H499" s="2287">
        <v>3393</v>
      </c>
      <c r="I499" s="2287">
        <v>5626</v>
      </c>
      <c r="J499" s="2286">
        <v>6341</v>
      </c>
    </row>
    <row r="500" spans="1:10" s="4722" customFormat="1" ht="13.5">
      <c r="A500" s="2287">
        <v>24800</v>
      </c>
      <c r="B500" s="2286">
        <v>24850</v>
      </c>
      <c r="C500" s="2287">
        <v>0</v>
      </c>
      <c r="D500" s="2287">
        <v>2476</v>
      </c>
      <c r="E500" s="2287">
        <v>4418</v>
      </c>
      <c r="F500" s="2286">
        <v>5132</v>
      </c>
      <c r="G500" s="2287">
        <v>0</v>
      </c>
      <c r="H500" s="2287">
        <v>3385</v>
      </c>
      <c r="I500" s="2287">
        <v>5616</v>
      </c>
      <c r="J500" s="2286">
        <v>6330</v>
      </c>
    </row>
    <row r="501" spans="1:10" s="4722" customFormat="1" ht="13.5">
      <c r="A501" s="2287">
        <v>24850</v>
      </c>
      <c r="B501" s="2286">
        <v>24900</v>
      </c>
      <c r="C501" s="2287">
        <v>0</v>
      </c>
      <c r="D501" s="2287">
        <v>2468</v>
      </c>
      <c r="E501" s="2287">
        <v>4407</v>
      </c>
      <c r="F501" s="2286">
        <v>5122</v>
      </c>
      <c r="G501" s="2287">
        <v>0</v>
      </c>
      <c r="H501" s="2287">
        <v>3377</v>
      </c>
      <c r="I501" s="2287">
        <v>5605</v>
      </c>
      <c r="J501" s="2286">
        <v>6320</v>
      </c>
    </row>
    <row r="502" spans="1:10" s="4722" customFormat="1" ht="13.5">
      <c r="A502" s="2287">
        <v>24900</v>
      </c>
      <c r="B502" s="2286">
        <v>24950</v>
      </c>
      <c r="C502" s="2287">
        <v>0</v>
      </c>
      <c r="D502" s="2287">
        <v>2460</v>
      </c>
      <c r="E502" s="2287">
        <v>4397</v>
      </c>
      <c r="F502" s="2286">
        <v>5111</v>
      </c>
      <c r="G502" s="2287">
        <v>0</v>
      </c>
      <c r="H502" s="2287">
        <v>3369</v>
      </c>
      <c r="I502" s="2287">
        <v>5595</v>
      </c>
      <c r="J502" s="2286">
        <v>6309</v>
      </c>
    </row>
    <row r="503" spans="1:10" s="4722" customFormat="1" ht="13.5">
      <c r="A503" s="2287">
        <v>24950</v>
      </c>
      <c r="B503" s="2286">
        <v>25000</v>
      </c>
      <c r="C503" s="2287">
        <v>0</v>
      </c>
      <c r="D503" s="2287">
        <v>2452</v>
      </c>
      <c r="E503" s="2287">
        <v>4386</v>
      </c>
      <c r="F503" s="2286">
        <v>5101</v>
      </c>
      <c r="G503" s="2287">
        <v>0</v>
      </c>
      <c r="H503" s="2287">
        <v>3361</v>
      </c>
      <c r="I503" s="2287">
        <v>5584</v>
      </c>
      <c r="J503" s="2286">
        <v>6299</v>
      </c>
    </row>
    <row r="504" spans="1:10" s="4722" customFormat="1" ht="13.5">
      <c r="A504" s="2287">
        <v>25000</v>
      </c>
      <c r="B504" s="2286">
        <v>25050</v>
      </c>
      <c r="C504" s="2287">
        <v>0</v>
      </c>
      <c r="D504" s="2287">
        <v>2444</v>
      </c>
      <c r="E504" s="2287">
        <v>4376</v>
      </c>
      <c r="F504" s="2286">
        <v>5090</v>
      </c>
      <c r="G504" s="2287">
        <v>0</v>
      </c>
      <c r="H504" s="2287">
        <v>3353</v>
      </c>
      <c r="I504" s="2287">
        <v>5574</v>
      </c>
      <c r="J504" s="2286">
        <v>6288</v>
      </c>
    </row>
    <row r="505" spans="1:10" s="4722" customFormat="1" ht="13.5">
      <c r="A505" s="2287">
        <v>25050</v>
      </c>
      <c r="B505" s="2286">
        <v>25100</v>
      </c>
      <c r="C505" s="2287">
        <v>0</v>
      </c>
      <c r="D505" s="2287">
        <v>2436</v>
      </c>
      <c r="E505" s="2287">
        <v>4365</v>
      </c>
      <c r="F505" s="2286">
        <v>5080</v>
      </c>
      <c r="G505" s="2287">
        <v>0</v>
      </c>
      <c r="H505" s="2287">
        <v>3345</v>
      </c>
      <c r="I505" s="2287">
        <v>5563</v>
      </c>
      <c r="J505" s="2286">
        <v>6278</v>
      </c>
    </row>
    <row r="506" spans="1:10" s="4722" customFormat="1" ht="13.5">
      <c r="A506" s="2287">
        <v>25100</v>
      </c>
      <c r="B506" s="2286">
        <v>25150</v>
      </c>
      <c r="C506" s="2287">
        <v>0</v>
      </c>
      <c r="D506" s="2287">
        <v>2428</v>
      </c>
      <c r="E506" s="2287">
        <v>4354</v>
      </c>
      <c r="F506" s="2286">
        <v>5069</v>
      </c>
      <c r="G506" s="2287">
        <v>0</v>
      </c>
      <c r="H506" s="2287">
        <v>3337</v>
      </c>
      <c r="I506" s="2287">
        <v>5553</v>
      </c>
      <c r="J506" s="2286">
        <v>6267</v>
      </c>
    </row>
    <row r="507" spans="1:10" s="4722" customFormat="1" ht="13.5">
      <c r="A507" s="2287">
        <v>25150</v>
      </c>
      <c r="B507" s="2286">
        <v>25200</v>
      </c>
      <c r="C507" s="2287">
        <v>0</v>
      </c>
      <c r="D507" s="2287">
        <v>2420</v>
      </c>
      <c r="E507" s="2287">
        <v>4344</v>
      </c>
      <c r="F507" s="2286">
        <v>5058</v>
      </c>
      <c r="G507" s="2287">
        <v>0</v>
      </c>
      <c r="H507" s="2287">
        <v>3329</v>
      </c>
      <c r="I507" s="2287">
        <v>5542</v>
      </c>
      <c r="J507" s="2286">
        <v>6257</v>
      </c>
    </row>
    <row r="508" spans="1:10" s="4722" customFormat="1" ht="13.5">
      <c r="A508" s="2287">
        <v>25200</v>
      </c>
      <c r="B508" s="2286">
        <v>25250</v>
      </c>
      <c r="C508" s="2287">
        <v>0</v>
      </c>
      <c r="D508" s="2287">
        <v>2412</v>
      </c>
      <c r="E508" s="2287">
        <v>4333</v>
      </c>
      <c r="F508" s="2286">
        <v>5048</v>
      </c>
      <c r="G508" s="2287">
        <v>0</v>
      </c>
      <c r="H508" s="2287">
        <v>3321</v>
      </c>
      <c r="I508" s="2287">
        <v>5532</v>
      </c>
      <c r="J508" s="2286">
        <v>6246</v>
      </c>
    </row>
    <row r="509" spans="1:10" s="4722" customFormat="1" ht="13.5">
      <c r="A509" s="2287">
        <v>25250</v>
      </c>
      <c r="B509" s="2286">
        <v>25300</v>
      </c>
      <c r="C509" s="2287">
        <v>0</v>
      </c>
      <c r="D509" s="2287">
        <v>2404</v>
      </c>
      <c r="E509" s="2287">
        <v>4323</v>
      </c>
      <c r="F509" s="2286">
        <v>5037</v>
      </c>
      <c r="G509" s="2287">
        <v>0</v>
      </c>
      <c r="H509" s="2287">
        <v>3313</v>
      </c>
      <c r="I509" s="2287">
        <v>5521</v>
      </c>
      <c r="J509" s="2286">
        <v>6236</v>
      </c>
    </row>
    <row r="510" spans="1:10" s="4722" customFormat="1" ht="13.5">
      <c r="A510" s="2287">
        <v>25300</v>
      </c>
      <c r="B510" s="2286">
        <v>25350</v>
      </c>
      <c r="C510" s="2287">
        <v>0</v>
      </c>
      <c r="D510" s="2287">
        <v>2396</v>
      </c>
      <c r="E510" s="2287">
        <v>4312</v>
      </c>
      <c r="F510" s="2286">
        <v>5027</v>
      </c>
      <c r="G510" s="2287">
        <v>0</v>
      </c>
      <c r="H510" s="2287">
        <v>3305</v>
      </c>
      <c r="I510" s="2287">
        <v>5511</v>
      </c>
      <c r="J510" s="2286">
        <v>6225</v>
      </c>
    </row>
    <row r="511" spans="1:10" s="4722" customFormat="1" ht="13.5">
      <c r="A511" s="2287">
        <v>25350</v>
      </c>
      <c r="B511" s="2286">
        <v>25400</v>
      </c>
      <c r="C511" s="2287">
        <v>0</v>
      </c>
      <c r="D511" s="2287">
        <v>2388</v>
      </c>
      <c r="E511" s="2287">
        <v>4302</v>
      </c>
      <c r="F511" s="2286">
        <v>5016</v>
      </c>
      <c r="G511" s="2287">
        <v>0</v>
      </c>
      <c r="H511" s="2287">
        <v>3297</v>
      </c>
      <c r="I511" s="2287">
        <v>5500</v>
      </c>
      <c r="J511" s="2286">
        <v>6215</v>
      </c>
    </row>
    <row r="512" spans="1:10" s="4722" customFormat="1" ht="13.5">
      <c r="A512" s="2287">
        <v>25400</v>
      </c>
      <c r="B512" s="2286">
        <v>25450</v>
      </c>
      <c r="C512" s="2287">
        <v>0</v>
      </c>
      <c r="D512" s="2287">
        <v>2380</v>
      </c>
      <c r="E512" s="2287">
        <v>4291</v>
      </c>
      <c r="F512" s="2286">
        <v>5006</v>
      </c>
      <c r="G512" s="2287">
        <v>0</v>
      </c>
      <c r="H512" s="2287">
        <v>3289</v>
      </c>
      <c r="I512" s="2287">
        <v>5490</v>
      </c>
      <c r="J512" s="2286">
        <v>6204</v>
      </c>
    </row>
    <row r="513" spans="1:10" s="4722" customFormat="1" ht="13.5">
      <c r="A513" s="2287">
        <v>25450</v>
      </c>
      <c r="B513" s="2286">
        <v>25500</v>
      </c>
      <c r="C513" s="2287">
        <v>0</v>
      </c>
      <c r="D513" s="2287">
        <v>2372</v>
      </c>
      <c r="E513" s="2287">
        <v>4281</v>
      </c>
      <c r="F513" s="2286">
        <v>4995</v>
      </c>
      <c r="G513" s="2287">
        <v>0</v>
      </c>
      <c r="H513" s="2287">
        <v>3281</v>
      </c>
      <c r="I513" s="2287">
        <v>5479</v>
      </c>
      <c r="J513" s="2286">
        <v>6194</v>
      </c>
    </row>
    <row r="514" spans="1:10" s="4722" customFormat="1" ht="13.5">
      <c r="A514" s="2287">
        <v>25500</v>
      </c>
      <c r="B514" s="2286">
        <v>25550</v>
      </c>
      <c r="C514" s="2287">
        <v>0</v>
      </c>
      <c r="D514" s="2287">
        <v>2364</v>
      </c>
      <c r="E514" s="2287">
        <v>4270</v>
      </c>
      <c r="F514" s="2286">
        <v>4985</v>
      </c>
      <c r="G514" s="2287">
        <v>0</v>
      </c>
      <c r="H514" s="2287">
        <v>3273</v>
      </c>
      <c r="I514" s="2287">
        <v>5469</v>
      </c>
      <c r="J514" s="2286">
        <v>6183</v>
      </c>
    </row>
    <row r="515" spans="1:10" s="4722" customFormat="1" ht="13.5">
      <c r="A515" s="2287">
        <v>25550</v>
      </c>
      <c r="B515" s="2286">
        <v>25600</v>
      </c>
      <c r="C515" s="2287">
        <v>0</v>
      </c>
      <c r="D515" s="2287">
        <v>2356</v>
      </c>
      <c r="E515" s="2287">
        <v>4260</v>
      </c>
      <c r="F515" s="2286">
        <v>4974</v>
      </c>
      <c r="G515" s="2287">
        <v>0</v>
      </c>
      <c r="H515" s="2287">
        <v>3265</v>
      </c>
      <c r="I515" s="2287">
        <v>5458</v>
      </c>
      <c r="J515" s="2286">
        <v>6173</v>
      </c>
    </row>
    <row r="516" spans="1:10" s="4722" customFormat="1" ht="13.5">
      <c r="A516" s="2287">
        <v>25600</v>
      </c>
      <c r="B516" s="2286">
        <v>25650</v>
      </c>
      <c r="C516" s="2287">
        <v>0</v>
      </c>
      <c r="D516" s="2287">
        <v>2348</v>
      </c>
      <c r="E516" s="2287">
        <v>4249</v>
      </c>
      <c r="F516" s="2286">
        <v>4964</v>
      </c>
      <c r="G516" s="2287">
        <v>0</v>
      </c>
      <c r="H516" s="2287">
        <v>3257</v>
      </c>
      <c r="I516" s="2287">
        <v>5447</v>
      </c>
      <c r="J516" s="2286">
        <v>6162</v>
      </c>
    </row>
    <row r="517" spans="1:10" s="4722" customFormat="1" ht="13.5">
      <c r="A517" s="2287">
        <v>25650</v>
      </c>
      <c r="B517" s="2286">
        <v>25700</v>
      </c>
      <c r="C517" s="2287">
        <v>0</v>
      </c>
      <c r="D517" s="2287">
        <v>2340</v>
      </c>
      <c r="E517" s="2287">
        <v>4239</v>
      </c>
      <c r="F517" s="2286">
        <v>4953</v>
      </c>
      <c r="G517" s="2287">
        <v>0</v>
      </c>
      <c r="H517" s="2287">
        <v>3249</v>
      </c>
      <c r="I517" s="2287">
        <v>5437</v>
      </c>
      <c r="J517" s="2286">
        <v>6151</v>
      </c>
    </row>
    <row r="518" spans="1:10" s="4722" customFormat="1" ht="13.5">
      <c r="A518" s="2287">
        <v>25700</v>
      </c>
      <c r="B518" s="2286">
        <v>25750</v>
      </c>
      <c r="C518" s="2287">
        <v>0</v>
      </c>
      <c r="D518" s="2287">
        <v>2332</v>
      </c>
      <c r="E518" s="2287">
        <v>4228</v>
      </c>
      <c r="F518" s="2286">
        <v>4943</v>
      </c>
      <c r="G518" s="2287">
        <v>0</v>
      </c>
      <c r="H518" s="2287">
        <v>3241</v>
      </c>
      <c r="I518" s="2287">
        <v>5426</v>
      </c>
      <c r="J518" s="2286">
        <v>6141</v>
      </c>
    </row>
    <row r="519" spans="1:10" s="4722" customFormat="1" ht="13.5">
      <c r="A519" s="2287">
        <v>25750</v>
      </c>
      <c r="B519" s="2286">
        <v>25800</v>
      </c>
      <c r="C519" s="2287">
        <v>0</v>
      </c>
      <c r="D519" s="2287">
        <v>2324</v>
      </c>
      <c r="E519" s="2287">
        <v>4218</v>
      </c>
      <c r="F519" s="2286">
        <v>4932</v>
      </c>
      <c r="G519" s="2287">
        <v>0</v>
      </c>
      <c r="H519" s="2287">
        <v>3233</v>
      </c>
      <c r="I519" s="2287">
        <v>5416</v>
      </c>
      <c r="J519" s="2286">
        <v>6130</v>
      </c>
    </row>
    <row r="520" spans="1:10" s="4722" customFormat="1" ht="13.5">
      <c r="A520" s="2287">
        <v>25800</v>
      </c>
      <c r="B520" s="2286">
        <v>25850</v>
      </c>
      <c r="C520" s="2287">
        <v>0</v>
      </c>
      <c r="D520" s="2287">
        <v>2316</v>
      </c>
      <c r="E520" s="2287">
        <v>4207</v>
      </c>
      <c r="F520" s="2286">
        <v>4922</v>
      </c>
      <c r="G520" s="2287">
        <v>0</v>
      </c>
      <c r="H520" s="2287">
        <v>3225</v>
      </c>
      <c r="I520" s="2287">
        <v>5405</v>
      </c>
      <c r="J520" s="2286">
        <v>6120</v>
      </c>
    </row>
    <row r="521" spans="1:10" s="4722" customFormat="1" ht="13.5">
      <c r="A521" s="2287">
        <v>25850</v>
      </c>
      <c r="B521" s="2286">
        <v>25900</v>
      </c>
      <c r="C521" s="2287">
        <v>0</v>
      </c>
      <c r="D521" s="2287">
        <v>2308</v>
      </c>
      <c r="E521" s="2287">
        <v>4197</v>
      </c>
      <c r="F521" s="2286">
        <v>4911</v>
      </c>
      <c r="G521" s="2287">
        <v>0</v>
      </c>
      <c r="H521" s="2287">
        <v>3218</v>
      </c>
      <c r="I521" s="2287">
        <v>5395</v>
      </c>
      <c r="J521" s="2286">
        <v>6109</v>
      </c>
    </row>
    <row r="522" spans="1:10" s="4722" customFormat="1" ht="13.5">
      <c r="A522" s="2287">
        <v>25900</v>
      </c>
      <c r="B522" s="2286">
        <v>25950</v>
      </c>
      <c r="C522" s="2287">
        <v>0</v>
      </c>
      <c r="D522" s="2287">
        <v>2300</v>
      </c>
      <c r="E522" s="2287">
        <v>4186</v>
      </c>
      <c r="F522" s="2286">
        <v>4900</v>
      </c>
      <c r="G522" s="2287">
        <v>0</v>
      </c>
      <c r="H522" s="2287">
        <v>3210</v>
      </c>
      <c r="I522" s="2287">
        <v>5384</v>
      </c>
      <c r="J522" s="2286">
        <v>6099</v>
      </c>
    </row>
    <row r="523" spans="1:10" s="4722" customFormat="1" ht="13.5">
      <c r="A523" s="2287">
        <v>25950</v>
      </c>
      <c r="B523" s="2286">
        <v>26000</v>
      </c>
      <c r="C523" s="2287">
        <v>0</v>
      </c>
      <c r="D523" s="2287">
        <v>2292</v>
      </c>
      <c r="E523" s="2287">
        <v>4175</v>
      </c>
      <c r="F523" s="2286">
        <v>4890</v>
      </c>
      <c r="G523" s="2287">
        <v>0</v>
      </c>
      <c r="H523" s="2287">
        <v>3202</v>
      </c>
      <c r="I523" s="2287">
        <v>5374</v>
      </c>
      <c r="J523" s="2286">
        <v>6088</v>
      </c>
    </row>
    <row r="524" spans="1:10" s="4722" customFormat="1" ht="13.5">
      <c r="A524" s="2287">
        <v>26000</v>
      </c>
      <c r="B524" s="2286">
        <v>26050</v>
      </c>
      <c r="C524" s="2287">
        <v>0</v>
      </c>
      <c r="D524" s="2287">
        <v>2284</v>
      </c>
      <c r="E524" s="2287">
        <v>4165</v>
      </c>
      <c r="F524" s="2286">
        <v>4879</v>
      </c>
      <c r="G524" s="2287">
        <v>0</v>
      </c>
      <c r="H524" s="2287">
        <v>3194</v>
      </c>
      <c r="I524" s="2287">
        <v>5363</v>
      </c>
      <c r="J524" s="2286">
        <v>6078</v>
      </c>
    </row>
    <row r="525" spans="1:10" s="4722" customFormat="1" ht="13.5">
      <c r="A525" s="2287">
        <v>26050</v>
      </c>
      <c r="B525" s="2286">
        <v>26100</v>
      </c>
      <c r="C525" s="2287">
        <v>0</v>
      </c>
      <c r="D525" s="2287">
        <v>2276</v>
      </c>
      <c r="E525" s="2287">
        <v>4154</v>
      </c>
      <c r="F525" s="2286">
        <v>4869</v>
      </c>
      <c r="G525" s="2287">
        <v>0</v>
      </c>
      <c r="H525" s="2287">
        <v>3186</v>
      </c>
      <c r="I525" s="2287">
        <v>5353</v>
      </c>
      <c r="J525" s="2286">
        <v>6067</v>
      </c>
    </row>
    <row r="526" spans="1:10" s="4722" customFormat="1" ht="13.5">
      <c r="A526" s="2287">
        <v>26100</v>
      </c>
      <c r="B526" s="2286">
        <v>26150</v>
      </c>
      <c r="C526" s="2287">
        <v>0</v>
      </c>
      <c r="D526" s="2287">
        <v>2268</v>
      </c>
      <c r="E526" s="2287">
        <v>4144</v>
      </c>
      <c r="F526" s="2286">
        <v>4858</v>
      </c>
      <c r="G526" s="2287">
        <v>0</v>
      </c>
      <c r="H526" s="2287">
        <v>3178</v>
      </c>
      <c r="I526" s="2287">
        <v>5342</v>
      </c>
      <c r="J526" s="2286">
        <v>6057</v>
      </c>
    </row>
    <row r="527" spans="1:10" s="4722" customFormat="1" ht="13.5">
      <c r="A527" s="2287">
        <v>26150</v>
      </c>
      <c r="B527" s="2286">
        <v>26200</v>
      </c>
      <c r="C527" s="2287">
        <v>0</v>
      </c>
      <c r="D527" s="2287">
        <v>2260</v>
      </c>
      <c r="E527" s="2287">
        <v>4133</v>
      </c>
      <c r="F527" s="2286">
        <v>4848</v>
      </c>
      <c r="G527" s="2287">
        <v>0</v>
      </c>
      <c r="H527" s="2287">
        <v>3170</v>
      </c>
      <c r="I527" s="2287">
        <v>5332</v>
      </c>
      <c r="J527" s="2286">
        <v>6046</v>
      </c>
    </row>
    <row r="528" spans="1:10" s="4722" customFormat="1" ht="13.5">
      <c r="A528" s="2287">
        <v>26200</v>
      </c>
      <c r="B528" s="2286">
        <v>26250</v>
      </c>
      <c r="C528" s="2287">
        <v>0</v>
      </c>
      <c r="D528" s="2287">
        <v>2252</v>
      </c>
      <c r="E528" s="2287">
        <v>4123</v>
      </c>
      <c r="F528" s="2286">
        <v>4837</v>
      </c>
      <c r="G528" s="2287">
        <v>0</v>
      </c>
      <c r="H528" s="2287">
        <v>3162</v>
      </c>
      <c r="I528" s="2287">
        <v>5321</v>
      </c>
      <c r="J528" s="2286">
        <v>6036</v>
      </c>
    </row>
    <row r="529" spans="1:10" s="4722" customFormat="1" ht="13.5">
      <c r="A529" s="2287">
        <v>26250</v>
      </c>
      <c r="B529" s="2286">
        <v>26300</v>
      </c>
      <c r="C529" s="2287">
        <v>0</v>
      </c>
      <c r="D529" s="2287">
        <v>2244</v>
      </c>
      <c r="E529" s="2287">
        <v>4112</v>
      </c>
      <c r="F529" s="2286">
        <v>4827</v>
      </c>
      <c r="G529" s="2287">
        <v>0</v>
      </c>
      <c r="H529" s="2287">
        <v>3154</v>
      </c>
      <c r="I529" s="2287">
        <v>5311</v>
      </c>
      <c r="J529" s="2286">
        <v>6025</v>
      </c>
    </row>
    <row r="530" spans="1:10" s="4722" customFormat="1" ht="13.5">
      <c r="A530" s="2287">
        <v>26300</v>
      </c>
      <c r="B530" s="2286">
        <v>26350</v>
      </c>
      <c r="C530" s="2287">
        <v>0</v>
      </c>
      <c r="D530" s="2287">
        <v>2236</v>
      </c>
      <c r="E530" s="2287">
        <v>4102</v>
      </c>
      <c r="F530" s="2286">
        <v>4816</v>
      </c>
      <c r="G530" s="2287">
        <v>0</v>
      </c>
      <c r="H530" s="2287">
        <v>3146</v>
      </c>
      <c r="I530" s="2287">
        <v>5300</v>
      </c>
      <c r="J530" s="2286">
        <v>6015</v>
      </c>
    </row>
    <row r="531" spans="1:10" s="4722" customFormat="1" ht="13.5">
      <c r="A531" s="2287">
        <v>26350</v>
      </c>
      <c r="B531" s="2286">
        <v>26400</v>
      </c>
      <c r="C531" s="2287">
        <v>0</v>
      </c>
      <c r="D531" s="2287">
        <v>2228</v>
      </c>
      <c r="E531" s="2287">
        <v>4091</v>
      </c>
      <c r="F531" s="2286">
        <v>4806</v>
      </c>
      <c r="G531" s="2287">
        <v>0</v>
      </c>
      <c r="H531" s="2287">
        <v>3138</v>
      </c>
      <c r="I531" s="2287">
        <v>5290</v>
      </c>
      <c r="J531" s="2286">
        <v>6004</v>
      </c>
    </row>
    <row r="532" spans="1:10" s="4722" customFormat="1" ht="13.5">
      <c r="A532" s="2287">
        <v>26400</v>
      </c>
      <c r="B532" s="2286">
        <v>26450</v>
      </c>
      <c r="C532" s="2287">
        <v>0</v>
      </c>
      <c r="D532" s="2287">
        <v>2220</v>
      </c>
      <c r="E532" s="2287">
        <v>4081</v>
      </c>
      <c r="F532" s="2286">
        <v>4795</v>
      </c>
      <c r="G532" s="2287">
        <v>0</v>
      </c>
      <c r="H532" s="2287">
        <v>3130</v>
      </c>
      <c r="I532" s="2287">
        <v>5279</v>
      </c>
      <c r="J532" s="2286">
        <v>5994</v>
      </c>
    </row>
    <row r="533" spans="1:10" s="4722" customFormat="1" ht="13.5">
      <c r="A533" s="2287">
        <v>26450</v>
      </c>
      <c r="B533" s="2286">
        <v>26500</v>
      </c>
      <c r="C533" s="2287">
        <v>0</v>
      </c>
      <c r="D533" s="2287">
        <v>2212</v>
      </c>
      <c r="E533" s="2287">
        <v>4070</v>
      </c>
      <c r="F533" s="2286">
        <v>4785</v>
      </c>
      <c r="G533" s="2287">
        <v>0</v>
      </c>
      <c r="H533" s="2287">
        <v>3122</v>
      </c>
      <c r="I533" s="2287">
        <v>5268</v>
      </c>
      <c r="J533" s="2286">
        <v>5983</v>
      </c>
    </row>
    <row r="534" spans="1:10" s="4722" customFormat="1" ht="13.5">
      <c r="A534" s="2287">
        <v>26500</v>
      </c>
      <c r="B534" s="2286">
        <v>26550</v>
      </c>
      <c r="C534" s="2287">
        <v>0</v>
      </c>
      <c r="D534" s="2287">
        <v>2204</v>
      </c>
      <c r="E534" s="2287">
        <v>4060</v>
      </c>
      <c r="F534" s="2286">
        <v>4774</v>
      </c>
      <c r="G534" s="2287">
        <v>0</v>
      </c>
      <c r="H534" s="2287">
        <v>3114</v>
      </c>
      <c r="I534" s="2287">
        <v>5258</v>
      </c>
      <c r="J534" s="2286">
        <v>5972</v>
      </c>
    </row>
    <row r="535" spans="1:10" s="4722" customFormat="1" ht="13.5">
      <c r="A535" s="2287">
        <v>26550</v>
      </c>
      <c r="B535" s="2286">
        <v>26600</v>
      </c>
      <c r="C535" s="2287">
        <v>0</v>
      </c>
      <c r="D535" s="2287">
        <v>2196</v>
      </c>
      <c r="E535" s="2287">
        <v>4049</v>
      </c>
      <c r="F535" s="2286">
        <v>4764</v>
      </c>
      <c r="G535" s="2287">
        <v>0</v>
      </c>
      <c r="H535" s="2287">
        <v>3106</v>
      </c>
      <c r="I535" s="2287">
        <v>5247</v>
      </c>
      <c r="J535" s="2286">
        <v>5962</v>
      </c>
    </row>
    <row r="536" spans="1:10" s="4722" customFormat="1" ht="13.5">
      <c r="A536" s="2287">
        <v>26600</v>
      </c>
      <c r="B536" s="2286">
        <v>26650</v>
      </c>
      <c r="C536" s="2287">
        <v>0</v>
      </c>
      <c r="D536" s="2287">
        <v>2188</v>
      </c>
      <c r="E536" s="2287">
        <v>4039</v>
      </c>
      <c r="F536" s="2286">
        <v>4753</v>
      </c>
      <c r="G536" s="2287">
        <v>0</v>
      </c>
      <c r="H536" s="2287">
        <v>3098</v>
      </c>
      <c r="I536" s="2287">
        <v>5237</v>
      </c>
      <c r="J536" s="2286">
        <v>5951</v>
      </c>
    </row>
    <row r="537" spans="1:10" s="4722" customFormat="1" ht="13.5">
      <c r="A537" s="2287">
        <v>26650</v>
      </c>
      <c r="B537" s="2286">
        <v>26700</v>
      </c>
      <c r="C537" s="2287">
        <v>0</v>
      </c>
      <c r="D537" s="2287">
        <v>2180</v>
      </c>
      <c r="E537" s="2287">
        <v>4028</v>
      </c>
      <c r="F537" s="2286">
        <v>4743</v>
      </c>
      <c r="G537" s="2287">
        <v>0</v>
      </c>
      <c r="H537" s="2287">
        <v>3090</v>
      </c>
      <c r="I537" s="2287">
        <v>5226</v>
      </c>
      <c r="J537" s="2286">
        <v>5941</v>
      </c>
    </row>
    <row r="538" spans="1:10" s="4722" customFormat="1" ht="13.5">
      <c r="A538" s="2287">
        <v>26700</v>
      </c>
      <c r="B538" s="2286">
        <v>26750</v>
      </c>
      <c r="C538" s="2287">
        <v>0</v>
      </c>
      <c r="D538" s="2287">
        <v>2172</v>
      </c>
      <c r="E538" s="2287">
        <v>4018</v>
      </c>
      <c r="F538" s="2286">
        <v>4732</v>
      </c>
      <c r="G538" s="2287">
        <v>0</v>
      </c>
      <c r="H538" s="2287">
        <v>3082</v>
      </c>
      <c r="I538" s="2287">
        <v>5216</v>
      </c>
      <c r="J538" s="2286">
        <v>5930</v>
      </c>
    </row>
    <row r="539" spans="1:10" s="4722" customFormat="1" ht="13.5">
      <c r="A539" s="2287">
        <v>26750</v>
      </c>
      <c r="B539" s="2286">
        <v>26800</v>
      </c>
      <c r="C539" s="2287">
        <v>0</v>
      </c>
      <c r="D539" s="2287">
        <v>2164</v>
      </c>
      <c r="E539" s="2287">
        <v>4007</v>
      </c>
      <c r="F539" s="2286">
        <v>4721</v>
      </c>
      <c r="G539" s="2287">
        <v>0</v>
      </c>
      <c r="H539" s="2287">
        <v>3074</v>
      </c>
      <c r="I539" s="2287">
        <v>5205</v>
      </c>
      <c r="J539" s="2286">
        <v>5920</v>
      </c>
    </row>
    <row r="540" spans="1:10" s="4722" customFormat="1" ht="13.5">
      <c r="A540" s="2287">
        <v>26800</v>
      </c>
      <c r="B540" s="2286">
        <v>26850</v>
      </c>
      <c r="C540" s="2287">
        <v>0</v>
      </c>
      <c r="D540" s="2287">
        <v>2156</v>
      </c>
      <c r="E540" s="2287">
        <v>3996</v>
      </c>
      <c r="F540" s="2286">
        <v>4711</v>
      </c>
      <c r="G540" s="2287">
        <v>0</v>
      </c>
      <c r="H540" s="2287">
        <v>3066</v>
      </c>
      <c r="I540" s="2287">
        <v>5195</v>
      </c>
      <c r="J540" s="2286">
        <v>5909</v>
      </c>
    </row>
    <row r="541" spans="1:10" s="4722" customFormat="1" ht="13.5">
      <c r="A541" s="2287">
        <v>26850</v>
      </c>
      <c r="B541" s="2286">
        <v>26900</v>
      </c>
      <c r="C541" s="2287">
        <v>0</v>
      </c>
      <c r="D541" s="2287">
        <v>2148</v>
      </c>
      <c r="E541" s="2287">
        <v>3986</v>
      </c>
      <c r="F541" s="2286">
        <v>4700</v>
      </c>
      <c r="G541" s="2287">
        <v>0</v>
      </c>
      <c r="H541" s="2287">
        <v>3058</v>
      </c>
      <c r="I541" s="2287">
        <v>5184</v>
      </c>
      <c r="J541" s="2286">
        <v>5899</v>
      </c>
    </row>
    <row r="542" spans="1:10" s="4722" customFormat="1" ht="13.5">
      <c r="A542" s="2287">
        <v>26900</v>
      </c>
      <c r="B542" s="2286">
        <v>26950</v>
      </c>
      <c r="C542" s="2287">
        <v>0</v>
      </c>
      <c r="D542" s="2287">
        <v>2140</v>
      </c>
      <c r="E542" s="2287">
        <v>3975</v>
      </c>
      <c r="F542" s="2286">
        <v>4690</v>
      </c>
      <c r="G542" s="2287">
        <v>0</v>
      </c>
      <c r="H542" s="2287">
        <v>3050</v>
      </c>
      <c r="I542" s="2287">
        <v>5174</v>
      </c>
      <c r="J542" s="2286">
        <v>5888</v>
      </c>
    </row>
    <row r="543" spans="1:10" s="4722" customFormat="1" ht="13.5">
      <c r="A543" s="2287">
        <v>26950</v>
      </c>
      <c r="B543" s="2286">
        <v>27000</v>
      </c>
      <c r="C543" s="2287">
        <v>0</v>
      </c>
      <c r="D543" s="2287">
        <v>2132</v>
      </c>
      <c r="E543" s="2287">
        <v>3965</v>
      </c>
      <c r="F543" s="2286">
        <v>4679</v>
      </c>
      <c r="G543" s="2287">
        <v>0</v>
      </c>
      <c r="H543" s="2287">
        <v>3042</v>
      </c>
      <c r="I543" s="2287">
        <v>5163</v>
      </c>
      <c r="J543" s="2286">
        <v>5878</v>
      </c>
    </row>
    <row r="544" spans="1:10" s="4722" customFormat="1" ht="13.5">
      <c r="A544" s="2287">
        <v>27000</v>
      </c>
      <c r="B544" s="2286">
        <v>27050</v>
      </c>
      <c r="C544" s="2287">
        <v>0</v>
      </c>
      <c r="D544" s="2287">
        <v>2124</v>
      </c>
      <c r="E544" s="2287">
        <v>3954</v>
      </c>
      <c r="F544" s="2286">
        <v>4669</v>
      </c>
      <c r="G544" s="2287">
        <v>0</v>
      </c>
      <c r="H544" s="2287">
        <v>3034</v>
      </c>
      <c r="I544" s="2287">
        <v>5153</v>
      </c>
      <c r="J544" s="2286">
        <v>5867</v>
      </c>
    </row>
    <row r="545" spans="1:10" s="4722" customFormat="1" ht="13.5">
      <c r="A545" s="2287">
        <v>27050</v>
      </c>
      <c r="B545" s="2286">
        <v>27100</v>
      </c>
      <c r="C545" s="2287">
        <v>0</v>
      </c>
      <c r="D545" s="2287">
        <v>2116</v>
      </c>
      <c r="E545" s="2287">
        <v>3944</v>
      </c>
      <c r="F545" s="2286">
        <v>4658</v>
      </c>
      <c r="G545" s="2287">
        <v>0</v>
      </c>
      <c r="H545" s="2287">
        <v>3026</v>
      </c>
      <c r="I545" s="2287">
        <v>5142</v>
      </c>
      <c r="J545" s="2286">
        <v>5857</v>
      </c>
    </row>
    <row r="546" spans="1:10" s="4722" customFormat="1" ht="13.5">
      <c r="A546" s="2287">
        <v>27100</v>
      </c>
      <c r="B546" s="2286">
        <v>27150</v>
      </c>
      <c r="C546" s="2287">
        <v>0</v>
      </c>
      <c r="D546" s="2287">
        <v>2108</v>
      </c>
      <c r="E546" s="2287">
        <v>3933</v>
      </c>
      <c r="F546" s="2286">
        <v>4648</v>
      </c>
      <c r="G546" s="2287">
        <v>0</v>
      </c>
      <c r="H546" s="2287">
        <v>3018</v>
      </c>
      <c r="I546" s="2287">
        <v>5132</v>
      </c>
      <c r="J546" s="2286">
        <v>5846</v>
      </c>
    </row>
    <row r="547" spans="1:10" s="4722" customFormat="1" ht="13.5">
      <c r="A547" s="2287">
        <v>27150</v>
      </c>
      <c r="B547" s="2286">
        <v>27200</v>
      </c>
      <c r="C547" s="2287">
        <v>0</v>
      </c>
      <c r="D547" s="2287">
        <v>2101</v>
      </c>
      <c r="E547" s="2287">
        <v>3923</v>
      </c>
      <c r="F547" s="2286">
        <v>4637</v>
      </c>
      <c r="G547" s="2287">
        <v>0</v>
      </c>
      <c r="H547" s="2287">
        <v>3010</v>
      </c>
      <c r="I547" s="2287">
        <v>5121</v>
      </c>
      <c r="J547" s="2286">
        <v>5836</v>
      </c>
    </row>
    <row r="548" spans="1:10" s="4722" customFormat="1" ht="13.5">
      <c r="A548" s="2287">
        <v>27200</v>
      </c>
      <c r="B548" s="2286">
        <v>27250</v>
      </c>
      <c r="C548" s="2287">
        <v>0</v>
      </c>
      <c r="D548" s="2287">
        <v>2093</v>
      </c>
      <c r="E548" s="2287">
        <v>3912</v>
      </c>
      <c r="F548" s="2286">
        <v>4627</v>
      </c>
      <c r="G548" s="2287">
        <v>0</v>
      </c>
      <c r="H548" s="2287">
        <v>3002</v>
      </c>
      <c r="I548" s="2287">
        <v>5111</v>
      </c>
      <c r="J548" s="2286">
        <v>5825</v>
      </c>
    </row>
    <row r="549" spans="1:10" s="4722" customFormat="1" ht="13.5">
      <c r="A549" s="2287">
        <v>27250</v>
      </c>
      <c r="B549" s="2286">
        <v>27300</v>
      </c>
      <c r="C549" s="2287">
        <v>0</v>
      </c>
      <c r="D549" s="2287">
        <v>2085</v>
      </c>
      <c r="E549" s="2287">
        <v>3902</v>
      </c>
      <c r="F549" s="2286">
        <v>4616</v>
      </c>
      <c r="G549" s="2287">
        <v>0</v>
      </c>
      <c r="H549" s="2287">
        <v>2994</v>
      </c>
      <c r="I549" s="2287">
        <v>5100</v>
      </c>
      <c r="J549" s="2286">
        <v>5814</v>
      </c>
    </row>
    <row r="550" spans="1:10" s="4722" customFormat="1" ht="13.5">
      <c r="A550" s="2287">
        <v>27300</v>
      </c>
      <c r="B550" s="2286">
        <v>27350</v>
      </c>
      <c r="C550" s="2287">
        <v>0</v>
      </c>
      <c r="D550" s="2287">
        <v>2077</v>
      </c>
      <c r="E550" s="2287">
        <v>3891</v>
      </c>
      <c r="F550" s="2286">
        <v>4606</v>
      </c>
      <c r="G550" s="2287">
        <v>0</v>
      </c>
      <c r="H550" s="2287">
        <v>2986</v>
      </c>
      <c r="I550" s="2287">
        <v>5089</v>
      </c>
      <c r="J550" s="2286">
        <v>5804</v>
      </c>
    </row>
    <row r="551" spans="1:10" s="4722" customFormat="1" ht="13.5">
      <c r="A551" s="2287">
        <v>27350</v>
      </c>
      <c r="B551" s="2286">
        <v>27400</v>
      </c>
      <c r="C551" s="2287">
        <v>0</v>
      </c>
      <c r="D551" s="2287">
        <v>2069</v>
      </c>
      <c r="E551" s="2287">
        <v>3881</v>
      </c>
      <c r="F551" s="2286">
        <v>4595</v>
      </c>
      <c r="G551" s="2287">
        <v>0</v>
      </c>
      <c r="H551" s="2287">
        <v>2978</v>
      </c>
      <c r="I551" s="2287">
        <v>5079</v>
      </c>
      <c r="J551" s="2286">
        <v>5793</v>
      </c>
    </row>
    <row r="552" spans="1:10" s="4722" customFormat="1" ht="13.5">
      <c r="A552" s="2287">
        <v>27400</v>
      </c>
      <c r="B552" s="2286">
        <v>27450</v>
      </c>
      <c r="C552" s="2287">
        <v>0</v>
      </c>
      <c r="D552" s="2287">
        <v>2061</v>
      </c>
      <c r="E552" s="2287">
        <v>3870</v>
      </c>
      <c r="F552" s="2286">
        <v>4585</v>
      </c>
      <c r="G552" s="2287">
        <v>0</v>
      </c>
      <c r="H552" s="2287">
        <v>2970</v>
      </c>
      <c r="I552" s="2287">
        <v>5068</v>
      </c>
      <c r="J552" s="2286">
        <v>5783</v>
      </c>
    </row>
    <row r="553" spans="1:10" s="4722" customFormat="1" ht="13.5">
      <c r="A553" s="2287">
        <v>27450</v>
      </c>
      <c r="B553" s="2286">
        <v>27500</v>
      </c>
      <c r="C553" s="2287">
        <v>0</v>
      </c>
      <c r="D553" s="2287">
        <v>2053</v>
      </c>
      <c r="E553" s="2287">
        <v>3860</v>
      </c>
      <c r="F553" s="2286">
        <v>4574</v>
      </c>
      <c r="G553" s="2287">
        <v>0</v>
      </c>
      <c r="H553" s="2287">
        <v>2962</v>
      </c>
      <c r="I553" s="2287">
        <v>5058</v>
      </c>
      <c r="J553" s="2286">
        <v>5772</v>
      </c>
    </row>
    <row r="554" spans="1:10" s="4722" customFormat="1" ht="13.5">
      <c r="A554" s="2287">
        <v>27500</v>
      </c>
      <c r="B554" s="2286">
        <v>27550</v>
      </c>
      <c r="C554" s="2287">
        <v>0</v>
      </c>
      <c r="D554" s="2287">
        <v>2045</v>
      </c>
      <c r="E554" s="2287">
        <v>3849</v>
      </c>
      <c r="F554" s="2286">
        <v>4564</v>
      </c>
      <c r="G554" s="2287">
        <v>0</v>
      </c>
      <c r="H554" s="2287">
        <v>2954</v>
      </c>
      <c r="I554" s="2287">
        <v>5047</v>
      </c>
      <c r="J554" s="2286">
        <v>5762</v>
      </c>
    </row>
    <row r="555" spans="1:10" s="4722" customFormat="1" ht="13.5">
      <c r="A555" s="2287">
        <v>27550</v>
      </c>
      <c r="B555" s="2286">
        <v>27600</v>
      </c>
      <c r="C555" s="2287">
        <v>0</v>
      </c>
      <c r="D555" s="2287">
        <v>2037</v>
      </c>
      <c r="E555" s="2287">
        <v>3839</v>
      </c>
      <c r="F555" s="2286">
        <v>4553</v>
      </c>
      <c r="G555" s="2287">
        <v>0</v>
      </c>
      <c r="H555" s="2287">
        <v>2946</v>
      </c>
      <c r="I555" s="2287">
        <v>5037</v>
      </c>
      <c r="J555" s="2286">
        <v>5751</v>
      </c>
    </row>
    <row r="556" spans="1:10" s="4722" customFormat="1" ht="13.5">
      <c r="A556" s="2287">
        <v>27600</v>
      </c>
      <c r="B556" s="2286">
        <v>27650</v>
      </c>
      <c r="C556" s="2287">
        <v>0</v>
      </c>
      <c r="D556" s="2287">
        <v>2029</v>
      </c>
      <c r="E556" s="2287">
        <v>3828</v>
      </c>
      <c r="F556" s="2286">
        <v>4542</v>
      </c>
      <c r="G556" s="2287">
        <v>0</v>
      </c>
      <c r="H556" s="2287">
        <v>2938</v>
      </c>
      <c r="I556" s="2287">
        <v>5026</v>
      </c>
      <c r="J556" s="2286">
        <v>5741</v>
      </c>
    </row>
    <row r="557" spans="1:10" s="4722" customFormat="1" ht="13.5">
      <c r="A557" s="2287">
        <v>27650</v>
      </c>
      <c r="B557" s="2286">
        <v>27700</v>
      </c>
      <c r="C557" s="2287">
        <v>0</v>
      </c>
      <c r="D557" s="2287">
        <v>2021</v>
      </c>
      <c r="E557" s="2287">
        <v>3817</v>
      </c>
      <c r="F557" s="2286">
        <v>4532</v>
      </c>
      <c r="G557" s="2287">
        <v>0</v>
      </c>
      <c r="H557" s="2287">
        <v>2930</v>
      </c>
      <c r="I557" s="2287">
        <v>5016</v>
      </c>
      <c r="J557" s="2286">
        <v>5730</v>
      </c>
    </row>
    <row r="558" spans="1:10" s="4722" customFormat="1" ht="13.5">
      <c r="A558" s="2287">
        <v>27700</v>
      </c>
      <c r="B558" s="2286">
        <v>27750</v>
      </c>
      <c r="C558" s="2287">
        <v>0</v>
      </c>
      <c r="D558" s="2287">
        <v>2013</v>
      </c>
      <c r="E558" s="2287">
        <v>3807</v>
      </c>
      <c r="F558" s="2286">
        <v>4521</v>
      </c>
      <c r="G558" s="2287">
        <v>0</v>
      </c>
      <c r="H558" s="2287">
        <v>2922</v>
      </c>
      <c r="I558" s="2287">
        <v>5005</v>
      </c>
      <c r="J558" s="2286">
        <v>5720</v>
      </c>
    </row>
    <row r="559" spans="1:10" s="4722" customFormat="1" ht="13.5">
      <c r="A559" s="2287">
        <v>27750</v>
      </c>
      <c r="B559" s="2286">
        <v>27800</v>
      </c>
      <c r="C559" s="2287">
        <v>0</v>
      </c>
      <c r="D559" s="2287">
        <v>2005</v>
      </c>
      <c r="E559" s="2287">
        <v>3796</v>
      </c>
      <c r="F559" s="2286">
        <v>4511</v>
      </c>
      <c r="G559" s="2287">
        <v>0</v>
      </c>
      <c r="H559" s="2287">
        <v>2914</v>
      </c>
      <c r="I559" s="2287">
        <v>4995</v>
      </c>
      <c r="J559" s="2286">
        <v>5709</v>
      </c>
    </row>
    <row r="560" spans="1:10" s="4722" customFormat="1" ht="13.5">
      <c r="A560" s="2287">
        <v>27800</v>
      </c>
      <c r="B560" s="2286">
        <v>27850</v>
      </c>
      <c r="C560" s="2287">
        <v>0</v>
      </c>
      <c r="D560" s="2287">
        <v>1997</v>
      </c>
      <c r="E560" s="2287">
        <v>3786</v>
      </c>
      <c r="F560" s="2286">
        <v>4500</v>
      </c>
      <c r="G560" s="2287">
        <v>0</v>
      </c>
      <c r="H560" s="2287">
        <v>2906</v>
      </c>
      <c r="I560" s="2287">
        <v>4984</v>
      </c>
      <c r="J560" s="2286">
        <v>5699</v>
      </c>
    </row>
    <row r="561" spans="1:10" s="4722" customFormat="1" ht="13.5">
      <c r="A561" s="2287">
        <v>27850</v>
      </c>
      <c r="B561" s="2286">
        <v>27900</v>
      </c>
      <c r="C561" s="2287">
        <v>0</v>
      </c>
      <c r="D561" s="2287">
        <v>1989</v>
      </c>
      <c r="E561" s="2287">
        <v>3775</v>
      </c>
      <c r="F561" s="2286">
        <v>4490</v>
      </c>
      <c r="G561" s="2287">
        <v>0</v>
      </c>
      <c r="H561" s="2287">
        <v>2898</v>
      </c>
      <c r="I561" s="2287">
        <v>4974</v>
      </c>
      <c r="J561" s="2286">
        <v>5688</v>
      </c>
    </row>
    <row r="562" spans="1:10" s="4722" customFormat="1" ht="13.5">
      <c r="A562" s="2287">
        <v>27900</v>
      </c>
      <c r="B562" s="2286">
        <v>27950</v>
      </c>
      <c r="C562" s="2287">
        <v>0</v>
      </c>
      <c r="D562" s="2287">
        <v>1981</v>
      </c>
      <c r="E562" s="2287">
        <v>3765</v>
      </c>
      <c r="F562" s="2286">
        <v>4479</v>
      </c>
      <c r="G562" s="2287">
        <v>0</v>
      </c>
      <c r="H562" s="2287">
        <v>2890</v>
      </c>
      <c r="I562" s="2287">
        <v>4963</v>
      </c>
      <c r="J562" s="2286">
        <v>5678</v>
      </c>
    </row>
    <row r="563" spans="1:10" s="4722" customFormat="1" ht="13.5">
      <c r="A563" s="2287">
        <v>27950</v>
      </c>
      <c r="B563" s="2286">
        <v>28000</v>
      </c>
      <c r="C563" s="2287">
        <v>0</v>
      </c>
      <c r="D563" s="2287">
        <v>1973</v>
      </c>
      <c r="E563" s="2287">
        <v>3754</v>
      </c>
      <c r="F563" s="2286">
        <v>4469</v>
      </c>
      <c r="G563" s="2287">
        <v>0</v>
      </c>
      <c r="H563" s="2287">
        <v>2882</v>
      </c>
      <c r="I563" s="2287">
        <v>4953</v>
      </c>
      <c r="J563" s="2286">
        <v>5667</v>
      </c>
    </row>
    <row r="564" spans="1:10" s="4722" customFormat="1" ht="13.5">
      <c r="A564" s="2287">
        <v>28000</v>
      </c>
      <c r="B564" s="2286">
        <v>28050</v>
      </c>
      <c r="C564" s="2287">
        <v>0</v>
      </c>
      <c r="D564" s="2287">
        <v>1965</v>
      </c>
      <c r="E564" s="2287">
        <v>3744</v>
      </c>
      <c r="F564" s="2286">
        <v>4458</v>
      </c>
      <c r="G564" s="2287">
        <v>0</v>
      </c>
      <c r="H564" s="2287">
        <v>2874</v>
      </c>
      <c r="I564" s="2287">
        <v>4942</v>
      </c>
      <c r="J564" s="2286">
        <v>5657</v>
      </c>
    </row>
    <row r="565" spans="1:10" s="4722" customFormat="1" ht="13.5">
      <c r="A565" s="2287">
        <v>28050</v>
      </c>
      <c r="B565" s="2286">
        <v>28100</v>
      </c>
      <c r="C565" s="2287">
        <v>0</v>
      </c>
      <c r="D565" s="2287">
        <v>1957</v>
      </c>
      <c r="E565" s="2287">
        <v>3733</v>
      </c>
      <c r="F565" s="2286">
        <v>4448</v>
      </c>
      <c r="G565" s="2287">
        <v>0</v>
      </c>
      <c r="H565" s="2287">
        <v>2866</v>
      </c>
      <c r="I565" s="2287">
        <v>4932</v>
      </c>
      <c r="J565" s="2286">
        <v>5646</v>
      </c>
    </row>
    <row r="566" spans="1:10" s="4722" customFormat="1" ht="13.5">
      <c r="A566" s="2287">
        <v>28100</v>
      </c>
      <c r="B566" s="2286">
        <v>28150</v>
      </c>
      <c r="C566" s="2287">
        <v>0</v>
      </c>
      <c r="D566" s="2287">
        <v>1949</v>
      </c>
      <c r="E566" s="2287">
        <v>3723</v>
      </c>
      <c r="F566" s="2286">
        <v>4437</v>
      </c>
      <c r="G566" s="2287">
        <v>0</v>
      </c>
      <c r="H566" s="2287">
        <v>2858</v>
      </c>
      <c r="I566" s="2287">
        <v>4921</v>
      </c>
      <c r="J566" s="2286">
        <v>5635</v>
      </c>
    </row>
    <row r="567" spans="1:10" s="4722" customFormat="1" ht="13.5">
      <c r="A567" s="2287">
        <v>28150</v>
      </c>
      <c r="B567" s="2286">
        <v>28200</v>
      </c>
      <c r="C567" s="2287">
        <v>0</v>
      </c>
      <c r="D567" s="2287">
        <v>1941</v>
      </c>
      <c r="E567" s="2287">
        <v>3712</v>
      </c>
      <c r="F567" s="2286">
        <v>4427</v>
      </c>
      <c r="G567" s="2287">
        <v>0</v>
      </c>
      <c r="H567" s="2287">
        <v>2850</v>
      </c>
      <c r="I567" s="2287">
        <v>4910</v>
      </c>
      <c r="J567" s="2286">
        <v>5625</v>
      </c>
    </row>
    <row r="568" spans="1:10" s="4722" customFormat="1" ht="13.5">
      <c r="A568" s="2287">
        <v>28200</v>
      </c>
      <c r="B568" s="2286">
        <v>28250</v>
      </c>
      <c r="C568" s="2287">
        <v>0</v>
      </c>
      <c r="D568" s="2287">
        <v>1933</v>
      </c>
      <c r="E568" s="2287">
        <v>3702</v>
      </c>
      <c r="F568" s="2286">
        <v>4416</v>
      </c>
      <c r="G568" s="2287">
        <v>0</v>
      </c>
      <c r="H568" s="2287">
        <v>2842</v>
      </c>
      <c r="I568" s="2287">
        <v>4900</v>
      </c>
      <c r="J568" s="2286">
        <v>5614</v>
      </c>
    </row>
    <row r="569" spans="1:10" s="4722" customFormat="1" ht="13.5">
      <c r="A569" s="2287">
        <v>28250</v>
      </c>
      <c r="B569" s="2286">
        <v>28300</v>
      </c>
      <c r="C569" s="2287">
        <v>0</v>
      </c>
      <c r="D569" s="2287">
        <v>1925</v>
      </c>
      <c r="E569" s="2287">
        <v>3691</v>
      </c>
      <c r="F569" s="2286">
        <v>4406</v>
      </c>
      <c r="G569" s="2287">
        <v>0</v>
      </c>
      <c r="H569" s="2287">
        <v>2834</v>
      </c>
      <c r="I569" s="2287">
        <v>4889</v>
      </c>
      <c r="J569" s="2286">
        <v>5604</v>
      </c>
    </row>
    <row r="570" spans="1:10" s="4722" customFormat="1" ht="13.5">
      <c r="A570" s="2287">
        <v>28300</v>
      </c>
      <c r="B570" s="2286">
        <v>28350</v>
      </c>
      <c r="C570" s="2287">
        <v>0</v>
      </c>
      <c r="D570" s="2287">
        <v>1917</v>
      </c>
      <c r="E570" s="2287">
        <v>3681</v>
      </c>
      <c r="F570" s="2286">
        <v>4395</v>
      </c>
      <c r="G570" s="2287">
        <v>0</v>
      </c>
      <c r="H570" s="2287">
        <v>2826</v>
      </c>
      <c r="I570" s="2287">
        <v>4879</v>
      </c>
      <c r="J570" s="2286">
        <v>5593</v>
      </c>
    </row>
    <row r="571" spans="1:10" s="4722" customFormat="1" ht="13.5">
      <c r="A571" s="2287">
        <v>28350</v>
      </c>
      <c r="B571" s="2286">
        <v>28400</v>
      </c>
      <c r="C571" s="2287">
        <v>0</v>
      </c>
      <c r="D571" s="2287">
        <v>1909</v>
      </c>
      <c r="E571" s="2287">
        <v>3670</v>
      </c>
      <c r="F571" s="2286">
        <v>4385</v>
      </c>
      <c r="G571" s="2287">
        <v>0</v>
      </c>
      <c r="H571" s="2287">
        <v>2818</v>
      </c>
      <c r="I571" s="2287">
        <v>4868</v>
      </c>
      <c r="J571" s="2286">
        <v>5583</v>
      </c>
    </row>
    <row r="572" spans="1:10" s="4722" customFormat="1" ht="13.5">
      <c r="A572" s="2287">
        <v>28400</v>
      </c>
      <c r="B572" s="2286">
        <v>28450</v>
      </c>
      <c r="C572" s="2287">
        <v>0</v>
      </c>
      <c r="D572" s="2287">
        <v>1901</v>
      </c>
      <c r="E572" s="2287">
        <v>3659</v>
      </c>
      <c r="F572" s="2286">
        <v>4374</v>
      </c>
      <c r="G572" s="2287">
        <v>0</v>
      </c>
      <c r="H572" s="2287">
        <v>2810</v>
      </c>
      <c r="I572" s="2287">
        <v>4858</v>
      </c>
      <c r="J572" s="2286">
        <v>5572</v>
      </c>
    </row>
    <row r="573" spans="1:10" s="4722" customFormat="1" ht="13.5">
      <c r="A573" s="2287">
        <v>28450</v>
      </c>
      <c r="B573" s="2286">
        <v>28500</v>
      </c>
      <c r="C573" s="2287">
        <v>0</v>
      </c>
      <c r="D573" s="2287">
        <v>1893</v>
      </c>
      <c r="E573" s="2287">
        <v>3649</v>
      </c>
      <c r="F573" s="2286">
        <v>4363</v>
      </c>
      <c r="G573" s="2287">
        <v>0</v>
      </c>
      <c r="H573" s="2287">
        <v>2802</v>
      </c>
      <c r="I573" s="2287">
        <v>4847</v>
      </c>
      <c r="J573" s="2286">
        <v>5562</v>
      </c>
    </row>
    <row r="574" spans="1:10" s="4722" customFormat="1" ht="13.5">
      <c r="A574" s="2287">
        <v>28500</v>
      </c>
      <c r="B574" s="2286">
        <v>28550</v>
      </c>
      <c r="C574" s="2287">
        <v>0</v>
      </c>
      <c r="D574" s="2287">
        <v>1885</v>
      </c>
      <c r="E574" s="2287">
        <v>3638</v>
      </c>
      <c r="F574" s="2286">
        <v>4353</v>
      </c>
      <c r="G574" s="2287">
        <v>0</v>
      </c>
      <c r="H574" s="2287">
        <v>2794</v>
      </c>
      <c r="I574" s="2287">
        <v>4837</v>
      </c>
      <c r="J574" s="2286">
        <v>5551</v>
      </c>
    </row>
    <row r="575" spans="1:10" s="4722" customFormat="1" ht="13.5">
      <c r="A575" s="2287">
        <v>28550</v>
      </c>
      <c r="B575" s="2286">
        <v>28600</v>
      </c>
      <c r="C575" s="2287">
        <v>0</v>
      </c>
      <c r="D575" s="2287">
        <v>1877</v>
      </c>
      <c r="E575" s="2287">
        <v>3628</v>
      </c>
      <c r="F575" s="2286">
        <v>4342</v>
      </c>
      <c r="G575" s="2287">
        <v>0</v>
      </c>
      <c r="H575" s="2287">
        <v>2786</v>
      </c>
      <c r="I575" s="2287">
        <v>4826</v>
      </c>
      <c r="J575" s="2286">
        <v>5541</v>
      </c>
    </row>
    <row r="576" spans="1:10" s="4722" customFormat="1" ht="13.5">
      <c r="A576" s="2287">
        <v>28600</v>
      </c>
      <c r="B576" s="2286">
        <v>28650</v>
      </c>
      <c r="C576" s="2287">
        <v>0</v>
      </c>
      <c r="D576" s="2287">
        <v>1869</v>
      </c>
      <c r="E576" s="2287">
        <v>3617</v>
      </c>
      <c r="F576" s="2286">
        <v>4332</v>
      </c>
      <c r="G576" s="2287">
        <v>0</v>
      </c>
      <c r="H576" s="2287">
        <v>2778</v>
      </c>
      <c r="I576" s="2287">
        <v>4816</v>
      </c>
      <c r="J576" s="2286">
        <v>5530</v>
      </c>
    </row>
    <row r="577" spans="1:10" s="4722" customFormat="1" ht="13.5">
      <c r="A577" s="2287">
        <v>28650</v>
      </c>
      <c r="B577" s="2286">
        <v>28700</v>
      </c>
      <c r="C577" s="2287">
        <v>0</v>
      </c>
      <c r="D577" s="2287">
        <v>1861</v>
      </c>
      <c r="E577" s="2287">
        <v>3607</v>
      </c>
      <c r="F577" s="2286">
        <v>4321</v>
      </c>
      <c r="G577" s="2287">
        <v>0</v>
      </c>
      <c r="H577" s="2287">
        <v>2770</v>
      </c>
      <c r="I577" s="2287">
        <v>4805</v>
      </c>
      <c r="J577" s="2286">
        <v>5520</v>
      </c>
    </row>
    <row r="578" spans="1:10" s="4722" customFormat="1" ht="13.5">
      <c r="A578" s="2287">
        <v>28700</v>
      </c>
      <c r="B578" s="2286">
        <v>28750</v>
      </c>
      <c r="C578" s="2287">
        <v>0</v>
      </c>
      <c r="D578" s="2287">
        <v>1853</v>
      </c>
      <c r="E578" s="2287">
        <v>3596</v>
      </c>
      <c r="F578" s="2286">
        <v>4311</v>
      </c>
      <c r="G578" s="2287">
        <v>0</v>
      </c>
      <c r="H578" s="2287">
        <v>2762</v>
      </c>
      <c r="I578" s="2287">
        <v>4795</v>
      </c>
      <c r="J578" s="2286">
        <v>5509</v>
      </c>
    </row>
    <row r="579" spans="1:10" s="4722" customFormat="1" ht="13.5">
      <c r="A579" s="2287">
        <v>28750</v>
      </c>
      <c r="B579" s="2286">
        <v>28800</v>
      </c>
      <c r="C579" s="2287">
        <v>0</v>
      </c>
      <c r="D579" s="2287">
        <v>1845</v>
      </c>
      <c r="E579" s="2287">
        <v>3586</v>
      </c>
      <c r="F579" s="2286">
        <v>4300</v>
      </c>
      <c r="G579" s="2287">
        <v>0</v>
      </c>
      <c r="H579" s="2287">
        <v>2754</v>
      </c>
      <c r="I579" s="2287">
        <v>4784</v>
      </c>
      <c r="J579" s="2286">
        <v>5499</v>
      </c>
    </row>
    <row r="580" spans="1:10" s="4722" customFormat="1" ht="13.5">
      <c r="A580" s="2287">
        <v>28800</v>
      </c>
      <c r="B580" s="2286">
        <v>28850</v>
      </c>
      <c r="C580" s="2287">
        <v>0</v>
      </c>
      <c r="D580" s="2287">
        <v>1837</v>
      </c>
      <c r="E580" s="2287">
        <v>3575</v>
      </c>
      <c r="F580" s="2286">
        <v>4290</v>
      </c>
      <c r="G580" s="2287">
        <v>0</v>
      </c>
      <c r="H580" s="2287">
        <v>2746</v>
      </c>
      <c r="I580" s="2287">
        <v>4774</v>
      </c>
      <c r="J580" s="2286">
        <v>5488</v>
      </c>
    </row>
    <row r="581" spans="1:10" s="4722" customFormat="1" ht="13.5">
      <c r="A581" s="2287">
        <v>28850</v>
      </c>
      <c r="B581" s="2286">
        <v>28900</v>
      </c>
      <c r="C581" s="2287">
        <v>0</v>
      </c>
      <c r="D581" s="2287">
        <v>1829</v>
      </c>
      <c r="E581" s="2287">
        <v>3565</v>
      </c>
      <c r="F581" s="2286">
        <v>4279</v>
      </c>
      <c r="G581" s="2287">
        <v>0</v>
      </c>
      <c r="H581" s="2287">
        <v>2738</v>
      </c>
      <c r="I581" s="2287">
        <v>4763</v>
      </c>
      <c r="J581" s="2286">
        <v>5478</v>
      </c>
    </row>
    <row r="582" spans="1:10" s="4722" customFormat="1" ht="13.5">
      <c r="A582" s="2287">
        <v>28900</v>
      </c>
      <c r="B582" s="2286">
        <v>28950</v>
      </c>
      <c r="C582" s="2287">
        <v>0</v>
      </c>
      <c r="D582" s="2287">
        <v>1821</v>
      </c>
      <c r="E582" s="2287">
        <v>3554</v>
      </c>
      <c r="F582" s="2286">
        <v>4269</v>
      </c>
      <c r="G582" s="2287">
        <v>0</v>
      </c>
      <c r="H582" s="2287">
        <v>2730</v>
      </c>
      <c r="I582" s="2287">
        <v>4753</v>
      </c>
      <c r="J582" s="2286">
        <v>5467</v>
      </c>
    </row>
    <row r="583" spans="1:10" s="4722" customFormat="1" ht="13.5">
      <c r="A583" s="2287">
        <v>28950</v>
      </c>
      <c r="B583" s="2286">
        <v>29000</v>
      </c>
      <c r="C583" s="2287">
        <v>0</v>
      </c>
      <c r="D583" s="2287">
        <v>1813</v>
      </c>
      <c r="E583" s="2287">
        <v>3544</v>
      </c>
      <c r="F583" s="2286">
        <v>4258</v>
      </c>
      <c r="G583" s="2287">
        <v>0</v>
      </c>
      <c r="H583" s="2287">
        <v>2722</v>
      </c>
      <c r="I583" s="2287">
        <v>4742</v>
      </c>
      <c r="J583" s="2286">
        <v>5456</v>
      </c>
    </row>
    <row r="584" spans="1:10" s="4722" customFormat="1" ht="13.5">
      <c r="A584" s="2287">
        <v>29000</v>
      </c>
      <c r="B584" s="2286">
        <v>29050</v>
      </c>
      <c r="C584" s="2287">
        <v>0</v>
      </c>
      <c r="D584" s="2287">
        <v>1805</v>
      </c>
      <c r="E584" s="2287">
        <v>3533</v>
      </c>
      <c r="F584" s="2286">
        <v>4248</v>
      </c>
      <c r="G584" s="2287">
        <v>0</v>
      </c>
      <c r="H584" s="2287">
        <v>2714</v>
      </c>
      <c r="I584" s="2287">
        <v>4731</v>
      </c>
      <c r="J584" s="2286">
        <v>5446</v>
      </c>
    </row>
    <row r="585" spans="1:10" s="4722" customFormat="1" ht="13.5">
      <c r="A585" s="2287">
        <v>29050</v>
      </c>
      <c r="B585" s="2286">
        <v>29100</v>
      </c>
      <c r="C585" s="2287">
        <v>0</v>
      </c>
      <c r="D585" s="2287">
        <v>1797</v>
      </c>
      <c r="E585" s="2287">
        <v>3523</v>
      </c>
      <c r="F585" s="2286">
        <v>4237</v>
      </c>
      <c r="G585" s="2287">
        <v>0</v>
      </c>
      <c r="H585" s="2287">
        <v>2706</v>
      </c>
      <c r="I585" s="2287">
        <v>4721</v>
      </c>
      <c r="J585" s="2286">
        <v>5435</v>
      </c>
    </row>
    <row r="586" spans="1:10" s="4722" customFormat="1" ht="13.5">
      <c r="A586" s="2287">
        <v>29100</v>
      </c>
      <c r="B586" s="2286">
        <v>29150</v>
      </c>
      <c r="C586" s="2287">
        <v>0</v>
      </c>
      <c r="D586" s="2287">
        <v>1789</v>
      </c>
      <c r="E586" s="2287">
        <v>3512</v>
      </c>
      <c r="F586" s="2286">
        <v>4227</v>
      </c>
      <c r="G586" s="2287">
        <v>0</v>
      </c>
      <c r="H586" s="2287">
        <v>2698</v>
      </c>
      <c r="I586" s="2287">
        <v>4710</v>
      </c>
      <c r="J586" s="2286">
        <v>5425</v>
      </c>
    </row>
    <row r="587" spans="1:10" s="4722" customFormat="1" ht="13.5">
      <c r="A587" s="2287">
        <v>29150</v>
      </c>
      <c r="B587" s="2286">
        <v>29200</v>
      </c>
      <c r="C587" s="2287">
        <v>0</v>
      </c>
      <c r="D587" s="2287">
        <v>1781</v>
      </c>
      <c r="E587" s="2287">
        <v>3502</v>
      </c>
      <c r="F587" s="2286">
        <v>4216</v>
      </c>
      <c r="G587" s="2287">
        <v>0</v>
      </c>
      <c r="H587" s="2287">
        <v>2690</v>
      </c>
      <c r="I587" s="2287">
        <v>4700</v>
      </c>
      <c r="J587" s="2286">
        <v>5414</v>
      </c>
    </row>
    <row r="588" spans="1:10" s="4722" customFormat="1" ht="13.5">
      <c r="A588" s="2287">
        <v>29200</v>
      </c>
      <c r="B588" s="2286">
        <v>29250</v>
      </c>
      <c r="C588" s="2287">
        <v>0</v>
      </c>
      <c r="D588" s="2287">
        <v>1773</v>
      </c>
      <c r="E588" s="2287">
        <v>3491</v>
      </c>
      <c r="F588" s="2286">
        <v>4206</v>
      </c>
      <c r="G588" s="2287">
        <v>0</v>
      </c>
      <c r="H588" s="2287">
        <v>2682</v>
      </c>
      <c r="I588" s="2287">
        <v>4689</v>
      </c>
      <c r="J588" s="2286">
        <v>5404</v>
      </c>
    </row>
    <row r="589" spans="1:10" s="4722" customFormat="1" ht="13.5">
      <c r="A589" s="2287">
        <v>29250</v>
      </c>
      <c r="B589" s="2286">
        <v>29300</v>
      </c>
      <c r="C589" s="2287">
        <v>0</v>
      </c>
      <c r="D589" s="2287">
        <v>1765</v>
      </c>
      <c r="E589" s="2287">
        <v>3480</v>
      </c>
      <c r="F589" s="2286">
        <v>4195</v>
      </c>
      <c r="G589" s="2287">
        <v>0</v>
      </c>
      <c r="H589" s="2287">
        <v>2674</v>
      </c>
      <c r="I589" s="2287">
        <v>4679</v>
      </c>
      <c r="J589" s="2286">
        <v>5393</v>
      </c>
    </row>
    <row r="590" spans="1:10" s="4722" customFormat="1" ht="13.5">
      <c r="A590" s="2287">
        <v>29300</v>
      </c>
      <c r="B590" s="2286">
        <v>29350</v>
      </c>
      <c r="C590" s="2287">
        <v>0</v>
      </c>
      <c r="D590" s="2287">
        <v>1757</v>
      </c>
      <c r="E590" s="2287">
        <v>3470</v>
      </c>
      <c r="F590" s="2286">
        <v>4184</v>
      </c>
      <c r="G590" s="2287">
        <v>0</v>
      </c>
      <c r="H590" s="2287">
        <v>2666</v>
      </c>
      <c r="I590" s="2287">
        <v>4668</v>
      </c>
      <c r="J590" s="2286">
        <v>5383</v>
      </c>
    </row>
    <row r="591" spans="1:10" s="4722" customFormat="1" ht="13.5">
      <c r="A591" s="2287">
        <v>29350</v>
      </c>
      <c r="B591" s="2286">
        <v>29400</v>
      </c>
      <c r="C591" s="2287">
        <v>0</v>
      </c>
      <c r="D591" s="2287">
        <v>1749</v>
      </c>
      <c r="E591" s="2287">
        <v>3459</v>
      </c>
      <c r="F591" s="2286">
        <v>4174</v>
      </c>
      <c r="G591" s="2287">
        <v>0</v>
      </c>
      <c r="H591" s="2287">
        <v>2658</v>
      </c>
      <c r="I591" s="2287">
        <v>4658</v>
      </c>
      <c r="J591" s="2286">
        <v>5372</v>
      </c>
    </row>
    <row r="592" spans="1:10" s="4722" customFormat="1" ht="13.5">
      <c r="A592" s="2287">
        <v>29400</v>
      </c>
      <c r="B592" s="2286">
        <v>29450</v>
      </c>
      <c r="C592" s="2287">
        <v>0</v>
      </c>
      <c r="D592" s="2287">
        <v>1741</v>
      </c>
      <c r="E592" s="2287">
        <v>3449</v>
      </c>
      <c r="F592" s="2286">
        <v>4163</v>
      </c>
      <c r="G592" s="2287">
        <v>0</v>
      </c>
      <c r="H592" s="2287">
        <v>2650</v>
      </c>
      <c r="I592" s="2287">
        <v>4647</v>
      </c>
      <c r="J592" s="2286">
        <v>5362</v>
      </c>
    </row>
    <row r="593" spans="1:10" s="4722" customFormat="1" ht="13.5">
      <c r="A593" s="2287">
        <v>29450</v>
      </c>
      <c r="B593" s="2286">
        <v>29500</v>
      </c>
      <c r="C593" s="2287">
        <v>0</v>
      </c>
      <c r="D593" s="2287">
        <v>1733</v>
      </c>
      <c r="E593" s="2287">
        <v>3438</v>
      </c>
      <c r="F593" s="2286">
        <v>4153</v>
      </c>
      <c r="G593" s="2287">
        <v>0</v>
      </c>
      <c r="H593" s="2287">
        <v>2642</v>
      </c>
      <c r="I593" s="2287">
        <v>4637</v>
      </c>
      <c r="J593" s="2286">
        <v>5351</v>
      </c>
    </row>
    <row r="594" spans="1:10" s="4722" customFormat="1" ht="13.5">
      <c r="A594" s="2287">
        <v>29500</v>
      </c>
      <c r="B594" s="2286">
        <v>29550</v>
      </c>
      <c r="C594" s="2287">
        <v>0</v>
      </c>
      <c r="D594" s="2287">
        <v>1725</v>
      </c>
      <c r="E594" s="2287">
        <v>3428</v>
      </c>
      <c r="F594" s="2286">
        <v>4142</v>
      </c>
      <c r="G594" s="2287">
        <v>0</v>
      </c>
      <c r="H594" s="2287">
        <v>2634</v>
      </c>
      <c r="I594" s="2287">
        <v>4626</v>
      </c>
      <c r="J594" s="2286">
        <v>5341</v>
      </c>
    </row>
    <row r="595" spans="1:10" s="4722" customFormat="1" ht="13.5">
      <c r="A595" s="2287">
        <v>29550</v>
      </c>
      <c r="B595" s="2286">
        <v>29600</v>
      </c>
      <c r="C595" s="2287">
        <v>0</v>
      </c>
      <c r="D595" s="2287">
        <v>1717</v>
      </c>
      <c r="E595" s="2287">
        <v>3417</v>
      </c>
      <c r="F595" s="2286">
        <v>4132</v>
      </c>
      <c r="G595" s="2287">
        <v>0</v>
      </c>
      <c r="H595" s="2287">
        <v>2626</v>
      </c>
      <c r="I595" s="2287">
        <v>4616</v>
      </c>
      <c r="J595" s="2286">
        <v>5330</v>
      </c>
    </row>
    <row r="596" spans="1:10" s="4722" customFormat="1" ht="13.5">
      <c r="A596" s="2287">
        <v>29600</v>
      </c>
      <c r="B596" s="2286">
        <v>29650</v>
      </c>
      <c r="C596" s="2287">
        <v>0</v>
      </c>
      <c r="D596" s="2287">
        <v>1709</v>
      </c>
      <c r="E596" s="2287">
        <v>3407</v>
      </c>
      <c r="F596" s="2286">
        <v>4121</v>
      </c>
      <c r="G596" s="2287">
        <v>0</v>
      </c>
      <c r="H596" s="2287">
        <v>2618</v>
      </c>
      <c r="I596" s="2287">
        <v>4605</v>
      </c>
      <c r="J596" s="2286">
        <v>5320</v>
      </c>
    </row>
    <row r="597" spans="1:10" s="4722" customFormat="1" ht="13.5">
      <c r="A597" s="2287">
        <v>29650</v>
      </c>
      <c r="B597" s="2286">
        <v>29700</v>
      </c>
      <c r="C597" s="2287">
        <v>0</v>
      </c>
      <c r="D597" s="2287">
        <v>1701</v>
      </c>
      <c r="E597" s="2287">
        <v>3396</v>
      </c>
      <c r="F597" s="2286">
        <v>4111</v>
      </c>
      <c r="G597" s="2287">
        <v>0</v>
      </c>
      <c r="H597" s="2287">
        <v>2610</v>
      </c>
      <c r="I597" s="2287">
        <v>4595</v>
      </c>
      <c r="J597" s="2286">
        <v>5309</v>
      </c>
    </row>
    <row r="598" spans="1:10" s="4722" customFormat="1" ht="13.5">
      <c r="A598" s="2287">
        <v>29700</v>
      </c>
      <c r="B598" s="2286">
        <v>29750</v>
      </c>
      <c r="C598" s="2287">
        <v>0</v>
      </c>
      <c r="D598" s="2287">
        <v>1693</v>
      </c>
      <c r="E598" s="2287">
        <v>3386</v>
      </c>
      <c r="F598" s="2286">
        <v>4100</v>
      </c>
      <c r="G598" s="2287">
        <v>0</v>
      </c>
      <c r="H598" s="2287">
        <v>2602</v>
      </c>
      <c r="I598" s="2287">
        <v>4584</v>
      </c>
      <c r="J598" s="2286">
        <v>5299</v>
      </c>
    </row>
    <row r="599" spans="1:10" s="4722" customFormat="1" ht="13.5">
      <c r="A599" s="2287">
        <v>29750</v>
      </c>
      <c r="B599" s="2286">
        <v>29800</v>
      </c>
      <c r="C599" s="2287">
        <v>0</v>
      </c>
      <c r="D599" s="2287">
        <v>1685</v>
      </c>
      <c r="E599" s="2287">
        <v>3375</v>
      </c>
      <c r="F599" s="2286">
        <v>4090</v>
      </c>
      <c r="G599" s="2287">
        <v>0</v>
      </c>
      <c r="H599" s="2287">
        <v>2594</v>
      </c>
      <c r="I599" s="2287">
        <v>4573</v>
      </c>
      <c r="J599" s="2286">
        <v>5288</v>
      </c>
    </row>
    <row r="600" spans="1:10" s="4722" customFormat="1" ht="13.5">
      <c r="A600" s="2287">
        <v>29800</v>
      </c>
      <c r="B600" s="2286">
        <v>29850</v>
      </c>
      <c r="C600" s="2287">
        <v>0</v>
      </c>
      <c r="D600" s="2287">
        <v>1677</v>
      </c>
      <c r="E600" s="2287">
        <v>3365</v>
      </c>
      <c r="F600" s="2286">
        <v>4079</v>
      </c>
      <c r="G600" s="2287">
        <v>0</v>
      </c>
      <c r="H600" s="2287">
        <v>2586</v>
      </c>
      <c r="I600" s="2287">
        <v>4563</v>
      </c>
      <c r="J600" s="2286">
        <v>5277</v>
      </c>
    </row>
    <row r="601" spans="1:10" s="4722" customFormat="1" ht="13.5">
      <c r="A601" s="2287">
        <v>29850</v>
      </c>
      <c r="B601" s="2286">
        <v>29900</v>
      </c>
      <c r="C601" s="2287">
        <v>0</v>
      </c>
      <c r="D601" s="2287">
        <v>1669</v>
      </c>
      <c r="E601" s="2287">
        <v>3354</v>
      </c>
      <c r="F601" s="2286">
        <v>4069</v>
      </c>
      <c r="G601" s="2287">
        <v>0</v>
      </c>
      <c r="H601" s="2287">
        <v>2578</v>
      </c>
      <c r="I601" s="2287">
        <v>4552</v>
      </c>
      <c r="J601" s="2286">
        <v>5267</v>
      </c>
    </row>
    <row r="602" spans="1:10" s="4722" customFormat="1" ht="13.5">
      <c r="A602" s="2287">
        <v>29900</v>
      </c>
      <c r="B602" s="2286">
        <v>29950</v>
      </c>
      <c r="C602" s="2287">
        <v>0</v>
      </c>
      <c r="D602" s="2287">
        <v>1661</v>
      </c>
      <c r="E602" s="2287">
        <v>3344</v>
      </c>
      <c r="F602" s="2286">
        <v>4058</v>
      </c>
      <c r="G602" s="2287">
        <v>0</v>
      </c>
      <c r="H602" s="2287">
        <v>2570</v>
      </c>
      <c r="I602" s="2287">
        <v>4542</v>
      </c>
      <c r="J602" s="2286">
        <v>5256</v>
      </c>
    </row>
    <row r="603" spans="1:10" s="4722" customFormat="1" ht="13.5">
      <c r="A603" s="2287">
        <v>29950</v>
      </c>
      <c r="B603" s="2286">
        <v>30000</v>
      </c>
      <c r="C603" s="2287">
        <v>0</v>
      </c>
      <c r="D603" s="2287">
        <v>1653</v>
      </c>
      <c r="E603" s="2287">
        <v>3333</v>
      </c>
      <c r="F603" s="2286">
        <v>4048</v>
      </c>
      <c r="G603" s="2287">
        <v>0</v>
      </c>
      <c r="H603" s="2287">
        <v>2562</v>
      </c>
      <c r="I603" s="2287">
        <v>4531</v>
      </c>
      <c r="J603" s="2286">
        <v>5246</v>
      </c>
    </row>
    <row r="604" spans="1:10" s="4722" customFormat="1" ht="13.5">
      <c r="A604" s="2287">
        <v>30000</v>
      </c>
      <c r="B604" s="2286">
        <v>30050</v>
      </c>
      <c r="C604" s="2287">
        <v>0</v>
      </c>
      <c r="D604" s="2287">
        <v>1645</v>
      </c>
      <c r="E604" s="2287">
        <v>3323</v>
      </c>
      <c r="F604" s="2286">
        <v>4037</v>
      </c>
      <c r="G604" s="2287">
        <v>0</v>
      </c>
      <c r="H604" s="2287">
        <v>2554</v>
      </c>
      <c r="I604" s="2287">
        <v>4521</v>
      </c>
      <c r="J604" s="2286">
        <v>5235</v>
      </c>
    </row>
    <row r="605" spans="1:10" s="4722" customFormat="1" ht="13.5">
      <c r="A605" s="2287">
        <v>30050</v>
      </c>
      <c r="B605" s="2286">
        <v>30100</v>
      </c>
      <c r="C605" s="2287">
        <v>0</v>
      </c>
      <c r="D605" s="2287">
        <v>1637</v>
      </c>
      <c r="E605" s="2287">
        <v>3312</v>
      </c>
      <c r="F605" s="2286">
        <v>4027</v>
      </c>
      <c r="G605" s="2287">
        <v>0</v>
      </c>
      <c r="H605" s="2287">
        <v>2546</v>
      </c>
      <c r="I605" s="2287">
        <v>4510</v>
      </c>
      <c r="J605" s="2286">
        <v>5225</v>
      </c>
    </row>
    <row r="606" spans="1:10" s="4722" customFormat="1" ht="13.5">
      <c r="A606" s="2287">
        <v>30100</v>
      </c>
      <c r="B606" s="2286">
        <v>30150</v>
      </c>
      <c r="C606" s="2287">
        <v>0</v>
      </c>
      <c r="D606" s="2287">
        <v>1629</v>
      </c>
      <c r="E606" s="2287">
        <v>3301</v>
      </c>
      <c r="F606" s="2286">
        <v>4016</v>
      </c>
      <c r="G606" s="2287">
        <v>0</v>
      </c>
      <c r="H606" s="2287">
        <v>2538</v>
      </c>
      <c r="I606" s="2287">
        <v>4500</v>
      </c>
      <c r="J606" s="2286">
        <v>5214</v>
      </c>
    </row>
    <row r="607" spans="1:10" s="4722" customFormat="1" ht="13.5">
      <c r="A607" s="2287">
        <v>30150</v>
      </c>
      <c r="B607" s="2286">
        <v>30200</v>
      </c>
      <c r="C607" s="2287">
        <v>0</v>
      </c>
      <c r="D607" s="2287">
        <v>1621</v>
      </c>
      <c r="E607" s="2287">
        <v>3291</v>
      </c>
      <c r="F607" s="2286">
        <v>4005</v>
      </c>
      <c r="G607" s="2287">
        <v>0</v>
      </c>
      <c r="H607" s="2287">
        <v>2530</v>
      </c>
      <c r="I607" s="2287">
        <v>4489</v>
      </c>
      <c r="J607" s="2286">
        <v>5204</v>
      </c>
    </row>
    <row r="608" spans="1:10" s="4722" customFormat="1" ht="13.5">
      <c r="A608" s="2287">
        <v>30200</v>
      </c>
      <c r="B608" s="2286">
        <v>30250</v>
      </c>
      <c r="C608" s="2287">
        <v>0</v>
      </c>
      <c r="D608" s="2287">
        <v>1613</v>
      </c>
      <c r="E608" s="2287">
        <v>3280</v>
      </c>
      <c r="F608" s="2286">
        <v>3995</v>
      </c>
      <c r="G608" s="2287">
        <v>0</v>
      </c>
      <c r="H608" s="2287">
        <v>2522</v>
      </c>
      <c r="I608" s="2287">
        <v>4479</v>
      </c>
      <c r="J608" s="2286">
        <v>5193</v>
      </c>
    </row>
    <row r="609" spans="1:10" s="4722" customFormat="1" ht="13.5">
      <c r="A609" s="2287">
        <v>30250</v>
      </c>
      <c r="B609" s="2286">
        <v>30300</v>
      </c>
      <c r="C609" s="2287">
        <v>0</v>
      </c>
      <c r="D609" s="2287">
        <v>1605</v>
      </c>
      <c r="E609" s="2287">
        <v>3270</v>
      </c>
      <c r="F609" s="2286">
        <v>3984</v>
      </c>
      <c r="G609" s="2287">
        <v>0</v>
      </c>
      <c r="H609" s="2287">
        <v>2514</v>
      </c>
      <c r="I609" s="2287">
        <v>4468</v>
      </c>
      <c r="J609" s="2286">
        <v>5183</v>
      </c>
    </row>
    <row r="610" spans="1:10" s="4722" customFormat="1" ht="13.5">
      <c r="A610" s="2287">
        <v>30300</v>
      </c>
      <c r="B610" s="2286">
        <v>30350</v>
      </c>
      <c r="C610" s="2287">
        <v>0</v>
      </c>
      <c r="D610" s="2287">
        <v>1597</v>
      </c>
      <c r="E610" s="2287">
        <v>3259</v>
      </c>
      <c r="F610" s="2286">
        <v>3974</v>
      </c>
      <c r="G610" s="2287">
        <v>0</v>
      </c>
      <c r="H610" s="2287">
        <v>2506</v>
      </c>
      <c r="I610" s="2287">
        <v>4458</v>
      </c>
      <c r="J610" s="2286">
        <v>5172</v>
      </c>
    </row>
    <row r="611" spans="1:10" s="4722" customFormat="1" ht="13.5">
      <c r="A611" s="2287">
        <v>30350</v>
      </c>
      <c r="B611" s="2286">
        <v>30400</v>
      </c>
      <c r="C611" s="2287">
        <v>0</v>
      </c>
      <c r="D611" s="2287">
        <v>1589</v>
      </c>
      <c r="E611" s="2287">
        <v>3249</v>
      </c>
      <c r="F611" s="2286">
        <v>3963</v>
      </c>
      <c r="G611" s="2287">
        <v>0</v>
      </c>
      <c r="H611" s="2287">
        <v>2498</v>
      </c>
      <c r="I611" s="2287">
        <v>4447</v>
      </c>
      <c r="J611" s="2286">
        <v>5162</v>
      </c>
    </row>
    <row r="612" spans="1:10" s="4722" customFormat="1" ht="13.5">
      <c r="A612" s="2287">
        <v>30400</v>
      </c>
      <c r="B612" s="2286">
        <v>30450</v>
      </c>
      <c r="C612" s="2287">
        <v>0</v>
      </c>
      <c r="D612" s="2287">
        <v>1581</v>
      </c>
      <c r="E612" s="2287">
        <v>3238</v>
      </c>
      <c r="F612" s="2286">
        <v>3953</v>
      </c>
      <c r="G612" s="2287">
        <v>0</v>
      </c>
      <c r="H612" s="2287">
        <v>2490</v>
      </c>
      <c r="I612" s="2287">
        <v>4437</v>
      </c>
      <c r="J612" s="2286">
        <v>5151</v>
      </c>
    </row>
    <row r="613" spans="1:10" s="4722" customFormat="1" ht="13.5">
      <c r="A613" s="2287">
        <v>30450</v>
      </c>
      <c r="B613" s="2286">
        <v>30500</v>
      </c>
      <c r="C613" s="2287">
        <v>0</v>
      </c>
      <c r="D613" s="2287">
        <v>1573</v>
      </c>
      <c r="E613" s="2287">
        <v>3228</v>
      </c>
      <c r="F613" s="2286">
        <v>3942</v>
      </c>
      <c r="G613" s="2287">
        <v>0</v>
      </c>
      <c r="H613" s="2287">
        <v>2482</v>
      </c>
      <c r="I613" s="2287">
        <v>4426</v>
      </c>
      <c r="J613" s="2286">
        <v>5141</v>
      </c>
    </row>
    <row r="614" spans="1:10" s="4722" customFormat="1" ht="13.5">
      <c r="A614" s="2287">
        <v>30500</v>
      </c>
      <c r="B614" s="2286">
        <v>30550</v>
      </c>
      <c r="C614" s="2287">
        <v>0</v>
      </c>
      <c r="D614" s="2287">
        <v>1565</v>
      </c>
      <c r="E614" s="2287">
        <v>3217</v>
      </c>
      <c r="F614" s="2286">
        <v>3932</v>
      </c>
      <c r="G614" s="2287">
        <v>0</v>
      </c>
      <c r="H614" s="2287">
        <v>2474</v>
      </c>
      <c r="I614" s="2287">
        <v>4416</v>
      </c>
      <c r="J614" s="2286">
        <v>5130</v>
      </c>
    </row>
    <row r="615" spans="1:10" s="4722" customFormat="1" ht="13.5">
      <c r="A615" s="2287">
        <v>30550</v>
      </c>
      <c r="B615" s="2286">
        <v>30600</v>
      </c>
      <c r="C615" s="2287">
        <v>0</v>
      </c>
      <c r="D615" s="2287">
        <v>1557</v>
      </c>
      <c r="E615" s="2287">
        <v>3207</v>
      </c>
      <c r="F615" s="2286">
        <v>3921</v>
      </c>
      <c r="G615" s="2287">
        <v>0</v>
      </c>
      <c r="H615" s="2287">
        <v>2466</v>
      </c>
      <c r="I615" s="2287">
        <v>4405</v>
      </c>
      <c r="J615" s="2286">
        <v>5120</v>
      </c>
    </row>
    <row r="616" spans="1:10" s="4722" customFormat="1" ht="13.5">
      <c r="A616" s="2287">
        <v>30600</v>
      </c>
      <c r="B616" s="2286">
        <v>30650</v>
      </c>
      <c r="C616" s="2287">
        <v>0</v>
      </c>
      <c r="D616" s="2287">
        <v>1549</v>
      </c>
      <c r="E616" s="2287">
        <v>3196</v>
      </c>
      <c r="F616" s="2286">
        <v>3911</v>
      </c>
      <c r="G616" s="2287">
        <v>0</v>
      </c>
      <c r="H616" s="2287">
        <v>2458</v>
      </c>
      <c r="I616" s="2287">
        <v>4394</v>
      </c>
      <c r="J616" s="2286">
        <v>5109</v>
      </c>
    </row>
    <row r="617" spans="1:10" s="4722" customFormat="1" ht="13.5">
      <c r="A617" s="2287">
        <v>30650</v>
      </c>
      <c r="B617" s="2286">
        <v>30700</v>
      </c>
      <c r="C617" s="2287">
        <v>0</v>
      </c>
      <c r="D617" s="2287">
        <v>1541</v>
      </c>
      <c r="E617" s="2287">
        <v>3186</v>
      </c>
      <c r="F617" s="2286">
        <v>3900</v>
      </c>
      <c r="G617" s="2287">
        <v>0</v>
      </c>
      <c r="H617" s="2287">
        <v>2450</v>
      </c>
      <c r="I617" s="2287">
        <v>4384</v>
      </c>
      <c r="J617" s="2286">
        <v>5098</v>
      </c>
    </row>
    <row r="618" spans="1:10" s="4722" customFormat="1" ht="13.5">
      <c r="A618" s="2287">
        <v>30700</v>
      </c>
      <c r="B618" s="2286">
        <v>30750</v>
      </c>
      <c r="C618" s="2287">
        <v>0</v>
      </c>
      <c r="D618" s="2287">
        <v>1533</v>
      </c>
      <c r="E618" s="2287">
        <v>3175</v>
      </c>
      <c r="F618" s="2286">
        <v>3890</v>
      </c>
      <c r="G618" s="2287">
        <v>0</v>
      </c>
      <c r="H618" s="2287">
        <v>2442</v>
      </c>
      <c r="I618" s="2287">
        <v>4373</v>
      </c>
      <c r="J618" s="2286">
        <v>5088</v>
      </c>
    </row>
    <row r="619" spans="1:10" s="4722" customFormat="1" ht="13.5">
      <c r="A619" s="2287">
        <v>30750</v>
      </c>
      <c r="B619" s="2286">
        <v>30800</v>
      </c>
      <c r="C619" s="2287">
        <v>0</v>
      </c>
      <c r="D619" s="2287">
        <v>1525</v>
      </c>
      <c r="E619" s="2287">
        <v>3165</v>
      </c>
      <c r="F619" s="2286">
        <v>3879</v>
      </c>
      <c r="G619" s="2287">
        <v>0</v>
      </c>
      <c r="H619" s="2287">
        <v>2434</v>
      </c>
      <c r="I619" s="2287">
        <v>4363</v>
      </c>
      <c r="J619" s="2286">
        <v>5077</v>
      </c>
    </row>
    <row r="620" spans="1:10" s="4722" customFormat="1" ht="13.5">
      <c r="A620" s="2287">
        <v>30800</v>
      </c>
      <c r="B620" s="2286">
        <v>30850</v>
      </c>
      <c r="C620" s="2287">
        <v>0</v>
      </c>
      <c r="D620" s="2287">
        <v>1517</v>
      </c>
      <c r="E620" s="2287">
        <v>3154</v>
      </c>
      <c r="F620" s="2286">
        <v>3869</v>
      </c>
      <c r="G620" s="2287">
        <v>0</v>
      </c>
      <c r="H620" s="2287">
        <v>2426</v>
      </c>
      <c r="I620" s="2287">
        <v>4352</v>
      </c>
      <c r="J620" s="2286">
        <v>5067</v>
      </c>
    </row>
    <row r="621" spans="1:10" s="4722" customFormat="1" ht="13.5">
      <c r="A621" s="2287">
        <v>30850</v>
      </c>
      <c r="B621" s="2286">
        <v>30900</v>
      </c>
      <c r="C621" s="2287">
        <v>0</v>
      </c>
      <c r="D621" s="2287">
        <v>1509</v>
      </c>
      <c r="E621" s="2287">
        <v>3144</v>
      </c>
      <c r="F621" s="2286">
        <v>3858</v>
      </c>
      <c r="G621" s="2287">
        <v>0</v>
      </c>
      <c r="H621" s="2287">
        <v>2419</v>
      </c>
      <c r="I621" s="2287">
        <v>4342</v>
      </c>
      <c r="J621" s="2286">
        <v>5056</v>
      </c>
    </row>
    <row r="622" spans="1:10" s="4722" customFormat="1" ht="13.5">
      <c r="A622" s="2287">
        <v>30900</v>
      </c>
      <c r="B622" s="2286">
        <v>30950</v>
      </c>
      <c r="C622" s="2287">
        <v>0</v>
      </c>
      <c r="D622" s="2287">
        <v>1501</v>
      </c>
      <c r="E622" s="2287">
        <v>3133</v>
      </c>
      <c r="F622" s="2286">
        <v>3847</v>
      </c>
      <c r="G622" s="2287">
        <v>0</v>
      </c>
      <c r="H622" s="2287">
        <v>2411</v>
      </c>
      <c r="I622" s="2287">
        <v>4331</v>
      </c>
      <c r="J622" s="2286">
        <v>5046</v>
      </c>
    </row>
    <row r="623" spans="1:10" s="4722" customFormat="1" ht="13.5">
      <c r="A623" s="2287">
        <v>30950</v>
      </c>
      <c r="B623" s="2286">
        <v>31000</v>
      </c>
      <c r="C623" s="2287">
        <v>0</v>
      </c>
      <c r="D623" s="2287">
        <v>1493</v>
      </c>
      <c r="E623" s="2287">
        <v>3122</v>
      </c>
      <c r="F623" s="2286">
        <v>3837</v>
      </c>
      <c r="G623" s="2287">
        <v>0</v>
      </c>
      <c r="H623" s="2287">
        <v>2403</v>
      </c>
      <c r="I623" s="2287">
        <v>4321</v>
      </c>
      <c r="J623" s="2286">
        <v>5035</v>
      </c>
    </row>
    <row r="624" spans="1:10" s="4722" customFormat="1" ht="13.5">
      <c r="A624" s="2287">
        <v>31000</v>
      </c>
      <c r="B624" s="2286">
        <v>31050</v>
      </c>
      <c r="C624" s="2287">
        <v>0</v>
      </c>
      <c r="D624" s="2287">
        <v>1485</v>
      </c>
      <c r="E624" s="2287">
        <v>3112</v>
      </c>
      <c r="F624" s="2286">
        <v>3826</v>
      </c>
      <c r="G624" s="2287">
        <v>0</v>
      </c>
      <c r="H624" s="2287">
        <v>2395</v>
      </c>
      <c r="I624" s="2287">
        <v>4310</v>
      </c>
      <c r="J624" s="2286">
        <v>5025</v>
      </c>
    </row>
    <row r="625" spans="1:10" s="4722" customFormat="1" ht="13.5">
      <c r="A625" s="2287">
        <v>31050</v>
      </c>
      <c r="B625" s="2286">
        <v>31100</v>
      </c>
      <c r="C625" s="2287">
        <v>0</v>
      </c>
      <c r="D625" s="2287">
        <v>1477</v>
      </c>
      <c r="E625" s="2287">
        <v>3101</v>
      </c>
      <c r="F625" s="2286">
        <v>3816</v>
      </c>
      <c r="G625" s="2287">
        <v>0</v>
      </c>
      <c r="H625" s="2287">
        <v>2387</v>
      </c>
      <c r="I625" s="2287">
        <v>4300</v>
      </c>
      <c r="J625" s="2286">
        <v>5014</v>
      </c>
    </row>
    <row r="626" spans="1:10" s="4722" customFormat="1" ht="13.5">
      <c r="A626" s="2287">
        <v>31100</v>
      </c>
      <c r="B626" s="2286">
        <v>31150</v>
      </c>
      <c r="C626" s="2287">
        <v>0</v>
      </c>
      <c r="D626" s="2287">
        <v>1469</v>
      </c>
      <c r="E626" s="2287">
        <v>3091</v>
      </c>
      <c r="F626" s="2286">
        <v>3805</v>
      </c>
      <c r="G626" s="2287">
        <v>0</v>
      </c>
      <c r="H626" s="2287">
        <v>2379</v>
      </c>
      <c r="I626" s="2287">
        <v>4289</v>
      </c>
      <c r="J626" s="2286">
        <v>5004</v>
      </c>
    </row>
    <row r="627" spans="1:10" s="4722" customFormat="1" ht="13.5">
      <c r="A627" s="2287">
        <v>31150</v>
      </c>
      <c r="B627" s="2286">
        <v>31200</v>
      </c>
      <c r="C627" s="2287">
        <v>0</v>
      </c>
      <c r="D627" s="2287">
        <v>1461</v>
      </c>
      <c r="E627" s="2287">
        <v>3080</v>
      </c>
      <c r="F627" s="2286">
        <v>3795</v>
      </c>
      <c r="G627" s="2287">
        <v>0</v>
      </c>
      <c r="H627" s="2287">
        <v>2371</v>
      </c>
      <c r="I627" s="2287">
        <v>4279</v>
      </c>
      <c r="J627" s="2286">
        <v>4993</v>
      </c>
    </row>
    <row r="628" spans="1:10" s="4722" customFormat="1" ht="13.5">
      <c r="A628" s="2287">
        <v>31200</v>
      </c>
      <c r="B628" s="2286">
        <v>31250</v>
      </c>
      <c r="C628" s="2287">
        <v>0</v>
      </c>
      <c r="D628" s="2287">
        <v>1453</v>
      </c>
      <c r="E628" s="2287">
        <v>3070</v>
      </c>
      <c r="F628" s="2286">
        <v>3784</v>
      </c>
      <c r="G628" s="2287">
        <v>0</v>
      </c>
      <c r="H628" s="2287">
        <v>2363</v>
      </c>
      <c r="I628" s="2287">
        <v>4268</v>
      </c>
      <c r="J628" s="2286">
        <v>4983</v>
      </c>
    </row>
    <row r="629" spans="1:10" s="4722" customFormat="1" ht="13.5">
      <c r="A629" s="2287">
        <v>31250</v>
      </c>
      <c r="B629" s="2286">
        <v>31300</v>
      </c>
      <c r="C629" s="2287">
        <v>0</v>
      </c>
      <c r="D629" s="2287">
        <v>1445</v>
      </c>
      <c r="E629" s="2287">
        <v>3059</v>
      </c>
      <c r="F629" s="2286">
        <v>3774</v>
      </c>
      <c r="G629" s="2287">
        <v>0</v>
      </c>
      <c r="H629" s="2287">
        <v>2355</v>
      </c>
      <c r="I629" s="2287">
        <v>4258</v>
      </c>
      <c r="J629" s="2286">
        <v>4972</v>
      </c>
    </row>
    <row r="630" spans="1:10" s="4722" customFormat="1" ht="13.5">
      <c r="A630" s="2287">
        <v>31300</v>
      </c>
      <c r="B630" s="2286">
        <v>31350</v>
      </c>
      <c r="C630" s="2287">
        <v>0</v>
      </c>
      <c r="D630" s="2287">
        <v>1437</v>
      </c>
      <c r="E630" s="2287">
        <v>3049</v>
      </c>
      <c r="F630" s="2286">
        <v>3763</v>
      </c>
      <c r="G630" s="2287">
        <v>0</v>
      </c>
      <c r="H630" s="2287">
        <v>2347</v>
      </c>
      <c r="I630" s="2287">
        <v>4247</v>
      </c>
      <c r="J630" s="2286">
        <v>4962</v>
      </c>
    </row>
    <row r="631" spans="1:10" s="4722" customFormat="1" ht="13.5">
      <c r="A631" s="2287">
        <v>31350</v>
      </c>
      <c r="B631" s="2286">
        <v>31400</v>
      </c>
      <c r="C631" s="2287">
        <v>0</v>
      </c>
      <c r="D631" s="2287">
        <v>1429</v>
      </c>
      <c r="E631" s="2287">
        <v>3038</v>
      </c>
      <c r="F631" s="2286">
        <v>3753</v>
      </c>
      <c r="G631" s="2287">
        <v>0</v>
      </c>
      <c r="H631" s="2287">
        <v>2339</v>
      </c>
      <c r="I631" s="2287">
        <v>4237</v>
      </c>
      <c r="J631" s="2286">
        <v>4951</v>
      </c>
    </row>
    <row r="632" spans="1:10" s="4722" customFormat="1" ht="13.5">
      <c r="A632" s="2287">
        <v>31400</v>
      </c>
      <c r="B632" s="2286">
        <v>31450</v>
      </c>
      <c r="C632" s="2287">
        <v>0</v>
      </c>
      <c r="D632" s="2287">
        <v>1421</v>
      </c>
      <c r="E632" s="2287">
        <v>3028</v>
      </c>
      <c r="F632" s="2286">
        <v>3742</v>
      </c>
      <c r="G632" s="2287">
        <v>0</v>
      </c>
      <c r="H632" s="2287">
        <v>2331</v>
      </c>
      <c r="I632" s="2287">
        <v>4226</v>
      </c>
      <c r="J632" s="2286">
        <v>4941</v>
      </c>
    </row>
    <row r="633" spans="1:10" s="4722" customFormat="1" ht="13.5">
      <c r="A633" s="2287">
        <v>31450</v>
      </c>
      <c r="B633" s="2286">
        <v>31500</v>
      </c>
      <c r="C633" s="2287">
        <v>0</v>
      </c>
      <c r="D633" s="2287">
        <v>1413</v>
      </c>
      <c r="E633" s="2287">
        <v>3017</v>
      </c>
      <c r="F633" s="2286">
        <v>3732</v>
      </c>
      <c r="G633" s="2287">
        <v>0</v>
      </c>
      <c r="H633" s="2287">
        <v>2323</v>
      </c>
      <c r="I633" s="2287">
        <v>4215</v>
      </c>
      <c r="J633" s="2286">
        <v>4930</v>
      </c>
    </row>
    <row r="634" spans="1:10" s="4722" customFormat="1" ht="13.5">
      <c r="A634" s="2287">
        <v>31500</v>
      </c>
      <c r="B634" s="2286">
        <v>31550</v>
      </c>
      <c r="C634" s="2287">
        <v>0</v>
      </c>
      <c r="D634" s="2287">
        <v>1405</v>
      </c>
      <c r="E634" s="2287">
        <v>3007</v>
      </c>
      <c r="F634" s="2286">
        <v>3721</v>
      </c>
      <c r="G634" s="2287">
        <v>0</v>
      </c>
      <c r="H634" s="2287">
        <v>2315</v>
      </c>
      <c r="I634" s="2287">
        <v>4205</v>
      </c>
      <c r="J634" s="2286">
        <v>4919</v>
      </c>
    </row>
    <row r="635" spans="1:10" s="4722" customFormat="1" ht="13.5">
      <c r="A635" s="2287">
        <v>31550</v>
      </c>
      <c r="B635" s="2286">
        <v>31600</v>
      </c>
      <c r="C635" s="2287">
        <v>0</v>
      </c>
      <c r="D635" s="2287">
        <v>1397</v>
      </c>
      <c r="E635" s="2287">
        <v>2996</v>
      </c>
      <c r="F635" s="2286">
        <v>3711</v>
      </c>
      <c r="G635" s="2287">
        <v>0</v>
      </c>
      <c r="H635" s="2287">
        <v>2307</v>
      </c>
      <c r="I635" s="2287">
        <v>4194</v>
      </c>
      <c r="J635" s="2286">
        <v>4909</v>
      </c>
    </row>
    <row r="636" spans="1:10" s="4722" customFormat="1" ht="13.5">
      <c r="A636" s="2287">
        <v>31600</v>
      </c>
      <c r="B636" s="2286">
        <v>31650</v>
      </c>
      <c r="C636" s="2287">
        <v>0</v>
      </c>
      <c r="D636" s="2287">
        <v>1389</v>
      </c>
      <c r="E636" s="2287">
        <v>2986</v>
      </c>
      <c r="F636" s="2286">
        <v>3700</v>
      </c>
      <c r="G636" s="2287">
        <v>0</v>
      </c>
      <c r="H636" s="2287">
        <v>2299</v>
      </c>
      <c r="I636" s="2287">
        <v>4184</v>
      </c>
      <c r="J636" s="2286">
        <v>4898</v>
      </c>
    </row>
    <row r="637" spans="1:10" s="4722" customFormat="1" ht="13.5">
      <c r="A637" s="2287">
        <v>31650</v>
      </c>
      <c r="B637" s="2286">
        <v>31700</v>
      </c>
      <c r="C637" s="2287">
        <v>0</v>
      </c>
      <c r="D637" s="2287">
        <v>1381</v>
      </c>
      <c r="E637" s="2287">
        <v>2975</v>
      </c>
      <c r="F637" s="2286">
        <v>3690</v>
      </c>
      <c r="G637" s="2287">
        <v>0</v>
      </c>
      <c r="H637" s="2287">
        <v>2291</v>
      </c>
      <c r="I637" s="2287">
        <v>4173</v>
      </c>
      <c r="J637" s="2286">
        <v>4888</v>
      </c>
    </row>
    <row r="638" spans="1:10" s="4722" customFormat="1" ht="13.5">
      <c r="A638" s="2287">
        <v>31700</v>
      </c>
      <c r="B638" s="2286">
        <v>31750</v>
      </c>
      <c r="C638" s="2287">
        <v>0</v>
      </c>
      <c r="D638" s="2287">
        <v>1373</v>
      </c>
      <c r="E638" s="2287">
        <v>2965</v>
      </c>
      <c r="F638" s="2286">
        <v>3679</v>
      </c>
      <c r="G638" s="2287">
        <v>0</v>
      </c>
      <c r="H638" s="2287">
        <v>2283</v>
      </c>
      <c r="I638" s="2287">
        <v>4163</v>
      </c>
      <c r="J638" s="2286">
        <v>4877</v>
      </c>
    </row>
    <row r="639" spans="1:10" s="4722" customFormat="1" ht="13.5">
      <c r="A639" s="2287">
        <v>31750</v>
      </c>
      <c r="B639" s="2286">
        <v>31800</v>
      </c>
      <c r="C639" s="2287">
        <v>0</v>
      </c>
      <c r="D639" s="2287">
        <v>1365</v>
      </c>
      <c r="E639" s="2287">
        <v>2954</v>
      </c>
      <c r="F639" s="2286">
        <v>3668</v>
      </c>
      <c r="G639" s="2287">
        <v>0</v>
      </c>
      <c r="H639" s="2287">
        <v>2275</v>
      </c>
      <c r="I639" s="2287">
        <v>4152</v>
      </c>
      <c r="J639" s="2286">
        <v>4867</v>
      </c>
    </row>
    <row r="640" spans="1:10" s="4722" customFormat="1" ht="13.5">
      <c r="A640" s="2287">
        <v>31800</v>
      </c>
      <c r="B640" s="2286">
        <v>31850</v>
      </c>
      <c r="C640" s="2287">
        <v>0</v>
      </c>
      <c r="D640" s="2287">
        <v>1357</v>
      </c>
      <c r="E640" s="2287">
        <v>2943</v>
      </c>
      <c r="F640" s="2286">
        <v>3658</v>
      </c>
      <c r="G640" s="2287">
        <v>0</v>
      </c>
      <c r="H640" s="2287">
        <v>2267</v>
      </c>
      <c r="I640" s="2287">
        <v>4142</v>
      </c>
      <c r="J640" s="2286">
        <v>4856</v>
      </c>
    </row>
    <row r="641" spans="1:10" s="4722" customFormat="1" ht="13.5">
      <c r="A641" s="2287">
        <v>31850</v>
      </c>
      <c r="B641" s="2286">
        <v>31900</v>
      </c>
      <c r="C641" s="2287">
        <v>0</v>
      </c>
      <c r="D641" s="2287">
        <v>1349</v>
      </c>
      <c r="E641" s="2287">
        <v>2933</v>
      </c>
      <c r="F641" s="2286">
        <v>3647</v>
      </c>
      <c r="G641" s="2287">
        <v>0</v>
      </c>
      <c r="H641" s="2287">
        <v>2259</v>
      </c>
      <c r="I641" s="2287">
        <v>4131</v>
      </c>
      <c r="J641" s="2286">
        <v>4846</v>
      </c>
    </row>
    <row r="642" spans="1:10" s="4722" customFormat="1" ht="13.5">
      <c r="A642" s="2287">
        <v>31900</v>
      </c>
      <c r="B642" s="2286">
        <v>31950</v>
      </c>
      <c r="C642" s="2287">
        <v>0</v>
      </c>
      <c r="D642" s="2287">
        <v>1341</v>
      </c>
      <c r="E642" s="2287">
        <v>2922</v>
      </c>
      <c r="F642" s="2286">
        <v>3637</v>
      </c>
      <c r="G642" s="2287">
        <v>0</v>
      </c>
      <c r="H642" s="2287">
        <v>2251</v>
      </c>
      <c r="I642" s="2287">
        <v>4121</v>
      </c>
      <c r="J642" s="2286">
        <v>4835</v>
      </c>
    </row>
    <row r="643" spans="1:10" s="4722" customFormat="1" ht="13.5">
      <c r="A643" s="2287">
        <v>31950</v>
      </c>
      <c r="B643" s="2286">
        <v>32000</v>
      </c>
      <c r="C643" s="2287">
        <v>0</v>
      </c>
      <c r="D643" s="2287">
        <v>1333</v>
      </c>
      <c r="E643" s="2287">
        <v>2912</v>
      </c>
      <c r="F643" s="2286">
        <v>3626</v>
      </c>
      <c r="G643" s="2287">
        <v>0</v>
      </c>
      <c r="H643" s="2287">
        <v>2243</v>
      </c>
      <c r="I643" s="2287">
        <v>4110</v>
      </c>
      <c r="J643" s="2286">
        <v>4825</v>
      </c>
    </row>
    <row r="644" spans="1:10" s="4722" customFormat="1" ht="13.5">
      <c r="A644" s="2287">
        <v>32000</v>
      </c>
      <c r="B644" s="2286">
        <v>32050</v>
      </c>
      <c r="C644" s="2287">
        <v>0</v>
      </c>
      <c r="D644" s="2287">
        <v>1325</v>
      </c>
      <c r="E644" s="2287">
        <v>2901</v>
      </c>
      <c r="F644" s="2286">
        <v>3616</v>
      </c>
      <c r="G644" s="2287">
        <v>0</v>
      </c>
      <c r="H644" s="2287">
        <v>2235</v>
      </c>
      <c r="I644" s="2287">
        <v>4100</v>
      </c>
      <c r="J644" s="2286">
        <v>4814</v>
      </c>
    </row>
    <row r="645" spans="1:10" s="4722" customFormat="1" ht="13.5">
      <c r="A645" s="2287">
        <v>32050</v>
      </c>
      <c r="B645" s="2286">
        <v>32100</v>
      </c>
      <c r="C645" s="2287">
        <v>0</v>
      </c>
      <c r="D645" s="2287">
        <v>1317</v>
      </c>
      <c r="E645" s="2287">
        <v>2891</v>
      </c>
      <c r="F645" s="2286">
        <v>3605</v>
      </c>
      <c r="G645" s="2287">
        <v>0</v>
      </c>
      <c r="H645" s="2287">
        <v>2227</v>
      </c>
      <c r="I645" s="2287">
        <v>4089</v>
      </c>
      <c r="J645" s="2286">
        <v>4804</v>
      </c>
    </row>
    <row r="646" spans="1:10" s="4722" customFormat="1" ht="13.5">
      <c r="A646" s="2287">
        <v>32100</v>
      </c>
      <c r="B646" s="2286">
        <v>32150</v>
      </c>
      <c r="C646" s="2287">
        <v>0</v>
      </c>
      <c r="D646" s="2287">
        <v>1309</v>
      </c>
      <c r="E646" s="2287">
        <v>2880</v>
      </c>
      <c r="F646" s="2286">
        <v>3595</v>
      </c>
      <c r="G646" s="2287">
        <v>0</v>
      </c>
      <c r="H646" s="2287">
        <v>2219</v>
      </c>
      <c r="I646" s="2287">
        <v>4079</v>
      </c>
      <c r="J646" s="2286">
        <v>4793</v>
      </c>
    </row>
    <row r="647" spans="1:10" s="4722" customFormat="1" ht="13.5">
      <c r="A647" s="2287">
        <v>32150</v>
      </c>
      <c r="B647" s="2286">
        <v>32200</v>
      </c>
      <c r="C647" s="2287">
        <v>0</v>
      </c>
      <c r="D647" s="2287">
        <v>1302</v>
      </c>
      <c r="E647" s="2287">
        <v>2870</v>
      </c>
      <c r="F647" s="2286">
        <v>3584</v>
      </c>
      <c r="G647" s="2287">
        <v>0</v>
      </c>
      <c r="H647" s="2287">
        <v>2211</v>
      </c>
      <c r="I647" s="2287">
        <v>4068</v>
      </c>
      <c r="J647" s="2286">
        <v>4783</v>
      </c>
    </row>
    <row r="648" spans="1:10" s="4722" customFormat="1" ht="13.5">
      <c r="A648" s="2287">
        <v>32200</v>
      </c>
      <c r="B648" s="2286">
        <v>32250</v>
      </c>
      <c r="C648" s="2287">
        <v>0</v>
      </c>
      <c r="D648" s="2287">
        <v>1294</v>
      </c>
      <c r="E648" s="2287">
        <v>2859</v>
      </c>
      <c r="F648" s="2286">
        <v>3574</v>
      </c>
      <c r="G648" s="2287">
        <v>0</v>
      </c>
      <c r="H648" s="2287">
        <v>2203</v>
      </c>
      <c r="I648" s="2287">
        <v>4058</v>
      </c>
      <c r="J648" s="2286">
        <v>4772</v>
      </c>
    </row>
    <row r="649" spans="1:10" s="4722" customFormat="1" ht="13.5">
      <c r="A649" s="2287">
        <v>32250</v>
      </c>
      <c r="B649" s="2286">
        <v>32300</v>
      </c>
      <c r="C649" s="2287">
        <v>0</v>
      </c>
      <c r="D649" s="2287">
        <v>1286</v>
      </c>
      <c r="E649" s="2287">
        <v>2849</v>
      </c>
      <c r="F649" s="2286">
        <v>3563</v>
      </c>
      <c r="G649" s="2287">
        <v>0</v>
      </c>
      <c r="H649" s="2287">
        <v>2195</v>
      </c>
      <c r="I649" s="2287">
        <v>4047</v>
      </c>
      <c r="J649" s="2286">
        <v>4761</v>
      </c>
    </row>
    <row r="650" spans="1:10" s="4722" customFormat="1" ht="13.5">
      <c r="A650" s="2287">
        <v>32300</v>
      </c>
      <c r="B650" s="2286">
        <v>32350</v>
      </c>
      <c r="C650" s="2287">
        <v>0</v>
      </c>
      <c r="D650" s="2287">
        <v>1278</v>
      </c>
      <c r="E650" s="2287">
        <v>2838</v>
      </c>
      <c r="F650" s="2286">
        <v>3553</v>
      </c>
      <c r="G650" s="2287">
        <v>0</v>
      </c>
      <c r="H650" s="2287">
        <v>2187</v>
      </c>
      <c r="I650" s="2287">
        <v>4036</v>
      </c>
      <c r="J650" s="2286">
        <v>4751</v>
      </c>
    </row>
    <row r="651" spans="1:10" s="4722" customFormat="1" ht="13.5">
      <c r="A651" s="2287">
        <v>32350</v>
      </c>
      <c r="B651" s="2286">
        <v>32400</v>
      </c>
      <c r="C651" s="2287">
        <v>0</v>
      </c>
      <c r="D651" s="2287">
        <v>1270</v>
      </c>
      <c r="E651" s="2287">
        <v>2828</v>
      </c>
      <c r="F651" s="2286">
        <v>3542</v>
      </c>
      <c r="G651" s="2287">
        <v>0</v>
      </c>
      <c r="H651" s="2287">
        <v>2179</v>
      </c>
      <c r="I651" s="2287">
        <v>4026</v>
      </c>
      <c r="J651" s="2286">
        <v>4740</v>
      </c>
    </row>
    <row r="652" spans="1:10" s="4722" customFormat="1" ht="13.5">
      <c r="A652" s="2287">
        <v>32400</v>
      </c>
      <c r="B652" s="2286">
        <v>32450</v>
      </c>
      <c r="C652" s="2287">
        <v>0</v>
      </c>
      <c r="D652" s="2287">
        <v>1262</v>
      </c>
      <c r="E652" s="2287">
        <v>2817</v>
      </c>
      <c r="F652" s="2286">
        <v>3532</v>
      </c>
      <c r="G652" s="2287">
        <v>0</v>
      </c>
      <c r="H652" s="2287">
        <v>2171</v>
      </c>
      <c r="I652" s="2287">
        <v>4015</v>
      </c>
      <c r="J652" s="2286">
        <v>4730</v>
      </c>
    </row>
    <row r="653" spans="1:10" s="4722" customFormat="1" ht="13.5">
      <c r="A653" s="2287">
        <v>32450</v>
      </c>
      <c r="B653" s="2286">
        <v>32500</v>
      </c>
      <c r="C653" s="2287">
        <v>0</v>
      </c>
      <c r="D653" s="2287">
        <v>1254</v>
      </c>
      <c r="E653" s="2287">
        <v>2807</v>
      </c>
      <c r="F653" s="2286">
        <v>3521</v>
      </c>
      <c r="G653" s="2287">
        <v>0</v>
      </c>
      <c r="H653" s="2287">
        <v>2163</v>
      </c>
      <c r="I653" s="2287">
        <v>4005</v>
      </c>
      <c r="J653" s="2286">
        <v>4719</v>
      </c>
    </row>
    <row r="654" spans="1:10" s="4722" customFormat="1" ht="13.5">
      <c r="A654" s="2287">
        <v>32500</v>
      </c>
      <c r="B654" s="2286">
        <v>32550</v>
      </c>
      <c r="C654" s="2287">
        <v>0</v>
      </c>
      <c r="D654" s="2287">
        <v>1246</v>
      </c>
      <c r="E654" s="2287">
        <v>2796</v>
      </c>
      <c r="F654" s="2286">
        <v>3511</v>
      </c>
      <c r="G654" s="2287">
        <v>0</v>
      </c>
      <c r="H654" s="2287">
        <v>2155</v>
      </c>
      <c r="I654" s="2287">
        <v>3994</v>
      </c>
      <c r="J654" s="2286">
        <v>4709</v>
      </c>
    </row>
    <row r="655" spans="1:10" s="4722" customFormat="1" ht="13.5">
      <c r="A655" s="2287">
        <v>32550</v>
      </c>
      <c r="B655" s="2286">
        <v>32600</v>
      </c>
      <c r="C655" s="2287">
        <v>0</v>
      </c>
      <c r="D655" s="2287">
        <v>1238</v>
      </c>
      <c r="E655" s="2287">
        <v>2786</v>
      </c>
      <c r="F655" s="2286">
        <v>3500</v>
      </c>
      <c r="G655" s="2287">
        <v>0</v>
      </c>
      <c r="H655" s="2287">
        <v>2147</v>
      </c>
      <c r="I655" s="2287">
        <v>3984</v>
      </c>
      <c r="J655" s="2286">
        <v>4698</v>
      </c>
    </row>
    <row r="656" spans="1:10" s="4722" customFormat="1" ht="13.5">
      <c r="A656" s="2287">
        <v>32600</v>
      </c>
      <c r="B656" s="2286">
        <v>32650</v>
      </c>
      <c r="C656" s="2287">
        <v>0</v>
      </c>
      <c r="D656" s="2287">
        <v>1230</v>
      </c>
      <c r="E656" s="2287">
        <v>2775</v>
      </c>
      <c r="F656" s="2286">
        <v>3489</v>
      </c>
      <c r="G656" s="2287">
        <v>0</v>
      </c>
      <c r="H656" s="2287">
        <v>2139</v>
      </c>
      <c r="I656" s="2287">
        <v>3973</v>
      </c>
      <c r="J656" s="2286">
        <v>4688</v>
      </c>
    </row>
    <row r="657" spans="1:10" s="4722" customFormat="1" ht="13.5">
      <c r="A657" s="2287">
        <v>32650</v>
      </c>
      <c r="B657" s="2286">
        <v>32700</v>
      </c>
      <c r="C657" s="2287">
        <v>0</v>
      </c>
      <c r="D657" s="2287">
        <v>1222</v>
      </c>
      <c r="E657" s="2287">
        <v>2764</v>
      </c>
      <c r="F657" s="2286">
        <v>3479</v>
      </c>
      <c r="G657" s="2287">
        <v>0</v>
      </c>
      <c r="H657" s="2287">
        <v>2131</v>
      </c>
      <c r="I657" s="2287">
        <v>3963</v>
      </c>
      <c r="J657" s="2286">
        <v>4677</v>
      </c>
    </row>
    <row r="658" spans="1:10" s="4722" customFormat="1" ht="13.5">
      <c r="A658" s="2287">
        <v>32700</v>
      </c>
      <c r="B658" s="2286">
        <v>32750</v>
      </c>
      <c r="C658" s="2287">
        <v>0</v>
      </c>
      <c r="D658" s="2287">
        <v>1214</v>
      </c>
      <c r="E658" s="2287">
        <v>2754</v>
      </c>
      <c r="F658" s="2286">
        <v>3468</v>
      </c>
      <c r="G658" s="2287">
        <v>0</v>
      </c>
      <c r="H658" s="2287">
        <v>2123</v>
      </c>
      <c r="I658" s="2287">
        <v>3952</v>
      </c>
      <c r="J658" s="2286">
        <v>4667</v>
      </c>
    </row>
    <row r="659" spans="1:10" s="4722" customFormat="1" ht="13.5">
      <c r="A659" s="2287">
        <v>32750</v>
      </c>
      <c r="B659" s="2286">
        <v>32800</v>
      </c>
      <c r="C659" s="2287">
        <v>0</v>
      </c>
      <c r="D659" s="2287">
        <v>1206</v>
      </c>
      <c r="E659" s="2287">
        <v>2743</v>
      </c>
      <c r="F659" s="2286">
        <v>3458</v>
      </c>
      <c r="G659" s="2287">
        <v>0</v>
      </c>
      <c r="H659" s="2287">
        <v>2115</v>
      </c>
      <c r="I659" s="2287">
        <v>3942</v>
      </c>
      <c r="J659" s="2286">
        <v>4656</v>
      </c>
    </row>
    <row r="660" spans="1:10" s="4722" customFormat="1" ht="13.5">
      <c r="A660" s="2287">
        <v>32800</v>
      </c>
      <c r="B660" s="2286">
        <v>32850</v>
      </c>
      <c r="C660" s="2287">
        <v>0</v>
      </c>
      <c r="D660" s="2287">
        <v>1198</v>
      </c>
      <c r="E660" s="2287">
        <v>2733</v>
      </c>
      <c r="F660" s="2286">
        <v>3447</v>
      </c>
      <c r="G660" s="2287">
        <v>0</v>
      </c>
      <c r="H660" s="2287">
        <v>2107</v>
      </c>
      <c r="I660" s="2287">
        <v>3931</v>
      </c>
      <c r="J660" s="2286">
        <v>4646</v>
      </c>
    </row>
    <row r="661" spans="1:10" s="4722" customFormat="1" ht="13.5">
      <c r="A661" s="2287">
        <v>32850</v>
      </c>
      <c r="B661" s="2286">
        <v>32900</v>
      </c>
      <c r="C661" s="2287">
        <v>0</v>
      </c>
      <c r="D661" s="2287">
        <v>1190</v>
      </c>
      <c r="E661" s="2287">
        <v>2722</v>
      </c>
      <c r="F661" s="2286">
        <v>3437</v>
      </c>
      <c r="G661" s="2287">
        <v>0</v>
      </c>
      <c r="H661" s="2287">
        <v>2099</v>
      </c>
      <c r="I661" s="2287">
        <v>3921</v>
      </c>
      <c r="J661" s="2286">
        <v>4635</v>
      </c>
    </row>
    <row r="662" spans="1:10" s="4722" customFormat="1" ht="13.5">
      <c r="A662" s="2287">
        <v>32900</v>
      </c>
      <c r="B662" s="2286">
        <v>32950</v>
      </c>
      <c r="C662" s="2287">
        <v>0</v>
      </c>
      <c r="D662" s="2287">
        <v>1182</v>
      </c>
      <c r="E662" s="2287">
        <v>2712</v>
      </c>
      <c r="F662" s="2286">
        <v>3426</v>
      </c>
      <c r="G662" s="2287">
        <v>0</v>
      </c>
      <c r="H662" s="2287">
        <v>2091</v>
      </c>
      <c r="I662" s="2287">
        <v>3910</v>
      </c>
      <c r="J662" s="2286">
        <v>4625</v>
      </c>
    </row>
    <row r="663" spans="1:10" s="4722" customFormat="1" ht="13.5">
      <c r="A663" s="2287">
        <v>32950</v>
      </c>
      <c r="B663" s="2286">
        <v>33000</v>
      </c>
      <c r="C663" s="2287">
        <v>0</v>
      </c>
      <c r="D663" s="2287">
        <v>1174</v>
      </c>
      <c r="E663" s="2287">
        <v>2701</v>
      </c>
      <c r="F663" s="2286">
        <v>3416</v>
      </c>
      <c r="G663" s="2287">
        <v>0</v>
      </c>
      <c r="H663" s="2287">
        <v>2083</v>
      </c>
      <c r="I663" s="2287">
        <v>3900</v>
      </c>
      <c r="J663" s="2286">
        <v>4614</v>
      </c>
    </row>
    <row r="664" spans="1:10" s="4722" customFormat="1" ht="13.5">
      <c r="A664" s="2287">
        <v>33000</v>
      </c>
      <c r="B664" s="2286">
        <v>33050</v>
      </c>
      <c r="C664" s="2287">
        <v>0</v>
      </c>
      <c r="D664" s="2287">
        <v>1166</v>
      </c>
      <c r="E664" s="2287">
        <v>2691</v>
      </c>
      <c r="F664" s="2286">
        <v>3405</v>
      </c>
      <c r="G664" s="2287">
        <v>0</v>
      </c>
      <c r="H664" s="2287">
        <v>2075</v>
      </c>
      <c r="I664" s="2287">
        <v>3889</v>
      </c>
      <c r="J664" s="2286">
        <v>4604</v>
      </c>
    </row>
    <row r="665" spans="1:10" s="4722" customFormat="1" ht="13.5">
      <c r="A665" s="2287">
        <v>33050</v>
      </c>
      <c r="B665" s="2286">
        <v>33100</v>
      </c>
      <c r="C665" s="2287">
        <v>0</v>
      </c>
      <c r="D665" s="2287">
        <v>1158</v>
      </c>
      <c r="E665" s="2287">
        <v>2680</v>
      </c>
      <c r="F665" s="2286">
        <v>3395</v>
      </c>
      <c r="G665" s="2287">
        <v>0</v>
      </c>
      <c r="H665" s="2287">
        <v>2067</v>
      </c>
      <c r="I665" s="2287">
        <v>3879</v>
      </c>
      <c r="J665" s="2286">
        <v>4593</v>
      </c>
    </row>
    <row r="666" spans="1:10" s="4722" customFormat="1" ht="13.5">
      <c r="A666" s="2287">
        <v>33100</v>
      </c>
      <c r="B666" s="2286">
        <v>33150</v>
      </c>
      <c r="C666" s="2287">
        <v>0</v>
      </c>
      <c r="D666" s="2287">
        <v>1150</v>
      </c>
      <c r="E666" s="2287">
        <v>2670</v>
      </c>
      <c r="F666" s="2286">
        <v>3384</v>
      </c>
      <c r="G666" s="2287">
        <v>0</v>
      </c>
      <c r="H666" s="2287">
        <v>2059</v>
      </c>
      <c r="I666" s="2287">
        <v>3868</v>
      </c>
      <c r="J666" s="2286">
        <v>4582</v>
      </c>
    </row>
    <row r="667" spans="1:10" s="4722" customFormat="1" ht="13.5">
      <c r="A667" s="2287">
        <v>33150</v>
      </c>
      <c r="B667" s="2286">
        <v>33200</v>
      </c>
      <c r="C667" s="2287">
        <v>0</v>
      </c>
      <c r="D667" s="2287">
        <v>1142</v>
      </c>
      <c r="E667" s="2287">
        <v>2659</v>
      </c>
      <c r="F667" s="2286">
        <v>3374</v>
      </c>
      <c r="G667" s="2287">
        <v>0</v>
      </c>
      <c r="H667" s="2287">
        <v>2051</v>
      </c>
      <c r="I667" s="2287">
        <v>3857</v>
      </c>
      <c r="J667" s="2286">
        <v>4572</v>
      </c>
    </row>
    <row r="668" spans="1:10" s="4722" customFormat="1" ht="13.5">
      <c r="A668" s="2287">
        <v>33200</v>
      </c>
      <c r="B668" s="2286">
        <v>33250</v>
      </c>
      <c r="C668" s="2287">
        <v>0</v>
      </c>
      <c r="D668" s="2287">
        <v>1134</v>
      </c>
      <c r="E668" s="2287">
        <v>2649</v>
      </c>
      <c r="F668" s="2286">
        <v>3363</v>
      </c>
      <c r="G668" s="2287">
        <v>0</v>
      </c>
      <c r="H668" s="2287">
        <v>2043</v>
      </c>
      <c r="I668" s="2287">
        <v>3847</v>
      </c>
      <c r="J668" s="2286">
        <v>4561</v>
      </c>
    </row>
    <row r="669" spans="1:10" s="4722" customFormat="1" ht="13.5">
      <c r="A669" s="2287">
        <v>33250</v>
      </c>
      <c r="B669" s="2286">
        <v>33300</v>
      </c>
      <c r="C669" s="2287">
        <v>0</v>
      </c>
      <c r="D669" s="2287">
        <v>1126</v>
      </c>
      <c r="E669" s="2287">
        <v>2638</v>
      </c>
      <c r="F669" s="2286">
        <v>3353</v>
      </c>
      <c r="G669" s="2287">
        <v>0</v>
      </c>
      <c r="H669" s="2287">
        <v>2035</v>
      </c>
      <c r="I669" s="2287">
        <v>3836</v>
      </c>
      <c r="J669" s="2286">
        <v>4551</v>
      </c>
    </row>
    <row r="670" spans="1:10" s="4722" customFormat="1" ht="13.5">
      <c r="A670" s="2287">
        <v>33300</v>
      </c>
      <c r="B670" s="2286">
        <v>33350</v>
      </c>
      <c r="C670" s="2287">
        <v>0</v>
      </c>
      <c r="D670" s="2287">
        <v>1118</v>
      </c>
      <c r="E670" s="2287">
        <v>2628</v>
      </c>
      <c r="F670" s="2286">
        <v>3342</v>
      </c>
      <c r="G670" s="2287">
        <v>0</v>
      </c>
      <c r="H670" s="2287">
        <v>2027</v>
      </c>
      <c r="I670" s="2287">
        <v>3826</v>
      </c>
      <c r="J670" s="2286">
        <v>4540</v>
      </c>
    </row>
    <row r="671" spans="1:10" s="4722" customFormat="1" ht="13.5">
      <c r="A671" s="2287">
        <v>33350</v>
      </c>
      <c r="B671" s="2286">
        <v>33400</v>
      </c>
      <c r="C671" s="2287">
        <v>0</v>
      </c>
      <c r="D671" s="2287">
        <v>1110</v>
      </c>
      <c r="E671" s="2287">
        <v>2617</v>
      </c>
      <c r="F671" s="2286">
        <v>3332</v>
      </c>
      <c r="G671" s="2287">
        <v>0</v>
      </c>
      <c r="H671" s="2287">
        <v>2019</v>
      </c>
      <c r="I671" s="2287">
        <v>3815</v>
      </c>
      <c r="J671" s="2286">
        <v>4530</v>
      </c>
    </row>
    <row r="672" spans="1:10" s="4722" customFormat="1" ht="13.5">
      <c r="A672" s="2287">
        <v>33400</v>
      </c>
      <c r="B672" s="2286">
        <v>33450</v>
      </c>
      <c r="C672" s="2287">
        <v>0</v>
      </c>
      <c r="D672" s="2287">
        <v>1102</v>
      </c>
      <c r="E672" s="2287">
        <v>2606</v>
      </c>
      <c r="F672" s="2286">
        <v>3321</v>
      </c>
      <c r="G672" s="2287">
        <v>0</v>
      </c>
      <c r="H672" s="2287">
        <v>2011</v>
      </c>
      <c r="I672" s="2287">
        <v>3805</v>
      </c>
      <c r="J672" s="2286">
        <v>4519</v>
      </c>
    </row>
    <row r="673" spans="1:10" s="4722" customFormat="1" ht="13.5">
      <c r="A673" s="2287">
        <v>33450</v>
      </c>
      <c r="B673" s="2286">
        <v>33500</v>
      </c>
      <c r="C673" s="2287">
        <v>0</v>
      </c>
      <c r="D673" s="2287">
        <v>1094</v>
      </c>
      <c r="E673" s="2287">
        <v>2596</v>
      </c>
      <c r="F673" s="2286">
        <v>3310</v>
      </c>
      <c r="G673" s="2287">
        <v>0</v>
      </c>
      <c r="H673" s="2287">
        <v>2003</v>
      </c>
      <c r="I673" s="2287">
        <v>3794</v>
      </c>
      <c r="J673" s="2286">
        <v>4509</v>
      </c>
    </row>
    <row r="674" spans="1:10" s="4722" customFormat="1" ht="13.5">
      <c r="A674" s="2287">
        <v>33500</v>
      </c>
      <c r="B674" s="2286">
        <v>33550</v>
      </c>
      <c r="C674" s="2287">
        <v>0</v>
      </c>
      <c r="D674" s="2287">
        <v>1086</v>
      </c>
      <c r="E674" s="2287">
        <v>2585</v>
      </c>
      <c r="F674" s="2286">
        <v>3300</v>
      </c>
      <c r="G674" s="2287">
        <v>0</v>
      </c>
      <c r="H674" s="2287">
        <v>1995</v>
      </c>
      <c r="I674" s="2287">
        <v>3784</v>
      </c>
      <c r="J674" s="2286">
        <v>4498</v>
      </c>
    </row>
    <row r="675" spans="1:10" s="4722" customFormat="1" ht="13.5">
      <c r="A675" s="2287">
        <v>33550</v>
      </c>
      <c r="B675" s="2286">
        <v>33600</v>
      </c>
      <c r="C675" s="2287">
        <v>0</v>
      </c>
      <c r="D675" s="2287">
        <v>1078</v>
      </c>
      <c r="E675" s="2287">
        <v>2575</v>
      </c>
      <c r="F675" s="2286">
        <v>3289</v>
      </c>
      <c r="G675" s="2287">
        <v>0</v>
      </c>
      <c r="H675" s="2287">
        <v>1987</v>
      </c>
      <c r="I675" s="2287">
        <v>3773</v>
      </c>
      <c r="J675" s="2286">
        <v>4488</v>
      </c>
    </row>
    <row r="676" spans="1:10" s="4722" customFormat="1" ht="13.5">
      <c r="A676" s="2287">
        <v>33600</v>
      </c>
      <c r="B676" s="2286">
        <v>33650</v>
      </c>
      <c r="C676" s="2287">
        <v>0</v>
      </c>
      <c r="D676" s="2287">
        <v>1070</v>
      </c>
      <c r="E676" s="2287">
        <v>2564</v>
      </c>
      <c r="F676" s="2286">
        <v>3279</v>
      </c>
      <c r="G676" s="2287">
        <v>0</v>
      </c>
      <c r="H676" s="2287">
        <v>1979</v>
      </c>
      <c r="I676" s="2287">
        <v>3763</v>
      </c>
      <c r="J676" s="2286">
        <v>4477</v>
      </c>
    </row>
    <row r="677" spans="1:10" s="4722" customFormat="1" ht="13.5">
      <c r="A677" s="2287">
        <v>33650</v>
      </c>
      <c r="B677" s="2286">
        <v>33700</v>
      </c>
      <c r="C677" s="2287">
        <v>0</v>
      </c>
      <c r="D677" s="2287">
        <v>1062</v>
      </c>
      <c r="E677" s="2287">
        <v>2554</v>
      </c>
      <c r="F677" s="2286">
        <v>3268</v>
      </c>
      <c r="G677" s="2287">
        <v>0</v>
      </c>
      <c r="H677" s="2287">
        <v>1971</v>
      </c>
      <c r="I677" s="2287">
        <v>3752</v>
      </c>
      <c r="J677" s="2286">
        <v>4467</v>
      </c>
    </row>
    <row r="678" spans="1:10" s="4722" customFormat="1" ht="13.5">
      <c r="A678" s="2287">
        <v>33700</v>
      </c>
      <c r="B678" s="2286">
        <v>33750</v>
      </c>
      <c r="C678" s="2287">
        <v>0</v>
      </c>
      <c r="D678" s="2287">
        <v>1054</v>
      </c>
      <c r="E678" s="2287">
        <v>2543</v>
      </c>
      <c r="F678" s="2286">
        <v>3258</v>
      </c>
      <c r="G678" s="2287">
        <v>0</v>
      </c>
      <c r="H678" s="2287">
        <v>1963</v>
      </c>
      <c r="I678" s="2287">
        <v>3742</v>
      </c>
      <c r="J678" s="2286">
        <v>4456</v>
      </c>
    </row>
    <row r="679" spans="1:10" s="4722" customFormat="1" ht="13.5">
      <c r="A679" s="2287">
        <v>33750</v>
      </c>
      <c r="B679" s="2286">
        <v>33800</v>
      </c>
      <c r="C679" s="2287">
        <v>0</v>
      </c>
      <c r="D679" s="2287">
        <v>1046</v>
      </c>
      <c r="E679" s="2287">
        <v>2533</v>
      </c>
      <c r="F679" s="2286">
        <v>3247</v>
      </c>
      <c r="G679" s="2287">
        <v>0</v>
      </c>
      <c r="H679" s="2287">
        <v>1955</v>
      </c>
      <c r="I679" s="2287">
        <v>3731</v>
      </c>
      <c r="J679" s="2286">
        <v>4446</v>
      </c>
    </row>
    <row r="680" spans="1:10" s="4722" customFormat="1" ht="13.5">
      <c r="A680" s="2287">
        <v>33800</v>
      </c>
      <c r="B680" s="2286">
        <v>33850</v>
      </c>
      <c r="C680" s="2287">
        <v>0</v>
      </c>
      <c r="D680" s="2287">
        <v>1038</v>
      </c>
      <c r="E680" s="2287">
        <v>2522</v>
      </c>
      <c r="F680" s="2286">
        <v>3237</v>
      </c>
      <c r="G680" s="2287">
        <v>0</v>
      </c>
      <c r="H680" s="2287">
        <v>1947</v>
      </c>
      <c r="I680" s="2287">
        <v>3721</v>
      </c>
      <c r="J680" s="2286">
        <v>4435</v>
      </c>
    </row>
    <row r="681" spans="1:10" s="4722" customFormat="1" ht="13.5">
      <c r="A681" s="2287">
        <v>33850</v>
      </c>
      <c r="B681" s="2286">
        <v>33900</v>
      </c>
      <c r="C681" s="2287">
        <v>0</v>
      </c>
      <c r="D681" s="2287">
        <v>1030</v>
      </c>
      <c r="E681" s="2287">
        <v>2512</v>
      </c>
      <c r="F681" s="2286">
        <v>3226</v>
      </c>
      <c r="G681" s="2287">
        <v>0</v>
      </c>
      <c r="H681" s="2287">
        <v>1939</v>
      </c>
      <c r="I681" s="2287">
        <v>3710</v>
      </c>
      <c r="J681" s="2286">
        <v>4425</v>
      </c>
    </row>
    <row r="682" spans="1:10" s="4722" customFormat="1" ht="13.5">
      <c r="A682" s="2287">
        <v>33900</v>
      </c>
      <c r="B682" s="2286">
        <v>33950</v>
      </c>
      <c r="C682" s="2287">
        <v>0</v>
      </c>
      <c r="D682" s="2287">
        <v>1022</v>
      </c>
      <c r="E682" s="2287">
        <v>2501</v>
      </c>
      <c r="F682" s="2286">
        <v>3216</v>
      </c>
      <c r="G682" s="2287">
        <v>0</v>
      </c>
      <c r="H682" s="2287">
        <v>1931</v>
      </c>
      <c r="I682" s="2287">
        <v>3700</v>
      </c>
      <c r="J682" s="2286">
        <v>4414</v>
      </c>
    </row>
    <row r="683" spans="1:10" s="4722" customFormat="1" ht="13.5">
      <c r="A683" s="2287">
        <v>33950</v>
      </c>
      <c r="B683" s="2286">
        <v>34000</v>
      </c>
      <c r="C683" s="2287">
        <v>0</v>
      </c>
      <c r="D683" s="2287">
        <v>1014</v>
      </c>
      <c r="E683" s="2287">
        <v>2491</v>
      </c>
      <c r="F683" s="2286">
        <v>3205</v>
      </c>
      <c r="G683" s="2287">
        <v>0</v>
      </c>
      <c r="H683" s="2287">
        <v>1923</v>
      </c>
      <c r="I683" s="2287">
        <v>3689</v>
      </c>
      <c r="J683" s="2286">
        <v>4403</v>
      </c>
    </row>
    <row r="684" spans="1:10" s="4722" customFormat="1" ht="13.5">
      <c r="A684" s="2287">
        <v>34000</v>
      </c>
      <c r="B684" s="2286">
        <v>34050</v>
      </c>
      <c r="C684" s="2287">
        <v>0</v>
      </c>
      <c r="D684" s="2287">
        <v>1006</v>
      </c>
      <c r="E684" s="2287">
        <v>2480</v>
      </c>
      <c r="F684" s="2286">
        <v>3195</v>
      </c>
      <c r="G684" s="2287">
        <v>0</v>
      </c>
      <c r="H684" s="2287">
        <v>1915</v>
      </c>
      <c r="I684" s="2287">
        <v>3678</v>
      </c>
      <c r="J684" s="2286">
        <v>4393</v>
      </c>
    </row>
    <row r="685" spans="1:10" s="4722" customFormat="1" ht="13.5">
      <c r="A685" s="2287">
        <v>34050</v>
      </c>
      <c r="B685" s="2286">
        <v>34100</v>
      </c>
      <c r="C685" s="2287">
        <v>0</v>
      </c>
      <c r="D685" s="2287">
        <v>998</v>
      </c>
      <c r="E685" s="2287">
        <v>2470</v>
      </c>
      <c r="F685" s="2286">
        <v>3184</v>
      </c>
      <c r="G685" s="2287">
        <v>0</v>
      </c>
      <c r="H685" s="2287">
        <v>1907</v>
      </c>
      <c r="I685" s="2287">
        <v>3668</v>
      </c>
      <c r="J685" s="2286">
        <v>4382</v>
      </c>
    </row>
    <row r="686" spans="1:10" s="4722" customFormat="1" ht="13.5">
      <c r="A686" s="2287">
        <v>34100</v>
      </c>
      <c r="B686" s="2286">
        <v>34150</v>
      </c>
      <c r="C686" s="2287">
        <v>0</v>
      </c>
      <c r="D686" s="2287">
        <v>990</v>
      </c>
      <c r="E686" s="2287">
        <v>2459</v>
      </c>
      <c r="F686" s="2286">
        <v>3174</v>
      </c>
      <c r="G686" s="2287">
        <v>0</v>
      </c>
      <c r="H686" s="2287">
        <v>1899</v>
      </c>
      <c r="I686" s="2287">
        <v>3657</v>
      </c>
      <c r="J686" s="2286">
        <v>4372</v>
      </c>
    </row>
    <row r="687" spans="1:10" s="4722" customFormat="1" ht="13.5">
      <c r="A687" s="2287">
        <v>34150</v>
      </c>
      <c r="B687" s="2286">
        <v>34200</v>
      </c>
      <c r="C687" s="2287">
        <v>0</v>
      </c>
      <c r="D687" s="2287">
        <v>982</v>
      </c>
      <c r="E687" s="2287">
        <v>2449</v>
      </c>
      <c r="F687" s="2286">
        <v>3163</v>
      </c>
      <c r="G687" s="2287">
        <v>0</v>
      </c>
      <c r="H687" s="2287">
        <v>1891</v>
      </c>
      <c r="I687" s="2287">
        <v>3647</v>
      </c>
      <c r="J687" s="2286">
        <v>4361</v>
      </c>
    </row>
    <row r="688" spans="1:10" s="4722" customFormat="1" ht="13.5">
      <c r="A688" s="2287">
        <v>34200</v>
      </c>
      <c r="B688" s="2286">
        <v>34250</v>
      </c>
      <c r="C688" s="2287">
        <v>0</v>
      </c>
      <c r="D688" s="2287">
        <v>974</v>
      </c>
      <c r="E688" s="2287">
        <v>2438</v>
      </c>
      <c r="F688" s="2286">
        <v>3153</v>
      </c>
      <c r="G688" s="2287">
        <v>0</v>
      </c>
      <c r="H688" s="2287">
        <v>1883</v>
      </c>
      <c r="I688" s="2287">
        <v>3636</v>
      </c>
      <c r="J688" s="2286">
        <v>4351</v>
      </c>
    </row>
    <row r="689" spans="1:10" s="4722" customFormat="1" ht="13.5">
      <c r="A689" s="2287">
        <v>34250</v>
      </c>
      <c r="B689" s="2286">
        <v>34300</v>
      </c>
      <c r="C689" s="2287">
        <v>0</v>
      </c>
      <c r="D689" s="2287">
        <v>966</v>
      </c>
      <c r="E689" s="2287">
        <v>2427</v>
      </c>
      <c r="F689" s="2286">
        <v>3142</v>
      </c>
      <c r="G689" s="2287">
        <v>0</v>
      </c>
      <c r="H689" s="2287">
        <v>1875</v>
      </c>
      <c r="I689" s="2287">
        <v>3626</v>
      </c>
      <c r="J689" s="2286">
        <v>4340</v>
      </c>
    </row>
    <row r="690" spans="1:10" s="4722" customFormat="1" ht="13.5">
      <c r="A690" s="2287">
        <v>34300</v>
      </c>
      <c r="B690" s="2286">
        <v>34350</v>
      </c>
      <c r="C690" s="2287">
        <v>0</v>
      </c>
      <c r="D690" s="2287">
        <v>958</v>
      </c>
      <c r="E690" s="2287">
        <v>2417</v>
      </c>
      <c r="F690" s="2286">
        <v>3131</v>
      </c>
      <c r="G690" s="2287">
        <v>0</v>
      </c>
      <c r="H690" s="2287">
        <v>1867</v>
      </c>
      <c r="I690" s="2287">
        <v>3615</v>
      </c>
      <c r="J690" s="2286">
        <v>4330</v>
      </c>
    </row>
    <row r="691" spans="1:10" s="4722" customFormat="1" ht="13.5">
      <c r="A691" s="2287">
        <v>34350</v>
      </c>
      <c r="B691" s="2286">
        <v>34400</v>
      </c>
      <c r="C691" s="2287">
        <v>0</v>
      </c>
      <c r="D691" s="2287">
        <v>950</v>
      </c>
      <c r="E691" s="2287">
        <v>2406</v>
      </c>
      <c r="F691" s="2286">
        <v>3121</v>
      </c>
      <c r="G691" s="2287">
        <v>0</v>
      </c>
      <c r="H691" s="2287">
        <v>1859</v>
      </c>
      <c r="I691" s="2287">
        <v>3605</v>
      </c>
      <c r="J691" s="2286">
        <v>4319</v>
      </c>
    </row>
    <row r="692" spans="1:10" s="4722" customFormat="1" ht="13.5">
      <c r="A692" s="2287">
        <v>34400</v>
      </c>
      <c r="B692" s="2286">
        <v>34450</v>
      </c>
      <c r="C692" s="2287">
        <v>0</v>
      </c>
      <c r="D692" s="2287">
        <v>942</v>
      </c>
      <c r="E692" s="2287">
        <v>2396</v>
      </c>
      <c r="F692" s="2286">
        <v>3110</v>
      </c>
      <c r="G692" s="2287">
        <v>0</v>
      </c>
      <c r="H692" s="2287">
        <v>1851</v>
      </c>
      <c r="I692" s="2287">
        <v>3594</v>
      </c>
      <c r="J692" s="2286">
        <v>4309</v>
      </c>
    </row>
    <row r="693" spans="1:10" s="4722" customFormat="1" ht="13.5">
      <c r="A693" s="2287">
        <v>34450</v>
      </c>
      <c r="B693" s="2286">
        <v>34500</v>
      </c>
      <c r="C693" s="2287">
        <v>0</v>
      </c>
      <c r="D693" s="2287">
        <v>934</v>
      </c>
      <c r="E693" s="2287">
        <v>2385</v>
      </c>
      <c r="F693" s="2286">
        <v>3100</v>
      </c>
      <c r="G693" s="2287">
        <v>0</v>
      </c>
      <c r="H693" s="2287">
        <v>1843</v>
      </c>
      <c r="I693" s="2287">
        <v>3584</v>
      </c>
      <c r="J693" s="2286">
        <v>4298</v>
      </c>
    </row>
    <row r="694" spans="1:10" s="4722" customFormat="1" ht="13.5">
      <c r="A694" s="2287">
        <v>34500</v>
      </c>
      <c r="B694" s="2286">
        <v>34550</v>
      </c>
      <c r="C694" s="2287">
        <v>0</v>
      </c>
      <c r="D694" s="2287">
        <v>926</v>
      </c>
      <c r="E694" s="2287">
        <v>2375</v>
      </c>
      <c r="F694" s="2286">
        <v>3089</v>
      </c>
      <c r="G694" s="2287">
        <v>0</v>
      </c>
      <c r="H694" s="2287">
        <v>1835</v>
      </c>
      <c r="I694" s="2287">
        <v>3573</v>
      </c>
      <c r="J694" s="2286">
        <v>4288</v>
      </c>
    </row>
    <row r="695" spans="1:10" s="4722" customFormat="1" ht="13.5">
      <c r="A695" s="2287">
        <v>34550</v>
      </c>
      <c r="B695" s="2286">
        <v>34600</v>
      </c>
      <c r="C695" s="2287">
        <v>0</v>
      </c>
      <c r="D695" s="2287">
        <v>918</v>
      </c>
      <c r="E695" s="2287">
        <v>2364</v>
      </c>
      <c r="F695" s="2286">
        <v>3079</v>
      </c>
      <c r="G695" s="2287">
        <v>0</v>
      </c>
      <c r="H695" s="2287">
        <v>1827</v>
      </c>
      <c r="I695" s="2287">
        <v>3563</v>
      </c>
      <c r="J695" s="2286">
        <v>4277</v>
      </c>
    </row>
    <row r="696" spans="1:10" s="4722" customFormat="1" ht="13.5">
      <c r="A696" s="2287">
        <v>34600</v>
      </c>
      <c r="B696" s="2286">
        <v>34650</v>
      </c>
      <c r="C696" s="2287">
        <v>0</v>
      </c>
      <c r="D696" s="2287">
        <v>910</v>
      </c>
      <c r="E696" s="2287">
        <v>2354</v>
      </c>
      <c r="F696" s="2286">
        <v>3068</v>
      </c>
      <c r="G696" s="2287">
        <v>0</v>
      </c>
      <c r="H696" s="2287">
        <v>1819</v>
      </c>
      <c r="I696" s="2287">
        <v>3552</v>
      </c>
      <c r="J696" s="2286">
        <v>4267</v>
      </c>
    </row>
    <row r="697" spans="1:10" s="4722" customFormat="1" ht="13.5">
      <c r="A697" s="2287">
        <v>34650</v>
      </c>
      <c r="B697" s="2286">
        <v>34700</v>
      </c>
      <c r="C697" s="2287">
        <v>0</v>
      </c>
      <c r="D697" s="2287">
        <v>902</v>
      </c>
      <c r="E697" s="2287">
        <v>2343</v>
      </c>
      <c r="F697" s="2286">
        <v>3058</v>
      </c>
      <c r="G697" s="2287">
        <v>0</v>
      </c>
      <c r="H697" s="2287">
        <v>1811</v>
      </c>
      <c r="I697" s="2287">
        <v>3542</v>
      </c>
      <c r="J697" s="2286">
        <v>4256</v>
      </c>
    </row>
    <row r="698" spans="1:10" s="4722" customFormat="1" ht="13.5">
      <c r="A698" s="2287">
        <v>34700</v>
      </c>
      <c r="B698" s="2286">
        <v>34750</v>
      </c>
      <c r="C698" s="2287">
        <v>0</v>
      </c>
      <c r="D698" s="2287">
        <v>894</v>
      </c>
      <c r="E698" s="2287">
        <v>2333</v>
      </c>
      <c r="F698" s="2286">
        <v>3047</v>
      </c>
      <c r="G698" s="2287">
        <v>0</v>
      </c>
      <c r="H698" s="2287">
        <v>1803</v>
      </c>
      <c r="I698" s="2287">
        <v>3531</v>
      </c>
      <c r="J698" s="2286">
        <v>4246</v>
      </c>
    </row>
    <row r="699" spans="1:10" s="4722" customFormat="1" ht="13.5">
      <c r="A699" s="2287">
        <v>34750</v>
      </c>
      <c r="B699" s="2286">
        <v>34800</v>
      </c>
      <c r="C699" s="2287">
        <v>0</v>
      </c>
      <c r="D699" s="2287">
        <v>886</v>
      </c>
      <c r="E699" s="2287">
        <v>2322</v>
      </c>
      <c r="F699" s="2286">
        <v>3037</v>
      </c>
      <c r="G699" s="2287">
        <v>0</v>
      </c>
      <c r="H699" s="2287">
        <v>1795</v>
      </c>
      <c r="I699" s="2287">
        <v>3520</v>
      </c>
      <c r="J699" s="2286">
        <v>4235</v>
      </c>
    </row>
    <row r="700" spans="1:10" s="4722" customFormat="1" ht="13.5">
      <c r="A700" s="2287">
        <v>34800</v>
      </c>
      <c r="B700" s="2286">
        <v>34850</v>
      </c>
      <c r="C700" s="2287">
        <v>0</v>
      </c>
      <c r="D700" s="2287">
        <v>878</v>
      </c>
      <c r="E700" s="2287">
        <v>2312</v>
      </c>
      <c r="F700" s="2286">
        <v>3026</v>
      </c>
      <c r="G700" s="2287">
        <v>0</v>
      </c>
      <c r="H700" s="2287">
        <v>1787</v>
      </c>
      <c r="I700" s="2287">
        <v>3510</v>
      </c>
      <c r="J700" s="2286">
        <v>4224</v>
      </c>
    </row>
    <row r="701" spans="1:10" s="4722" customFormat="1" ht="13.5">
      <c r="A701" s="2287">
        <v>34850</v>
      </c>
      <c r="B701" s="2286">
        <v>34900</v>
      </c>
      <c r="C701" s="2287">
        <v>0</v>
      </c>
      <c r="D701" s="2287">
        <v>870</v>
      </c>
      <c r="E701" s="2287">
        <v>2301</v>
      </c>
      <c r="F701" s="2286">
        <v>3016</v>
      </c>
      <c r="G701" s="2287">
        <v>0</v>
      </c>
      <c r="H701" s="2287">
        <v>1779</v>
      </c>
      <c r="I701" s="2287">
        <v>3499</v>
      </c>
      <c r="J701" s="2286">
        <v>4214</v>
      </c>
    </row>
    <row r="702" spans="1:10" s="4722" customFormat="1" ht="13.5">
      <c r="A702" s="2287">
        <v>34900</v>
      </c>
      <c r="B702" s="2286">
        <v>34950</v>
      </c>
      <c r="C702" s="2287">
        <v>0</v>
      </c>
      <c r="D702" s="2287">
        <v>862</v>
      </c>
      <c r="E702" s="2287">
        <v>2291</v>
      </c>
      <c r="F702" s="2286">
        <v>3005</v>
      </c>
      <c r="G702" s="2287">
        <v>0</v>
      </c>
      <c r="H702" s="2287">
        <v>1771</v>
      </c>
      <c r="I702" s="2287">
        <v>3489</v>
      </c>
      <c r="J702" s="2286">
        <v>4203</v>
      </c>
    </row>
    <row r="703" spans="1:10" s="4722" customFormat="1" ht="13.5">
      <c r="A703" s="2287">
        <v>34950</v>
      </c>
      <c r="B703" s="2286">
        <v>35000</v>
      </c>
      <c r="C703" s="2287">
        <v>0</v>
      </c>
      <c r="D703" s="2287">
        <v>854</v>
      </c>
      <c r="E703" s="2287">
        <v>2280</v>
      </c>
      <c r="F703" s="2286">
        <v>2995</v>
      </c>
      <c r="G703" s="2287">
        <v>0</v>
      </c>
      <c r="H703" s="2287">
        <v>1763</v>
      </c>
      <c r="I703" s="2287">
        <v>3478</v>
      </c>
      <c r="J703" s="2286">
        <v>4193</v>
      </c>
    </row>
    <row r="704" spans="1:10" s="4722" customFormat="1" ht="13.5">
      <c r="A704" s="2287">
        <v>35000</v>
      </c>
      <c r="B704" s="2286">
        <v>35050</v>
      </c>
      <c r="C704" s="2287">
        <v>0</v>
      </c>
      <c r="D704" s="2287">
        <v>846</v>
      </c>
      <c r="E704" s="2287">
        <v>2270</v>
      </c>
      <c r="F704" s="2286">
        <v>2984</v>
      </c>
      <c r="G704" s="2287">
        <v>0</v>
      </c>
      <c r="H704" s="2287">
        <v>1755</v>
      </c>
      <c r="I704" s="2287">
        <v>3468</v>
      </c>
      <c r="J704" s="2286">
        <v>4182</v>
      </c>
    </row>
    <row r="705" spans="1:10" s="4722" customFormat="1" ht="13.5">
      <c r="A705" s="2287">
        <v>35050</v>
      </c>
      <c r="B705" s="2286">
        <v>35100</v>
      </c>
      <c r="C705" s="2287">
        <v>0</v>
      </c>
      <c r="D705" s="2287">
        <v>838</v>
      </c>
      <c r="E705" s="2287">
        <v>2259</v>
      </c>
      <c r="F705" s="2286">
        <v>2974</v>
      </c>
      <c r="G705" s="2287">
        <v>0</v>
      </c>
      <c r="H705" s="2287">
        <v>1747</v>
      </c>
      <c r="I705" s="2287">
        <v>3457</v>
      </c>
      <c r="J705" s="2286">
        <v>4172</v>
      </c>
    </row>
    <row r="706" spans="1:10" s="4722" customFormat="1" ht="13.5">
      <c r="A706" s="2287">
        <v>35100</v>
      </c>
      <c r="B706" s="2286">
        <v>35150</v>
      </c>
      <c r="C706" s="2287">
        <v>0</v>
      </c>
      <c r="D706" s="2287">
        <v>830</v>
      </c>
      <c r="E706" s="2287">
        <v>2248</v>
      </c>
      <c r="F706" s="2286">
        <v>2963</v>
      </c>
      <c r="G706" s="2287">
        <v>0</v>
      </c>
      <c r="H706" s="2287">
        <v>1739</v>
      </c>
      <c r="I706" s="2287">
        <v>3447</v>
      </c>
      <c r="J706" s="2286">
        <v>4161</v>
      </c>
    </row>
    <row r="707" spans="1:10" s="4722" customFormat="1" ht="13.5">
      <c r="A707" s="2287">
        <v>35150</v>
      </c>
      <c r="B707" s="2286">
        <v>35200</v>
      </c>
      <c r="C707" s="2287">
        <v>0</v>
      </c>
      <c r="D707" s="2287">
        <v>822</v>
      </c>
      <c r="E707" s="2287">
        <v>2238</v>
      </c>
      <c r="F707" s="2286">
        <v>2952</v>
      </c>
      <c r="G707" s="2287">
        <v>0</v>
      </c>
      <c r="H707" s="2287">
        <v>1731</v>
      </c>
      <c r="I707" s="2287">
        <v>3436</v>
      </c>
      <c r="J707" s="2286">
        <v>4151</v>
      </c>
    </row>
    <row r="708" spans="1:10" s="4722" customFormat="1" ht="13.5">
      <c r="A708" s="2287">
        <v>35200</v>
      </c>
      <c r="B708" s="2286">
        <v>35250</v>
      </c>
      <c r="C708" s="2287">
        <v>0</v>
      </c>
      <c r="D708" s="2287">
        <v>814</v>
      </c>
      <c r="E708" s="2287">
        <v>2227</v>
      </c>
      <c r="F708" s="2286">
        <v>2942</v>
      </c>
      <c r="G708" s="2287">
        <v>0</v>
      </c>
      <c r="H708" s="2287">
        <v>1723</v>
      </c>
      <c r="I708" s="2287">
        <v>3426</v>
      </c>
      <c r="J708" s="2286">
        <v>4140</v>
      </c>
    </row>
    <row r="709" spans="1:10" s="4722" customFormat="1" ht="13.5">
      <c r="A709" s="2287">
        <v>35250</v>
      </c>
      <c r="B709" s="2286">
        <v>35300</v>
      </c>
      <c r="C709" s="2287">
        <v>0</v>
      </c>
      <c r="D709" s="2287">
        <v>806</v>
      </c>
      <c r="E709" s="2287">
        <v>2217</v>
      </c>
      <c r="F709" s="2286">
        <v>2931</v>
      </c>
      <c r="G709" s="2287">
        <v>0</v>
      </c>
      <c r="H709" s="2287">
        <v>1715</v>
      </c>
      <c r="I709" s="2287">
        <v>3415</v>
      </c>
      <c r="J709" s="2286">
        <v>4130</v>
      </c>
    </row>
    <row r="710" spans="1:10" s="4722" customFormat="1" ht="13.5">
      <c r="A710" s="2287">
        <v>35300</v>
      </c>
      <c r="B710" s="2286">
        <v>35350</v>
      </c>
      <c r="C710" s="2287">
        <v>0</v>
      </c>
      <c r="D710" s="2287">
        <v>798</v>
      </c>
      <c r="E710" s="2287">
        <v>2206</v>
      </c>
      <c r="F710" s="2286">
        <v>2921</v>
      </c>
      <c r="G710" s="2287">
        <v>0</v>
      </c>
      <c r="H710" s="2287">
        <v>1707</v>
      </c>
      <c r="I710" s="2287">
        <v>3405</v>
      </c>
      <c r="J710" s="2286">
        <v>4119</v>
      </c>
    </row>
    <row r="711" spans="1:10" s="4722" customFormat="1" ht="13.5">
      <c r="A711" s="2287">
        <v>35350</v>
      </c>
      <c r="B711" s="2286">
        <v>35400</v>
      </c>
      <c r="C711" s="2287">
        <v>0</v>
      </c>
      <c r="D711" s="2287">
        <v>790</v>
      </c>
      <c r="E711" s="2287">
        <v>2196</v>
      </c>
      <c r="F711" s="2286">
        <v>2910</v>
      </c>
      <c r="G711" s="2287">
        <v>0</v>
      </c>
      <c r="H711" s="2287">
        <v>1699</v>
      </c>
      <c r="I711" s="2287">
        <v>3394</v>
      </c>
      <c r="J711" s="2286">
        <v>4109</v>
      </c>
    </row>
    <row r="712" spans="1:10" s="4722" customFormat="1" ht="13.5">
      <c r="A712" s="2287">
        <v>35400</v>
      </c>
      <c r="B712" s="2286">
        <v>35450</v>
      </c>
      <c r="C712" s="2287">
        <v>0</v>
      </c>
      <c r="D712" s="2287">
        <v>782</v>
      </c>
      <c r="E712" s="2287">
        <v>2185</v>
      </c>
      <c r="F712" s="2286">
        <v>2900</v>
      </c>
      <c r="G712" s="2287">
        <v>0</v>
      </c>
      <c r="H712" s="2287">
        <v>1691</v>
      </c>
      <c r="I712" s="2287">
        <v>3384</v>
      </c>
      <c r="J712" s="2286">
        <v>4098</v>
      </c>
    </row>
    <row r="713" spans="1:10" s="4722" customFormat="1" ht="13.5">
      <c r="A713" s="2287">
        <v>35450</v>
      </c>
      <c r="B713" s="2286">
        <v>35500</v>
      </c>
      <c r="C713" s="2287">
        <v>0</v>
      </c>
      <c r="D713" s="2287">
        <v>774</v>
      </c>
      <c r="E713" s="2287">
        <v>2175</v>
      </c>
      <c r="F713" s="2286">
        <v>2889</v>
      </c>
      <c r="G713" s="2287">
        <v>0</v>
      </c>
      <c r="H713" s="2287">
        <v>1683</v>
      </c>
      <c r="I713" s="2287">
        <v>3373</v>
      </c>
      <c r="J713" s="2286">
        <v>4088</v>
      </c>
    </row>
    <row r="714" spans="1:10" s="4722" customFormat="1" ht="13.5">
      <c r="A714" s="2287">
        <v>35500</v>
      </c>
      <c r="B714" s="2286">
        <v>35550</v>
      </c>
      <c r="C714" s="2287">
        <v>0</v>
      </c>
      <c r="D714" s="2287">
        <v>766</v>
      </c>
      <c r="E714" s="2287">
        <v>2164</v>
      </c>
      <c r="F714" s="2286">
        <v>2879</v>
      </c>
      <c r="G714" s="2287">
        <v>0</v>
      </c>
      <c r="H714" s="2287">
        <v>1675</v>
      </c>
      <c r="I714" s="2287">
        <v>3363</v>
      </c>
      <c r="J714" s="2286">
        <v>4077</v>
      </c>
    </row>
    <row r="715" spans="1:10" s="4722" customFormat="1" ht="13.5">
      <c r="A715" s="2287">
        <v>35550</v>
      </c>
      <c r="B715" s="2286">
        <v>35600</v>
      </c>
      <c r="C715" s="2287">
        <v>0</v>
      </c>
      <c r="D715" s="2287">
        <v>758</v>
      </c>
      <c r="E715" s="2287">
        <v>2154</v>
      </c>
      <c r="F715" s="2286">
        <v>2868</v>
      </c>
      <c r="G715" s="2287">
        <v>0</v>
      </c>
      <c r="H715" s="2287">
        <v>1667</v>
      </c>
      <c r="I715" s="2287">
        <v>3352</v>
      </c>
      <c r="J715" s="2286">
        <v>4067</v>
      </c>
    </row>
    <row r="716" spans="1:10" s="4722" customFormat="1" ht="13.5">
      <c r="A716" s="2287">
        <v>35600</v>
      </c>
      <c r="B716" s="2286">
        <v>35650</v>
      </c>
      <c r="C716" s="2287">
        <v>0</v>
      </c>
      <c r="D716" s="2287">
        <v>750</v>
      </c>
      <c r="E716" s="2287">
        <v>2143</v>
      </c>
      <c r="F716" s="2286">
        <v>2858</v>
      </c>
      <c r="G716" s="2287">
        <v>0</v>
      </c>
      <c r="H716" s="2287">
        <v>1659</v>
      </c>
      <c r="I716" s="2287">
        <v>3341</v>
      </c>
      <c r="J716" s="2286">
        <v>4056</v>
      </c>
    </row>
    <row r="717" spans="1:10" s="4722" customFormat="1" ht="13.5">
      <c r="A717" s="2287">
        <v>35650</v>
      </c>
      <c r="B717" s="2286">
        <v>35700</v>
      </c>
      <c r="C717" s="2287">
        <v>0</v>
      </c>
      <c r="D717" s="2287">
        <v>742</v>
      </c>
      <c r="E717" s="2287">
        <v>2133</v>
      </c>
      <c r="F717" s="2286">
        <v>2847</v>
      </c>
      <c r="G717" s="2287">
        <v>0</v>
      </c>
      <c r="H717" s="2287">
        <v>1651</v>
      </c>
      <c r="I717" s="2287">
        <v>3331</v>
      </c>
      <c r="J717" s="2286">
        <v>4045</v>
      </c>
    </row>
    <row r="718" spans="1:10" s="4722" customFormat="1" ht="13.5">
      <c r="A718" s="2287">
        <v>35700</v>
      </c>
      <c r="B718" s="2286">
        <v>35750</v>
      </c>
      <c r="C718" s="2287">
        <v>0</v>
      </c>
      <c r="D718" s="2287">
        <v>734</v>
      </c>
      <c r="E718" s="2287">
        <v>2122</v>
      </c>
      <c r="F718" s="2286">
        <v>2837</v>
      </c>
      <c r="G718" s="2287">
        <v>0</v>
      </c>
      <c r="H718" s="2287">
        <v>1643</v>
      </c>
      <c r="I718" s="2287">
        <v>3320</v>
      </c>
      <c r="J718" s="2286">
        <v>4035</v>
      </c>
    </row>
    <row r="719" spans="1:10" s="4722" customFormat="1" ht="13.5">
      <c r="A719" s="2287">
        <v>35750</v>
      </c>
      <c r="B719" s="2286">
        <v>35800</v>
      </c>
      <c r="C719" s="2287">
        <v>0</v>
      </c>
      <c r="D719" s="2287">
        <v>726</v>
      </c>
      <c r="E719" s="2287">
        <v>2112</v>
      </c>
      <c r="F719" s="2286">
        <v>2826</v>
      </c>
      <c r="G719" s="2287">
        <v>0</v>
      </c>
      <c r="H719" s="2287">
        <v>1635</v>
      </c>
      <c r="I719" s="2287">
        <v>3310</v>
      </c>
      <c r="J719" s="2286">
        <v>4024</v>
      </c>
    </row>
    <row r="720" spans="1:10" s="4722" customFormat="1" ht="13.5">
      <c r="A720" s="2287">
        <v>35800</v>
      </c>
      <c r="B720" s="2286">
        <v>35850</v>
      </c>
      <c r="C720" s="2287">
        <v>0</v>
      </c>
      <c r="D720" s="2287">
        <v>718</v>
      </c>
      <c r="E720" s="2287">
        <v>2101</v>
      </c>
      <c r="F720" s="2286">
        <v>2816</v>
      </c>
      <c r="G720" s="2287">
        <v>0</v>
      </c>
      <c r="H720" s="2287">
        <v>1627</v>
      </c>
      <c r="I720" s="2287">
        <v>3299</v>
      </c>
      <c r="J720" s="2286">
        <v>4014</v>
      </c>
    </row>
    <row r="721" spans="1:10" s="4722" customFormat="1" ht="13.5">
      <c r="A721" s="2287">
        <v>35850</v>
      </c>
      <c r="B721" s="2286">
        <v>35900</v>
      </c>
      <c r="C721" s="2287">
        <v>0</v>
      </c>
      <c r="D721" s="2287">
        <v>710</v>
      </c>
      <c r="E721" s="2287">
        <v>2091</v>
      </c>
      <c r="F721" s="2286">
        <v>2805</v>
      </c>
      <c r="G721" s="2287">
        <v>0</v>
      </c>
      <c r="H721" s="2287">
        <v>1620</v>
      </c>
      <c r="I721" s="2287">
        <v>3289</v>
      </c>
      <c r="J721" s="2286">
        <v>4003</v>
      </c>
    </row>
    <row r="722" spans="1:10" s="4722" customFormat="1" ht="13.5">
      <c r="A722" s="2287">
        <v>35900</v>
      </c>
      <c r="B722" s="2286">
        <v>35950</v>
      </c>
      <c r="C722" s="2287">
        <v>0</v>
      </c>
      <c r="D722" s="2287">
        <v>702</v>
      </c>
      <c r="E722" s="2287">
        <v>2080</v>
      </c>
      <c r="F722" s="2286">
        <v>2794</v>
      </c>
      <c r="G722" s="2287">
        <v>0</v>
      </c>
      <c r="H722" s="2287">
        <v>1612</v>
      </c>
      <c r="I722" s="2287">
        <v>3278</v>
      </c>
      <c r="J722" s="2286">
        <v>3993</v>
      </c>
    </row>
    <row r="723" spans="1:10" s="4722" customFormat="1" ht="13.5">
      <c r="A723" s="2287">
        <v>35950</v>
      </c>
      <c r="B723" s="2286">
        <v>36000</v>
      </c>
      <c r="C723" s="2287">
        <v>0</v>
      </c>
      <c r="D723" s="2287">
        <v>694</v>
      </c>
      <c r="E723" s="2287">
        <v>2069</v>
      </c>
      <c r="F723" s="2286">
        <v>2784</v>
      </c>
      <c r="G723" s="2287">
        <v>0</v>
      </c>
      <c r="H723" s="2287">
        <v>1604</v>
      </c>
      <c r="I723" s="2287">
        <v>3268</v>
      </c>
      <c r="J723" s="2286">
        <v>3982</v>
      </c>
    </row>
    <row r="724" spans="1:10" s="4722" customFormat="1" ht="13.5">
      <c r="A724" s="2287">
        <v>36000</v>
      </c>
      <c r="B724" s="2286">
        <v>36050</v>
      </c>
      <c r="C724" s="2287">
        <v>0</v>
      </c>
      <c r="D724" s="2287">
        <v>686</v>
      </c>
      <c r="E724" s="2287">
        <v>2059</v>
      </c>
      <c r="F724" s="2286">
        <v>2773</v>
      </c>
      <c r="G724" s="2287">
        <v>0</v>
      </c>
      <c r="H724" s="2287">
        <v>1596</v>
      </c>
      <c r="I724" s="2287">
        <v>3257</v>
      </c>
      <c r="J724" s="2286">
        <v>3972</v>
      </c>
    </row>
    <row r="725" spans="1:10" s="4722" customFormat="1" ht="13.5">
      <c r="A725" s="2287">
        <v>36050</v>
      </c>
      <c r="B725" s="2286">
        <v>36100</v>
      </c>
      <c r="C725" s="2287">
        <v>0</v>
      </c>
      <c r="D725" s="2287">
        <v>678</v>
      </c>
      <c r="E725" s="2287">
        <v>2048</v>
      </c>
      <c r="F725" s="2286">
        <v>2763</v>
      </c>
      <c r="G725" s="2287">
        <v>0</v>
      </c>
      <c r="H725" s="2287">
        <v>1588</v>
      </c>
      <c r="I725" s="2287">
        <v>3247</v>
      </c>
      <c r="J725" s="2286">
        <v>3961</v>
      </c>
    </row>
    <row r="726" spans="1:10" s="4722" customFormat="1" ht="13.5">
      <c r="A726" s="2287">
        <v>36100</v>
      </c>
      <c r="B726" s="2286">
        <v>36150</v>
      </c>
      <c r="C726" s="2287">
        <v>0</v>
      </c>
      <c r="D726" s="2287">
        <v>670</v>
      </c>
      <c r="E726" s="2287">
        <v>2038</v>
      </c>
      <c r="F726" s="2286">
        <v>2752</v>
      </c>
      <c r="G726" s="2287">
        <v>0</v>
      </c>
      <c r="H726" s="2287">
        <v>1580</v>
      </c>
      <c r="I726" s="2287">
        <v>3236</v>
      </c>
      <c r="J726" s="2286">
        <v>3951</v>
      </c>
    </row>
    <row r="727" spans="1:10" s="4722" customFormat="1" ht="13.5">
      <c r="A727" s="2287">
        <v>36150</v>
      </c>
      <c r="B727" s="2286">
        <v>36200</v>
      </c>
      <c r="C727" s="2287">
        <v>0</v>
      </c>
      <c r="D727" s="2287">
        <v>662</v>
      </c>
      <c r="E727" s="2287">
        <v>2027</v>
      </c>
      <c r="F727" s="2286">
        <v>2742</v>
      </c>
      <c r="G727" s="2287">
        <v>0</v>
      </c>
      <c r="H727" s="2287">
        <v>1572</v>
      </c>
      <c r="I727" s="2287">
        <v>3226</v>
      </c>
      <c r="J727" s="2286">
        <v>3940</v>
      </c>
    </row>
    <row r="728" spans="1:10" s="4722" customFormat="1" ht="13.5">
      <c r="A728" s="2287">
        <v>36200</v>
      </c>
      <c r="B728" s="2286">
        <v>36250</v>
      </c>
      <c r="C728" s="2287">
        <v>0</v>
      </c>
      <c r="D728" s="2287">
        <v>654</v>
      </c>
      <c r="E728" s="2287">
        <v>2017</v>
      </c>
      <c r="F728" s="2286">
        <v>2731</v>
      </c>
      <c r="G728" s="2287">
        <v>0</v>
      </c>
      <c r="H728" s="2287">
        <v>1564</v>
      </c>
      <c r="I728" s="2287">
        <v>3215</v>
      </c>
      <c r="J728" s="2286">
        <v>3930</v>
      </c>
    </row>
    <row r="729" spans="1:10" s="4722" customFormat="1" ht="13.5">
      <c r="A729" s="2287">
        <v>36250</v>
      </c>
      <c r="B729" s="2286">
        <v>36300</v>
      </c>
      <c r="C729" s="2287">
        <v>0</v>
      </c>
      <c r="D729" s="2287">
        <v>646</v>
      </c>
      <c r="E729" s="2287">
        <v>2006</v>
      </c>
      <c r="F729" s="2286">
        <v>2721</v>
      </c>
      <c r="G729" s="2287">
        <v>0</v>
      </c>
      <c r="H729" s="2287">
        <v>1556</v>
      </c>
      <c r="I729" s="2287">
        <v>3205</v>
      </c>
      <c r="J729" s="2286">
        <v>3919</v>
      </c>
    </row>
    <row r="730" spans="1:10" s="4722" customFormat="1" ht="13.5">
      <c r="A730" s="2287">
        <v>36300</v>
      </c>
      <c r="B730" s="2286">
        <v>36350</v>
      </c>
      <c r="C730" s="2287">
        <v>0</v>
      </c>
      <c r="D730" s="2287">
        <v>638</v>
      </c>
      <c r="E730" s="2287">
        <v>1996</v>
      </c>
      <c r="F730" s="2286">
        <v>2710</v>
      </c>
      <c r="G730" s="2287">
        <v>0</v>
      </c>
      <c r="H730" s="2287">
        <v>1548</v>
      </c>
      <c r="I730" s="2287">
        <v>3194</v>
      </c>
      <c r="J730" s="2286">
        <v>3909</v>
      </c>
    </row>
    <row r="731" spans="1:10" s="4722" customFormat="1" ht="13.5">
      <c r="A731" s="2287">
        <v>36350</v>
      </c>
      <c r="B731" s="2286">
        <v>36400</v>
      </c>
      <c r="C731" s="2287">
        <v>0</v>
      </c>
      <c r="D731" s="2287">
        <v>630</v>
      </c>
      <c r="E731" s="2287">
        <v>1985</v>
      </c>
      <c r="F731" s="2286">
        <v>2700</v>
      </c>
      <c r="G731" s="2287">
        <v>0</v>
      </c>
      <c r="H731" s="2287">
        <v>1540</v>
      </c>
      <c r="I731" s="2287">
        <v>3184</v>
      </c>
      <c r="J731" s="2286">
        <v>3898</v>
      </c>
    </row>
    <row r="732" spans="1:10" s="4722" customFormat="1" ht="13.5">
      <c r="A732" s="2287">
        <v>36400</v>
      </c>
      <c r="B732" s="2286">
        <v>36450</v>
      </c>
      <c r="C732" s="2287">
        <v>0</v>
      </c>
      <c r="D732" s="2287">
        <v>622</v>
      </c>
      <c r="E732" s="2287">
        <v>1975</v>
      </c>
      <c r="F732" s="2286">
        <v>2689</v>
      </c>
      <c r="G732" s="2287">
        <v>0</v>
      </c>
      <c r="H732" s="2287">
        <v>1532</v>
      </c>
      <c r="I732" s="2287">
        <v>3173</v>
      </c>
      <c r="J732" s="2286">
        <v>3888</v>
      </c>
    </row>
    <row r="733" spans="1:10" s="4722" customFormat="1" ht="13.5">
      <c r="A733" s="2287">
        <v>36450</v>
      </c>
      <c r="B733" s="2286">
        <v>36500</v>
      </c>
      <c r="C733" s="2287">
        <v>0</v>
      </c>
      <c r="D733" s="2287">
        <v>614</v>
      </c>
      <c r="E733" s="2287">
        <v>1964</v>
      </c>
      <c r="F733" s="2286">
        <v>2679</v>
      </c>
      <c r="G733" s="2287">
        <v>0</v>
      </c>
      <c r="H733" s="2287">
        <v>1524</v>
      </c>
      <c r="I733" s="2287">
        <v>3162</v>
      </c>
      <c r="J733" s="2286">
        <v>3877</v>
      </c>
    </row>
    <row r="734" spans="1:10" s="4722" customFormat="1" ht="13.5">
      <c r="A734" s="2287">
        <v>36500</v>
      </c>
      <c r="B734" s="2286">
        <v>36550</v>
      </c>
      <c r="C734" s="2287">
        <v>0</v>
      </c>
      <c r="D734" s="2287">
        <v>606</v>
      </c>
      <c r="E734" s="2287">
        <v>1954</v>
      </c>
      <c r="F734" s="2286">
        <v>2668</v>
      </c>
      <c r="G734" s="2287">
        <v>0</v>
      </c>
      <c r="H734" s="2287">
        <v>1516</v>
      </c>
      <c r="I734" s="2287">
        <v>3152</v>
      </c>
      <c r="J734" s="2286">
        <v>3866</v>
      </c>
    </row>
    <row r="735" spans="1:10" s="4722" customFormat="1" ht="13.5">
      <c r="A735" s="2287">
        <v>36550</v>
      </c>
      <c r="B735" s="2286">
        <v>36600</v>
      </c>
      <c r="C735" s="2287">
        <v>0</v>
      </c>
      <c r="D735" s="2287">
        <v>598</v>
      </c>
      <c r="E735" s="2287">
        <v>1943</v>
      </c>
      <c r="F735" s="2286">
        <v>2658</v>
      </c>
      <c r="G735" s="2287">
        <v>0</v>
      </c>
      <c r="H735" s="2287">
        <v>1508</v>
      </c>
      <c r="I735" s="2287">
        <v>3141</v>
      </c>
      <c r="J735" s="2286">
        <v>3856</v>
      </c>
    </row>
    <row r="736" spans="1:10" s="4722" customFormat="1" ht="13.5">
      <c r="A736" s="2287">
        <v>36600</v>
      </c>
      <c r="B736" s="2286">
        <v>36650</v>
      </c>
      <c r="C736" s="2287">
        <v>0</v>
      </c>
      <c r="D736" s="2287">
        <v>590</v>
      </c>
      <c r="E736" s="2287">
        <v>1933</v>
      </c>
      <c r="F736" s="2286">
        <v>2647</v>
      </c>
      <c r="G736" s="2287">
        <v>0</v>
      </c>
      <c r="H736" s="2287">
        <v>1500</v>
      </c>
      <c r="I736" s="2287">
        <v>3131</v>
      </c>
      <c r="J736" s="2286">
        <v>3845</v>
      </c>
    </row>
    <row r="737" spans="1:10" s="4722" customFormat="1" ht="13.5">
      <c r="A737" s="2287">
        <v>36650</v>
      </c>
      <c r="B737" s="2286">
        <v>36700</v>
      </c>
      <c r="C737" s="2287">
        <v>0</v>
      </c>
      <c r="D737" s="2287">
        <v>582</v>
      </c>
      <c r="E737" s="2287">
        <v>1922</v>
      </c>
      <c r="F737" s="2286">
        <v>2637</v>
      </c>
      <c r="G737" s="2287">
        <v>0</v>
      </c>
      <c r="H737" s="2287">
        <v>1492</v>
      </c>
      <c r="I737" s="2287">
        <v>3120</v>
      </c>
      <c r="J737" s="2286">
        <v>3835</v>
      </c>
    </row>
    <row r="738" spans="1:10" s="4722" customFormat="1" ht="13.5">
      <c r="A738" s="2287">
        <v>36700</v>
      </c>
      <c r="B738" s="2286">
        <v>36750</v>
      </c>
      <c r="C738" s="2287">
        <v>0</v>
      </c>
      <c r="D738" s="2287">
        <v>574</v>
      </c>
      <c r="E738" s="2287">
        <v>1912</v>
      </c>
      <c r="F738" s="2286">
        <v>2626</v>
      </c>
      <c r="G738" s="2287">
        <v>0</v>
      </c>
      <c r="H738" s="2287">
        <v>1484</v>
      </c>
      <c r="I738" s="2287">
        <v>3110</v>
      </c>
      <c r="J738" s="2286">
        <v>3824</v>
      </c>
    </row>
    <row r="739" spans="1:10" s="4722" customFormat="1" ht="13.5">
      <c r="A739" s="2287">
        <v>36750</v>
      </c>
      <c r="B739" s="2286">
        <v>36800</v>
      </c>
      <c r="C739" s="2287">
        <v>0</v>
      </c>
      <c r="D739" s="2287">
        <v>566</v>
      </c>
      <c r="E739" s="2287">
        <v>1901</v>
      </c>
      <c r="F739" s="2286">
        <v>2615</v>
      </c>
      <c r="G739" s="2287">
        <v>0</v>
      </c>
      <c r="H739" s="2287">
        <v>1476</v>
      </c>
      <c r="I739" s="2287">
        <v>3099</v>
      </c>
      <c r="J739" s="2286">
        <v>3814</v>
      </c>
    </row>
    <row r="740" spans="1:10" s="4722" customFormat="1" ht="13.5">
      <c r="A740" s="2287">
        <v>36800</v>
      </c>
      <c r="B740" s="2286">
        <v>36850</v>
      </c>
      <c r="C740" s="2287">
        <v>0</v>
      </c>
      <c r="D740" s="2287">
        <v>558</v>
      </c>
      <c r="E740" s="2287">
        <v>1890</v>
      </c>
      <c r="F740" s="2286">
        <v>2605</v>
      </c>
      <c r="G740" s="2287">
        <v>0</v>
      </c>
      <c r="H740" s="2287">
        <v>1468</v>
      </c>
      <c r="I740" s="2287">
        <v>3089</v>
      </c>
      <c r="J740" s="2286">
        <v>3803</v>
      </c>
    </row>
    <row r="741" spans="1:10" s="4722" customFormat="1" ht="13.5">
      <c r="A741" s="2287">
        <v>36850</v>
      </c>
      <c r="B741" s="2286">
        <v>36900</v>
      </c>
      <c r="C741" s="2287">
        <v>0</v>
      </c>
      <c r="D741" s="2287">
        <v>550</v>
      </c>
      <c r="E741" s="2287">
        <v>1880</v>
      </c>
      <c r="F741" s="2286">
        <v>2594</v>
      </c>
      <c r="G741" s="2287">
        <v>0</v>
      </c>
      <c r="H741" s="2287">
        <v>1460</v>
      </c>
      <c r="I741" s="2287">
        <v>3078</v>
      </c>
      <c r="J741" s="2286">
        <v>3793</v>
      </c>
    </row>
    <row r="742" spans="1:10" s="4722" customFormat="1" ht="13.5">
      <c r="A742" s="2287">
        <v>36900</v>
      </c>
      <c r="B742" s="2286">
        <v>36950</v>
      </c>
      <c r="C742" s="2287">
        <v>0</v>
      </c>
      <c r="D742" s="2287">
        <v>542</v>
      </c>
      <c r="E742" s="2287">
        <v>1869</v>
      </c>
      <c r="F742" s="2286">
        <v>2584</v>
      </c>
      <c r="G742" s="2287">
        <v>0</v>
      </c>
      <c r="H742" s="2287">
        <v>1452</v>
      </c>
      <c r="I742" s="2287">
        <v>3068</v>
      </c>
      <c r="J742" s="2286">
        <v>3782</v>
      </c>
    </row>
    <row r="743" spans="1:10" s="4722" customFormat="1" ht="13.5">
      <c r="A743" s="2287">
        <v>36950</v>
      </c>
      <c r="B743" s="2286">
        <v>37000</v>
      </c>
      <c r="C743" s="2287">
        <v>0</v>
      </c>
      <c r="D743" s="2287">
        <v>534</v>
      </c>
      <c r="E743" s="2287">
        <v>1859</v>
      </c>
      <c r="F743" s="2286">
        <v>2573</v>
      </c>
      <c r="G743" s="2287">
        <v>0</v>
      </c>
      <c r="H743" s="2287">
        <v>1444</v>
      </c>
      <c r="I743" s="2287">
        <v>3057</v>
      </c>
      <c r="J743" s="2286">
        <v>3772</v>
      </c>
    </row>
    <row r="744" spans="1:10" s="4722" customFormat="1" ht="13.5">
      <c r="A744" s="2287">
        <v>37000</v>
      </c>
      <c r="B744" s="2286">
        <v>37050</v>
      </c>
      <c r="C744" s="2287">
        <v>0</v>
      </c>
      <c r="D744" s="2287">
        <v>526</v>
      </c>
      <c r="E744" s="2287">
        <v>1848</v>
      </c>
      <c r="F744" s="2286">
        <v>2563</v>
      </c>
      <c r="G744" s="2287">
        <v>0</v>
      </c>
      <c r="H744" s="2287">
        <v>1436</v>
      </c>
      <c r="I744" s="2287">
        <v>3047</v>
      </c>
      <c r="J744" s="2286">
        <v>3761</v>
      </c>
    </row>
    <row r="745" spans="1:10" s="4722" customFormat="1" ht="13.5">
      <c r="A745" s="2287">
        <v>37050</v>
      </c>
      <c r="B745" s="2286">
        <v>37100</v>
      </c>
      <c r="C745" s="2287">
        <v>0</v>
      </c>
      <c r="D745" s="2287">
        <v>518</v>
      </c>
      <c r="E745" s="2287">
        <v>1838</v>
      </c>
      <c r="F745" s="2286">
        <v>2552</v>
      </c>
      <c r="G745" s="2287">
        <v>0</v>
      </c>
      <c r="H745" s="2287">
        <v>1428</v>
      </c>
      <c r="I745" s="2287">
        <v>3036</v>
      </c>
      <c r="J745" s="2286">
        <v>3751</v>
      </c>
    </row>
    <row r="746" spans="1:10" s="4722" customFormat="1" ht="13.5">
      <c r="A746" s="2287">
        <v>37100</v>
      </c>
      <c r="B746" s="2286">
        <v>37150</v>
      </c>
      <c r="C746" s="2287">
        <v>0</v>
      </c>
      <c r="D746" s="2287">
        <v>510</v>
      </c>
      <c r="E746" s="2287">
        <v>1827</v>
      </c>
      <c r="F746" s="2286">
        <v>2542</v>
      </c>
      <c r="G746" s="2287">
        <v>0</v>
      </c>
      <c r="H746" s="2287">
        <v>1420</v>
      </c>
      <c r="I746" s="2287">
        <v>3026</v>
      </c>
      <c r="J746" s="2286">
        <v>3740</v>
      </c>
    </row>
    <row r="747" spans="1:10" s="4722" customFormat="1" ht="13.5">
      <c r="A747" s="2287">
        <v>37150</v>
      </c>
      <c r="B747" s="2286">
        <v>37200</v>
      </c>
      <c r="C747" s="2287">
        <v>0</v>
      </c>
      <c r="D747" s="2287">
        <v>503</v>
      </c>
      <c r="E747" s="2287">
        <v>1817</v>
      </c>
      <c r="F747" s="2286">
        <v>2531</v>
      </c>
      <c r="G747" s="2287">
        <v>0</v>
      </c>
      <c r="H747" s="2287">
        <v>1412</v>
      </c>
      <c r="I747" s="2287">
        <v>3015</v>
      </c>
      <c r="J747" s="2286">
        <v>3730</v>
      </c>
    </row>
    <row r="748" spans="1:10" s="4722" customFormat="1" ht="13.5">
      <c r="A748" s="2287">
        <v>37200</v>
      </c>
      <c r="B748" s="2286">
        <v>37250</v>
      </c>
      <c r="C748" s="2287">
        <v>0</v>
      </c>
      <c r="D748" s="2287">
        <v>495</v>
      </c>
      <c r="E748" s="2287">
        <v>1806</v>
      </c>
      <c r="F748" s="2286">
        <v>2521</v>
      </c>
      <c r="G748" s="2287">
        <v>0</v>
      </c>
      <c r="H748" s="2287">
        <v>1404</v>
      </c>
      <c r="I748" s="2287">
        <v>3005</v>
      </c>
      <c r="J748" s="2286">
        <v>3719</v>
      </c>
    </row>
    <row r="749" spans="1:10" s="4722" customFormat="1" ht="13.5">
      <c r="A749" s="2287">
        <v>37250</v>
      </c>
      <c r="B749" s="2286">
        <v>37300</v>
      </c>
      <c r="C749" s="2287">
        <v>0</v>
      </c>
      <c r="D749" s="2287">
        <v>487</v>
      </c>
      <c r="E749" s="2287">
        <v>1796</v>
      </c>
      <c r="F749" s="2286">
        <v>2510</v>
      </c>
      <c r="G749" s="2287">
        <v>0</v>
      </c>
      <c r="H749" s="2287">
        <v>1396</v>
      </c>
      <c r="I749" s="2287">
        <v>2994</v>
      </c>
      <c r="J749" s="2286">
        <v>3708</v>
      </c>
    </row>
    <row r="750" spans="1:10" s="4722" customFormat="1" ht="13.5">
      <c r="A750" s="2287">
        <v>37300</v>
      </c>
      <c r="B750" s="2286">
        <v>37350</v>
      </c>
      <c r="C750" s="2287">
        <v>0</v>
      </c>
      <c r="D750" s="2287">
        <v>479</v>
      </c>
      <c r="E750" s="2287">
        <v>1785</v>
      </c>
      <c r="F750" s="2286">
        <v>2500</v>
      </c>
      <c r="G750" s="2287">
        <v>0</v>
      </c>
      <c r="H750" s="2287">
        <v>1388</v>
      </c>
      <c r="I750" s="2287">
        <v>2983</v>
      </c>
      <c r="J750" s="2286">
        <v>3698</v>
      </c>
    </row>
    <row r="751" spans="1:10" s="4722" customFormat="1" ht="13.5">
      <c r="A751" s="2287">
        <v>37350</v>
      </c>
      <c r="B751" s="2286">
        <v>37400</v>
      </c>
      <c r="C751" s="2287">
        <v>0</v>
      </c>
      <c r="D751" s="2287">
        <v>471</v>
      </c>
      <c r="E751" s="2287">
        <v>1775</v>
      </c>
      <c r="F751" s="2286">
        <v>2489</v>
      </c>
      <c r="G751" s="2287">
        <v>0</v>
      </c>
      <c r="H751" s="2287">
        <v>1380</v>
      </c>
      <c r="I751" s="2287">
        <v>2973</v>
      </c>
      <c r="J751" s="2286">
        <v>3687</v>
      </c>
    </row>
    <row r="752" spans="1:10" s="4722" customFormat="1" ht="13.5">
      <c r="A752" s="2287">
        <v>37400</v>
      </c>
      <c r="B752" s="2286">
        <v>37450</v>
      </c>
      <c r="C752" s="2287">
        <v>0</v>
      </c>
      <c r="D752" s="2287">
        <v>463</v>
      </c>
      <c r="E752" s="2287">
        <v>1764</v>
      </c>
      <c r="F752" s="2286">
        <v>2479</v>
      </c>
      <c r="G752" s="2287">
        <v>0</v>
      </c>
      <c r="H752" s="2287">
        <v>1372</v>
      </c>
      <c r="I752" s="2287">
        <v>2962</v>
      </c>
      <c r="J752" s="2286">
        <v>3677</v>
      </c>
    </row>
    <row r="753" spans="1:10" s="4722" customFormat="1" ht="13.5">
      <c r="A753" s="2287">
        <v>37450</v>
      </c>
      <c r="B753" s="2286">
        <v>37500</v>
      </c>
      <c r="C753" s="2287">
        <v>0</v>
      </c>
      <c r="D753" s="2287">
        <v>455</v>
      </c>
      <c r="E753" s="2287">
        <v>1754</v>
      </c>
      <c r="F753" s="2286">
        <v>2468</v>
      </c>
      <c r="G753" s="2287">
        <v>0</v>
      </c>
      <c r="H753" s="2287">
        <v>1364</v>
      </c>
      <c r="I753" s="2287">
        <v>2952</v>
      </c>
      <c r="J753" s="2286">
        <v>3666</v>
      </c>
    </row>
    <row r="754" spans="1:10" s="4722" customFormat="1" ht="13.5">
      <c r="A754" s="2287">
        <v>37500</v>
      </c>
      <c r="B754" s="2286">
        <v>37550</v>
      </c>
      <c r="C754" s="2287">
        <v>0</v>
      </c>
      <c r="D754" s="2287">
        <v>447</v>
      </c>
      <c r="E754" s="2287">
        <v>1743</v>
      </c>
      <c r="F754" s="2286">
        <v>2458</v>
      </c>
      <c r="G754" s="2287">
        <v>0</v>
      </c>
      <c r="H754" s="2287">
        <v>1356</v>
      </c>
      <c r="I754" s="2287">
        <v>2941</v>
      </c>
      <c r="J754" s="2286">
        <v>3656</v>
      </c>
    </row>
    <row r="755" spans="1:10" s="4722" customFormat="1" ht="13.5">
      <c r="A755" s="2287">
        <v>37550</v>
      </c>
      <c r="B755" s="2286">
        <v>37600</v>
      </c>
      <c r="C755" s="2287">
        <v>0</v>
      </c>
      <c r="D755" s="2287">
        <v>439</v>
      </c>
      <c r="E755" s="2287">
        <v>1733</v>
      </c>
      <c r="F755" s="2286">
        <v>2447</v>
      </c>
      <c r="G755" s="2287">
        <v>0</v>
      </c>
      <c r="H755" s="2287">
        <v>1348</v>
      </c>
      <c r="I755" s="2287">
        <v>2931</v>
      </c>
      <c r="J755" s="2286">
        <v>3645</v>
      </c>
    </row>
    <row r="756" spans="1:10" s="4722" customFormat="1" ht="13.5">
      <c r="A756" s="2287">
        <v>37600</v>
      </c>
      <c r="B756" s="2286">
        <v>37650</v>
      </c>
      <c r="C756" s="2287">
        <v>0</v>
      </c>
      <c r="D756" s="2287">
        <v>431</v>
      </c>
      <c r="E756" s="2287">
        <v>1722</v>
      </c>
      <c r="F756" s="2286">
        <v>2436</v>
      </c>
      <c r="G756" s="2287">
        <v>0</v>
      </c>
      <c r="H756" s="2287">
        <v>1340</v>
      </c>
      <c r="I756" s="2287">
        <v>2920</v>
      </c>
      <c r="J756" s="2286">
        <v>3635</v>
      </c>
    </row>
    <row r="757" spans="1:10" s="4722" customFormat="1" ht="13.5">
      <c r="A757" s="2287">
        <v>37650</v>
      </c>
      <c r="B757" s="2286">
        <v>37700</v>
      </c>
      <c r="C757" s="2287">
        <v>0</v>
      </c>
      <c r="D757" s="2287">
        <v>423</v>
      </c>
      <c r="E757" s="2287">
        <v>1711</v>
      </c>
      <c r="F757" s="2286">
        <v>2426</v>
      </c>
      <c r="G757" s="2287">
        <v>0</v>
      </c>
      <c r="H757" s="2287">
        <v>1332</v>
      </c>
      <c r="I757" s="2287">
        <v>2910</v>
      </c>
      <c r="J757" s="2286">
        <v>3624</v>
      </c>
    </row>
    <row r="758" spans="1:10" s="4722" customFormat="1" ht="13.5">
      <c r="A758" s="2287">
        <v>37700</v>
      </c>
      <c r="B758" s="2286">
        <v>37750</v>
      </c>
      <c r="C758" s="2287">
        <v>0</v>
      </c>
      <c r="D758" s="2287">
        <v>415</v>
      </c>
      <c r="E758" s="2287">
        <v>1701</v>
      </c>
      <c r="F758" s="2286">
        <v>2415</v>
      </c>
      <c r="G758" s="2287">
        <v>0</v>
      </c>
      <c r="H758" s="2287">
        <v>1324</v>
      </c>
      <c r="I758" s="2287">
        <v>2899</v>
      </c>
      <c r="J758" s="2286">
        <v>3614</v>
      </c>
    </row>
    <row r="759" spans="1:10" s="4722" customFormat="1" ht="13.5">
      <c r="A759" s="2287">
        <v>37750</v>
      </c>
      <c r="B759" s="2286">
        <v>37800</v>
      </c>
      <c r="C759" s="2287">
        <v>0</v>
      </c>
      <c r="D759" s="2287">
        <v>407</v>
      </c>
      <c r="E759" s="2287">
        <v>1690</v>
      </c>
      <c r="F759" s="2286">
        <v>2405</v>
      </c>
      <c r="G759" s="2287">
        <v>0</v>
      </c>
      <c r="H759" s="2287">
        <v>1316</v>
      </c>
      <c r="I759" s="2287">
        <v>2889</v>
      </c>
      <c r="J759" s="2286">
        <v>3603</v>
      </c>
    </row>
    <row r="760" spans="1:10" s="4722" customFormat="1" ht="13.5">
      <c r="A760" s="2287">
        <v>37800</v>
      </c>
      <c r="B760" s="2286">
        <v>37850</v>
      </c>
      <c r="C760" s="2287">
        <v>0</v>
      </c>
      <c r="D760" s="2287">
        <v>399</v>
      </c>
      <c r="E760" s="2287">
        <v>1680</v>
      </c>
      <c r="F760" s="2286">
        <v>2394</v>
      </c>
      <c r="G760" s="2287">
        <v>0</v>
      </c>
      <c r="H760" s="2287">
        <v>1308</v>
      </c>
      <c r="I760" s="2287">
        <v>2878</v>
      </c>
      <c r="J760" s="2286">
        <v>3593</v>
      </c>
    </row>
    <row r="761" spans="1:10" s="4722" customFormat="1" ht="13.5">
      <c r="A761" s="2287">
        <v>37850</v>
      </c>
      <c r="B761" s="2286">
        <v>37900</v>
      </c>
      <c r="C761" s="2287">
        <v>0</v>
      </c>
      <c r="D761" s="2287">
        <v>391</v>
      </c>
      <c r="E761" s="2287">
        <v>1669</v>
      </c>
      <c r="F761" s="2286">
        <v>2384</v>
      </c>
      <c r="G761" s="2287">
        <v>0</v>
      </c>
      <c r="H761" s="2287">
        <v>1300</v>
      </c>
      <c r="I761" s="2287">
        <v>2868</v>
      </c>
      <c r="J761" s="2286">
        <v>3582</v>
      </c>
    </row>
    <row r="762" spans="1:10" s="4722" customFormat="1" ht="13.5">
      <c r="A762" s="2287">
        <v>37900</v>
      </c>
      <c r="B762" s="2286">
        <v>37950</v>
      </c>
      <c r="C762" s="2287">
        <v>0</v>
      </c>
      <c r="D762" s="2287">
        <v>383</v>
      </c>
      <c r="E762" s="2287">
        <v>1659</v>
      </c>
      <c r="F762" s="2286">
        <v>2373</v>
      </c>
      <c r="G762" s="2287">
        <v>0</v>
      </c>
      <c r="H762" s="2287">
        <v>1292</v>
      </c>
      <c r="I762" s="2287">
        <v>2857</v>
      </c>
      <c r="J762" s="2286">
        <v>3572</v>
      </c>
    </row>
    <row r="763" spans="1:10" s="4722" customFormat="1" ht="13.5">
      <c r="A763" s="2287">
        <v>37950</v>
      </c>
      <c r="B763" s="2286">
        <v>38000</v>
      </c>
      <c r="C763" s="2287">
        <v>0</v>
      </c>
      <c r="D763" s="2287">
        <v>375</v>
      </c>
      <c r="E763" s="2287">
        <v>1648</v>
      </c>
      <c r="F763" s="2286">
        <v>2363</v>
      </c>
      <c r="G763" s="2287">
        <v>0</v>
      </c>
      <c r="H763" s="2287">
        <v>1284</v>
      </c>
      <c r="I763" s="2287">
        <v>2847</v>
      </c>
      <c r="J763" s="2286">
        <v>3561</v>
      </c>
    </row>
    <row r="764" spans="1:10" s="4722" customFormat="1" ht="13.5">
      <c r="A764" s="2287">
        <v>38000</v>
      </c>
      <c r="B764" s="2286">
        <v>38050</v>
      </c>
      <c r="C764" s="2287">
        <v>0</v>
      </c>
      <c r="D764" s="2287">
        <v>367</v>
      </c>
      <c r="E764" s="2287">
        <v>1638</v>
      </c>
      <c r="F764" s="2286">
        <v>2352</v>
      </c>
      <c r="G764" s="2287">
        <v>0</v>
      </c>
      <c r="H764" s="2287">
        <v>1276</v>
      </c>
      <c r="I764" s="2287">
        <v>2836</v>
      </c>
      <c r="J764" s="2286">
        <v>3551</v>
      </c>
    </row>
    <row r="765" spans="1:10" s="4722" customFormat="1" ht="13.5">
      <c r="A765" s="2287">
        <v>38050</v>
      </c>
      <c r="B765" s="2286">
        <v>38100</v>
      </c>
      <c r="C765" s="2287">
        <v>0</v>
      </c>
      <c r="D765" s="2287">
        <v>359</v>
      </c>
      <c r="E765" s="2287">
        <v>1627</v>
      </c>
      <c r="F765" s="2286">
        <v>2342</v>
      </c>
      <c r="G765" s="2287">
        <v>0</v>
      </c>
      <c r="H765" s="2287">
        <v>1268</v>
      </c>
      <c r="I765" s="2287">
        <v>2826</v>
      </c>
      <c r="J765" s="2286">
        <v>3540</v>
      </c>
    </row>
    <row r="766" spans="1:10" s="4722" customFormat="1" ht="13.5">
      <c r="A766" s="2287">
        <v>38100</v>
      </c>
      <c r="B766" s="2286">
        <v>38150</v>
      </c>
      <c r="C766" s="2287">
        <v>0</v>
      </c>
      <c r="D766" s="2287">
        <v>351</v>
      </c>
      <c r="E766" s="2287">
        <v>1617</v>
      </c>
      <c r="F766" s="2286">
        <v>2331</v>
      </c>
      <c r="G766" s="2287">
        <v>0</v>
      </c>
      <c r="H766" s="2287">
        <v>1260</v>
      </c>
      <c r="I766" s="2287">
        <v>2815</v>
      </c>
      <c r="J766" s="2286">
        <v>3529</v>
      </c>
    </row>
    <row r="767" spans="1:10" s="4722" customFormat="1" ht="13.5">
      <c r="A767" s="2287">
        <v>38150</v>
      </c>
      <c r="B767" s="2286">
        <v>38200</v>
      </c>
      <c r="C767" s="2287">
        <v>0</v>
      </c>
      <c r="D767" s="2287">
        <v>343</v>
      </c>
      <c r="E767" s="2287">
        <v>1606</v>
      </c>
      <c r="F767" s="2286">
        <v>2321</v>
      </c>
      <c r="G767" s="2287">
        <v>0</v>
      </c>
      <c r="H767" s="2287">
        <v>1252</v>
      </c>
      <c r="I767" s="2287">
        <v>2804</v>
      </c>
      <c r="J767" s="2286">
        <v>3519</v>
      </c>
    </row>
    <row r="768" spans="1:10" s="4722" customFormat="1" ht="13.5">
      <c r="A768" s="2287">
        <v>38200</v>
      </c>
      <c r="B768" s="2286">
        <v>38250</v>
      </c>
      <c r="C768" s="2287">
        <v>0</v>
      </c>
      <c r="D768" s="2287">
        <v>335</v>
      </c>
      <c r="E768" s="2287">
        <v>1596</v>
      </c>
      <c r="F768" s="2286">
        <v>2310</v>
      </c>
      <c r="G768" s="2287">
        <v>0</v>
      </c>
      <c r="H768" s="2287">
        <v>1244</v>
      </c>
      <c r="I768" s="2287">
        <v>2794</v>
      </c>
      <c r="J768" s="2286">
        <v>3508</v>
      </c>
    </row>
    <row r="769" spans="1:10" s="4722" customFormat="1" ht="13.5">
      <c r="A769" s="2287">
        <v>38250</v>
      </c>
      <c r="B769" s="2286">
        <v>38300</v>
      </c>
      <c r="C769" s="2287">
        <v>0</v>
      </c>
      <c r="D769" s="2287">
        <v>327</v>
      </c>
      <c r="E769" s="2287">
        <v>1585</v>
      </c>
      <c r="F769" s="2286">
        <v>2300</v>
      </c>
      <c r="G769" s="2287">
        <v>0</v>
      </c>
      <c r="H769" s="2287">
        <v>1236</v>
      </c>
      <c r="I769" s="2287">
        <v>2783</v>
      </c>
      <c r="J769" s="2286">
        <v>3498</v>
      </c>
    </row>
    <row r="770" spans="1:10" s="4722" customFormat="1" ht="13.5">
      <c r="A770" s="2287">
        <v>38300</v>
      </c>
      <c r="B770" s="2286">
        <v>38350</v>
      </c>
      <c r="C770" s="2287">
        <v>0</v>
      </c>
      <c r="D770" s="2287">
        <v>319</v>
      </c>
      <c r="E770" s="2287">
        <v>1575</v>
      </c>
      <c r="F770" s="2286">
        <v>2289</v>
      </c>
      <c r="G770" s="2287">
        <v>0</v>
      </c>
      <c r="H770" s="2287">
        <v>1228</v>
      </c>
      <c r="I770" s="2287">
        <v>2773</v>
      </c>
      <c r="J770" s="2286">
        <v>3487</v>
      </c>
    </row>
    <row r="771" spans="1:10" s="4722" customFormat="1" ht="13.5">
      <c r="A771" s="2287">
        <v>38350</v>
      </c>
      <c r="B771" s="2286">
        <v>38400</v>
      </c>
      <c r="C771" s="2287">
        <v>0</v>
      </c>
      <c r="D771" s="2287">
        <v>311</v>
      </c>
      <c r="E771" s="2287">
        <v>1564</v>
      </c>
      <c r="F771" s="2286">
        <v>2279</v>
      </c>
      <c r="G771" s="2287">
        <v>0</v>
      </c>
      <c r="H771" s="2287">
        <v>1220</v>
      </c>
      <c r="I771" s="2287">
        <v>2762</v>
      </c>
      <c r="J771" s="2286">
        <v>3477</v>
      </c>
    </row>
    <row r="772" spans="1:10" s="4722" customFormat="1" ht="13.5">
      <c r="A772" s="2287">
        <v>38400</v>
      </c>
      <c r="B772" s="2286">
        <v>38450</v>
      </c>
      <c r="C772" s="2287">
        <v>0</v>
      </c>
      <c r="D772" s="2287">
        <v>303</v>
      </c>
      <c r="E772" s="2287">
        <v>1553</v>
      </c>
      <c r="F772" s="2286">
        <v>2268</v>
      </c>
      <c r="G772" s="2287">
        <v>0</v>
      </c>
      <c r="H772" s="2287">
        <v>1212</v>
      </c>
      <c r="I772" s="2287">
        <v>2752</v>
      </c>
      <c r="J772" s="2286">
        <v>3466</v>
      </c>
    </row>
    <row r="773" spans="1:10" s="4722" customFormat="1" ht="13.5">
      <c r="A773" s="2287">
        <v>38450</v>
      </c>
      <c r="B773" s="2286">
        <v>38500</v>
      </c>
      <c r="C773" s="2287">
        <v>0</v>
      </c>
      <c r="D773" s="2287">
        <v>295</v>
      </c>
      <c r="E773" s="2287">
        <v>1543</v>
      </c>
      <c r="F773" s="2286">
        <v>2257</v>
      </c>
      <c r="G773" s="2287">
        <v>0</v>
      </c>
      <c r="H773" s="2287">
        <v>1204</v>
      </c>
      <c r="I773" s="2287">
        <v>2741</v>
      </c>
      <c r="J773" s="2286">
        <v>3456</v>
      </c>
    </row>
    <row r="774" spans="1:10" s="4722" customFormat="1" ht="13.5">
      <c r="A774" s="2287">
        <v>38500</v>
      </c>
      <c r="B774" s="2286">
        <v>38550</v>
      </c>
      <c r="C774" s="2287">
        <v>0</v>
      </c>
      <c r="D774" s="2287">
        <v>287</v>
      </c>
      <c r="E774" s="2287">
        <v>1532</v>
      </c>
      <c r="F774" s="2286">
        <v>2247</v>
      </c>
      <c r="G774" s="2287">
        <v>0</v>
      </c>
      <c r="H774" s="2287">
        <v>1196</v>
      </c>
      <c r="I774" s="2287">
        <v>2731</v>
      </c>
      <c r="J774" s="2286">
        <v>3445</v>
      </c>
    </row>
    <row r="775" spans="1:10" s="4722" customFormat="1" ht="13.5">
      <c r="A775" s="2287">
        <v>38550</v>
      </c>
      <c r="B775" s="2286">
        <v>38600</v>
      </c>
      <c r="C775" s="2287">
        <v>0</v>
      </c>
      <c r="D775" s="2287">
        <v>279</v>
      </c>
      <c r="E775" s="2287">
        <v>1522</v>
      </c>
      <c r="F775" s="2286">
        <v>2236</v>
      </c>
      <c r="G775" s="2287">
        <v>0</v>
      </c>
      <c r="H775" s="2287">
        <v>1188</v>
      </c>
      <c r="I775" s="2287">
        <v>2720</v>
      </c>
      <c r="J775" s="2286">
        <v>3435</v>
      </c>
    </row>
    <row r="776" spans="1:10" s="4722" customFormat="1" ht="13.5">
      <c r="A776" s="2287">
        <v>38600</v>
      </c>
      <c r="B776" s="2286">
        <v>38650</v>
      </c>
      <c r="C776" s="2287">
        <v>0</v>
      </c>
      <c r="D776" s="2287">
        <v>271</v>
      </c>
      <c r="E776" s="2287">
        <v>1511</v>
      </c>
      <c r="F776" s="2286">
        <v>2226</v>
      </c>
      <c r="G776" s="2287">
        <v>0</v>
      </c>
      <c r="H776" s="2287">
        <v>1180</v>
      </c>
      <c r="I776" s="2287">
        <v>2710</v>
      </c>
      <c r="J776" s="2286">
        <v>3424</v>
      </c>
    </row>
    <row r="777" spans="1:10" s="4722" customFormat="1" ht="13.5">
      <c r="A777" s="2287">
        <v>38650</v>
      </c>
      <c r="B777" s="2286">
        <v>38700</v>
      </c>
      <c r="C777" s="2287">
        <v>0</v>
      </c>
      <c r="D777" s="2287">
        <v>263</v>
      </c>
      <c r="E777" s="2287">
        <v>1501</v>
      </c>
      <c r="F777" s="2286">
        <v>2215</v>
      </c>
      <c r="G777" s="2287">
        <v>0</v>
      </c>
      <c r="H777" s="2287">
        <v>1172</v>
      </c>
      <c r="I777" s="2287">
        <v>2699</v>
      </c>
      <c r="J777" s="2286">
        <v>3414</v>
      </c>
    </row>
    <row r="778" spans="1:10" s="4722" customFormat="1" ht="13.5">
      <c r="A778" s="2287">
        <v>38700</v>
      </c>
      <c r="B778" s="2286">
        <v>38750</v>
      </c>
      <c r="C778" s="2287">
        <v>0</v>
      </c>
      <c r="D778" s="2287">
        <v>255</v>
      </c>
      <c r="E778" s="2287">
        <v>1490</v>
      </c>
      <c r="F778" s="2286">
        <v>2205</v>
      </c>
      <c r="G778" s="2287">
        <v>0</v>
      </c>
      <c r="H778" s="2287">
        <v>1164</v>
      </c>
      <c r="I778" s="2287">
        <v>2689</v>
      </c>
      <c r="J778" s="2286">
        <v>3403</v>
      </c>
    </row>
    <row r="779" spans="1:10" s="4722" customFormat="1" ht="13.5">
      <c r="A779" s="2287">
        <v>38750</v>
      </c>
      <c r="B779" s="2286">
        <v>38800</v>
      </c>
      <c r="C779" s="2287">
        <v>0</v>
      </c>
      <c r="D779" s="2287">
        <v>247</v>
      </c>
      <c r="E779" s="2287">
        <v>1480</v>
      </c>
      <c r="F779" s="2286">
        <v>2194</v>
      </c>
      <c r="G779" s="2287">
        <v>0</v>
      </c>
      <c r="H779" s="2287">
        <v>1156</v>
      </c>
      <c r="I779" s="2287">
        <v>2678</v>
      </c>
      <c r="J779" s="2286">
        <v>3393</v>
      </c>
    </row>
    <row r="780" spans="1:10" s="4722" customFormat="1" ht="13.5">
      <c r="A780" s="2287">
        <v>38800</v>
      </c>
      <c r="B780" s="2286">
        <v>38850</v>
      </c>
      <c r="C780" s="2287">
        <v>0</v>
      </c>
      <c r="D780" s="2287">
        <v>239</v>
      </c>
      <c r="E780" s="2287">
        <v>1469</v>
      </c>
      <c r="F780" s="2286">
        <v>2184</v>
      </c>
      <c r="G780" s="2287">
        <v>0</v>
      </c>
      <c r="H780" s="2287">
        <v>1148</v>
      </c>
      <c r="I780" s="2287">
        <v>2668</v>
      </c>
      <c r="J780" s="2286">
        <v>3382</v>
      </c>
    </row>
    <row r="781" spans="1:10" s="4722" customFormat="1" ht="13.5">
      <c r="A781" s="2287">
        <v>38850</v>
      </c>
      <c r="B781" s="2286">
        <v>38900</v>
      </c>
      <c r="C781" s="2287">
        <v>0</v>
      </c>
      <c r="D781" s="2287">
        <v>231</v>
      </c>
      <c r="E781" s="2287">
        <v>1459</v>
      </c>
      <c r="F781" s="2286">
        <v>2173</v>
      </c>
      <c r="G781" s="2287">
        <v>0</v>
      </c>
      <c r="H781" s="2287">
        <v>1140</v>
      </c>
      <c r="I781" s="2287">
        <v>2657</v>
      </c>
      <c r="J781" s="2286">
        <v>3372</v>
      </c>
    </row>
    <row r="782" spans="1:10" s="4722" customFormat="1" ht="13.5">
      <c r="A782" s="2287">
        <v>38900</v>
      </c>
      <c r="B782" s="2286">
        <v>38950</v>
      </c>
      <c r="C782" s="2287">
        <v>0</v>
      </c>
      <c r="D782" s="2287">
        <v>223</v>
      </c>
      <c r="E782" s="2287">
        <v>1448</v>
      </c>
      <c r="F782" s="2286">
        <v>2163</v>
      </c>
      <c r="G782" s="2287">
        <v>0</v>
      </c>
      <c r="H782" s="2287">
        <v>1132</v>
      </c>
      <c r="I782" s="2287">
        <v>2647</v>
      </c>
      <c r="J782" s="2286">
        <v>3361</v>
      </c>
    </row>
    <row r="783" spans="1:10" s="4722" customFormat="1" ht="13.5">
      <c r="A783" s="2287">
        <v>38950</v>
      </c>
      <c r="B783" s="2286">
        <v>39000</v>
      </c>
      <c r="C783" s="2287">
        <v>0</v>
      </c>
      <c r="D783" s="2287">
        <v>215</v>
      </c>
      <c r="E783" s="2287">
        <v>1438</v>
      </c>
      <c r="F783" s="2286">
        <v>2152</v>
      </c>
      <c r="G783" s="2287">
        <v>0</v>
      </c>
      <c r="H783" s="2287">
        <v>1124</v>
      </c>
      <c r="I783" s="2287">
        <v>2636</v>
      </c>
      <c r="J783" s="2286">
        <v>3350</v>
      </c>
    </row>
    <row r="784" spans="1:10" s="4722" customFormat="1" ht="13.5">
      <c r="A784" s="2287">
        <v>39000</v>
      </c>
      <c r="B784" s="2286">
        <v>39050</v>
      </c>
      <c r="C784" s="2287">
        <v>0</v>
      </c>
      <c r="D784" s="2287">
        <v>207</v>
      </c>
      <c r="E784" s="2287">
        <v>1427</v>
      </c>
      <c r="F784" s="2286">
        <v>2142</v>
      </c>
      <c r="G784" s="2287">
        <v>0</v>
      </c>
      <c r="H784" s="2287">
        <v>1116</v>
      </c>
      <c r="I784" s="2287">
        <v>2625</v>
      </c>
      <c r="J784" s="2286">
        <v>3340</v>
      </c>
    </row>
    <row r="785" spans="1:10" s="4722" customFormat="1" ht="13.5">
      <c r="A785" s="2287">
        <v>39050</v>
      </c>
      <c r="B785" s="2286">
        <v>39100</v>
      </c>
      <c r="C785" s="2287">
        <v>0</v>
      </c>
      <c r="D785" s="2287">
        <v>199</v>
      </c>
      <c r="E785" s="2287">
        <v>1417</v>
      </c>
      <c r="F785" s="2286">
        <v>2131</v>
      </c>
      <c r="G785" s="2287">
        <v>0</v>
      </c>
      <c r="H785" s="2287">
        <v>1108</v>
      </c>
      <c r="I785" s="2287">
        <v>2615</v>
      </c>
      <c r="J785" s="2286">
        <v>3329</v>
      </c>
    </row>
    <row r="786" spans="1:10" s="4722" customFormat="1" ht="13.5">
      <c r="A786" s="2287">
        <v>39100</v>
      </c>
      <c r="B786" s="2286">
        <v>39150</v>
      </c>
      <c r="C786" s="2287">
        <v>0</v>
      </c>
      <c r="D786" s="2287">
        <v>191</v>
      </c>
      <c r="E786" s="2287">
        <v>1406</v>
      </c>
      <c r="F786" s="2286">
        <v>2121</v>
      </c>
      <c r="G786" s="2287">
        <v>0</v>
      </c>
      <c r="H786" s="2287">
        <v>1100</v>
      </c>
      <c r="I786" s="2287">
        <v>2604</v>
      </c>
      <c r="J786" s="2286">
        <v>3319</v>
      </c>
    </row>
    <row r="787" spans="1:10" s="4722" customFormat="1" ht="13.5">
      <c r="A787" s="2287">
        <v>39150</v>
      </c>
      <c r="B787" s="2286">
        <v>39200</v>
      </c>
      <c r="C787" s="2287">
        <v>0</v>
      </c>
      <c r="D787" s="2287">
        <v>183</v>
      </c>
      <c r="E787" s="2287">
        <v>1396</v>
      </c>
      <c r="F787" s="2286">
        <v>2110</v>
      </c>
      <c r="G787" s="2287">
        <v>0</v>
      </c>
      <c r="H787" s="2287">
        <v>1092</v>
      </c>
      <c r="I787" s="2287">
        <v>2594</v>
      </c>
      <c r="J787" s="2286">
        <v>3308</v>
      </c>
    </row>
    <row r="788" spans="1:10" s="4722" customFormat="1" ht="13.5">
      <c r="A788" s="2287">
        <v>39200</v>
      </c>
      <c r="B788" s="2286">
        <v>39250</v>
      </c>
      <c r="C788" s="2287">
        <v>0</v>
      </c>
      <c r="D788" s="2287">
        <v>175</v>
      </c>
      <c r="E788" s="2287">
        <v>1385</v>
      </c>
      <c r="F788" s="2286">
        <v>2100</v>
      </c>
      <c r="G788" s="2287">
        <v>0</v>
      </c>
      <c r="H788" s="2287">
        <v>1084</v>
      </c>
      <c r="I788" s="2287">
        <v>2583</v>
      </c>
      <c r="J788" s="2286">
        <v>3298</v>
      </c>
    </row>
    <row r="789" spans="1:10" s="4722" customFormat="1" ht="13.5">
      <c r="A789" s="2287">
        <v>39250</v>
      </c>
      <c r="B789" s="2286">
        <v>39300</v>
      </c>
      <c r="C789" s="2287">
        <v>0</v>
      </c>
      <c r="D789" s="2287">
        <v>167</v>
      </c>
      <c r="E789" s="2287">
        <v>1374</v>
      </c>
      <c r="F789" s="2286">
        <v>2089</v>
      </c>
      <c r="G789" s="2287">
        <v>0</v>
      </c>
      <c r="H789" s="2287">
        <v>1076</v>
      </c>
      <c r="I789" s="2287">
        <v>2573</v>
      </c>
      <c r="J789" s="2286">
        <v>3287</v>
      </c>
    </row>
    <row r="790" spans="1:10" s="4722" customFormat="1" ht="13.5">
      <c r="A790" s="2287">
        <v>39300</v>
      </c>
      <c r="B790" s="2286">
        <v>39350</v>
      </c>
      <c r="C790" s="2287">
        <v>0</v>
      </c>
      <c r="D790" s="2287">
        <v>159</v>
      </c>
      <c r="E790" s="2287">
        <v>1364</v>
      </c>
      <c r="F790" s="2286">
        <v>2078</v>
      </c>
      <c r="G790" s="2287">
        <v>0</v>
      </c>
      <c r="H790" s="2287">
        <v>1068</v>
      </c>
      <c r="I790" s="2287">
        <v>2562</v>
      </c>
      <c r="J790" s="2286">
        <v>3277</v>
      </c>
    </row>
    <row r="791" spans="1:10" s="4722" customFormat="1" ht="13.5">
      <c r="A791" s="2287">
        <v>39350</v>
      </c>
      <c r="B791" s="2286">
        <v>39400</v>
      </c>
      <c r="C791" s="2287">
        <v>0</v>
      </c>
      <c r="D791" s="2287">
        <v>151</v>
      </c>
      <c r="E791" s="2287">
        <v>1353</v>
      </c>
      <c r="F791" s="2286">
        <v>2068</v>
      </c>
      <c r="G791" s="2287">
        <v>0</v>
      </c>
      <c r="H791" s="2287">
        <v>1060</v>
      </c>
      <c r="I791" s="2287">
        <v>2552</v>
      </c>
      <c r="J791" s="2286">
        <v>3266</v>
      </c>
    </row>
    <row r="792" spans="1:10" s="4722" customFormat="1" ht="13.5">
      <c r="A792" s="2287">
        <v>39400</v>
      </c>
      <c r="B792" s="2286">
        <v>39450</v>
      </c>
      <c r="C792" s="2287">
        <v>0</v>
      </c>
      <c r="D792" s="2287">
        <v>143</v>
      </c>
      <c r="E792" s="2287">
        <v>1343</v>
      </c>
      <c r="F792" s="2286">
        <v>2057</v>
      </c>
      <c r="G792" s="2287">
        <v>0</v>
      </c>
      <c r="H792" s="2287">
        <v>1052</v>
      </c>
      <c r="I792" s="2287">
        <v>2541</v>
      </c>
      <c r="J792" s="2286">
        <v>3256</v>
      </c>
    </row>
    <row r="793" spans="1:10" s="4722" customFormat="1" ht="13.5">
      <c r="A793" s="2287">
        <v>39450</v>
      </c>
      <c r="B793" s="2286">
        <v>39500</v>
      </c>
      <c r="C793" s="2287">
        <v>0</v>
      </c>
      <c r="D793" s="2287">
        <v>135</v>
      </c>
      <c r="E793" s="2287">
        <v>1332</v>
      </c>
      <c r="F793" s="2286">
        <v>2047</v>
      </c>
      <c r="G793" s="2287">
        <v>0</v>
      </c>
      <c r="H793" s="2287">
        <v>1044</v>
      </c>
      <c r="I793" s="2287">
        <v>2531</v>
      </c>
      <c r="J793" s="2286">
        <v>3245</v>
      </c>
    </row>
    <row r="794" spans="1:10" s="4722" customFormat="1" ht="13.5">
      <c r="A794" s="2287">
        <v>39500</v>
      </c>
      <c r="B794" s="2286">
        <v>39550</v>
      </c>
      <c r="C794" s="2287">
        <v>0</v>
      </c>
      <c r="D794" s="2287">
        <v>127</v>
      </c>
      <c r="E794" s="2287">
        <v>1322</v>
      </c>
      <c r="F794" s="2286">
        <v>2036</v>
      </c>
      <c r="G794" s="2287">
        <v>0</v>
      </c>
      <c r="H794" s="2287">
        <v>1036</v>
      </c>
      <c r="I794" s="2287">
        <v>2520</v>
      </c>
      <c r="J794" s="2286">
        <v>3235</v>
      </c>
    </row>
    <row r="795" spans="1:10" s="4722" customFormat="1" ht="13.5">
      <c r="A795" s="2287">
        <v>39550</v>
      </c>
      <c r="B795" s="2286">
        <v>39600</v>
      </c>
      <c r="C795" s="2287">
        <v>0</v>
      </c>
      <c r="D795" s="2287">
        <v>119</v>
      </c>
      <c r="E795" s="2287">
        <v>1311</v>
      </c>
      <c r="F795" s="2286">
        <v>2026</v>
      </c>
      <c r="G795" s="2287">
        <v>0</v>
      </c>
      <c r="H795" s="2287">
        <v>1028</v>
      </c>
      <c r="I795" s="2287">
        <v>2510</v>
      </c>
      <c r="J795" s="2286">
        <v>3224</v>
      </c>
    </row>
    <row r="796" spans="1:10" s="4722" customFormat="1" ht="13.5">
      <c r="A796" s="2287">
        <v>39600</v>
      </c>
      <c r="B796" s="2286">
        <v>39650</v>
      </c>
      <c r="C796" s="2287">
        <v>0</v>
      </c>
      <c r="D796" s="2287">
        <v>111</v>
      </c>
      <c r="E796" s="2287">
        <v>1301</v>
      </c>
      <c r="F796" s="2286">
        <v>2015</v>
      </c>
      <c r="G796" s="2287">
        <v>0</v>
      </c>
      <c r="H796" s="2287">
        <v>1020</v>
      </c>
      <c r="I796" s="2287">
        <v>2499</v>
      </c>
      <c r="J796" s="2286">
        <v>3214</v>
      </c>
    </row>
    <row r="797" spans="1:10" s="4722" customFormat="1" ht="13.5">
      <c r="A797" s="2287">
        <v>39650</v>
      </c>
      <c r="B797" s="2286">
        <v>39700</v>
      </c>
      <c r="C797" s="2287">
        <v>0</v>
      </c>
      <c r="D797" s="2287">
        <v>103</v>
      </c>
      <c r="E797" s="2287">
        <v>1290</v>
      </c>
      <c r="F797" s="2286">
        <v>2005</v>
      </c>
      <c r="G797" s="2287">
        <v>0</v>
      </c>
      <c r="H797" s="2287">
        <v>1012</v>
      </c>
      <c r="I797" s="2287">
        <v>2489</v>
      </c>
      <c r="J797" s="2286">
        <v>3203</v>
      </c>
    </row>
    <row r="798" spans="1:10" s="4722" customFormat="1" ht="13.5">
      <c r="A798" s="2287">
        <v>39700</v>
      </c>
      <c r="B798" s="2286">
        <v>39750</v>
      </c>
      <c r="C798" s="2287">
        <v>0</v>
      </c>
      <c r="D798" s="2287">
        <v>95</v>
      </c>
      <c r="E798" s="2287">
        <v>1280</v>
      </c>
      <c r="F798" s="2286">
        <v>1994</v>
      </c>
      <c r="G798" s="2287">
        <v>0</v>
      </c>
      <c r="H798" s="2287">
        <v>1004</v>
      </c>
      <c r="I798" s="2287">
        <v>2478</v>
      </c>
      <c r="J798" s="2286">
        <v>3193</v>
      </c>
    </row>
    <row r="799" spans="1:10" s="4722" customFormat="1" ht="13.5">
      <c r="A799" s="2287">
        <v>39750</v>
      </c>
      <c r="B799" s="2286">
        <v>39800</v>
      </c>
      <c r="C799" s="2287">
        <v>0</v>
      </c>
      <c r="D799" s="2287">
        <v>87</v>
      </c>
      <c r="E799" s="2287">
        <v>1269</v>
      </c>
      <c r="F799" s="2286">
        <v>1984</v>
      </c>
      <c r="G799" s="2287">
        <v>0</v>
      </c>
      <c r="H799" s="2287">
        <v>996</v>
      </c>
      <c r="I799" s="2287">
        <v>2467</v>
      </c>
      <c r="J799" s="2286">
        <v>3182</v>
      </c>
    </row>
    <row r="800" spans="1:10" s="4722" customFormat="1" ht="13.5">
      <c r="A800" s="2287">
        <v>39800</v>
      </c>
      <c r="B800" s="2286">
        <v>39850</v>
      </c>
      <c r="C800" s="2287">
        <v>0</v>
      </c>
      <c r="D800" s="2287">
        <v>79</v>
      </c>
      <c r="E800" s="2287">
        <v>1259</v>
      </c>
      <c r="F800" s="2286">
        <v>1973</v>
      </c>
      <c r="G800" s="2287">
        <v>0</v>
      </c>
      <c r="H800" s="2287">
        <v>988</v>
      </c>
      <c r="I800" s="2287">
        <v>2457</v>
      </c>
      <c r="J800" s="2286">
        <v>3171</v>
      </c>
    </row>
    <row r="801" spans="1:10" s="4722" customFormat="1" ht="13.5">
      <c r="A801" s="2287">
        <v>39850</v>
      </c>
      <c r="B801" s="2286">
        <v>39900</v>
      </c>
      <c r="C801" s="2287">
        <v>0</v>
      </c>
      <c r="D801" s="2287">
        <v>71</v>
      </c>
      <c r="E801" s="2287">
        <v>1248</v>
      </c>
      <c r="F801" s="2286">
        <v>1963</v>
      </c>
      <c r="G801" s="2287">
        <v>0</v>
      </c>
      <c r="H801" s="2287">
        <v>980</v>
      </c>
      <c r="I801" s="2287">
        <v>2446</v>
      </c>
      <c r="J801" s="2286">
        <v>3161</v>
      </c>
    </row>
    <row r="802" spans="1:10" s="4722" customFormat="1" ht="13.5">
      <c r="A802" s="2287">
        <v>39900</v>
      </c>
      <c r="B802" s="2286">
        <v>39950</v>
      </c>
      <c r="C802" s="2287">
        <v>0</v>
      </c>
      <c r="D802" s="2287">
        <v>63</v>
      </c>
      <c r="E802" s="2287">
        <v>1238</v>
      </c>
      <c r="F802" s="2286">
        <v>1952</v>
      </c>
      <c r="G802" s="2287">
        <v>0</v>
      </c>
      <c r="H802" s="2287">
        <v>972</v>
      </c>
      <c r="I802" s="2287">
        <v>2436</v>
      </c>
      <c r="J802" s="2286">
        <v>3150</v>
      </c>
    </row>
    <row r="803" spans="1:10" s="4722" customFormat="1" ht="13.5">
      <c r="A803" s="2287">
        <v>39950</v>
      </c>
      <c r="B803" s="2286">
        <v>40000</v>
      </c>
      <c r="C803" s="2287">
        <v>0</v>
      </c>
      <c r="D803" s="2287">
        <v>55</v>
      </c>
      <c r="E803" s="2287">
        <v>1227</v>
      </c>
      <c r="F803" s="2286">
        <v>1942</v>
      </c>
      <c r="G803" s="2287">
        <v>0</v>
      </c>
      <c r="H803" s="2287">
        <v>964</v>
      </c>
      <c r="I803" s="2287">
        <v>2425</v>
      </c>
      <c r="J803" s="2286">
        <v>3140</v>
      </c>
    </row>
    <row r="804" spans="1:10" s="4722" customFormat="1" ht="13.5">
      <c r="A804" s="2287">
        <v>40000</v>
      </c>
      <c r="B804" s="2286">
        <v>40050</v>
      </c>
      <c r="C804" s="2287">
        <v>0</v>
      </c>
      <c r="D804" s="2287">
        <v>47</v>
      </c>
      <c r="E804" s="2287">
        <v>1217</v>
      </c>
      <c r="F804" s="2286">
        <v>1931</v>
      </c>
      <c r="G804" s="2287">
        <v>0</v>
      </c>
      <c r="H804" s="2287">
        <v>956</v>
      </c>
      <c r="I804" s="2287">
        <v>2415</v>
      </c>
      <c r="J804" s="2286">
        <v>3129</v>
      </c>
    </row>
    <row r="805" spans="1:10" s="4722" customFormat="1" ht="13.5">
      <c r="A805" s="2287">
        <v>40050</v>
      </c>
      <c r="B805" s="2286">
        <v>40100</v>
      </c>
      <c r="C805" s="2287">
        <v>0</v>
      </c>
      <c r="D805" s="2287">
        <v>39</v>
      </c>
      <c r="E805" s="2287">
        <v>1206</v>
      </c>
      <c r="F805" s="2286">
        <v>1921</v>
      </c>
      <c r="G805" s="2287">
        <v>0</v>
      </c>
      <c r="H805" s="2287">
        <v>948</v>
      </c>
      <c r="I805" s="2287">
        <v>2404</v>
      </c>
      <c r="J805" s="2286">
        <v>3119</v>
      </c>
    </row>
    <row r="806" spans="1:10" s="4722" customFormat="1" ht="13.5">
      <c r="A806" s="2287">
        <v>40100</v>
      </c>
      <c r="B806" s="2286">
        <v>40150</v>
      </c>
      <c r="C806" s="2287">
        <v>0</v>
      </c>
      <c r="D806" s="2287">
        <v>31</v>
      </c>
      <c r="E806" s="2287">
        <v>1195</v>
      </c>
      <c r="F806" s="2286">
        <v>1910</v>
      </c>
      <c r="G806" s="2287">
        <v>0</v>
      </c>
      <c r="H806" s="2287">
        <v>940</v>
      </c>
      <c r="I806" s="2287">
        <v>2394</v>
      </c>
      <c r="J806" s="2286">
        <v>3108</v>
      </c>
    </row>
    <row r="807" spans="1:10" s="4722" customFormat="1" ht="13.5">
      <c r="A807" s="2287">
        <v>40150</v>
      </c>
      <c r="B807" s="2286">
        <v>40200</v>
      </c>
      <c r="C807" s="2287">
        <v>0</v>
      </c>
      <c r="D807" s="2287">
        <v>23</v>
      </c>
      <c r="E807" s="2287">
        <v>1185</v>
      </c>
      <c r="F807" s="2286">
        <v>1899</v>
      </c>
      <c r="G807" s="2287">
        <v>0</v>
      </c>
      <c r="H807" s="2287">
        <v>932</v>
      </c>
      <c r="I807" s="2287">
        <v>2383</v>
      </c>
      <c r="J807" s="2286">
        <v>3098</v>
      </c>
    </row>
    <row r="808" spans="1:10" s="4722" customFormat="1" ht="13.5">
      <c r="A808" s="2287">
        <v>40200</v>
      </c>
      <c r="B808" s="2286">
        <v>40250</v>
      </c>
      <c r="C808" s="2287">
        <v>0</v>
      </c>
      <c r="D808" s="2287">
        <v>15</v>
      </c>
      <c r="E808" s="2287">
        <v>1174</v>
      </c>
      <c r="F808" s="2286">
        <v>1889</v>
      </c>
      <c r="G808" s="2287">
        <v>0</v>
      </c>
      <c r="H808" s="2287">
        <v>924</v>
      </c>
      <c r="I808" s="2287">
        <v>2373</v>
      </c>
      <c r="J808" s="2286">
        <v>3087</v>
      </c>
    </row>
    <row r="809" spans="1:10" s="4722" customFormat="1" ht="13.5">
      <c r="A809" s="2287">
        <v>40250</v>
      </c>
      <c r="B809" s="2286">
        <v>40300</v>
      </c>
      <c r="C809" s="2287">
        <v>0</v>
      </c>
      <c r="D809" s="2287">
        <v>7</v>
      </c>
      <c r="E809" s="2287">
        <v>1164</v>
      </c>
      <c r="F809" s="2286">
        <v>1878</v>
      </c>
      <c r="G809" s="2287">
        <v>0</v>
      </c>
      <c r="H809" s="2287">
        <v>916</v>
      </c>
      <c r="I809" s="2287">
        <v>2362</v>
      </c>
      <c r="J809" s="2286">
        <v>3077</v>
      </c>
    </row>
    <row r="810" spans="1:10" s="4722" customFormat="1" ht="13.5">
      <c r="A810" s="2287">
        <v>40300</v>
      </c>
      <c r="B810" s="2286">
        <v>40320</v>
      </c>
      <c r="C810" s="2287">
        <v>0</v>
      </c>
      <c r="D810" s="2287">
        <v>2</v>
      </c>
      <c r="E810" s="2287">
        <v>1153</v>
      </c>
      <c r="F810" s="2286">
        <v>1868</v>
      </c>
      <c r="G810" s="2287">
        <v>0</v>
      </c>
      <c r="H810" s="2287">
        <v>908</v>
      </c>
      <c r="I810" s="2287">
        <v>2352</v>
      </c>
      <c r="J810" s="2286">
        <v>3066</v>
      </c>
    </row>
    <row r="811" spans="1:10" s="4722" customFormat="1" ht="13.5">
      <c r="A811" s="2287">
        <v>40320</v>
      </c>
      <c r="B811" s="2286">
        <v>40350</v>
      </c>
      <c r="C811" s="2287">
        <v>0</v>
      </c>
      <c r="D811" s="2287">
        <v>0</v>
      </c>
      <c r="E811" s="2287">
        <v>1153</v>
      </c>
      <c r="F811" s="2286">
        <v>1868</v>
      </c>
      <c r="G811" s="2287">
        <v>0</v>
      </c>
      <c r="H811" s="2287">
        <v>908</v>
      </c>
      <c r="I811" s="2287">
        <v>2352</v>
      </c>
      <c r="J811" s="2286">
        <v>3066</v>
      </c>
    </row>
    <row r="812" spans="1:10" s="4722" customFormat="1" ht="13.5">
      <c r="A812" s="2287">
        <v>40350</v>
      </c>
      <c r="B812" s="2286">
        <v>40400</v>
      </c>
      <c r="C812" s="2287">
        <v>0</v>
      </c>
      <c r="D812" s="2287">
        <v>0</v>
      </c>
      <c r="E812" s="2287">
        <v>1143</v>
      </c>
      <c r="F812" s="2286">
        <v>1857</v>
      </c>
      <c r="G812" s="2287">
        <v>0</v>
      </c>
      <c r="H812" s="2287">
        <v>900</v>
      </c>
      <c r="I812" s="2287">
        <v>2341</v>
      </c>
      <c r="J812" s="2286">
        <v>3056</v>
      </c>
    </row>
    <row r="813" spans="1:10" s="4722" customFormat="1" ht="13.5">
      <c r="A813" s="2287">
        <v>40400</v>
      </c>
      <c r="B813" s="2286">
        <v>40450</v>
      </c>
      <c r="C813" s="2287">
        <v>0</v>
      </c>
      <c r="D813" s="2287">
        <v>0</v>
      </c>
      <c r="E813" s="2287">
        <v>1132</v>
      </c>
      <c r="F813" s="2286">
        <v>1847</v>
      </c>
      <c r="G813" s="2287">
        <v>0</v>
      </c>
      <c r="H813" s="2287">
        <v>892</v>
      </c>
      <c r="I813" s="2287">
        <v>2331</v>
      </c>
      <c r="J813" s="2286">
        <v>3045</v>
      </c>
    </row>
    <row r="814" spans="1:10" s="4722" customFormat="1" ht="13.5">
      <c r="A814" s="2287">
        <v>40450</v>
      </c>
      <c r="B814" s="2286">
        <v>40500</v>
      </c>
      <c r="C814" s="2287">
        <v>0</v>
      </c>
      <c r="D814" s="2287">
        <v>0</v>
      </c>
      <c r="E814" s="2287">
        <v>1122</v>
      </c>
      <c r="F814" s="2286">
        <v>1836</v>
      </c>
      <c r="G814" s="2287">
        <v>0</v>
      </c>
      <c r="H814" s="2287">
        <v>884</v>
      </c>
      <c r="I814" s="2287">
        <v>2320</v>
      </c>
      <c r="J814" s="2286">
        <v>3035</v>
      </c>
    </row>
    <row r="815" spans="1:10" s="4722" customFormat="1" ht="13.5">
      <c r="A815" s="2287">
        <v>40500</v>
      </c>
      <c r="B815" s="2286">
        <v>40550</v>
      </c>
      <c r="C815" s="2287">
        <v>0</v>
      </c>
      <c r="D815" s="2287">
        <v>0</v>
      </c>
      <c r="E815" s="2287">
        <v>1111</v>
      </c>
      <c r="F815" s="2286">
        <v>1826</v>
      </c>
      <c r="G815" s="2287">
        <v>0</v>
      </c>
      <c r="H815" s="2287">
        <v>876</v>
      </c>
      <c r="I815" s="2287">
        <v>2310</v>
      </c>
      <c r="J815" s="2286">
        <v>3024</v>
      </c>
    </row>
    <row r="816" spans="1:10" s="4722" customFormat="1" ht="13.5">
      <c r="A816" s="2287">
        <v>40550</v>
      </c>
      <c r="B816" s="2286">
        <v>40600</v>
      </c>
      <c r="C816" s="2287">
        <v>0</v>
      </c>
      <c r="D816" s="2287">
        <v>0</v>
      </c>
      <c r="E816" s="2287">
        <v>1101</v>
      </c>
      <c r="F816" s="2286">
        <v>1815</v>
      </c>
      <c r="G816" s="2287">
        <v>0</v>
      </c>
      <c r="H816" s="2287">
        <v>868</v>
      </c>
      <c r="I816" s="2287">
        <v>2299</v>
      </c>
      <c r="J816" s="2286">
        <v>3014</v>
      </c>
    </row>
    <row r="817" spans="1:10" s="4722" customFormat="1" ht="13.5">
      <c r="A817" s="2287">
        <v>40600</v>
      </c>
      <c r="B817" s="2286">
        <v>40650</v>
      </c>
      <c r="C817" s="2287">
        <v>0</v>
      </c>
      <c r="D817" s="2287">
        <v>0</v>
      </c>
      <c r="E817" s="2287">
        <v>1090</v>
      </c>
      <c r="F817" s="2286">
        <v>1805</v>
      </c>
      <c r="G817" s="2287">
        <v>0</v>
      </c>
      <c r="H817" s="2287">
        <v>860</v>
      </c>
      <c r="I817" s="2287">
        <v>2288</v>
      </c>
      <c r="J817" s="2286">
        <v>3003</v>
      </c>
    </row>
    <row r="818" spans="1:10" s="4722" customFormat="1" ht="13.5">
      <c r="A818" s="2287">
        <v>40650</v>
      </c>
      <c r="B818" s="2286">
        <v>40700</v>
      </c>
      <c r="C818" s="2287">
        <v>0</v>
      </c>
      <c r="D818" s="2287">
        <v>0</v>
      </c>
      <c r="E818" s="2287">
        <v>1080</v>
      </c>
      <c r="F818" s="2286">
        <v>1794</v>
      </c>
      <c r="G818" s="2287">
        <v>0</v>
      </c>
      <c r="H818" s="2287">
        <v>852</v>
      </c>
      <c r="I818" s="2287">
        <v>2278</v>
      </c>
      <c r="J818" s="2286">
        <v>2992</v>
      </c>
    </row>
    <row r="819" spans="1:10" s="4722" customFormat="1" ht="13.5">
      <c r="A819" s="2287">
        <v>40700</v>
      </c>
      <c r="B819" s="2286">
        <v>40750</v>
      </c>
      <c r="C819" s="2287">
        <v>0</v>
      </c>
      <c r="D819" s="2287">
        <v>0</v>
      </c>
      <c r="E819" s="2287">
        <v>1069</v>
      </c>
      <c r="F819" s="2286">
        <v>1784</v>
      </c>
      <c r="G819" s="2287">
        <v>0</v>
      </c>
      <c r="H819" s="2287">
        <v>844</v>
      </c>
      <c r="I819" s="2287">
        <v>2267</v>
      </c>
      <c r="J819" s="2286">
        <v>2982</v>
      </c>
    </row>
    <row r="820" spans="1:10" s="4722" customFormat="1" ht="13.5">
      <c r="A820" s="2287">
        <v>40750</v>
      </c>
      <c r="B820" s="2286">
        <v>40800</v>
      </c>
      <c r="C820" s="2287">
        <v>0</v>
      </c>
      <c r="D820" s="2287">
        <v>0</v>
      </c>
      <c r="E820" s="2287">
        <v>1059</v>
      </c>
      <c r="F820" s="2286">
        <v>1773</v>
      </c>
      <c r="G820" s="2287">
        <v>0</v>
      </c>
      <c r="H820" s="2287">
        <v>836</v>
      </c>
      <c r="I820" s="2287">
        <v>2257</v>
      </c>
      <c r="J820" s="2286">
        <v>2971</v>
      </c>
    </row>
    <row r="821" spans="1:10" s="4722" customFormat="1" ht="13.5">
      <c r="A821" s="2287">
        <v>40800</v>
      </c>
      <c r="B821" s="2286">
        <v>40850</v>
      </c>
      <c r="C821" s="2287">
        <v>0</v>
      </c>
      <c r="D821" s="2287">
        <v>0</v>
      </c>
      <c r="E821" s="2287">
        <v>1048</v>
      </c>
      <c r="F821" s="2286">
        <v>1763</v>
      </c>
      <c r="G821" s="2287">
        <v>0</v>
      </c>
      <c r="H821" s="2287">
        <v>828</v>
      </c>
      <c r="I821" s="2287">
        <v>2246</v>
      </c>
      <c r="J821" s="2286">
        <v>2961</v>
      </c>
    </row>
    <row r="822" spans="1:10" s="4722" customFormat="1" ht="13.5">
      <c r="A822" s="2287">
        <v>40850</v>
      </c>
      <c r="B822" s="2286">
        <v>40900</v>
      </c>
      <c r="C822" s="2287">
        <v>0</v>
      </c>
      <c r="D822" s="2287">
        <v>0</v>
      </c>
      <c r="E822" s="2287">
        <v>1038</v>
      </c>
      <c r="F822" s="2286">
        <v>1752</v>
      </c>
      <c r="G822" s="2287">
        <v>0</v>
      </c>
      <c r="H822" s="2287">
        <v>821</v>
      </c>
      <c r="I822" s="2287">
        <v>2236</v>
      </c>
      <c r="J822" s="2286">
        <v>2950</v>
      </c>
    </row>
    <row r="823" spans="1:10" s="4722" customFormat="1" ht="13.5">
      <c r="A823" s="2287">
        <v>40900</v>
      </c>
      <c r="B823" s="2286">
        <v>40950</v>
      </c>
      <c r="C823" s="2287">
        <v>0</v>
      </c>
      <c r="D823" s="2287">
        <v>0</v>
      </c>
      <c r="E823" s="2287">
        <v>1027</v>
      </c>
      <c r="F823" s="2286">
        <v>1741</v>
      </c>
      <c r="G823" s="2287">
        <v>0</v>
      </c>
      <c r="H823" s="2287">
        <v>813</v>
      </c>
      <c r="I823" s="2287">
        <v>2225</v>
      </c>
      <c r="J823" s="2286">
        <v>2940</v>
      </c>
    </row>
    <row r="824" spans="1:10" s="4722" customFormat="1" ht="13.5">
      <c r="A824" s="2287">
        <v>40950</v>
      </c>
      <c r="B824" s="2286">
        <v>41000</v>
      </c>
      <c r="C824" s="2287">
        <v>0</v>
      </c>
      <c r="D824" s="2287">
        <v>0</v>
      </c>
      <c r="E824" s="2287">
        <v>1016</v>
      </c>
      <c r="F824" s="2286">
        <v>1731</v>
      </c>
      <c r="G824" s="2287">
        <v>0</v>
      </c>
      <c r="H824" s="2287">
        <v>805</v>
      </c>
      <c r="I824" s="2287">
        <v>2215</v>
      </c>
      <c r="J824" s="2286">
        <v>2929</v>
      </c>
    </row>
    <row r="825" spans="1:10" s="4722" customFormat="1" ht="13.5">
      <c r="A825" s="2287">
        <v>41000</v>
      </c>
      <c r="B825" s="2286">
        <v>41050</v>
      </c>
      <c r="C825" s="2287">
        <v>0</v>
      </c>
      <c r="D825" s="2287">
        <v>0</v>
      </c>
      <c r="E825" s="2287">
        <v>1006</v>
      </c>
      <c r="F825" s="2286">
        <v>1720</v>
      </c>
      <c r="G825" s="2287">
        <v>0</v>
      </c>
      <c r="H825" s="2287">
        <v>797</v>
      </c>
      <c r="I825" s="2287">
        <v>2204</v>
      </c>
      <c r="J825" s="2286">
        <v>2919</v>
      </c>
    </row>
    <row r="826" spans="1:10" s="4722" customFormat="1" ht="13.5">
      <c r="A826" s="2287">
        <v>41050</v>
      </c>
      <c r="B826" s="2286">
        <v>41100</v>
      </c>
      <c r="C826" s="2287">
        <v>0</v>
      </c>
      <c r="D826" s="2287">
        <v>0</v>
      </c>
      <c r="E826" s="2287">
        <v>995</v>
      </c>
      <c r="F826" s="2286">
        <v>1710</v>
      </c>
      <c r="G826" s="2287">
        <v>0</v>
      </c>
      <c r="H826" s="2287">
        <v>789</v>
      </c>
      <c r="I826" s="2287">
        <v>2194</v>
      </c>
      <c r="J826" s="2286">
        <v>2908</v>
      </c>
    </row>
    <row r="827" spans="1:10" s="4722" customFormat="1" ht="13.5">
      <c r="A827" s="2287">
        <v>41100</v>
      </c>
      <c r="B827" s="2286">
        <v>41150</v>
      </c>
      <c r="C827" s="2287">
        <v>0</v>
      </c>
      <c r="D827" s="2287">
        <v>0</v>
      </c>
      <c r="E827" s="2287">
        <v>985</v>
      </c>
      <c r="F827" s="2286">
        <v>1699</v>
      </c>
      <c r="G827" s="2287">
        <v>0</v>
      </c>
      <c r="H827" s="2287">
        <v>781</v>
      </c>
      <c r="I827" s="2287">
        <v>2183</v>
      </c>
      <c r="J827" s="2286">
        <v>2898</v>
      </c>
    </row>
    <row r="828" spans="1:10" s="4722" customFormat="1" ht="13.5">
      <c r="A828" s="2287">
        <v>41150</v>
      </c>
      <c r="B828" s="2286">
        <v>41200</v>
      </c>
      <c r="C828" s="2287">
        <v>0</v>
      </c>
      <c r="D828" s="2287">
        <v>0</v>
      </c>
      <c r="E828" s="2287">
        <v>974</v>
      </c>
      <c r="F828" s="2286">
        <v>1689</v>
      </c>
      <c r="G828" s="2287">
        <v>0</v>
      </c>
      <c r="H828" s="2287">
        <v>773</v>
      </c>
      <c r="I828" s="2287">
        <v>2173</v>
      </c>
      <c r="J828" s="2286">
        <v>2887</v>
      </c>
    </row>
    <row r="829" spans="1:10" s="4722" customFormat="1" ht="13.5">
      <c r="A829" s="2287">
        <v>41200</v>
      </c>
      <c r="B829" s="2286">
        <v>41250</v>
      </c>
      <c r="C829" s="2287">
        <v>0</v>
      </c>
      <c r="D829" s="2287">
        <v>0</v>
      </c>
      <c r="E829" s="2287">
        <v>964</v>
      </c>
      <c r="F829" s="2286">
        <v>1678</v>
      </c>
      <c r="G829" s="2287">
        <v>0</v>
      </c>
      <c r="H829" s="2287">
        <v>765</v>
      </c>
      <c r="I829" s="2287">
        <v>2162</v>
      </c>
      <c r="J829" s="2286">
        <v>2877</v>
      </c>
    </row>
    <row r="830" spans="1:10" s="4722" customFormat="1" ht="13.5">
      <c r="A830" s="2287">
        <v>41250</v>
      </c>
      <c r="B830" s="2286">
        <v>41300</v>
      </c>
      <c r="C830" s="2287">
        <v>0</v>
      </c>
      <c r="D830" s="2287">
        <v>0</v>
      </c>
      <c r="E830" s="2287">
        <v>953</v>
      </c>
      <c r="F830" s="2286">
        <v>1668</v>
      </c>
      <c r="G830" s="2287">
        <v>0</v>
      </c>
      <c r="H830" s="2287">
        <v>757</v>
      </c>
      <c r="I830" s="2287">
        <v>2152</v>
      </c>
      <c r="J830" s="2286">
        <v>2866</v>
      </c>
    </row>
    <row r="831" spans="1:10" s="4722" customFormat="1" ht="13.5">
      <c r="A831" s="2287">
        <v>41300</v>
      </c>
      <c r="B831" s="2286">
        <v>41350</v>
      </c>
      <c r="C831" s="2287">
        <v>0</v>
      </c>
      <c r="D831" s="2287">
        <v>0</v>
      </c>
      <c r="E831" s="2287">
        <v>943</v>
      </c>
      <c r="F831" s="2286">
        <v>1657</v>
      </c>
      <c r="G831" s="2287">
        <v>0</v>
      </c>
      <c r="H831" s="2287">
        <v>749</v>
      </c>
      <c r="I831" s="2287">
        <v>2141</v>
      </c>
      <c r="J831" s="2286">
        <v>2856</v>
      </c>
    </row>
    <row r="832" spans="1:10" s="4722" customFormat="1" ht="13.5">
      <c r="A832" s="2287">
        <v>41350</v>
      </c>
      <c r="B832" s="2286">
        <v>41400</v>
      </c>
      <c r="C832" s="2287">
        <v>0</v>
      </c>
      <c r="D832" s="2287">
        <v>0</v>
      </c>
      <c r="E832" s="2287">
        <v>932</v>
      </c>
      <c r="F832" s="2286">
        <v>1647</v>
      </c>
      <c r="G832" s="2287">
        <v>0</v>
      </c>
      <c r="H832" s="2287">
        <v>741</v>
      </c>
      <c r="I832" s="2287">
        <v>2131</v>
      </c>
      <c r="J832" s="2286">
        <v>2845</v>
      </c>
    </row>
    <row r="833" spans="1:10" s="4722" customFormat="1" ht="13.5">
      <c r="A833" s="2287">
        <v>41400</v>
      </c>
      <c r="B833" s="2286">
        <v>41450</v>
      </c>
      <c r="C833" s="2287">
        <v>0</v>
      </c>
      <c r="D833" s="2287">
        <v>0</v>
      </c>
      <c r="E833" s="2287">
        <v>922</v>
      </c>
      <c r="F833" s="2286">
        <v>1636</v>
      </c>
      <c r="G833" s="2287">
        <v>0</v>
      </c>
      <c r="H833" s="2287">
        <v>733</v>
      </c>
      <c r="I833" s="2287">
        <v>2120</v>
      </c>
      <c r="J833" s="2286">
        <v>2835</v>
      </c>
    </row>
    <row r="834" spans="1:10" s="4722" customFormat="1" ht="13.5">
      <c r="A834" s="2287">
        <v>41450</v>
      </c>
      <c r="B834" s="2286">
        <v>41500</v>
      </c>
      <c r="C834" s="2287">
        <v>0</v>
      </c>
      <c r="D834" s="2287">
        <v>0</v>
      </c>
      <c r="E834" s="2287">
        <v>911</v>
      </c>
      <c r="F834" s="2286">
        <v>1626</v>
      </c>
      <c r="G834" s="2287">
        <v>0</v>
      </c>
      <c r="H834" s="2287">
        <v>725</v>
      </c>
      <c r="I834" s="2287">
        <v>2109</v>
      </c>
      <c r="J834" s="2286">
        <v>2824</v>
      </c>
    </row>
    <row r="835" spans="1:10" s="4722" customFormat="1" ht="13.5">
      <c r="A835" s="2287">
        <v>41500</v>
      </c>
      <c r="B835" s="2286">
        <v>41550</v>
      </c>
      <c r="C835" s="2287">
        <v>0</v>
      </c>
      <c r="D835" s="2287">
        <v>0</v>
      </c>
      <c r="E835" s="2287">
        <v>901</v>
      </c>
      <c r="F835" s="2286">
        <v>1615</v>
      </c>
      <c r="G835" s="2287">
        <v>0</v>
      </c>
      <c r="H835" s="2287">
        <v>717</v>
      </c>
      <c r="I835" s="2287">
        <v>2099</v>
      </c>
      <c r="J835" s="2286">
        <v>2813</v>
      </c>
    </row>
    <row r="836" spans="1:10" s="4722" customFormat="1" ht="13.5">
      <c r="A836" s="2287">
        <v>41550</v>
      </c>
      <c r="B836" s="2286">
        <v>41600</v>
      </c>
      <c r="C836" s="2287">
        <v>0</v>
      </c>
      <c r="D836" s="2287">
        <v>0</v>
      </c>
      <c r="E836" s="2287">
        <v>890</v>
      </c>
      <c r="F836" s="2286">
        <v>1605</v>
      </c>
      <c r="G836" s="2287">
        <v>0</v>
      </c>
      <c r="H836" s="2287">
        <v>709</v>
      </c>
      <c r="I836" s="2287">
        <v>2088</v>
      </c>
      <c r="J836" s="2286">
        <v>2803</v>
      </c>
    </row>
    <row r="837" spans="1:10" s="4722" customFormat="1" ht="13.5">
      <c r="A837" s="2287">
        <v>41600</v>
      </c>
      <c r="B837" s="2286">
        <v>41650</v>
      </c>
      <c r="C837" s="2287">
        <v>0</v>
      </c>
      <c r="D837" s="2287">
        <v>0</v>
      </c>
      <c r="E837" s="2287">
        <v>880</v>
      </c>
      <c r="F837" s="2286">
        <v>1594</v>
      </c>
      <c r="G837" s="2287">
        <v>0</v>
      </c>
      <c r="H837" s="2287">
        <v>701</v>
      </c>
      <c r="I837" s="2287">
        <v>2078</v>
      </c>
      <c r="J837" s="2286">
        <v>2792</v>
      </c>
    </row>
    <row r="838" spans="1:10" s="4722" customFormat="1" ht="13.5">
      <c r="A838" s="2287">
        <v>41650</v>
      </c>
      <c r="B838" s="2286">
        <v>41700</v>
      </c>
      <c r="C838" s="2287">
        <v>0</v>
      </c>
      <c r="D838" s="2287">
        <v>0</v>
      </c>
      <c r="E838" s="2287">
        <v>869</v>
      </c>
      <c r="F838" s="2286">
        <v>1584</v>
      </c>
      <c r="G838" s="2287">
        <v>0</v>
      </c>
      <c r="H838" s="2287">
        <v>693</v>
      </c>
      <c r="I838" s="2287">
        <v>2067</v>
      </c>
      <c r="J838" s="2286">
        <v>2782</v>
      </c>
    </row>
    <row r="839" spans="1:10" s="4722" customFormat="1" ht="13.5">
      <c r="A839" s="2287">
        <v>41700</v>
      </c>
      <c r="B839" s="2286">
        <v>41750</v>
      </c>
      <c r="C839" s="2287">
        <v>0</v>
      </c>
      <c r="D839" s="2287">
        <v>0</v>
      </c>
      <c r="E839" s="2287">
        <v>859</v>
      </c>
      <c r="F839" s="2286">
        <v>1573</v>
      </c>
      <c r="G839" s="2287">
        <v>0</v>
      </c>
      <c r="H839" s="2287">
        <v>685</v>
      </c>
      <c r="I839" s="2287">
        <v>2057</v>
      </c>
      <c r="J839" s="2286">
        <v>2771</v>
      </c>
    </row>
    <row r="840" spans="1:10" s="4722" customFormat="1" ht="13.5">
      <c r="A840" s="2287">
        <v>41750</v>
      </c>
      <c r="B840" s="2286">
        <v>41800</v>
      </c>
      <c r="C840" s="2287">
        <v>0</v>
      </c>
      <c r="D840" s="2287">
        <v>0</v>
      </c>
      <c r="E840" s="2287">
        <v>848</v>
      </c>
      <c r="F840" s="2286">
        <v>1562</v>
      </c>
      <c r="G840" s="2287">
        <v>0</v>
      </c>
      <c r="H840" s="2287">
        <v>677</v>
      </c>
      <c r="I840" s="2287">
        <v>2046</v>
      </c>
      <c r="J840" s="2286">
        <v>2761</v>
      </c>
    </row>
    <row r="841" spans="1:10" s="4722" customFormat="1" ht="13.5">
      <c r="A841" s="2287">
        <v>41800</v>
      </c>
      <c r="B841" s="2286">
        <v>41850</v>
      </c>
      <c r="C841" s="2287">
        <v>0</v>
      </c>
      <c r="D841" s="2287">
        <v>0</v>
      </c>
      <c r="E841" s="2287">
        <v>837</v>
      </c>
      <c r="F841" s="2286">
        <v>1552</v>
      </c>
      <c r="G841" s="2287">
        <v>0</v>
      </c>
      <c r="H841" s="2287">
        <v>669</v>
      </c>
      <c r="I841" s="2287">
        <v>2036</v>
      </c>
      <c r="J841" s="2286">
        <v>2750</v>
      </c>
    </row>
    <row r="842" spans="1:10" s="4722" customFormat="1" ht="13.5">
      <c r="A842" s="2287">
        <v>41850</v>
      </c>
      <c r="B842" s="2286">
        <v>41900</v>
      </c>
      <c r="C842" s="2287">
        <v>0</v>
      </c>
      <c r="D842" s="2287">
        <v>0</v>
      </c>
      <c r="E842" s="2287">
        <v>827</v>
      </c>
      <c r="F842" s="2286">
        <v>1541</v>
      </c>
      <c r="G842" s="2287">
        <v>0</v>
      </c>
      <c r="H842" s="2287">
        <v>661</v>
      </c>
      <c r="I842" s="2287">
        <v>2025</v>
      </c>
      <c r="J842" s="2286">
        <v>2740</v>
      </c>
    </row>
    <row r="843" spans="1:10" s="4722" customFormat="1" ht="13.5">
      <c r="A843" s="2287">
        <v>41900</v>
      </c>
      <c r="B843" s="2286">
        <v>41950</v>
      </c>
      <c r="C843" s="2287">
        <v>0</v>
      </c>
      <c r="D843" s="2287">
        <v>0</v>
      </c>
      <c r="E843" s="2287">
        <v>816</v>
      </c>
      <c r="F843" s="2286">
        <v>1531</v>
      </c>
      <c r="G843" s="2287">
        <v>0</v>
      </c>
      <c r="H843" s="2287">
        <v>653</v>
      </c>
      <c r="I843" s="2287">
        <v>2015</v>
      </c>
      <c r="J843" s="2286">
        <v>2729</v>
      </c>
    </row>
    <row r="844" spans="1:10" s="4722" customFormat="1" ht="13.5">
      <c r="A844" s="2287">
        <v>41950</v>
      </c>
      <c r="B844" s="2286">
        <v>42000</v>
      </c>
      <c r="C844" s="2287">
        <v>0</v>
      </c>
      <c r="D844" s="2287">
        <v>0</v>
      </c>
      <c r="E844" s="2287">
        <v>806</v>
      </c>
      <c r="F844" s="2286">
        <v>1520</v>
      </c>
      <c r="G844" s="2287">
        <v>0</v>
      </c>
      <c r="H844" s="2287">
        <v>645</v>
      </c>
      <c r="I844" s="2287">
        <v>2004</v>
      </c>
      <c r="J844" s="2286">
        <v>2719</v>
      </c>
    </row>
    <row r="845" spans="1:10" s="4722" customFormat="1" ht="13.5">
      <c r="A845" s="2287">
        <v>42000</v>
      </c>
      <c r="B845" s="2286">
        <v>42050</v>
      </c>
      <c r="C845" s="2287">
        <v>0</v>
      </c>
      <c r="D845" s="2287">
        <v>0</v>
      </c>
      <c r="E845" s="2287">
        <v>795</v>
      </c>
      <c r="F845" s="2286">
        <v>1510</v>
      </c>
      <c r="G845" s="2287">
        <v>0</v>
      </c>
      <c r="H845" s="2287">
        <v>637</v>
      </c>
      <c r="I845" s="2287">
        <v>1994</v>
      </c>
      <c r="J845" s="2286">
        <v>2708</v>
      </c>
    </row>
    <row r="846" spans="1:10" s="4722" customFormat="1" ht="13.5">
      <c r="A846" s="2287">
        <v>42050</v>
      </c>
      <c r="B846" s="2286">
        <v>42100</v>
      </c>
      <c r="C846" s="2287">
        <v>0</v>
      </c>
      <c r="D846" s="2287">
        <v>0</v>
      </c>
      <c r="E846" s="2287">
        <v>785</v>
      </c>
      <c r="F846" s="2286">
        <v>1499</v>
      </c>
      <c r="G846" s="2287">
        <v>0</v>
      </c>
      <c r="H846" s="2287">
        <v>629</v>
      </c>
      <c r="I846" s="2287">
        <v>1983</v>
      </c>
      <c r="J846" s="2286">
        <v>2698</v>
      </c>
    </row>
    <row r="847" spans="1:10" s="4722" customFormat="1" ht="13.5">
      <c r="A847" s="2287">
        <v>42100</v>
      </c>
      <c r="B847" s="2286">
        <v>42150</v>
      </c>
      <c r="C847" s="2287">
        <v>0</v>
      </c>
      <c r="D847" s="2287">
        <v>0</v>
      </c>
      <c r="E847" s="2287">
        <v>774</v>
      </c>
      <c r="F847" s="2286">
        <v>1489</v>
      </c>
      <c r="G847" s="2287">
        <v>0</v>
      </c>
      <c r="H847" s="2287">
        <v>621</v>
      </c>
      <c r="I847" s="2287">
        <v>1973</v>
      </c>
      <c r="J847" s="2286">
        <v>2687</v>
      </c>
    </row>
    <row r="848" spans="1:10" s="4722" customFormat="1" ht="13.5">
      <c r="A848" s="2287">
        <v>42150</v>
      </c>
      <c r="B848" s="2286">
        <v>42200</v>
      </c>
      <c r="C848" s="2287">
        <v>0</v>
      </c>
      <c r="D848" s="2287">
        <v>0</v>
      </c>
      <c r="E848" s="2287">
        <v>764</v>
      </c>
      <c r="F848" s="2286">
        <v>1478</v>
      </c>
      <c r="G848" s="2287">
        <v>0</v>
      </c>
      <c r="H848" s="2287">
        <v>613</v>
      </c>
      <c r="I848" s="2287">
        <v>1962</v>
      </c>
      <c r="J848" s="2286">
        <v>2677</v>
      </c>
    </row>
    <row r="849" spans="1:10" s="4722" customFormat="1" ht="13.5">
      <c r="A849" s="2287">
        <v>42200</v>
      </c>
      <c r="B849" s="2286">
        <v>42250</v>
      </c>
      <c r="C849" s="2287">
        <v>0</v>
      </c>
      <c r="D849" s="2287">
        <v>0</v>
      </c>
      <c r="E849" s="2287">
        <v>753</v>
      </c>
      <c r="F849" s="2286">
        <v>1468</v>
      </c>
      <c r="G849" s="2287">
        <v>0</v>
      </c>
      <c r="H849" s="2287">
        <v>605</v>
      </c>
      <c r="I849" s="2287">
        <v>1952</v>
      </c>
      <c r="J849" s="2286">
        <v>2666</v>
      </c>
    </row>
    <row r="850" spans="1:10" s="4722" customFormat="1" ht="13.5">
      <c r="A850" s="2287">
        <v>42250</v>
      </c>
      <c r="B850" s="2286">
        <v>42300</v>
      </c>
      <c r="C850" s="2287">
        <v>0</v>
      </c>
      <c r="D850" s="2287">
        <v>0</v>
      </c>
      <c r="E850" s="2287">
        <v>743</v>
      </c>
      <c r="F850" s="2286">
        <v>1457</v>
      </c>
      <c r="G850" s="2287">
        <v>0</v>
      </c>
      <c r="H850" s="2287">
        <v>597</v>
      </c>
      <c r="I850" s="2287">
        <v>1941</v>
      </c>
      <c r="J850" s="2286">
        <v>2655</v>
      </c>
    </row>
    <row r="851" spans="1:10" s="4722" customFormat="1" ht="13.5">
      <c r="A851" s="2287">
        <v>42300</v>
      </c>
      <c r="B851" s="2286">
        <v>42350</v>
      </c>
      <c r="C851" s="2287">
        <v>0</v>
      </c>
      <c r="D851" s="2287">
        <v>0</v>
      </c>
      <c r="E851" s="2287">
        <v>732</v>
      </c>
      <c r="F851" s="2286">
        <v>1447</v>
      </c>
      <c r="G851" s="2287">
        <v>0</v>
      </c>
      <c r="H851" s="2287">
        <v>589</v>
      </c>
      <c r="I851" s="2287">
        <v>1930</v>
      </c>
      <c r="J851" s="2286">
        <v>2645</v>
      </c>
    </row>
    <row r="852" spans="1:10" s="4722" customFormat="1" ht="13.5">
      <c r="A852" s="2287">
        <v>42350</v>
      </c>
      <c r="B852" s="2286">
        <v>42400</v>
      </c>
      <c r="C852" s="2287">
        <v>0</v>
      </c>
      <c r="D852" s="2287">
        <v>0</v>
      </c>
      <c r="E852" s="2287">
        <v>722</v>
      </c>
      <c r="F852" s="2286">
        <v>1436</v>
      </c>
      <c r="G852" s="2287">
        <v>0</v>
      </c>
      <c r="H852" s="2287">
        <v>581</v>
      </c>
      <c r="I852" s="2287">
        <v>1920</v>
      </c>
      <c r="J852" s="2286">
        <v>2634</v>
      </c>
    </row>
    <row r="853" spans="1:10" s="4722" customFormat="1" ht="13.5">
      <c r="A853" s="2287">
        <v>42400</v>
      </c>
      <c r="B853" s="2286">
        <v>42450</v>
      </c>
      <c r="C853" s="2287">
        <v>0</v>
      </c>
      <c r="D853" s="2287">
        <v>0</v>
      </c>
      <c r="E853" s="2287">
        <v>711</v>
      </c>
      <c r="F853" s="2286">
        <v>1426</v>
      </c>
      <c r="G853" s="2287">
        <v>0</v>
      </c>
      <c r="H853" s="2287">
        <v>573</v>
      </c>
      <c r="I853" s="2287">
        <v>1909</v>
      </c>
      <c r="J853" s="2286">
        <v>2624</v>
      </c>
    </row>
    <row r="854" spans="1:10" s="4722" customFormat="1" ht="13.5">
      <c r="A854" s="2287">
        <v>42450</v>
      </c>
      <c r="B854" s="2286">
        <v>42500</v>
      </c>
      <c r="C854" s="2287">
        <v>0</v>
      </c>
      <c r="D854" s="2287">
        <v>0</v>
      </c>
      <c r="E854" s="2287">
        <v>701</v>
      </c>
      <c r="F854" s="2286">
        <v>1415</v>
      </c>
      <c r="G854" s="2287">
        <v>0</v>
      </c>
      <c r="H854" s="2287">
        <v>565</v>
      </c>
      <c r="I854" s="2287">
        <v>1899</v>
      </c>
      <c r="J854" s="2286">
        <v>2613</v>
      </c>
    </row>
    <row r="855" spans="1:10" s="4722" customFormat="1" ht="13.5">
      <c r="A855" s="2287">
        <v>42500</v>
      </c>
      <c r="B855" s="2286">
        <v>42550</v>
      </c>
      <c r="C855" s="2287">
        <v>0</v>
      </c>
      <c r="D855" s="2287">
        <v>0</v>
      </c>
      <c r="E855" s="2287">
        <v>690</v>
      </c>
      <c r="F855" s="2286">
        <v>1405</v>
      </c>
      <c r="G855" s="2287">
        <v>0</v>
      </c>
      <c r="H855" s="2287">
        <v>557</v>
      </c>
      <c r="I855" s="2287">
        <v>1888</v>
      </c>
      <c r="J855" s="2286">
        <v>2603</v>
      </c>
    </row>
    <row r="856" spans="1:10" s="4722" customFormat="1" ht="13.5">
      <c r="A856" s="2287">
        <v>42550</v>
      </c>
      <c r="B856" s="2286">
        <v>42600</v>
      </c>
      <c r="C856" s="2287">
        <v>0</v>
      </c>
      <c r="D856" s="2287">
        <v>0</v>
      </c>
      <c r="E856" s="2287">
        <v>680</v>
      </c>
      <c r="F856" s="2286">
        <v>1394</v>
      </c>
      <c r="G856" s="2287">
        <v>0</v>
      </c>
      <c r="H856" s="2287">
        <v>549</v>
      </c>
      <c r="I856" s="2287">
        <v>1878</v>
      </c>
      <c r="J856" s="2286">
        <v>2592</v>
      </c>
    </row>
    <row r="857" spans="1:10" s="4722" customFormat="1" ht="13.5">
      <c r="A857" s="2287">
        <v>42600</v>
      </c>
      <c r="B857" s="2286">
        <v>42650</v>
      </c>
      <c r="C857" s="2287">
        <v>0</v>
      </c>
      <c r="D857" s="2287">
        <v>0</v>
      </c>
      <c r="E857" s="2287">
        <v>669</v>
      </c>
      <c r="F857" s="2286">
        <v>1383</v>
      </c>
      <c r="G857" s="2287">
        <v>0</v>
      </c>
      <c r="H857" s="2287">
        <v>541</v>
      </c>
      <c r="I857" s="2287">
        <v>1867</v>
      </c>
      <c r="J857" s="2286">
        <v>2582</v>
      </c>
    </row>
    <row r="858" spans="1:10" s="4722" customFormat="1" ht="13.5">
      <c r="A858" s="2287">
        <v>42650</v>
      </c>
      <c r="B858" s="2286">
        <v>42700</v>
      </c>
      <c r="C858" s="2287">
        <v>0</v>
      </c>
      <c r="D858" s="2287">
        <v>0</v>
      </c>
      <c r="E858" s="2287">
        <v>658</v>
      </c>
      <c r="F858" s="2286">
        <v>1373</v>
      </c>
      <c r="G858" s="2287">
        <v>0</v>
      </c>
      <c r="H858" s="2287">
        <v>533</v>
      </c>
      <c r="I858" s="2287">
        <v>1857</v>
      </c>
      <c r="J858" s="2286">
        <v>2571</v>
      </c>
    </row>
    <row r="859" spans="1:10" s="4722" customFormat="1" ht="13.5">
      <c r="A859" s="2287">
        <v>42700</v>
      </c>
      <c r="B859" s="2286">
        <v>42750</v>
      </c>
      <c r="C859" s="2287">
        <v>0</v>
      </c>
      <c r="D859" s="2287">
        <v>0</v>
      </c>
      <c r="E859" s="2287">
        <v>648</v>
      </c>
      <c r="F859" s="2286">
        <v>1362</v>
      </c>
      <c r="G859" s="2287">
        <v>0</v>
      </c>
      <c r="H859" s="2287">
        <v>525</v>
      </c>
      <c r="I859" s="2287">
        <v>1846</v>
      </c>
      <c r="J859" s="2286">
        <v>2561</v>
      </c>
    </row>
    <row r="860" spans="1:10" s="4722" customFormat="1" ht="13.5">
      <c r="A860" s="2287">
        <v>42750</v>
      </c>
      <c r="B860" s="2286">
        <v>42800</v>
      </c>
      <c r="C860" s="2287">
        <v>0</v>
      </c>
      <c r="D860" s="2287">
        <v>0</v>
      </c>
      <c r="E860" s="2287">
        <v>637</v>
      </c>
      <c r="F860" s="2286">
        <v>1352</v>
      </c>
      <c r="G860" s="2287">
        <v>0</v>
      </c>
      <c r="H860" s="2287">
        <v>517</v>
      </c>
      <c r="I860" s="2287">
        <v>1836</v>
      </c>
      <c r="J860" s="2286">
        <v>2550</v>
      </c>
    </row>
    <row r="861" spans="1:10" s="4722" customFormat="1" ht="13.5">
      <c r="A861" s="2287">
        <v>42800</v>
      </c>
      <c r="B861" s="2286">
        <v>42850</v>
      </c>
      <c r="C861" s="2287">
        <v>0</v>
      </c>
      <c r="D861" s="2287">
        <v>0</v>
      </c>
      <c r="E861" s="2287">
        <v>627</v>
      </c>
      <c r="F861" s="2286">
        <v>1341</v>
      </c>
      <c r="G861" s="2287">
        <v>0</v>
      </c>
      <c r="H861" s="2287">
        <v>509</v>
      </c>
      <c r="I861" s="2287">
        <v>1825</v>
      </c>
      <c r="J861" s="2286">
        <v>2540</v>
      </c>
    </row>
    <row r="862" spans="1:10" s="4722" customFormat="1" ht="13.5">
      <c r="A862" s="2287">
        <v>42850</v>
      </c>
      <c r="B862" s="2286">
        <v>42900</v>
      </c>
      <c r="C862" s="2287">
        <v>0</v>
      </c>
      <c r="D862" s="2287">
        <v>0</v>
      </c>
      <c r="E862" s="2287">
        <v>616</v>
      </c>
      <c r="F862" s="2286">
        <v>1331</v>
      </c>
      <c r="G862" s="2287">
        <v>0</v>
      </c>
      <c r="H862" s="2287">
        <v>501</v>
      </c>
      <c r="I862" s="2287">
        <v>1815</v>
      </c>
      <c r="J862" s="2286">
        <v>2529</v>
      </c>
    </row>
    <row r="863" spans="1:10" s="4722" customFormat="1" ht="13.5">
      <c r="A863" s="2287">
        <v>42900</v>
      </c>
      <c r="B863" s="2286">
        <v>42950</v>
      </c>
      <c r="C863" s="2287">
        <v>0</v>
      </c>
      <c r="D863" s="2287">
        <v>0</v>
      </c>
      <c r="E863" s="2287">
        <v>606</v>
      </c>
      <c r="F863" s="2286">
        <v>1320</v>
      </c>
      <c r="G863" s="2287">
        <v>0</v>
      </c>
      <c r="H863" s="2287">
        <v>493</v>
      </c>
      <c r="I863" s="2287">
        <v>1804</v>
      </c>
      <c r="J863" s="2286">
        <v>2519</v>
      </c>
    </row>
    <row r="864" spans="1:10" s="4722" customFormat="1" ht="13.5">
      <c r="A864" s="2287">
        <v>42950</v>
      </c>
      <c r="B864" s="2286">
        <v>43000</v>
      </c>
      <c r="C864" s="2287">
        <v>0</v>
      </c>
      <c r="D864" s="2287">
        <v>0</v>
      </c>
      <c r="E864" s="2287">
        <v>595</v>
      </c>
      <c r="F864" s="2286">
        <v>1310</v>
      </c>
      <c r="G864" s="2287">
        <v>0</v>
      </c>
      <c r="H864" s="2287">
        <v>485</v>
      </c>
      <c r="I864" s="2287">
        <v>1794</v>
      </c>
      <c r="J864" s="2286">
        <v>2508</v>
      </c>
    </row>
    <row r="865" spans="1:10" s="4722" customFormat="1" ht="13.5">
      <c r="A865" s="2287">
        <v>43000</v>
      </c>
      <c r="B865" s="2286">
        <v>43050</v>
      </c>
      <c r="C865" s="2287">
        <v>0</v>
      </c>
      <c r="D865" s="2287">
        <v>0</v>
      </c>
      <c r="E865" s="2287">
        <v>585</v>
      </c>
      <c r="F865" s="2286">
        <v>1299</v>
      </c>
      <c r="G865" s="2287">
        <v>0</v>
      </c>
      <c r="H865" s="2287">
        <v>477</v>
      </c>
      <c r="I865" s="2287">
        <v>1783</v>
      </c>
      <c r="J865" s="2286">
        <v>2498</v>
      </c>
    </row>
    <row r="866" spans="1:10" s="4722" customFormat="1" ht="13.5">
      <c r="A866" s="2287">
        <v>43050</v>
      </c>
      <c r="B866" s="2286">
        <v>43100</v>
      </c>
      <c r="C866" s="2287">
        <v>0</v>
      </c>
      <c r="D866" s="2287">
        <v>0</v>
      </c>
      <c r="E866" s="2287">
        <v>574</v>
      </c>
      <c r="F866" s="2286">
        <v>1289</v>
      </c>
      <c r="G866" s="2287">
        <v>0</v>
      </c>
      <c r="H866" s="2287">
        <v>469</v>
      </c>
      <c r="I866" s="2287">
        <v>1773</v>
      </c>
      <c r="J866" s="2286">
        <v>2487</v>
      </c>
    </row>
    <row r="867" spans="1:10" s="4722" customFormat="1" ht="13.5">
      <c r="A867" s="2287">
        <v>43100</v>
      </c>
      <c r="B867" s="2286">
        <v>43150</v>
      </c>
      <c r="C867" s="2287">
        <v>0</v>
      </c>
      <c r="D867" s="2287">
        <v>0</v>
      </c>
      <c r="E867" s="2287">
        <v>564</v>
      </c>
      <c r="F867" s="2286">
        <v>1278</v>
      </c>
      <c r="G867" s="2287">
        <v>0</v>
      </c>
      <c r="H867" s="2287">
        <v>461</v>
      </c>
      <c r="I867" s="2287">
        <v>1762</v>
      </c>
      <c r="J867" s="2286">
        <v>2476</v>
      </c>
    </row>
    <row r="868" spans="1:10" s="4722" customFormat="1" ht="13.5">
      <c r="A868" s="2287">
        <v>43150</v>
      </c>
      <c r="B868" s="2286">
        <v>43200</v>
      </c>
      <c r="C868" s="2287">
        <v>0</v>
      </c>
      <c r="D868" s="2287">
        <v>0</v>
      </c>
      <c r="E868" s="2287">
        <v>553</v>
      </c>
      <c r="F868" s="2286">
        <v>1268</v>
      </c>
      <c r="G868" s="2287">
        <v>0</v>
      </c>
      <c r="H868" s="2287">
        <v>453</v>
      </c>
      <c r="I868" s="2287">
        <v>1751</v>
      </c>
      <c r="J868" s="2286">
        <v>2466</v>
      </c>
    </row>
    <row r="869" spans="1:10" s="4722" customFormat="1" ht="13.5">
      <c r="A869" s="2287">
        <v>43200</v>
      </c>
      <c r="B869" s="2286">
        <v>43250</v>
      </c>
      <c r="C869" s="2287">
        <v>0</v>
      </c>
      <c r="D869" s="2287">
        <v>0</v>
      </c>
      <c r="E869" s="2287">
        <v>543</v>
      </c>
      <c r="F869" s="2286">
        <v>1257</v>
      </c>
      <c r="G869" s="2287">
        <v>0</v>
      </c>
      <c r="H869" s="2287">
        <v>445</v>
      </c>
      <c r="I869" s="2287">
        <v>1741</v>
      </c>
      <c r="J869" s="2286">
        <v>2455</v>
      </c>
    </row>
    <row r="870" spans="1:10" s="4722" customFormat="1" ht="13.5">
      <c r="A870" s="2287">
        <v>43250</v>
      </c>
      <c r="B870" s="2286">
        <v>43300</v>
      </c>
      <c r="C870" s="2287">
        <v>0</v>
      </c>
      <c r="D870" s="2287">
        <v>0</v>
      </c>
      <c r="E870" s="2287">
        <v>532</v>
      </c>
      <c r="F870" s="2286">
        <v>1247</v>
      </c>
      <c r="G870" s="2287">
        <v>0</v>
      </c>
      <c r="H870" s="2287">
        <v>437</v>
      </c>
      <c r="I870" s="2287">
        <v>1730</v>
      </c>
      <c r="J870" s="2286">
        <v>2445</v>
      </c>
    </row>
    <row r="871" spans="1:10" s="4722" customFormat="1" ht="13.5">
      <c r="A871" s="2287">
        <v>43300</v>
      </c>
      <c r="B871" s="2286">
        <v>43350</v>
      </c>
      <c r="C871" s="2287">
        <v>0</v>
      </c>
      <c r="D871" s="2287">
        <v>0</v>
      </c>
      <c r="E871" s="2287">
        <v>522</v>
      </c>
      <c r="F871" s="2286">
        <v>1236</v>
      </c>
      <c r="G871" s="2287">
        <v>0</v>
      </c>
      <c r="H871" s="2287">
        <v>429</v>
      </c>
      <c r="I871" s="2287">
        <v>1720</v>
      </c>
      <c r="J871" s="2286">
        <v>2434</v>
      </c>
    </row>
    <row r="872" spans="1:10" s="4722" customFormat="1" ht="13.5">
      <c r="A872" s="2287">
        <v>43350</v>
      </c>
      <c r="B872" s="2286">
        <v>43400</v>
      </c>
      <c r="C872" s="2287">
        <v>0</v>
      </c>
      <c r="D872" s="2287">
        <v>0</v>
      </c>
      <c r="E872" s="2287">
        <v>511</v>
      </c>
      <c r="F872" s="2286">
        <v>1226</v>
      </c>
      <c r="G872" s="2287">
        <v>0</v>
      </c>
      <c r="H872" s="2287">
        <v>421</v>
      </c>
      <c r="I872" s="2287">
        <v>1709</v>
      </c>
      <c r="J872" s="2286">
        <v>2424</v>
      </c>
    </row>
    <row r="873" spans="1:10" s="4722" customFormat="1" ht="13.5">
      <c r="A873" s="2287">
        <v>43400</v>
      </c>
      <c r="B873" s="2286">
        <v>43450</v>
      </c>
      <c r="C873" s="2287">
        <v>0</v>
      </c>
      <c r="D873" s="2287">
        <v>0</v>
      </c>
      <c r="E873" s="2287">
        <v>500</v>
      </c>
      <c r="F873" s="2286">
        <v>1215</v>
      </c>
      <c r="G873" s="2287">
        <v>0</v>
      </c>
      <c r="H873" s="2287">
        <v>413</v>
      </c>
      <c r="I873" s="2287">
        <v>1699</v>
      </c>
      <c r="J873" s="2286">
        <v>2413</v>
      </c>
    </row>
    <row r="874" spans="1:10" s="4722" customFormat="1" ht="13.5">
      <c r="A874" s="2287">
        <v>43450</v>
      </c>
      <c r="B874" s="2286">
        <v>43500</v>
      </c>
      <c r="C874" s="2287">
        <v>0</v>
      </c>
      <c r="D874" s="2287">
        <v>0</v>
      </c>
      <c r="E874" s="2287">
        <v>490</v>
      </c>
      <c r="F874" s="2286">
        <v>1204</v>
      </c>
      <c r="G874" s="2287">
        <v>0</v>
      </c>
      <c r="H874" s="2287">
        <v>405</v>
      </c>
      <c r="I874" s="2287">
        <v>1688</v>
      </c>
      <c r="J874" s="2286">
        <v>2403</v>
      </c>
    </row>
    <row r="875" spans="1:10" s="4722" customFormat="1" ht="13.5">
      <c r="A875" s="2287">
        <v>43500</v>
      </c>
      <c r="B875" s="2286">
        <v>43550</v>
      </c>
      <c r="C875" s="2287">
        <v>0</v>
      </c>
      <c r="D875" s="2287">
        <v>0</v>
      </c>
      <c r="E875" s="2287">
        <v>479</v>
      </c>
      <c r="F875" s="2286">
        <v>1194</v>
      </c>
      <c r="G875" s="2287">
        <v>0</v>
      </c>
      <c r="H875" s="2287">
        <v>397</v>
      </c>
      <c r="I875" s="2287">
        <v>1678</v>
      </c>
      <c r="J875" s="2286">
        <v>2392</v>
      </c>
    </row>
    <row r="876" spans="1:10" s="4722" customFormat="1" ht="13.5">
      <c r="A876" s="2287">
        <v>43550</v>
      </c>
      <c r="B876" s="2286">
        <v>43600</v>
      </c>
      <c r="C876" s="2287">
        <v>0</v>
      </c>
      <c r="D876" s="2287">
        <v>0</v>
      </c>
      <c r="E876" s="2287">
        <v>469</v>
      </c>
      <c r="F876" s="2286">
        <v>1183</v>
      </c>
      <c r="G876" s="2287">
        <v>0</v>
      </c>
      <c r="H876" s="2287">
        <v>389</v>
      </c>
      <c r="I876" s="2287">
        <v>1667</v>
      </c>
      <c r="J876" s="2286">
        <v>2382</v>
      </c>
    </row>
    <row r="877" spans="1:10" s="4722" customFormat="1" ht="13.5">
      <c r="A877" s="2287">
        <v>43600</v>
      </c>
      <c r="B877" s="2286">
        <v>43650</v>
      </c>
      <c r="C877" s="2287">
        <v>0</v>
      </c>
      <c r="D877" s="2287">
        <v>0</v>
      </c>
      <c r="E877" s="2287">
        <v>458</v>
      </c>
      <c r="F877" s="2286">
        <v>1173</v>
      </c>
      <c r="G877" s="2287">
        <v>0</v>
      </c>
      <c r="H877" s="2287">
        <v>381</v>
      </c>
      <c r="I877" s="2287">
        <v>1657</v>
      </c>
      <c r="J877" s="2286">
        <v>2371</v>
      </c>
    </row>
    <row r="878" spans="1:10" s="4722" customFormat="1" ht="13.5">
      <c r="A878" s="2287">
        <v>43650</v>
      </c>
      <c r="B878" s="2286">
        <v>43700</v>
      </c>
      <c r="C878" s="2287">
        <v>0</v>
      </c>
      <c r="D878" s="2287">
        <v>0</v>
      </c>
      <c r="E878" s="2287">
        <v>448</v>
      </c>
      <c r="F878" s="2286">
        <v>1162</v>
      </c>
      <c r="G878" s="2287">
        <v>0</v>
      </c>
      <c r="H878" s="2287">
        <v>373</v>
      </c>
      <c r="I878" s="2287">
        <v>1646</v>
      </c>
      <c r="J878" s="2286">
        <v>2361</v>
      </c>
    </row>
    <row r="879" spans="1:10" s="4722" customFormat="1" ht="13.5">
      <c r="A879" s="2287">
        <v>43700</v>
      </c>
      <c r="B879" s="2286">
        <v>43750</v>
      </c>
      <c r="C879" s="2287">
        <v>0</v>
      </c>
      <c r="D879" s="2287">
        <v>0</v>
      </c>
      <c r="E879" s="2287">
        <v>437</v>
      </c>
      <c r="F879" s="2286">
        <v>1152</v>
      </c>
      <c r="G879" s="2287">
        <v>0</v>
      </c>
      <c r="H879" s="2287">
        <v>365</v>
      </c>
      <c r="I879" s="2287">
        <v>1636</v>
      </c>
      <c r="J879" s="2286">
        <v>2350</v>
      </c>
    </row>
    <row r="880" spans="1:10" s="4722" customFormat="1" ht="13.5">
      <c r="A880" s="2287">
        <v>43750</v>
      </c>
      <c r="B880" s="2286">
        <v>43800</v>
      </c>
      <c r="C880" s="2287">
        <v>0</v>
      </c>
      <c r="D880" s="2287">
        <v>0</v>
      </c>
      <c r="E880" s="2287">
        <v>427</v>
      </c>
      <c r="F880" s="2286">
        <v>1141</v>
      </c>
      <c r="G880" s="2287">
        <v>0</v>
      </c>
      <c r="H880" s="2287">
        <v>357</v>
      </c>
      <c r="I880" s="2287">
        <v>1625</v>
      </c>
      <c r="J880" s="2286">
        <v>2340</v>
      </c>
    </row>
    <row r="881" spans="1:10" s="4722" customFormat="1" ht="13.5">
      <c r="A881" s="2287">
        <v>43800</v>
      </c>
      <c r="B881" s="2286">
        <v>43850</v>
      </c>
      <c r="C881" s="2287">
        <v>0</v>
      </c>
      <c r="D881" s="2287">
        <v>0</v>
      </c>
      <c r="E881" s="2287">
        <v>416</v>
      </c>
      <c r="F881" s="2286">
        <v>1131</v>
      </c>
      <c r="G881" s="2287">
        <v>0</v>
      </c>
      <c r="H881" s="2287">
        <v>349</v>
      </c>
      <c r="I881" s="2287">
        <v>1615</v>
      </c>
      <c r="J881" s="2286">
        <v>2329</v>
      </c>
    </row>
    <row r="882" spans="1:10" s="4722" customFormat="1" ht="13.5">
      <c r="A882" s="2287">
        <v>43850</v>
      </c>
      <c r="B882" s="2286">
        <v>43900</v>
      </c>
      <c r="C882" s="2287">
        <v>0</v>
      </c>
      <c r="D882" s="2287">
        <v>0</v>
      </c>
      <c r="E882" s="2287">
        <v>406</v>
      </c>
      <c r="F882" s="2286">
        <v>1120</v>
      </c>
      <c r="G882" s="2287">
        <v>0</v>
      </c>
      <c r="H882" s="2287">
        <v>341</v>
      </c>
      <c r="I882" s="2287">
        <v>1604</v>
      </c>
      <c r="J882" s="2286">
        <v>2319</v>
      </c>
    </row>
    <row r="883" spans="1:10" s="4722" customFormat="1" ht="13.5">
      <c r="A883" s="2287">
        <v>43900</v>
      </c>
      <c r="B883" s="2286">
        <v>43950</v>
      </c>
      <c r="C883" s="2287">
        <v>0</v>
      </c>
      <c r="D883" s="2287">
        <v>0</v>
      </c>
      <c r="E883" s="2287">
        <v>395</v>
      </c>
      <c r="F883" s="2286">
        <v>1110</v>
      </c>
      <c r="G883" s="2287">
        <v>0</v>
      </c>
      <c r="H883" s="2287">
        <v>333</v>
      </c>
      <c r="I883" s="2287">
        <v>1594</v>
      </c>
      <c r="J883" s="2286">
        <v>2308</v>
      </c>
    </row>
    <row r="884" spans="1:10" s="4722" customFormat="1" ht="13.5">
      <c r="A884" s="2287">
        <v>43950</v>
      </c>
      <c r="B884" s="2286">
        <v>44000</v>
      </c>
      <c r="C884" s="2287">
        <v>0</v>
      </c>
      <c r="D884" s="2287">
        <v>0</v>
      </c>
      <c r="E884" s="2287">
        <v>385</v>
      </c>
      <c r="F884" s="2286">
        <v>1099</v>
      </c>
      <c r="G884" s="2287">
        <v>0</v>
      </c>
      <c r="H884" s="2287">
        <v>325</v>
      </c>
      <c r="I884" s="2287">
        <v>1583</v>
      </c>
      <c r="J884" s="2286">
        <v>2297</v>
      </c>
    </row>
    <row r="885" spans="1:10" s="4722" customFormat="1" ht="13.5">
      <c r="A885" s="2287">
        <v>44000</v>
      </c>
      <c r="B885" s="2286">
        <v>44050</v>
      </c>
      <c r="C885" s="2287">
        <v>0</v>
      </c>
      <c r="D885" s="2287">
        <v>0</v>
      </c>
      <c r="E885" s="2287">
        <v>374</v>
      </c>
      <c r="F885" s="2286">
        <v>1089</v>
      </c>
      <c r="G885" s="2287">
        <v>0</v>
      </c>
      <c r="H885" s="2287">
        <v>317</v>
      </c>
      <c r="I885" s="2287">
        <v>1572</v>
      </c>
      <c r="J885" s="2286">
        <v>2287</v>
      </c>
    </row>
    <row r="886" spans="1:10" s="4722" customFormat="1" ht="13.5">
      <c r="A886" s="2287">
        <v>44050</v>
      </c>
      <c r="B886" s="2286">
        <v>44100</v>
      </c>
      <c r="C886" s="2287">
        <v>0</v>
      </c>
      <c r="D886" s="2287">
        <v>0</v>
      </c>
      <c r="E886" s="2287">
        <v>364</v>
      </c>
      <c r="F886" s="2286">
        <v>1078</v>
      </c>
      <c r="G886" s="2287">
        <v>0</v>
      </c>
      <c r="H886" s="2287">
        <v>309</v>
      </c>
      <c r="I886" s="2287">
        <v>1562</v>
      </c>
      <c r="J886" s="2286">
        <v>2276</v>
      </c>
    </row>
    <row r="887" spans="1:10" s="4722" customFormat="1" ht="13.5">
      <c r="A887" s="2287">
        <v>44100</v>
      </c>
      <c r="B887" s="2286">
        <v>44150</v>
      </c>
      <c r="C887" s="2287">
        <v>0</v>
      </c>
      <c r="D887" s="2287">
        <v>0</v>
      </c>
      <c r="E887" s="2287">
        <v>353</v>
      </c>
      <c r="F887" s="2286">
        <v>1068</v>
      </c>
      <c r="G887" s="2287">
        <v>0</v>
      </c>
      <c r="H887" s="2287">
        <v>301</v>
      </c>
      <c r="I887" s="2287">
        <v>1551</v>
      </c>
      <c r="J887" s="2286">
        <v>2266</v>
      </c>
    </row>
    <row r="888" spans="1:10" s="4722" customFormat="1" ht="13.5">
      <c r="A888" s="2287">
        <v>44150</v>
      </c>
      <c r="B888" s="2286">
        <v>44200</v>
      </c>
      <c r="C888" s="2287">
        <v>0</v>
      </c>
      <c r="D888" s="2287">
        <v>0</v>
      </c>
      <c r="E888" s="2287">
        <v>343</v>
      </c>
      <c r="F888" s="2286">
        <v>1057</v>
      </c>
      <c r="G888" s="2287">
        <v>0</v>
      </c>
      <c r="H888" s="2287">
        <v>293</v>
      </c>
      <c r="I888" s="2287">
        <v>1541</v>
      </c>
      <c r="J888" s="2286">
        <v>2255</v>
      </c>
    </row>
    <row r="889" spans="1:10" s="4722" customFormat="1" ht="13.5">
      <c r="A889" s="2287">
        <v>44200</v>
      </c>
      <c r="B889" s="2286">
        <v>44250</v>
      </c>
      <c r="C889" s="2287">
        <v>0</v>
      </c>
      <c r="D889" s="2287">
        <v>0</v>
      </c>
      <c r="E889" s="2287">
        <v>332</v>
      </c>
      <c r="F889" s="2286">
        <v>1047</v>
      </c>
      <c r="G889" s="2287">
        <v>0</v>
      </c>
      <c r="H889" s="2287">
        <v>285</v>
      </c>
      <c r="I889" s="2287">
        <v>1530</v>
      </c>
      <c r="J889" s="2286">
        <v>2245</v>
      </c>
    </row>
    <row r="890" spans="1:10" s="4722" customFormat="1" ht="13.5">
      <c r="A890" s="2287">
        <v>44250</v>
      </c>
      <c r="B890" s="2286">
        <v>44300</v>
      </c>
      <c r="C890" s="2287">
        <v>0</v>
      </c>
      <c r="D890" s="2287">
        <v>0</v>
      </c>
      <c r="E890" s="2287">
        <v>321</v>
      </c>
      <c r="F890" s="2286">
        <v>1036</v>
      </c>
      <c r="G890" s="2287">
        <v>0</v>
      </c>
      <c r="H890" s="2287">
        <v>277</v>
      </c>
      <c r="I890" s="2287">
        <v>1520</v>
      </c>
      <c r="J890" s="2286">
        <v>2234</v>
      </c>
    </row>
    <row r="891" spans="1:10" s="4722" customFormat="1" ht="13.5">
      <c r="A891" s="2287">
        <v>44300</v>
      </c>
      <c r="B891" s="2286">
        <v>44350</v>
      </c>
      <c r="C891" s="2287">
        <v>0</v>
      </c>
      <c r="D891" s="2287">
        <v>0</v>
      </c>
      <c r="E891" s="2287">
        <v>311</v>
      </c>
      <c r="F891" s="2286">
        <v>1025</v>
      </c>
      <c r="G891" s="2287">
        <v>0</v>
      </c>
      <c r="H891" s="2287">
        <v>269</v>
      </c>
      <c r="I891" s="2287">
        <v>1509</v>
      </c>
      <c r="J891" s="2286">
        <v>2224</v>
      </c>
    </row>
    <row r="892" spans="1:10" s="4722" customFormat="1" ht="13.5">
      <c r="A892" s="2287">
        <v>44350</v>
      </c>
      <c r="B892" s="2286">
        <v>44400</v>
      </c>
      <c r="C892" s="2287">
        <v>0</v>
      </c>
      <c r="D892" s="2287">
        <v>0</v>
      </c>
      <c r="E892" s="2287">
        <v>300</v>
      </c>
      <c r="F892" s="2286">
        <v>1015</v>
      </c>
      <c r="G892" s="2287">
        <v>0</v>
      </c>
      <c r="H892" s="2287">
        <v>261</v>
      </c>
      <c r="I892" s="2287">
        <v>1499</v>
      </c>
      <c r="J892" s="2286">
        <v>2213</v>
      </c>
    </row>
    <row r="893" spans="1:10" s="4722" customFormat="1" ht="13.5">
      <c r="A893" s="2287">
        <v>44400</v>
      </c>
      <c r="B893" s="2286">
        <v>44450</v>
      </c>
      <c r="C893" s="2287">
        <v>0</v>
      </c>
      <c r="D893" s="2287">
        <v>0</v>
      </c>
      <c r="E893" s="2287">
        <v>290</v>
      </c>
      <c r="F893" s="2286">
        <v>1004</v>
      </c>
      <c r="G893" s="2287">
        <v>0</v>
      </c>
      <c r="H893" s="2287">
        <v>253</v>
      </c>
      <c r="I893" s="2287">
        <v>1488</v>
      </c>
      <c r="J893" s="2286">
        <v>2203</v>
      </c>
    </row>
    <row r="894" spans="1:10" s="4722" customFormat="1" ht="13.5">
      <c r="A894" s="2287">
        <v>44450</v>
      </c>
      <c r="B894" s="2286">
        <v>44500</v>
      </c>
      <c r="C894" s="2287">
        <v>0</v>
      </c>
      <c r="D894" s="2287">
        <v>0</v>
      </c>
      <c r="E894" s="2287">
        <v>279</v>
      </c>
      <c r="F894" s="2286">
        <v>994</v>
      </c>
      <c r="G894" s="2287">
        <v>0</v>
      </c>
      <c r="H894" s="2287">
        <v>245</v>
      </c>
      <c r="I894" s="2287">
        <v>1478</v>
      </c>
      <c r="J894" s="2286">
        <v>2192</v>
      </c>
    </row>
    <row r="895" spans="1:10" s="4722" customFormat="1" ht="13.5">
      <c r="A895" s="2287">
        <v>44500</v>
      </c>
      <c r="B895" s="2286">
        <v>44550</v>
      </c>
      <c r="C895" s="2287">
        <v>0</v>
      </c>
      <c r="D895" s="2287">
        <v>0</v>
      </c>
      <c r="E895" s="2287">
        <v>269</v>
      </c>
      <c r="F895" s="2286">
        <v>983</v>
      </c>
      <c r="G895" s="2287">
        <v>0</v>
      </c>
      <c r="H895" s="2287">
        <v>237</v>
      </c>
      <c r="I895" s="2287">
        <v>1467</v>
      </c>
      <c r="J895" s="2286">
        <v>2182</v>
      </c>
    </row>
    <row r="896" spans="1:10" s="4722" customFormat="1" ht="13.5">
      <c r="A896" s="2287">
        <v>44550</v>
      </c>
      <c r="B896" s="2286">
        <v>44600</v>
      </c>
      <c r="C896" s="2287">
        <v>0</v>
      </c>
      <c r="D896" s="2287">
        <v>0</v>
      </c>
      <c r="E896" s="2287">
        <v>258</v>
      </c>
      <c r="F896" s="2286">
        <v>973</v>
      </c>
      <c r="G896" s="2287">
        <v>0</v>
      </c>
      <c r="H896" s="2287">
        <v>229</v>
      </c>
      <c r="I896" s="2287">
        <v>1457</v>
      </c>
      <c r="J896" s="2286">
        <v>2171</v>
      </c>
    </row>
    <row r="897" spans="1:10" s="4722" customFormat="1" ht="13.5">
      <c r="A897" s="2287">
        <v>44600</v>
      </c>
      <c r="B897" s="2286">
        <v>44650</v>
      </c>
      <c r="C897" s="2287">
        <v>0</v>
      </c>
      <c r="D897" s="2287">
        <v>0</v>
      </c>
      <c r="E897" s="2287">
        <v>248</v>
      </c>
      <c r="F897" s="2286">
        <v>962</v>
      </c>
      <c r="G897" s="2287">
        <v>0</v>
      </c>
      <c r="H897" s="2287">
        <v>221</v>
      </c>
      <c r="I897" s="2287">
        <v>1446</v>
      </c>
      <c r="J897" s="2286">
        <v>2161</v>
      </c>
    </row>
    <row r="898" spans="1:10" s="4722" customFormat="1" ht="13.5">
      <c r="A898" s="2287">
        <v>44650</v>
      </c>
      <c r="B898" s="2286">
        <v>44700</v>
      </c>
      <c r="C898" s="2287">
        <v>0</v>
      </c>
      <c r="D898" s="2287">
        <v>0</v>
      </c>
      <c r="E898" s="2287">
        <v>237</v>
      </c>
      <c r="F898" s="2286">
        <v>952</v>
      </c>
      <c r="G898" s="2287">
        <v>0</v>
      </c>
      <c r="H898" s="2287">
        <v>213</v>
      </c>
      <c r="I898" s="2287">
        <v>1436</v>
      </c>
      <c r="J898" s="2286">
        <v>2150</v>
      </c>
    </row>
    <row r="899" spans="1:10" s="4722" customFormat="1" ht="13.5">
      <c r="A899" s="2287">
        <v>44700</v>
      </c>
      <c r="B899" s="2286">
        <v>44750</v>
      </c>
      <c r="C899" s="2287">
        <v>0</v>
      </c>
      <c r="D899" s="2287">
        <v>0</v>
      </c>
      <c r="E899" s="2287">
        <v>227</v>
      </c>
      <c r="F899" s="2286">
        <v>941</v>
      </c>
      <c r="G899" s="2287">
        <v>0</v>
      </c>
      <c r="H899" s="2287">
        <v>205</v>
      </c>
      <c r="I899" s="2287">
        <v>1425</v>
      </c>
      <c r="J899" s="2286">
        <v>2140</v>
      </c>
    </row>
    <row r="900" spans="1:10" s="4722" customFormat="1" ht="13.5">
      <c r="A900" s="2287">
        <v>44750</v>
      </c>
      <c r="B900" s="2286">
        <v>44800</v>
      </c>
      <c r="C900" s="2287">
        <v>0</v>
      </c>
      <c r="D900" s="2287">
        <v>0</v>
      </c>
      <c r="E900" s="2287">
        <v>216</v>
      </c>
      <c r="F900" s="2286">
        <v>931</v>
      </c>
      <c r="G900" s="2287">
        <v>0</v>
      </c>
      <c r="H900" s="2287">
        <v>197</v>
      </c>
      <c r="I900" s="2287">
        <v>1414</v>
      </c>
      <c r="J900" s="2286">
        <v>2129</v>
      </c>
    </row>
    <row r="901" spans="1:10" s="4722" customFormat="1" ht="13.5">
      <c r="A901" s="2287">
        <v>44800</v>
      </c>
      <c r="B901" s="2286">
        <v>44850</v>
      </c>
      <c r="C901" s="2287">
        <v>0</v>
      </c>
      <c r="D901" s="2287">
        <v>0</v>
      </c>
      <c r="E901" s="2287">
        <v>206</v>
      </c>
      <c r="F901" s="2286">
        <v>920</v>
      </c>
      <c r="G901" s="2287">
        <v>0</v>
      </c>
      <c r="H901" s="2287">
        <v>189</v>
      </c>
      <c r="I901" s="2287">
        <v>1404</v>
      </c>
      <c r="J901" s="2286">
        <v>2118</v>
      </c>
    </row>
    <row r="902" spans="1:10" s="4722" customFormat="1" ht="13.5">
      <c r="A902" s="2287">
        <v>44850</v>
      </c>
      <c r="B902" s="2286">
        <v>44900</v>
      </c>
      <c r="C902" s="2287">
        <v>0</v>
      </c>
      <c r="D902" s="2287">
        <v>0</v>
      </c>
      <c r="E902" s="2287">
        <v>195</v>
      </c>
      <c r="F902" s="2286">
        <v>910</v>
      </c>
      <c r="G902" s="2287">
        <v>0</v>
      </c>
      <c r="H902" s="2287">
        <v>181</v>
      </c>
      <c r="I902" s="2287">
        <v>1393</v>
      </c>
      <c r="J902" s="2286">
        <v>2108</v>
      </c>
    </row>
    <row r="903" spans="1:10" s="4722" customFormat="1" ht="13.5">
      <c r="A903" s="2287">
        <v>44900</v>
      </c>
      <c r="B903" s="2286">
        <v>44950</v>
      </c>
      <c r="C903" s="2287">
        <v>0</v>
      </c>
      <c r="D903" s="2287">
        <v>0</v>
      </c>
      <c r="E903" s="2287">
        <v>185</v>
      </c>
      <c r="F903" s="2286">
        <v>899</v>
      </c>
      <c r="G903" s="2287">
        <v>0</v>
      </c>
      <c r="H903" s="2287">
        <v>173</v>
      </c>
      <c r="I903" s="2287">
        <v>1383</v>
      </c>
      <c r="J903" s="2286">
        <v>2097</v>
      </c>
    </row>
    <row r="904" spans="1:10" s="4722" customFormat="1" ht="13.5">
      <c r="A904" s="2287">
        <v>44950</v>
      </c>
      <c r="B904" s="2286">
        <v>45000</v>
      </c>
      <c r="C904" s="2287">
        <v>0</v>
      </c>
      <c r="D904" s="2287">
        <v>0</v>
      </c>
      <c r="E904" s="2287">
        <v>174</v>
      </c>
      <c r="F904" s="2286">
        <v>889</v>
      </c>
      <c r="G904" s="2287">
        <v>0</v>
      </c>
      <c r="H904" s="2287">
        <v>165</v>
      </c>
      <c r="I904" s="2287">
        <v>1372</v>
      </c>
      <c r="J904" s="2286">
        <v>2087</v>
      </c>
    </row>
    <row r="905" spans="1:10" s="4722" customFormat="1" ht="13.5">
      <c r="A905" s="2287">
        <v>45000</v>
      </c>
      <c r="B905" s="2286">
        <v>45050</v>
      </c>
      <c r="C905" s="2287">
        <v>0</v>
      </c>
      <c r="D905" s="2287">
        <v>0</v>
      </c>
      <c r="E905" s="2287">
        <v>164</v>
      </c>
      <c r="F905" s="2286">
        <v>878</v>
      </c>
      <c r="G905" s="2287">
        <v>0</v>
      </c>
      <c r="H905" s="2287">
        <v>157</v>
      </c>
      <c r="I905" s="2287">
        <v>1362</v>
      </c>
      <c r="J905" s="2286">
        <v>2076</v>
      </c>
    </row>
    <row r="906" spans="1:10" s="4722" customFormat="1" ht="13.5">
      <c r="A906" s="2287">
        <v>45050</v>
      </c>
      <c r="B906" s="2286">
        <v>45100</v>
      </c>
      <c r="C906" s="2287">
        <v>0</v>
      </c>
      <c r="D906" s="2287">
        <v>0</v>
      </c>
      <c r="E906" s="2287">
        <v>153</v>
      </c>
      <c r="F906" s="2286">
        <v>868</v>
      </c>
      <c r="G906" s="2287">
        <v>0</v>
      </c>
      <c r="H906" s="2287">
        <v>149</v>
      </c>
      <c r="I906" s="2287">
        <v>1351</v>
      </c>
      <c r="J906" s="2286">
        <v>2066</v>
      </c>
    </row>
    <row r="907" spans="1:10" s="4722" customFormat="1" ht="13.5">
      <c r="A907" s="2287">
        <v>45100</v>
      </c>
      <c r="B907" s="2286">
        <v>45150</v>
      </c>
      <c r="C907" s="2287">
        <v>0</v>
      </c>
      <c r="D907" s="2287">
        <v>0</v>
      </c>
      <c r="E907" s="2287">
        <v>142</v>
      </c>
      <c r="F907" s="2286">
        <v>857</v>
      </c>
      <c r="G907" s="2287">
        <v>0</v>
      </c>
      <c r="H907" s="2287">
        <v>141</v>
      </c>
      <c r="I907" s="2287">
        <v>1341</v>
      </c>
      <c r="J907" s="2286">
        <v>2055</v>
      </c>
    </row>
    <row r="908" spans="1:10" s="4722" customFormat="1" ht="13.5">
      <c r="A908" s="2287">
        <v>45150</v>
      </c>
      <c r="B908" s="2286">
        <v>45200</v>
      </c>
      <c r="C908" s="2287">
        <v>0</v>
      </c>
      <c r="D908" s="2287">
        <v>0</v>
      </c>
      <c r="E908" s="2287">
        <v>132</v>
      </c>
      <c r="F908" s="2286">
        <v>846</v>
      </c>
      <c r="G908" s="2287">
        <v>0</v>
      </c>
      <c r="H908" s="2287">
        <v>133</v>
      </c>
      <c r="I908" s="2287">
        <v>1330</v>
      </c>
      <c r="J908" s="2286">
        <v>2045</v>
      </c>
    </row>
    <row r="909" spans="1:10" s="4722" customFormat="1" ht="13.5">
      <c r="A909" s="2287">
        <v>45200</v>
      </c>
      <c r="B909" s="2286">
        <v>45250</v>
      </c>
      <c r="C909" s="2287">
        <v>0</v>
      </c>
      <c r="D909" s="2287">
        <v>0</v>
      </c>
      <c r="E909" s="2287">
        <v>121</v>
      </c>
      <c r="F909" s="2286">
        <v>836</v>
      </c>
      <c r="G909" s="2287">
        <v>0</v>
      </c>
      <c r="H909" s="2287">
        <v>125</v>
      </c>
      <c r="I909" s="2287">
        <v>1320</v>
      </c>
      <c r="J909" s="2286">
        <v>2034</v>
      </c>
    </row>
    <row r="910" spans="1:10" s="4722" customFormat="1" ht="13.5">
      <c r="A910" s="2287">
        <v>45250</v>
      </c>
      <c r="B910" s="2286">
        <v>45300</v>
      </c>
      <c r="C910" s="2287">
        <v>0</v>
      </c>
      <c r="D910" s="2287">
        <v>0</v>
      </c>
      <c r="E910" s="2287">
        <v>111</v>
      </c>
      <c r="F910" s="2286">
        <v>825</v>
      </c>
      <c r="G910" s="2287">
        <v>0</v>
      </c>
      <c r="H910" s="2287">
        <v>117</v>
      </c>
      <c r="I910" s="2287">
        <v>1309</v>
      </c>
      <c r="J910" s="2286">
        <v>2024</v>
      </c>
    </row>
    <row r="911" spans="1:10" s="4722" customFormat="1" ht="13.5">
      <c r="A911" s="2287">
        <v>45300</v>
      </c>
      <c r="B911" s="2286">
        <v>45350</v>
      </c>
      <c r="C911" s="2287">
        <v>0</v>
      </c>
      <c r="D911" s="2287">
        <v>0</v>
      </c>
      <c r="E911" s="2287">
        <v>100</v>
      </c>
      <c r="F911" s="2286">
        <v>815</v>
      </c>
      <c r="G911" s="2287">
        <v>0</v>
      </c>
      <c r="H911" s="2287">
        <v>109</v>
      </c>
      <c r="I911" s="2287">
        <v>1299</v>
      </c>
      <c r="J911" s="2286">
        <v>2013</v>
      </c>
    </row>
    <row r="912" spans="1:10" s="4722" customFormat="1" ht="13.5">
      <c r="A912" s="2287">
        <v>45350</v>
      </c>
      <c r="B912" s="2286">
        <v>45400</v>
      </c>
      <c r="C912" s="2287">
        <v>0</v>
      </c>
      <c r="D912" s="2287">
        <v>0</v>
      </c>
      <c r="E912" s="2287">
        <v>90</v>
      </c>
      <c r="F912" s="2286">
        <v>804</v>
      </c>
      <c r="G912" s="2287">
        <v>0</v>
      </c>
      <c r="H912" s="2287">
        <v>101</v>
      </c>
      <c r="I912" s="2287">
        <v>1288</v>
      </c>
      <c r="J912" s="2286">
        <v>2003</v>
      </c>
    </row>
    <row r="913" spans="1:10" s="4722" customFormat="1" ht="13.5">
      <c r="A913" s="2287">
        <v>45400</v>
      </c>
      <c r="B913" s="2286">
        <v>45450</v>
      </c>
      <c r="C913" s="2287">
        <v>0</v>
      </c>
      <c r="D913" s="2287">
        <v>0</v>
      </c>
      <c r="E913" s="2287">
        <v>79</v>
      </c>
      <c r="F913" s="2286">
        <v>794</v>
      </c>
      <c r="G913" s="2287">
        <v>0</v>
      </c>
      <c r="H913" s="2287">
        <v>93</v>
      </c>
      <c r="I913" s="2287">
        <v>1278</v>
      </c>
      <c r="J913" s="2286">
        <v>1992</v>
      </c>
    </row>
    <row r="914" spans="1:10" s="4722" customFormat="1" ht="13.5">
      <c r="A914" s="2287">
        <v>45450</v>
      </c>
      <c r="B914" s="2286">
        <v>45500</v>
      </c>
      <c r="C914" s="2287">
        <v>0</v>
      </c>
      <c r="D914" s="2287">
        <v>0</v>
      </c>
      <c r="E914" s="2287">
        <v>69</v>
      </c>
      <c r="F914" s="2286">
        <v>783</v>
      </c>
      <c r="G914" s="2287">
        <v>0</v>
      </c>
      <c r="H914" s="2287">
        <v>85</v>
      </c>
      <c r="I914" s="2287">
        <v>1267</v>
      </c>
      <c r="J914" s="2286">
        <v>1982</v>
      </c>
    </row>
    <row r="915" spans="1:10" s="4722" customFormat="1" ht="13.5">
      <c r="A915" s="2287">
        <v>45500</v>
      </c>
      <c r="B915" s="2286">
        <v>45550</v>
      </c>
      <c r="C915" s="2287">
        <v>0</v>
      </c>
      <c r="D915" s="2287">
        <v>0</v>
      </c>
      <c r="E915" s="2287">
        <v>58</v>
      </c>
      <c r="F915" s="2286">
        <v>773</v>
      </c>
      <c r="G915" s="2287">
        <v>0</v>
      </c>
      <c r="H915" s="2287">
        <v>77</v>
      </c>
      <c r="I915" s="2287">
        <v>1257</v>
      </c>
      <c r="J915" s="2286">
        <v>1971</v>
      </c>
    </row>
    <row r="916" spans="1:10" s="4722" customFormat="1" ht="13.5">
      <c r="A916" s="2287">
        <v>45550</v>
      </c>
      <c r="B916" s="2286">
        <v>45600</v>
      </c>
      <c r="C916" s="2287">
        <v>0</v>
      </c>
      <c r="D916" s="2287">
        <v>0</v>
      </c>
      <c r="E916" s="2287">
        <v>48</v>
      </c>
      <c r="F916" s="2286">
        <v>762</v>
      </c>
      <c r="G916" s="2287">
        <v>0</v>
      </c>
      <c r="H916" s="2287">
        <v>69</v>
      </c>
      <c r="I916" s="2287">
        <v>1246</v>
      </c>
      <c r="J916" s="2286">
        <v>1961</v>
      </c>
    </row>
    <row r="917" spans="1:10" s="4722" customFormat="1" ht="13.5">
      <c r="A917" s="2287">
        <v>45600</v>
      </c>
      <c r="B917" s="2286">
        <v>45650</v>
      </c>
      <c r="C917" s="2287">
        <v>0</v>
      </c>
      <c r="D917" s="2287">
        <v>0</v>
      </c>
      <c r="E917" s="2287">
        <v>37</v>
      </c>
      <c r="F917" s="2286">
        <v>752</v>
      </c>
      <c r="G917" s="2287">
        <v>0</v>
      </c>
      <c r="H917" s="2287">
        <v>61</v>
      </c>
      <c r="I917" s="2287">
        <v>1235</v>
      </c>
      <c r="J917" s="2286">
        <v>1950</v>
      </c>
    </row>
    <row r="918" spans="1:10" s="4722" customFormat="1" ht="13.5">
      <c r="A918" s="2287">
        <v>45650</v>
      </c>
      <c r="B918" s="2286">
        <v>45700</v>
      </c>
      <c r="C918" s="2287">
        <v>0</v>
      </c>
      <c r="D918" s="2287">
        <v>0</v>
      </c>
      <c r="E918" s="2287">
        <v>27</v>
      </c>
      <c r="F918" s="2286">
        <v>741</v>
      </c>
      <c r="G918" s="2287">
        <v>0</v>
      </c>
      <c r="H918" s="2287">
        <v>53</v>
      </c>
      <c r="I918" s="2287">
        <v>1225</v>
      </c>
      <c r="J918" s="2286">
        <v>1939</v>
      </c>
    </row>
    <row r="919" spans="1:10" s="4722" customFormat="1" ht="13.5">
      <c r="A919" s="2287">
        <v>45700</v>
      </c>
      <c r="B919" s="2286">
        <v>45750</v>
      </c>
      <c r="C919" s="2287">
        <v>0</v>
      </c>
      <c r="D919" s="2287">
        <v>0</v>
      </c>
      <c r="E919" s="2287">
        <v>16</v>
      </c>
      <c r="F919" s="2286">
        <v>731</v>
      </c>
      <c r="G919" s="2287">
        <v>0</v>
      </c>
      <c r="H919" s="2287">
        <v>45</v>
      </c>
      <c r="I919" s="2287">
        <v>1214</v>
      </c>
      <c r="J919" s="2286">
        <v>1929</v>
      </c>
    </row>
    <row r="920" spans="1:10" s="4722" customFormat="1" ht="13.5">
      <c r="A920" s="2287">
        <v>45750</v>
      </c>
      <c r="B920" s="2286">
        <v>45800</v>
      </c>
      <c r="C920" s="2287">
        <v>0</v>
      </c>
      <c r="D920" s="2287">
        <v>0</v>
      </c>
      <c r="E920" s="2287">
        <v>6</v>
      </c>
      <c r="F920" s="2286">
        <v>720</v>
      </c>
      <c r="G920" s="2287">
        <v>0</v>
      </c>
      <c r="H920" s="2287">
        <v>37</v>
      </c>
      <c r="I920" s="2287">
        <v>1204</v>
      </c>
      <c r="J920" s="2286">
        <v>1918</v>
      </c>
    </row>
    <row r="921" spans="1:10" s="4722" customFormat="1" ht="13.5">
      <c r="A921" s="2287">
        <v>45800</v>
      </c>
      <c r="B921" s="2286">
        <v>45802</v>
      </c>
      <c r="C921" s="2287">
        <v>0</v>
      </c>
      <c r="D921" s="2287">
        <v>0</v>
      </c>
      <c r="E921" s="2287">
        <v>0</v>
      </c>
      <c r="F921" s="2286">
        <v>710</v>
      </c>
      <c r="G921" s="2287">
        <v>0</v>
      </c>
      <c r="H921" s="2287">
        <v>29</v>
      </c>
      <c r="I921" s="2287">
        <v>1193</v>
      </c>
      <c r="J921" s="2286">
        <v>1908</v>
      </c>
    </row>
    <row r="922" spans="1:10" s="4722" customFormat="1" ht="13.5">
      <c r="A922" s="2287">
        <v>45802</v>
      </c>
      <c r="B922" s="2286">
        <v>45850</v>
      </c>
      <c r="C922" s="2287">
        <v>0</v>
      </c>
      <c r="D922" s="2287">
        <v>0</v>
      </c>
      <c r="E922" s="2287">
        <v>0</v>
      </c>
      <c r="F922" s="2286">
        <v>710</v>
      </c>
      <c r="G922" s="2287">
        <v>0</v>
      </c>
      <c r="H922" s="2287">
        <v>29</v>
      </c>
      <c r="I922" s="2287">
        <v>1193</v>
      </c>
      <c r="J922" s="2286">
        <v>1908</v>
      </c>
    </row>
    <row r="923" spans="1:10" s="4722" customFormat="1" ht="13.5">
      <c r="A923" s="2287">
        <v>45850</v>
      </c>
      <c r="B923" s="2286">
        <v>45900</v>
      </c>
      <c r="C923" s="2287">
        <v>0</v>
      </c>
      <c r="D923" s="2287">
        <v>0</v>
      </c>
      <c r="E923" s="2287">
        <v>0</v>
      </c>
      <c r="F923" s="2286">
        <v>699</v>
      </c>
      <c r="G923" s="2287">
        <v>0</v>
      </c>
      <c r="H923" s="2287">
        <v>22</v>
      </c>
      <c r="I923" s="2287">
        <v>1183</v>
      </c>
      <c r="J923" s="2286">
        <v>1897</v>
      </c>
    </row>
    <row r="924" spans="1:10" s="4722" customFormat="1" ht="13.5">
      <c r="A924" s="2287">
        <v>45900</v>
      </c>
      <c r="B924" s="2286">
        <v>45950</v>
      </c>
      <c r="C924" s="2287">
        <v>0</v>
      </c>
      <c r="D924" s="2287">
        <v>0</v>
      </c>
      <c r="E924" s="2287">
        <v>0</v>
      </c>
      <c r="F924" s="2286">
        <v>688</v>
      </c>
      <c r="G924" s="2287">
        <v>0</v>
      </c>
      <c r="H924" s="2287">
        <v>14</v>
      </c>
      <c r="I924" s="2287">
        <v>1172</v>
      </c>
      <c r="J924" s="2286">
        <v>1887</v>
      </c>
    </row>
    <row r="925" spans="1:10" s="4722" customFormat="1" ht="13.5">
      <c r="A925" s="2287">
        <v>45950</v>
      </c>
      <c r="B925" s="2286">
        <v>46000</v>
      </c>
      <c r="C925" s="2287">
        <v>0</v>
      </c>
      <c r="D925" s="2287">
        <v>0</v>
      </c>
      <c r="E925" s="2287">
        <v>0</v>
      </c>
      <c r="F925" s="2286">
        <v>678</v>
      </c>
      <c r="G925" s="2287">
        <v>0</v>
      </c>
      <c r="H925" s="2287">
        <v>6</v>
      </c>
      <c r="I925" s="2287">
        <v>1162</v>
      </c>
      <c r="J925" s="2286">
        <v>1876</v>
      </c>
    </row>
    <row r="926" spans="1:10" s="4722" customFormat="1" ht="13.5">
      <c r="A926" s="2287">
        <v>46000</v>
      </c>
      <c r="B926" s="2286">
        <v>46010</v>
      </c>
      <c r="C926" s="2287">
        <v>0</v>
      </c>
      <c r="D926" s="2287">
        <v>0</v>
      </c>
      <c r="E926" s="2287">
        <v>0</v>
      </c>
      <c r="F926" s="2286">
        <v>667</v>
      </c>
      <c r="G926" s="2287">
        <v>0</v>
      </c>
      <c r="H926" s="2287">
        <v>1</v>
      </c>
      <c r="I926" s="2287">
        <v>1151</v>
      </c>
      <c r="J926" s="2286">
        <v>1866</v>
      </c>
    </row>
    <row r="927" spans="1:10" s="4722" customFormat="1" ht="13.5">
      <c r="A927" s="2287">
        <v>46010</v>
      </c>
      <c r="B927" s="2286">
        <v>46050</v>
      </c>
      <c r="C927" s="2287">
        <v>0</v>
      </c>
      <c r="D927" s="2287">
        <v>0</v>
      </c>
      <c r="E927" s="2287">
        <v>0</v>
      </c>
      <c r="F927" s="2286">
        <v>667</v>
      </c>
      <c r="G927" s="2287">
        <v>0</v>
      </c>
      <c r="H927" s="2287">
        <v>0</v>
      </c>
      <c r="I927" s="2287">
        <v>1151</v>
      </c>
      <c r="J927" s="2286">
        <v>1866</v>
      </c>
    </row>
    <row r="928" spans="1:10" s="4722" customFormat="1" ht="13.5">
      <c r="A928" s="2287">
        <v>46050</v>
      </c>
      <c r="B928" s="2286">
        <v>46100</v>
      </c>
      <c r="C928" s="2287">
        <v>0</v>
      </c>
      <c r="D928" s="2287">
        <v>0</v>
      </c>
      <c r="E928" s="2287">
        <v>0</v>
      </c>
      <c r="F928" s="2286">
        <v>657</v>
      </c>
      <c r="G928" s="2287">
        <v>0</v>
      </c>
      <c r="H928" s="2287">
        <v>0</v>
      </c>
      <c r="I928" s="2287">
        <v>1141</v>
      </c>
      <c r="J928" s="2286">
        <v>1855</v>
      </c>
    </row>
    <row r="929" spans="1:10" s="4722" customFormat="1" ht="13.5">
      <c r="A929" s="2287">
        <v>46100</v>
      </c>
      <c r="B929" s="2286">
        <v>46150</v>
      </c>
      <c r="C929" s="2287">
        <v>0</v>
      </c>
      <c r="D929" s="2287">
        <v>0</v>
      </c>
      <c r="E929" s="2287">
        <v>0</v>
      </c>
      <c r="F929" s="2286">
        <v>646</v>
      </c>
      <c r="G929" s="2287">
        <v>0</v>
      </c>
      <c r="H929" s="2287">
        <v>0</v>
      </c>
      <c r="I929" s="2287">
        <v>1130</v>
      </c>
      <c r="J929" s="2286">
        <v>1845</v>
      </c>
    </row>
    <row r="930" spans="1:10" s="4722" customFormat="1" ht="13.5">
      <c r="A930" s="2287">
        <v>46150</v>
      </c>
      <c r="B930" s="2286">
        <v>46200</v>
      </c>
      <c r="C930" s="2287">
        <v>0</v>
      </c>
      <c r="D930" s="2287">
        <v>0</v>
      </c>
      <c r="E930" s="2287">
        <v>0</v>
      </c>
      <c r="F930" s="2286">
        <v>636</v>
      </c>
      <c r="G930" s="2287">
        <v>0</v>
      </c>
      <c r="H930" s="2287">
        <v>0</v>
      </c>
      <c r="I930" s="2287">
        <v>1120</v>
      </c>
      <c r="J930" s="2286">
        <v>1834</v>
      </c>
    </row>
    <row r="931" spans="1:10" s="4722" customFormat="1" ht="13.5">
      <c r="A931" s="2287">
        <v>46200</v>
      </c>
      <c r="B931" s="2286">
        <v>46250</v>
      </c>
      <c r="C931" s="2287">
        <v>0</v>
      </c>
      <c r="D931" s="2287">
        <v>0</v>
      </c>
      <c r="E931" s="2287">
        <v>0</v>
      </c>
      <c r="F931" s="2286">
        <v>625</v>
      </c>
      <c r="G931" s="2287">
        <v>0</v>
      </c>
      <c r="H931" s="2287">
        <v>0</v>
      </c>
      <c r="I931" s="2287">
        <v>1109</v>
      </c>
      <c r="J931" s="2286">
        <v>1824</v>
      </c>
    </row>
    <row r="932" spans="1:10" s="4722" customFormat="1" ht="13.5">
      <c r="A932" s="2287">
        <v>46250</v>
      </c>
      <c r="B932" s="2286">
        <v>46300</v>
      </c>
      <c r="C932" s="2287">
        <v>0</v>
      </c>
      <c r="D932" s="2287">
        <v>0</v>
      </c>
      <c r="E932" s="2287">
        <v>0</v>
      </c>
      <c r="F932" s="2286">
        <v>615</v>
      </c>
      <c r="G932" s="2287">
        <v>0</v>
      </c>
      <c r="H932" s="2287">
        <v>0</v>
      </c>
      <c r="I932" s="2287">
        <v>1099</v>
      </c>
      <c r="J932" s="2286">
        <v>1813</v>
      </c>
    </row>
    <row r="933" spans="1:10" s="4722" customFormat="1" ht="13.5">
      <c r="A933" s="2287">
        <v>46300</v>
      </c>
      <c r="B933" s="2286">
        <v>46350</v>
      </c>
      <c r="C933" s="2287">
        <v>0</v>
      </c>
      <c r="D933" s="2287">
        <v>0</v>
      </c>
      <c r="E933" s="2287">
        <v>0</v>
      </c>
      <c r="F933" s="2286">
        <v>604</v>
      </c>
      <c r="G933" s="2287">
        <v>0</v>
      </c>
      <c r="H933" s="2287">
        <v>0</v>
      </c>
      <c r="I933" s="2287">
        <v>1088</v>
      </c>
      <c r="J933" s="2286">
        <v>1803</v>
      </c>
    </row>
    <row r="934" spans="1:10" s="4722" customFormat="1" ht="13.5">
      <c r="A934" s="2287">
        <v>46350</v>
      </c>
      <c r="B934" s="2286">
        <v>46400</v>
      </c>
      <c r="C934" s="2287">
        <v>0</v>
      </c>
      <c r="D934" s="2287">
        <v>0</v>
      </c>
      <c r="E934" s="2287">
        <v>0</v>
      </c>
      <c r="F934" s="2286">
        <v>594</v>
      </c>
      <c r="G934" s="2287">
        <v>0</v>
      </c>
      <c r="H934" s="2287">
        <v>0</v>
      </c>
      <c r="I934" s="2287">
        <v>1078</v>
      </c>
      <c r="J934" s="2286">
        <v>1792</v>
      </c>
    </row>
    <row r="935" spans="1:10" s="4722" customFormat="1" ht="13.5">
      <c r="A935" s="2287">
        <v>46400</v>
      </c>
      <c r="B935" s="2286">
        <v>46450</v>
      </c>
      <c r="C935" s="2287">
        <v>0</v>
      </c>
      <c r="D935" s="2287">
        <v>0</v>
      </c>
      <c r="E935" s="2287">
        <v>0</v>
      </c>
      <c r="F935" s="2286">
        <v>583</v>
      </c>
      <c r="G935" s="2287">
        <v>0</v>
      </c>
      <c r="H935" s="2287">
        <v>0</v>
      </c>
      <c r="I935" s="2287">
        <v>1067</v>
      </c>
      <c r="J935" s="2286">
        <v>1782</v>
      </c>
    </row>
    <row r="936" spans="1:10" s="4722" customFormat="1" ht="13.5">
      <c r="A936" s="2287">
        <v>46450</v>
      </c>
      <c r="B936" s="2286">
        <v>46500</v>
      </c>
      <c r="C936" s="2287">
        <v>0</v>
      </c>
      <c r="D936" s="2287">
        <v>0</v>
      </c>
      <c r="E936" s="2287">
        <v>0</v>
      </c>
      <c r="F936" s="2286">
        <v>573</v>
      </c>
      <c r="G936" s="2287">
        <v>0</v>
      </c>
      <c r="H936" s="2287">
        <v>0</v>
      </c>
      <c r="I936" s="2287">
        <v>1056</v>
      </c>
      <c r="J936" s="2286">
        <v>1771</v>
      </c>
    </row>
    <row r="937" spans="1:10" s="4722" customFormat="1" ht="13.5">
      <c r="A937" s="2287">
        <v>46500</v>
      </c>
      <c r="B937" s="2286">
        <v>46550</v>
      </c>
      <c r="C937" s="2287">
        <v>0</v>
      </c>
      <c r="D937" s="2287">
        <v>0</v>
      </c>
      <c r="E937" s="2287">
        <v>0</v>
      </c>
      <c r="F937" s="2286">
        <v>562</v>
      </c>
      <c r="G937" s="2287">
        <v>0</v>
      </c>
      <c r="H937" s="2287">
        <v>0</v>
      </c>
      <c r="I937" s="2287">
        <v>1046</v>
      </c>
      <c r="J937" s="2286">
        <v>1760</v>
      </c>
    </row>
    <row r="938" spans="1:10" s="4722" customFormat="1" ht="13.5">
      <c r="A938" s="2287">
        <v>46550</v>
      </c>
      <c r="B938" s="2286">
        <v>46600</v>
      </c>
      <c r="C938" s="2287">
        <v>0</v>
      </c>
      <c r="D938" s="2287">
        <v>0</v>
      </c>
      <c r="E938" s="2287">
        <v>0</v>
      </c>
      <c r="F938" s="2286">
        <v>552</v>
      </c>
      <c r="G938" s="2287">
        <v>0</v>
      </c>
      <c r="H938" s="2287">
        <v>0</v>
      </c>
      <c r="I938" s="2287">
        <v>1035</v>
      </c>
      <c r="J938" s="2286">
        <v>1750</v>
      </c>
    </row>
    <row r="939" spans="1:10" s="4722" customFormat="1" ht="13.5">
      <c r="A939" s="2287">
        <v>46600</v>
      </c>
      <c r="B939" s="2286">
        <v>46650</v>
      </c>
      <c r="C939" s="2287">
        <v>0</v>
      </c>
      <c r="D939" s="2287">
        <v>0</v>
      </c>
      <c r="E939" s="2287">
        <v>0</v>
      </c>
      <c r="F939" s="2286">
        <v>541</v>
      </c>
      <c r="G939" s="2287">
        <v>0</v>
      </c>
      <c r="H939" s="2287">
        <v>0</v>
      </c>
      <c r="I939" s="2287">
        <v>1025</v>
      </c>
      <c r="J939" s="2286">
        <v>1739</v>
      </c>
    </row>
    <row r="940" spans="1:10" s="4722" customFormat="1" ht="13.5">
      <c r="A940" s="2287">
        <v>46650</v>
      </c>
      <c r="B940" s="2286">
        <v>46700</v>
      </c>
      <c r="C940" s="2287">
        <v>0</v>
      </c>
      <c r="D940" s="2287">
        <v>0</v>
      </c>
      <c r="E940" s="2287">
        <v>0</v>
      </c>
      <c r="F940" s="2286">
        <v>531</v>
      </c>
      <c r="G940" s="2287">
        <v>0</v>
      </c>
      <c r="H940" s="2287">
        <v>0</v>
      </c>
      <c r="I940" s="2287">
        <v>1014</v>
      </c>
      <c r="J940" s="2286">
        <v>1729</v>
      </c>
    </row>
    <row r="941" spans="1:10" s="4722" customFormat="1" ht="13.5">
      <c r="A941" s="2287">
        <v>46700</v>
      </c>
      <c r="B941" s="2286">
        <v>46750</v>
      </c>
      <c r="C941" s="2287">
        <v>0</v>
      </c>
      <c r="D941" s="2287">
        <v>0</v>
      </c>
      <c r="E941" s="2287">
        <v>0</v>
      </c>
      <c r="F941" s="2286">
        <v>520</v>
      </c>
      <c r="G941" s="2287">
        <v>0</v>
      </c>
      <c r="H941" s="2287">
        <v>0</v>
      </c>
      <c r="I941" s="2287">
        <v>1004</v>
      </c>
      <c r="J941" s="2286">
        <v>1718</v>
      </c>
    </row>
    <row r="942" spans="1:10" s="4722" customFormat="1" ht="13.5">
      <c r="A942" s="2287">
        <v>46750</v>
      </c>
      <c r="B942" s="2286">
        <v>46800</v>
      </c>
      <c r="C942" s="2287">
        <v>0</v>
      </c>
      <c r="D942" s="2287">
        <v>0</v>
      </c>
      <c r="E942" s="2287">
        <v>0</v>
      </c>
      <c r="F942" s="2286">
        <v>509</v>
      </c>
      <c r="G942" s="2287">
        <v>0</v>
      </c>
      <c r="H942" s="2287">
        <v>0</v>
      </c>
      <c r="I942" s="2287">
        <v>993</v>
      </c>
      <c r="J942" s="2286">
        <v>1708</v>
      </c>
    </row>
    <row r="943" spans="1:10" s="4722" customFormat="1" ht="13.5">
      <c r="A943" s="2287">
        <v>46800</v>
      </c>
      <c r="B943" s="2286">
        <v>46850</v>
      </c>
      <c r="C943" s="2287">
        <v>0</v>
      </c>
      <c r="D943" s="2287">
        <v>0</v>
      </c>
      <c r="E943" s="2287">
        <v>0</v>
      </c>
      <c r="F943" s="2286">
        <v>499</v>
      </c>
      <c r="G943" s="2287">
        <v>0</v>
      </c>
      <c r="H943" s="2287">
        <v>0</v>
      </c>
      <c r="I943" s="2287">
        <v>983</v>
      </c>
      <c r="J943" s="2286">
        <v>1697</v>
      </c>
    </row>
    <row r="944" spans="1:10" s="4722" customFormat="1" ht="13.5">
      <c r="A944" s="2287">
        <v>46850</v>
      </c>
      <c r="B944" s="2286">
        <v>46900</v>
      </c>
      <c r="C944" s="2287">
        <v>0</v>
      </c>
      <c r="D944" s="2287">
        <v>0</v>
      </c>
      <c r="E944" s="2287">
        <v>0</v>
      </c>
      <c r="F944" s="2286">
        <v>488</v>
      </c>
      <c r="G944" s="2287">
        <v>0</v>
      </c>
      <c r="H944" s="2287">
        <v>0</v>
      </c>
      <c r="I944" s="2287">
        <v>972</v>
      </c>
      <c r="J944" s="2286">
        <v>1687</v>
      </c>
    </row>
    <row r="945" spans="1:10" s="4722" customFormat="1" ht="13.5">
      <c r="A945" s="2287">
        <v>46900</v>
      </c>
      <c r="B945" s="2286">
        <v>46950</v>
      </c>
      <c r="C945" s="2287">
        <v>0</v>
      </c>
      <c r="D945" s="2287">
        <v>0</v>
      </c>
      <c r="E945" s="2287">
        <v>0</v>
      </c>
      <c r="F945" s="2286">
        <v>478</v>
      </c>
      <c r="G945" s="2287">
        <v>0</v>
      </c>
      <c r="H945" s="2287">
        <v>0</v>
      </c>
      <c r="I945" s="2287">
        <v>962</v>
      </c>
      <c r="J945" s="2286">
        <v>1676</v>
      </c>
    </row>
    <row r="946" spans="1:10" s="4722" customFormat="1" ht="13.5">
      <c r="A946" s="2287">
        <v>46950</v>
      </c>
      <c r="B946" s="2286">
        <v>47000</v>
      </c>
      <c r="C946" s="2287">
        <v>0</v>
      </c>
      <c r="D946" s="2287">
        <v>0</v>
      </c>
      <c r="E946" s="2287">
        <v>0</v>
      </c>
      <c r="F946" s="2286">
        <v>467</v>
      </c>
      <c r="G946" s="2287">
        <v>0</v>
      </c>
      <c r="H946" s="2287">
        <v>0</v>
      </c>
      <c r="I946" s="2287">
        <v>951</v>
      </c>
      <c r="J946" s="2286">
        <v>1666</v>
      </c>
    </row>
    <row r="947" spans="1:10" s="4722" customFormat="1" ht="13.5">
      <c r="A947" s="2287">
        <v>47000</v>
      </c>
      <c r="B947" s="2286">
        <v>47050</v>
      </c>
      <c r="C947" s="2287">
        <v>0</v>
      </c>
      <c r="D947" s="2287">
        <v>0</v>
      </c>
      <c r="E947" s="2287">
        <v>0</v>
      </c>
      <c r="F947" s="2286">
        <v>457</v>
      </c>
      <c r="G947" s="2287">
        <v>0</v>
      </c>
      <c r="H947" s="2287">
        <v>0</v>
      </c>
      <c r="I947" s="2287">
        <v>941</v>
      </c>
      <c r="J947" s="2286">
        <v>1655</v>
      </c>
    </row>
    <row r="948" spans="1:10" s="4722" customFormat="1" ht="13.5">
      <c r="A948" s="2287">
        <v>47050</v>
      </c>
      <c r="B948" s="2286">
        <v>47100</v>
      </c>
      <c r="C948" s="2287">
        <v>0</v>
      </c>
      <c r="D948" s="2287">
        <v>0</v>
      </c>
      <c r="E948" s="2287">
        <v>0</v>
      </c>
      <c r="F948" s="2286">
        <v>446</v>
      </c>
      <c r="G948" s="2287">
        <v>0</v>
      </c>
      <c r="H948" s="2287">
        <v>0</v>
      </c>
      <c r="I948" s="2287">
        <v>930</v>
      </c>
      <c r="J948" s="2286">
        <v>1645</v>
      </c>
    </row>
    <row r="949" spans="1:10" s="4722" customFormat="1" ht="13.5">
      <c r="A949" s="2287">
        <v>47100</v>
      </c>
      <c r="B949" s="2286">
        <v>47150</v>
      </c>
      <c r="C949" s="2287">
        <v>0</v>
      </c>
      <c r="D949" s="2287">
        <v>0</v>
      </c>
      <c r="E949" s="2287">
        <v>0</v>
      </c>
      <c r="F949" s="2286">
        <v>436</v>
      </c>
      <c r="G949" s="2287">
        <v>0</v>
      </c>
      <c r="H949" s="2287">
        <v>0</v>
      </c>
      <c r="I949" s="2287">
        <v>920</v>
      </c>
      <c r="J949" s="2286">
        <v>1634</v>
      </c>
    </row>
    <row r="950" spans="1:10" s="4722" customFormat="1" ht="13.5">
      <c r="A950" s="2287">
        <v>47150</v>
      </c>
      <c r="B950" s="2286">
        <v>47200</v>
      </c>
      <c r="C950" s="2287">
        <v>0</v>
      </c>
      <c r="D950" s="2287">
        <v>0</v>
      </c>
      <c r="E950" s="2287">
        <v>0</v>
      </c>
      <c r="F950" s="2286">
        <v>425</v>
      </c>
      <c r="G950" s="2287">
        <v>0</v>
      </c>
      <c r="H950" s="2287">
        <v>0</v>
      </c>
      <c r="I950" s="2287">
        <v>909</v>
      </c>
      <c r="J950" s="2286">
        <v>1624</v>
      </c>
    </row>
    <row r="951" spans="1:10" s="4722" customFormat="1" ht="13.5">
      <c r="A951" s="2287">
        <v>47200</v>
      </c>
      <c r="B951" s="2286">
        <v>47250</v>
      </c>
      <c r="C951" s="2287">
        <v>0</v>
      </c>
      <c r="D951" s="2287">
        <v>0</v>
      </c>
      <c r="E951" s="2287">
        <v>0</v>
      </c>
      <c r="F951" s="2286">
        <v>415</v>
      </c>
      <c r="G951" s="2287">
        <v>0</v>
      </c>
      <c r="H951" s="2287">
        <v>0</v>
      </c>
      <c r="I951" s="2287">
        <v>899</v>
      </c>
      <c r="J951" s="2286">
        <v>1613</v>
      </c>
    </row>
    <row r="952" spans="1:10" s="4722" customFormat="1" ht="13.5">
      <c r="A952" s="2287">
        <v>47250</v>
      </c>
      <c r="B952" s="2286">
        <v>47300</v>
      </c>
      <c r="C952" s="2287">
        <v>0</v>
      </c>
      <c r="D952" s="2287">
        <v>0</v>
      </c>
      <c r="E952" s="2287">
        <v>0</v>
      </c>
      <c r="F952" s="2286">
        <v>404</v>
      </c>
      <c r="G952" s="2287">
        <v>0</v>
      </c>
      <c r="H952" s="2287">
        <v>0</v>
      </c>
      <c r="I952" s="2287">
        <v>888</v>
      </c>
      <c r="J952" s="2286">
        <v>1602</v>
      </c>
    </row>
    <row r="953" spans="1:10" s="4722" customFormat="1" ht="13.5">
      <c r="A953" s="2287">
        <v>47300</v>
      </c>
      <c r="B953" s="2286">
        <v>47350</v>
      </c>
      <c r="C953" s="2287">
        <v>0</v>
      </c>
      <c r="D953" s="2287">
        <v>0</v>
      </c>
      <c r="E953" s="2287">
        <v>0</v>
      </c>
      <c r="F953" s="2286">
        <v>394</v>
      </c>
      <c r="G953" s="2287">
        <v>0</v>
      </c>
      <c r="H953" s="2287">
        <v>0</v>
      </c>
      <c r="I953" s="2287">
        <v>877</v>
      </c>
      <c r="J953" s="2286">
        <v>1592</v>
      </c>
    </row>
    <row r="954" spans="1:10" s="4722" customFormat="1" ht="13.5">
      <c r="A954" s="2287">
        <v>47350</v>
      </c>
      <c r="B954" s="2286">
        <v>47400</v>
      </c>
      <c r="C954" s="2287">
        <v>0</v>
      </c>
      <c r="D954" s="2287">
        <v>0</v>
      </c>
      <c r="E954" s="2287">
        <v>0</v>
      </c>
      <c r="F954" s="2286">
        <v>383</v>
      </c>
      <c r="G954" s="2287">
        <v>0</v>
      </c>
      <c r="H954" s="2287">
        <v>0</v>
      </c>
      <c r="I954" s="2287">
        <v>867</v>
      </c>
      <c r="J954" s="2286">
        <v>1581</v>
      </c>
    </row>
    <row r="955" spans="1:10" s="4722" customFormat="1" ht="13.5">
      <c r="A955" s="2287">
        <v>47400</v>
      </c>
      <c r="B955" s="2286">
        <v>47450</v>
      </c>
      <c r="C955" s="2287">
        <v>0</v>
      </c>
      <c r="D955" s="2287">
        <v>0</v>
      </c>
      <c r="E955" s="2287">
        <v>0</v>
      </c>
      <c r="F955" s="2286">
        <v>373</v>
      </c>
      <c r="G955" s="2287">
        <v>0</v>
      </c>
      <c r="H955" s="2287">
        <v>0</v>
      </c>
      <c r="I955" s="2287">
        <v>856</v>
      </c>
      <c r="J955" s="2286">
        <v>1571</v>
      </c>
    </row>
    <row r="956" spans="1:10" s="4722" customFormat="1" ht="13.5">
      <c r="A956" s="2287">
        <v>47450</v>
      </c>
      <c r="B956" s="2286">
        <v>47500</v>
      </c>
      <c r="C956" s="2287">
        <v>0</v>
      </c>
      <c r="D956" s="2287">
        <v>0</v>
      </c>
      <c r="E956" s="2287">
        <v>0</v>
      </c>
      <c r="F956" s="2286">
        <v>362</v>
      </c>
      <c r="G956" s="2287">
        <v>0</v>
      </c>
      <c r="H956" s="2287">
        <v>0</v>
      </c>
      <c r="I956" s="2287">
        <v>846</v>
      </c>
      <c r="J956" s="2286">
        <v>1560</v>
      </c>
    </row>
    <row r="957" spans="1:10" s="4722" customFormat="1" ht="13.5">
      <c r="A957" s="2287">
        <v>47500</v>
      </c>
      <c r="B957" s="2286">
        <v>47550</v>
      </c>
      <c r="C957" s="2287">
        <v>0</v>
      </c>
      <c r="D957" s="2287">
        <v>0</v>
      </c>
      <c r="E957" s="2287">
        <v>0</v>
      </c>
      <c r="F957" s="2286">
        <v>352</v>
      </c>
      <c r="G957" s="2287">
        <v>0</v>
      </c>
      <c r="H957" s="2287">
        <v>0</v>
      </c>
      <c r="I957" s="2287">
        <v>835</v>
      </c>
      <c r="J957" s="2286">
        <v>1550</v>
      </c>
    </row>
    <row r="958" spans="1:10" s="4722" customFormat="1" ht="13.5">
      <c r="A958" s="2287">
        <v>47550</v>
      </c>
      <c r="B958" s="2286">
        <v>47600</v>
      </c>
      <c r="C958" s="2287">
        <v>0</v>
      </c>
      <c r="D958" s="2287">
        <v>0</v>
      </c>
      <c r="E958" s="2287">
        <v>0</v>
      </c>
      <c r="F958" s="2286">
        <v>341</v>
      </c>
      <c r="G958" s="2287">
        <v>0</v>
      </c>
      <c r="H958" s="2287">
        <v>0</v>
      </c>
      <c r="I958" s="2287">
        <v>825</v>
      </c>
      <c r="J958" s="2286">
        <v>1539</v>
      </c>
    </row>
    <row r="959" spans="1:10" s="4722" customFormat="1" ht="13.5">
      <c r="A959" s="2287">
        <v>47600</v>
      </c>
      <c r="B959" s="2286">
        <v>47650</v>
      </c>
      <c r="C959" s="2287">
        <v>0</v>
      </c>
      <c r="D959" s="2287">
        <v>0</v>
      </c>
      <c r="E959" s="2287">
        <v>0</v>
      </c>
      <c r="F959" s="2286">
        <v>330</v>
      </c>
      <c r="G959" s="2287">
        <v>0</v>
      </c>
      <c r="H959" s="2287">
        <v>0</v>
      </c>
      <c r="I959" s="2287">
        <v>814</v>
      </c>
      <c r="J959" s="2286">
        <v>1529</v>
      </c>
    </row>
    <row r="960" spans="1:10" s="4722" customFormat="1" ht="13.5">
      <c r="A960" s="2287">
        <v>47650</v>
      </c>
      <c r="B960" s="2286">
        <v>47700</v>
      </c>
      <c r="C960" s="2287">
        <v>0</v>
      </c>
      <c r="D960" s="2287">
        <v>0</v>
      </c>
      <c r="E960" s="2287">
        <v>0</v>
      </c>
      <c r="F960" s="2286">
        <v>320</v>
      </c>
      <c r="G960" s="2287">
        <v>0</v>
      </c>
      <c r="H960" s="2287">
        <v>0</v>
      </c>
      <c r="I960" s="2287">
        <v>804</v>
      </c>
      <c r="J960" s="2286">
        <v>1518</v>
      </c>
    </row>
    <row r="961" spans="1:10" s="4722" customFormat="1" ht="13.5">
      <c r="A961" s="2287">
        <v>47700</v>
      </c>
      <c r="B961" s="2286">
        <v>47750</v>
      </c>
      <c r="C961" s="2287">
        <v>0</v>
      </c>
      <c r="D961" s="2287">
        <v>0</v>
      </c>
      <c r="E961" s="2287">
        <v>0</v>
      </c>
      <c r="F961" s="2286">
        <v>309</v>
      </c>
      <c r="G961" s="2287">
        <v>0</v>
      </c>
      <c r="H961" s="2287">
        <v>0</v>
      </c>
      <c r="I961" s="2287">
        <v>793</v>
      </c>
      <c r="J961" s="2286">
        <v>1508</v>
      </c>
    </row>
    <row r="962" spans="1:10" s="4722" customFormat="1" ht="13.5">
      <c r="A962" s="2287">
        <v>47750</v>
      </c>
      <c r="B962" s="2286">
        <v>47800</v>
      </c>
      <c r="C962" s="2287">
        <v>0</v>
      </c>
      <c r="D962" s="2287">
        <v>0</v>
      </c>
      <c r="E962" s="2287">
        <v>0</v>
      </c>
      <c r="F962" s="2286">
        <v>299</v>
      </c>
      <c r="G962" s="2287">
        <v>0</v>
      </c>
      <c r="H962" s="2287">
        <v>0</v>
      </c>
      <c r="I962" s="2287">
        <v>783</v>
      </c>
      <c r="J962" s="2286">
        <v>1497</v>
      </c>
    </row>
    <row r="963" spans="1:10" s="4722" customFormat="1" ht="13.5">
      <c r="A963" s="2287">
        <v>47800</v>
      </c>
      <c r="B963" s="2286">
        <v>47850</v>
      </c>
      <c r="C963" s="2287">
        <v>0</v>
      </c>
      <c r="D963" s="2287">
        <v>0</v>
      </c>
      <c r="E963" s="2287">
        <v>0</v>
      </c>
      <c r="F963" s="2286">
        <v>288</v>
      </c>
      <c r="G963" s="2287">
        <v>0</v>
      </c>
      <c r="H963" s="2287">
        <v>0</v>
      </c>
      <c r="I963" s="2287">
        <v>772</v>
      </c>
      <c r="J963" s="2286">
        <v>1487</v>
      </c>
    </row>
    <row r="964" spans="1:10" s="4722" customFormat="1" ht="13.5">
      <c r="A964" s="2287">
        <v>47850</v>
      </c>
      <c r="B964" s="2286">
        <v>47900</v>
      </c>
      <c r="C964" s="2287">
        <v>0</v>
      </c>
      <c r="D964" s="2287">
        <v>0</v>
      </c>
      <c r="E964" s="2287">
        <v>0</v>
      </c>
      <c r="F964" s="2286">
        <v>278</v>
      </c>
      <c r="G964" s="2287">
        <v>0</v>
      </c>
      <c r="H964" s="2287">
        <v>0</v>
      </c>
      <c r="I964" s="2287">
        <v>762</v>
      </c>
      <c r="J964" s="2286">
        <v>1476</v>
      </c>
    </row>
    <row r="965" spans="1:10" s="4722" customFormat="1" ht="13.5">
      <c r="A965" s="2287">
        <v>47900</v>
      </c>
      <c r="B965" s="2286">
        <v>47950</v>
      </c>
      <c r="C965" s="2287">
        <v>0</v>
      </c>
      <c r="D965" s="2287">
        <v>0</v>
      </c>
      <c r="E965" s="2287">
        <v>0</v>
      </c>
      <c r="F965" s="2286">
        <v>267</v>
      </c>
      <c r="G965" s="2287">
        <v>0</v>
      </c>
      <c r="H965" s="2287">
        <v>0</v>
      </c>
      <c r="I965" s="2287">
        <v>751</v>
      </c>
      <c r="J965" s="2286">
        <v>1466</v>
      </c>
    </row>
    <row r="966" spans="1:10" s="4722" customFormat="1" ht="13.5">
      <c r="A966" s="2287">
        <v>47950</v>
      </c>
      <c r="B966" s="2286">
        <v>48000</v>
      </c>
      <c r="C966" s="2287">
        <v>0</v>
      </c>
      <c r="D966" s="2287">
        <v>0</v>
      </c>
      <c r="E966" s="2287">
        <v>0</v>
      </c>
      <c r="F966" s="2286">
        <v>257</v>
      </c>
      <c r="G966" s="2287">
        <v>0</v>
      </c>
      <c r="H966" s="2287">
        <v>0</v>
      </c>
      <c r="I966" s="2287">
        <v>741</v>
      </c>
      <c r="J966" s="2286">
        <v>1455</v>
      </c>
    </row>
    <row r="967" spans="1:10" s="4722" customFormat="1" ht="13.5">
      <c r="A967" s="2287">
        <v>48000</v>
      </c>
      <c r="B967" s="2286">
        <v>48050</v>
      </c>
      <c r="C967" s="2287">
        <v>0</v>
      </c>
      <c r="D967" s="2287">
        <v>0</v>
      </c>
      <c r="E967" s="2287">
        <v>0</v>
      </c>
      <c r="F967" s="2286">
        <v>246</v>
      </c>
      <c r="G967" s="2287">
        <v>0</v>
      </c>
      <c r="H967" s="2287">
        <v>0</v>
      </c>
      <c r="I967" s="2287">
        <v>730</v>
      </c>
      <c r="J967" s="2286">
        <v>1445</v>
      </c>
    </row>
    <row r="968" spans="1:10" s="4722" customFormat="1" ht="13.5">
      <c r="A968" s="2287">
        <v>48050</v>
      </c>
      <c r="B968" s="2286">
        <v>48100</v>
      </c>
      <c r="C968" s="2287">
        <v>0</v>
      </c>
      <c r="D968" s="2287">
        <v>0</v>
      </c>
      <c r="E968" s="2287">
        <v>0</v>
      </c>
      <c r="F968" s="2286">
        <v>236</v>
      </c>
      <c r="G968" s="2287">
        <v>0</v>
      </c>
      <c r="H968" s="2287">
        <v>0</v>
      </c>
      <c r="I968" s="2287">
        <v>720</v>
      </c>
      <c r="J968" s="2286">
        <v>1434</v>
      </c>
    </row>
    <row r="969" spans="1:10" s="4722" customFormat="1" ht="13.5">
      <c r="A969" s="2287">
        <v>48100</v>
      </c>
      <c r="B969" s="2286">
        <v>48150</v>
      </c>
      <c r="C969" s="2287">
        <v>0</v>
      </c>
      <c r="D969" s="2287">
        <v>0</v>
      </c>
      <c r="E969" s="2287">
        <v>0</v>
      </c>
      <c r="F969" s="2286">
        <v>225</v>
      </c>
      <c r="G969" s="2287">
        <v>0</v>
      </c>
      <c r="H969" s="2287">
        <v>0</v>
      </c>
      <c r="I969" s="2287">
        <v>709</v>
      </c>
      <c r="J969" s="2286">
        <v>1423</v>
      </c>
    </row>
    <row r="970" spans="1:10" s="4722" customFormat="1" ht="13.5">
      <c r="A970" s="2287">
        <v>48150</v>
      </c>
      <c r="B970" s="2286">
        <v>48200</v>
      </c>
      <c r="C970" s="2287">
        <v>0</v>
      </c>
      <c r="D970" s="2287">
        <v>0</v>
      </c>
      <c r="E970" s="2287">
        <v>0</v>
      </c>
      <c r="F970" s="2286">
        <v>215</v>
      </c>
      <c r="G970" s="2287">
        <v>0</v>
      </c>
      <c r="H970" s="2287">
        <v>0</v>
      </c>
      <c r="I970" s="2287">
        <v>698</v>
      </c>
      <c r="J970" s="2286">
        <v>1413</v>
      </c>
    </row>
    <row r="971" spans="1:10" s="4722" customFormat="1" ht="13.5">
      <c r="A971" s="2287">
        <v>48200</v>
      </c>
      <c r="B971" s="2286">
        <v>48250</v>
      </c>
      <c r="C971" s="2287">
        <v>0</v>
      </c>
      <c r="D971" s="2287">
        <v>0</v>
      </c>
      <c r="E971" s="2287">
        <v>0</v>
      </c>
      <c r="F971" s="2286">
        <v>204</v>
      </c>
      <c r="G971" s="2287">
        <v>0</v>
      </c>
      <c r="H971" s="2287">
        <v>0</v>
      </c>
      <c r="I971" s="2287">
        <v>688</v>
      </c>
      <c r="J971" s="2286">
        <v>1402</v>
      </c>
    </row>
    <row r="972" spans="1:10" s="4722" customFormat="1" ht="13.5">
      <c r="A972" s="2287">
        <v>48250</v>
      </c>
      <c r="B972" s="2286">
        <v>48300</v>
      </c>
      <c r="C972" s="2287">
        <v>0</v>
      </c>
      <c r="D972" s="2287">
        <v>0</v>
      </c>
      <c r="E972" s="2287">
        <v>0</v>
      </c>
      <c r="F972" s="2286">
        <v>194</v>
      </c>
      <c r="G972" s="2287">
        <v>0</v>
      </c>
      <c r="H972" s="2287">
        <v>0</v>
      </c>
      <c r="I972" s="2287">
        <v>677</v>
      </c>
      <c r="J972" s="2286">
        <v>1392</v>
      </c>
    </row>
    <row r="973" spans="1:10" s="4722" customFormat="1" ht="13.5">
      <c r="A973" s="2287">
        <v>48300</v>
      </c>
      <c r="B973" s="2286">
        <v>48350</v>
      </c>
      <c r="C973" s="2287">
        <v>0</v>
      </c>
      <c r="D973" s="2287">
        <v>0</v>
      </c>
      <c r="E973" s="2287">
        <v>0</v>
      </c>
      <c r="F973" s="2286">
        <v>183</v>
      </c>
      <c r="G973" s="2287">
        <v>0</v>
      </c>
      <c r="H973" s="2287">
        <v>0</v>
      </c>
      <c r="I973" s="2287">
        <v>667</v>
      </c>
      <c r="J973" s="2286">
        <v>1381</v>
      </c>
    </row>
    <row r="974" spans="1:10" s="4722" customFormat="1" ht="13.5">
      <c r="A974" s="2287">
        <v>48350</v>
      </c>
      <c r="B974" s="2286">
        <v>48400</v>
      </c>
      <c r="C974" s="2287">
        <v>0</v>
      </c>
      <c r="D974" s="2287">
        <v>0</v>
      </c>
      <c r="E974" s="2287">
        <v>0</v>
      </c>
      <c r="F974" s="2286">
        <v>173</v>
      </c>
      <c r="G974" s="2287">
        <v>0</v>
      </c>
      <c r="H974" s="2287">
        <v>0</v>
      </c>
      <c r="I974" s="2287">
        <v>656</v>
      </c>
      <c r="J974" s="2286">
        <v>1371</v>
      </c>
    </row>
    <row r="975" spans="1:10" s="4722" customFormat="1" ht="13.5">
      <c r="A975" s="2287">
        <v>48400</v>
      </c>
      <c r="B975" s="2286">
        <v>48450</v>
      </c>
      <c r="C975" s="2287">
        <v>0</v>
      </c>
      <c r="D975" s="2287">
        <v>0</v>
      </c>
      <c r="E975" s="2287">
        <v>0</v>
      </c>
      <c r="F975" s="2286">
        <v>162</v>
      </c>
      <c r="G975" s="2287">
        <v>0</v>
      </c>
      <c r="H975" s="2287">
        <v>0</v>
      </c>
      <c r="I975" s="2287">
        <v>646</v>
      </c>
      <c r="J975" s="2286">
        <v>1360</v>
      </c>
    </row>
    <row r="976" spans="1:10" s="4722" customFormat="1" ht="13.5">
      <c r="A976" s="2287">
        <v>48450</v>
      </c>
      <c r="B976" s="2286">
        <v>48500</v>
      </c>
      <c r="C976" s="2287">
        <v>0</v>
      </c>
      <c r="D976" s="2287">
        <v>0</v>
      </c>
      <c r="E976" s="2287">
        <v>0</v>
      </c>
      <c r="F976" s="2286">
        <v>151</v>
      </c>
      <c r="G976" s="2287">
        <v>0</v>
      </c>
      <c r="H976" s="2287">
        <v>0</v>
      </c>
      <c r="I976" s="2287">
        <v>635</v>
      </c>
      <c r="J976" s="2286">
        <v>1350</v>
      </c>
    </row>
    <row r="977" spans="1:10" s="4722" customFormat="1" ht="13.5">
      <c r="A977" s="2287">
        <v>48500</v>
      </c>
      <c r="B977" s="2286">
        <v>48550</v>
      </c>
      <c r="C977" s="2287">
        <v>0</v>
      </c>
      <c r="D977" s="2287">
        <v>0</v>
      </c>
      <c r="E977" s="2287">
        <v>0</v>
      </c>
      <c r="F977" s="2286">
        <v>141</v>
      </c>
      <c r="G977" s="2287">
        <v>0</v>
      </c>
      <c r="H977" s="2287">
        <v>0</v>
      </c>
      <c r="I977" s="2287">
        <v>625</v>
      </c>
      <c r="J977" s="2286">
        <v>1339</v>
      </c>
    </row>
    <row r="978" spans="1:10" s="4722" customFormat="1" ht="13.5">
      <c r="A978" s="2287">
        <v>48550</v>
      </c>
      <c r="B978" s="2286">
        <v>48600</v>
      </c>
      <c r="C978" s="2287">
        <v>0</v>
      </c>
      <c r="D978" s="2287">
        <v>0</v>
      </c>
      <c r="E978" s="2287">
        <v>0</v>
      </c>
      <c r="F978" s="2286">
        <v>130</v>
      </c>
      <c r="G978" s="2287">
        <v>0</v>
      </c>
      <c r="H978" s="2287">
        <v>0</v>
      </c>
      <c r="I978" s="2287">
        <v>614</v>
      </c>
      <c r="J978" s="2286">
        <v>1329</v>
      </c>
    </row>
    <row r="979" spans="1:10" s="4722" customFormat="1" ht="13.5">
      <c r="A979" s="2287">
        <v>48600</v>
      </c>
      <c r="B979" s="2286">
        <v>48650</v>
      </c>
      <c r="C979" s="2287">
        <v>0</v>
      </c>
      <c r="D979" s="2287">
        <v>0</v>
      </c>
      <c r="E979" s="2287">
        <v>0</v>
      </c>
      <c r="F979" s="2286">
        <v>120</v>
      </c>
      <c r="G979" s="2287">
        <v>0</v>
      </c>
      <c r="H979" s="2287">
        <v>0</v>
      </c>
      <c r="I979" s="2287">
        <v>604</v>
      </c>
      <c r="J979" s="2286">
        <v>1318</v>
      </c>
    </row>
    <row r="980" spans="1:10" s="4722" customFormat="1" ht="13.5">
      <c r="A980" s="2287">
        <v>48650</v>
      </c>
      <c r="B980" s="2286">
        <v>48700</v>
      </c>
      <c r="C980" s="2287">
        <v>0</v>
      </c>
      <c r="D980" s="2287">
        <v>0</v>
      </c>
      <c r="E980" s="2287">
        <v>0</v>
      </c>
      <c r="F980" s="2286">
        <v>109</v>
      </c>
      <c r="G980" s="2287">
        <v>0</v>
      </c>
      <c r="H980" s="2287">
        <v>0</v>
      </c>
      <c r="I980" s="2287">
        <v>593</v>
      </c>
      <c r="J980" s="2286">
        <v>1308</v>
      </c>
    </row>
    <row r="981" spans="1:10" s="4722" customFormat="1" ht="13.5">
      <c r="A981" s="2287">
        <v>48700</v>
      </c>
      <c r="B981" s="2286">
        <v>48750</v>
      </c>
      <c r="C981" s="2287">
        <v>0</v>
      </c>
      <c r="D981" s="2287">
        <v>0</v>
      </c>
      <c r="E981" s="2287">
        <v>0</v>
      </c>
      <c r="F981" s="2286">
        <v>99</v>
      </c>
      <c r="G981" s="2287">
        <v>0</v>
      </c>
      <c r="H981" s="2287">
        <v>0</v>
      </c>
      <c r="I981" s="2287">
        <v>583</v>
      </c>
      <c r="J981" s="2286">
        <v>1297</v>
      </c>
    </row>
    <row r="982" spans="1:10" s="4722" customFormat="1" ht="13.5">
      <c r="A982" s="2287">
        <v>48750</v>
      </c>
      <c r="B982" s="2286">
        <v>48800</v>
      </c>
      <c r="C982" s="2287">
        <v>0</v>
      </c>
      <c r="D982" s="2287">
        <v>0</v>
      </c>
      <c r="E982" s="2287">
        <v>0</v>
      </c>
      <c r="F982" s="2286">
        <v>88</v>
      </c>
      <c r="G982" s="2287">
        <v>0</v>
      </c>
      <c r="H982" s="2287">
        <v>0</v>
      </c>
      <c r="I982" s="2287">
        <v>572</v>
      </c>
      <c r="J982" s="2286">
        <v>1287</v>
      </c>
    </row>
    <row r="983" spans="1:10" s="4722" customFormat="1" ht="13.5">
      <c r="A983" s="2287">
        <v>48800</v>
      </c>
      <c r="B983" s="2286">
        <v>48850</v>
      </c>
      <c r="C983" s="2287">
        <v>0</v>
      </c>
      <c r="D983" s="2287">
        <v>0</v>
      </c>
      <c r="E983" s="2287">
        <v>0</v>
      </c>
      <c r="F983" s="2286">
        <v>78</v>
      </c>
      <c r="G983" s="2287">
        <v>0</v>
      </c>
      <c r="H983" s="2287">
        <v>0</v>
      </c>
      <c r="I983" s="2287">
        <v>562</v>
      </c>
      <c r="J983" s="2286">
        <v>1276</v>
      </c>
    </row>
    <row r="984" spans="1:10" s="4722" customFormat="1" ht="13.5">
      <c r="A984" s="2287">
        <v>48850</v>
      </c>
      <c r="B984" s="2286">
        <v>48900</v>
      </c>
      <c r="C984" s="2287">
        <v>0</v>
      </c>
      <c r="D984" s="2287">
        <v>0</v>
      </c>
      <c r="E984" s="2287">
        <v>0</v>
      </c>
      <c r="F984" s="2286">
        <v>67</v>
      </c>
      <c r="G984" s="2287">
        <v>0</v>
      </c>
      <c r="H984" s="2287">
        <v>0</v>
      </c>
      <c r="I984" s="2287">
        <v>551</v>
      </c>
      <c r="J984" s="2286">
        <v>1266</v>
      </c>
    </row>
    <row r="985" spans="1:10" s="4722" customFormat="1" ht="13.5">
      <c r="A985" s="2287">
        <v>48900</v>
      </c>
      <c r="B985" s="2286">
        <v>48950</v>
      </c>
      <c r="C985" s="2287">
        <v>0</v>
      </c>
      <c r="D985" s="2287">
        <v>0</v>
      </c>
      <c r="E985" s="2287">
        <v>0</v>
      </c>
      <c r="F985" s="2286">
        <v>57</v>
      </c>
      <c r="G985" s="2287">
        <v>0</v>
      </c>
      <c r="H985" s="2287">
        <v>0</v>
      </c>
      <c r="I985" s="2287">
        <v>541</v>
      </c>
      <c r="J985" s="2286">
        <v>1255</v>
      </c>
    </row>
    <row r="986" spans="1:10" s="4722" customFormat="1" ht="13.5">
      <c r="A986" s="2287">
        <v>48950</v>
      </c>
      <c r="B986" s="2286">
        <v>49000</v>
      </c>
      <c r="C986" s="2287">
        <v>0</v>
      </c>
      <c r="D986" s="2287">
        <v>0</v>
      </c>
      <c r="E986" s="2287">
        <v>0</v>
      </c>
      <c r="F986" s="2286">
        <v>46</v>
      </c>
      <c r="G986" s="2287">
        <v>0</v>
      </c>
      <c r="H986" s="2287">
        <v>0</v>
      </c>
      <c r="I986" s="2287">
        <v>530</v>
      </c>
      <c r="J986" s="2286">
        <v>1244</v>
      </c>
    </row>
    <row r="987" spans="1:10" s="4722" customFormat="1" ht="13.5">
      <c r="A987" s="2287">
        <v>49000</v>
      </c>
      <c r="B987" s="2286">
        <v>49050</v>
      </c>
      <c r="C987" s="2287">
        <v>0</v>
      </c>
      <c r="D987" s="2287">
        <v>0</v>
      </c>
      <c r="E987" s="2287">
        <v>0</v>
      </c>
      <c r="F987" s="2286">
        <v>36</v>
      </c>
      <c r="G987" s="2287">
        <v>0</v>
      </c>
      <c r="H987" s="2287">
        <v>0</v>
      </c>
      <c r="I987" s="2287">
        <v>519</v>
      </c>
      <c r="J987" s="2286">
        <v>1234</v>
      </c>
    </row>
    <row r="988" spans="1:10" s="4722" customFormat="1" ht="13.5">
      <c r="A988" s="2287">
        <v>49050</v>
      </c>
      <c r="B988" s="2286">
        <v>49100</v>
      </c>
      <c r="C988" s="2287">
        <v>0</v>
      </c>
      <c r="D988" s="2287">
        <v>0</v>
      </c>
      <c r="E988" s="2287">
        <v>0</v>
      </c>
      <c r="F988" s="2286">
        <v>25</v>
      </c>
      <c r="G988" s="2287">
        <v>0</v>
      </c>
      <c r="H988" s="2287">
        <v>0</v>
      </c>
      <c r="I988" s="2287">
        <v>509</v>
      </c>
      <c r="J988" s="2286">
        <v>1223</v>
      </c>
    </row>
    <row r="989" spans="1:10" s="4722" customFormat="1" ht="13.5">
      <c r="A989" s="2287">
        <v>49100</v>
      </c>
      <c r="B989" s="2286">
        <v>49150</v>
      </c>
      <c r="C989" s="2287">
        <v>0</v>
      </c>
      <c r="D989" s="2287">
        <v>0</v>
      </c>
      <c r="E989" s="2287">
        <v>0</v>
      </c>
      <c r="F989" s="2286">
        <v>15</v>
      </c>
      <c r="G989" s="2287">
        <v>0</v>
      </c>
      <c r="H989" s="2287">
        <v>0</v>
      </c>
      <c r="I989" s="2287">
        <v>498</v>
      </c>
      <c r="J989" s="2286">
        <v>1213</v>
      </c>
    </row>
    <row r="990" spans="1:10" s="4722" customFormat="1" ht="13.5">
      <c r="A990" s="2287">
        <v>49150</v>
      </c>
      <c r="B990" s="2286">
        <v>49194</v>
      </c>
      <c r="C990" s="2287">
        <v>0</v>
      </c>
      <c r="D990" s="2287">
        <v>0</v>
      </c>
      <c r="E990" s="2287">
        <v>0</v>
      </c>
      <c r="F990" s="2286">
        <v>5</v>
      </c>
      <c r="G990" s="2287">
        <v>0</v>
      </c>
      <c r="H990" s="2287">
        <v>0</v>
      </c>
      <c r="I990" s="2287">
        <v>488</v>
      </c>
      <c r="J990" s="2286">
        <v>1202</v>
      </c>
    </row>
    <row r="991" spans="1:10" s="4722" customFormat="1" ht="13.5">
      <c r="A991" s="2287">
        <v>49194</v>
      </c>
      <c r="B991" s="2286">
        <v>49200</v>
      </c>
      <c r="C991" s="2287">
        <v>0</v>
      </c>
      <c r="D991" s="2287">
        <v>0</v>
      </c>
      <c r="E991" s="2287">
        <v>0</v>
      </c>
      <c r="F991" s="2286">
        <v>0</v>
      </c>
      <c r="G991" s="2287">
        <v>0</v>
      </c>
      <c r="H991" s="2287">
        <v>0</v>
      </c>
      <c r="I991" s="2287">
        <v>488</v>
      </c>
      <c r="J991" s="2286">
        <v>1202</v>
      </c>
    </row>
    <row r="992" spans="1:10" s="4722" customFormat="1" ht="13.5">
      <c r="A992" s="2287">
        <v>49200</v>
      </c>
      <c r="B992" s="2286">
        <v>49250</v>
      </c>
      <c r="C992" s="2287">
        <v>0</v>
      </c>
      <c r="D992" s="2287">
        <v>0</v>
      </c>
      <c r="E992" s="2287">
        <v>0</v>
      </c>
      <c r="F992" s="2286">
        <v>0</v>
      </c>
      <c r="G992" s="2287">
        <v>0</v>
      </c>
      <c r="H992" s="2287">
        <v>0</v>
      </c>
      <c r="I992" s="2287">
        <v>477</v>
      </c>
      <c r="J992" s="2286">
        <v>1192</v>
      </c>
    </row>
    <row r="993" spans="1:10" s="4722" customFormat="1" ht="13.5">
      <c r="A993" s="2287">
        <v>49250</v>
      </c>
      <c r="B993" s="2286">
        <v>49300</v>
      </c>
      <c r="C993" s="2287">
        <v>0</v>
      </c>
      <c r="D993" s="2287">
        <v>0</v>
      </c>
      <c r="E993" s="2287">
        <v>0</v>
      </c>
      <c r="F993" s="2286">
        <v>0</v>
      </c>
      <c r="G993" s="2287">
        <v>0</v>
      </c>
      <c r="H993" s="2287">
        <v>0</v>
      </c>
      <c r="I993" s="2287">
        <v>467</v>
      </c>
      <c r="J993" s="2286">
        <v>1181</v>
      </c>
    </row>
    <row r="994" spans="1:10" s="4722" customFormat="1" ht="13.5">
      <c r="A994" s="2287">
        <v>49300</v>
      </c>
      <c r="B994" s="2286">
        <v>49350</v>
      </c>
      <c r="C994" s="2287">
        <v>0</v>
      </c>
      <c r="D994" s="2287">
        <v>0</v>
      </c>
      <c r="E994" s="2287">
        <v>0</v>
      </c>
      <c r="F994" s="2286">
        <v>0</v>
      </c>
      <c r="G994" s="2287">
        <v>0</v>
      </c>
      <c r="H994" s="2287">
        <v>0</v>
      </c>
      <c r="I994" s="2287">
        <v>456</v>
      </c>
      <c r="J994" s="2286">
        <v>1171</v>
      </c>
    </row>
    <row r="995" spans="1:10" s="4722" customFormat="1" ht="13.5">
      <c r="A995" s="2287">
        <v>49350</v>
      </c>
      <c r="B995" s="2286">
        <v>49400</v>
      </c>
      <c r="C995" s="2287">
        <v>0</v>
      </c>
      <c r="D995" s="2287">
        <v>0</v>
      </c>
      <c r="E995" s="2287">
        <v>0</v>
      </c>
      <c r="F995" s="2286">
        <v>0</v>
      </c>
      <c r="G995" s="2287">
        <v>0</v>
      </c>
      <c r="H995" s="2287">
        <v>0</v>
      </c>
      <c r="I995" s="2287">
        <v>446</v>
      </c>
      <c r="J995" s="2286">
        <v>1160</v>
      </c>
    </row>
    <row r="996" spans="1:10" s="4722" customFormat="1" ht="13.5">
      <c r="A996" s="2287">
        <v>49400</v>
      </c>
      <c r="B996" s="2286">
        <v>49450</v>
      </c>
      <c r="C996" s="2287">
        <v>0</v>
      </c>
      <c r="D996" s="2287">
        <v>0</v>
      </c>
      <c r="E996" s="2287">
        <v>0</v>
      </c>
      <c r="F996" s="2286">
        <v>0</v>
      </c>
      <c r="G996" s="2287">
        <v>0</v>
      </c>
      <c r="H996" s="2287">
        <v>0</v>
      </c>
      <c r="I996" s="2287">
        <v>435</v>
      </c>
      <c r="J996" s="2286">
        <v>1150</v>
      </c>
    </row>
    <row r="997" spans="1:10" s="4722" customFormat="1" ht="13.5">
      <c r="A997" s="2287">
        <v>49450</v>
      </c>
      <c r="B997" s="2286">
        <v>49500</v>
      </c>
      <c r="C997" s="2287">
        <v>0</v>
      </c>
      <c r="D997" s="2287">
        <v>0</v>
      </c>
      <c r="E997" s="2287">
        <v>0</v>
      </c>
      <c r="F997" s="2286">
        <v>0</v>
      </c>
      <c r="G997" s="2287">
        <v>0</v>
      </c>
      <c r="H997" s="2287">
        <v>0</v>
      </c>
      <c r="I997" s="2287">
        <v>425</v>
      </c>
      <c r="J997" s="2286">
        <v>1139</v>
      </c>
    </row>
    <row r="998" spans="1:10" s="4722" customFormat="1" ht="13.5">
      <c r="A998" s="2287">
        <v>49500</v>
      </c>
      <c r="B998" s="2286">
        <v>49550</v>
      </c>
      <c r="C998" s="2287">
        <v>0</v>
      </c>
      <c r="D998" s="2287">
        <v>0</v>
      </c>
      <c r="E998" s="2287">
        <v>0</v>
      </c>
      <c r="F998" s="2286">
        <v>0</v>
      </c>
      <c r="G998" s="2287">
        <v>0</v>
      </c>
      <c r="H998" s="2287">
        <v>0</v>
      </c>
      <c r="I998" s="2287">
        <v>414</v>
      </c>
      <c r="J998" s="2286">
        <v>1129</v>
      </c>
    </row>
    <row r="999" spans="1:10" s="4722" customFormat="1" ht="13.5">
      <c r="A999" s="2287">
        <v>49550</v>
      </c>
      <c r="B999" s="2286">
        <v>49600</v>
      </c>
      <c r="C999" s="2287">
        <v>0</v>
      </c>
      <c r="D999" s="2287">
        <v>0</v>
      </c>
      <c r="E999" s="2287">
        <v>0</v>
      </c>
      <c r="F999" s="2286">
        <v>0</v>
      </c>
      <c r="G999" s="2287">
        <v>0</v>
      </c>
      <c r="H999" s="2287">
        <v>0</v>
      </c>
      <c r="I999" s="2287">
        <v>404</v>
      </c>
      <c r="J999" s="2286">
        <v>1118</v>
      </c>
    </row>
    <row r="1000" spans="1:10" s="4722" customFormat="1" ht="13.5">
      <c r="A1000" s="2287">
        <v>49600</v>
      </c>
      <c r="B1000" s="2286">
        <v>49650</v>
      </c>
      <c r="C1000" s="2287">
        <v>0</v>
      </c>
      <c r="D1000" s="2287">
        <v>0</v>
      </c>
      <c r="E1000" s="2287">
        <v>0</v>
      </c>
      <c r="F1000" s="2286">
        <v>0</v>
      </c>
      <c r="G1000" s="2287">
        <v>0</v>
      </c>
      <c r="H1000" s="2287">
        <v>0</v>
      </c>
      <c r="I1000" s="2287">
        <v>393</v>
      </c>
      <c r="J1000" s="2286">
        <v>1108</v>
      </c>
    </row>
    <row r="1001" spans="1:10" s="4722" customFormat="1" ht="13.5">
      <c r="A1001" s="2287">
        <v>49650</v>
      </c>
      <c r="B1001" s="2286">
        <v>49700</v>
      </c>
      <c r="C1001" s="2287">
        <v>0</v>
      </c>
      <c r="D1001" s="2287">
        <v>0</v>
      </c>
      <c r="E1001" s="2287">
        <v>0</v>
      </c>
      <c r="F1001" s="2286">
        <v>0</v>
      </c>
      <c r="G1001" s="2287">
        <v>0</v>
      </c>
      <c r="H1001" s="2287">
        <v>0</v>
      </c>
      <c r="I1001" s="2287">
        <v>383</v>
      </c>
      <c r="J1001" s="2286">
        <v>1097</v>
      </c>
    </row>
    <row r="1002" spans="1:10" s="4722" customFormat="1" ht="13.5">
      <c r="A1002" s="2287">
        <v>49700</v>
      </c>
      <c r="B1002" s="2286">
        <v>49750</v>
      </c>
      <c r="C1002" s="2287">
        <v>0</v>
      </c>
      <c r="D1002" s="2287">
        <v>0</v>
      </c>
      <c r="E1002" s="2287">
        <v>0</v>
      </c>
      <c r="F1002" s="2286">
        <v>0</v>
      </c>
      <c r="G1002" s="2287">
        <v>0</v>
      </c>
      <c r="H1002" s="2287">
        <v>0</v>
      </c>
      <c r="I1002" s="2287">
        <v>372</v>
      </c>
      <c r="J1002" s="2286">
        <v>1087</v>
      </c>
    </row>
    <row r="1003" spans="1:10" s="4722" customFormat="1" ht="13.5">
      <c r="A1003" s="2287">
        <v>49750</v>
      </c>
      <c r="B1003" s="2286">
        <v>49800</v>
      </c>
      <c r="C1003" s="2287">
        <v>0</v>
      </c>
      <c r="D1003" s="2287">
        <v>0</v>
      </c>
      <c r="E1003" s="2287">
        <v>0</v>
      </c>
      <c r="F1003" s="2286">
        <v>0</v>
      </c>
      <c r="G1003" s="2287">
        <v>0</v>
      </c>
      <c r="H1003" s="2287">
        <v>0</v>
      </c>
      <c r="I1003" s="2287">
        <v>361</v>
      </c>
      <c r="J1003" s="2286">
        <v>1076</v>
      </c>
    </row>
    <row r="1004" spans="1:10" s="4722" customFormat="1" ht="13.5">
      <c r="A1004" s="2287">
        <v>49800</v>
      </c>
      <c r="B1004" s="2286">
        <v>49850</v>
      </c>
      <c r="C1004" s="2287">
        <v>0</v>
      </c>
      <c r="D1004" s="2287">
        <v>0</v>
      </c>
      <c r="E1004" s="2287">
        <v>0</v>
      </c>
      <c r="F1004" s="2286">
        <v>0</v>
      </c>
      <c r="G1004" s="2287">
        <v>0</v>
      </c>
      <c r="H1004" s="2287">
        <v>0</v>
      </c>
      <c r="I1004" s="2287">
        <v>351</v>
      </c>
      <c r="J1004" s="2286">
        <v>1065</v>
      </c>
    </row>
    <row r="1005" spans="1:10" s="4722" customFormat="1" ht="13.5">
      <c r="A1005" s="2287">
        <v>49850</v>
      </c>
      <c r="B1005" s="2286">
        <v>49900</v>
      </c>
      <c r="C1005" s="2287">
        <v>0</v>
      </c>
      <c r="D1005" s="2287">
        <v>0</v>
      </c>
      <c r="E1005" s="2287">
        <v>0</v>
      </c>
      <c r="F1005" s="2286">
        <v>0</v>
      </c>
      <c r="G1005" s="2287">
        <v>0</v>
      </c>
      <c r="H1005" s="2287">
        <v>0</v>
      </c>
      <c r="I1005" s="2287">
        <v>340</v>
      </c>
      <c r="J1005" s="2286">
        <v>1055</v>
      </c>
    </row>
    <row r="1006" spans="1:10" s="4722" customFormat="1" ht="13.5">
      <c r="A1006" s="2287">
        <v>49900</v>
      </c>
      <c r="B1006" s="2286">
        <v>49950</v>
      </c>
      <c r="C1006" s="2287">
        <v>0</v>
      </c>
      <c r="D1006" s="2287">
        <v>0</v>
      </c>
      <c r="E1006" s="2287">
        <v>0</v>
      </c>
      <c r="F1006" s="2286">
        <v>0</v>
      </c>
      <c r="G1006" s="2287">
        <v>0</v>
      </c>
      <c r="H1006" s="2287">
        <v>0</v>
      </c>
      <c r="I1006" s="2287">
        <v>330</v>
      </c>
      <c r="J1006" s="2286">
        <v>1044</v>
      </c>
    </row>
    <row r="1007" spans="1:10" s="4722" customFormat="1" ht="13.5">
      <c r="A1007" s="2287">
        <v>49950</v>
      </c>
      <c r="B1007" s="2286">
        <v>50000</v>
      </c>
      <c r="C1007" s="2287">
        <v>0</v>
      </c>
      <c r="D1007" s="2287">
        <v>0</v>
      </c>
      <c r="E1007" s="2287">
        <v>0</v>
      </c>
      <c r="F1007" s="2286">
        <v>0</v>
      </c>
      <c r="G1007" s="2287">
        <v>0</v>
      </c>
      <c r="H1007" s="2287">
        <v>0</v>
      </c>
      <c r="I1007" s="2287">
        <v>319</v>
      </c>
      <c r="J1007" s="2286">
        <v>1034</v>
      </c>
    </row>
    <row r="1008" spans="1:10" s="4722" customFormat="1" ht="13.5">
      <c r="A1008" s="2287">
        <v>50000</v>
      </c>
      <c r="B1008" s="2286">
        <v>50050</v>
      </c>
      <c r="C1008" s="2287">
        <v>0</v>
      </c>
      <c r="D1008" s="2287">
        <v>0</v>
      </c>
      <c r="E1008" s="2287">
        <v>0</v>
      </c>
      <c r="F1008" s="2286">
        <v>0</v>
      </c>
      <c r="G1008" s="2287">
        <v>0</v>
      </c>
      <c r="H1008" s="2287">
        <v>0</v>
      </c>
      <c r="I1008" s="2287">
        <v>309</v>
      </c>
      <c r="J1008" s="2286">
        <v>1023</v>
      </c>
    </row>
    <row r="1009" spans="1:10" s="4722" customFormat="1" ht="13.5">
      <c r="A1009" s="2287">
        <v>50050</v>
      </c>
      <c r="B1009" s="2286">
        <v>50100</v>
      </c>
      <c r="C1009" s="2287">
        <v>0</v>
      </c>
      <c r="D1009" s="2287">
        <v>0</v>
      </c>
      <c r="E1009" s="2287">
        <v>0</v>
      </c>
      <c r="F1009" s="2286">
        <v>0</v>
      </c>
      <c r="G1009" s="2287">
        <v>0</v>
      </c>
      <c r="H1009" s="2287">
        <v>0</v>
      </c>
      <c r="I1009" s="2287">
        <v>298</v>
      </c>
      <c r="J1009" s="2286">
        <v>1013</v>
      </c>
    </row>
    <row r="1010" spans="1:10" s="4722" customFormat="1" ht="13.5">
      <c r="A1010" s="2287">
        <v>50100</v>
      </c>
      <c r="B1010" s="2286">
        <v>50150</v>
      </c>
      <c r="C1010" s="2287">
        <v>0</v>
      </c>
      <c r="D1010" s="2287">
        <v>0</v>
      </c>
      <c r="E1010" s="2287">
        <v>0</v>
      </c>
      <c r="F1010" s="2286">
        <v>0</v>
      </c>
      <c r="G1010" s="2287">
        <v>0</v>
      </c>
      <c r="H1010" s="2287">
        <v>0</v>
      </c>
      <c r="I1010" s="2287">
        <v>288</v>
      </c>
      <c r="J1010" s="2286">
        <v>1002</v>
      </c>
    </row>
    <row r="1011" spans="1:10" s="4722" customFormat="1" ht="13.5">
      <c r="A1011" s="2287">
        <v>50150</v>
      </c>
      <c r="B1011" s="2286">
        <v>50200</v>
      </c>
      <c r="C1011" s="2287">
        <v>0</v>
      </c>
      <c r="D1011" s="2287">
        <v>0</v>
      </c>
      <c r="E1011" s="2287">
        <v>0</v>
      </c>
      <c r="F1011" s="2286">
        <v>0</v>
      </c>
      <c r="G1011" s="2287">
        <v>0</v>
      </c>
      <c r="H1011" s="2287">
        <v>0</v>
      </c>
      <c r="I1011" s="2287">
        <v>277</v>
      </c>
      <c r="J1011" s="2286">
        <v>992</v>
      </c>
    </row>
    <row r="1012" spans="1:10" s="4722" customFormat="1" ht="13.5">
      <c r="A1012" s="2287">
        <v>50200</v>
      </c>
      <c r="B1012" s="2286">
        <v>50250</v>
      </c>
      <c r="C1012" s="2287">
        <v>0</v>
      </c>
      <c r="D1012" s="2287">
        <v>0</v>
      </c>
      <c r="E1012" s="2287">
        <v>0</v>
      </c>
      <c r="F1012" s="2286">
        <v>0</v>
      </c>
      <c r="G1012" s="2287">
        <v>0</v>
      </c>
      <c r="H1012" s="2287">
        <v>0</v>
      </c>
      <c r="I1012" s="2287">
        <v>267</v>
      </c>
      <c r="J1012" s="2286">
        <v>981</v>
      </c>
    </row>
    <row r="1013" spans="1:10" s="4722" customFormat="1" ht="13.5">
      <c r="A1013" s="2287">
        <v>50250</v>
      </c>
      <c r="B1013" s="2286">
        <v>50300</v>
      </c>
      <c r="C1013" s="2287">
        <v>0</v>
      </c>
      <c r="D1013" s="2287">
        <v>0</v>
      </c>
      <c r="E1013" s="2287">
        <v>0</v>
      </c>
      <c r="F1013" s="2286">
        <v>0</v>
      </c>
      <c r="G1013" s="2287">
        <v>0</v>
      </c>
      <c r="H1013" s="2287">
        <v>0</v>
      </c>
      <c r="I1013" s="2287">
        <v>256</v>
      </c>
      <c r="J1013" s="2286">
        <v>971</v>
      </c>
    </row>
    <row r="1014" spans="1:10" s="4722" customFormat="1" ht="13.5">
      <c r="A1014" s="2287">
        <v>50300</v>
      </c>
      <c r="B1014" s="2286">
        <v>50350</v>
      </c>
      <c r="C1014" s="2287">
        <v>0</v>
      </c>
      <c r="D1014" s="2287">
        <v>0</v>
      </c>
      <c r="E1014" s="2287">
        <v>0</v>
      </c>
      <c r="F1014" s="2286">
        <v>0</v>
      </c>
      <c r="G1014" s="2287">
        <v>0</v>
      </c>
      <c r="H1014" s="2287">
        <v>0</v>
      </c>
      <c r="I1014" s="2287">
        <v>246</v>
      </c>
      <c r="J1014" s="2286">
        <v>960</v>
      </c>
    </row>
    <row r="1015" spans="1:10" s="4722" customFormat="1" ht="13.5">
      <c r="A1015" s="2287">
        <v>50350</v>
      </c>
      <c r="B1015" s="2286">
        <v>50400</v>
      </c>
      <c r="C1015" s="2287">
        <v>0</v>
      </c>
      <c r="D1015" s="2287">
        <v>0</v>
      </c>
      <c r="E1015" s="2287">
        <v>0</v>
      </c>
      <c r="F1015" s="2286">
        <v>0</v>
      </c>
      <c r="G1015" s="2287">
        <v>0</v>
      </c>
      <c r="H1015" s="2287">
        <v>0</v>
      </c>
      <c r="I1015" s="2287">
        <v>235</v>
      </c>
      <c r="J1015" s="2286">
        <v>950</v>
      </c>
    </row>
    <row r="1016" spans="1:10" s="4722" customFormat="1" ht="13.5">
      <c r="A1016" s="2287">
        <v>50400</v>
      </c>
      <c r="B1016" s="2286">
        <v>50450</v>
      </c>
      <c r="C1016" s="2287">
        <v>0</v>
      </c>
      <c r="D1016" s="2287">
        <v>0</v>
      </c>
      <c r="E1016" s="2287">
        <v>0</v>
      </c>
      <c r="F1016" s="2286">
        <v>0</v>
      </c>
      <c r="G1016" s="2287">
        <v>0</v>
      </c>
      <c r="H1016" s="2287">
        <v>0</v>
      </c>
      <c r="I1016" s="2287">
        <v>225</v>
      </c>
      <c r="J1016" s="2286">
        <v>939</v>
      </c>
    </row>
    <row r="1017" spans="1:10" s="4722" customFormat="1" ht="13.5">
      <c r="A1017" s="2287">
        <v>50450</v>
      </c>
      <c r="B1017" s="2286">
        <v>50500</v>
      </c>
      <c r="C1017" s="2287">
        <v>0</v>
      </c>
      <c r="D1017" s="2287">
        <v>0</v>
      </c>
      <c r="E1017" s="2287">
        <v>0</v>
      </c>
      <c r="F1017" s="2286">
        <v>0</v>
      </c>
      <c r="G1017" s="2287">
        <v>0</v>
      </c>
      <c r="H1017" s="2287">
        <v>0</v>
      </c>
      <c r="I1017" s="2287">
        <v>214</v>
      </c>
      <c r="J1017" s="2286">
        <v>929</v>
      </c>
    </row>
    <row r="1018" spans="1:10" s="4722" customFormat="1" ht="13.5">
      <c r="A1018" s="2287">
        <v>50500</v>
      </c>
      <c r="B1018" s="2286">
        <v>50550</v>
      </c>
      <c r="C1018" s="2287">
        <v>0</v>
      </c>
      <c r="D1018" s="2287">
        <v>0</v>
      </c>
      <c r="E1018" s="2287">
        <v>0</v>
      </c>
      <c r="F1018" s="2286">
        <v>0</v>
      </c>
      <c r="G1018" s="2287">
        <v>0</v>
      </c>
      <c r="H1018" s="2287">
        <v>0</v>
      </c>
      <c r="I1018" s="2287">
        <v>204</v>
      </c>
      <c r="J1018" s="2286">
        <v>918</v>
      </c>
    </row>
    <row r="1019" spans="1:10" s="4722" customFormat="1" ht="13.5">
      <c r="A1019" s="2287">
        <v>50550</v>
      </c>
      <c r="B1019" s="2286">
        <v>50600</v>
      </c>
      <c r="C1019" s="2287">
        <v>0</v>
      </c>
      <c r="D1019" s="2287">
        <v>0</v>
      </c>
      <c r="E1019" s="2287">
        <v>0</v>
      </c>
      <c r="F1019" s="2286">
        <v>0</v>
      </c>
      <c r="G1019" s="2287">
        <v>0</v>
      </c>
      <c r="H1019" s="2287">
        <v>0</v>
      </c>
      <c r="I1019" s="2287">
        <v>193</v>
      </c>
      <c r="J1019" s="2286">
        <v>908</v>
      </c>
    </row>
    <row r="1020" spans="1:10" s="4722" customFormat="1" ht="13.5">
      <c r="A1020" s="2287">
        <v>50600</v>
      </c>
      <c r="B1020" s="2286">
        <v>50650</v>
      </c>
      <c r="C1020" s="2287">
        <v>0</v>
      </c>
      <c r="D1020" s="2287">
        <v>0</v>
      </c>
      <c r="E1020" s="2287">
        <v>0</v>
      </c>
      <c r="F1020" s="2286">
        <v>0</v>
      </c>
      <c r="G1020" s="2287">
        <v>0</v>
      </c>
      <c r="H1020" s="2287">
        <v>0</v>
      </c>
      <c r="I1020" s="2287">
        <v>182</v>
      </c>
      <c r="J1020" s="2286">
        <v>897</v>
      </c>
    </row>
    <row r="1021" spans="1:10" s="4722" customFormat="1" ht="13.5">
      <c r="A1021" s="2287">
        <v>50650</v>
      </c>
      <c r="B1021" s="2286">
        <v>50700</v>
      </c>
      <c r="C1021" s="2287">
        <v>0</v>
      </c>
      <c r="D1021" s="2287">
        <v>0</v>
      </c>
      <c r="E1021" s="2287">
        <v>0</v>
      </c>
      <c r="F1021" s="2286">
        <v>0</v>
      </c>
      <c r="G1021" s="2287">
        <v>0</v>
      </c>
      <c r="H1021" s="2287">
        <v>0</v>
      </c>
      <c r="I1021" s="2287">
        <v>172</v>
      </c>
      <c r="J1021" s="2286">
        <v>886</v>
      </c>
    </row>
    <row r="1022" spans="1:10" s="4722" customFormat="1" ht="13.5">
      <c r="A1022" s="2287">
        <v>50700</v>
      </c>
      <c r="B1022" s="2286">
        <v>50750</v>
      </c>
      <c r="C1022" s="2287">
        <v>0</v>
      </c>
      <c r="D1022" s="2287">
        <v>0</v>
      </c>
      <c r="E1022" s="2287">
        <v>0</v>
      </c>
      <c r="F1022" s="2286">
        <v>0</v>
      </c>
      <c r="G1022" s="2287">
        <v>0</v>
      </c>
      <c r="H1022" s="2287">
        <v>0</v>
      </c>
      <c r="I1022" s="2287">
        <v>161</v>
      </c>
      <c r="J1022" s="2286">
        <v>876</v>
      </c>
    </row>
    <row r="1023" spans="1:10" s="4722" customFormat="1" ht="13.5">
      <c r="A1023" s="2287">
        <v>50750</v>
      </c>
      <c r="B1023" s="2286">
        <v>50800</v>
      </c>
      <c r="C1023" s="2287">
        <v>0</v>
      </c>
      <c r="D1023" s="2287">
        <v>0</v>
      </c>
      <c r="E1023" s="2287">
        <v>0</v>
      </c>
      <c r="F1023" s="2286">
        <v>0</v>
      </c>
      <c r="G1023" s="2287">
        <v>0</v>
      </c>
      <c r="H1023" s="2287">
        <v>0</v>
      </c>
      <c r="I1023" s="2287">
        <v>151</v>
      </c>
      <c r="J1023" s="2286">
        <v>865</v>
      </c>
    </row>
    <row r="1024" spans="1:10" s="4722" customFormat="1" ht="13.5">
      <c r="A1024" s="2287">
        <v>50800</v>
      </c>
      <c r="B1024" s="2286">
        <v>50850</v>
      </c>
      <c r="C1024" s="2287">
        <v>0</v>
      </c>
      <c r="D1024" s="2287">
        <v>0</v>
      </c>
      <c r="E1024" s="2287">
        <v>0</v>
      </c>
      <c r="F1024" s="2286">
        <v>0</v>
      </c>
      <c r="G1024" s="2287">
        <v>0</v>
      </c>
      <c r="H1024" s="2287">
        <v>0</v>
      </c>
      <c r="I1024" s="2287">
        <v>140</v>
      </c>
      <c r="J1024" s="2286">
        <v>855</v>
      </c>
    </row>
    <row r="1025" spans="1:10" s="4722" customFormat="1" ht="13.5">
      <c r="A1025" s="2287">
        <v>50850</v>
      </c>
      <c r="B1025" s="2286">
        <v>50900</v>
      </c>
      <c r="C1025" s="2287">
        <v>0</v>
      </c>
      <c r="D1025" s="2287">
        <v>0</v>
      </c>
      <c r="E1025" s="2287">
        <v>0</v>
      </c>
      <c r="F1025" s="2286">
        <v>0</v>
      </c>
      <c r="G1025" s="2287">
        <v>0</v>
      </c>
      <c r="H1025" s="2287">
        <v>0</v>
      </c>
      <c r="I1025" s="2287">
        <v>130</v>
      </c>
      <c r="J1025" s="2286">
        <v>844</v>
      </c>
    </row>
    <row r="1026" spans="1:10" s="4722" customFormat="1" ht="13.5">
      <c r="A1026" s="2287">
        <v>50900</v>
      </c>
      <c r="B1026" s="2286">
        <v>50950</v>
      </c>
      <c r="C1026" s="2287">
        <v>0</v>
      </c>
      <c r="D1026" s="2287">
        <v>0</v>
      </c>
      <c r="E1026" s="2287">
        <v>0</v>
      </c>
      <c r="F1026" s="2286">
        <v>0</v>
      </c>
      <c r="G1026" s="2287">
        <v>0</v>
      </c>
      <c r="H1026" s="2287">
        <v>0</v>
      </c>
      <c r="I1026" s="2287">
        <v>119</v>
      </c>
      <c r="J1026" s="2286">
        <v>834</v>
      </c>
    </row>
    <row r="1027" spans="1:10" s="4722" customFormat="1" ht="13.5">
      <c r="A1027" s="2287">
        <v>50950</v>
      </c>
      <c r="B1027" s="2286">
        <v>51000</v>
      </c>
      <c r="C1027" s="2287">
        <v>0</v>
      </c>
      <c r="D1027" s="2287">
        <v>0</v>
      </c>
      <c r="E1027" s="2287">
        <v>0</v>
      </c>
      <c r="F1027" s="2286">
        <v>0</v>
      </c>
      <c r="G1027" s="2287">
        <v>0</v>
      </c>
      <c r="H1027" s="2287">
        <v>0</v>
      </c>
      <c r="I1027" s="2287">
        <v>109</v>
      </c>
      <c r="J1027" s="2286">
        <v>823</v>
      </c>
    </row>
    <row r="1028" spans="1:10" s="4722" customFormat="1" ht="13.5">
      <c r="A1028" s="2287">
        <v>51000</v>
      </c>
      <c r="B1028" s="2286">
        <v>51050</v>
      </c>
      <c r="C1028" s="2287">
        <v>0</v>
      </c>
      <c r="D1028" s="2287">
        <v>0</v>
      </c>
      <c r="E1028" s="2287">
        <v>0</v>
      </c>
      <c r="F1028" s="2286">
        <v>0</v>
      </c>
      <c r="G1028" s="2287">
        <v>0</v>
      </c>
      <c r="H1028" s="2287">
        <v>0</v>
      </c>
      <c r="I1028" s="2287">
        <v>98</v>
      </c>
      <c r="J1028" s="2286">
        <v>813</v>
      </c>
    </row>
    <row r="1029" spans="1:10" s="4722" customFormat="1" ht="13.5">
      <c r="A1029" s="2287">
        <v>51050</v>
      </c>
      <c r="B1029" s="2286">
        <v>51100</v>
      </c>
      <c r="C1029" s="2287">
        <v>0</v>
      </c>
      <c r="D1029" s="2287">
        <v>0</v>
      </c>
      <c r="E1029" s="2287">
        <v>0</v>
      </c>
      <c r="F1029" s="2286">
        <v>0</v>
      </c>
      <c r="G1029" s="2287">
        <v>0</v>
      </c>
      <c r="H1029" s="2287">
        <v>0</v>
      </c>
      <c r="I1029" s="2287">
        <v>88</v>
      </c>
      <c r="J1029" s="2286">
        <v>802</v>
      </c>
    </row>
    <row r="1030" spans="1:10" s="4722" customFormat="1" ht="13.5">
      <c r="A1030" s="2287">
        <v>51100</v>
      </c>
      <c r="B1030" s="2286">
        <v>51150</v>
      </c>
      <c r="C1030" s="2287">
        <v>0</v>
      </c>
      <c r="D1030" s="2287">
        <v>0</v>
      </c>
      <c r="E1030" s="2287">
        <v>0</v>
      </c>
      <c r="F1030" s="2286">
        <v>0</v>
      </c>
      <c r="G1030" s="2287">
        <v>0</v>
      </c>
      <c r="H1030" s="2287">
        <v>0</v>
      </c>
      <c r="I1030" s="2287">
        <v>77</v>
      </c>
      <c r="J1030" s="2286">
        <v>792</v>
      </c>
    </row>
    <row r="1031" spans="1:10" s="4722" customFormat="1" ht="13.5">
      <c r="A1031" s="2287">
        <v>51150</v>
      </c>
      <c r="B1031" s="2286">
        <v>51200</v>
      </c>
      <c r="C1031" s="2287">
        <v>0</v>
      </c>
      <c r="D1031" s="2287">
        <v>0</v>
      </c>
      <c r="E1031" s="2287">
        <v>0</v>
      </c>
      <c r="F1031" s="2286">
        <v>0</v>
      </c>
      <c r="G1031" s="2287">
        <v>0</v>
      </c>
      <c r="H1031" s="2287">
        <v>0</v>
      </c>
      <c r="I1031" s="2287">
        <v>67</v>
      </c>
      <c r="J1031" s="2286">
        <v>781</v>
      </c>
    </row>
    <row r="1032" spans="1:10" s="4722" customFormat="1" ht="13.5">
      <c r="A1032" s="2287">
        <v>51200</v>
      </c>
      <c r="B1032" s="2286">
        <v>51250</v>
      </c>
      <c r="C1032" s="2287">
        <v>0</v>
      </c>
      <c r="D1032" s="2287">
        <v>0</v>
      </c>
      <c r="E1032" s="2287">
        <v>0</v>
      </c>
      <c r="F1032" s="2286">
        <v>0</v>
      </c>
      <c r="G1032" s="2287">
        <v>0</v>
      </c>
      <c r="H1032" s="2287">
        <v>0</v>
      </c>
      <c r="I1032" s="2287">
        <v>56</v>
      </c>
      <c r="J1032" s="2286">
        <v>771</v>
      </c>
    </row>
    <row r="1033" spans="1:10" s="4722" customFormat="1" ht="13.5">
      <c r="A1033" s="2287">
        <v>51250</v>
      </c>
      <c r="B1033" s="2286">
        <v>51300</v>
      </c>
      <c r="C1033" s="2287">
        <v>0</v>
      </c>
      <c r="D1033" s="2287">
        <v>0</v>
      </c>
      <c r="E1033" s="2287">
        <v>0</v>
      </c>
      <c r="F1033" s="2286">
        <v>0</v>
      </c>
      <c r="G1033" s="2287">
        <v>0</v>
      </c>
      <c r="H1033" s="2287">
        <v>0</v>
      </c>
      <c r="I1033" s="2287">
        <v>46</v>
      </c>
      <c r="J1033" s="2286">
        <v>760</v>
      </c>
    </row>
    <row r="1034" spans="1:10" s="4722" customFormat="1" ht="13.5">
      <c r="A1034" s="2287">
        <v>51300</v>
      </c>
      <c r="B1034" s="2286">
        <v>51350</v>
      </c>
      <c r="C1034" s="2287">
        <v>0</v>
      </c>
      <c r="D1034" s="2287">
        <v>0</v>
      </c>
      <c r="E1034" s="2287">
        <v>0</v>
      </c>
      <c r="F1034" s="2286">
        <v>0</v>
      </c>
      <c r="G1034" s="2287">
        <v>0</v>
      </c>
      <c r="H1034" s="2287">
        <v>0</v>
      </c>
      <c r="I1034" s="2287">
        <v>35</v>
      </c>
      <c r="J1034" s="2286">
        <v>750</v>
      </c>
    </row>
    <row r="1035" spans="1:10" s="4722" customFormat="1" ht="13.5">
      <c r="A1035" s="2287">
        <v>51350</v>
      </c>
      <c r="B1035" s="2286">
        <v>51400</v>
      </c>
      <c r="C1035" s="2287">
        <v>0</v>
      </c>
      <c r="D1035" s="2287">
        <v>0</v>
      </c>
      <c r="E1035" s="2287">
        <v>0</v>
      </c>
      <c r="F1035" s="2286">
        <v>0</v>
      </c>
      <c r="G1035" s="2287">
        <v>0</v>
      </c>
      <c r="H1035" s="2287">
        <v>0</v>
      </c>
      <c r="I1035" s="2287">
        <v>25</v>
      </c>
      <c r="J1035" s="2286">
        <v>739</v>
      </c>
    </row>
    <row r="1036" spans="1:10" s="4722" customFormat="1" ht="13.5">
      <c r="A1036" s="2287">
        <v>51400</v>
      </c>
      <c r="B1036" s="2286">
        <v>51450</v>
      </c>
      <c r="C1036" s="2287">
        <v>0</v>
      </c>
      <c r="D1036" s="2287">
        <v>0</v>
      </c>
      <c r="E1036" s="2287">
        <v>0</v>
      </c>
      <c r="F1036" s="2286">
        <v>0</v>
      </c>
      <c r="G1036" s="2287">
        <v>0</v>
      </c>
      <c r="H1036" s="2287">
        <v>0</v>
      </c>
      <c r="I1036" s="2287">
        <v>14</v>
      </c>
      <c r="J1036" s="2286">
        <v>729</v>
      </c>
    </row>
    <row r="1037" spans="1:10" s="4722" customFormat="1" ht="13.5">
      <c r="A1037" s="2287">
        <v>51450</v>
      </c>
      <c r="B1037" s="2286">
        <v>51492</v>
      </c>
      <c r="C1037" s="2287">
        <v>0</v>
      </c>
      <c r="D1037" s="2287">
        <v>0</v>
      </c>
      <c r="E1037" s="2287">
        <v>0</v>
      </c>
      <c r="F1037" s="2286">
        <v>0</v>
      </c>
      <c r="G1037" s="2287">
        <v>0</v>
      </c>
      <c r="H1037" s="2287">
        <v>0</v>
      </c>
      <c r="I1037" s="2287">
        <v>4</v>
      </c>
      <c r="J1037" s="2286">
        <v>718</v>
      </c>
    </row>
    <row r="1038" spans="1:10" s="4722" customFormat="1" ht="13.5">
      <c r="A1038" s="2287">
        <v>51492</v>
      </c>
      <c r="B1038" s="2286">
        <v>51500</v>
      </c>
      <c r="C1038" s="2287">
        <v>0</v>
      </c>
      <c r="D1038" s="2287">
        <v>0</v>
      </c>
      <c r="E1038" s="2287">
        <v>0</v>
      </c>
      <c r="F1038" s="2286">
        <v>0</v>
      </c>
      <c r="G1038" s="2287">
        <v>0</v>
      </c>
      <c r="H1038" s="2287">
        <v>0</v>
      </c>
      <c r="I1038" s="2287">
        <v>0</v>
      </c>
      <c r="J1038" s="2286">
        <v>718</v>
      </c>
    </row>
    <row r="1039" spans="1:10" s="4722" customFormat="1" ht="13.5">
      <c r="A1039" s="2287">
        <v>51500</v>
      </c>
      <c r="B1039" s="2286">
        <v>51550</v>
      </c>
      <c r="C1039" s="2287">
        <v>0</v>
      </c>
      <c r="D1039" s="2287">
        <v>0</v>
      </c>
      <c r="E1039" s="2287">
        <v>0</v>
      </c>
      <c r="F1039" s="2286">
        <v>0</v>
      </c>
      <c r="G1039" s="2287">
        <v>0</v>
      </c>
      <c r="H1039" s="2287">
        <v>0</v>
      </c>
      <c r="I1039" s="2287">
        <v>0</v>
      </c>
      <c r="J1039" s="2286">
        <v>707</v>
      </c>
    </row>
    <row r="1040" spans="1:10" s="4722" customFormat="1" ht="13.5">
      <c r="A1040" s="2287">
        <v>51550</v>
      </c>
      <c r="B1040" s="2286">
        <v>51600</v>
      </c>
      <c r="C1040" s="2287">
        <v>0</v>
      </c>
      <c r="D1040" s="2287">
        <v>0</v>
      </c>
      <c r="E1040" s="2287">
        <v>0</v>
      </c>
      <c r="F1040" s="2286">
        <v>0</v>
      </c>
      <c r="G1040" s="2287">
        <v>0</v>
      </c>
      <c r="H1040" s="2287">
        <v>0</v>
      </c>
      <c r="I1040" s="2287">
        <v>0</v>
      </c>
      <c r="J1040" s="2286">
        <v>697</v>
      </c>
    </row>
    <row r="1041" spans="1:10" s="4722" customFormat="1" ht="13.5">
      <c r="A1041" s="2287">
        <v>51600</v>
      </c>
      <c r="B1041" s="2286">
        <v>51650</v>
      </c>
      <c r="C1041" s="2287">
        <v>0</v>
      </c>
      <c r="D1041" s="2287">
        <v>0</v>
      </c>
      <c r="E1041" s="2287">
        <v>0</v>
      </c>
      <c r="F1041" s="2286">
        <v>0</v>
      </c>
      <c r="G1041" s="2287">
        <v>0</v>
      </c>
      <c r="H1041" s="2287">
        <v>0</v>
      </c>
      <c r="I1041" s="2287">
        <v>0</v>
      </c>
      <c r="J1041" s="2286">
        <v>686</v>
      </c>
    </row>
    <row r="1042" spans="1:10" s="4722" customFormat="1" ht="13.5">
      <c r="A1042" s="2287">
        <v>51650</v>
      </c>
      <c r="B1042" s="2286">
        <v>51700</v>
      </c>
      <c r="C1042" s="2287">
        <v>0</v>
      </c>
      <c r="D1042" s="2287">
        <v>0</v>
      </c>
      <c r="E1042" s="2287">
        <v>0</v>
      </c>
      <c r="F1042" s="2286">
        <v>0</v>
      </c>
      <c r="G1042" s="2287">
        <v>0</v>
      </c>
      <c r="H1042" s="2287">
        <v>0</v>
      </c>
      <c r="I1042" s="2287">
        <v>0</v>
      </c>
      <c r="J1042" s="2286">
        <v>676</v>
      </c>
    </row>
    <row r="1043" spans="1:10" s="4722" customFormat="1" ht="13.5">
      <c r="A1043" s="2287">
        <v>51700</v>
      </c>
      <c r="B1043" s="2286">
        <v>51750</v>
      </c>
      <c r="C1043" s="2287">
        <v>0</v>
      </c>
      <c r="D1043" s="2287">
        <v>0</v>
      </c>
      <c r="E1043" s="2287">
        <v>0</v>
      </c>
      <c r="F1043" s="2286">
        <v>0</v>
      </c>
      <c r="G1043" s="2287">
        <v>0</v>
      </c>
      <c r="H1043" s="2287">
        <v>0</v>
      </c>
      <c r="I1043" s="2287">
        <v>0</v>
      </c>
      <c r="J1043" s="2286">
        <v>665</v>
      </c>
    </row>
    <row r="1044" spans="1:10" s="4722" customFormat="1" ht="13.5">
      <c r="A1044" s="2287">
        <v>51750</v>
      </c>
      <c r="B1044" s="2286">
        <v>51800</v>
      </c>
      <c r="C1044" s="2287">
        <v>0</v>
      </c>
      <c r="D1044" s="2287">
        <v>0</v>
      </c>
      <c r="E1044" s="2287">
        <v>0</v>
      </c>
      <c r="F1044" s="2286">
        <v>0</v>
      </c>
      <c r="G1044" s="2287">
        <v>0</v>
      </c>
      <c r="H1044" s="2287">
        <v>0</v>
      </c>
      <c r="I1044" s="2287">
        <v>0</v>
      </c>
      <c r="J1044" s="2286">
        <v>655</v>
      </c>
    </row>
    <row r="1045" spans="1:10" s="4722" customFormat="1" ht="13.5">
      <c r="A1045" s="2287">
        <v>51800</v>
      </c>
      <c r="B1045" s="2286">
        <v>51850</v>
      </c>
      <c r="C1045" s="2287">
        <v>0</v>
      </c>
      <c r="D1045" s="2287">
        <v>0</v>
      </c>
      <c r="E1045" s="2287">
        <v>0</v>
      </c>
      <c r="F1045" s="2286">
        <v>0</v>
      </c>
      <c r="G1045" s="2287">
        <v>0</v>
      </c>
      <c r="H1045" s="2287">
        <v>0</v>
      </c>
      <c r="I1045" s="2287">
        <v>0</v>
      </c>
      <c r="J1045" s="2286">
        <v>644</v>
      </c>
    </row>
    <row r="1046" spans="1:10" s="4722" customFormat="1" ht="13.5">
      <c r="A1046" s="2287">
        <v>51850</v>
      </c>
      <c r="B1046" s="2286">
        <v>51900</v>
      </c>
      <c r="C1046" s="2287">
        <v>0</v>
      </c>
      <c r="D1046" s="2287">
        <v>0</v>
      </c>
      <c r="E1046" s="2287">
        <v>0</v>
      </c>
      <c r="F1046" s="2286">
        <v>0</v>
      </c>
      <c r="G1046" s="2287">
        <v>0</v>
      </c>
      <c r="H1046" s="2287">
        <v>0</v>
      </c>
      <c r="I1046" s="2287">
        <v>0</v>
      </c>
      <c r="J1046" s="2286">
        <v>634</v>
      </c>
    </row>
    <row r="1047" spans="1:10" s="4722" customFormat="1" ht="13.5">
      <c r="A1047" s="2287">
        <v>51900</v>
      </c>
      <c r="B1047" s="2286">
        <v>51950</v>
      </c>
      <c r="C1047" s="2287">
        <v>0</v>
      </c>
      <c r="D1047" s="2287">
        <v>0</v>
      </c>
      <c r="E1047" s="2287">
        <v>0</v>
      </c>
      <c r="F1047" s="2286">
        <v>0</v>
      </c>
      <c r="G1047" s="2287">
        <v>0</v>
      </c>
      <c r="H1047" s="2287">
        <v>0</v>
      </c>
      <c r="I1047" s="2287">
        <v>0</v>
      </c>
      <c r="J1047" s="2286">
        <v>623</v>
      </c>
    </row>
    <row r="1048" spans="1:10" s="4722" customFormat="1" ht="13.5">
      <c r="A1048" s="2287">
        <v>51950</v>
      </c>
      <c r="B1048" s="2286">
        <v>52000</v>
      </c>
      <c r="C1048" s="2287">
        <v>0</v>
      </c>
      <c r="D1048" s="2287">
        <v>0</v>
      </c>
      <c r="E1048" s="2287">
        <v>0</v>
      </c>
      <c r="F1048" s="2286">
        <v>0</v>
      </c>
      <c r="G1048" s="2287">
        <v>0</v>
      </c>
      <c r="H1048" s="2287">
        <v>0</v>
      </c>
      <c r="I1048" s="2287">
        <v>0</v>
      </c>
      <c r="J1048" s="2286">
        <v>613</v>
      </c>
    </row>
    <row r="1049" spans="1:10" s="4722" customFormat="1" ht="13.5">
      <c r="A1049" s="2287">
        <v>52000</v>
      </c>
      <c r="B1049" s="2286">
        <v>52050</v>
      </c>
      <c r="C1049" s="2287">
        <v>0</v>
      </c>
      <c r="D1049" s="2287">
        <v>0</v>
      </c>
      <c r="E1049" s="2287">
        <v>0</v>
      </c>
      <c r="F1049" s="2286">
        <v>0</v>
      </c>
      <c r="G1049" s="2287">
        <v>0</v>
      </c>
      <c r="H1049" s="2287">
        <v>0</v>
      </c>
      <c r="I1049" s="2287">
        <v>0</v>
      </c>
      <c r="J1049" s="2286">
        <v>602</v>
      </c>
    </row>
    <row r="1050" spans="1:10" s="4722" customFormat="1" ht="13.5">
      <c r="A1050" s="2287">
        <v>52050</v>
      </c>
      <c r="B1050" s="2286">
        <v>52100</v>
      </c>
      <c r="C1050" s="2287">
        <v>0</v>
      </c>
      <c r="D1050" s="2287">
        <v>0</v>
      </c>
      <c r="E1050" s="2287">
        <v>0</v>
      </c>
      <c r="F1050" s="2286">
        <v>0</v>
      </c>
      <c r="G1050" s="2287">
        <v>0</v>
      </c>
      <c r="H1050" s="2287">
        <v>0</v>
      </c>
      <c r="I1050" s="2287">
        <v>0</v>
      </c>
      <c r="J1050" s="2286">
        <v>592</v>
      </c>
    </row>
    <row r="1051" spans="1:10" s="4722" customFormat="1" ht="13.5">
      <c r="A1051" s="2287">
        <v>52100</v>
      </c>
      <c r="B1051" s="2286">
        <v>52150</v>
      </c>
      <c r="C1051" s="2287">
        <v>0</v>
      </c>
      <c r="D1051" s="2287">
        <v>0</v>
      </c>
      <c r="E1051" s="2287">
        <v>0</v>
      </c>
      <c r="F1051" s="2286">
        <v>0</v>
      </c>
      <c r="G1051" s="2287">
        <v>0</v>
      </c>
      <c r="H1051" s="2287">
        <v>0</v>
      </c>
      <c r="I1051" s="2287">
        <v>0</v>
      </c>
      <c r="J1051" s="2286">
        <v>581</v>
      </c>
    </row>
    <row r="1052" spans="1:10" s="4722" customFormat="1" ht="13.5">
      <c r="A1052" s="2287">
        <v>52150</v>
      </c>
      <c r="B1052" s="2286">
        <v>52200</v>
      </c>
      <c r="C1052" s="2287">
        <v>0</v>
      </c>
      <c r="D1052" s="2287">
        <v>0</v>
      </c>
      <c r="E1052" s="2287">
        <v>0</v>
      </c>
      <c r="F1052" s="2286">
        <v>0</v>
      </c>
      <c r="G1052" s="2287">
        <v>0</v>
      </c>
      <c r="H1052" s="2287">
        <v>0</v>
      </c>
      <c r="I1052" s="2287">
        <v>0</v>
      </c>
      <c r="J1052" s="2286">
        <v>571</v>
      </c>
    </row>
    <row r="1053" spans="1:10" s="4722" customFormat="1" ht="13.5">
      <c r="A1053" s="2287">
        <v>52200</v>
      </c>
      <c r="B1053" s="2286">
        <v>52250</v>
      </c>
      <c r="C1053" s="2287">
        <v>0</v>
      </c>
      <c r="D1053" s="2287">
        <v>0</v>
      </c>
      <c r="E1053" s="2287">
        <v>0</v>
      </c>
      <c r="F1053" s="2286">
        <v>0</v>
      </c>
      <c r="G1053" s="2287">
        <v>0</v>
      </c>
      <c r="H1053" s="2287">
        <v>0</v>
      </c>
      <c r="I1053" s="2287">
        <v>0</v>
      </c>
      <c r="J1053" s="2286">
        <v>560</v>
      </c>
    </row>
    <row r="1054" spans="1:10" s="4722" customFormat="1" ht="13.5">
      <c r="A1054" s="2287">
        <v>52250</v>
      </c>
      <c r="B1054" s="2286">
        <v>52300</v>
      </c>
      <c r="C1054" s="2287">
        <v>0</v>
      </c>
      <c r="D1054" s="2287">
        <v>0</v>
      </c>
      <c r="E1054" s="2287">
        <v>0</v>
      </c>
      <c r="F1054" s="2286">
        <v>0</v>
      </c>
      <c r="G1054" s="2287">
        <v>0</v>
      </c>
      <c r="H1054" s="2287">
        <v>0</v>
      </c>
      <c r="I1054" s="2287">
        <v>0</v>
      </c>
      <c r="J1054" s="2286">
        <v>549</v>
      </c>
    </row>
    <row r="1055" spans="1:10" s="4722" customFormat="1" ht="13.5">
      <c r="A1055" s="2287">
        <v>52300</v>
      </c>
      <c r="B1055" s="2286">
        <v>52350</v>
      </c>
      <c r="C1055" s="2287">
        <v>0</v>
      </c>
      <c r="D1055" s="2287">
        <v>0</v>
      </c>
      <c r="E1055" s="2287">
        <v>0</v>
      </c>
      <c r="F1055" s="2286">
        <v>0</v>
      </c>
      <c r="G1055" s="2287">
        <v>0</v>
      </c>
      <c r="H1055" s="2287">
        <v>0</v>
      </c>
      <c r="I1055" s="2287">
        <v>0</v>
      </c>
      <c r="J1055" s="2286">
        <v>539</v>
      </c>
    </row>
    <row r="1056" spans="1:10" s="4722" customFormat="1" ht="13.5">
      <c r="A1056" s="2287">
        <v>52350</v>
      </c>
      <c r="B1056" s="2286">
        <v>52400</v>
      </c>
      <c r="C1056" s="2287">
        <v>0</v>
      </c>
      <c r="D1056" s="2287">
        <v>0</v>
      </c>
      <c r="E1056" s="2287">
        <v>0</v>
      </c>
      <c r="F1056" s="2286">
        <v>0</v>
      </c>
      <c r="G1056" s="2287">
        <v>0</v>
      </c>
      <c r="H1056" s="2287">
        <v>0</v>
      </c>
      <c r="I1056" s="2287">
        <v>0</v>
      </c>
      <c r="J1056" s="2286">
        <v>528</v>
      </c>
    </row>
    <row r="1057" spans="1:10" s="4722" customFormat="1" ht="13.5">
      <c r="A1057" s="2287">
        <v>52400</v>
      </c>
      <c r="B1057" s="2286">
        <v>52450</v>
      </c>
      <c r="C1057" s="2287">
        <v>0</v>
      </c>
      <c r="D1057" s="2287">
        <v>0</v>
      </c>
      <c r="E1057" s="2287">
        <v>0</v>
      </c>
      <c r="F1057" s="2286">
        <v>0</v>
      </c>
      <c r="G1057" s="2287">
        <v>0</v>
      </c>
      <c r="H1057" s="2287">
        <v>0</v>
      </c>
      <c r="I1057" s="2287">
        <v>0</v>
      </c>
      <c r="J1057" s="2286">
        <v>518</v>
      </c>
    </row>
    <row r="1058" spans="1:10" s="4722" customFormat="1" ht="13.5">
      <c r="A1058" s="2287">
        <v>52450</v>
      </c>
      <c r="B1058" s="2286">
        <v>52500</v>
      </c>
      <c r="C1058" s="2287">
        <v>0</v>
      </c>
      <c r="D1058" s="2287">
        <v>0</v>
      </c>
      <c r="E1058" s="2287">
        <v>0</v>
      </c>
      <c r="F1058" s="2286">
        <v>0</v>
      </c>
      <c r="G1058" s="2287">
        <v>0</v>
      </c>
      <c r="H1058" s="2287">
        <v>0</v>
      </c>
      <c r="I1058" s="2287">
        <v>0</v>
      </c>
      <c r="J1058" s="2286">
        <v>507</v>
      </c>
    </row>
    <row r="1059" spans="1:10" s="4722" customFormat="1" ht="13.5">
      <c r="A1059" s="2287">
        <v>52500</v>
      </c>
      <c r="B1059" s="2286">
        <v>52550</v>
      </c>
      <c r="C1059" s="2287">
        <v>0</v>
      </c>
      <c r="D1059" s="2287">
        <v>0</v>
      </c>
      <c r="E1059" s="2287">
        <v>0</v>
      </c>
      <c r="F1059" s="2286">
        <v>0</v>
      </c>
      <c r="G1059" s="2287">
        <v>0</v>
      </c>
      <c r="H1059" s="2287">
        <v>0</v>
      </c>
      <c r="I1059" s="2287">
        <v>0</v>
      </c>
      <c r="J1059" s="2286">
        <v>497</v>
      </c>
    </row>
    <row r="1060" spans="1:10" s="4722" customFormat="1" ht="13.5">
      <c r="A1060" s="2287">
        <v>52550</v>
      </c>
      <c r="B1060" s="2286">
        <v>52600</v>
      </c>
      <c r="C1060" s="2287">
        <v>0</v>
      </c>
      <c r="D1060" s="2287">
        <v>0</v>
      </c>
      <c r="E1060" s="2287">
        <v>0</v>
      </c>
      <c r="F1060" s="2286">
        <v>0</v>
      </c>
      <c r="G1060" s="2287">
        <v>0</v>
      </c>
      <c r="H1060" s="2287">
        <v>0</v>
      </c>
      <c r="I1060" s="2287">
        <v>0</v>
      </c>
      <c r="J1060" s="2286">
        <v>486</v>
      </c>
    </row>
    <row r="1061" spans="1:10" s="4722" customFormat="1" ht="13.5">
      <c r="A1061" s="2287">
        <v>52600</v>
      </c>
      <c r="B1061" s="2286">
        <v>52650</v>
      </c>
      <c r="C1061" s="2287">
        <v>0</v>
      </c>
      <c r="D1061" s="2287">
        <v>0</v>
      </c>
      <c r="E1061" s="2287">
        <v>0</v>
      </c>
      <c r="F1061" s="2286">
        <v>0</v>
      </c>
      <c r="G1061" s="2287">
        <v>0</v>
      </c>
      <c r="H1061" s="2287">
        <v>0</v>
      </c>
      <c r="I1061" s="2287">
        <v>0</v>
      </c>
      <c r="J1061" s="2286">
        <v>476</v>
      </c>
    </row>
    <row r="1062" spans="1:10" s="4722" customFormat="1" ht="13.5">
      <c r="A1062" s="2287">
        <v>52650</v>
      </c>
      <c r="B1062" s="2286">
        <v>52700</v>
      </c>
      <c r="C1062" s="2287">
        <v>0</v>
      </c>
      <c r="D1062" s="2287">
        <v>0</v>
      </c>
      <c r="E1062" s="2287">
        <v>0</v>
      </c>
      <c r="F1062" s="2286">
        <v>0</v>
      </c>
      <c r="G1062" s="2287">
        <v>0</v>
      </c>
      <c r="H1062" s="2287">
        <v>0</v>
      </c>
      <c r="I1062" s="2287">
        <v>0</v>
      </c>
      <c r="J1062" s="2286">
        <v>465</v>
      </c>
    </row>
    <row r="1063" spans="1:10" s="4722" customFormat="1" ht="13.5">
      <c r="A1063" s="2287">
        <v>52700</v>
      </c>
      <c r="B1063" s="2286">
        <v>52750</v>
      </c>
      <c r="C1063" s="2287">
        <v>0</v>
      </c>
      <c r="D1063" s="2287">
        <v>0</v>
      </c>
      <c r="E1063" s="2287">
        <v>0</v>
      </c>
      <c r="F1063" s="2286">
        <v>0</v>
      </c>
      <c r="G1063" s="2287">
        <v>0</v>
      </c>
      <c r="H1063" s="2287">
        <v>0</v>
      </c>
      <c r="I1063" s="2287">
        <v>0</v>
      </c>
      <c r="J1063" s="2286">
        <v>455</v>
      </c>
    </row>
    <row r="1064" spans="1:10" s="4722" customFormat="1" ht="13.5">
      <c r="A1064" s="2287">
        <v>52750</v>
      </c>
      <c r="B1064" s="2286">
        <v>52800</v>
      </c>
      <c r="C1064" s="2287">
        <v>0</v>
      </c>
      <c r="D1064" s="2287">
        <v>0</v>
      </c>
      <c r="E1064" s="2287">
        <v>0</v>
      </c>
      <c r="F1064" s="2286">
        <v>0</v>
      </c>
      <c r="G1064" s="2287">
        <v>0</v>
      </c>
      <c r="H1064" s="2287">
        <v>0</v>
      </c>
      <c r="I1064" s="2287">
        <v>0</v>
      </c>
      <c r="J1064" s="2286">
        <v>444</v>
      </c>
    </row>
    <row r="1065" spans="1:10" s="4722" customFormat="1" ht="13.5">
      <c r="A1065" s="2287">
        <v>52800</v>
      </c>
      <c r="B1065" s="2286">
        <v>52850</v>
      </c>
      <c r="C1065" s="2287">
        <v>0</v>
      </c>
      <c r="D1065" s="2287">
        <v>0</v>
      </c>
      <c r="E1065" s="2287">
        <v>0</v>
      </c>
      <c r="F1065" s="2286">
        <v>0</v>
      </c>
      <c r="G1065" s="2287">
        <v>0</v>
      </c>
      <c r="H1065" s="2287">
        <v>0</v>
      </c>
      <c r="I1065" s="2287">
        <v>0</v>
      </c>
      <c r="J1065" s="2286">
        <v>434</v>
      </c>
    </row>
    <row r="1066" spans="1:10" s="4722" customFormat="1" ht="13.5">
      <c r="A1066" s="2287">
        <v>52850</v>
      </c>
      <c r="B1066" s="2286">
        <v>52900</v>
      </c>
      <c r="C1066" s="2287">
        <v>0</v>
      </c>
      <c r="D1066" s="2287">
        <v>0</v>
      </c>
      <c r="E1066" s="2287">
        <v>0</v>
      </c>
      <c r="F1066" s="2286">
        <v>0</v>
      </c>
      <c r="G1066" s="2287">
        <v>0</v>
      </c>
      <c r="H1066" s="2287">
        <v>0</v>
      </c>
      <c r="I1066" s="2287">
        <v>0</v>
      </c>
      <c r="J1066" s="2286">
        <v>423</v>
      </c>
    </row>
    <row r="1067" spans="1:10" s="4722" customFormat="1" ht="13.5">
      <c r="A1067" s="2287">
        <v>52900</v>
      </c>
      <c r="B1067" s="2286">
        <v>52950</v>
      </c>
      <c r="C1067" s="2287">
        <v>0</v>
      </c>
      <c r="D1067" s="2287">
        <v>0</v>
      </c>
      <c r="E1067" s="2287">
        <v>0</v>
      </c>
      <c r="F1067" s="2286">
        <v>0</v>
      </c>
      <c r="G1067" s="2287">
        <v>0</v>
      </c>
      <c r="H1067" s="2287">
        <v>0</v>
      </c>
      <c r="I1067" s="2287">
        <v>0</v>
      </c>
      <c r="J1067" s="2286">
        <v>413</v>
      </c>
    </row>
    <row r="1068" spans="1:10" s="4722" customFormat="1" ht="13.5">
      <c r="A1068" s="2287">
        <v>52950</v>
      </c>
      <c r="B1068" s="2286">
        <v>53000</v>
      </c>
      <c r="C1068" s="2287">
        <v>0</v>
      </c>
      <c r="D1068" s="2287">
        <v>0</v>
      </c>
      <c r="E1068" s="2287">
        <v>0</v>
      </c>
      <c r="F1068" s="2286">
        <v>0</v>
      </c>
      <c r="G1068" s="2287">
        <v>0</v>
      </c>
      <c r="H1068" s="2287">
        <v>0</v>
      </c>
      <c r="I1068" s="2287">
        <v>0</v>
      </c>
      <c r="J1068" s="2286">
        <v>402</v>
      </c>
    </row>
    <row r="1069" spans="1:10" s="4722" customFormat="1" ht="13.5">
      <c r="A1069" s="2287">
        <v>53000</v>
      </c>
      <c r="B1069" s="2286">
        <v>53050</v>
      </c>
      <c r="C1069" s="2287">
        <v>0</v>
      </c>
      <c r="D1069" s="2287">
        <v>0</v>
      </c>
      <c r="E1069" s="2287">
        <v>0</v>
      </c>
      <c r="F1069" s="2286">
        <v>0</v>
      </c>
      <c r="G1069" s="2287">
        <v>0</v>
      </c>
      <c r="H1069" s="2287">
        <v>0</v>
      </c>
      <c r="I1069" s="2287">
        <v>0</v>
      </c>
      <c r="J1069" s="2286">
        <v>392</v>
      </c>
    </row>
    <row r="1070" spans="1:10" s="4722" customFormat="1" ht="13.5">
      <c r="A1070" s="2287">
        <v>53050</v>
      </c>
      <c r="B1070" s="2286">
        <v>53100</v>
      </c>
      <c r="C1070" s="2287">
        <v>0</v>
      </c>
      <c r="D1070" s="2287">
        <v>0</v>
      </c>
      <c r="E1070" s="2287">
        <v>0</v>
      </c>
      <c r="F1070" s="2286">
        <v>0</v>
      </c>
      <c r="G1070" s="2287">
        <v>0</v>
      </c>
      <c r="H1070" s="2287">
        <v>0</v>
      </c>
      <c r="I1070" s="2287">
        <v>0</v>
      </c>
      <c r="J1070" s="2286">
        <v>381</v>
      </c>
    </row>
    <row r="1071" spans="1:10" s="4722" customFormat="1" ht="13.5">
      <c r="A1071" s="2287">
        <v>53100</v>
      </c>
      <c r="B1071" s="2286">
        <v>53150</v>
      </c>
      <c r="C1071" s="2287">
        <v>0</v>
      </c>
      <c r="D1071" s="2287">
        <v>0</v>
      </c>
      <c r="E1071" s="2287">
        <v>0</v>
      </c>
      <c r="F1071" s="2286">
        <v>0</v>
      </c>
      <c r="G1071" s="2287">
        <v>0</v>
      </c>
      <c r="H1071" s="2287">
        <v>0</v>
      </c>
      <c r="I1071" s="2287">
        <v>0</v>
      </c>
      <c r="J1071" s="2286">
        <v>370</v>
      </c>
    </row>
    <row r="1072" spans="1:10" s="4722" customFormat="1" ht="13.5">
      <c r="A1072" s="2287">
        <v>53150</v>
      </c>
      <c r="B1072" s="2286">
        <v>53200</v>
      </c>
      <c r="C1072" s="2287">
        <v>0</v>
      </c>
      <c r="D1072" s="2287">
        <v>0</v>
      </c>
      <c r="E1072" s="2287">
        <v>0</v>
      </c>
      <c r="F1072" s="2286">
        <v>0</v>
      </c>
      <c r="G1072" s="2287">
        <v>0</v>
      </c>
      <c r="H1072" s="2287">
        <v>0</v>
      </c>
      <c r="I1072" s="2287">
        <v>0</v>
      </c>
      <c r="J1072" s="2286">
        <v>360</v>
      </c>
    </row>
    <row r="1073" spans="1:10" s="4722" customFormat="1" ht="13.5">
      <c r="A1073" s="2287">
        <v>53200</v>
      </c>
      <c r="B1073" s="2286">
        <v>53250</v>
      </c>
      <c r="C1073" s="2287">
        <v>0</v>
      </c>
      <c r="D1073" s="2287">
        <v>0</v>
      </c>
      <c r="E1073" s="2287">
        <v>0</v>
      </c>
      <c r="F1073" s="2286">
        <v>0</v>
      </c>
      <c r="G1073" s="2287">
        <v>0</v>
      </c>
      <c r="H1073" s="2287">
        <v>0</v>
      </c>
      <c r="I1073" s="2287">
        <v>0</v>
      </c>
      <c r="J1073" s="2286">
        <v>349</v>
      </c>
    </row>
    <row r="1074" spans="1:10" s="4722" customFormat="1" ht="13.5">
      <c r="A1074" s="2287">
        <v>53250</v>
      </c>
      <c r="B1074" s="2286">
        <v>53300</v>
      </c>
      <c r="C1074" s="2287">
        <v>0</v>
      </c>
      <c r="D1074" s="2287">
        <v>0</v>
      </c>
      <c r="E1074" s="2287">
        <v>0</v>
      </c>
      <c r="F1074" s="2286">
        <v>0</v>
      </c>
      <c r="G1074" s="2287">
        <v>0</v>
      </c>
      <c r="H1074" s="2287">
        <v>0</v>
      </c>
      <c r="I1074" s="2287">
        <v>0</v>
      </c>
      <c r="J1074" s="2286">
        <v>339</v>
      </c>
    </row>
    <row r="1075" spans="1:10" s="4722" customFormat="1" ht="13.5">
      <c r="A1075" s="2287">
        <v>53300</v>
      </c>
      <c r="B1075" s="2286">
        <v>53350</v>
      </c>
      <c r="C1075" s="2287">
        <v>0</v>
      </c>
      <c r="D1075" s="2287">
        <v>0</v>
      </c>
      <c r="E1075" s="2287">
        <v>0</v>
      </c>
      <c r="F1075" s="2286">
        <v>0</v>
      </c>
      <c r="G1075" s="2287">
        <v>0</v>
      </c>
      <c r="H1075" s="2287">
        <v>0</v>
      </c>
      <c r="I1075" s="2287">
        <v>0</v>
      </c>
      <c r="J1075" s="2286">
        <v>328</v>
      </c>
    </row>
    <row r="1076" spans="1:10" s="4722" customFormat="1" ht="13.5">
      <c r="A1076" s="2287">
        <v>53350</v>
      </c>
      <c r="B1076" s="2286">
        <v>53400</v>
      </c>
      <c r="C1076" s="2287">
        <v>0</v>
      </c>
      <c r="D1076" s="2287">
        <v>0</v>
      </c>
      <c r="E1076" s="2287">
        <v>0</v>
      </c>
      <c r="F1076" s="2286">
        <v>0</v>
      </c>
      <c r="G1076" s="2287">
        <v>0</v>
      </c>
      <c r="H1076" s="2287">
        <v>0</v>
      </c>
      <c r="I1076" s="2287">
        <v>0</v>
      </c>
      <c r="J1076" s="2286">
        <v>318</v>
      </c>
    </row>
    <row r="1077" spans="1:10" s="4722" customFormat="1" ht="13.5">
      <c r="A1077" s="2287">
        <v>53400</v>
      </c>
      <c r="B1077" s="2286">
        <v>53450</v>
      </c>
      <c r="C1077" s="2287">
        <v>0</v>
      </c>
      <c r="D1077" s="2287">
        <v>0</v>
      </c>
      <c r="E1077" s="2287">
        <v>0</v>
      </c>
      <c r="F1077" s="2286">
        <v>0</v>
      </c>
      <c r="G1077" s="2287">
        <v>0</v>
      </c>
      <c r="H1077" s="2287">
        <v>0</v>
      </c>
      <c r="I1077" s="2287">
        <v>0</v>
      </c>
      <c r="J1077" s="2286">
        <v>307</v>
      </c>
    </row>
    <row r="1078" spans="1:10" s="4722" customFormat="1" ht="13.5">
      <c r="A1078" s="2287">
        <v>53450</v>
      </c>
      <c r="B1078" s="2286">
        <v>53500</v>
      </c>
      <c r="C1078" s="2287">
        <v>0</v>
      </c>
      <c r="D1078" s="2287">
        <v>0</v>
      </c>
      <c r="E1078" s="2287">
        <v>0</v>
      </c>
      <c r="F1078" s="2286">
        <v>0</v>
      </c>
      <c r="G1078" s="2287">
        <v>0</v>
      </c>
      <c r="H1078" s="2287">
        <v>0</v>
      </c>
      <c r="I1078" s="2287">
        <v>0</v>
      </c>
      <c r="J1078" s="2286">
        <v>297</v>
      </c>
    </row>
    <row r="1079" spans="1:10" s="4722" customFormat="1" ht="13.5">
      <c r="A1079" s="2287">
        <v>53500</v>
      </c>
      <c r="B1079" s="2286">
        <v>53550</v>
      </c>
      <c r="C1079" s="2287">
        <v>0</v>
      </c>
      <c r="D1079" s="2287">
        <v>0</v>
      </c>
      <c r="E1079" s="2287">
        <v>0</v>
      </c>
      <c r="F1079" s="2286">
        <v>0</v>
      </c>
      <c r="G1079" s="2287">
        <v>0</v>
      </c>
      <c r="H1079" s="2287">
        <v>0</v>
      </c>
      <c r="I1079" s="2287">
        <v>0</v>
      </c>
      <c r="J1079" s="2286">
        <v>286</v>
      </c>
    </row>
    <row r="1080" spans="1:10" s="4722" customFormat="1" ht="13.5">
      <c r="A1080" s="2287">
        <v>53550</v>
      </c>
      <c r="B1080" s="2286">
        <v>53600</v>
      </c>
      <c r="C1080" s="2287">
        <v>0</v>
      </c>
      <c r="D1080" s="2287">
        <v>0</v>
      </c>
      <c r="E1080" s="2287">
        <v>0</v>
      </c>
      <c r="F1080" s="2286">
        <v>0</v>
      </c>
      <c r="G1080" s="2287">
        <v>0</v>
      </c>
      <c r="H1080" s="2287">
        <v>0</v>
      </c>
      <c r="I1080" s="2287">
        <v>0</v>
      </c>
      <c r="J1080" s="2286">
        <v>276</v>
      </c>
    </row>
    <row r="1081" spans="1:10" s="4722" customFormat="1" ht="13.5">
      <c r="A1081" s="2287">
        <v>53600</v>
      </c>
      <c r="B1081" s="2286">
        <v>53650</v>
      </c>
      <c r="C1081" s="2287">
        <v>0</v>
      </c>
      <c r="D1081" s="2287">
        <v>0</v>
      </c>
      <c r="E1081" s="2287">
        <v>0</v>
      </c>
      <c r="F1081" s="2286">
        <v>0</v>
      </c>
      <c r="G1081" s="2287">
        <v>0</v>
      </c>
      <c r="H1081" s="2287">
        <v>0</v>
      </c>
      <c r="I1081" s="2287">
        <v>0</v>
      </c>
      <c r="J1081" s="2286">
        <v>265</v>
      </c>
    </row>
    <row r="1082" spans="1:10" s="4722" customFormat="1" ht="13.5">
      <c r="A1082" s="2287">
        <v>53650</v>
      </c>
      <c r="B1082" s="2286">
        <v>53700</v>
      </c>
      <c r="C1082" s="2287">
        <v>0</v>
      </c>
      <c r="D1082" s="2287">
        <v>0</v>
      </c>
      <c r="E1082" s="2287">
        <v>0</v>
      </c>
      <c r="F1082" s="2286">
        <v>0</v>
      </c>
      <c r="G1082" s="2287">
        <v>0</v>
      </c>
      <c r="H1082" s="2287">
        <v>0</v>
      </c>
      <c r="I1082" s="2287">
        <v>0</v>
      </c>
      <c r="J1082" s="2286">
        <v>255</v>
      </c>
    </row>
    <row r="1083" spans="1:10" s="4722" customFormat="1" ht="13.5">
      <c r="A1083" s="2287">
        <v>53700</v>
      </c>
      <c r="B1083" s="2286">
        <v>53750</v>
      </c>
      <c r="C1083" s="2287">
        <v>0</v>
      </c>
      <c r="D1083" s="2287">
        <v>0</v>
      </c>
      <c r="E1083" s="2287">
        <v>0</v>
      </c>
      <c r="F1083" s="2286">
        <v>0</v>
      </c>
      <c r="G1083" s="2287">
        <v>0</v>
      </c>
      <c r="H1083" s="2287">
        <v>0</v>
      </c>
      <c r="I1083" s="2287">
        <v>0</v>
      </c>
      <c r="J1083" s="2286">
        <v>244</v>
      </c>
    </row>
    <row r="1084" spans="1:10" s="4722" customFormat="1" ht="13.5">
      <c r="A1084" s="2287">
        <v>53750</v>
      </c>
      <c r="B1084" s="2286">
        <v>53800</v>
      </c>
      <c r="C1084" s="2287">
        <v>0</v>
      </c>
      <c r="D1084" s="2287">
        <v>0</v>
      </c>
      <c r="E1084" s="2287">
        <v>0</v>
      </c>
      <c r="F1084" s="2286">
        <v>0</v>
      </c>
      <c r="G1084" s="2287">
        <v>0</v>
      </c>
      <c r="H1084" s="2287">
        <v>0</v>
      </c>
      <c r="I1084" s="2287">
        <v>0</v>
      </c>
      <c r="J1084" s="2286">
        <v>234</v>
      </c>
    </row>
    <row r="1085" spans="1:10" s="4722" customFormat="1" ht="13.5">
      <c r="A1085" s="2287">
        <v>53800</v>
      </c>
      <c r="B1085" s="2286">
        <v>53850</v>
      </c>
      <c r="C1085" s="2287">
        <v>0</v>
      </c>
      <c r="D1085" s="2287">
        <v>0</v>
      </c>
      <c r="E1085" s="2287">
        <v>0</v>
      </c>
      <c r="F1085" s="2286">
        <v>0</v>
      </c>
      <c r="G1085" s="2287">
        <v>0</v>
      </c>
      <c r="H1085" s="2287">
        <v>0</v>
      </c>
      <c r="I1085" s="2287">
        <v>0</v>
      </c>
      <c r="J1085" s="2286">
        <v>223</v>
      </c>
    </row>
    <row r="1086" spans="1:10" s="4722" customFormat="1" ht="13.5">
      <c r="A1086" s="2287">
        <v>53850</v>
      </c>
      <c r="B1086" s="2286">
        <v>53900</v>
      </c>
      <c r="C1086" s="2287">
        <v>0</v>
      </c>
      <c r="D1086" s="2287">
        <v>0</v>
      </c>
      <c r="E1086" s="2287">
        <v>0</v>
      </c>
      <c r="F1086" s="2286">
        <v>0</v>
      </c>
      <c r="G1086" s="2287">
        <v>0</v>
      </c>
      <c r="H1086" s="2287">
        <v>0</v>
      </c>
      <c r="I1086" s="2287">
        <v>0</v>
      </c>
      <c r="J1086" s="2286">
        <v>213</v>
      </c>
    </row>
    <row r="1087" spans="1:10" s="4722" customFormat="1" ht="13.5">
      <c r="A1087" s="2287">
        <v>53900</v>
      </c>
      <c r="B1087" s="2286">
        <v>53950</v>
      </c>
      <c r="C1087" s="2287">
        <v>0</v>
      </c>
      <c r="D1087" s="2287">
        <v>0</v>
      </c>
      <c r="E1087" s="2287">
        <v>0</v>
      </c>
      <c r="F1087" s="2286">
        <v>0</v>
      </c>
      <c r="G1087" s="2287">
        <v>0</v>
      </c>
      <c r="H1087" s="2287">
        <v>0</v>
      </c>
      <c r="I1087" s="2287">
        <v>0</v>
      </c>
      <c r="J1087" s="2286">
        <v>202</v>
      </c>
    </row>
    <row r="1088" spans="1:10" s="4722" customFormat="1" ht="13.5">
      <c r="A1088" s="2287">
        <v>53950</v>
      </c>
      <c r="B1088" s="2286">
        <v>54000</v>
      </c>
      <c r="C1088" s="2287">
        <v>0</v>
      </c>
      <c r="D1088" s="2287">
        <v>0</v>
      </c>
      <c r="E1088" s="2287">
        <v>0</v>
      </c>
      <c r="F1088" s="2286">
        <v>0</v>
      </c>
      <c r="G1088" s="2287">
        <v>0</v>
      </c>
      <c r="H1088" s="2287">
        <v>0</v>
      </c>
      <c r="I1088" s="2287">
        <v>0</v>
      </c>
      <c r="J1088" s="2286">
        <v>191</v>
      </c>
    </row>
    <row r="1089" spans="1:10" s="4722" customFormat="1" ht="13.5">
      <c r="A1089" s="2287">
        <v>54000</v>
      </c>
      <c r="B1089" s="2286">
        <v>54050</v>
      </c>
      <c r="C1089" s="2287">
        <v>0</v>
      </c>
      <c r="D1089" s="2287">
        <v>0</v>
      </c>
      <c r="E1089" s="2287">
        <v>0</v>
      </c>
      <c r="F1089" s="2286">
        <v>0</v>
      </c>
      <c r="G1089" s="2287">
        <v>0</v>
      </c>
      <c r="H1089" s="2287">
        <v>0</v>
      </c>
      <c r="I1089" s="2287">
        <v>0</v>
      </c>
      <c r="J1089" s="2286">
        <v>181</v>
      </c>
    </row>
    <row r="1090" spans="1:10" s="4722" customFormat="1" ht="13.5">
      <c r="A1090" s="2287">
        <v>54050</v>
      </c>
      <c r="B1090" s="2286">
        <v>54100</v>
      </c>
      <c r="C1090" s="2287">
        <v>0</v>
      </c>
      <c r="D1090" s="2287">
        <v>0</v>
      </c>
      <c r="E1090" s="2287">
        <v>0</v>
      </c>
      <c r="F1090" s="2286">
        <v>0</v>
      </c>
      <c r="G1090" s="2287">
        <v>0</v>
      </c>
      <c r="H1090" s="2287">
        <v>0</v>
      </c>
      <c r="I1090" s="2287">
        <v>0</v>
      </c>
      <c r="J1090" s="2286">
        <v>170</v>
      </c>
    </row>
    <row r="1091" spans="1:10" s="4722" customFormat="1" ht="13.5">
      <c r="A1091" s="2287">
        <v>54100</v>
      </c>
      <c r="B1091" s="2286">
        <v>54150</v>
      </c>
      <c r="C1091" s="2287">
        <v>0</v>
      </c>
      <c r="D1091" s="2287">
        <v>0</v>
      </c>
      <c r="E1091" s="2287">
        <v>0</v>
      </c>
      <c r="F1091" s="2286">
        <v>0</v>
      </c>
      <c r="G1091" s="2287">
        <v>0</v>
      </c>
      <c r="H1091" s="2287">
        <v>0</v>
      </c>
      <c r="I1091" s="2287">
        <v>0</v>
      </c>
      <c r="J1091" s="2286">
        <v>160</v>
      </c>
    </row>
    <row r="1092" spans="1:10" s="4722" customFormat="1" ht="13.5">
      <c r="A1092" s="2287">
        <v>54150</v>
      </c>
      <c r="B1092" s="2286">
        <v>54200</v>
      </c>
      <c r="C1092" s="2287">
        <v>0</v>
      </c>
      <c r="D1092" s="2287">
        <v>0</v>
      </c>
      <c r="E1092" s="2287">
        <v>0</v>
      </c>
      <c r="F1092" s="2286">
        <v>0</v>
      </c>
      <c r="G1092" s="2287">
        <v>0</v>
      </c>
      <c r="H1092" s="2287">
        <v>0</v>
      </c>
      <c r="I1092" s="2287">
        <v>0</v>
      </c>
      <c r="J1092" s="2286">
        <v>149</v>
      </c>
    </row>
    <row r="1093" spans="1:10" s="4722" customFormat="1" ht="13.5">
      <c r="A1093" s="2287">
        <v>54200</v>
      </c>
      <c r="B1093" s="2286">
        <v>54250</v>
      </c>
      <c r="C1093" s="2287">
        <v>0</v>
      </c>
      <c r="D1093" s="2287">
        <v>0</v>
      </c>
      <c r="E1093" s="2287">
        <v>0</v>
      </c>
      <c r="F1093" s="2286">
        <v>0</v>
      </c>
      <c r="G1093" s="2287">
        <v>0</v>
      </c>
      <c r="H1093" s="2287">
        <v>0</v>
      </c>
      <c r="I1093" s="2287">
        <v>0</v>
      </c>
      <c r="J1093" s="2286">
        <v>139</v>
      </c>
    </row>
    <row r="1094" spans="1:10" s="4722" customFormat="1" ht="13.5">
      <c r="A1094" s="2287">
        <v>54250</v>
      </c>
      <c r="B1094" s="2286">
        <v>54300</v>
      </c>
      <c r="C1094" s="2287">
        <v>0</v>
      </c>
      <c r="D1094" s="2287">
        <v>0</v>
      </c>
      <c r="E1094" s="2287">
        <v>0</v>
      </c>
      <c r="F1094" s="2286">
        <v>0</v>
      </c>
      <c r="G1094" s="2287">
        <v>0</v>
      </c>
      <c r="H1094" s="2287">
        <v>0</v>
      </c>
      <c r="I1094" s="2287">
        <v>0</v>
      </c>
      <c r="J1094" s="2286">
        <v>128</v>
      </c>
    </row>
    <row r="1095" spans="1:10" s="4722" customFormat="1" ht="13.5">
      <c r="A1095" s="2287">
        <v>54300</v>
      </c>
      <c r="B1095" s="2286">
        <v>54350</v>
      </c>
      <c r="C1095" s="2287">
        <v>0</v>
      </c>
      <c r="D1095" s="2287">
        <v>0</v>
      </c>
      <c r="E1095" s="2287">
        <v>0</v>
      </c>
      <c r="F1095" s="2286">
        <v>0</v>
      </c>
      <c r="G1095" s="2287">
        <v>0</v>
      </c>
      <c r="H1095" s="2287">
        <v>0</v>
      </c>
      <c r="I1095" s="2287">
        <v>0</v>
      </c>
      <c r="J1095" s="2286">
        <v>118</v>
      </c>
    </row>
    <row r="1096" spans="1:10" s="4722" customFormat="1" ht="13.5">
      <c r="A1096" s="2287">
        <v>54350</v>
      </c>
      <c r="B1096" s="2286">
        <v>54400</v>
      </c>
      <c r="C1096" s="2287">
        <v>0</v>
      </c>
      <c r="D1096" s="2287">
        <v>0</v>
      </c>
      <c r="E1096" s="2287">
        <v>0</v>
      </c>
      <c r="F1096" s="2286">
        <v>0</v>
      </c>
      <c r="G1096" s="2287">
        <v>0</v>
      </c>
      <c r="H1096" s="2287">
        <v>0</v>
      </c>
      <c r="I1096" s="2287">
        <v>0</v>
      </c>
      <c r="J1096" s="2286">
        <v>107</v>
      </c>
    </row>
    <row r="1097" spans="1:10" s="4722" customFormat="1" ht="13.5">
      <c r="A1097" s="2287">
        <v>54400</v>
      </c>
      <c r="B1097" s="2286">
        <v>54450</v>
      </c>
      <c r="C1097" s="2287">
        <v>0</v>
      </c>
      <c r="D1097" s="2287">
        <v>0</v>
      </c>
      <c r="E1097" s="2287">
        <v>0</v>
      </c>
      <c r="F1097" s="2286">
        <v>0</v>
      </c>
      <c r="G1097" s="2287">
        <v>0</v>
      </c>
      <c r="H1097" s="2287">
        <v>0</v>
      </c>
      <c r="I1097" s="2287">
        <v>0</v>
      </c>
      <c r="J1097" s="2286">
        <v>97</v>
      </c>
    </row>
    <row r="1098" spans="1:10" s="4722" customFormat="1" ht="13.5">
      <c r="A1098" s="2287">
        <v>54450</v>
      </c>
      <c r="B1098" s="2286">
        <v>54500</v>
      </c>
      <c r="C1098" s="2287">
        <v>0</v>
      </c>
      <c r="D1098" s="2287">
        <v>0</v>
      </c>
      <c r="E1098" s="2287">
        <v>0</v>
      </c>
      <c r="F1098" s="2286">
        <v>0</v>
      </c>
      <c r="G1098" s="2287">
        <v>0</v>
      </c>
      <c r="H1098" s="2287">
        <v>0</v>
      </c>
      <c r="I1098" s="2287">
        <v>0</v>
      </c>
      <c r="J1098" s="2286">
        <v>86</v>
      </c>
    </row>
    <row r="1099" spans="1:10" s="4722" customFormat="1" ht="13.5">
      <c r="A1099" s="2287">
        <v>54500</v>
      </c>
      <c r="B1099" s="2286">
        <v>54550</v>
      </c>
      <c r="C1099" s="2287">
        <v>0</v>
      </c>
      <c r="D1099" s="2287">
        <v>0</v>
      </c>
      <c r="E1099" s="2287">
        <v>0</v>
      </c>
      <c r="F1099" s="2286">
        <v>0</v>
      </c>
      <c r="G1099" s="2287">
        <v>0</v>
      </c>
      <c r="H1099" s="2287">
        <v>0</v>
      </c>
      <c r="I1099" s="2287">
        <v>0</v>
      </c>
      <c r="J1099" s="2286">
        <v>76</v>
      </c>
    </row>
    <row r="1100" spans="1:10" s="4722" customFormat="1" ht="13.5">
      <c r="A1100" s="2287">
        <v>54550</v>
      </c>
      <c r="B1100" s="2286">
        <v>54600</v>
      </c>
      <c r="C1100" s="2287">
        <v>0</v>
      </c>
      <c r="D1100" s="2287">
        <v>0</v>
      </c>
      <c r="E1100" s="2287">
        <v>0</v>
      </c>
      <c r="F1100" s="2286">
        <v>0</v>
      </c>
      <c r="G1100" s="2287">
        <v>0</v>
      </c>
      <c r="H1100" s="2287">
        <v>0</v>
      </c>
      <c r="I1100" s="2287">
        <v>0</v>
      </c>
      <c r="J1100" s="2286">
        <v>65</v>
      </c>
    </row>
    <row r="1101" spans="1:10" s="4722" customFormat="1" ht="13.5">
      <c r="A1101" s="2287">
        <v>54600</v>
      </c>
      <c r="B1101" s="2286">
        <v>54650</v>
      </c>
      <c r="C1101" s="2287">
        <v>0</v>
      </c>
      <c r="D1101" s="2287">
        <v>0</v>
      </c>
      <c r="E1101" s="2287">
        <v>0</v>
      </c>
      <c r="F1101" s="2286">
        <v>0</v>
      </c>
      <c r="G1101" s="2287">
        <v>0</v>
      </c>
      <c r="H1101" s="2287">
        <v>0</v>
      </c>
      <c r="I1101" s="2287">
        <v>0</v>
      </c>
      <c r="J1101" s="2286">
        <v>55</v>
      </c>
    </row>
    <row r="1102" spans="1:10" s="4722" customFormat="1" ht="13.5">
      <c r="A1102" s="2287">
        <v>54650</v>
      </c>
      <c r="B1102" s="2286">
        <v>54700</v>
      </c>
      <c r="C1102" s="2287">
        <v>0</v>
      </c>
      <c r="D1102" s="2287">
        <v>0</v>
      </c>
      <c r="E1102" s="2287">
        <v>0</v>
      </c>
      <c r="F1102" s="2286">
        <v>0</v>
      </c>
      <c r="G1102" s="2287">
        <v>0</v>
      </c>
      <c r="H1102" s="2287">
        <v>0</v>
      </c>
      <c r="I1102" s="2287">
        <v>0</v>
      </c>
      <c r="J1102" s="2286">
        <v>44</v>
      </c>
    </row>
    <row r="1103" spans="1:10" s="4722" customFormat="1" ht="13.5">
      <c r="A1103" s="2287">
        <v>54700</v>
      </c>
      <c r="B1103" s="2286">
        <v>54750</v>
      </c>
      <c r="C1103" s="2287">
        <v>0</v>
      </c>
      <c r="D1103" s="2287">
        <v>0</v>
      </c>
      <c r="E1103" s="2287">
        <v>0</v>
      </c>
      <c r="F1103" s="2286">
        <v>0</v>
      </c>
      <c r="G1103" s="2287">
        <v>0</v>
      </c>
      <c r="H1103" s="2287">
        <v>0</v>
      </c>
      <c r="I1103" s="2287">
        <v>0</v>
      </c>
      <c r="J1103" s="2286">
        <v>34</v>
      </c>
    </row>
    <row r="1104" spans="1:10" s="4722" customFormat="1" ht="13.5">
      <c r="A1104" s="2287">
        <v>54750</v>
      </c>
      <c r="B1104" s="2286">
        <v>54800</v>
      </c>
      <c r="C1104" s="2287">
        <v>0</v>
      </c>
      <c r="D1104" s="2287">
        <v>0</v>
      </c>
      <c r="E1104" s="2287">
        <v>0</v>
      </c>
      <c r="F1104" s="2286">
        <v>0</v>
      </c>
      <c r="G1104" s="2287">
        <v>0</v>
      </c>
      <c r="H1104" s="2287">
        <v>0</v>
      </c>
      <c r="I1104" s="2287">
        <v>0</v>
      </c>
      <c r="J1104" s="2286">
        <v>23</v>
      </c>
    </row>
    <row r="1105" spans="1:10" s="4722" customFormat="1" ht="13.5">
      <c r="A1105" s="2287">
        <v>54800</v>
      </c>
      <c r="B1105" s="2286">
        <v>54850</v>
      </c>
      <c r="C1105" s="2287">
        <v>0</v>
      </c>
      <c r="D1105" s="2287">
        <v>0</v>
      </c>
      <c r="E1105" s="2287">
        <v>0</v>
      </c>
      <c r="F1105" s="2286">
        <v>0</v>
      </c>
      <c r="G1105" s="2287">
        <v>0</v>
      </c>
      <c r="H1105" s="2287">
        <v>0</v>
      </c>
      <c r="I1105" s="2287">
        <v>0</v>
      </c>
      <c r="J1105" s="2286">
        <v>12</v>
      </c>
    </row>
    <row r="1106" spans="1:10" s="4722" customFormat="1" ht="13.5">
      <c r="A1106" s="2287">
        <v>54850</v>
      </c>
      <c r="B1106" s="2286">
        <v>54884</v>
      </c>
      <c r="C1106" s="2287">
        <v>0</v>
      </c>
      <c r="D1106" s="2287">
        <v>0</v>
      </c>
      <c r="E1106" s="2287">
        <v>0</v>
      </c>
      <c r="F1106" s="2286">
        <v>0</v>
      </c>
      <c r="G1106" s="2287">
        <v>0</v>
      </c>
      <c r="H1106" s="2287">
        <v>0</v>
      </c>
      <c r="I1106" s="2287">
        <v>0</v>
      </c>
      <c r="J1106" s="2286">
        <v>4</v>
      </c>
    </row>
  </sheetData>
  <sheetProtection password="F07E" sheet="1" objects="1" scenarios="1"/>
  <mergeCells count="3">
    <mergeCell ref="A1:B1"/>
    <mergeCell ref="C1:F1"/>
    <mergeCell ref="G1:J1"/>
  </mergeCells>
  <pageMargins left="0.55000000000000004" right="0.61" top="0.6" bottom="0.57999999999999996" header="0.5" footer="0.5"/>
  <pageSetup scale="32" fitToHeight="0" orientation="portrait" r:id="rId1"/>
  <headerFooter alignWithMargins="0"/>
  <rowBreaks count="13" manualBreakCount="13">
    <brk id="61" max="7" man="1"/>
    <brk id="121" max="7" man="1"/>
    <brk id="181" max="7" man="1"/>
    <brk id="241" max="7" man="1"/>
    <brk id="305" max="7" man="1"/>
    <brk id="366" max="7" man="1"/>
    <brk id="427" max="7" man="1"/>
    <brk id="485" max="7" man="1"/>
    <brk id="545" max="7" man="1"/>
    <brk id="605" max="7" man="1"/>
    <brk id="665" max="7" man="1"/>
    <brk id="728" max="7" man="1"/>
    <brk id="789" max="7"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V2064"/>
  <sheetViews>
    <sheetView topLeftCell="B1" zoomScale="90" zoomScaleNormal="90" workbookViewId="0">
      <pane ySplit="1" topLeftCell="A2" activePane="bottomLeft" state="frozen"/>
      <selection activeCell="O28" sqref="O28"/>
      <selection pane="bottomLeft" activeCell="B1" sqref="B1"/>
    </sheetView>
  </sheetViews>
  <sheetFormatPr defaultColWidth="11.7109375" defaultRowHeight="16.5"/>
  <cols>
    <col min="1" max="1" width="0" style="3022" hidden="1" customWidth="1"/>
    <col min="2" max="3" width="12.28515625" style="2285" customWidth="1"/>
    <col min="4" max="4" width="12.85546875" style="2284" bestFit="1" customWidth="1"/>
    <col min="5" max="7" width="12.28515625" style="2284" customWidth="1"/>
    <col min="8" max="8" width="6.7109375" style="2911" customWidth="1"/>
    <col min="9" max="9" width="6.7109375" style="1122" customWidth="1"/>
    <col min="10" max="10" width="13.7109375" style="1122" customWidth="1"/>
    <col min="11" max="12" width="11.7109375" style="1122" customWidth="1"/>
    <col min="13" max="13" width="6.7109375" style="1122" customWidth="1"/>
    <col min="14" max="16" width="15.5703125" style="3021" hidden="1" customWidth="1"/>
    <col min="17" max="17" width="4.28515625" style="3021" customWidth="1"/>
    <col min="18" max="18" width="4.28515625" style="3344" customWidth="1"/>
    <col min="19" max="19" width="11.7109375" style="3340"/>
    <col min="20" max="20" width="23.85546875" style="3341" customWidth="1"/>
    <col min="21" max="21" width="20.5703125" style="3342" customWidth="1"/>
    <col min="22" max="22" width="74.28515625" style="3341" customWidth="1"/>
    <col min="23" max="16384" width="11.7109375" style="1122"/>
  </cols>
  <sheetData>
    <row r="1" spans="1:22" s="1181" customFormat="1" ht="65.25" customHeight="1" thickBot="1">
      <c r="A1" s="1180"/>
      <c r="B1" s="1180" t="s">
        <v>538</v>
      </c>
      <c r="C1" s="1180" t="s">
        <v>89</v>
      </c>
      <c r="D1" s="1180" t="s">
        <v>77</v>
      </c>
      <c r="E1" s="1180" t="s">
        <v>539</v>
      </c>
      <c r="F1" s="1180" t="s">
        <v>562</v>
      </c>
      <c r="G1" s="1180" t="s">
        <v>310</v>
      </c>
      <c r="H1" s="2910"/>
      <c r="N1" s="3020"/>
      <c r="O1" s="3020"/>
      <c r="P1" s="3020"/>
      <c r="Q1" s="3020"/>
      <c r="R1" s="3349"/>
      <c r="S1" s="3337"/>
      <c r="T1" s="3338"/>
      <c r="U1" s="3339"/>
      <c r="V1" s="3338"/>
    </row>
    <row r="2" spans="1:22" thickBot="1">
      <c r="A2" s="3022">
        <f>AVERAGE(B2,C2)</f>
        <v>2.5</v>
      </c>
      <c r="B2" s="2839">
        <v>0</v>
      </c>
      <c r="C2" s="2839">
        <v>5</v>
      </c>
      <c r="D2" s="2841">
        <f t="shared" ref="D2:D65" si="0">IF($A2&gt;BOTT_A4,ROUND(BASE_A4+RATE_A4*($A2-BOTT_A4),0),IF($A2&gt;BOTT_A3,ROUND(BASE_A3+RATE_A3*($A2-BOTT_A3),0),IF($A2&gt;BOTT_A2,ROUND(BASE_A2+RATE_A2*($A2-BOTT_A2),0),ROUND(RATE_A1*$A2,0))))</f>
        <v>0</v>
      </c>
      <c r="E2" s="2841">
        <f t="shared" ref="E2:E65" si="1">IF($A2&gt;BOTT_B4,ROUND(BASE_B4+RATE_B4*($A2-BOTT_B4),0),IF($A2&gt;BOTT_B3,ROUND(BASE_B3+RATE_B3*($A2-BOTT_B3),0),IF($A2&gt;BOTT_B2,ROUND(BASE_B2+RATE_B2*($A2-BOTT_B2),0),ROUND(RATE_B1*$A2,0))))</f>
        <v>0</v>
      </c>
      <c r="F2" s="2841">
        <f t="shared" ref="F2:F65" si="2">IF($A2&gt;BOTT_C4,ROUND(BASE_C4+RATE_C4*($A2-BOTT_C4),0),IF($A2&gt;BOTT_C3,ROUND(BASE_C3+RATE_C3*($A2-BOTT_C3),0),IF($A2&gt;BOTT_C2,ROUND(BASE_C2+RATE_C2*($A2-BOTT_C2),0),ROUND(RATE_C1*$A2,0))))</f>
        <v>0</v>
      </c>
      <c r="G2" s="2841">
        <f t="shared" ref="G2:G65" si="3">IF($A2&gt;BOTT_D4,ROUND(BASE_D4+RATE_D4*($A2-BOTT_D4),0),IF($A2&gt;BOTT_D3,ROUND(BASE_D3+RATE_D3*($A2-BOTT_D3),0),IF($A2&gt;BOTT_D2,ROUND(BASE_D2+RATE_D2*($A2-BOTT_D2),0),ROUND(RATE_D1*$A2,0))))</f>
        <v>0</v>
      </c>
      <c r="I2" s="1180"/>
      <c r="J2" s="1180"/>
      <c r="K2" s="1180"/>
      <c r="L2" s="1180"/>
      <c r="M2" s="1180"/>
    </row>
    <row r="3" spans="1:22" ht="17.25" thickTop="1" thickBot="1">
      <c r="A3" s="3022">
        <f t="shared" ref="A3:A66" si="4">AVERAGE(B3,C3)</f>
        <v>10</v>
      </c>
      <c r="B3" s="2839">
        <v>5</v>
      </c>
      <c r="C3" s="2839">
        <v>15</v>
      </c>
      <c r="D3" s="2841">
        <f t="shared" si="0"/>
        <v>1</v>
      </c>
      <c r="E3" s="2841">
        <f t="shared" si="1"/>
        <v>1</v>
      </c>
      <c r="F3" s="2841">
        <f t="shared" si="2"/>
        <v>1</v>
      </c>
      <c r="G3" s="2841">
        <f t="shared" si="3"/>
        <v>1</v>
      </c>
      <c r="H3" s="2912"/>
      <c r="I3" s="2913" t="s">
        <v>2905</v>
      </c>
      <c r="J3" s="2837"/>
      <c r="K3" s="2837"/>
      <c r="L3" s="2837"/>
      <c r="M3" s="2838"/>
      <c r="S3" s="4459" t="s">
        <v>2509</v>
      </c>
    </row>
    <row r="4" spans="1:22" thickTop="1">
      <c r="A4" s="3022">
        <f t="shared" si="4"/>
        <v>20</v>
      </c>
      <c r="B4" s="2839">
        <v>15</v>
      </c>
      <c r="C4" s="2839">
        <v>25</v>
      </c>
      <c r="D4" s="2841">
        <f t="shared" si="0"/>
        <v>2</v>
      </c>
      <c r="E4" s="2841">
        <f t="shared" si="1"/>
        <v>2</v>
      </c>
      <c r="F4" s="2841">
        <f t="shared" si="2"/>
        <v>2</v>
      </c>
      <c r="G4" s="2841">
        <f t="shared" si="3"/>
        <v>2</v>
      </c>
      <c r="H4" s="2912"/>
      <c r="I4" s="2826"/>
      <c r="J4" s="2846" t="s">
        <v>38</v>
      </c>
      <c r="K4" s="2846" t="s">
        <v>54</v>
      </c>
      <c r="L4" s="2846" t="s">
        <v>102</v>
      </c>
      <c r="M4" s="2827"/>
      <c r="S4" s="3343" t="s">
        <v>2505</v>
      </c>
      <c r="T4" s="3344" t="s">
        <v>2507</v>
      </c>
      <c r="U4" s="3344" t="s">
        <v>2506</v>
      </c>
    </row>
    <row r="5" spans="1:22" ht="15.75">
      <c r="A5" s="3022">
        <f t="shared" si="4"/>
        <v>37.5</v>
      </c>
      <c r="B5" s="2839">
        <v>25</v>
      </c>
      <c r="C5" s="2839">
        <v>50</v>
      </c>
      <c r="D5" s="2841">
        <f t="shared" si="0"/>
        <v>4</v>
      </c>
      <c r="E5" s="2841">
        <f t="shared" si="1"/>
        <v>4</v>
      </c>
      <c r="F5" s="2841">
        <f t="shared" si="2"/>
        <v>4</v>
      </c>
      <c r="G5" s="2841">
        <f t="shared" si="3"/>
        <v>4</v>
      </c>
      <c r="H5" s="2912"/>
      <c r="I5" s="2828"/>
      <c r="J5" s="2812" t="s">
        <v>2373</v>
      </c>
      <c r="K5" s="2829"/>
      <c r="L5" s="2829"/>
      <c r="M5" s="2830"/>
      <c r="R5" s="3344" t="s">
        <v>159</v>
      </c>
      <c r="S5" s="4458" t="s">
        <v>3914</v>
      </c>
    </row>
    <row r="6" spans="1:22" ht="17.25" thickBot="1">
      <c r="A6" s="3022">
        <f t="shared" si="4"/>
        <v>62.5</v>
      </c>
      <c r="B6" s="2839">
        <v>50</v>
      </c>
      <c r="C6" s="2839">
        <v>75</v>
      </c>
      <c r="D6" s="2841">
        <f t="shared" si="0"/>
        <v>6</v>
      </c>
      <c r="E6" s="2841">
        <f t="shared" si="1"/>
        <v>6</v>
      </c>
      <c r="F6" s="2841">
        <f t="shared" si="2"/>
        <v>6</v>
      </c>
      <c r="G6" s="2841">
        <f t="shared" si="3"/>
        <v>6</v>
      </c>
      <c r="H6" s="2912"/>
      <c r="I6" s="2828"/>
      <c r="J6" s="2812" t="s">
        <v>2499</v>
      </c>
      <c r="K6" s="2812"/>
      <c r="L6" s="2812"/>
      <c r="M6" s="2830"/>
      <c r="S6" s="3636" t="s">
        <v>2500</v>
      </c>
      <c r="T6" s="4457" t="s">
        <v>2504</v>
      </c>
      <c r="U6" s="4457" t="s">
        <v>2503</v>
      </c>
      <c r="V6" s="3345" t="s">
        <v>4856</v>
      </c>
    </row>
    <row r="7" spans="1:22" thickBot="1">
      <c r="A7" s="3022">
        <f t="shared" si="4"/>
        <v>87.5</v>
      </c>
      <c r="B7" s="2839">
        <v>75</v>
      </c>
      <c r="C7" s="2839">
        <v>100</v>
      </c>
      <c r="D7" s="2841">
        <f t="shared" si="0"/>
        <v>9</v>
      </c>
      <c r="E7" s="2841">
        <f t="shared" si="1"/>
        <v>9</v>
      </c>
      <c r="F7" s="2841">
        <f t="shared" si="2"/>
        <v>9</v>
      </c>
      <c r="G7" s="2841">
        <f t="shared" si="3"/>
        <v>9</v>
      </c>
      <c r="H7" s="2912"/>
      <c r="I7" s="2843">
        <v>1</v>
      </c>
      <c r="J7" s="2813" t="s">
        <v>2434</v>
      </c>
      <c r="K7" s="2821"/>
      <c r="L7" s="2814"/>
      <c r="M7" s="2830"/>
      <c r="R7" s="3344">
        <v>1</v>
      </c>
      <c r="S7" s="3637">
        <v>0.1</v>
      </c>
      <c r="T7" s="3625">
        <v>0</v>
      </c>
      <c r="U7" s="3625">
        <v>0</v>
      </c>
      <c r="V7" s="3346" t="s">
        <v>2501</v>
      </c>
    </row>
    <row r="8" spans="1:22" thickBot="1">
      <c r="A8" s="3022">
        <f t="shared" si="4"/>
        <v>112.5</v>
      </c>
      <c r="B8" s="2839">
        <v>100</v>
      </c>
      <c r="C8" s="2839">
        <v>125</v>
      </c>
      <c r="D8" s="2841">
        <f t="shared" si="0"/>
        <v>11</v>
      </c>
      <c r="E8" s="2841">
        <f t="shared" si="1"/>
        <v>11</v>
      </c>
      <c r="F8" s="2841">
        <f t="shared" si="2"/>
        <v>11</v>
      </c>
      <c r="G8" s="2841">
        <f t="shared" si="3"/>
        <v>11</v>
      </c>
      <c r="H8" s="2912"/>
      <c r="I8" s="2843">
        <v>2</v>
      </c>
      <c r="J8" s="2815" t="s">
        <v>971</v>
      </c>
      <c r="K8" s="2822"/>
      <c r="L8" s="2816"/>
      <c r="M8" s="2830"/>
      <c r="R8" s="3344">
        <v>2</v>
      </c>
      <c r="S8" s="3638">
        <v>0.12</v>
      </c>
      <c r="T8" s="3626">
        <v>9525</v>
      </c>
      <c r="U8" s="3626">
        <f>T8*S7</f>
        <v>952.5</v>
      </c>
      <c r="V8" s="3347" t="str">
        <f t="shared" ref="V8:V13" si="5">"plus "&amp;TEXT(S8,"0%")&amp;" of the excess over "&amp;TEXT(T8,"$0,000")</f>
        <v>plus 12% of the excess over $9,525</v>
      </c>
    </row>
    <row r="9" spans="1:22" thickBot="1">
      <c r="A9" s="3022">
        <f t="shared" si="4"/>
        <v>137.5</v>
      </c>
      <c r="B9" s="2839">
        <v>125</v>
      </c>
      <c r="C9" s="2839">
        <v>150</v>
      </c>
      <c r="D9" s="2841">
        <f t="shared" si="0"/>
        <v>14</v>
      </c>
      <c r="E9" s="2841">
        <f t="shared" si="1"/>
        <v>14</v>
      </c>
      <c r="F9" s="2841">
        <f t="shared" si="2"/>
        <v>14</v>
      </c>
      <c r="G9" s="2841">
        <f t="shared" si="3"/>
        <v>14</v>
      </c>
      <c r="H9" s="2912"/>
      <c r="I9" s="2843">
        <v>3</v>
      </c>
      <c r="J9" s="2817">
        <v>100000</v>
      </c>
      <c r="K9" s="2822"/>
      <c r="L9" s="2816"/>
      <c r="M9" s="2830"/>
      <c r="N9" s="3075">
        <f>BOTT_A3*RATE_A3</f>
        <v>8514</v>
      </c>
      <c r="O9" s="3075">
        <f>BASE_A3</f>
        <v>4453.5</v>
      </c>
      <c r="P9" s="3075">
        <f>SUM(N9,-O9)</f>
        <v>4060.5</v>
      </c>
      <c r="R9" s="3344">
        <v>3</v>
      </c>
      <c r="S9" s="3637">
        <v>0.22</v>
      </c>
      <c r="T9" s="3625">
        <v>38700</v>
      </c>
      <c r="U9" s="3625">
        <f>SUM(U8,(T9-T8)*S8)</f>
        <v>4453.5</v>
      </c>
      <c r="V9" s="3346" t="str">
        <f t="shared" si="5"/>
        <v>plus 22% of the excess over $38,700</v>
      </c>
    </row>
    <row r="10" spans="1:22" thickBot="1">
      <c r="A10" s="3022">
        <f t="shared" si="4"/>
        <v>162.5</v>
      </c>
      <c r="B10" s="2839">
        <v>150</v>
      </c>
      <c r="C10" s="2839">
        <v>175</v>
      </c>
      <c r="D10" s="2841">
        <f t="shared" si="0"/>
        <v>16</v>
      </c>
      <c r="E10" s="2841">
        <f t="shared" si="1"/>
        <v>16</v>
      </c>
      <c r="F10" s="2841">
        <f t="shared" si="2"/>
        <v>16</v>
      </c>
      <c r="G10" s="2841">
        <f t="shared" si="3"/>
        <v>16</v>
      </c>
      <c r="H10" s="2912"/>
      <c r="I10" s="2843">
        <v>4</v>
      </c>
      <c r="J10" s="2817">
        <f>BOTT_A5</f>
        <v>157500</v>
      </c>
      <c r="K10" s="2822">
        <f>RATE_A4*100</f>
        <v>24</v>
      </c>
      <c r="L10" s="2816">
        <f>P10</f>
        <v>5710.5</v>
      </c>
      <c r="M10" s="2830"/>
      <c r="N10" s="3075">
        <f>BOTT_A4*RATE_A4</f>
        <v>19800</v>
      </c>
      <c r="O10" s="3075">
        <f>BASE_A4</f>
        <v>14089.5</v>
      </c>
      <c r="P10" s="3075">
        <f>SUM(N10,-O10)</f>
        <v>5710.5</v>
      </c>
      <c r="R10" s="3344">
        <v>4</v>
      </c>
      <c r="S10" s="3638">
        <v>0.24</v>
      </c>
      <c r="T10" s="3626">
        <v>82500</v>
      </c>
      <c r="U10" s="3626">
        <f>SUM(U9,(T10-T9)*S9)</f>
        <v>14089.5</v>
      </c>
      <c r="V10" s="3347" t="str">
        <f t="shared" si="5"/>
        <v>plus 24% of the excess over $82,500</v>
      </c>
    </row>
    <row r="11" spans="1:22" thickBot="1">
      <c r="A11" s="3022">
        <f t="shared" si="4"/>
        <v>187.5</v>
      </c>
      <c r="B11" s="2839">
        <v>175</v>
      </c>
      <c r="C11" s="2839">
        <v>200</v>
      </c>
      <c r="D11" s="2841">
        <f t="shared" si="0"/>
        <v>19</v>
      </c>
      <c r="E11" s="2841">
        <f t="shared" si="1"/>
        <v>19</v>
      </c>
      <c r="F11" s="2841">
        <f t="shared" si="2"/>
        <v>19</v>
      </c>
      <c r="G11" s="2841">
        <f t="shared" si="3"/>
        <v>19</v>
      </c>
      <c r="H11" s="2912"/>
      <c r="I11" s="2843">
        <v>5</v>
      </c>
      <c r="J11" s="2817">
        <f>BOTT_A6</f>
        <v>200000</v>
      </c>
      <c r="K11" s="2822">
        <f>RATE_A5*100</f>
        <v>32</v>
      </c>
      <c r="L11" s="2818">
        <f>P11</f>
        <v>18310.5</v>
      </c>
      <c r="M11" s="2830"/>
      <c r="N11" s="3075">
        <f>BOTT_A5*RATE_A5</f>
        <v>50400</v>
      </c>
      <c r="O11" s="3075">
        <f>BASE_A5</f>
        <v>32089.5</v>
      </c>
      <c r="P11" s="3075">
        <f>SUM(N11,-O11)</f>
        <v>18310.5</v>
      </c>
      <c r="R11" s="3344">
        <v>5</v>
      </c>
      <c r="S11" s="3637">
        <v>0.32</v>
      </c>
      <c r="T11" s="3625">
        <v>157500</v>
      </c>
      <c r="U11" s="3625">
        <f>SUM(U10,(T11-T10)*S10)</f>
        <v>32089.5</v>
      </c>
      <c r="V11" s="3346" t="str">
        <f t="shared" si="5"/>
        <v>plus 32% of the excess over $157,500</v>
      </c>
    </row>
    <row r="12" spans="1:22" thickBot="1">
      <c r="A12" s="3022">
        <f t="shared" si="4"/>
        <v>212.5</v>
      </c>
      <c r="B12" s="2839">
        <v>200</v>
      </c>
      <c r="C12" s="2839">
        <v>225</v>
      </c>
      <c r="D12" s="2841">
        <f t="shared" si="0"/>
        <v>21</v>
      </c>
      <c r="E12" s="2841">
        <f t="shared" si="1"/>
        <v>21</v>
      </c>
      <c r="F12" s="2841">
        <f t="shared" si="2"/>
        <v>21</v>
      </c>
      <c r="G12" s="2841">
        <f t="shared" si="3"/>
        <v>21</v>
      </c>
      <c r="H12" s="2912"/>
      <c r="I12" s="2843">
        <v>6</v>
      </c>
      <c r="J12" s="2817">
        <f>BOTT_A7</f>
        <v>500000</v>
      </c>
      <c r="K12" s="2822">
        <f>RATE_A6*100</f>
        <v>35</v>
      </c>
      <c r="L12" s="2816">
        <f>P12</f>
        <v>24310.5</v>
      </c>
      <c r="M12" s="2830"/>
      <c r="N12" s="3075">
        <f>BOTT_A6*RATE_A6</f>
        <v>70000</v>
      </c>
      <c r="O12" s="3075">
        <f>BASE_A6</f>
        <v>45689.5</v>
      </c>
      <c r="P12" s="3075">
        <f>SUM(N12,-O12)</f>
        <v>24310.5</v>
      </c>
      <c r="R12" s="3344">
        <v>6</v>
      </c>
      <c r="S12" s="3638">
        <v>0.35</v>
      </c>
      <c r="T12" s="3626">
        <v>200000</v>
      </c>
      <c r="U12" s="3626">
        <f>SUM(U11,(T12-T11)*S11)</f>
        <v>45689.5</v>
      </c>
      <c r="V12" s="3347" t="str">
        <f t="shared" si="5"/>
        <v>plus 35% of the excess over $200,000</v>
      </c>
    </row>
    <row r="13" spans="1:22" thickBot="1">
      <c r="A13" s="3022">
        <f t="shared" si="4"/>
        <v>237.5</v>
      </c>
      <c r="B13" s="2839">
        <v>225</v>
      </c>
      <c r="C13" s="2839">
        <v>250</v>
      </c>
      <c r="D13" s="2841">
        <f t="shared" si="0"/>
        <v>24</v>
      </c>
      <c r="E13" s="2841">
        <f t="shared" si="1"/>
        <v>24</v>
      </c>
      <c r="F13" s="2841">
        <f t="shared" si="2"/>
        <v>24</v>
      </c>
      <c r="G13" s="2841">
        <f t="shared" si="3"/>
        <v>24</v>
      </c>
      <c r="H13" s="2912"/>
      <c r="I13" s="2843">
        <v>7</v>
      </c>
      <c r="J13" s="2819"/>
      <c r="K13" s="2823">
        <f>RATE_A7*100</f>
        <v>37</v>
      </c>
      <c r="L13" s="2820">
        <f>P13</f>
        <v>34310.5</v>
      </c>
      <c r="M13" s="2830"/>
      <c r="N13" s="3075">
        <f>BOTT_A7*RATE_A7</f>
        <v>185000</v>
      </c>
      <c r="O13" s="3075">
        <f>BASE_A7</f>
        <v>150689.5</v>
      </c>
      <c r="P13" s="3075">
        <f>SUM(N13,-O13)</f>
        <v>34310.5</v>
      </c>
      <c r="R13" s="3344">
        <v>7</v>
      </c>
      <c r="S13" s="3637">
        <v>0.37</v>
      </c>
      <c r="T13" s="3625">
        <v>500000</v>
      </c>
      <c r="U13" s="3625">
        <f>SUM(U12,(T13-T12)*S12)</f>
        <v>150689.5</v>
      </c>
      <c r="V13" s="3346" t="str">
        <f t="shared" si="5"/>
        <v>plus 37% of the excess over $500,000</v>
      </c>
    </row>
    <row r="14" spans="1:22" ht="15.75">
      <c r="A14" s="3022">
        <f t="shared" si="4"/>
        <v>262.5</v>
      </c>
      <c r="B14" s="2839">
        <v>250</v>
      </c>
      <c r="C14" s="2839">
        <v>275</v>
      </c>
      <c r="D14" s="2841">
        <f t="shared" si="0"/>
        <v>26</v>
      </c>
      <c r="E14" s="2841">
        <f t="shared" si="1"/>
        <v>26</v>
      </c>
      <c r="F14" s="2841">
        <f t="shared" si="2"/>
        <v>26</v>
      </c>
      <c r="G14" s="2841">
        <f t="shared" si="3"/>
        <v>26</v>
      </c>
      <c r="H14" s="2912"/>
      <c r="I14" s="2844"/>
      <c r="J14" s="2812"/>
      <c r="K14" s="2812"/>
      <c r="L14" s="2812"/>
      <c r="M14" s="2830"/>
    </row>
    <row r="15" spans="1:22" ht="15.75">
      <c r="A15" s="3022">
        <f t="shared" si="4"/>
        <v>287.5</v>
      </c>
      <c r="B15" s="2839">
        <v>275</v>
      </c>
      <c r="C15" s="2839">
        <v>300</v>
      </c>
      <c r="D15" s="2841">
        <f t="shared" si="0"/>
        <v>29</v>
      </c>
      <c r="E15" s="2841">
        <f t="shared" si="1"/>
        <v>29</v>
      </c>
      <c r="F15" s="2841">
        <f t="shared" si="2"/>
        <v>29</v>
      </c>
      <c r="G15" s="2841">
        <f t="shared" si="3"/>
        <v>29</v>
      </c>
      <c r="H15" s="2912"/>
      <c r="I15" s="2844"/>
      <c r="J15" s="2847" t="s">
        <v>38</v>
      </c>
      <c r="K15" s="2847" t="s">
        <v>54</v>
      </c>
      <c r="L15" s="2847" t="s">
        <v>102</v>
      </c>
      <c r="M15" s="2830"/>
      <c r="S15" s="3343" t="s">
        <v>2505</v>
      </c>
      <c r="T15" s="3344" t="s">
        <v>2507</v>
      </c>
      <c r="U15" s="3344" t="s">
        <v>2506</v>
      </c>
    </row>
    <row r="16" spans="1:22" ht="15.75">
      <c r="A16" s="3022">
        <f t="shared" si="4"/>
        <v>312.5</v>
      </c>
      <c r="B16" s="2839">
        <v>300</v>
      </c>
      <c r="C16" s="2839">
        <v>325</v>
      </c>
      <c r="D16" s="2841">
        <f t="shared" si="0"/>
        <v>31</v>
      </c>
      <c r="E16" s="2841">
        <f t="shared" si="1"/>
        <v>31</v>
      </c>
      <c r="F16" s="2841">
        <f t="shared" si="2"/>
        <v>31</v>
      </c>
      <c r="G16" s="2841">
        <f t="shared" si="3"/>
        <v>31</v>
      </c>
      <c r="H16" s="2912"/>
      <c r="I16" s="2844"/>
      <c r="J16" s="2831" t="s">
        <v>612</v>
      </c>
      <c r="K16" s="2812"/>
      <c r="L16" s="2812"/>
      <c r="M16" s="2830"/>
      <c r="R16" s="3344" t="s">
        <v>327</v>
      </c>
      <c r="S16" s="4458" t="s">
        <v>3915</v>
      </c>
    </row>
    <row r="17" spans="1:22" thickBot="1">
      <c r="A17" s="3022">
        <f t="shared" si="4"/>
        <v>337.5</v>
      </c>
      <c r="B17" s="2839">
        <v>325</v>
      </c>
      <c r="C17" s="2839">
        <v>350</v>
      </c>
      <c r="D17" s="2841">
        <f t="shared" si="0"/>
        <v>34</v>
      </c>
      <c r="E17" s="2841">
        <f t="shared" si="1"/>
        <v>34</v>
      </c>
      <c r="F17" s="2841">
        <f t="shared" si="2"/>
        <v>34</v>
      </c>
      <c r="G17" s="2841">
        <f t="shared" si="3"/>
        <v>34</v>
      </c>
      <c r="H17" s="2912"/>
      <c r="I17" s="2844"/>
      <c r="J17" s="2831" t="s">
        <v>512</v>
      </c>
      <c r="K17" s="2812"/>
      <c r="L17" s="2812"/>
      <c r="M17" s="2830"/>
      <c r="S17" s="3636" t="s">
        <v>2500</v>
      </c>
      <c r="T17" s="4457" t="s">
        <v>2504</v>
      </c>
      <c r="U17" s="4457" t="s">
        <v>2503</v>
      </c>
      <c r="V17" s="3345" t="s">
        <v>4856</v>
      </c>
    </row>
    <row r="18" spans="1:22" thickBot="1">
      <c r="A18" s="3022">
        <f t="shared" si="4"/>
        <v>362.5</v>
      </c>
      <c r="B18" s="2839">
        <v>350</v>
      </c>
      <c r="C18" s="2839">
        <v>375</v>
      </c>
      <c r="D18" s="2841">
        <f t="shared" si="0"/>
        <v>36</v>
      </c>
      <c r="E18" s="2841">
        <f t="shared" si="1"/>
        <v>36</v>
      </c>
      <c r="F18" s="2841">
        <f t="shared" si="2"/>
        <v>36</v>
      </c>
      <c r="G18" s="2841">
        <f t="shared" si="3"/>
        <v>36</v>
      </c>
      <c r="H18" s="2912"/>
      <c r="I18" s="2843">
        <v>1</v>
      </c>
      <c r="J18" s="2813" t="s">
        <v>2435</v>
      </c>
      <c r="K18" s="2821"/>
      <c r="L18" s="2814"/>
      <c r="M18" s="2830"/>
      <c r="R18" s="3344">
        <v>1</v>
      </c>
      <c r="S18" s="3637">
        <v>0.1</v>
      </c>
      <c r="T18" s="3625">
        <v>0</v>
      </c>
      <c r="U18" s="3625">
        <v>0</v>
      </c>
      <c r="V18" s="3346" t="s">
        <v>2502</v>
      </c>
    </row>
    <row r="19" spans="1:22" thickBot="1">
      <c r="A19" s="3022">
        <f t="shared" si="4"/>
        <v>387.5</v>
      </c>
      <c r="B19" s="2839">
        <v>375</v>
      </c>
      <c r="C19" s="2839">
        <v>400</v>
      </c>
      <c r="D19" s="2841">
        <f t="shared" si="0"/>
        <v>39</v>
      </c>
      <c r="E19" s="2841">
        <f t="shared" si="1"/>
        <v>39</v>
      </c>
      <c r="F19" s="2841">
        <f t="shared" si="2"/>
        <v>39</v>
      </c>
      <c r="G19" s="2841">
        <f t="shared" si="3"/>
        <v>39</v>
      </c>
      <c r="H19" s="2912"/>
      <c r="I19" s="2843">
        <v>2</v>
      </c>
      <c r="J19" s="2817">
        <v>100000</v>
      </c>
      <c r="K19" s="2822"/>
      <c r="L19" s="2816"/>
      <c r="M19" s="2830"/>
      <c r="R19" s="3344">
        <v>2</v>
      </c>
      <c r="S19" s="3638">
        <v>0.12</v>
      </c>
      <c r="T19" s="3626">
        <v>19050</v>
      </c>
      <c r="U19" s="3626">
        <f>T19*S18</f>
        <v>1905</v>
      </c>
      <c r="V19" s="3347" t="str">
        <f t="shared" ref="V19:V24" si="6">"plus "&amp;TEXT(S19,"0%")&amp;" of the excess over "&amp;TEXT(T19,"$0,000")</f>
        <v>plus 12% of the excess over $19,050</v>
      </c>
    </row>
    <row r="20" spans="1:22" thickBot="1">
      <c r="A20" s="3022">
        <f t="shared" si="4"/>
        <v>412.5</v>
      </c>
      <c r="B20" s="2839">
        <v>400</v>
      </c>
      <c r="C20" s="2839">
        <v>425</v>
      </c>
      <c r="D20" s="2841">
        <f t="shared" si="0"/>
        <v>41</v>
      </c>
      <c r="E20" s="2841">
        <f t="shared" si="1"/>
        <v>41</v>
      </c>
      <c r="F20" s="2841">
        <f t="shared" si="2"/>
        <v>41</v>
      </c>
      <c r="G20" s="2841">
        <f t="shared" si="3"/>
        <v>41</v>
      </c>
      <c r="H20" s="2912"/>
      <c r="I20" s="2843">
        <v>3</v>
      </c>
      <c r="J20" s="2817">
        <f>BOTT_B4</f>
        <v>165000</v>
      </c>
      <c r="K20" s="2822">
        <f>RATE_B3*100</f>
        <v>22</v>
      </c>
      <c r="L20" s="4231">
        <f>P20</f>
        <v>8121</v>
      </c>
      <c r="M20" s="2830"/>
      <c r="N20" s="3075">
        <f>BOTT_B3*RATE_B3</f>
        <v>17028</v>
      </c>
      <c r="O20" s="3075">
        <f>BASE_B3</f>
        <v>8907</v>
      </c>
      <c r="P20" s="3075">
        <f>SUM(N20,-O20)</f>
        <v>8121</v>
      </c>
      <c r="R20" s="3344">
        <v>3</v>
      </c>
      <c r="S20" s="3637">
        <v>0.22</v>
      </c>
      <c r="T20" s="3625">
        <v>77400</v>
      </c>
      <c r="U20" s="3625">
        <f>SUM(U19,(T20-T19)*S19)</f>
        <v>8907</v>
      </c>
      <c r="V20" s="3346" t="str">
        <f t="shared" si="6"/>
        <v>plus 22% of the excess over $77,400</v>
      </c>
    </row>
    <row r="21" spans="1:22" thickBot="1">
      <c r="A21" s="3022">
        <f t="shared" si="4"/>
        <v>437.5</v>
      </c>
      <c r="B21" s="2839">
        <v>425</v>
      </c>
      <c r="C21" s="2839">
        <v>450</v>
      </c>
      <c r="D21" s="2841">
        <f t="shared" si="0"/>
        <v>44</v>
      </c>
      <c r="E21" s="2841">
        <f t="shared" si="1"/>
        <v>44</v>
      </c>
      <c r="F21" s="2841">
        <f t="shared" si="2"/>
        <v>44</v>
      </c>
      <c r="G21" s="2841">
        <f t="shared" si="3"/>
        <v>44</v>
      </c>
      <c r="H21" s="2912"/>
      <c r="I21" s="2843">
        <v>4</v>
      </c>
      <c r="J21" s="2817">
        <f>BOTT_B5</f>
        <v>315000</v>
      </c>
      <c r="K21" s="2822">
        <f>RATE_B4*100</f>
        <v>24</v>
      </c>
      <c r="L21" s="4231">
        <f>P21</f>
        <v>11421</v>
      </c>
      <c r="M21" s="2830"/>
      <c r="N21" s="3075">
        <f>BOTT_B4*RATE_B4</f>
        <v>39600</v>
      </c>
      <c r="O21" s="3075">
        <f>BASE_B4</f>
        <v>28179</v>
      </c>
      <c r="P21" s="3075">
        <f>SUM(N21,-O21)</f>
        <v>11421</v>
      </c>
      <c r="R21" s="3344">
        <v>4</v>
      </c>
      <c r="S21" s="3638">
        <v>0.24</v>
      </c>
      <c r="T21" s="3626">
        <v>165000</v>
      </c>
      <c r="U21" s="3626">
        <f>SUM(U20,(T21-T20)*S20)</f>
        <v>28179</v>
      </c>
      <c r="V21" s="3347" t="str">
        <f t="shared" si="6"/>
        <v>plus 24% of the excess over $165,000</v>
      </c>
    </row>
    <row r="22" spans="1:22" thickBot="1">
      <c r="A22" s="3022">
        <f t="shared" si="4"/>
        <v>462.5</v>
      </c>
      <c r="B22" s="2839">
        <v>450</v>
      </c>
      <c r="C22" s="2839">
        <v>475</v>
      </c>
      <c r="D22" s="2841">
        <f t="shared" si="0"/>
        <v>46</v>
      </c>
      <c r="E22" s="2841">
        <f t="shared" si="1"/>
        <v>46</v>
      </c>
      <c r="F22" s="2841">
        <f t="shared" si="2"/>
        <v>46</v>
      </c>
      <c r="G22" s="2841">
        <f t="shared" si="3"/>
        <v>46</v>
      </c>
      <c r="H22" s="2912"/>
      <c r="I22" s="2843">
        <v>5</v>
      </c>
      <c r="J22" s="2817">
        <f>BOTT_B6</f>
        <v>400000</v>
      </c>
      <c r="K22" s="2822">
        <f>RATE_B5*100</f>
        <v>32</v>
      </c>
      <c r="L22" s="4232">
        <f>P22</f>
        <v>36621</v>
      </c>
      <c r="M22" s="2830"/>
      <c r="N22" s="3075">
        <f>BOTT_B5*RATE_B5</f>
        <v>100800</v>
      </c>
      <c r="O22" s="3075">
        <f>BASE_B5</f>
        <v>64179</v>
      </c>
      <c r="P22" s="3075">
        <f>SUM(N22,-O22)</f>
        <v>36621</v>
      </c>
      <c r="R22" s="3344">
        <v>5</v>
      </c>
      <c r="S22" s="3637">
        <v>0.32</v>
      </c>
      <c r="T22" s="3625">
        <v>315000</v>
      </c>
      <c r="U22" s="3625">
        <f>SUM(U21,(T22-T21)*S21)</f>
        <v>64179</v>
      </c>
      <c r="V22" s="3346" t="str">
        <f t="shared" si="6"/>
        <v>plus 32% of the excess over $315,000</v>
      </c>
    </row>
    <row r="23" spans="1:22" thickBot="1">
      <c r="A23" s="3022">
        <f t="shared" si="4"/>
        <v>487.5</v>
      </c>
      <c r="B23" s="2839">
        <v>475</v>
      </c>
      <c r="C23" s="2839">
        <v>500</v>
      </c>
      <c r="D23" s="2841">
        <f t="shared" si="0"/>
        <v>49</v>
      </c>
      <c r="E23" s="2841">
        <f t="shared" si="1"/>
        <v>49</v>
      </c>
      <c r="F23" s="2841">
        <f t="shared" si="2"/>
        <v>49</v>
      </c>
      <c r="G23" s="2841">
        <f t="shared" si="3"/>
        <v>49</v>
      </c>
      <c r="H23" s="2912"/>
      <c r="I23" s="2843">
        <v>6</v>
      </c>
      <c r="J23" s="2817">
        <f>BOTT_B7</f>
        <v>600000</v>
      </c>
      <c r="K23" s="2822">
        <f>RATE_B6*100</f>
        <v>35</v>
      </c>
      <c r="L23" s="4231">
        <f>P23</f>
        <v>48621</v>
      </c>
      <c r="M23" s="2830"/>
      <c r="N23" s="3075">
        <f>BOTT_B6*RATE_B6</f>
        <v>140000</v>
      </c>
      <c r="O23" s="3075">
        <f>BASE_B6</f>
        <v>91379</v>
      </c>
      <c r="P23" s="3075">
        <f>SUM(N23,-O23)</f>
        <v>48621</v>
      </c>
      <c r="R23" s="3344">
        <v>6</v>
      </c>
      <c r="S23" s="3638">
        <v>0.35</v>
      </c>
      <c r="T23" s="3626">
        <v>400000</v>
      </c>
      <c r="U23" s="3626">
        <f>SUM(U22,(T23-T22)*S22)</f>
        <v>91379</v>
      </c>
      <c r="V23" s="3347" t="str">
        <f t="shared" si="6"/>
        <v>plus 35% of the excess over $400,000</v>
      </c>
    </row>
    <row r="24" spans="1:22" thickBot="1">
      <c r="A24" s="3022">
        <f t="shared" si="4"/>
        <v>512.5</v>
      </c>
      <c r="B24" s="2839">
        <v>500</v>
      </c>
      <c r="C24" s="2839">
        <v>525</v>
      </c>
      <c r="D24" s="2841">
        <f t="shared" si="0"/>
        <v>51</v>
      </c>
      <c r="E24" s="2841">
        <f t="shared" si="1"/>
        <v>51</v>
      </c>
      <c r="F24" s="2841">
        <f t="shared" si="2"/>
        <v>51</v>
      </c>
      <c r="G24" s="2841">
        <f t="shared" si="3"/>
        <v>51</v>
      </c>
      <c r="H24" s="2912"/>
      <c r="I24" s="2843">
        <v>7</v>
      </c>
      <c r="J24" s="2819"/>
      <c r="K24" s="2823">
        <f>RATE_B7*100</f>
        <v>37</v>
      </c>
      <c r="L24" s="4233">
        <f>P24</f>
        <v>60621</v>
      </c>
      <c r="M24" s="2830"/>
      <c r="N24" s="3075">
        <f>BOTT_B7*RATE_B7</f>
        <v>222000</v>
      </c>
      <c r="O24" s="3075">
        <f>BASE_B7</f>
        <v>161379</v>
      </c>
      <c r="P24" s="3075">
        <f>SUM(N24,-O24)</f>
        <v>60621</v>
      </c>
      <c r="R24" s="3344">
        <v>7</v>
      </c>
      <c r="S24" s="3637">
        <v>0.37</v>
      </c>
      <c r="T24" s="3625">
        <v>600000</v>
      </c>
      <c r="U24" s="3625">
        <f>SUM(U23,(T24-T23)*S23)</f>
        <v>161379</v>
      </c>
      <c r="V24" s="3346" t="str">
        <f t="shared" si="6"/>
        <v>plus 37% of the excess over $600,000</v>
      </c>
    </row>
    <row r="25" spans="1:22" ht="15.75">
      <c r="A25" s="3022">
        <f t="shared" si="4"/>
        <v>537.5</v>
      </c>
      <c r="B25" s="2839">
        <v>525</v>
      </c>
      <c r="C25" s="2839">
        <v>550</v>
      </c>
      <c r="D25" s="2841">
        <f t="shared" si="0"/>
        <v>54</v>
      </c>
      <c r="E25" s="2841">
        <f t="shared" si="1"/>
        <v>54</v>
      </c>
      <c r="F25" s="2841">
        <f t="shared" si="2"/>
        <v>54</v>
      </c>
      <c r="G25" s="2841">
        <f t="shared" si="3"/>
        <v>54</v>
      </c>
      <c r="H25" s="2912"/>
      <c r="I25" s="2844"/>
      <c r="J25" s="2812"/>
      <c r="K25" s="2812"/>
      <c r="L25" s="2822"/>
      <c r="M25" s="2830"/>
      <c r="S25" s="3343" t="s">
        <v>2505</v>
      </c>
      <c r="T25" s="3344" t="s">
        <v>2507</v>
      </c>
      <c r="U25" s="3344" t="s">
        <v>2506</v>
      </c>
    </row>
    <row r="26" spans="1:22" ht="15.75">
      <c r="A26" s="3022">
        <f t="shared" si="4"/>
        <v>562.5</v>
      </c>
      <c r="B26" s="2839">
        <v>550</v>
      </c>
      <c r="C26" s="2839">
        <v>575</v>
      </c>
      <c r="D26" s="2841">
        <f t="shared" si="0"/>
        <v>56</v>
      </c>
      <c r="E26" s="2841">
        <f t="shared" si="1"/>
        <v>56</v>
      </c>
      <c r="F26" s="2841">
        <f t="shared" si="2"/>
        <v>56</v>
      </c>
      <c r="G26" s="2841">
        <f t="shared" si="3"/>
        <v>56</v>
      </c>
      <c r="H26" s="2912"/>
      <c r="I26" s="2844"/>
      <c r="J26" s="2847" t="s">
        <v>38</v>
      </c>
      <c r="K26" s="2847" t="s">
        <v>54</v>
      </c>
      <c r="L26" s="2847" t="s">
        <v>102</v>
      </c>
      <c r="M26" s="2830"/>
      <c r="R26" s="3344" t="s">
        <v>160</v>
      </c>
      <c r="S26" s="4458" t="s">
        <v>3916</v>
      </c>
    </row>
    <row r="27" spans="1:22" thickBot="1">
      <c r="A27" s="3022">
        <f t="shared" si="4"/>
        <v>587.5</v>
      </c>
      <c r="B27" s="2839">
        <v>575</v>
      </c>
      <c r="C27" s="2839">
        <v>600</v>
      </c>
      <c r="D27" s="2841">
        <f t="shared" si="0"/>
        <v>59</v>
      </c>
      <c r="E27" s="2841">
        <f t="shared" si="1"/>
        <v>59</v>
      </c>
      <c r="F27" s="2841">
        <f t="shared" si="2"/>
        <v>59</v>
      </c>
      <c r="G27" s="2841">
        <f t="shared" si="3"/>
        <v>59</v>
      </c>
      <c r="H27" s="2912"/>
      <c r="I27" s="2844"/>
      <c r="J27" s="2831" t="s">
        <v>613</v>
      </c>
      <c r="K27" s="2812"/>
      <c r="L27" s="2822"/>
      <c r="M27" s="2830"/>
      <c r="S27" s="3636" t="s">
        <v>2500</v>
      </c>
      <c r="T27" s="4457" t="s">
        <v>2504</v>
      </c>
      <c r="U27" s="4457" t="s">
        <v>2503</v>
      </c>
      <c r="V27" s="3345" t="s">
        <v>4856</v>
      </c>
    </row>
    <row r="28" spans="1:22" thickBot="1">
      <c r="A28" s="3022">
        <f t="shared" si="4"/>
        <v>612.5</v>
      </c>
      <c r="B28" s="2839">
        <v>600</v>
      </c>
      <c r="C28" s="2839">
        <v>625</v>
      </c>
      <c r="D28" s="2841">
        <f t="shared" si="0"/>
        <v>61</v>
      </c>
      <c r="E28" s="2841">
        <f t="shared" si="1"/>
        <v>61</v>
      </c>
      <c r="F28" s="2841">
        <f t="shared" si="2"/>
        <v>61</v>
      </c>
      <c r="G28" s="2841">
        <f t="shared" si="3"/>
        <v>61</v>
      </c>
      <c r="H28" s="2912"/>
      <c r="I28" s="2844"/>
      <c r="J28" s="2831" t="s">
        <v>347</v>
      </c>
      <c r="K28" s="2812"/>
      <c r="L28" s="2832"/>
      <c r="M28" s="2830"/>
      <c r="R28" s="3344">
        <v>1</v>
      </c>
      <c r="S28" s="3637">
        <v>0.1</v>
      </c>
      <c r="T28" s="3625">
        <v>0</v>
      </c>
      <c r="U28" s="3625">
        <v>0</v>
      </c>
      <c r="V28" s="3348" t="s">
        <v>2502</v>
      </c>
    </row>
    <row r="29" spans="1:22" thickBot="1">
      <c r="A29" s="3022">
        <f t="shared" si="4"/>
        <v>637.5</v>
      </c>
      <c r="B29" s="2839">
        <v>625</v>
      </c>
      <c r="C29" s="2839">
        <v>650</v>
      </c>
      <c r="D29" s="2841">
        <f t="shared" si="0"/>
        <v>64</v>
      </c>
      <c r="E29" s="2841">
        <f t="shared" si="1"/>
        <v>64</v>
      </c>
      <c r="F29" s="2841">
        <f t="shared" si="2"/>
        <v>64</v>
      </c>
      <c r="G29" s="2841">
        <f t="shared" si="3"/>
        <v>64</v>
      </c>
      <c r="H29" s="2912"/>
      <c r="I29" s="2843">
        <v>1</v>
      </c>
      <c r="J29" s="2813" t="s">
        <v>2435</v>
      </c>
      <c r="K29" s="2821"/>
      <c r="L29" s="2814"/>
      <c r="M29" s="2830"/>
      <c r="R29" s="3344">
        <v>2</v>
      </c>
      <c r="S29" s="3638">
        <v>0.12</v>
      </c>
      <c r="T29" s="3626">
        <v>9525</v>
      </c>
      <c r="U29" s="3626">
        <f>T29*S28</f>
        <v>952.5</v>
      </c>
      <c r="V29" s="3347" t="str">
        <f t="shared" ref="V29:V34" si="7">"plus "&amp;TEXT(S29,"0%")&amp;" of the excess over "&amp;TEXT(T29,"$0,000")</f>
        <v>plus 12% of the excess over $9,525</v>
      </c>
    </row>
    <row r="30" spans="1:22" thickBot="1">
      <c r="A30" s="3022">
        <f t="shared" si="4"/>
        <v>662.5</v>
      </c>
      <c r="B30" s="2839">
        <v>650</v>
      </c>
      <c r="C30" s="2839">
        <v>675</v>
      </c>
      <c r="D30" s="2841">
        <f t="shared" si="0"/>
        <v>66</v>
      </c>
      <c r="E30" s="2841">
        <f t="shared" si="1"/>
        <v>66</v>
      </c>
      <c r="F30" s="2841">
        <f t="shared" si="2"/>
        <v>66</v>
      </c>
      <c r="G30" s="2841">
        <f t="shared" si="3"/>
        <v>66</v>
      </c>
      <c r="H30" s="2912"/>
      <c r="I30" s="2843">
        <v>2</v>
      </c>
      <c r="J30" s="2817">
        <v>100000</v>
      </c>
      <c r="K30" s="2822"/>
      <c r="L30" s="2816"/>
      <c r="M30" s="2830"/>
      <c r="R30" s="3344">
        <v>3</v>
      </c>
      <c r="S30" s="3637">
        <v>0.22</v>
      </c>
      <c r="T30" s="3625">
        <v>38700</v>
      </c>
      <c r="U30" s="3625">
        <f>SUM(U29,(T30-T29)*S29)</f>
        <v>4453.5</v>
      </c>
      <c r="V30" s="3346" t="str">
        <f t="shared" si="7"/>
        <v>plus 22% of the excess over $38,700</v>
      </c>
    </row>
    <row r="31" spans="1:22" thickBot="1">
      <c r="A31" s="3022">
        <f t="shared" si="4"/>
        <v>687.5</v>
      </c>
      <c r="B31" s="2839">
        <v>675</v>
      </c>
      <c r="C31" s="2839">
        <v>700</v>
      </c>
      <c r="D31" s="2841">
        <f t="shared" si="0"/>
        <v>69</v>
      </c>
      <c r="E31" s="2841">
        <f t="shared" si="1"/>
        <v>69</v>
      </c>
      <c r="F31" s="2841">
        <f t="shared" si="2"/>
        <v>69</v>
      </c>
      <c r="G31" s="2841">
        <f t="shared" si="3"/>
        <v>69</v>
      </c>
      <c r="H31" s="2912"/>
      <c r="I31" s="2843">
        <v>3</v>
      </c>
      <c r="J31" s="2817">
        <f>BOTT_C5</f>
        <v>157500</v>
      </c>
      <c r="K31" s="2822">
        <f>RATE_C4*100</f>
        <v>24</v>
      </c>
      <c r="L31" s="2816">
        <f>P31</f>
        <v>5710.5</v>
      </c>
      <c r="M31" s="2830"/>
      <c r="N31" s="3075">
        <f>BOTT_C4*RATE_C4</f>
        <v>19800</v>
      </c>
      <c r="O31" s="3075">
        <f>BASE_C4</f>
        <v>14089.5</v>
      </c>
      <c r="P31" s="3075">
        <f>SUM(N31,-O31)</f>
        <v>5710.5</v>
      </c>
      <c r="R31" s="3344">
        <v>4</v>
      </c>
      <c r="S31" s="3638">
        <v>0.24</v>
      </c>
      <c r="T31" s="3626">
        <v>82500</v>
      </c>
      <c r="U31" s="3626">
        <f>SUM(U30,(T31-T30)*S30)</f>
        <v>14089.5</v>
      </c>
      <c r="V31" s="3347" t="str">
        <f t="shared" si="7"/>
        <v>plus 24% of the excess over $82,500</v>
      </c>
    </row>
    <row r="32" spans="1:22" thickBot="1">
      <c r="A32" s="3022">
        <f t="shared" si="4"/>
        <v>712.5</v>
      </c>
      <c r="B32" s="2839">
        <v>700</v>
      </c>
      <c r="C32" s="2839">
        <v>725</v>
      </c>
      <c r="D32" s="2841">
        <f t="shared" si="0"/>
        <v>71</v>
      </c>
      <c r="E32" s="2841">
        <f t="shared" si="1"/>
        <v>71</v>
      </c>
      <c r="F32" s="2841">
        <f t="shared" si="2"/>
        <v>71</v>
      </c>
      <c r="G32" s="2841">
        <f t="shared" si="3"/>
        <v>71</v>
      </c>
      <c r="H32" s="2912"/>
      <c r="I32" s="2843">
        <v>4</v>
      </c>
      <c r="J32" s="2817">
        <f>BOTT_C6</f>
        <v>200000</v>
      </c>
      <c r="K32" s="2822">
        <f>RATE_C5*100</f>
        <v>32</v>
      </c>
      <c r="L32" s="2818">
        <f>P32</f>
        <v>18310.5</v>
      </c>
      <c r="M32" s="2830"/>
      <c r="N32" s="3075">
        <f>BOTT_C5*RATE_C5</f>
        <v>50400</v>
      </c>
      <c r="O32" s="3075">
        <f>BASE_C5</f>
        <v>32089.5</v>
      </c>
      <c r="P32" s="3075">
        <f>SUM(N32,-O32)</f>
        <v>18310.5</v>
      </c>
      <c r="R32" s="3344">
        <v>5</v>
      </c>
      <c r="S32" s="3637">
        <v>0.32</v>
      </c>
      <c r="T32" s="3625">
        <v>157500</v>
      </c>
      <c r="U32" s="3625">
        <f>SUM(U31,(T32-T31)*S31)</f>
        <v>32089.5</v>
      </c>
      <c r="V32" s="3346" t="str">
        <f t="shared" si="7"/>
        <v>plus 32% of the excess over $157,500</v>
      </c>
    </row>
    <row r="33" spans="1:22" thickBot="1">
      <c r="A33" s="3022">
        <f t="shared" si="4"/>
        <v>737.5</v>
      </c>
      <c r="B33" s="2839">
        <v>725</v>
      </c>
      <c r="C33" s="2839">
        <v>750</v>
      </c>
      <c r="D33" s="2841">
        <f t="shared" si="0"/>
        <v>74</v>
      </c>
      <c r="E33" s="2841">
        <f t="shared" si="1"/>
        <v>74</v>
      </c>
      <c r="F33" s="2841">
        <f t="shared" si="2"/>
        <v>74</v>
      </c>
      <c r="G33" s="2841">
        <f t="shared" si="3"/>
        <v>74</v>
      </c>
      <c r="H33" s="2912"/>
      <c r="I33" s="2843">
        <v>5</v>
      </c>
      <c r="J33" s="2817">
        <f>BOTT_C7</f>
        <v>300000</v>
      </c>
      <c r="K33" s="2822">
        <f>RATE_C6*100</f>
        <v>35</v>
      </c>
      <c r="L33" s="2818">
        <f>P33</f>
        <v>24310.5</v>
      </c>
      <c r="M33" s="2830"/>
      <c r="N33" s="3075">
        <f>BOTT_C6*RATE_C6</f>
        <v>70000</v>
      </c>
      <c r="O33" s="3075">
        <f>BASE_C6</f>
        <v>45689.5</v>
      </c>
      <c r="P33" s="3075">
        <f>SUM(N33,-O33)</f>
        <v>24310.5</v>
      </c>
      <c r="R33" s="3344">
        <v>6</v>
      </c>
      <c r="S33" s="3638">
        <v>0.35</v>
      </c>
      <c r="T33" s="3626">
        <v>200000</v>
      </c>
      <c r="U33" s="3626">
        <f>SUM(U32,(T33-T32)*S32)</f>
        <v>45689.5</v>
      </c>
      <c r="V33" s="3347" t="str">
        <f t="shared" si="7"/>
        <v>plus 35% of the excess over $200,000</v>
      </c>
    </row>
    <row r="34" spans="1:22" thickBot="1">
      <c r="A34" s="3022">
        <f t="shared" si="4"/>
        <v>762.5</v>
      </c>
      <c r="B34" s="2839">
        <v>750</v>
      </c>
      <c r="C34" s="2839">
        <v>775</v>
      </c>
      <c r="D34" s="2841">
        <f t="shared" si="0"/>
        <v>76</v>
      </c>
      <c r="E34" s="2841">
        <f t="shared" si="1"/>
        <v>76</v>
      </c>
      <c r="F34" s="2841">
        <f t="shared" si="2"/>
        <v>76</v>
      </c>
      <c r="G34" s="2841">
        <f t="shared" si="3"/>
        <v>76</v>
      </c>
      <c r="H34" s="2912"/>
      <c r="I34" s="2843">
        <v>6</v>
      </c>
      <c r="J34" s="2819"/>
      <c r="K34" s="2823">
        <f>RATE_C7*100</f>
        <v>37</v>
      </c>
      <c r="L34" s="2820">
        <f>P34</f>
        <v>30310.5</v>
      </c>
      <c r="M34" s="2830"/>
      <c r="N34" s="3075">
        <f>BOTT_C7*RATE_C7</f>
        <v>111000</v>
      </c>
      <c r="O34" s="3075">
        <f>BASE_C7</f>
        <v>80689.5</v>
      </c>
      <c r="P34" s="3075">
        <f>SUM(N34,-O34)</f>
        <v>30310.5</v>
      </c>
      <c r="R34" s="3344">
        <v>7</v>
      </c>
      <c r="S34" s="3637">
        <v>0.37</v>
      </c>
      <c r="T34" s="3625">
        <v>300000</v>
      </c>
      <c r="U34" s="3625">
        <f>SUM(U33,(T34-T33)*S33)</f>
        <v>80689.5</v>
      </c>
      <c r="V34" s="3346" t="str">
        <f t="shared" si="7"/>
        <v>plus 37% of the excess over $300,000</v>
      </c>
    </row>
    <row r="35" spans="1:22" ht="15.75">
      <c r="A35" s="3022">
        <f t="shared" si="4"/>
        <v>787.5</v>
      </c>
      <c r="B35" s="2839">
        <v>775</v>
      </c>
      <c r="C35" s="2839">
        <v>800</v>
      </c>
      <c r="D35" s="2841">
        <f t="shared" si="0"/>
        <v>79</v>
      </c>
      <c r="E35" s="2841">
        <f t="shared" si="1"/>
        <v>79</v>
      </c>
      <c r="F35" s="2841">
        <f t="shared" si="2"/>
        <v>79</v>
      </c>
      <c r="G35" s="2841">
        <f t="shared" si="3"/>
        <v>79</v>
      </c>
      <c r="H35" s="2912"/>
      <c r="I35" s="2844"/>
      <c r="J35" s="2824"/>
      <c r="K35" s="2824"/>
      <c r="L35" s="2825"/>
      <c r="M35" s="2830"/>
    </row>
    <row r="36" spans="1:22" ht="15.75">
      <c r="A36" s="3022">
        <f t="shared" si="4"/>
        <v>812.5</v>
      </c>
      <c r="B36" s="2839">
        <v>800</v>
      </c>
      <c r="C36" s="2839">
        <v>825</v>
      </c>
      <c r="D36" s="2841">
        <f t="shared" si="0"/>
        <v>81</v>
      </c>
      <c r="E36" s="2841">
        <f t="shared" si="1"/>
        <v>81</v>
      </c>
      <c r="F36" s="2841">
        <f t="shared" si="2"/>
        <v>81</v>
      </c>
      <c r="G36" s="2841">
        <f t="shared" si="3"/>
        <v>81</v>
      </c>
      <c r="H36" s="2912"/>
      <c r="I36" s="2844"/>
      <c r="J36" s="2847" t="s">
        <v>38</v>
      </c>
      <c r="K36" s="2847" t="s">
        <v>54</v>
      </c>
      <c r="L36" s="2847" t="s">
        <v>102</v>
      </c>
      <c r="M36" s="2830"/>
      <c r="S36" s="3343" t="s">
        <v>2505</v>
      </c>
      <c r="T36" s="3344" t="s">
        <v>2507</v>
      </c>
      <c r="U36" s="3344" t="s">
        <v>2506</v>
      </c>
    </row>
    <row r="37" spans="1:22" ht="15.75">
      <c r="A37" s="3022">
        <f t="shared" si="4"/>
        <v>837.5</v>
      </c>
      <c r="B37" s="2839">
        <v>825</v>
      </c>
      <c r="C37" s="2839">
        <v>850</v>
      </c>
      <c r="D37" s="2841">
        <f t="shared" si="0"/>
        <v>84</v>
      </c>
      <c r="E37" s="2841">
        <f t="shared" si="1"/>
        <v>84</v>
      </c>
      <c r="F37" s="2841">
        <f t="shared" si="2"/>
        <v>84</v>
      </c>
      <c r="G37" s="2841">
        <f t="shared" si="3"/>
        <v>84</v>
      </c>
      <c r="H37" s="2912"/>
      <c r="I37" s="2844"/>
      <c r="J37" s="2812" t="s">
        <v>614</v>
      </c>
      <c r="K37" s="2833"/>
      <c r="L37" s="2834"/>
      <c r="M37" s="2830"/>
      <c r="R37" s="3344" t="s">
        <v>329</v>
      </c>
      <c r="S37" s="4458" t="s">
        <v>3917</v>
      </c>
    </row>
    <row r="38" spans="1:22" thickBot="1">
      <c r="A38" s="3022">
        <f t="shared" si="4"/>
        <v>862.5</v>
      </c>
      <c r="B38" s="2839">
        <v>850</v>
      </c>
      <c r="C38" s="2839">
        <v>875</v>
      </c>
      <c r="D38" s="2841">
        <f t="shared" si="0"/>
        <v>86</v>
      </c>
      <c r="E38" s="2841">
        <f t="shared" si="1"/>
        <v>86</v>
      </c>
      <c r="F38" s="2841">
        <f t="shared" si="2"/>
        <v>86</v>
      </c>
      <c r="G38" s="2841">
        <f t="shared" si="3"/>
        <v>86</v>
      </c>
      <c r="H38" s="2912"/>
      <c r="I38" s="2844"/>
      <c r="J38" s="2831" t="s">
        <v>2374</v>
      </c>
      <c r="K38" s="2833"/>
      <c r="L38" s="2834"/>
      <c r="M38" s="2830"/>
      <c r="S38" s="3636" t="s">
        <v>2500</v>
      </c>
      <c r="T38" s="4457" t="s">
        <v>2504</v>
      </c>
      <c r="U38" s="4457" t="s">
        <v>2503</v>
      </c>
      <c r="V38" s="3345" t="s">
        <v>4856</v>
      </c>
    </row>
    <row r="39" spans="1:22" thickBot="1">
      <c r="A39" s="3022">
        <f t="shared" si="4"/>
        <v>887.5</v>
      </c>
      <c r="B39" s="2839">
        <v>875</v>
      </c>
      <c r="C39" s="2839">
        <v>900</v>
      </c>
      <c r="D39" s="2841">
        <f t="shared" si="0"/>
        <v>89</v>
      </c>
      <c r="E39" s="2841">
        <f t="shared" si="1"/>
        <v>89</v>
      </c>
      <c r="F39" s="2841">
        <f t="shared" si="2"/>
        <v>89</v>
      </c>
      <c r="G39" s="2841">
        <f t="shared" si="3"/>
        <v>89</v>
      </c>
      <c r="H39" s="2912"/>
      <c r="I39" s="2843">
        <v>1</v>
      </c>
      <c r="J39" s="2813" t="s">
        <v>2435</v>
      </c>
      <c r="K39" s="2821"/>
      <c r="L39" s="2814"/>
      <c r="M39" s="2830"/>
      <c r="R39" s="3344">
        <v>1</v>
      </c>
      <c r="S39" s="3637">
        <v>0.1</v>
      </c>
      <c r="T39" s="3625">
        <v>0</v>
      </c>
      <c r="U39" s="3625">
        <v>0</v>
      </c>
      <c r="V39" s="3346" t="s">
        <v>2502</v>
      </c>
    </row>
    <row r="40" spans="1:22" thickBot="1">
      <c r="A40" s="3022">
        <f t="shared" si="4"/>
        <v>912.5</v>
      </c>
      <c r="B40" s="2839">
        <v>900</v>
      </c>
      <c r="C40" s="2839">
        <v>925</v>
      </c>
      <c r="D40" s="2841">
        <f t="shared" si="0"/>
        <v>91</v>
      </c>
      <c r="E40" s="2841">
        <f t="shared" si="1"/>
        <v>91</v>
      </c>
      <c r="F40" s="2841">
        <f t="shared" si="2"/>
        <v>91</v>
      </c>
      <c r="G40" s="2841">
        <f t="shared" si="3"/>
        <v>91</v>
      </c>
      <c r="H40" s="2912"/>
      <c r="I40" s="2843">
        <v>2</v>
      </c>
      <c r="J40" s="2817">
        <v>100000</v>
      </c>
      <c r="K40" s="2822"/>
      <c r="L40" s="2816"/>
      <c r="M40" s="2830"/>
      <c r="R40" s="3344">
        <v>2</v>
      </c>
      <c r="S40" s="3638">
        <v>0.12</v>
      </c>
      <c r="T40" s="3626">
        <v>13600</v>
      </c>
      <c r="U40" s="3626">
        <f>T40*S39</f>
        <v>1360</v>
      </c>
      <c r="V40" s="3347" t="str">
        <f t="shared" ref="V40:V45" si="8">"plus "&amp;TEXT(S40,"0%")&amp;" of the excess over "&amp;TEXT(T40,"$0,000")</f>
        <v>plus 12% of the excess over $13,600</v>
      </c>
    </row>
    <row r="41" spans="1:22" thickBot="1">
      <c r="A41" s="3022">
        <f t="shared" si="4"/>
        <v>937.5</v>
      </c>
      <c r="B41" s="2839">
        <v>925</v>
      </c>
      <c r="C41" s="2839">
        <v>950</v>
      </c>
      <c r="D41" s="2841">
        <f t="shared" si="0"/>
        <v>94</v>
      </c>
      <c r="E41" s="2841">
        <f t="shared" si="1"/>
        <v>94</v>
      </c>
      <c r="F41" s="2841">
        <f t="shared" si="2"/>
        <v>94</v>
      </c>
      <c r="G41" s="2841">
        <f t="shared" si="3"/>
        <v>94</v>
      </c>
      <c r="H41" s="2912"/>
      <c r="I41" s="2843">
        <v>3</v>
      </c>
      <c r="J41" s="2817">
        <f>BOTT_D4</f>
        <v>82500</v>
      </c>
      <c r="K41" s="2822">
        <f>RATE_D3*100</f>
        <v>22</v>
      </c>
      <c r="L41" s="4231">
        <f>P41</f>
        <v>5452</v>
      </c>
      <c r="M41" s="2830"/>
      <c r="N41" s="3075">
        <f>BOTT_D3*RATE_D3</f>
        <v>11396</v>
      </c>
      <c r="O41" s="3075">
        <f>BASE_D3</f>
        <v>5944</v>
      </c>
      <c r="P41" s="3075">
        <f>SUM(N41,-O41)</f>
        <v>5452</v>
      </c>
      <c r="R41" s="3344">
        <v>3</v>
      </c>
      <c r="S41" s="3637">
        <v>0.22</v>
      </c>
      <c r="T41" s="3625">
        <v>51800</v>
      </c>
      <c r="U41" s="3625">
        <f>SUM(U40,(T41-T40)*S40)</f>
        <v>5944</v>
      </c>
      <c r="V41" s="3346" t="str">
        <f t="shared" si="8"/>
        <v>plus 22% of the excess over $51,800</v>
      </c>
    </row>
    <row r="42" spans="1:22" thickBot="1">
      <c r="A42" s="3022">
        <f t="shared" si="4"/>
        <v>962.5</v>
      </c>
      <c r="B42" s="2839">
        <v>950</v>
      </c>
      <c r="C42" s="2839">
        <v>975</v>
      </c>
      <c r="D42" s="2841">
        <f t="shared" si="0"/>
        <v>96</v>
      </c>
      <c r="E42" s="2841">
        <f t="shared" si="1"/>
        <v>96</v>
      </c>
      <c r="F42" s="2841">
        <f t="shared" si="2"/>
        <v>96</v>
      </c>
      <c r="G42" s="2841">
        <f t="shared" si="3"/>
        <v>96</v>
      </c>
      <c r="H42" s="2912"/>
      <c r="I42" s="2843">
        <v>4</v>
      </c>
      <c r="J42" s="2817">
        <f>BOTT_D5</f>
        <v>157500</v>
      </c>
      <c r="K42" s="2822">
        <f>RATE_D4*100</f>
        <v>24</v>
      </c>
      <c r="L42" s="4231">
        <f>P42</f>
        <v>7102</v>
      </c>
      <c r="M42" s="2830"/>
      <c r="N42" s="3075">
        <f>BOTT_D4*RATE_D4</f>
        <v>19800</v>
      </c>
      <c r="O42" s="3075">
        <f>BASE_D4</f>
        <v>12698</v>
      </c>
      <c r="P42" s="3075">
        <f>SUM(N42,-O42)</f>
        <v>7102</v>
      </c>
      <c r="R42" s="3344">
        <v>4</v>
      </c>
      <c r="S42" s="3638">
        <v>0.24</v>
      </c>
      <c r="T42" s="3626">
        <v>82500</v>
      </c>
      <c r="U42" s="3626">
        <f>SUM(U41,(T42-T41)*S41)</f>
        <v>12698</v>
      </c>
      <c r="V42" s="3347" t="str">
        <f t="shared" si="8"/>
        <v>plus 24% of the excess over $82,500</v>
      </c>
    </row>
    <row r="43" spans="1:22" thickBot="1">
      <c r="A43" s="3022">
        <f t="shared" si="4"/>
        <v>987.5</v>
      </c>
      <c r="B43" s="2839">
        <v>975</v>
      </c>
      <c r="C43" s="2840">
        <v>1000</v>
      </c>
      <c r="D43" s="2841">
        <f t="shared" si="0"/>
        <v>99</v>
      </c>
      <c r="E43" s="2841">
        <f t="shared" si="1"/>
        <v>99</v>
      </c>
      <c r="F43" s="2841">
        <f t="shared" si="2"/>
        <v>99</v>
      </c>
      <c r="G43" s="2841">
        <f t="shared" si="3"/>
        <v>99</v>
      </c>
      <c r="H43" s="2912"/>
      <c r="I43" s="2843">
        <v>5</v>
      </c>
      <c r="J43" s="2817">
        <f>BOTT_D6</f>
        <v>200000</v>
      </c>
      <c r="K43" s="2822">
        <f>RATE_D5*100</f>
        <v>32</v>
      </c>
      <c r="L43" s="4231">
        <f>P43</f>
        <v>19702</v>
      </c>
      <c r="M43" s="2830"/>
      <c r="N43" s="3075">
        <f>BOTT_D5*RATE_D5</f>
        <v>50400</v>
      </c>
      <c r="O43" s="3075">
        <f>BASE_D5</f>
        <v>30698</v>
      </c>
      <c r="P43" s="3075">
        <f>SUM(N43,-O43)</f>
        <v>19702</v>
      </c>
      <c r="R43" s="3344">
        <v>5</v>
      </c>
      <c r="S43" s="3637">
        <v>0.32</v>
      </c>
      <c r="T43" s="3625">
        <v>157500</v>
      </c>
      <c r="U43" s="3625">
        <f>SUM(U42,(T43-T42)*S42)</f>
        <v>30698</v>
      </c>
      <c r="V43" s="3346" t="str">
        <f t="shared" si="8"/>
        <v>plus 32% of the excess over $157,500</v>
      </c>
    </row>
    <row r="44" spans="1:22" thickBot="1">
      <c r="A44" s="3022">
        <f t="shared" si="4"/>
        <v>1012.5</v>
      </c>
      <c r="B44" s="2840">
        <v>1000</v>
      </c>
      <c r="C44" s="2840">
        <v>1025</v>
      </c>
      <c r="D44" s="2841">
        <f t="shared" si="0"/>
        <v>101</v>
      </c>
      <c r="E44" s="2841">
        <f t="shared" si="1"/>
        <v>101</v>
      </c>
      <c r="F44" s="2841">
        <f t="shared" si="2"/>
        <v>101</v>
      </c>
      <c r="G44" s="2841">
        <f t="shared" si="3"/>
        <v>101</v>
      </c>
      <c r="H44" s="2912"/>
      <c r="I44" s="2843">
        <v>6</v>
      </c>
      <c r="J44" s="2817">
        <f>BOTT_D7</f>
        <v>500000</v>
      </c>
      <c r="K44" s="2822">
        <f>RATE_D6*100</f>
        <v>35</v>
      </c>
      <c r="L44" s="4231">
        <f>P44</f>
        <v>25702</v>
      </c>
      <c r="M44" s="2830"/>
      <c r="N44" s="3075">
        <f>BOTT_D6*RATE_D6</f>
        <v>70000</v>
      </c>
      <c r="O44" s="3075">
        <f>BASE_D6</f>
        <v>44298</v>
      </c>
      <c r="P44" s="3075">
        <f>SUM(N44,-O44)</f>
        <v>25702</v>
      </c>
      <c r="R44" s="3344">
        <v>6</v>
      </c>
      <c r="S44" s="3638">
        <v>0.35</v>
      </c>
      <c r="T44" s="3626">
        <v>200000</v>
      </c>
      <c r="U44" s="3626">
        <f>SUM(U43,(T44-T43)*S43)</f>
        <v>44298</v>
      </c>
      <c r="V44" s="3347" t="str">
        <f t="shared" si="8"/>
        <v>plus 35% of the excess over $200,000</v>
      </c>
    </row>
    <row r="45" spans="1:22" thickBot="1">
      <c r="A45" s="3022">
        <f t="shared" si="4"/>
        <v>1037.5</v>
      </c>
      <c r="B45" s="2840">
        <v>1025</v>
      </c>
      <c r="C45" s="2840">
        <v>1050</v>
      </c>
      <c r="D45" s="2841">
        <f t="shared" si="0"/>
        <v>104</v>
      </c>
      <c r="E45" s="2841">
        <f t="shared" si="1"/>
        <v>104</v>
      </c>
      <c r="F45" s="2841">
        <f t="shared" si="2"/>
        <v>104</v>
      </c>
      <c r="G45" s="2841">
        <f t="shared" si="3"/>
        <v>104</v>
      </c>
      <c r="H45" s="2912"/>
      <c r="I45" s="2843">
        <v>7</v>
      </c>
      <c r="J45" s="2819"/>
      <c r="K45" s="2823">
        <f>RATE_D7*100</f>
        <v>37</v>
      </c>
      <c r="L45" s="4233">
        <f>P45</f>
        <v>35702</v>
      </c>
      <c r="M45" s="2830"/>
      <c r="N45" s="3075">
        <f>BOTT_D7*RATE_D7</f>
        <v>185000</v>
      </c>
      <c r="O45" s="3075">
        <f>BASE_D7</f>
        <v>149298</v>
      </c>
      <c r="P45" s="3075">
        <f>SUM(N45,-O45)</f>
        <v>35702</v>
      </c>
      <c r="R45" s="3344">
        <v>7</v>
      </c>
      <c r="S45" s="3637">
        <v>0.37</v>
      </c>
      <c r="T45" s="3625">
        <v>500000</v>
      </c>
      <c r="U45" s="3625">
        <f>SUM(U44,(T45-T44)*S44)</f>
        <v>149298</v>
      </c>
      <c r="V45" s="3346" t="str">
        <f t="shared" si="8"/>
        <v>plus 37% of the excess over $500,000</v>
      </c>
    </row>
    <row r="46" spans="1:22" thickBot="1">
      <c r="A46" s="3022">
        <f t="shared" si="4"/>
        <v>1062.5</v>
      </c>
      <c r="B46" s="2840">
        <v>1050</v>
      </c>
      <c r="C46" s="2840">
        <v>1075</v>
      </c>
      <c r="D46" s="2841">
        <f t="shared" si="0"/>
        <v>106</v>
      </c>
      <c r="E46" s="2841">
        <f t="shared" si="1"/>
        <v>106</v>
      </c>
      <c r="F46" s="2841">
        <f t="shared" si="2"/>
        <v>106</v>
      </c>
      <c r="G46" s="2841">
        <f t="shared" si="3"/>
        <v>106</v>
      </c>
      <c r="H46" s="2912"/>
      <c r="I46" s="2845"/>
      <c r="J46" s="2835"/>
      <c r="K46" s="2835"/>
      <c r="L46" s="2835"/>
      <c r="M46" s="2836"/>
    </row>
    <row r="47" spans="1:22" thickTop="1">
      <c r="A47" s="3022">
        <f t="shared" si="4"/>
        <v>1087.5</v>
      </c>
      <c r="B47" s="2840">
        <v>1075</v>
      </c>
      <c r="C47" s="2840">
        <v>1100</v>
      </c>
      <c r="D47" s="2841">
        <f t="shared" si="0"/>
        <v>109</v>
      </c>
      <c r="E47" s="2841">
        <f t="shared" si="1"/>
        <v>109</v>
      </c>
      <c r="F47" s="2841">
        <f t="shared" si="2"/>
        <v>109</v>
      </c>
      <c r="G47" s="2841">
        <f t="shared" si="3"/>
        <v>109</v>
      </c>
    </row>
    <row r="48" spans="1:22" ht="15.75">
      <c r="A48" s="3022">
        <f t="shared" si="4"/>
        <v>1112.5</v>
      </c>
      <c r="B48" s="2840">
        <v>1100</v>
      </c>
      <c r="C48" s="2840">
        <v>1125</v>
      </c>
      <c r="D48" s="2841">
        <f t="shared" si="0"/>
        <v>111</v>
      </c>
      <c r="E48" s="2841">
        <f t="shared" si="1"/>
        <v>111</v>
      </c>
      <c r="F48" s="2841">
        <f t="shared" si="2"/>
        <v>111</v>
      </c>
      <c r="G48" s="2841">
        <f t="shared" si="3"/>
        <v>111</v>
      </c>
    </row>
    <row r="49" spans="1:7" ht="15.75">
      <c r="A49" s="3022">
        <f t="shared" si="4"/>
        <v>1137.5</v>
      </c>
      <c r="B49" s="2840">
        <v>1125</v>
      </c>
      <c r="C49" s="2840">
        <v>1150</v>
      </c>
      <c r="D49" s="2841">
        <f t="shared" si="0"/>
        <v>114</v>
      </c>
      <c r="E49" s="2841">
        <f t="shared" si="1"/>
        <v>114</v>
      </c>
      <c r="F49" s="2841">
        <f t="shared" si="2"/>
        <v>114</v>
      </c>
      <c r="G49" s="2841">
        <f t="shared" si="3"/>
        <v>114</v>
      </c>
    </row>
    <row r="50" spans="1:7" ht="15.75">
      <c r="A50" s="3022">
        <f t="shared" si="4"/>
        <v>1162.5</v>
      </c>
      <c r="B50" s="2840">
        <v>1150</v>
      </c>
      <c r="C50" s="2840">
        <v>1175</v>
      </c>
      <c r="D50" s="2841">
        <f t="shared" si="0"/>
        <v>116</v>
      </c>
      <c r="E50" s="2841">
        <f t="shared" si="1"/>
        <v>116</v>
      </c>
      <c r="F50" s="2841">
        <f t="shared" si="2"/>
        <v>116</v>
      </c>
      <c r="G50" s="2841">
        <f t="shared" si="3"/>
        <v>116</v>
      </c>
    </row>
    <row r="51" spans="1:7" ht="15.75">
      <c r="A51" s="3022">
        <f t="shared" si="4"/>
        <v>1187.5</v>
      </c>
      <c r="B51" s="2840">
        <v>1175</v>
      </c>
      <c r="C51" s="2840">
        <v>1200</v>
      </c>
      <c r="D51" s="2841">
        <f t="shared" si="0"/>
        <v>119</v>
      </c>
      <c r="E51" s="2841">
        <f t="shared" si="1"/>
        <v>119</v>
      </c>
      <c r="F51" s="2841">
        <f t="shared" si="2"/>
        <v>119</v>
      </c>
      <c r="G51" s="2841">
        <f t="shared" si="3"/>
        <v>119</v>
      </c>
    </row>
    <row r="52" spans="1:7" ht="15.75">
      <c r="A52" s="3022">
        <f t="shared" si="4"/>
        <v>1212.5</v>
      </c>
      <c r="B52" s="2840">
        <v>1200</v>
      </c>
      <c r="C52" s="2840">
        <v>1225</v>
      </c>
      <c r="D52" s="2841">
        <f t="shared" si="0"/>
        <v>121</v>
      </c>
      <c r="E52" s="2841">
        <f t="shared" si="1"/>
        <v>121</v>
      </c>
      <c r="F52" s="2841">
        <f t="shared" si="2"/>
        <v>121</v>
      </c>
      <c r="G52" s="2841">
        <f t="shared" si="3"/>
        <v>121</v>
      </c>
    </row>
    <row r="53" spans="1:7" ht="15.75">
      <c r="A53" s="3022">
        <f t="shared" si="4"/>
        <v>1237.5</v>
      </c>
      <c r="B53" s="2840">
        <v>1225</v>
      </c>
      <c r="C53" s="2840">
        <v>1250</v>
      </c>
      <c r="D53" s="2841">
        <f t="shared" si="0"/>
        <v>124</v>
      </c>
      <c r="E53" s="2841">
        <f t="shared" si="1"/>
        <v>124</v>
      </c>
      <c r="F53" s="2841">
        <f t="shared" si="2"/>
        <v>124</v>
      </c>
      <c r="G53" s="2841">
        <f t="shared" si="3"/>
        <v>124</v>
      </c>
    </row>
    <row r="54" spans="1:7" ht="15.75">
      <c r="A54" s="3022">
        <f t="shared" si="4"/>
        <v>1262.5</v>
      </c>
      <c r="B54" s="2840">
        <v>1250</v>
      </c>
      <c r="C54" s="2840">
        <v>1275</v>
      </c>
      <c r="D54" s="2841">
        <f t="shared" si="0"/>
        <v>126</v>
      </c>
      <c r="E54" s="2841">
        <f t="shared" si="1"/>
        <v>126</v>
      </c>
      <c r="F54" s="2841">
        <f t="shared" si="2"/>
        <v>126</v>
      </c>
      <c r="G54" s="2841">
        <f t="shared" si="3"/>
        <v>126</v>
      </c>
    </row>
    <row r="55" spans="1:7" ht="15.75">
      <c r="A55" s="3022">
        <f t="shared" si="4"/>
        <v>1287.5</v>
      </c>
      <c r="B55" s="2840">
        <v>1275</v>
      </c>
      <c r="C55" s="2840">
        <v>1300</v>
      </c>
      <c r="D55" s="2841">
        <f t="shared" si="0"/>
        <v>129</v>
      </c>
      <c r="E55" s="2841">
        <f t="shared" si="1"/>
        <v>129</v>
      </c>
      <c r="F55" s="2841">
        <f t="shared" si="2"/>
        <v>129</v>
      </c>
      <c r="G55" s="2841">
        <f t="shared" si="3"/>
        <v>129</v>
      </c>
    </row>
    <row r="56" spans="1:7" ht="15.75">
      <c r="A56" s="3022">
        <f t="shared" si="4"/>
        <v>1312.5</v>
      </c>
      <c r="B56" s="2840">
        <v>1300</v>
      </c>
      <c r="C56" s="2840">
        <v>1325</v>
      </c>
      <c r="D56" s="2841">
        <f t="shared" si="0"/>
        <v>131</v>
      </c>
      <c r="E56" s="2841">
        <f t="shared" si="1"/>
        <v>131</v>
      </c>
      <c r="F56" s="2841">
        <f t="shared" si="2"/>
        <v>131</v>
      </c>
      <c r="G56" s="2841">
        <f t="shared" si="3"/>
        <v>131</v>
      </c>
    </row>
    <row r="57" spans="1:7" ht="15.75">
      <c r="A57" s="3022">
        <f t="shared" si="4"/>
        <v>1337.5</v>
      </c>
      <c r="B57" s="2840">
        <v>1325</v>
      </c>
      <c r="C57" s="2840">
        <v>1350</v>
      </c>
      <c r="D57" s="2841">
        <f t="shared" si="0"/>
        <v>134</v>
      </c>
      <c r="E57" s="2841">
        <f t="shared" si="1"/>
        <v>134</v>
      </c>
      <c r="F57" s="2841">
        <f t="shared" si="2"/>
        <v>134</v>
      </c>
      <c r="G57" s="2841">
        <f t="shared" si="3"/>
        <v>134</v>
      </c>
    </row>
    <row r="58" spans="1:7" ht="15.75">
      <c r="A58" s="3022">
        <f t="shared" si="4"/>
        <v>1362.5</v>
      </c>
      <c r="B58" s="2840">
        <v>1350</v>
      </c>
      <c r="C58" s="2840">
        <v>1375</v>
      </c>
      <c r="D58" s="2841">
        <f t="shared" si="0"/>
        <v>136</v>
      </c>
      <c r="E58" s="2841">
        <f t="shared" si="1"/>
        <v>136</v>
      </c>
      <c r="F58" s="2841">
        <f t="shared" si="2"/>
        <v>136</v>
      </c>
      <c r="G58" s="2841">
        <f t="shared" si="3"/>
        <v>136</v>
      </c>
    </row>
    <row r="59" spans="1:7" ht="15.75">
      <c r="A59" s="3022">
        <f t="shared" si="4"/>
        <v>1387.5</v>
      </c>
      <c r="B59" s="2840">
        <v>1375</v>
      </c>
      <c r="C59" s="2840">
        <v>1400</v>
      </c>
      <c r="D59" s="2841">
        <f t="shared" si="0"/>
        <v>139</v>
      </c>
      <c r="E59" s="2841">
        <f t="shared" si="1"/>
        <v>139</v>
      </c>
      <c r="F59" s="2841">
        <f t="shared" si="2"/>
        <v>139</v>
      </c>
      <c r="G59" s="2841">
        <f t="shared" si="3"/>
        <v>139</v>
      </c>
    </row>
    <row r="60" spans="1:7" ht="15.75">
      <c r="A60" s="3022">
        <f t="shared" si="4"/>
        <v>1412.5</v>
      </c>
      <c r="B60" s="2840">
        <v>1400</v>
      </c>
      <c r="C60" s="2840">
        <v>1425</v>
      </c>
      <c r="D60" s="2841">
        <f t="shared" si="0"/>
        <v>141</v>
      </c>
      <c r="E60" s="2841">
        <f t="shared" si="1"/>
        <v>141</v>
      </c>
      <c r="F60" s="2841">
        <f t="shared" si="2"/>
        <v>141</v>
      </c>
      <c r="G60" s="2841">
        <f t="shared" si="3"/>
        <v>141</v>
      </c>
    </row>
    <row r="61" spans="1:7" ht="15.75">
      <c r="A61" s="3022">
        <f t="shared" si="4"/>
        <v>1437.5</v>
      </c>
      <c r="B61" s="2840">
        <v>1425</v>
      </c>
      <c r="C61" s="2840">
        <v>1450</v>
      </c>
      <c r="D61" s="2841">
        <f t="shared" si="0"/>
        <v>144</v>
      </c>
      <c r="E61" s="2841">
        <f t="shared" si="1"/>
        <v>144</v>
      </c>
      <c r="F61" s="2841">
        <f t="shared" si="2"/>
        <v>144</v>
      </c>
      <c r="G61" s="2841">
        <f t="shared" si="3"/>
        <v>144</v>
      </c>
    </row>
    <row r="62" spans="1:7" ht="15.75">
      <c r="A62" s="3022">
        <f t="shared" si="4"/>
        <v>1462.5</v>
      </c>
      <c r="B62" s="2840">
        <v>1450</v>
      </c>
      <c r="C62" s="2840">
        <v>1475</v>
      </c>
      <c r="D62" s="2841">
        <f t="shared" si="0"/>
        <v>146</v>
      </c>
      <c r="E62" s="2841">
        <f t="shared" si="1"/>
        <v>146</v>
      </c>
      <c r="F62" s="2841">
        <f t="shared" si="2"/>
        <v>146</v>
      </c>
      <c r="G62" s="2841">
        <f t="shared" si="3"/>
        <v>146</v>
      </c>
    </row>
    <row r="63" spans="1:7" ht="15.75">
      <c r="A63" s="3022">
        <f t="shared" si="4"/>
        <v>1487.5</v>
      </c>
      <c r="B63" s="2840">
        <v>1475</v>
      </c>
      <c r="C63" s="2840">
        <v>1500</v>
      </c>
      <c r="D63" s="2841">
        <f t="shared" si="0"/>
        <v>149</v>
      </c>
      <c r="E63" s="2841">
        <f t="shared" si="1"/>
        <v>149</v>
      </c>
      <c r="F63" s="2841">
        <f t="shared" si="2"/>
        <v>149</v>
      </c>
      <c r="G63" s="2841">
        <f t="shared" si="3"/>
        <v>149</v>
      </c>
    </row>
    <row r="64" spans="1:7" ht="15.75">
      <c r="A64" s="3022">
        <f t="shared" si="4"/>
        <v>1512.5</v>
      </c>
      <c r="B64" s="2840">
        <v>1500</v>
      </c>
      <c r="C64" s="2840">
        <v>1525</v>
      </c>
      <c r="D64" s="2841">
        <f t="shared" si="0"/>
        <v>151</v>
      </c>
      <c r="E64" s="2841">
        <f t="shared" si="1"/>
        <v>151</v>
      </c>
      <c r="F64" s="2841">
        <f t="shared" si="2"/>
        <v>151</v>
      </c>
      <c r="G64" s="2841">
        <f t="shared" si="3"/>
        <v>151</v>
      </c>
    </row>
    <row r="65" spans="1:7" ht="15.75">
      <c r="A65" s="3022">
        <f t="shared" si="4"/>
        <v>1537.5</v>
      </c>
      <c r="B65" s="2840">
        <v>1525</v>
      </c>
      <c r="C65" s="2840">
        <v>1550</v>
      </c>
      <c r="D65" s="2841">
        <f t="shared" si="0"/>
        <v>154</v>
      </c>
      <c r="E65" s="2841">
        <f t="shared" si="1"/>
        <v>154</v>
      </c>
      <c r="F65" s="2841">
        <f t="shared" si="2"/>
        <v>154</v>
      </c>
      <c r="G65" s="2841">
        <f t="shared" si="3"/>
        <v>154</v>
      </c>
    </row>
    <row r="66" spans="1:7" ht="15.75">
      <c r="A66" s="3022">
        <f t="shared" si="4"/>
        <v>1562.5</v>
      </c>
      <c r="B66" s="2840">
        <v>1550</v>
      </c>
      <c r="C66" s="2840">
        <v>1575</v>
      </c>
      <c r="D66" s="2841">
        <f t="shared" ref="D66:D129" si="9">IF($A66&gt;BOTT_A4,ROUND(BASE_A4+RATE_A4*($A66-BOTT_A4),0),IF($A66&gt;BOTT_A3,ROUND(BASE_A3+RATE_A3*($A66-BOTT_A3),0),IF($A66&gt;BOTT_A2,ROUND(BASE_A2+RATE_A2*($A66-BOTT_A2),0),ROUND(RATE_A1*$A66,0))))</f>
        <v>156</v>
      </c>
      <c r="E66" s="2841">
        <f t="shared" ref="E66:E129" si="10">IF($A66&gt;BOTT_B4,ROUND(BASE_B4+RATE_B4*($A66-BOTT_B4),0),IF($A66&gt;BOTT_B3,ROUND(BASE_B3+RATE_B3*($A66-BOTT_B3),0),IF($A66&gt;BOTT_B2,ROUND(BASE_B2+RATE_B2*($A66-BOTT_B2),0),ROUND(RATE_B1*$A66,0))))</f>
        <v>156</v>
      </c>
      <c r="F66" s="2841">
        <f t="shared" ref="F66:F129" si="11">IF($A66&gt;BOTT_C4,ROUND(BASE_C4+RATE_C4*($A66-BOTT_C4),0),IF($A66&gt;BOTT_C3,ROUND(BASE_C3+RATE_C3*($A66-BOTT_C3),0),IF($A66&gt;BOTT_C2,ROUND(BASE_C2+RATE_C2*($A66-BOTT_C2),0),ROUND(RATE_C1*$A66,0))))</f>
        <v>156</v>
      </c>
      <c r="G66" s="2841">
        <f t="shared" ref="G66:G129" si="12">IF($A66&gt;BOTT_D4,ROUND(BASE_D4+RATE_D4*($A66-BOTT_D4),0),IF($A66&gt;BOTT_D3,ROUND(BASE_D3+RATE_D3*($A66-BOTT_D3),0),IF($A66&gt;BOTT_D2,ROUND(BASE_D2+RATE_D2*($A66-BOTT_D2),0),ROUND(RATE_D1*$A66,0))))</f>
        <v>156</v>
      </c>
    </row>
    <row r="67" spans="1:7" ht="15.75">
      <c r="A67" s="3022">
        <f t="shared" ref="A67:A130" si="13">AVERAGE(B67,C67)</f>
        <v>1587.5</v>
      </c>
      <c r="B67" s="2840">
        <v>1575</v>
      </c>
      <c r="C67" s="2840">
        <v>1600</v>
      </c>
      <c r="D67" s="2841">
        <f t="shared" si="9"/>
        <v>159</v>
      </c>
      <c r="E67" s="2841">
        <f t="shared" si="10"/>
        <v>159</v>
      </c>
      <c r="F67" s="2841">
        <f t="shared" si="11"/>
        <v>159</v>
      </c>
      <c r="G67" s="2841">
        <f t="shared" si="12"/>
        <v>159</v>
      </c>
    </row>
    <row r="68" spans="1:7" ht="15.75">
      <c r="A68" s="3022">
        <f t="shared" si="13"/>
        <v>1612.5</v>
      </c>
      <c r="B68" s="2840">
        <v>1600</v>
      </c>
      <c r="C68" s="2840">
        <v>1625</v>
      </c>
      <c r="D68" s="2841">
        <f t="shared" si="9"/>
        <v>161</v>
      </c>
      <c r="E68" s="2841">
        <f t="shared" si="10"/>
        <v>161</v>
      </c>
      <c r="F68" s="2841">
        <f t="shared" si="11"/>
        <v>161</v>
      </c>
      <c r="G68" s="2841">
        <f t="shared" si="12"/>
        <v>161</v>
      </c>
    </row>
    <row r="69" spans="1:7" ht="15.75">
      <c r="A69" s="3022">
        <f t="shared" si="13"/>
        <v>1637.5</v>
      </c>
      <c r="B69" s="2840">
        <v>1625</v>
      </c>
      <c r="C69" s="2840">
        <v>1650</v>
      </c>
      <c r="D69" s="2841">
        <f t="shared" si="9"/>
        <v>164</v>
      </c>
      <c r="E69" s="2841">
        <f t="shared" si="10"/>
        <v>164</v>
      </c>
      <c r="F69" s="2841">
        <f t="shared" si="11"/>
        <v>164</v>
      </c>
      <c r="G69" s="2841">
        <f t="shared" si="12"/>
        <v>164</v>
      </c>
    </row>
    <row r="70" spans="1:7" ht="15.75">
      <c r="A70" s="3022">
        <f t="shared" si="13"/>
        <v>1662.5</v>
      </c>
      <c r="B70" s="2840">
        <v>1650</v>
      </c>
      <c r="C70" s="2840">
        <v>1675</v>
      </c>
      <c r="D70" s="2841">
        <f t="shared" si="9"/>
        <v>166</v>
      </c>
      <c r="E70" s="2841">
        <f t="shared" si="10"/>
        <v>166</v>
      </c>
      <c r="F70" s="2841">
        <f t="shared" si="11"/>
        <v>166</v>
      </c>
      <c r="G70" s="2841">
        <f t="shared" si="12"/>
        <v>166</v>
      </c>
    </row>
    <row r="71" spans="1:7" ht="15.75">
      <c r="A71" s="3022">
        <f t="shared" si="13"/>
        <v>1687.5</v>
      </c>
      <c r="B71" s="2840">
        <v>1675</v>
      </c>
      <c r="C71" s="2840">
        <v>1700</v>
      </c>
      <c r="D71" s="2841">
        <f t="shared" si="9"/>
        <v>169</v>
      </c>
      <c r="E71" s="2841">
        <f t="shared" si="10"/>
        <v>169</v>
      </c>
      <c r="F71" s="2841">
        <f t="shared" si="11"/>
        <v>169</v>
      </c>
      <c r="G71" s="2841">
        <f t="shared" si="12"/>
        <v>169</v>
      </c>
    </row>
    <row r="72" spans="1:7" ht="15.75">
      <c r="A72" s="3022">
        <f t="shared" si="13"/>
        <v>1712.5</v>
      </c>
      <c r="B72" s="2840">
        <v>1700</v>
      </c>
      <c r="C72" s="2840">
        <v>1725</v>
      </c>
      <c r="D72" s="2841">
        <f t="shared" si="9"/>
        <v>171</v>
      </c>
      <c r="E72" s="2841">
        <f t="shared" si="10"/>
        <v>171</v>
      </c>
      <c r="F72" s="2841">
        <f t="shared" si="11"/>
        <v>171</v>
      </c>
      <c r="G72" s="2841">
        <f t="shared" si="12"/>
        <v>171</v>
      </c>
    </row>
    <row r="73" spans="1:7" ht="15.75">
      <c r="A73" s="3022">
        <f t="shared" si="13"/>
        <v>1737.5</v>
      </c>
      <c r="B73" s="2840">
        <v>1725</v>
      </c>
      <c r="C73" s="2840">
        <v>1750</v>
      </c>
      <c r="D73" s="2841">
        <f t="shared" si="9"/>
        <v>174</v>
      </c>
      <c r="E73" s="2841">
        <f t="shared" si="10"/>
        <v>174</v>
      </c>
      <c r="F73" s="2841">
        <f t="shared" si="11"/>
        <v>174</v>
      </c>
      <c r="G73" s="2841">
        <f t="shared" si="12"/>
        <v>174</v>
      </c>
    </row>
    <row r="74" spans="1:7" ht="15.75">
      <c r="A74" s="3022">
        <f t="shared" si="13"/>
        <v>1762.5</v>
      </c>
      <c r="B74" s="2840">
        <v>1750</v>
      </c>
      <c r="C74" s="2840">
        <v>1775</v>
      </c>
      <c r="D74" s="2841">
        <f t="shared" si="9"/>
        <v>176</v>
      </c>
      <c r="E74" s="2841">
        <f t="shared" si="10"/>
        <v>176</v>
      </c>
      <c r="F74" s="2841">
        <f t="shared" si="11"/>
        <v>176</v>
      </c>
      <c r="G74" s="2841">
        <f t="shared" si="12"/>
        <v>176</v>
      </c>
    </row>
    <row r="75" spans="1:7" ht="15.75">
      <c r="A75" s="3022">
        <f t="shared" si="13"/>
        <v>1787.5</v>
      </c>
      <c r="B75" s="2840">
        <v>1775</v>
      </c>
      <c r="C75" s="2840">
        <v>1800</v>
      </c>
      <c r="D75" s="2841">
        <f t="shared" si="9"/>
        <v>179</v>
      </c>
      <c r="E75" s="2841">
        <f t="shared" si="10"/>
        <v>179</v>
      </c>
      <c r="F75" s="2841">
        <f t="shared" si="11"/>
        <v>179</v>
      </c>
      <c r="G75" s="2841">
        <f t="shared" si="12"/>
        <v>179</v>
      </c>
    </row>
    <row r="76" spans="1:7" ht="15.75">
      <c r="A76" s="3022">
        <f t="shared" si="13"/>
        <v>1812.5</v>
      </c>
      <c r="B76" s="2840">
        <v>1800</v>
      </c>
      <c r="C76" s="2840">
        <v>1825</v>
      </c>
      <c r="D76" s="2841">
        <f t="shared" si="9"/>
        <v>181</v>
      </c>
      <c r="E76" s="2841">
        <f t="shared" si="10"/>
        <v>181</v>
      </c>
      <c r="F76" s="2841">
        <f t="shared" si="11"/>
        <v>181</v>
      </c>
      <c r="G76" s="2841">
        <f t="shared" si="12"/>
        <v>181</v>
      </c>
    </row>
    <row r="77" spans="1:7" ht="15.75">
      <c r="A77" s="3022">
        <f t="shared" si="13"/>
        <v>1837.5</v>
      </c>
      <c r="B77" s="2840">
        <v>1825</v>
      </c>
      <c r="C77" s="2840">
        <v>1850</v>
      </c>
      <c r="D77" s="2841">
        <f t="shared" si="9"/>
        <v>184</v>
      </c>
      <c r="E77" s="2841">
        <f t="shared" si="10"/>
        <v>184</v>
      </c>
      <c r="F77" s="2841">
        <f t="shared" si="11"/>
        <v>184</v>
      </c>
      <c r="G77" s="2841">
        <f t="shared" si="12"/>
        <v>184</v>
      </c>
    </row>
    <row r="78" spans="1:7" ht="15.75">
      <c r="A78" s="3022">
        <f t="shared" si="13"/>
        <v>1862.5</v>
      </c>
      <c r="B78" s="2840">
        <v>1850</v>
      </c>
      <c r="C78" s="2840">
        <v>1875</v>
      </c>
      <c r="D78" s="2841">
        <f t="shared" si="9"/>
        <v>186</v>
      </c>
      <c r="E78" s="2841">
        <f t="shared" si="10"/>
        <v>186</v>
      </c>
      <c r="F78" s="2841">
        <f t="shared" si="11"/>
        <v>186</v>
      </c>
      <c r="G78" s="2841">
        <f t="shared" si="12"/>
        <v>186</v>
      </c>
    </row>
    <row r="79" spans="1:7" ht="15.75">
      <c r="A79" s="3022">
        <f t="shared" si="13"/>
        <v>1887.5</v>
      </c>
      <c r="B79" s="2840">
        <v>1875</v>
      </c>
      <c r="C79" s="2840">
        <v>1900</v>
      </c>
      <c r="D79" s="2841">
        <f t="shared" si="9"/>
        <v>189</v>
      </c>
      <c r="E79" s="2841">
        <f t="shared" si="10"/>
        <v>189</v>
      </c>
      <c r="F79" s="2841">
        <f t="shared" si="11"/>
        <v>189</v>
      </c>
      <c r="G79" s="2841">
        <f t="shared" si="12"/>
        <v>189</v>
      </c>
    </row>
    <row r="80" spans="1:7" ht="15.75">
      <c r="A80" s="3022">
        <f t="shared" si="13"/>
        <v>1912.5</v>
      </c>
      <c r="B80" s="2840">
        <v>1900</v>
      </c>
      <c r="C80" s="2840">
        <v>1925</v>
      </c>
      <c r="D80" s="2841">
        <f t="shared" si="9"/>
        <v>191</v>
      </c>
      <c r="E80" s="2841">
        <f t="shared" si="10"/>
        <v>191</v>
      </c>
      <c r="F80" s="2841">
        <f t="shared" si="11"/>
        <v>191</v>
      </c>
      <c r="G80" s="2841">
        <f t="shared" si="12"/>
        <v>191</v>
      </c>
    </row>
    <row r="81" spans="1:7" ht="15.75">
      <c r="A81" s="3022">
        <f t="shared" si="13"/>
        <v>1937.5</v>
      </c>
      <c r="B81" s="2840">
        <v>1925</v>
      </c>
      <c r="C81" s="2840">
        <v>1950</v>
      </c>
      <c r="D81" s="2841">
        <f t="shared" si="9"/>
        <v>194</v>
      </c>
      <c r="E81" s="2841">
        <f t="shared" si="10"/>
        <v>194</v>
      </c>
      <c r="F81" s="2841">
        <f t="shared" si="11"/>
        <v>194</v>
      </c>
      <c r="G81" s="2841">
        <f t="shared" si="12"/>
        <v>194</v>
      </c>
    </row>
    <row r="82" spans="1:7" ht="15.75">
      <c r="A82" s="3022">
        <f t="shared" si="13"/>
        <v>1962.5</v>
      </c>
      <c r="B82" s="2840">
        <v>1950</v>
      </c>
      <c r="C82" s="2840">
        <v>1975</v>
      </c>
      <c r="D82" s="2841">
        <f t="shared" si="9"/>
        <v>196</v>
      </c>
      <c r="E82" s="2841">
        <f t="shared" si="10"/>
        <v>196</v>
      </c>
      <c r="F82" s="2841">
        <f t="shared" si="11"/>
        <v>196</v>
      </c>
      <c r="G82" s="2841">
        <f t="shared" si="12"/>
        <v>196</v>
      </c>
    </row>
    <row r="83" spans="1:7" ht="15.75">
      <c r="A83" s="3022">
        <f t="shared" si="13"/>
        <v>1987.5</v>
      </c>
      <c r="B83" s="2840">
        <v>1975</v>
      </c>
      <c r="C83" s="2840">
        <v>2000</v>
      </c>
      <c r="D83" s="2841">
        <f t="shared" si="9"/>
        <v>199</v>
      </c>
      <c r="E83" s="2841">
        <f t="shared" si="10"/>
        <v>199</v>
      </c>
      <c r="F83" s="2841">
        <f t="shared" si="11"/>
        <v>199</v>
      </c>
      <c r="G83" s="2841">
        <f t="shared" si="12"/>
        <v>199</v>
      </c>
    </row>
    <row r="84" spans="1:7" ht="15.75">
      <c r="A84" s="3022">
        <f t="shared" si="13"/>
        <v>2012.5</v>
      </c>
      <c r="B84" s="2840">
        <v>2000</v>
      </c>
      <c r="C84" s="2840">
        <v>2025</v>
      </c>
      <c r="D84" s="2841">
        <f t="shared" si="9"/>
        <v>201</v>
      </c>
      <c r="E84" s="2841">
        <f t="shared" si="10"/>
        <v>201</v>
      </c>
      <c r="F84" s="2841">
        <f t="shared" si="11"/>
        <v>201</v>
      </c>
      <c r="G84" s="2841">
        <f t="shared" si="12"/>
        <v>201</v>
      </c>
    </row>
    <row r="85" spans="1:7" ht="15.75">
      <c r="A85" s="3022">
        <f t="shared" si="13"/>
        <v>2037.5</v>
      </c>
      <c r="B85" s="2840">
        <v>2025</v>
      </c>
      <c r="C85" s="2840">
        <v>2050</v>
      </c>
      <c r="D85" s="2841">
        <f t="shared" si="9"/>
        <v>204</v>
      </c>
      <c r="E85" s="2841">
        <f t="shared" si="10"/>
        <v>204</v>
      </c>
      <c r="F85" s="2841">
        <f t="shared" si="11"/>
        <v>204</v>
      </c>
      <c r="G85" s="2841">
        <f t="shared" si="12"/>
        <v>204</v>
      </c>
    </row>
    <row r="86" spans="1:7" ht="15.75">
      <c r="A86" s="3022">
        <f t="shared" si="13"/>
        <v>2062.5</v>
      </c>
      <c r="B86" s="2840">
        <v>2050</v>
      </c>
      <c r="C86" s="2840">
        <v>2075</v>
      </c>
      <c r="D86" s="2841">
        <f t="shared" si="9"/>
        <v>206</v>
      </c>
      <c r="E86" s="2841">
        <f t="shared" si="10"/>
        <v>206</v>
      </c>
      <c r="F86" s="2841">
        <f t="shared" si="11"/>
        <v>206</v>
      </c>
      <c r="G86" s="2841">
        <f t="shared" si="12"/>
        <v>206</v>
      </c>
    </row>
    <row r="87" spans="1:7" ht="15.75">
      <c r="A87" s="3022">
        <f t="shared" si="13"/>
        <v>2087.5</v>
      </c>
      <c r="B87" s="2840">
        <v>2075</v>
      </c>
      <c r="C87" s="2840">
        <v>2100</v>
      </c>
      <c r="D87" s="2841">
        <f t="shared" si="9"/>
        <v>209</v>
      </c>
      <c r="E87" s="2841">
        <f t="shared" si="10"/>
        <v>209</v>
      </c>
      <c r="F87" s="2841">
        <f t="shared" si="11"/>
        <v>209</v>
      </c>
      <c r="G87" s="2841">
        <f t="shared" si="12"/>
        <v>209</v>
      </c>
    </row>
    <row r="88" spans="1:7" ht="15.75">
      <c r="A88" s="3022">
        <f t="shared" si="13"/>
        <v>2112.5</v>
      </c>
      <c r="B88" s="2840">
        <v>2100</v>
      </c>
      <c r="C88" s="2840">
        <v>2125</v>
      </c>
      <c r="D88" s="2841">
        <f t="shared" si="9"/>
        <v>211</v>
      </c>
      <c r="E88" s="2841">
        <f t="shared" si="10"/>
        <v>211</v>
      </c>
      <c r="F88" s="2841">
        <f t="shared" si="11"/>
        <v>211</v>
      </c>
      <c r="G88" s="2841">
        <f t="shared" si="12"/>
        <v>211</v>
      </c>
    </row>
    <row r="89" spans="1:7" ht="15.75">
      <c r="A89" s="3022">
        <f t="shared" si="13"/>
        <v>2137.5</v>
      </c>
      <c r="B89" s="2840">
        <v>2125</v>
      </c>
      <c r="C89" s="2840">
        <v>2150</v>
      </c>
      <c r="D89" s="2841">
        <f t="shared" si="9"/>
        <v>214</v>
      </c>
      <c r="E89" s="2841">
        <f t="shared" si="10"/>
        <v>214</v>
      </c>
      <c r="F89" s="2841">
        <f t="shared" si="11"/>
        <v>214</v>
      </c>
      <c r="G89" s="2841">
        <f t="shared" si="12"/>
        <v>214</v>
      </c>
    </row>
    <row r="90" spans="1:7" ht="15.75">
      <c r="A90" s="3022">
        <f t="shared" si="13"/>
        <v>2162.5</v>
      </c>
      <c r="B90" s="2840">
        <v>2150</v>
      </c>
      <c r="C90" s="2840">
        <v>2175</v>
      </c>
      <c r="D90" s="2841">
        <f t="shared" si="9"/>
        <v>216</v>
      </c>
      <c r="E90" s="2841">
        <f t="shared" si="10"/>
        <v>216</v>
      </c>
      <c r="F90" s="2841">
        <f t="shared" si="11"/>
        <v>216</v>
      </c>
      <c r="G90" s="2841">
        <f t="shared" si="12"/>
        <v>216</v>
      </c>
    </row>
    <row r="91" spans="1:7" ht="15.75">
      <c r="A91" s="3022">
        <f t="shared" si="13"/>
        <v>2187.5</v>
      </c>
      <c r="B91" s="2840">
        <v>2175</v>
      </c>
      <c r="C91" s="2840">
        <v>2200</v>
      </c>
      <c r="D91" s="2841">
        <f t="shared" si="9"/>
        <v>219</v>
      </c>
      <c r="E91" s="2841">
        <f t="shared" si="10"/>
        <v>219</v>
      </c>
      <c r="F91" s="2841">
        <f t="shared" si="11"/>
        <v>219</v>
      </c>
      <c r="G91" s="2841">
        <f t="shared" si="12"/>
        <v>219</v>
      </c>
    </row>
    <row r="92" spans="1:7" ht="15.75">
      <c r="A92" s="3022">
        <f t="shared" si="13"/>
        <v>2212.5</v>
      </c>
      <c r="B92" s="2840">
        <v>2200</v>
      </c>
      <c r="C92" s="2840">
        <v>2225</v>
      </c>
      <c r="D92" s="2841">
        <f t="shared" si="9"/>
        <v>221</v>
      </c>
      <c r="E92" s="2841">
        <f t="shared" si="10"/>
        <v>221</v>
      </c>
      <c r="F92" s="2841">
        <f t="shared" si="11"/>
        <v>221</v>
      </c>
      <c r="G92" s="2841">
        <f t="shared" si="12"/>
        <v>221</v>
      </c>
    </row>
    <row r="93" spans="1:7" ht="15.75">
      <c r="A93" s="3022">
        <f t="shared" si="13"/>
        <v>2237.5</v>
      </c>
      <c r="B93" s="2840">
        <v>2225</v>
      </c>
      <c r="C93" s="2840">
        <v>2250</v>
      </c>
      <c r="D93" s="2841">
        <f t="shared" si="9"/>
        <v>224</v>
      </c>
      <c r="E93" s="2841">
        <f t="shared" si="10"/>
        <v>224</v>
      </c>
      <c r="F93" s="2841">
        <f t="shared" si="11"/>
        <v>224</v>
      </c>
      <c r="G93" s="2841">
        <f t="shared" si="12"/>
        <v>224</v>
      </c>
    </row>
    <row r="94" spans="1:7" ht="15.75">
      <c r="A94" s="3022">
        <f t="shared" si="13"/>
        <v>2262.5</v>
      </c>
      <c r="B94" s="2840">
        <v>2250</v>
      </c>
      <c r="C94" s="2840">
        <v>2275</v>
      </c>
      <c r="D94" s="2841">
        <f t="shared" si="9"/>
        <v>226</v>
      </c>
      <c r="E94" s="2841">
        <f t="shared" si="10"/>
        <v>226</v>
      </c>
      <c r="F94" s="2841">
        <f t="shared" si="11"/>
        <v>226</v>
      </c>
      <c r="G94" s="2841">
        <f t="shared" si="12"/>
        <v>226</v>
      </c>
    </row>
    <row r="95" spans="1:7" ht="15.75">
      <c r="A95" s="3022">
        <f t="shared" si="13"/>
        <v>2287.5</v>
      </c>
      <c r="B95" s="2840">
        <v>2275</v>
      </c>
      <c r="C95" s="2840">
        <v>2300</v>
      </c>
      <c r="D95" s="2841">
        <f t="shared" si="9"/>
        <v>229</v>
      </c>
      <c r="E95" s="2841">
        <f t="shared" si="10"/>
        <v>229</v>
      </c>
      <c r="F95" s="2841">
        <f t="shared" si="11"/>
        <v>229</v>
      </c>
      <c r="G95" s="2841">
        <f t="shared" si="12"/>
        <v>229</v>
      </c>
    </row>
    <row r="96" spans="1:7" ht="15.75">
      <c r="A96" s="3022">
        <f t="shared" si="13"/>
        <v>2312.5</v>
      </c>
      <c r="B96" s="2840">
        <v>2300</v>
      </c>
      <c r="C96" s="2840">
        <v>2325</v>
      </c>
      <c r="D96" s="2841">
        <f t="shared" si="9"/>
        <v>231</v>
      </c>
      <c r="E96" s="2841">
        <f t="shared" si="10"/>
        <v>231</v>
      </c>
      <c r="F96" s="2841">
        <f t="shared" si="11"/>
        <v>231</v>
      </c>
      <c r="G96" s="2841">
        <f t="shared" si="12"/>
        <v>231</v>
      </c>
    </row>
    <row r="97" spans="1:7" ht="15.75">
      <c r="A97" s="3022">
        <f t="shared" si="13"/>
        <v>2337.5</v>
      </c>
      <c r="B97" s="2840">
        <v>2325</v>
      </c>
      <c r="C97" s="2840">
        <v>2350</v>
      </c>
      <c r="D97" s="2841">
        <f t="shared" si="9"/>
        <v>234</v>
      </c>
      <c r="E97" s="2841">
        <f t="shared" si="10"/>
        <v>234</v>
      </c>
      <c r="F97" s="2841">
        <f t="shared" si="11"/>
        <v>234</v>
      </c>
      <c r="G97" s="2841">
        <f t="shared" si="12"/>
        <v>234</v>
      </c>
    </row>
    <row r="98" spans="1:7" ht="15.75">
      <c r="A98" s="3022">
        <f t="shared" si="13"/>
        <v>2362.5</v>
      </c>
      <c r="B98" s="2840">
        <v>2350</v>
      </c>
      <c r="C98" s="2840">
        <v>2375</v>
      </c>
      <c r="D98" s="2841">
        <f t="shared" si="9"/>
        <v>236</v>
      </c>
      <c r="E98" s="2841">
        <f t="shared" si="10"/>
        <v>236</v>
      </c>
      <c r="F98" s="2841">
        <f t="shared" si="11"/>
        <v>236</v>
      </c>
      <c r="G98" s="2841">
        <f t="shared" si="12"/>
        <v>236</v>
      </c>
    </row>
    <row r="99" spans="1:7" ht="15.75">
      <c r="A99" s="3022">
        <f t="shared" si="13"/>
        <v>2387.5</v>
      </c>
      <c r="B99" s="2840">
        <v>2375</v>
      </c>
      <c r="C99" s="2840">
        <v>2400</v>
      </c>
      <c r="D99" s="2841">
        <f t="shared" si="9"/>
        <v>239</v>
      </c>
      <c r="E99" s="2841">
        <f t="shared" si="10"/>
        <v>239</v>
      </c>
      <c r="F99" s="2841">
        <f t="shared" si="11"/>
        <v>239</v>
      </c>
      <c r="G99" s="2841">
        <f t="shared" si="12"/>
        <v>239</v>
      </c>
    </row>
    <row r="100" spans="1:7" ht="15.75">
      <c r="A100" s="3022">
        <f t="shared" si="13"/>
        <v>2412.5</v>
      </c>
      <c r="B100" s="2840">
        <v>2400</v>
      </c>
      <c r="C100" s="2840">
        <v>2425</v>
      </c>
      <c r="D100" s="2841">
        <f t="shared" si="9"/>
        <v>241</v>
      </c>
      <c r="E100" s="2841">
        <f t="shared" si="10"/>
        <v>241</v>
      </c>
      <c r="F100" s="2841">
        <f t="shared" si="11"/>
        <v>241</v>
      </c>
      <c r="G100" s="2841">
        <f t="shared" si="12"/>
        <v>241</v>
      </c>
    </row>
    <row r="101" spans="1:7" ht="15.75">
      <c r="A101" s="3022">
        <f t="shared" si="13"/>
        <v>2437.5</v>
      </c>
      <c r="B101" s="2840">
        <v>2425</v>
      </c>
      <c r="C101" s="2840">
        <v>2450</v>
      </c>
      <c r="D101" s="2841">
        <f t="shared" si="9"/>
        <v>244</v>
      </c>
      <c r="E101" s="2841">
        <f t="shared" si="10"/>
        <v>244</v>
      </c>
      <c r="F101" s="2841">
        <f t="shared" si="11"/>
        <v>244</v>
      </c>
      <c r="G101" s="2841">
        <f t="shared" si="12"/>
        <v>244</v>
      </c>
    </row>
    <row r="102" spans="1:7" ht="15.75">
      <c r="A102" s="3022">
        <f t="shared" si="13"/>
        <v>2462.5</v>
      </c>
      <c r="B102" s="2840">
        <v>2450</v>
      </c>
      <c r="C102" s="2840">
        <v>2475</v>
      </c>
      <c r="D102" s="2841">
        <f t="shared" si="9"/>
        <v>246</v>
      </c>
      <c r="E102" s="2841">
        <f t="shared" si="10"/>
        <v>246</v>
      </c>
      <c r="F102" s="2841">
        <f t="shared" si="11"/>
        <v>246</v>
      </c>
      <c r="G102" s="2841">
        <f t="shared" si="12"/>
        <v>246</v>
      </c>
    </row>
    <row r="103" spans="1:7" ht="15.75">
      <c r="A103" s="3022">
        <f t="shared" si="13"/>
        <v>2487.5</v>
      </c>
      <c r="B103" s="2840">
        <v>2475</v>
      </c>
      <c r="C103" s="2840">
        <v>2500</v>
      </c>
      <c r="D103" s="2841">
        <f t="shared" si="9"/>
        <v>249</v>
      </c>
      <c r="E103" s="2841">
        <f t="shared" si="10"/>
        <v>249</v>
      </c>
      <c r="F103" s="2841">
        <f t="shared" si="11"/>
        <v>249</v>
      </c>
      <c r="G103" s="2841">
        <f t="shared" si="12"/>
        <v>249</v>
      </c>
    </row>
    <row r="104" spans="1:7" ht="15.75">
      <c r="A104" s="3022">
        <f t="shared" si="13"/>
        <v>2512.5</v>
      </c>
      <c r="B104" s="2840">
        <v>2500</v>
      </c>
      <c r="C104" s="2840">
        <v>2525</v>
      </c>
      <c r="D104" s="2841">
        <f t="shared" si="9"/>
        <v>251</v>
      </c>
      <c r="E104" s="2841">
        <f t="shared" si="10"/>
        <v>251</v>
      </c>
      <c r="F104" s="2841">
        <f t="shared" si="11"/>
        <v>251</v>
      </c>
      <c r="G104" s="2841">
        <f t="shared" si="12"/>
        <v>251</v>
      </c>
    </row>
    <row r="105" spans="1:7" ht="15.75">
      <c r="A105" s="3022">
        <f t="shared" si="13"/>
        <v>2537.5</v>
      </c>
      <c r="B105" s="2840">
        <v>2525</v>
      </c>
      <c r="C105" s="2840">
        <v>2550</v>
      </c>
      <c r="D105" s="2841">
        <f t="shared" si="9"/>
        <v>254</v>
      </c>
      <c r="E105" s="2841">
        <f t="shared" si="10"/>
        <v>254</v>
      </c>
      <c r="F105" s="2841">
        <f t="shared" si="11"/>
        <v>254</v>
      </c>
      <c r="G105" s="2841">
        <f t="shared" si="12"/>
        <v>254</v>
      </c>
    </row>
    <row r="106" spans="1:7" ht="15.75">
      <c r="A106" s="3022">
        <f t="shared" si="13"/>
        <v>2562.5</v>
      </c>
      <c r="B106" s="2840">
        <v>2550</v>
      </c>
      <c r="C106" s="2840">
        <v>2575</v>
      </c>
      <c r="D106" s="2841">
        <f t="shared" si="9"/>
        <v>256</v>
      </c>
      <c r="E106" s="2841">
        <f t="shared" si="10"/>
        <v>256</v>
      </c>
      <c r="F106" s="2841">
        <f t="shared" si="11"/>
        <v>256</v>
      </c>
      <c r="G106" s="2841">
        <f t="shared" si="12"/>
        <v>256</v>
      </c>
    </row>
    <row r="107" spans="1:7" ht="15.75">
      <c r="A107" s="3022">
        <f t="shared" si="13"/>
        <v>2587.5</v>
      </c>
      <c r="B107" s="2840">
        <v>2575</v>
      </c>
      <c r="C107" s="2840">
        <v>2600</v>
      </c>
      <c r="D107" s="2841">
        <f t="shared" si="9"/>
        <v>259</v>
      </c>
      <c r="E107" s="2841">
        <f t="shared" si="10"/>
        <v>259</v>
      </c>
      <c r="F107" s="2841">
        <f t="shared" si="11"/>
        <v>259</v>
      </c>
      <c r="G107" s="2841">
        <f t="shared" si="12"/>
        <v>259</v>
      </c>
    </row>
    <row r="108" spans="1:7" ht="15.75">
      <c r="A108" s="3022">
        <f t="shared" si="13"/>
        <v>2612.5</v>
      </c>
      <c r="B108" s="2840">
        <v>2600</v>
      </c>
      <c r="C108" s="2840">
        <v>2625</v>
      </c>
      <c r="D108" s="2841">
        <f t="shared" si="9"/>
        <v>261</v>
      </c>
      <c r="E108" s="2841">
        <f t="shared" si="10"/>
        <v>261</v>
      </c>
      <c r="F108" s="2841">
        <f t="shared" si="11"/>
        <v>261</v>
      </c>
      <c r="G108" s="2841">
        <f t="shared" si="12"/>
        <v>261</v>
      </c>
    </row>
    <row r="109" spans="1:7" ht="15.75">
      <c r="A109" s="3022">
        <f t="shared" si="13"/>
        <v>2637.5</v>
      </c>
      <c r="B109" s="2840">
        <v>2625</v>
      </c>
      <c r="C109" s="2840">
        <v>2650</v>
      </c>
      <c r="D109" s="2841">
        <f t="shared" si="9"/>
        <v>264</v>
      </c>
      <c r="E109" s="2841">
        <f t="shared" si="10"/>
        <v>264</v>
      </c>
      <c r="F109" s="2841">
        <f t="shared" si="11"/>
        <v>264</v>
      </c>
      <c r="G109" s="2841">
        <f t="shared" si="12"/>
        <v>264</v>
      </c>
    </row>
    <row r="110" spans="1:7" ht="15.75">
      <c r="A110" s="3022">
        <f t="shared" si="13"/>
        <v>2662.5</v>
      </c>
      <c r="B110" s="2840">
        <v>2650</v>
      </c>
      <c r="C110" s="2840">
        <v>2675</v>
      </c>
      <c r="D110" s="2841">
        <f t="shared" si="9"/>
        <v>266</v>
      </c>
      <c r="E110" s="2841">
        <f t="shared" si="10"/>
        <v>266</v>
      </c>
      <c r="F110" s="2841">
        <f t="shared" si="11"/>
        <v>266</v>
      </c>
      <c r="G110" s="2841">
        <f t="shared" si="12"/>
        <v>266</v>
      </c>
    </row>
    <row r="111" spans="1:7" ht="15.75">
      <c r="A111" s="3022">
        <f t="shared" si="13"/>
        <v>2687.5</v>
      </c>
      <c r="B111" s="2840">
        <v>2675</v>
      </c>
      <c r="C111" s="2840">
        <v>2700</v>
      </c>
      <c r="D111" s="2841">
        <f t="shared" si="9"/>
        <v>269</v>
      </c>
      <c r="E111" s="2841">
        <f t="shared" si="10"/>
        <v>269</v>
      </c>
      <c r="F111" s="2841">
        <f t="shared" si="11"/>
        <v>269</v>
      </c>
      <c r="G111" s="2841">
        <f t="shared" si="12"/>
        <v>269</v>
      </c>
    </row>
    <row r="112" spans="1:7" ht="15.75">
      <c r="A112" s="3022">
        <f t="shared" si="13"/>
        <v>2712.5</v>
      </c>
      <c r="B112" s="2840">
        <v>2700</v>
      </c>
      <c r="C112" s="2840">
        <v>2725</v>
      </c>
      <c r="D112" s="2841">
        <f t="shared" si="9"/>
        <v>271</v>
      </c>
      <c r="E112" s="2841">
        <f t="shared" si="10"/>
        <v>271</v>
      </c>
      <c r="F112" s="2841">
        <f t="shared" si="11"/>
        <v>271</v>
      </c>
      <c r="G112" s="2841">
        <f t="shared" si="12"/>
        <v>271</v>
      </c>
    </row>
    <row r="113" spans="1:7" ht="15.75">
      <c r="A113" s="3022">
        <f t="shared" si="13"/>
        <v>2737.5</v>
      </c>
      <c r="B113" s="2840">
        <v>2725</v>
      </c>
      <c r="C113" s="2840">
        <v>2750</v>
      </c>
      <c r="D113" s="2841">
        <f t="shared" si="9"/>
        <v>274</v>
      </c>
      <c r="E113" s="2841">
        <f t="shared" si="10"/>
        <v>274</v>
      </c>
      <c r="F113" s="2841">
        <f t="shared" si="11"/>
        <v>274</v>
      </c>
      <c r="G113" s="2841">
        <f t="shared" si="12"/>
        <v>274</v>
      </c>
    </row>
    <row r="114" spans="1:7" ht="15.75">
      <c r="A114" s="3022">
        <f t="shared" si="13"/>
        <v>2762.5</v>
      </c>
      <c r="B114" s="2840">
        <v>2750</v>
      </c>
      <c r="C114" s="2840">
        <v>2775</v>
      </c>
      <c r="D114" s="2841">
        <f t="shared" si="9"/>
        <v>276</v>
      </c>
      <c r="E114" s="2841">
        <f t="shared" si="10"/>
        <v>276</v>
      </c>
      <c r="F114" s="2841">
        <f t="shared" si="11"/>
        <v>276</v>
      </c>
      <c r="G114" s="2841">
        <f t="shared" si="12"/>
        <v>276</v>
      </c>
    </row>
    <row r="115" spans="1:7" ht="15.75">
      <c r="A115" s="3022">
        <f t="shared" si="13"/>
        <v>2787.5</v>
      </c>
      <c r="B115" s="2840">
        <v>2775</v>
      </c>
      <c r="C115" s="2840">
        <v>2800</v>
      </c>
      <c r="D115" s="2841">
        <f t="shared" si="9"/>
        <v>279</v>
      </c>
      <c r="E115" s="2841">
        <f t="shared" si="10"/>
        <v>279</v>
      </c>
      <c r="F115" s="2841">
        <f t="shared" si="11"/>
        <v>279</v>
      </c>
      <c r="G115" s="2841">
        <f t="shared" si="12"/>
        <v>279</v>
      </c>
    </row>
    <row r="116" spans="1:7" ht="15.75">
      <c r="A116" s="3022">
        <f t="shared" si="13"/>
        <v>2812.5</v>
      </c>
      <c r="B116" s="2840">
        <v>2800</v>
      </c>
      <c r="C116" s="2840">
        <v>2825</v>
      </c>
      <c r="D116" s="2841">
        <f t="shared" si="9"/>
        <v>281</v>
      </c>
      <c r="E116" s="2841">
        <f t="shared" si="10"/>
        <v>281</v>
      </c>
      <c r="F116" s="2841">
        <f t="shared" si="11"/>
        <v>281</v>
      </c>
      <c r="G116" s="2841">
        <f t="shared" si="12"/>
        <v>281</v>
      </c>
    </row>
    <row r="117" spans="1:7" ht="15.75">
      <c r="A117" s="3022">
        <f t="shared" si="13"/>
        <v>2837.5</v>
      </c>
      <c r="B117" s="2840">
        <v>2825</v>
      </c>
      <c r="C117" s="2840">
        <v>2850</v>
      </c>
      <c r="D117" s="2841">
        <f t="shared" si="9"/>
        <v>284</v>
      </c>
      <c r="E117" s="2841">
        <f t="shared" si="10"/>
        <v>284</v>
      </c>
      <c r="F117" s="2841">
        <f t="shared" si="11"/>
        <v>284</v>
      </c>
      <c r="G117" s="2841">
        <f t="shared" si="12"/>
        <v>284</v>
      </c>
    </row>
    <row r="118" spans="1:7" ht="15.75">
      <c r="A118" s="3022">
        <f t="shared" si="13"/>
        <v>2862.5</v>
      </c>
      <c r="B118" s="2840">
        <v>2850</v>
      </c>
      <c r="C118" s="2840">
        <v>2875</v>
      </c>
      <c r="D118" s="2841">
        <f t="shared" si="9"/>
        <v>286</v>
      </c>
      <c r="E118" s="2841">
        <f t="shared" si="10"/>
        <v>286</v>
      </c>
      <c r="F118" s="2841">
        <f t="shared" si="11"/>
        <v>286</v>
      </c>
      <c r="G118" s="2841">
        <f t="shared" si="12"/>
        <v>286</v>
      </c>
    </row>
    <row r="119" spans="1:7" ht="15.75">
      <c r="A119" s="3022">
        <f t="shared" si="13"/>
        <v>2887.5</v>
      </c>
      <c r="B119" s="2840">
        <v>2875</v>
      </c>
      <c r="C119" s="2840">
        <v>2900</v>
      </c>
      <c r="D119" s="2841">
        <f t="shared" si="9"/>
        <v>289</v>
      </c>
      <c r="E119" s="2841">
        <f t="shared" si="10"/>
        <v>289</v>
      </c>
      <c r="F119" s="2841">
        <f t="shared" si="11"/>
        <v>289</v>
      </c>
      <c r="G119" s="2841">
        <f t="shared" si="12"/>
        <v>289</v>
      </c>
    </row>
    <row r="120" spans="1:7" ht="15.75">
      <c r="A120" s="3022">
        <f t="shared" si="13"/>
        <v>2912.5</v>
      </c>
      <c r="B120" s="2840">
        <v>2900</v>
      </c>
      <c r="C120" s="2840">
        <v>2925</v>
      </c>
      <c r="D120" s="2841">
        <f t="shared" si="9"/>
        <v>291</v>
      </c>
      <c r="E120" s="2841">
        <f t="shared" si="10"/>
        <v>291</v>
      </c>
      <c r="F120" s="2841">
        <f t="shared" si="11"/>
        <v>291</v>
      </c>
      <c r="G120" s="2841">
        <f t="shared" si="12"/>
        <v>291</v>
      </c>
    </row>
    <row r="121" spans="1:7" ht="15.75">
      <c r="A121" s="3022">
        <f t="shared" si="13"/>
        <v>2937.5</v>
      </c>
      <c r="B121" s="2840">
        <v>2925</v>
      </c>
      <c r="C121" s="2840">
        <v>2950</v>
      </c>
      <c r="D121" s="2841">
        <f t="shared" si="9"/>
        <v>294</v>
      </c>
      <c r="E121" s="2841">
        <f t="shared" si="10"/>
        <v>294</v>
      </c>
      <c r="F121" s="2841">
        <f t="shared" si="11"/>
        <v>294</v>
      </c>
      <c r="G121" s="2841">
        <f t="shared" si="12"/>
        <v>294</v>
      </c>
    </row>
    <row r="122" spans="1:7" ht="15.75">
      <c r="A122" s="3022">
        <f t="shared" si="13"/>
        <v>2962.5</v>
      </c>
      <c r="B122" s="2840">
        <v>2950</v>
      </c>
      <c r="C122" s="2840">
        <v>2975</v>
      </c>
      <c r="D122" s="2841">
        <f t="shared" si="9"/>
        <v>296</v>
      </c>
      <c r="E122" s="2841">
        <f t="shared" si="10"/>
        <v>296</v>
      </c>
      <c r="F122" s="2841">
        <f t="shared" si="11"/>
        <v>296</v>
      </c>
      <c r="G122" s="2841">
        <f t="shared" si="12"/>
        <v>296</v>
      </c>
    </row>
    <row r="123" spans="1:7" ht="15.75">
      <c r="A123" s="3022">
        <f t="shared" si="13"/>
        <v>2987.5</v>
      </c>
      <c r="B123" s="2840">
        <v>2975</v>
      </c>
      <c r="C123" s="2840">
        <v>3000</v>
      </c>
      <c r="D123" s="2841">
        <f t="shared" si="9"/>
        <v>299</v>
      </c>
      <c r="E123" s="2841">
        <f t="shared" si="10"/>
        <v>299</v>
      </c>
      <c r="F123" s="2841">
        <f t="shared" si="11"/>
        <v>299</v>
      </c>
      <c r="G123" s="2841">
        <f t="shared" si="12"/>
        <v>299</v>
      </c>
    </row>
    <row r="124" spans="1:7" ht="15.75">
      <c r="A124" s="3022">
        <f t="shared" si="13"/>
        <v>3025</v>
      </c>
      <c r="B124" s="2840">
        <v>3000</v>
      </c>
      <c r="C124" s="2840">
        <v>3050</v>
      </c>
      <c r="D124" s="2841">
        <f t="shared" si="9"/>
        <v>303</v>
      </c>
      <c r="E124" s="2841">
        <f t="shared" si="10"/>
        <v>303</v>
      </c>
      <c r="F124" s="2841">
        <f t="shared" si="11"/>
        <v>303</v>
      </c>
      <c r="G124" s="2841">
        <f t="shared" si="12"/>
        <v>303</v>
      </c>
    </row>
    <row r="125" spans="1:7" ht="15.75">
      <c r="A125" s="3022">
        <f t="shared" si="13"/>
        <v>3075</v>
      </c>
      <c r="B125" s="2840">
        <v>3050</v>
      </c>
      <c r="C125" s="2840">
        <v>3100</v>
      </c>
      <c r="D125" s="2841">
        <f t="shared" si="9"/>
        <v>308</v>
      </c>
      <c r="E125" s="2841">
        <f t="shared" si="10"/>
        <v>308</v>
      </c>
      <c r="F125" s="2841">
        <f t="shared" si="11"/>
        <v>308</v>
      </c>
      <c r="G125" s="2841">
        <f t="shared" si="12"/>
        <v>308</v>
      </c>
    </row>
    <row r="126" spans="1:7" ht="15.75">
      <c r="A126" s="3022">
        <f t="shared" si="13"/>
        <v>3125</v>
      </c>
      <c r="B126" s="2840">
        <v>3100</v>
      </c>
      <c r="C126" s="2840">
        <v>3150</v>
      </c>
      <c r="D126" s="2841">
        <f t="shared" si="9"/>
        <v>313</v>
      </c>
      <c r="E126" s="2841">
        <f t="shared" si="10"/>
        <v>313</v>
      </c>
      <c r="F126" s="2841">
        <f t="shared" si="11"/>
        <v>313</v>
      </c>
      <c r="G126" s="2841">
        <f t="shared" si="12"/>
        <v>313</v>
      </c>
    </row>
    <row r="127" spans="1:7" ht="15.75">
      <c r="A127" s="3022">
        <f t="shared" si="13"/>
        <v>3175</v>
      </c>
      <c r="B127" s="2840">
        <v>3150</v>
      </c>
      <c r="C127" s="2840">
        <v>3200</v>
      </c>
      <c r="D127" s="2841">
        <f t="shared" si="9"/>
        <v>318</v>
      </c>
      <c r="E127" s="2841">
        <f t="shared" si="10"/>
        <v>318</v>
      </c>
      <c r="F127" s="2841">
        <f t="shared" si="11"/>
        <v>318</v>
      </c>
      <c r="G127" s="2841">
        <f t="shared" si="12"/>
        <v>318</v>
      </c>
    </row>
    <row r="128" spans="1:7" ht="15.75">
      <c r="A128" s="3022">
        <f t="shared" si="13"/>
        <v>3225</v>
      </c>
      <c r="B128" s="2840">
        <v>3200</v>
      </c>
      <c r="C128" s="2840">
        <v>3250</v>
      </c>
      <c r="D128" s="2841">
        <f t="shared" si="9"/>
        <v>323</v>
      </c>
      <c r="E128" s="2841">
        <f t="shared" si="10"/>
        <v>323</v>
      </c>
      <c r="F128" s="2841">
        <f t="shared" si="11"/>
        <v>323</v>
      </c>
      <c r="G128" s="2841">
        <f t="shared" si="12"/>
        <v>323</v>
      </c>
    </row>
    <row r="129" spans="1:7" ht="15.75">
      <c r="A129" s="3022">
        <f t="shared" si="13"/>
        <v>3275</v>
      </c>
      <c r="B129" s="2840">
        <v>3250</v>
      </c>
      <c r="C129" s="2840">
        <v>3300</v>
      </c>
      <c r="D129" s="2841">
        <f t="shared" si="9"/>
        <v>328</v>
      </c>
      <c r="E129" s="2841">
        <f t="shared" si="10"/>
        <v>328</v>
      </c>
      <c r="F129" s="2841">
        <f t="shared" si="11"/>
        <v>328</v>
      </c>
      <c r="G129" s="2841">
        <f t="shared" si="12"/>
        <v>328</v>
      </c>
    </row>
    <row r="130" spans="1:7" ht="15.75">
      <c r="A130" s="3022">
        <f t="shared" si="13"/>
        <v>3325</v>
      </c>
      <c r="B130" s="2840">
        <v>3300</v>
      </c>
      <c r="C130" s="2840">
        <v>3350</v>
      </c>
      <c r="D130" s="2841">
        <f t="shared" ref="D130:D193" si="14">IF($A130&gt;BOTT_A4,ROUND(BASE_A4+RATE_A4*($A130-BOTT_A4),0),IF($A130&gt;BOTT_A3,ROUND(BASE_A3+RATE_A3*($A130-BOTT_A3),0),IF($A130&gt;BOTT_A2,ROUND(BASE_A2+RATE_A2*($A130-BOTT_A2),0),ROUND(RATE_A1*$A130,0))))</f>
        <v>333</v>
      </c>
      <c r="E130" s="2841">
        <f t="shared" ref="E130:E193" si="15">IF($A130&gt;BOTT_B4,ROUND(BASE_B4+RATE_B4*($A130-BOTT_B4),0),IF($A130&gt;BOTT_B3,ROUND(BASE_B3+RATE_B3*($A130-BOTT_B3),0),IF($A130&gt;BOTT_B2,ROUND(BASE_B2+RATE_B2*($A130-BOTT_B2),0),ROUND(RATE_B1*$A130,0))))</f>
        <v>333</v>
      </c>
      <c r="F130" s="2841">
        <f t="shared" ref="F130:F193" si="16">IF($A130&gt;BOTT_C4,ROUND(BASE_C4+RATE_C4*($A130-BOTT_C4),0),IF($A130&gt;BOTT_C3,ROUND(BASE_C3+RATE_C3*($A130-BOTT_C3),0),IF($A130&gt;BOTT_C2,ROUND(BASE_C2+RATE_C2*($A130-BOTT_C2),0),ROUND(RATE_C1*$A130,0))))</f>
        <v>333</v>
      </c>
      <c r="G130" s="2841">
        <f t="shared" ref="G130:G193" si="17">IF($A130&gt;BOTT_D4,ROUND(BASE_D4+RATE_D4*($A130-BOTT_D4),0),IF($A130&gt;BOTT_D3,ROUND(BASE_D3+RATE_D3*($A130-BOTT_D3),0),IF($A130&gt;BOTT_D2,ROUND(BASE_D2+RATE_D2*($A130-BOTT_D2),0),ROUND(RATE_D1*$A130,0))))</f>
        <v>333</v>
      </c>
    </row>
    <row r="131" spans="1:7" ht="15.75">
      <c r="A131" s="3022">
        <f t="shared" ref="A131:A194" si="18">AVERAGE(B131,C131)</f>
        <v>3375</v>
      </c>
      <c r="B131" s="2840">
        <v>3350</v>
      </c>
      <c r="C131" s="2840">
        <v>3400</v>
      </c>
      <c r="D131" s="2841">
        <f t="shared" si="14"/>
        <v>338</v>
      </c>
      <c r="E131" s="2841">
        <f t="shared" si="15"/>
        <v>338</v>
      </c>
      <c r="F131" s="2841">
        <f t="shared" si="16"/>
        <v>338</v>
      </c>
      <c r="G131" s="2841">
        <f t="shared" si="17"/>
        <v>338</v>
      </c>
    </row>
    <row r="132" spans="1:7" ht="15.75">
      <c r="A132" s="3022">
        <f t="shared" si="18"/>
        <v>3425</v>
      </c>
      <c r="B132" s="2840">
        <v>3400</v>
      </c>
      <c r="C132" s="2840">
        <v>3450</v>
      </c>
      <c r="D132" s="2841">
        <f t="shared" si="14"/>
        <v>343</v>
      </c>
      <c r="E132" s="2841">
        <f t="shared" si="15"/>
        <v>343</v>
      </c>
      <c r="F132" s="2841">
        <f t="shared" si="16"/>
        <v>343</v>
      </c>
      <c r="G132" s="2841">
        <f t="shared" si="17"/>
        <v>343</v>
      </c>
    </row>
    <row r="133" spans="1:7" ht="15.75">
      <c r="A133" s="3022">
        <f t="shared" si="18"/>
        <v>3475</v>
      </c>
      <c r="B133" s="2840">
        <v>3450</v>
      </c>
      <c r="C133" s="2840">
        <v>3500</v>
      </c>
      <c r="D133" s="2841">
        <f t="shared" si="14"/>
        <v>348</v>
      </c>
      <c r="E133" s="2841">
        <f t="shared" si="15"/>
        <v>348</v>
      </c>
      <c r="F133" s="2841">
        <f t="shared" si="16"/>
        <v>348</v>
      </c>
      <c r="G133" s="2841">
        <f t="shared" si="17"/>
        <v>348</v>
      </c>
    </row>
    <row r="134" spans="1:7" ht="15.75">
      <c r="A134" s="3022">
        <f t="shared" si="18"/>
        <v>3525</v>
      </c>
      <c r="B134" s="2840">
        <v>3500</v>
      </c>
      <c r="C134" s="2840">
        <v>3550</v>
      </c>
      <c r="D134" s="2841">
        <f t="shared" si="14"/>
        <v>353</v>
      </c>
      <c r="E134" s="2841">
        <f t="shared" si="15"/>
        <v>353</v>
      </c>
      <c r="F134" s="2841">
        <f t="shared" si="16"/>
        <v>353</v>
      </c>
      <c r="G134" s="2841">
        <f t="shared" si="17"/>
        <v>353</v>
      </c>
    </row>
    <row r="135" spans="1:7" ht="15.75">
      <c r="A135" s="3022">
        <f t="shared" si="18"/>
        <v>3575</v>
      </c>
      <c r="B135" s="2840">
        <v>3550</v>
      </c>
      <c r="C135" s="2840">
        <v>3600</v>
      </c>
      <c r="D135" s="2841">
        <f t="shared" si="14"/>
        <v>358</v>
      </c>
      <c r="E135" s="2841">
        <f t="shared" si="15"/>
        <v>358</v>
      </c>
      <c r="F135" s="2841">
        <f t="shared" si="16"/>
        <v>358</v>
      </c>
      <c r="G135" s="2841">
        <f t="shared" si="17"/>
        <v>358</v>
      </c>
    </row>
    <row r="136" spans="1:7" ht="15.75">
      <c r="A136" s="3022">
        <f t="shared" si="18"/>
        <v>3625</v>
      </c>
      <c r="B136" s="2840">
        <v>3600</v>
      </c>
      <c r="C136" s="2840">
        <v>3650</v>
      </c>
      <c r="D136" s="2841">
        <f t="shared" si="14"/>
        <v>363</v>
      </c>
      <c r="E136" s="2841">
        <f t="shared" si="15"/>
        <v>363</v>
      </c>
      <c r="F136" s="2841">
        <f t="shared" si="16"/>
        <v>363</v>
      </c>
      <c r="G136" s="2841">
        <f t="shared" si="17"/>
        <v>363</v>
      </c>
    </row>
    <row r="137" spans="1:7" ht="15.75">
      <c r="A137" s="3022">
        <f t="shared" si="18"/>
        <v>3675</v>
      </c>
      <c r="B137" s="2840">
        <v>3650</v>
      </c>
      <c r="C137" s="2840">
        <v>3700</v>
      </c>
      <c r="D137" s="2841">
        <f t="shared" si="14"/>
        <v>368</v>
      </c>
      <c r="E137" s="2841">
        <f t="shared" si="15"/>
        <v>368</v>
      </c>
      <c r="F137" s="2841">
        <f t="shared" si="16"/>
        <v>368</v>
      </c>
      <c r="G137" s="2841">
        <f t="shared" si="17"/>
        <v>368</v>
      </c>
    </row>
    <row r="138" spans="1:7" ht="15.75">
      <c r="A138" s="3022">
        <f t="shared" si="18"/>
        <v>3725</v>
      </c>
      <c r="B138" s="2840">
        <v>3700</v>
      </c>
      <c r="C138" s="2840">
        <v>3750</v>
      </c>
      <c r="D138" s="2841">
        <f t="shared" si="14"/>
        <v>373</v>
      </c>
      <c r="E138" s="2841">
        <f t="shared" si="15"/>
        <v>373</v>
      </c>
      <c r="F138" s="2841">
        <f t="shared" si="16"/>
        <v>373</v>
      </c>
      <c r="G138" s="2841">
        <f t="shared" si="17"/>
        <v>373</v>
      </c>
    </row>
    <row r="139" spans="1:7" ht="15.75">
      <c r="A139" s="3022">
        <f t="shared" si="18"/>
        <v>3775</v>
      </c>
      <c r="B139" s="2840">
        <v>3750</v>
      </c>
      <c r="C139" s="2840">
        <v>3800</v>
      </c>
      <c r="D139" s="2841">
        <f t="shared" si="14"/>
        <v>378</v>
      </c>
      <c r="E139" s="2841">
        <f t="shared" si="15"/>
        <v>378</v>
      </c>
      <c r="F139" s="2841">
        <f t="shared" si="16"/>
        <v>378</v>
      </c>
      <c r="G139" s="2841">
        <f t="shared" si="17"/>
        <v>378</v>
      </c>
    </row>
    <row r="140" spans="1:7" ht="15.75">
      <c r="A140" s="3022">
        <f t="shared" si="18"/>
        <v>3825</v>
      </c>
      <c r="B140" s="2840">
        <v>3800</v>
      </c>
      <c r="C140" s="2840">
        <v>3850</v>
      </c>
      <c r="D140" s="2841">
        <f t="shared" si="14"/>
        <v>383</v>
      </c>
      <c r="E140" s="2841">
        <f t="shared" si="15"/>
        <v>383</v>
      </c>
      <c r="F140" s="2841">
        <f t="shared" si="16"/>
        <v>383</v>
      </c>
      <c r="G140" s="2841">
        <f t="shared" si="17"/>
        <v>383</v>
      </c>
    </row>
    <row r="141" spans="1:7" ht="15.75">
      <c r="A141" s="3022">
        <f t="shared" si="18"/>
        <v>3875</v>
      </c>
      <c r="B141" s="2840">
        <v>3850</v>
      </c>
      <c r="C141" s="2840">
        <v>3900</v>
      </c>
      <c r="D141" s="2841">
        <f t="shared" si="14"/>
        <v>388</v>
      </c>
      <c r="E141" s="2841">
        <f t="shared" si="15"/>
        <v>388</v>
      </c>
      <c r="F141" s="2841">
        <f t="shared" si="16"/>
        <v>388</v>
      </c>
      <c r="G141" s="2841">
        <f t="shared" si="17"/>
        <v>388</v>
      </c>
    </row>
    <row r="142" spans="1:7" ht="15.75">
      <c r="A142" s="3022">
        <f t="shared" si="18"/>
        <v>3925</v>
      </c>
      <c r="B142" s="2840">
        <v>3900</v>
      </c>
      <c r="C142" s="2840">
        <v>3950</v>
      </c>
      <c r="D142" s="2841">
        <f t="shared" si="14"/>
        <v>393</v>
      </c>
      <c r="E142" s="2841">
        <f t="shared" si="15"/>
        <v>393</v>
      </c>
      <c r="F142" s="2841">
        <f t="shared" si="16"/>
        <v>393</v>
      </c>
      <c r="G142" s="2841">
        <f t="shared" si="17"/>
        <v>393</v>
      </c>
    </row>
    <row r="143" spans="1:7" ht="15.75">
      <c r="A143" s="3022">
        <f t="shared" si="18"/>
        <v>3975</v>
      </c>
      <c r="B143" s="2840">
        <v>3950</v>
      </c>
      <c r="C143" s="2840">
        <v>4000</v>
      </c>
      <c r="D143" s="2841">
        <f t="shared" si="14"/>
        <v>398</v>
      </c>
      <c r="E143" s="2841">
        <f t="shared" si="15"/>
        <v>398</v>
      </c>
      <c r="F143" s="2841">
        <f t="shared" si="16"/>
        <v>398</v>
      </c>
      <c r="G143" s="2841">
        <f t="shared" si="17"/>
        <v>398</v>
      </c>
    </row>
    <row r="144" spans="1:7" ht="15.75">
      <c r="A144" s="3022">
        <f t="shared" si="18"/>
        <v>4025</v>
      </c>
      <c r="B144" s="2840">
        <v>4000</v>
      </c>
      <c r="C144" s="2840">
        <v>4050</v>
      </c>
      <c r="D144" s="2841">
        <f t="shared" si="14"/>
        <v>403</v>
      </c>
      <c r="E144" s="2841">
        <f t="shared" si="15"/>
        <v>403</v>
      </c>
      <c r="F144" s="2841">
        <f t="shared" si="16"/>
        <v>403</v>
      </c>
      <c r="G144" s="2841">
        <f t="shared" si="17"/>
        <v>403</v>
      </c>
    </row>
    <row r="145" spans="1:7" ht="15.75">
      <c r="A145" s="3022">
        <f t="shared" si="18"/>
        <v>4075</v>
      </c>
      <c r="B145" s="2840">
        <v>4050</v>
      </c>
      <c r="C145" s="2840">
        <v>4100</v>
      </c>
      <c r="D145" s="2841">
        <f t="shared" si="14"/>
        <v>408</v>
      </c>
      <c r="E145" s="2841">
        <f t="shared" si="15"/>
        <v>408</v>
      </c>
      <c r="F145" s="2841">
        <f t="shared" si="16"/>
        <v>408</v>
      </c>
      <c r="G145" s="2841">
        <f t="shared" si="17"/>
        <v>408</v>
      </c>
    </row>
    <row r="146" spans="1:7" ht="15.75">
      <c r="A146" s="3022">
        <f t="shared" si="18"/>
        <v>4125</v>
      </c>
      <c r="B146" s="2840">
        <v>4100</v>
      </c>
      <c r="C146" s="2840">
        <v>4150</v>
      </c>
      <c r="D146" s="2841">
        <f t="shared" si="14"/>
        <v>413</v>
      </c>
      <c r="E146" s="2841">
        <f t="shared" si="15"/>
        <v>413</v>
      </c>
      <c r="F146" s="2841">
        <f t="shared" si="16"/>
        <v>413</v>
      </c>
      <c r="G146" s="2841">
        <f t="shared" si="17"/>
        <v>413</v>
      </c>
    </row>
    <row r="147" spans="1:7" ht="15.75">
      <c r="A147" s="3022">
        <f t="shared" si="18"/>
        <v>4175</v>
      </c>
      <c r="B147" s="2840">
        <v>4150</v>
      </c>
      <c r="C147" s="2840">
        <v>4200</v>
      </c>
      <c r="D147" s="2841">
        <f t="shared" si="14"/>
        <v>418</v>
      </c>
      <c r="E147" s="2841">
        <f t="shared" si="15"/>
        <v>418</v>
      </c>
      <c r="F147" s="2841">
        <f t="shared" si="16"/>
        <v>418</v>
      </c>
      <c r="G147" s="2841">
        <f t="shared" si="17"/>
        <v>418</v>
      </c>
    </row>
    <row r="148" spans="1:7" ht="15.75">
      <c r="A148" s="3022">
        <f t="shared" si="18"/>
        <v>4225</v>
      </c>
      <c r="B148" s="2840">
        <v>4200</v>
      </c>
      <c r="C148" s="2840">
        <v>4250</v>
      </c>
      <c r="D148" s="2841">
        <f t="shared" si="14"/>
        <v>423</v>
      </c>
      <c r="E148" s="2841">
        <f t="shared" si="15"/>
        <v>423</v>
      </c>
      <c r="F148" s="2841">
        <f t="shared" si="16"/>
        <v>423</v>
      </c>
      <c r="G148" s="2841">
        <f t="shared" si="17"/>
        <v>423</v>
      </c>
    </row>
    <row r="149" spans="1:7" ht="15.75">
      <c r="A149" s="3022">
        <f t="shared" si="18"/>
        <v>4275</v>
      </c>
      <c r="B149" s="2840">
        <v>4250</v>
      </c>
      <c r="C149" s="2840">
        <v>4300</v>
      </c>
      <c r="D149" s="2841">
        <f t="shared" si="14"/>
        <v>428</v>
      </c>
      <c r="E149" s="2841">
        <f t="shared" si="15"/>
        <v>428</v>
      </c>
      <c r="F149" s="2841">
        <f t="shared" si="16"/>
        <v>428</v>
      </c>
      <c r="G149" s="2841">
        <f t="shared" si="17"/>
        <v>428</v>
      </c>
    </row>
    <row r="150" spans="1:7" ht="15.75">
      <c r="A150" s="3022">
        <f t="shared" si="18"/>
        <v>4325</v>
      </c>
      <c r="B150" s="2840">
        <v>4300</v>
      </c>
      <c r="C150" s="2840">
        <v>4350</v>
      </c>
      <c r="D150" s="2841">
        <f t="shared" si="14"/>
        <v>433</v>
      </c>
      <c r="E150" s="2841">
        <f t="shared" si="15"/>
        <v>433</v>
      </c>
      <c r="F150" s="2841">
        <f t="shared" si="16"/>
        <v>433</v>
      </c>
      <c r="G150" s="2841">
        <f t="shared" si="17"/>
        <v>433</v>
      </c>
    </row>
    <row r="151" spans="1:7" ht="15.75">
      <c r="A151" s="3022">
        <f t="shared" si="18"/>
        <v>4375</v>
      </c>
      <c r="B151" s="2840">
        <v>4350</v>
      </c>
      <c r="C151" s="2840">
        <v>4400</v>
      </c>
      <c r="D151" s="2841">
        <f t="shared" si="14"/>
        <v>438</v>
      </c>
      <c r="E151" s="2841">
        <f t="shared" si="15"/>
        <v>438</v>
      </c>
      <c r="F151" s="2841">
        <f t="shared" si="16"/>
        <v>438</v>
      </c>
      <c r="G151" s="2841">
        <f t="shared" si="17"/>
        <v>438</v>
      </c>
    </row>
    <row r="152" spans="1:7" ht="15.75">
      <c r="A152" s="3022">
        <f t="shared" si="18"/>
        <v>4425</v>
      </c>
      <c r="B152" s="2840">
        <v>4400</v>
      </c>
      <c r="C152" s="2840">
        <v>4450</v>
      </c>
      <c r="D152" s="2841">
        <f t="shared" si="14"/>
        <v>443</v>
      </c>
      <c r="E152" s="2841">
        <f t="shared" si="15"/>
        <v>443</v>
      </c>
      <c r="F152" s="2841">
        <f t="shared" si="16"/>
        <v>443</v>
      </c>
      <c r="G152" s="2841">
        <f t="shared" si="17"/>
        <v>443</v>
      </c>
    </row>
    <row r="153" spans="1:7" ht="15.75">
      <c r="A153" s="3022">
        <f t="shared" si="18"/>
        <v>4475</v>
      </c>
      <c r="B153" s="2840">
        <v>4450</v>
      </c>
      <c r="C153" s="2840">
        <v>4500</v>
      </c>
      <c r="D153" s="2841">
        <f t="shared" si="14"/>
        <v>448</v>
      </c>
      <c r="E153" s="2841">
        <f t="shared" si="15"/>
        <v>448</v>
      </c>
      <c r="F153" s="2841">
        <f t="shared" si="16"/>
        <v>448</v>
      </c>
      <c r="G153" s="2841">
        <f t="shared" si="17"/>
        <v>448</v>
      </c>
    </row>
    <row r="154" spans="1:7" ht="15.75">
      <c r="A154" s="3022">
        <f t="shared" si="18"/>
        <v>4525</v>
      </c>
      <c r="B154" s="2840">
        <v>4500</v>
      </c>
      <c r="C154" s="2840">
        <v>4550</v>
      </c>
      <c r="D154" s="2841">
        <f t="shared" si="14"/>
        <v>453</v>
      </c>
      <c r="E154" s="2841">
        <f t="shared" si="15"/>
        <v>453</v>
      </c>
      <c r="F154" s="2841">
        <f t="shared" si="16"/>
        <v>453</v>
      </c>
      <c r="G154" s="2841">
        <f t="shared" si="17"/>
        <v>453</v>
      </c>
    </row>
    <row r="155" spans="1:7" ht="15.75">
      <c r="A155" s="3022">
        <f t="shared" si="18"/>
        <v>4575</v>
      </c>
      <c r="B155" s="2840">
        <v>4550</v>
      </c>
      <c r="C155" s="2840">
        <v>4600</v>
      </c>
      <c r="D155" s="2841">
        <f t="shared" si="14"/>
        <v>458</v>
      </c>
      <c r="E155" s="2841">
        <f t="shared" si="15"/>
        <v>458</v>
      </c>
      <c r="F155" s="2841">
        <f t="shared" si="16"/>
        <v>458</v>
      </c>
      <c r="G155" s="2841">
        <f t="shared" si="17"/>
        <v>458</v>
      </c>
    </row>
    <row r="156" spans="1:7" ht="15.75">
      <c r="A156" s="3022">
        <f t="shared" si="18"/>
        <v>4625</v>
      </c>
      <c r="B156" s="2840">
        <v>4600</v>
      </c>
      <c r="C156" s="2840">
        <v>4650</v>
      </c>
      <c r="D156" s="2841">
        <f t="shared" si="14"/>
        <v>463</v>
      </c>
      <c r="E156" s="2841">
        <f t="shared" si="15"/>
        <v>463</v>
      </c>
      <c r="F156" s="2841">
        <f t="shared" si="16"/>
        <v>463</v>
      </c>
      <c r="G156" s="2841">
        <f t="shared" si="17"/>
        <v>463</v>
      </c>
    </row>
    <row r="157" spans="1:7" ht="15.75">
      <c r="A157" s="3022">
        <f t="shared" si="18"/>
        <v>4675</v>
      </c>
      <c r="B157" s="2840">
        <v>4650</v>
      </c>
      <c r="C157" s="2840">
        <v>4700</v>
      </c>
      <c r="D157" s="2841">
        <f t="shared" si="14"/>
        <v>468</v>
      </c>
      <c r="E157" s="2841">
        <f t="shared" si="15"/>
        <v>468</v>
      </c>
      <c r="F157" s="2841">
        <f t="shared" si="16"/>
        <v>468</v>
      </c>
      <c r="G157" s="2841">
        <f t="shared" si="17"/>
        <v>468</v>
      </c>
    </row>
    <row r="158" spans="1:7" ht="15.75">
      <c r="A158" s="3022">
        <f t="shared" si="18"/>
        <v>4725</v>
      </c>
      <c r="B158" s="2840">
        <v>4700</v>
      </c>
      <c r="C158" s="2840">
        <v>4750</v>
      </c>
      <c r="D158" s="2841">
        <f t="shared" si="14"/>
        <v>473</v>
      </c>
      <c r="E158" s="2841">
        <f t="shared" si="15"/>
        <v>473</v>
      </c>
      <c r="F158" s="2841">
        <f t="shared" si="16"/>
        <v>473</v>
      </c>
      <c r="G158" s="2841">
        <f t="shared" si="17"/>
        <v>473</v>
      </c>
    </row>
    <row r="159" spans="1:7" ht="15.75">
      <c r="A159" s="3022">
        <f t="shared" si="18"/>
        <v>4775</v>
      </c>
      <c r="B159" s="2840">
        <v>4750</v>
      </c>
      <c r="C159" s="2840">
        <v>4800</v>
      </c>
      <c r="D159" s="2841">
        <f t="shared" si="14"/>
        <v>478</v>
      </c>
      <c r="E159" s="2841">
        <f t="shared" si="15"/>
        <v>478</v>
      </c>
      <c r="F159" s="2841">
        <f t="shared" si="16"/>
        <v>478</v>
      </c>
      <c r="G159" s="2841">
        <f t="shared" si="17"/>
        <v>478</v>
      </c>
    </row>
    <row r="160" spans="1:7" ht="15.75">
      <c r="A160" s="3022">
        <f t="shared" si="18"/>
        <v>4825</v>
      </c>
      <c r="B160" s="2840">
        <v>4800</v>
      </c>
      <c r="C160" s="2840">
        <v>4850</v>
      </c>
      <c r="D160" s="2841">
        <f t="shared" si="14"/>
        <v>483</v>
      </c>
      <c r="E160" s="2841">
        <f t="shared" si="15"/>
        <v>483</v>
      </c>
      <c r="F160" s="2841">
        <f t="shared" si="16"/>
        <v>483</v>
      </c>
      <c r="G160" s="2841">
        <f t="shared" si="17"/>
        <v>483</v>
      </c>
    </row>
    <row r="161" spans="1:7" ht="15.75">
      <c r="A161" s="3022">
        <f t="shared" si="18"/>
        <v>4875</v>
      </c>
      <c r="B161" s="2840">
        <v>4850</v>
      </c>
      <c r="C161" s="2840">
        <v>4900</v>
      </c>
      <c r="D161" s="2841">
        <f t="shared" si="14"/>
        <v>488</v>
      </c>
      <c r="E161" s="2841">
        <f t="shared" si="15"/>
        <v>488</v>
      </c>
      <c r="F161" s="2841">
        <f t="shared" si="16"/>
        <v>488</v>
      </c>
      <c r="G161" s="2841">
        <f t="shared" si="17"/>
        <v>488</v>
      </c>
    </row>
    <row r="162" spans="1:7" ht="15.75">
      <c r="A162" s="3022">
        <f t="shared" si="18"/>
        <v>4925</v>
      </c>
      <c r="B162" s="2840">
        <v>4900</v>
      </c>
      <c r="C162" s="2840">
        <v>4950</v>
      </c>
      <c r="D162" s="2841">
        <f t="shared" si="14"/>
        <v>493</v>
      </c>
      <c r="E162" s="2841">
        <f t="shared" si="15"/>
        <v>493</v>
      </c>
      <c r="F162" s="2841">
        <f t="shared" si="16"/>
        <v>493</v>
      </c>
      <c r="G162" s="2841">
        <f t="shared" si="17"/>
        <v>493</v>
      </c>
    </row>
    <row r="163" spans="1:7" ht="15.75">
      <c r="A163" s="3022">
        <f t="shared" si="18"/>
        <v>4975</v>
      </c>
      <c r="B163" s="2840">
        <v>4950</v>
      </c>
      <c r="C163" s="2840">
        <v>5000</v>
      </c>
      <c r="D163" s="2841">
        <f t="shared" si="14"/>
        <v>498</v>
      </c>
      <c r="E163" s="2841">
        <f t="shared" si="15"/>
        <v>498</v>
      </c>
      <c r="F163" s="2841">
        <f t="shared" si="16"/>
        <v>498</v>
      </c>
      <c r="G163" s="2841">
        <f t="shared" si="17"/>
        <v>498</v>
      </c>
    </row>
    <row r="164" spans="1:7" ht="15.75">
      <c r="A164" s="3022">
        <f t="shared" si="18"/>
        <v>5025</v>
      </c>
      <c r="B164" s="2840">
        <v>5000</v>
      </c>
      <c r="C164" s="2840">
        <v>5050</v>
      </c>
      <c r="D164" s="2841">
        <f t="shared" si="14"/>
        <v>503</v>
      </c>
      <c r="E164" s="2841">
        <f t="shared" si="15"/>
        <v>503</v>
      </c>
      <c r="F164" s="2841">
        <f t="shared" si="16"/>
        <v>503</v>
      </c>
      <c r="G164" s="2841">
        <f t="shared" si="17"/>
        <v>503</v>
      </c>
    </row>
    <row r="165" spans="1:7" ht="15.75">
      <c r="A165" s="3022">
        <f t="shared" si="18"/>
        <v>5075</v>
      </c>
      <c r="B165" s="2840">
        <v>5050</v>
      </c>
      <c r="C165" s="2840">
        <v>5100</v>
      </c>
      <c r="D165" s="2841">
        <f t="shared" si="14"/>
        <v>508</v>
      </c>
      <c r="E165" s="2841">
        <f t="shared" si="15"/>
        <v>508</v>
      </c>
      <c r="F165" s="2841">
        <f t="shared" si="16"/>
        <v>508</v>
      </c>
      <c r="G165" s="2841">
        <f t="shared" si="17"/>
        <v>508</v>
      </c>
    </row>
    <row r="166" spans="1:7" ht="15.75">
      <c r="A166" s="3022">
        <f t="shared" si="18"/>
        <v>5125</v>
      </c>
      <c r="B166" s="2840">
        <v>5100</v>
      </c>
      <c r="C166" s="2840">
        <v>5150</v>
      </c>
      <c r="D166" s="2841">
        <f t="shared" si="14"/>
        <v>513</v>
      </c>
      <c r="E166" s="2841">
        <f t="shared" si="15"/>
        <v>513</v>
      </c>
      <c r="F166" s="2841">
        <f t="shared" si="16"/>
        <v>513</v>
      </c>
      <c r="G166" s="2841">
        <f t="shared" si="17"/>
        <v>513</v>
      </c>
    </row>
    <row r="167" spans="1:7" ht="15.75">
      <c r="A167" s="3022">
        <f t="shared" si="18"/>
        <v>5175</v>
      </c>
      <c r="B167" s="2840">
        <v>5150</v>
      </c>
      <c r="C167" s="2840">
        <v>5200</v>
      </c>
      <c r="D167" s="2841">
        <f t="shared" si="14"/>
        <v>518</v>
      </c>
      <c r="E167" s="2841">
        <f t="shared" si="15"/>
        <v>518</v>
      </c>
      <c r="F167" s="2841">
        <f t="shared" si="16"/>
        <v>518</v>
      </c>
      <c r="G167" s="2841">
        <f t="shared" si="17"/>
        <v>518</v>
      </c>
    </row>
    <row r="168" spans="1:7" ht="15.75">
      <c r="A168" s="3022">
        <f t="shared" si="18"/>
        <v>5225</v>
      </c>
      <c r="B168" s="2840">
        <v>5200</v>
      </c>
      <c r="C168" s="2840">
        <v>5250</v>
      </c>
      <c r="D168" s="2841">
        <f t="shared" si="14"/>
        <v>523</v>
      </c>
      <c r="E168" s="2841">
        <f t="shared" si="15"/>
        <v>523</v>
      </c>
      <c r="F168" s="2841">
        <f t="shared" si="16"/>
        <v>523</v>
      </c>
      <c r="G168" s="2841">
        <f t="shared" si="17"/>
        <v>523</v>
      </c>
    </row>
    <row r="169" spans="1:7" ht="15.75">
      <c r="A169" s="3022">
        <f t="shared" si="18"/>
        <v>5275</v>
      </c>
      <c r="B169" s="2840">
        <v>5250</v>
      </c>
      <c r="C169" s="2840">
        <v>5300</v>
      </c>
      <c r="D169" s="2841">
        <f t="shared" si="14"/>
        <v>528</v>
      </c>
      <c r="E169" s="2841">
        <f t="shared" si="15"/>
        <v>528</v>
      </c>
      <c r="F169" s="2841">
        <f t="shared" si="16"/>
        <v>528</v>
      </c>
      <c r="G169" s="2841">
        <f t="shared" si="17"/>
        <v>528</v>
      </c>
    </row>
    <row r="170" spans="1:7" ht="15.75">
      <c r="A170" s="3022">
        <f t="shared" si="18"/>
        <v>5325</v>
      </c>
      <c r="B170" s="2840">
        <v>5300</v>
      </c>
      <c r="C170" s="2840">
        <v>5350</v>
      </c>
      <c r="D170" s="2841">
        <f t="shared" si="14"/>
        <v>533</v>
      </c>
      <c r="E170" s="2841">
        <f t="shared" si="15"/>
        <v>533</v>
      </c>
      <c r="F170" s="2841">
        <f t="shared" si="16"/>
        <v>533</v>
      </c>
      <c r="G170" s="2841">
        <f t="shared" si="17"/>
        <v>533</v>
      </c>
    </row>
    <row r="171" spans="1:7" ht="15.75">
      <c r="A171" s="3022">
        <f t="shared" si="18"/>
        <v>5375</v>
      </c>
      <c r="B171" s="2840">
        <v>5350</v>
      </c>
      <c r="C171" s="2840">
        <v>5400</v>
      </c>
      <c r="D171" s="2841">
        <f t="shared" si="14"/>
        <v>538</v>
      </c>
      <c r="E171" s="2841">
        <f t="shared" si="15"/>
        <v>538</v>
      </c>
      <c r="F171" s="2841">
        <f t="shared" si="16"/>
        <v>538</v>
      </c>
      <c r="G171" s="2841">
        <f t="shared" si="17"/>
        <v>538</v>
      </c>
    </row>
    <row r="172" spans="1:7" ht="15.75">
      <c r="A172" s="3022">
        <f t="shared" si="18"/>
        <v>5425</v>
      </c>
      <c r="B172" s="2840">
        <v>5400</v>
      </c>
      <c r="C172" s="2840">
        <v>5450</v>
      </c>
      <c r="D172" s="2841">
        <f t="shared" si="14"/>
        <v>543</v>
      </c>
      <c r="E172" s="2841">
        <f t="shared" si="15"/>
        <v>543</v>
      </c>
      <c r="F172" s="2841">
        <f t="shared" si="16"/>
        <v>543</v>
      </c>
      <c r="G172" s="2841">
        <f t="shared" si="17"/>
        <v>543</v>
      </c>
    </row>
    <row r="173" spans="1:7" ht="15.75">
      <c r="A173" s="3022">
        <f t="shared" si="18"/>
        <v>5475</v>
      </c>
      <c r="B173" s="2840">
        <v>5450</v>
      </c>
      <c r="C173" s="2840">
        <v>5500</v>
      </c>
      <c r="D173" s="2841">
        <f t="shared" si="14"/>
        <v>548</v>
      </c>
      <c r="E173" s="2841">
        <f t="shared" si="15"/>
        <v>548</v>
      </c>
      <c r="F173" s="2841">
        <f t="shared" si="16"/>
        <v>548</v>
      </c>
      <c r="G173" s="2841">
        <f t="shared" si="17"/>
        <v>548</v>
      </c>
    </row>
    <row r="174" spans="1:7" ht="15.75">
      <c r="A174" s="3022">
        <f t="shared" si="18"/>
        <v>5525</v>
      </c>
      <c r="B174" s="2840">
        <v>5500</v>
      </c>
      <c r="C174" s="2840">
        <v>5550</v>
      </c>
      <c r="D174" s="2841">
        <f t="shared" si="14"/>
        <v>553</v>
      </c>
      <c r="E174" s="2841">
        <f t="shared" si="15"/>
        <v>553</v>
      </c>
      <c r="F174" s="2841">
        <f t="shared" si="16"/>
        <v>553</v>
      </c>
      <c r="G174" s="2841">
        <f t="shared" si="17"/>
        <v>553</v>
      </c>
    </row>
    <row r="175" spans="1:7" ht="15.75">
      <c r="A175" s="3022">
        <f t="shared" si="18"/>
        <v>5575</v>
      </c>
      <c r="B175" s="2840">
        <v>5550</v>
      </c>
      <c r="C175" s="2840">
        <v>5600</v>
      </c>
      <c r="D175" s="2841">
        <f t="shared" si="14"/>
        <v>558</v>
      </c>
      <c r="E175" s="2841">
        <f t="shared" si="15"/>
        <v>558</v>
      </c>
      <c r="F175" s="2841">
        <f t="shared" si="16"/>
        <v>558</v>
      </c>
      <c r="G175" s="2841">
        <f t="shared" si="17"/>
        <v>558</v>
      </c>
    </row>
    <row r="176" spans="1:7" ht="15.75">
      <c r="A176" s="3022">
        <f t="shared" si="18"/>
        <v>5625</v>
      </c>
      <c r="B176" s="2840">
        <v>5600</v>
      </c>
      <c r="C176" s="2840">
        <v>5650</v>
      </c>
      <c r="D176" s="2841">
        <f t="shared" si="14"/>
        <v>563</v>
      </c>
      <c r="E176" s="2841">
        <f t="shared" si="15"/>
        <v>563</v>
      </c>
      <c r="F176" s="2841">
        <f t="shared" si="16"/>
        <v>563</v>
      </c>
      <c r="G176" s="2841">
        <f t="shared" si="17"/>
        <v>563</v>
      </c>
    </row>
    <row r="177" spans="1:7" ht="15.75">
      <c r="A177" s="3022">
        <f t="shared" si="18"/>
        <v>5675</v>
      </c>
      <c r="B177" s="2840">
        <v>5650</v>
      </c>
      <c r="C177" s="2840">
        <v>5700</v>
      </c>
      <c r="D177" s="2841">
        <f t="shared" si="14"/>
        <v>568</v>
      </c>
      <c r="E177" s="2841">
        <f t="shared" si="15"/>
        <v>568</v>
      </c>
      <c r="F177" s="2841">
        <f t="shared" si="16"/>
        <v>568</v>
      </c>
      <c r="G177" s="2841">
        <f t="shared" si="17"/>
        <v>568</v>
      </c>
    </row>
    <row r="178" spans="1:7" ht="15.75">
      <c r="A178" s="3022">
        <f t="shared" si="18"/>
        <v>5725</v>
      </c>
      <c r="B178" s="2840">
        <v>5700</v>
      </c>
      <c r="C178" s="2840">
        <v>5750</v>
      </c>
      <c r="D178" s="2841">
        <f t="shared" si="14"/>
        <v>573</v>
      </c>
      <c r="E178" s="2841">
        <f t="shared" si="15"/>
        <v>573</v>
      </c>
      <c r="F178" s="2841">
        <f t="shared" si="16"/>
        <v>573</v>
      </c>
      <c r="G178" s="2841">
        <f t="shared" si="17"/>
        <v>573</v>
      </c>
    </row>
    <row r="179" spans="1:7" ht="15.75">
      <c r="A179" s="3022">
        <f t="shared" si="18"/>
        <v>5775</v>
      </c>
      <c r="B179" s="2840">
        <v>5750</v>
      </c>
      <c r="C179" s="2840">
        <v>5800</v>
      </c>
      <c r="D179" s="2841">
        <f t="shared" si="14"/>
        <v>578</v>
      </c>
      <c r="E179" s="2841">
        <f t="shared" si="15"/>
        <v>578</v>
      </c>
      <c r="F179" s="2841">
        <f t="shared" si="16"/>
        <v>578</v>
      </c>
      <c r="G179" s="2841">
        <f t="shared" si="17"/>
        <v>578</v>
      </c>
    </row>
    <row r="180" spans="1:7" ht="15.75">
      <c r="A180" s="3022">
        <f t="shared" si="18"/>
        <v>5825</v>
      </c>
      <c r="B180" s="2840">
        <v>5800</v>
      </c>
      <c r="C180" s="2840">
        <v>5850</v>
      </c>
      <c r="D180" s="2841">
        <f t="shared" si="14"/>
        <v>583</v>
      </c>
      <c r="E180" s="2841">
        <f t="shared" si="15"/>
        <v>583</v>
      </c>
      <c r="F180" s="2841">
        <f t="shared" si="16"/>
        <v>583</v>
      </c>
      <c r="G180" s="2841">
        <f t="shared" si="17"/>
        <v>583</v>
      </c>
    </row>
    <row r="181" spans="1:7" ht="15.75">
      <c r="A181" s="3022">
        <f t="shared" si="18"/>
        <v>5875</v>
      </c>
      <c r="B181" s="2840">
        <v>5850</v>
      </c>
      <c r="C181" s="2840">
        <v>5900</v>
      </c>
      <c r="D181" s="2841">
        <f t="shared" si="14"/>
        <v>588</v>
      </c>
      <c r="E181" s="2841">
        <f t="shared" si="15"/>
        <v>588</v>
      </c>
      <c r="F181" s="2841">
        <f t="shared" si="16"/>
        <v>588</v>
      </c>
      <c r="G181" s="2841">
        <f t="shared" si="17"/>
        <v>588</v>
      </c>
    </row>
    <row r="182" spans="1:7" ht="15.75">
      <c r="A182" s="3022">
        <f t="shared" si="18"/>
        <v>5925</v>
      </c>
      <c r="B182" s="2840">
        <v>5900</v>
      </c>
      <c r="C182" s="2840">
        <v>5950</v>
      </c>
      <c r="D182" s="2841">
        <f t="shared" si="14"/>
        <v>593</v>
      </c>
      <c r="E182" s="2841">
        <f t="shared" si="15"/>
        <v>593</v>
      </c>
      <c r="F182" s="2841">
        <f t="shared" si="16"/>
        <v>593</v>
      </c>
      <c r="G182" s="2841">
        <f t="shared" si="17"/>
        <v>593</v>
      </c>
    </row>
    <row r="183" spans="1:7" ht="15.75">
      <c r="A183" s="3022">
        <f t="shared" si="18"/>
        <v>5975</v>
      </c>
      <c r="B183" s="2840">
        <v>5950</v>
      </c>
      <c r="C183" s="2840">
        <v>6000</v>
      </c>
      <c r="D183" s="2841">
        <f t="shared" si="14"/>
        <v>598</v>
      </c>
      <c r="E183" s="2841">
        <f t="shared" si="15"/>
        <v>598</v>
      </c>
      <c r="F183" s="2841">
        <f t="shared" si="16"/>
        <v>598</v>
      </c>
      <c r="G183" s="2841">
        <f t="shared" si="17"/>
        <v>598</v>
      </c>
    </row>
    <row r="184" spans="1:7" ht="15.75">
      <c r="A184" s="3022">
        <f t="shared" si="18"/>
        <v>6025</v>
      </c>
      <c r="B184" s="2840">
        <v>6000</v>
      </c>
      <c r="C184" s="2840">
        <v>6050</v>
      </c>
      <c r="D184" s="2841">
        <f t="shared" si="14"/>
        <v>603</v>
      </c>
      <c r="E184" s="2841">
        <f t="shared" si="15"/>
        <v>603</v>
      </c>
      <c r="F184" s="2841">
        <f t="shared" si="16"/>
        <v>603</v>
      </c>
      <c r="G184" s="2841">
        <f t="shared" si="17"/>
        <v>603</v>
      </c>
    </row>
    <row r="185" spans="1:7" ht="15.75">
      <c r="A185" s="3022">
        <f t="shared" si="18"/>
        <v>6075</v>
      </c>
      <c r="B185" s="2840">
        <v>6050</v>
      </c>
      <c r="C185" s="2840">
        <v>6100</v>
      </c>
      <c r="D185" s="2841">
        <f t="shared" si="14"/>
        <v>608</v>
      </c>
      <c r="E185" s="2841">
        <f t="shared" si="15"/>
        <v>608</v>
      </c>
      <c r="F185" s="2841">
        <f t="shared" si="16"/>
        <v>608</v>
      </c>
      <c r="G185" s="2841">
        <f t="shared" si="17"/>
        <v>608</v>
      </c>
    </row>
    <row r="186" spans="1:7" ht="15.75">
      <c r="A186" s="3022">
        <f t="shared" si="18"/>
        <v>6125</v>
      </c>
      <c r="B186" s="2840">
        <v>6100</v>
      </c>
      <c r="C186" s="2840">
        <v>6150</v>
      </c>
      <c r="D186" s="2841">
        <f t="shared" si="14"/>
        <v>613</v>
      </c>
      <c r="E186" s="2841">
        <f t="shared" si="15"/>
        <v>613</v>
      </c>
      <c r="F186" s="2841">
        <f t="shared" si="16"/>
        <v>613</v>
      </c>
      <c r="G186" s="2841">
        <f t="shared" si="17"/>
        <v>613</v>
      </c>
    </row>
    <row r="187" spans="1:7" ht="15.75">
      <c r="A187" s="3022">
        <f t="shared" si="18"/>
        <v>6175</v>
      </c>
      <c r="B187" s="2840">
        <v>6150</v>
      </c>
      <c r="C187" s="2840">
        <v>6200</v>
      </c>
      <c r="D187" s="2841">
        <f t="shared" si="14"/>
        <v>618</v>
      </c>
      <c r="E187" s="2841">
        <f t="shared" si="15"/>
        <v>618</v>
      </c>
      <c r="F187" s="2841">
        <f t="shared" si="16"/>
        <v>618</v>
      </c>
      <c r="G187" s="2841">
        <f t="shared" si="17"/>
        <v>618</v>
      </c>
    </row>
    <row r="188" spans="1:7" ht="15.75">
      <c r="A188" s="3022">
        <f t="shared" si="18"/>
        <v>6225</v>
      </c>
      <c r="B188" s="2840">
        <v>6200</v>
      </c>
      <c r="C188" s="2840">
        <v>6250</v>
      </c>
      <c r="D188" s="2841">
        <f t="shared" si="14"/>
        <v>623</v>
      </c>
      <c r="E188" s="2841">
        <f t="shared" si="15"/>
        <v>623</v>
      </c>
      <c r="F188" s="2841">
        <f t="shared" si="16"/>
        <v>623</v>
      </c>
      <c r="G188" s="2841">
        <f t="shared" si="17"/>
        <v>623</v>
      </c>
    </row>
    <row r="189" spans="1:7" ht="15.75">
      <c r="A189" s="3022">
        <f t="shared" si="18"/>
        <v>6275</v>
      </c>
      <c r="B189" s="2840">
        <v>6250</v>
      </c>
      <c r="C189" s="2840">
        <v>6300</v>
      </c>
      <c r="D189" s="2841">
        <f t="shared" si="14"/>
        <v>628</v>
      </c>
      <c r="E189" s="2841">
        <f t="shared" si="15"/>
        <v>628</v>
      </c>
      <c r="F189" s="2841">
        <f t="shared" si="16"/>
        <v>628</v>
      </c>
      <c r="G189" s="2841">
        <f t="shared" si="17"/>
        <v>628</v>
      </c>
    </row>
    <row r="190" spans="1:7" ht="15.75">
      <c r="A190" s="3022">
        <f t="shared" si="18"/>
        <v>6325</v>
      </c>
      <c r="B190" s="2840">
        <v>6300</v>
      </c>
      <c r="C190" s="2840">
        <v>6350</v>
      </c>
      <c r="D190" s="2841">
        <f t="shared" si="14"/>
        <v>633</v>
      </c>
      <c r="E190" s="2841">
        <f t="shared" si="15"/>
        <v>633</v>
      </c>
      <c r="F190" s="2841">
        <f t="shared" si="16"/>
        <v>633</v>
      </c>
      <c r="G190" s="2841">
        <f t="shared" si="17"/>
        <v>633</v>
      </c>
    </row>
    <row r="191" spans="1:7" ht="15.75">
      <c r="A191" s="3022">
        <f t="shared" si="18"/>
        <v>6375</v>
      </c>
      <c r="B191" s="2840">
        <v>6350</v>
      </c>
      <c r="C191" s="2840">
        <v>6400</v>
      </c>
      <c r="D191" s="2841">
        <f t="shared" si="14"/>
        <v>638</v>
      </c>
      <c r="E191" s="2841">
        <f t="shared" si="15"/>
        <v>638</v>
      </c>
      <c r="F191" s="2841">
        <f t="shared" si="16"/>
        <v>638</v>
      </c>
      <c r="G191" s="2841">
        <f t="shared" si="17"/>
        <v>638</v>
      </c>
    </row>
    <row r="192" spans="1:7" ht="15.75">
      <c r="A192" s="3022">
        <f t="shared" si="18"/>
        <v>6425</v>
      </c>
      <c r="B192" s="2840">
        <v>6400</v>
      </c>
      <c r="C192" s="2840">
        <v>6450</v>
      </c>
      <c r="D192" s="2841">
        <f t="shared" si="14"/>
        <v>643</v>
      </c>
      <c r="E192" s="2841">
        <f t="shared" si="15"/>
        <v>643</v>
      </c>
      <c r="F192" s="2841">
        <f t="shared" si="16"/>
        <v>643</v>
      </c>
      <c r="G192" s="2841">
        <f t="shared" si="17"/>
        <v>643</v>
      </c>
    </row>
    <row r="193" spans="1:7" ht="15.75">
      <c r="A193" s="3022">
        <f t="shared" si="18"/>
        <v>6475</v>
      </c>
      <c r="B193" s="2840">
        <v>6450</v>
      </c>
      <c r="C193" s="2840">
        <v>6500</v>
      </c>
      <c r="D193" s="2841">
        <f t="shared" si="14"/>
        <v>648</v>
      </c>
      <c r="E193" s="2841">
        <f t="shared" si="15"/>
        <v>648</v>
      </c>
      <c r="F193" s="2841">
        <f t="shared" si="16"/>
        <v>648</v>
      </c>
      <c r="G193" s="2841">
        <f t="shared" si="17"/>
        <v>648</v>
      </c>
    </row>
    <row r="194" spans="1:7" ht="15.75">
      <c r="A194" s="3022">
        <f t="shared" si="18"/>
        <v>6525</v>
      </c>
      <c r="B194" s="2840">
        <v>6500</v>
      </c>
      <c r="C194" s="2840">
        <v>6550</v>
      </c>
      <c r="D194" s="2841">
        <f t="shared" ref="D194:D257" si="19">IF($A194&gt;BOTT_A4,ROUND(BASE_A4+RATE_A4*($A194-BOTT_A4),0),IF($A194&gt;BOTT_A3,ROUND(BASE_A3+RATE_A3*($A194-BOTT_A3),0),IF($A194&gt;BOTT_A2,ROUND(BASE_A2+RATE_A2*($A194-BOTT_A2),0),ROUND(RATE_A1*$A194,0))))</f>
        <v>653</v>
      </c>
      <c r="E194" s="2841">
        <f t="shared" ref="E194:E257" si="20">IF($A194&gt;BOTT_B4,ROUND(BASE_B4+RATE_B4*($A194-BOTT_B4),0),IF($A194&gt;BOTT_B3,ROUND(BASE_B3+RATE_B3*($A194-BOTT_B3),0),IF($A194&gt;BOTT_B2,ROUND(BASE_B2+RATE_B2*($A194-BOTT_B2),0),ROUND(RATE_B1*$A194,0))))</f>
        <v>653</v>
      </c>
      <c r="F194" s="2841">
        <f t="shared" ref="F194:F257" si="21">IF($A194&gt;BOTT_C4,ROUND(BASE_C4+RATE_C4*($A194-BOTT_C4),0),IF($A194&gt;BOTT_C3,ROUND(BASE_C3+RATE_C3*($A194-BOTT_C3),0),IF($A194&gt;BOTT_C2,ROUND(BASE_C2+RATE_C2*($A194-BOTT_C2),0),ROUND(RATE_C1*$A194,0))))</f>
        <v>653</v>
      </c>
      <c r="G194" s="2841">
        <f t="shared" ref="G194:G257" si="22">IF($A194&gt;BOTT_D4,ROUND(BASE_D4+RATE_D4*($A194-BOTT_D4),0),IF($A194&gt;BOTT_D3,ROUND(BASE_D3+RATE_D3*($A194-BOTT_D3),0),IF($A194&gt;BOTT_D2,ROUND(BASE_D2+RATE_D2*($A194-BOTT_D2),0),ROUND(RATE_D1*$A194,0))))</f>
        <v>653</v>
      </c>
    </row>
    <row r="195" spans="1:7" ht="15.75">
      <c r="A195" s="3022">
        <f t="shared" ref="A195:A258" si="23">AVERAGE(B195,C195)</f>
        <v>6575</v>
      </c>
      <c r="B195" s="2840">
        <v>6550</v>
      </c>
      <c r="C195" s="2840">
        <v>6600</v>
      </c>
      <c r="D195" s="2841">
        <f t="shared" si="19"/>
        <v>658</v>
      </c>
      <c r="E195" s="2841">
        <f t="shared" si="20"/>
        <v>658</v>
      </c>
      <c r="F195" s="2841">
        <f t="shared" si="21"/>
        <v>658</v>
      </c>
      <c r="G195" s="2841">
        <f t="shared" si="22"/>
        <v>658</v>
      </c>
    </row>
    <row r="196" spans="1:7" ht="15.75">
      <c r="A196" s="3022">
        <f t="shared" si="23"/>
        <v>6625</v>
      </c>
      <c r="B196" s="2840">
        <v>6600</v>
      </c>
      <c r="C196" s="2840">
        <v>6650</v>
      </c>
      <c r="D196" s="2841">
        <f t="shared" si="19"/>
        <v>663</v>
      </c>
      <c r="E196" s="2841">
        <f t="shared" si="20"/>
        <v>663</v>
      </c>
      <c r="F196" s="2841">
        <f t="shared" si="21"/>
        <v>663</v>
      </c>
      <c r="G196" s="2841">
        <f t="shared" si="22"/>
        <v>663</v>
      </c>
    </row>
    <row r="197" spans="1:7" ht="15.75">
      <c r="A197" s="3022">
        <f t="shared" si="23"/>
        <v>6675</v>
      </c>
      <c r="B197" s="2840">
        <v>6650</v>
      </c>
      <c r="C197" s="2840">
        <v>6700</v>
      </c>
      <c r="D197" s="2841">
        <f t="shared" si="19"/>
        <v>668</v>
      </c>
      <c r="E197" s="2841">
        <f t="shared" si="20"/>
        <v>668</v>
      </c>
      <c r="F197" s="2841">
        <f t="shared" si="21"/>
        <v>668</v>
      </c>
      <c r="G197" s="2841">
        <f t="shared" si="22"/>
        <v>668</v>
      </c>
    </row>
    <row r="198" spans="1:7" ht="15.75">
      <c r="A198" s="3022">
        <f t="shared" si="23"/>
        <v>6725</v>
      </c>
      <c r="B198" s="2840">
        <v>6700</v>
      </c>
      <c r="C198" s="2840">
        <v>6750</v>
      </c>
      <c r="D198" s="2841">
        <f t="shared" si="19"/>
        <v>673</v>
      </c>
      <c r="E198" s="2841">
        <f t="shared" si="20"/>
        <v>673</v>
      </c>
      <c r="F198" s="2841">
        <f t="shared" si="21"/>
        <v>673</v>
      </c>
      <c r="G198" s="2841">
        <f t="shared" si="22"/>
        <v>673</v>
      </c>
    </row>
    <row r="199" spans="1:7" ht="15.75">
      <c r="A199" s="3022">
        <f t="shared" si="23"/>
        <v>6775</v>
      </c>
      <c r="B199" s="2840">
        <v>6750</v>
      </c>
      <c r="C199" s="2840">
        <v>6800</v>
      </c>
      <c r="D199" s="2841">
        <f t="shared" si="19"/>
        <v>678</v>
      </c>
      <c r="E199" s="2841">
        <f t="shared" si="20"/>
        <v>678</v>
      </c>
      <c r="F199" s="2841">
        <f t="shared" si="21"/>
        <v>678</v>
      </c>
      <c r="G199" s="2841">
        <f t="shared" si="22"/>
        <v>678</v>
      </c>
    </row>
    <row r="200" spans="1:7" ht="15.75">
      <c r="A200" s="3022">
        <f t="shared" si="23"/>
        <v>6825</v>
      </c>
      <c r="B200" s="2840">
        <v>6800</v>
      </c>
      <c r="C200" s="2840">
        <v>6850</v>
      </c>
      <c r="D200" s="2841">
        <f t="shared" si="19"/>
        <v>683</v>
      </c>
      <c r="E200" s="2841">
        <f t="shared" si="20"/>
        <v>683</v>
      </c>
      <c r="F200" s="2841">
        <f t="shared" si="21"/>
        <v>683</v>
      </c>
      <c r="G200" s="2841">
        <f t="shared" si="22"/>
        <v>683</v>
      </c>
    </row>
    <row r="201" spans="1:7" ht="15.75">
      <c r="A201" s="3022">
        <f t="shared" si="23"/>
        <v>6875</v>
      </c>
      <c r="B201" s="2840">
        <v>6850</v>
      </c>
      <c r="C201" s="2840">
        <v>6900</v>
      </c>
      <c r="D201" s="2841">
        <f t="shared" si="19"/>
        <v>688</v>
      </c>
      <c r="E201" s="2841">
        <f t="shared" si="20"/>
        <v>688</v>
      </c>
      <c r="F201" s="2841">
        <f t="shared" si="21"/>
        <v>688</v>
      </c>
      <c r="G201" s="2841">
        <f t="shared" si="22"/>
        <v>688</v>
      </c>
    </row>
    <row r="202" spans="1:7" ht="15.75">
      <c r="A202" s="3022">
        <f t="shared" si="23"/>
        <v>6925</v>
      </c>
      <c r="B202" s="2840">
        <v>6900</v>
      </c>
      <c r="C202" s="2840">
        <v>6950</v>
      </c>
      <c r="D202" s="2841">
        <f t="shared" si="19"/>
        <v>693</v>
      </c>
      <c r="E202" s="2841">
        <f t="shared" si="20"/>
        <v>693</v>
      </c>
      <c r="F202" s="2841">
        <f t="shared" si="21"/>
        <v>693</v>
      </c>
      <c r="G202" s="2841">
        <f t="shared" si="22"/>
        <v>693</v>
      </c>
    </row>
    <row r="203" spans="1:7" ht="15.75">
      <c r="A203" s="3022">
        <f t="shared" si="23"/>
        <v>6975</v>
      </c>
      <c r="B203" s="2840">
        <v>6950</v>
      </c>
      <c r="C203" s="2840">
        <v>7000</v>
      </c>
      <c r="D203" s="2841">
        <f t="shared" si="19"/>
        <v>698</v>
      </c>
      <c r="E203" s="2841">
        <f t="shared" si="20"/>
        <v>698</v>
      </c>
      <c r="F203" s="2841">
        <f t="shared" si="21"/>
        <v>698</v>
      </c>
      <c r="G203" s="2841">
        <f t="shared" si="22"/>
        <v>698</v>
      </c>
    </row>
    <row r="204" spans="1:7" ht="15.75">
      <c r="A204" s="3022">
        <f t="shared" si="23"/>
        <v>7025</v>
      </c>
      <c r="B204" s="2840">
        <v>7000</v>
      </c>
      <c r="C204" s="2840">
        <v>7050</v>
      </c>
      <c r="D204" s="2841">
        <f t="shared" si="19"/>
        <v>703</v>
      </c>
      <c r="E204" s="2841">
        <f t="shared" si="20"/>
        <v>703</v>
      </c>
      <c r="F204" s="2841">
        <f t="shared" si="21"/>
        <v>703</v>
      </c>
      <c r="G204" s="2841">
        <f t="shared" si="22"/>
        <v>703</v>
      </c>
    </row>
    <row r="205" spans="1:7" ht="15.75">
      <c r="A205" s="3022">
        <f t="shared" si="23"/>
        <v>7075</v>
      </c>
      <c r="B205" s="2840">
        <v>7050</v>
      </c>
      <c r="C205" s="2840">
        <v>7100</v>
      </c>
      <c r="D205" s="2841">
        <f t="shared" si="19"/>
        <v>708</v>
      </c>
      <c r="E205" s="2841">
        <f t="shared" si="20"/>
        <v>708</v>
      </c>
      <c r="F205" s="2841">
        <f t="shared" si="21"/>
        <v>708</v>
      </c>
      <c r="G205" s="2841">
        <f t="shared" si="22"/>
        <v>708</v>
      </c>
    </row>
    <row r="206" spans="1:7" ht="15.75">
      <c r="A206" s="3022">
        <f t="shared" si="23"/>
        <v>7125</v>
      </c>
      <c r="B206" s="2840">
        <v>7100</v>
      </c>
      <c r="C206" s="2840">
        <v>7150</v>
      </c>
      <c r="D206" s="2841">
        <f t="shared" si="19"/>
        <v>713</v>
      </c>
      <c r="E206" s="2841">
        <f t="shared" si="20"/>
        <v>713</v>
      </c>
      <c r="F206" s="2841">
        <f t="shared" si="21"/>
        <v>713</v>
      </c>
      <c r="G206" s="2841">
        <f t="shared" si="22"/>
        <v>713</v>
      </c>
    </row>
    <row r="207" spans="1:7" ht="15.75">
      <c r="A207" s="3022">
        <f t="shared" si="23"/>
        <v>7175</v>
      </c>
      <c r="B207" s="2840">
        <v>7150</v>
      </c>
      <c r="C207" s="2840">
        <v>7200</v>
      </c>
      <c r="D207" s="2841">
        <f t="shared" si="19"/>
        <v>718</v>
      </c>
      <c r="E207" s="2841">
        <f t="shared" si="20"/>
        <v>718</v>
      </c>
      <c r="F207" s="2841">
        <f t="shared" si="21"/>
        <v>718</v>
      </c>
      <c r="G207" s="2841">
        <f t="shared" si="22"/>
        <v>718</v>
      </c>
    </row>
    <row r="208" spans="1:7" ht="15.75">
      <c r="A208" s="3022">
        <f t="shared" si="23"/>
        <v>7225</v>
      </c>
      <c r="B208" s="2840">
        <v>7200</v>
      </c>
      <c r="C208" s="2840">
        <v>7250</v>
      </c>
      <c r="D208" s="2841">
        <f t="shared" si="19"/>
        <v>723</v>
      </c>
      <c r="E208" s="2841">
        <f t="shared" si="20"/>
        <v>723</v>
      </c>
      <c r="F208" s="2841">
        <f t="shared" si="21"/>
        <v>723</v>
      </c>
      <c r="G208" s="2841">
        <f t="shared" si="22"/>
        <v>723</v>
      </c>
    </row>
    <row r="209" spans="1:7" ht="15.75">
      <c r="A209" s="3022">
        <f t="shared" si="23"/>
        <v>7275</v>
      </c>
      <c r="B209" s="2840">
        <v>7250</v>
      </c>
      <c r="C209" s="2840">
        <v>7300</v>
      </c>
      <c r="D209" s="2841">
        <f t="shared" si="19"/>
        <v>728</v>
      </c>
      <c r="E209" s="2841">
        <f t="shared" si="20"/>
        <v>728</v>
      </c>
      <c r="F209" s="2841">
        <f t="shared" si="21"/>
        <v>728</v>
      </c>
      <c r="G209" s="2841">
        <f t="shared" si="22"/>
        <v>728</v>
      </c>
    </row>
    <row r="210" spans="1:7" ht="15.75">
      <c r="A210" s="3022">
        <f t="shared" si="23"/>
        <v>7325</v>
      </c>
      <c r="B210" s="2840">
        <v>7300</v>
      </c>
      <c r="C210" s="2840">
        <v>7350</v>
      </c>
      <c r="D210" s="2841">
        <f t="shared" si="19"/>
        <v>733</v>
      </c>
      <c r="E210" s="2841">
        <f t="shared" si="20"/>
        <v>733</v>
      </c>
      <c r="F210" s="2841">
        <f t="shared" si="21"/>
        <v>733</v>
      </c>
      <c r="G210" s="2841">
        <f t="shared" si="22"/>
        <v>733</v>
      </c>
    </row>
    <row r="211" spans="1:7" ht="15.75">
      <c r="A211" s="3022">
        <f t="shared" si="23"/>
        <v>7375</v>
      </c>
      <c r="B211" s="2840">
        <v>7350</v>
      </c>
      <c r="C211" s="2840">
        <v>7400</v>
      </c>
      <c r="D211" s="2841">
        <f t="shared" si="19"/>
        <v>738</v>
      </c>
      <c r="E211" s="2841">
        <f t="shared" si="20"/>
        <v>738</v>
      </c>
      <c r="F211" s="2841">
        <f t="shared" si="21"/>
        <v>738</v>
      </c>
      <c r="G211" s="2841">
        <f t="shared" si="22"/>
        <v>738</v>
      </c>
    </row>
    <row r="212" spans="1:7" ht="15.75">
      <c r="A212" s="3022">
        <f t="shared" si="23"/>
        <v>7425</v>
      </c>
      <c r="B212" s="2840">
        <v>7400</v>
      </c>
      <c r="C212" s="2840">
        <v>7450</v>
      </c>
      <c r="D212" s="2841">
        <f t="shared" si="19"/>
        <v>743</v>
      </c>
      <c r="E212" s="2841">
        <f t="shared" si="20"/>
        <v>743</v>
      </c>
      <c r="F212" s="2841">
        <f t="shared" si="21"/>
        <v>743</v>
      </c>
      <c r="G212" s="2841">
        <f t="shared" si="22"/>
        <v>743</v>
      </c>
    </row>
    <row r="213" spans="1:7" ht="15.75">
      <c r="A213" s="3022">
        <f t="shared" si="23"/>
        <v>7475</v>
      </c>
      <c r="B213" s="2840">
        <v>7450</v>
      </c>
      <c r="C213" s="2840">
        <v>7500</v>
      </c>
      <c r="D213" s="2841">
        <f t="shared" si="19"/>
        <v>748</v>
      </c>
      <c r="E213" s="2841">
        <f t="shared" si="20"/>
        <v>748</v>
      </c>
      <c r="F213" s="2841">
        <f t="shared" si="21"/>
        <v>748</v>
      </c>
      <c r="G213" s="2841">
        <f t="shared" si="22"/>
        <v>748</v>
      </c>
    </row>
    <row r="214" spans="1:7" ht="15.75">
      <c r="A214" s="3022">
        <f t="shared" si="23"/>
        <v>7525</v>
      </c>
      <c r="B214" s="2840">
        <v>7500</v>
      </c>
      <c r="C214" s="2840">
        <v>7550</v>
      </c>
      <c r="D214" s="2841">
        <f t="shared" si="19"/>
        <v>753</v>
      </c>
      <c r="E214" s="2841">
        <f t="shared" si="20"/>
        <v>753</v>
      </c>
      <c r="F214" s="2841">
        <f t="shared" si="21"/>
        <v>753</v>
      </c>
      <c r="G214" s="2841">
        <f t="shared" si="22"/>
        <v>753</v>
      </c>
    </row>
    <row r="215" spans="1:7" ht="15.75">
      <c r="A215" s="3022">
        <f t="shared" si="23"/>
        <v>7575</v>
      </c>
      <c r="B215" s="2840">
        <v>7550</v>
      </c>
      <c r="C215" s="2840">
        <v>7600</v>
      </c>
      <c r="D215" s="2841">
        <f t="shared" si="19"/>
        <v>758</v>
      </c>
      <c r="E215" s="2841">
        <f t="shared" si="20"/>
        <v>758</v>
      </c>
      <c r="F215" s="2841">
        <f t="shared" si="21"/>
        <v>758</v>
      </c>
      <c r="G215" s="2841">
        <f t="shared" si="22"/>
        <v>758</v>
      </c>
    </row>
    <row r="216" spans="1:7" ht="15.75">
      <c r="A216" s="3022">
        <f t="shared" si="23"/>
        <v>7625</v>
      </c>
      <c r="B216" s="2840">
        <v>7600</v>
      </c>
      <c r="C216" s="2840">
        <v>7650</v>
      </c>
      <c r="D216" s="2841">
        <f t="shared" si="19"/>
        <v>763</v>
      </c>
      <c r="E216" s="2841">
        <f t="shared" si="20"/>
        <v>763</v>
      </c>
      <c r="F216" s="2841">
        <f t="shared" si="21"/>
        <v>763</v>
      </c>
      <c r="G216" s="2841">
        <f t="shared" si="22"/>
        <v>763</v>
      </c>
    </row>
    <row r="217" spans="1:7" ht="15.75">
      <c r="A217" s="3022">
        <f t="shared" si="23"/>
        <v>7675</v>
      </c>
      <c r="B217" s="2840">
        <v>7650</v>
      </c>
      <c r="C217" s="2840">
        <v>7700</v>
      </c>
      <c r="D217" s="2841">
        <f t="shared" si="19"/>
        <v>768</v>
      </c>
      <c r="E217" s="2841">
        <f t="shared" si="20"/>
        <v>768</v>
      </c>
      <c r="F217" s="2841">
        <f t="shared" si="21"/>
        <v>768</v>
      </c>
      <c r="G217" s="2841">
        <f t="shared" si="22"/>
        <v>768</v>
      </c>
    </row>
    <row r="218" spans="1:7" ht="15.75">
      <c r="A218" s="3022">
        <f t="shared" si="23"/>
        <v>7725</v>
      </c>
      <c r="B218" s="2840">
        <v>7700</v>
      </c>
      <c r="C218" s="2840">
        <v>7750</v>
      </c>
      <c r="D218" s="2841">
        <f t="shared" si="19"/>
        <v>773</v>
      </c>
      <c r="E218" s="2841">
        <f t="shared" si="20"/>
        <v>773</v>
      </c>
      <c r="F218" s="2841">
        <f t="shared" si="21"/>
        <v>773</v>
      </c>
      <c r="G218" s="2841">
        <f t="shared" si="22"/>
        <v>773</v>
      </c>
    </row>
    <row r="219" spans="1:7" ht="15.75">
      <c r="A219" s="3022">
        <f t="shared" si="23"/>
        <v>7775</v>
      </c>
      <c r="B219" s="2840">
        <v>7750</v>
      </c>
      <c r="C219" s="2840">
        <v>7800</v>
      </c>
      <c r="D219" s="2841">
        <f t="shared" si="19"/>
        <v>778</v>
      </c>
      <c r="E219" s="2841">
        <f t="shared" si="20"/>
        <v>778</v>
      </c>
      <c r="F219" s="2841">
        <f t="shared" si="21"/>
        <v>778</v>
      </c>
      <c r="G219" s="2841">
        <f t="shared" si="22"/>
        <v>778</v>
      </c>
    </row>
    <row r="220" spans="1:7" ht="15.75">
      <c r="A220" s="3022">
        <f t="shared" si="23"/>
        <v>7825</v>
      </c>
      <c r="B220" s="2840">
        <v>7800</v>
      </c>
      <c r="C220" s="2840">
        <v>7850</v>
      </c>
      <c r="D220" s="2841">
        <f t="shared" si="19"/>
        <v>783</v>
      </c>
      <c r="E220" s="2841">
        <f t="shared" si="20"/>
        <v>783</v>
      </c>
      <c r="F220" s="2841">
        <f t="shared" si="21"/>
        <v>783</v>
      </c>
      <c r="G220" s="2841">
        <f t="shared" si="22"/>
        <v>783</v>
      </c>
    </row>
    <row r="221" spans="1:7" ht="15.75">
      <c r="A221" s="3022">
        <f t="shared" si="23"/>
        <v>7875</v>
      </c>
      <c r="B221" s="2840">
        <v>7850</v>
      </c>
      <c r="C221" s="2840">
        <v>7900</v>
      </c>
      <c r="D221" s="2841">
        <f t="shared" si="19"/>
        <v>788</v>
      </c>
      <c r="E221" s="2841">
        <f t="shared" si="20"/>
        <v>788</v>
      </c>
      <c r="F221" s="2841">
        <f t="shared" si="21"/>
        <v>788</v>
      </c>
      <c r="G221" s="2841">
        <f t="shared" si="22"/>
        <v>788</v>
      </c>
    </row>
    <row r="222" spans="1:7" ht="15.75">
      <c r="A222" s="3022">
        <f t="shared" si="23"/>
        <v>7925</v>
      </c>
      <c r="B222" s="2840">
        <v>7900</v>
      </c>
      <c r="C222" s="2840">
        <v>7950</v>
      </c>
      <c r="D222" s="2841">
        <f t="shared" si="19"/>
        <v>793</v>
      </c>
      <c r="E222" s="2841">
        <f t="shared" si="20"/>
        <v>793</v>
      </c>
      <c r="F222" s="2841">
        <f t="shared" si="21"/>
        <v>793</v>
      </c>
      <c r="G222" s="2841">
        <f t="shared" si="22"/>
        <v>793</v>
      </c>
    </row>
    <row r="223" spans="1:7" ht="15.75">
      <c r="A223" s="3022">
        <f t="shared" si="23"/>
        <v>7975</v>
      </c>
      <c r="B223" s="2840">
        <v>7950</v>
      </c>
      <c r="C223" s="2840">
        <v>8000</v>
      </c>
      <c r="D223" s="2841">
        <f t="shared" si="19"/>
        <v>798</v>
      </c>
      <c r="E223" s="2841">
        <f t="shared" si="20"/>
        <v>798</v>
      </c>
      <c r="F223" s="2841">
        <f t="shared" si="21"/>
        <v>798</v>
      </c>
      <c r="G223" s="2841">
        <f t="shared" si="22"/>
        <v>798</v>
      </c>
    </row>
    <row r="224" spans="1:7" ht="15.75">
      <c r="A224" s="3022">
        <f t="shared" si="23"/>
        <v>8025</v>
      </c>
      <c r="B224" s="2840">
        <v>8000</v>
      </c>
      <c r="C224" s="2840">
        <v>8050</v>
      </c>
      <c r="D224" s="2841">
        <f t="shared" si="19"/>
        <v>803</v>
      </c>
      <c r="E224" s="2841">
        <f t="shared" si="20"/>
        <v>803</v>
      </c>
      <c r="F224" s="2841">
        <f t="shared" si="21"/>
        <v>803</v>
      </c>
      <c r="G224" s="2841">
        <f t="shared" si="22"/>
        <v>803</v>
      </c>
    </row>
    <row r="225" spans="1:7" ht="15.75">
      <c r="A225" s="3022">
        <f t="shared" si="23"/>
        <v>8075</v>
      </c>
      <c r="B225" s="2840">
        <v>8050</v>
      </c>
      <c r="C225" s="2840">
        <v>8100</v>
      </c>
      <c r="D225" s="2841">
        <f t="shared" si="19"/>
        <v>808</v>
      </c>
      <c r="E225" s="2841">
        <f t="shared" si="20"/>
        <v>808</v>
      </c>
      <c r="F225" s="2841">
        <f t="shared" si="21"/>
        <v>808</v>
      </c>
      <c r="G225" s="2841">
        <f t="shared" si="22"/>
        <v>808</v>
      </c>
    </row>
    <row r="226" spans="1:7" ht="15.75">
      <c r="A226" s="3022">
        <f t="shared" si="23"/>
        <v>8125</v>
      </c>
      <c r="B226" s="2840">
        <v>8100</v>
      </c>
      <c r="C226" s="2840">
        <v>8150</v>
      </c>
      <c r="D226" s="2841">
        <f t="shared" si="19"/>
        <v>813</v>
      </c>
      <c r="E226" s="2841">
        <f t="shared" si="20"/>
        <v>813</v>
      </c>
      <c r="F226" s="2841">
        <f t="shared" si="21"/>
        <v>813</v>
      </c>
      <c r="G226" s="2841">
        <f t="shared" si="22"/>
        <v>813</v>
      </c>
    </row>
    <row r="227" spans="1:7" ht="15.75">
      <c r="A227" s="3022">
        <f t="shared" si="23"/>
        <v>8175</v>
      </c>
      <c r="B227" s="2840">
        <v>8150</v>
      </c>
      <c r="C227" s="2840">
        <v>8200</v>
      </c>
      <c r="D227" s="2841">
        <f t="shared" si="19"/>
        <v>818</v>
      </c>
      <c r="E227" s="2841">
        <f t="shared" si="20"/>
        <v>818</v>
      </c>
      <c r="F227" s="2841">
        <f t="shared" si="21"/>
        <v>818</v>
      </c>
      <c r="G227" s="2841">
        <f t="shared" si="22"/>
        <v>818</v>
      </c>
    </row>
    <row r="228" spans="1:7" ht="15.75">
      <c r="A228" s="3022">
        <f t="shared" si="23"/>
        <v>8225</v>
      </c>
      <c r="B228" s="2840">
        <v>8200</v>
      </c>
      <c r="C228" s="2840">
        <v>8250</v>
      </c>
      <c r="D228" s="2841">
        <f t="shared" si="19"/>
        <v>823</v>
      </c>
      <c r="E228" s="2841">
        <f t="shared" si="20"/>
        <v>823</v>
      </c>
      <c r="F228" s="2841">
        <f t="shared" si="21"/>
        <v>823</v>
      </c>
      <c r="G228" s="2841">
        <f t="shared" si="22"/>
        <v>823</v>
      </c>
    </row>
    <row r="229" spans="1:7" ht="15.75">
      <c r="A229" s="3022">
        <f t="shared" si="23"/>
        <v>8275</v>
      </c>
      <c r="B229" s="2840">
        <v>8250</v>
      </c>
      <c r="C229" s="2840">
        <v>8300</v>
      </c>
      <c r="D229" s="2841">
        <f t="shared" si="19"/>
        <v>828</v>
      </c>
      <c r="E229" s="2841">
        <f t="shared" si="20"/>
        <v>828</v>
      </c>
      <c r="F229" s="2841">
        <f t="shared" si="21"/>
        <v>828</v>
      </c>
      <c r="G229" s="2841">
        <f t="shared" si="22"/>
        <v>828</v>
      </c>
    </row>
    <row r="230" spans="1:7" ht="15.75">
      <c r="A230" s="3022">
        <f t="shared" si="23"/>
        <v>8325</v>
      </c>
      <c r="B230" s="2840">
        <v>8300</v>
      </c>
      <c r="C230" s="2840">
        <v>8350</v>
      </c>
      <c r="D230" s="2841">
        <f t="shared" si="19"/>
        <v>833</v>
      </c>
      <c r="E230" s="2841">
        <f t="shared" si="20"/>
        <v>833</v>
      </c>
      <c r="F230" s="2841">
        <f t="shared" si="21"/>
        <v>833</v>
      </c>
      <c r="G230" s="2841">
        <f t="shared" si="22"/>
        <v>833</v>
      </c>
    </row>
    <row r="231" spans="1:7" ht="15.75">
      <c r="A231" s="3022">
        <f t="shared" si="23"/>
        <v>8375</v>
      </c>
      <c r="B231" s="2840">
        <v>8350</v>
      </c>
      <c r="C231" s="2840">
        <v>8400</v>
      </c>
      <c r="D231" s="2841">
        <f t="shared" si="19"/>
        <v>838</v>
      </c>
      <c r="E231" s="2841">
        <f t="shared" si="20"/>
        <v>838</v>
      </c>
      <c r="F231" s="2841">
        <f t="shared" si="21"/>
        <v>838</v>
      </c>
      <c r="G231" s="2841">
        <f t="shared" si="22"/>
        <v>838</v>
      </c>
    </row>
    <row r="232" spans="1:7" ht="15.75">
      <c r="A232" s="3022">
        <f t="shared" si="23"/>
        <v>8425</v>
      </c>
      <c r="B232" s="2840">
        <v>8400</v>
      </c>
      <c r="C232" s="2840">
        <v>8450</v>
      </c>
      <c r="D232" s="2841">
        <f t="shared" si="19"/>
        <v>843</v>
      </c>
      <c r="E232" s="2841">
        <f t="shared" si="20"/>
        <v>843</v>
      </c>
      <c r="F232" s="2841">
        <f t="shared" si="21"/>
        <v>843</v>
      </c>
      <c r="G232" s="2841">
        <f t="shared" si="22"/>
        <v>843</v>
      </c>
    </row>
    <row r="233" spans="1:7" ht="15.75">
      <c r="A233" s="3022">
        <f t="shared" si="23"/>
        <v>8475</v>
      </c>
      <c r="B233" s="2840">
        <v>8450</v>
      </c>
      <c r="C233" s="2840">
        <v>8500</v>
      </c>
      <c r="D233" s="2841">
        <f t="shared" si="19"/>
        <v>848</v>
      </c>
      <c r="E233" s="2841">
        <f t="shared" si="20"/>
        <v>848</v>
      </c>
      <c r="F233" s="2841">
        <f t="shared" si="21"/>
        <v>848</v>
      </c>
      <c r="G233" s="2841">
        <f t="shared" si="22"/>
        <v>848</v>
      </c>
    </row>
    <row r="234" spans="1:7" ht="15.75">
      <c r="A234" s="3022">
        <f t="shared" si="23"/>
        <v>8525</v>
      </c>
      <c r="B234" s="2840">
        <v>8500</v>
      </c>
      <c r="C234" s="2840">
        <v>8550</v>
      </c>
      <c r="D234" s="2841">
        <f t="shared" si="19"/>
        <v>853</v>
      </c>
      <c r="E234" s="2841">
        <f t="shared" si="20"/>
        <v>853</v>
      </c>
      <c r="F234" s="2841">
        <f t="shared" si="21"/>
        <v>853</v>
      </c>
      <c r="G234" s="2841">
        <f t="shared" si="22"/>
        <v>853</v>
      </c>
    </row>
    <row r="235" spans="1:7" ht="15.75">
      <c r="A235" s="3022">
        <f t="shared" si="23"/>
        <v>8575</v>
      </c>
      <c r="B235" s="2840">
        <v>8550</v>
      </c>
      <c r="C235" s="2840">
        <v>8600</v>
      </c>
      <c r="D235" s="2841">
        <f t="shared" si="19"/>
        <v>858</v>
      </c>
      <c r="E235" s="2841">
        <f t="shared" si="20"/>
        <v>858</v>
      </c>
      <c r="F235" s="2841">
        <f t="shared" si="21"/>
        <v>858</v>
      </c>
      <c r="G235" s="2841">
        <f t="shared" si="22"/>
        <v>858</v>
      </c>
    </row>
    <row r="236" spans="1:7" ht="15.75">
      <c r="A236" s="3022">
        <f t="shared" si="23"/>
        <v>8625</v>
      </c>
      <c r="B236" s="2840">
        <v>8600</v>
      </c>
      <c r="C236" s="2840">
        <v>8650</v>
      </c>
      <c r="D236" s="2841">
        <f t="shared" si="19"/>
        <v>863</v>
      </c>
      <c r="E236" s="2841">
        <f t="shared" si="20"/>
        <v>863</v>
      </c>
      <c r="F236" s="2841">
        <f t="shared" si="21"/>
        <v>863</v>
      </c>
      <c r="G236" s="2841">
        <f t="shared" si="22"/>
        <v>863</v>
      </c>
    </row>
    <row r="237" spans="1:7" ht="15.75">
      <c r="A237" s="3022">
        <f t="shared" si="23"/>
        <v>8675</v>
      </c>
      <c r="B237" s="2840">
        <v>8650</v>
      </c>
      <c r="C237" s="2840">
        <v>8700</v>
      </c>
      <c r="D237" s="2841">
        <f t="shared" si="19"/>
        <v>868</v>
      </c>
      <c r="E237" s="2841">
        <f t="shared" si="20"/>
        <v>868</v>
      </c>
      <c r="F237" s="2841">
        <f t="shared" si="21"/>
        <v>868</v>
      </c>
      <c r="G237" s="2841">
        <f t="shared" si="22"/>
        <v>868</v>
      </c>
    </row>
    <row r="238" spans="1:7" ht="15.75">
      <c r="A238" s="3022">
        <f t="shared" si="23"/>
        <v>8725</v>
      </c>
      <c r="B238" s="2840">
        <v>8700</v>
      </c>
      <c r="C238" s="2840">
        <v>8750</v>
      </c>
      <c r="D238" s="2841">
        <f t="shared" si="19"/>
        <v>873</v>
      </c>
      <c r="E238" s="2841">
        <f t="shared" si="20"/>
        <v>873</v>
      </c>
      <c r="F238" s="2841">
        <f t="shared" si="21"/>
        <v>873</v>
      </c>
      <c r="G238" s="2841">
        <f t="shared" si="22"/>
        <v>873</v>
      </c>
    </row>
    <row r="239" spans="1:7" ht="15.75">
      <c r="A239" s="3022">
        <f t="shared" si="23"/>
        <v>8775</v>
      </c>
      <c r="B239" s="2840">
        <v>8750</v>
      </c>
      <c r="C239" s="2840">
        <v>8800</v>
      </c>
      <c r="D239" s="2841">
        <f t="shared" si="19"/>
        <v>878</v>
      </c>
      <c r="E239" s="2841">
        <f t="shared" si="20"/>
        <v>878</v>
      </c>
      <c r="F239" s="2841">
        <f t="shared" si="21"/>
        <v>878</v>
      </c>
      <c r="G239" s="2841">
        <f t="shared" si="22"/>
        <v>878</v>
      </c>
    </row>
    <row r="240" spans="1:7" ht="15.75">
      <c r="A240" s="3022">
        <f t="shared" si="23"/>
        <v>8825</v>
      </c>
      <c r="B240" s="2840">
        <v>8800</v>
      </c>
      <c r="C240" s="2840">
        <v>8850</v>
      </c>
      <c r="D240" s="2841">
        <f t="shared" si="19"/>
        <v>883</v>
      </c>
      <c r="E240" s="2841">
        <f t="shared" si="20"/>
        <v>883</v>
      </c>
      <c r="F240" s="2841">
        <f t="shared" si="21"/>
        <v>883</v>
      </c>
      <c r="G240" s="2841">
        <f t="shared" si="22"/>
        <v>883</v>
      </c>
    </row>
    <row r="241" spans="1:7" ht="15.75">
      <c r="A241" s="3022">
        <f t="shared" si="23"/>
        <v>8875</v>
      </c>
      <c r="B241" s="2840">
        <v>8850</v>
      </c>
      <c r="C241" s="2840">
        <v>8900</v>
      </c>
      <c r="D241" s="2841">
        <f t="shared" si="19"/>
        <v>888</v>
      </c>
      <c r="E241" s="2841">
        <f t="shared" si="20"/>
        <v>888</v>
      </c>
      <c r="F241" s="2841">
        <f t="shared" si="21"/>
        <v>888</v>
      </c>
      <c r="G241" s="2841">
        <f t="shared" si="22"/>
        <v>888</v>
      </c>
    </row>
    <row r="242" spans="1:7" ht="15.75">
      <c r="A242" s="3022">
        <f t="shared" si="23"/>
        <v>8925</v>
      </c>
      <c r="B242" s="2840">
        <v>8900</v>
      </c>
      <c r="C242" s="2840">
        <v>8950</v>
      </c>
      <c r="D242" s="2841">
        <f t="shared" si="19"/>
        <v>893</v>
      </c>
      <c r="E242" s="2841">
        <f t="shared" si="20"/>
        <v>893</v>
      </c>
      <c r="F242" s="2841">
        <f t="shared" si="21"/>
        <v>893</v>
      </c>
      <c r="G242" s="2841">
        <f t="shared" si="22"/>
        <v>893</v>
      </c>
    </row>
    <row r="243" spans="1:7" ht="15.75">
      <c r="A243" s="3022">
        <f t="shared" si="23"/>
        <v>8975</v>
      </c>
      <c r="B243" s="2840">
        <v>8950</v>
      </c>
      <c r="C243" s="2840">
        <v>9000</v>
      </c>
      <c r="D243" s="2841">
        <f t="shared" si="19"/>
        <v>898</v>
      </c>
      <c r="E243" s="2841">
        <f t="shared" si="20"/>
        <v>898</v>
      </c>
      <c r="F243" s="2841">
        <f t="shared" si="21"/>
        <v>898</v>
      </c>
      <c r="G243" s="2841">
        <f t="shared" si="22"/>
        <v>898</v>
      </c>
    </row>
    <row r="244" spans="1:7" ht="15.75">
      <c r="A244" s="3022">
        <f t="shared" si="23"/>
        <v>9025</v>
      </c>
      <c r="B244" s="2840">
        <v>9000</v>
      </c>
      <c r="C244" s="2840">
        <v>9050</v>
      </c>
      <c r="D244" s="2841">
        <f t="shared" si="19"/>
        <v>903</v>
      </c>
      <c r="E244" s="2841">
        <f t="shared" si="20"/>
        <v>903</v>
      </c>
      <c r="F244" s="2841">
        <f t="shared" si="21"/>
        <v>903</v>
      </c>
      <c r="G244" s="2841">
        <f t="shared" si="22"/>
        <v>903</v>
      </c>
    </row>
    <row r="245" spans="1:7" ht="15.75">
      <c r="A245" s="3022">
        <f t="shared" si="23"/>
        <v>9075</v>
      </c>
      <c r="B245" s="2840">
        <v>9050</v>
      </c>
      <c r="C245" s="2840">
        <v>9100</v>
      </c>
      <c r="D245" s="2841">
        <f t="shared" si="19"/>
        <v>908</v>
      </c>
      <c r="E245" s="2841">
        <f t="shared" si="20"/>
        <v>908</v>
      </c>
      <c r="F245" s="2841">
        <f t="shared" si="21"/>
        <v>908</v>
      </c>
      <c r="G245" s="2841">
        <f t="shared" si="22"/>
        <v>908</v>
      </c>
    </row>
    <row r="246" spans="1:7" ht="15.75">
      <c r="A246" s="3022">
        <f t="shared" si="23"/>
        <v>9125</v>
      </c>
      <c r="B246" s="2840">
        <v>9100</v>
      </c>
      <c r="C246" s="2840">
        <v>9150</v>
      </c>
      <c r="D246" s="2841">
        <f t="shared" si="19"/>
        <v>913</v>
      </c>
      <c r="E246" s="2841">
        <f t="shared" si="20"/>
        <v>913</v>
      </c>
      <c r="F246" s="2841">
        <f t="shared" si="21"/>
        <v>913</v>
      </c>
      <c r="G246" s="2841">
        <f t="shared" si="22"/>
        <v>913</v>
      </c>
    </row>
    <row r="247" spans="1:7" ht="15.75">
      <c r="A247" s="3022">
        <f t="shared" si="23"/>
        <v>9175</v>
      </c>
      <c r="B247" s="2840">
        <v>9150</v>
      </c>
      <c r="C247" s="2840">
        <v>9200</v>
      </c>
      <c r="D247" s="2841">
        <f t="shared" si="19"/>
        <v>918</v>
      </c>
      <c r="E247" s="2841">
        <f t="shared" si="20"/>
        <v>918</v>
      </c>
      <c r="F247" s="2841">
        <f t="shared" si="21"/>
        <v>918</v>
      </c>
      <c r="G247" s="2841">
        <f t="shared" si="22"/>
        <v>918</v>
      </c>
    </row>
    <row r="248" spans="1:7" ht="15.75">
      <c r="A248" s="3022">
        <f t="shared" si="23"/>
        <v>9225</v>
      </c>
      <c r="B248" s="2840">
        <v>9200</v>
      </c>
      <c r="C248" s="2840">
        <v>9250</v>
      </c>
      <c r="D248" s="2841">
        <f t="shared" si="19"/>
        <v>923</v>
      </c>
      <c r="E248" s="2841">
        <f t="shared" si="20"/>
        <v>923</v>
      </c>
      <c r="F248" s="2841">
        <f t="shared" si="21"/>
        <v>923</v>
      </c>
      <c r="G248" s="2841">
        <f t="shared" si="22"/>
        <v>923</v>
      </c>
    </row>
    <row r="249" spans="1:7" ht="15.75">
      <c r="A249" s="3022">
        <f t="shared" si="23"/>
        <v>9275</v>
      </c>
      <c r="B249" s="2840">
        <v>9250</v>
      </c>
      <c r="C249" s="2840">
        <v>9300</v>
      </c>
      <c r="D249" s="2841">
        <f t="shared" si="19"/>
        <v>928</v>
      </c>
      <c r="E249" s="2841">
        <f t="shared" si="20"/>
        <v>928</v>
      </c>
      <c r="F249" s="2841">
        <f t="shared" si="21"/>
        <v>928</v>
      </c>
      <c r="G249" s="2841">
        <f t="shared" si="22"/>
        <v>928</v>
      </c>
    </row>
    <row r="250" spans="1:7" ht="15.75">
      <c r="A250" s="3022">
        <f t="shared" si="23"/>
        <v>9325</v>
      </c>
      <c r="B250" s="2840">
        <v>9300</v>
      </c>
      <c r="C250" s="2840">
        <v>9350</v>
      </c>
      <c r="D250" s="2841">
        <f t="shared" si="19"/>
        <v>933</v>
      </c>
      <c r="E250" s="2841">
        <f t="shared" si="20"/>
        <v>933</v>
      </c>
      <c r="F250" s="2841">
        <f t="shared" si="21"/>
        <v>933</v>
      </c>
      <c r="G250" s="2841">
        <f t="shared" si="22"/>
        <v>933</v>
      </c>
    </row>
    <row r="251" spans="1:7" ht="15.75">
      <c r="A251" s="3022">
        <f t="shared" si="23"/>
        <v>9375</v>
      </c>
      <c r="B251" s="2840">
        <v>9350</v>
      </c>
      <c r="C251" s="2840">
        <v>9400</v>
      </c>
      <c r="D251" s="2841">
        <f t="shared" si="19"/>
        <v>938</v>
      </c>
      <c r="E251" s="2841">
        <f t="shared" si="20"/>
        <v>938</v>
      </c>
      <c r="F251" s="2841">
        <f t="shared" si="21"/>
        <v>938</v>
      </c>
      <c r="G251" s="2841">
        <f t="shared" si="22"/>
        <v>938</v>
      </c>
    </row>
    <row r="252" spans="1:7" ht="15.75">
      <c r="A252" s="3022">
        <f t="shared" si="23"/>
        <v>9425</v>
      </c>
      <c r="B252" s="2840">
        <v>9400</v>
      </c>
      <c r="C252" s="2840">
        <v>9450</v>
      </c>
      <c r="D252" s="2841">
        <f t="shared" si="19"/>
        <v>943</v>
      </c>
      <c r="E252" s="2841">
        <f t="shared" si="20"/>
        <v>943</v>
      </c>
      <c r="F252" s="2841">
        <f t="shared" si="21"/>
        <v>943</v>
      </c>
      <c r="G252" s="2841">
        <f t="shared" si="22"/>
        <v>943</v>
      </c>
    </row>
    <row r="253" spans="1:7" ht="15.75">
      <c r="A253" s="3022">
        <f t="shared" si="23"/>
        <v>9475</v>
      </c>
      <c r="B253" s="2840">
        <v>9450</v>
      </c>
      <c r="C253" s="2840">
        <v>9500</v>
      </c>
      <c r="D253" s="2841">
        <f t="shared" si="19"/>
        <v>948</v>
      </c>
      <c r="E253" s="2841">
        <f t="shared" si="20"/>
        <v>948</v>
      </c>
      <c r="F253" s="2841">
        <f t="shared" si="21"/>
        <v>948</v>
      </c>
      <c r="G253" s="2841">
        <f t="shared" si="22"/>
        <v>948</v>
      </c>
    </row>
    <row r="254" spans="1:7" ht="15.75">
      <c r="A254" s="3022">
        <f t="shared" si="23"/>
        <v>9525</v>
      </c>
      <c r="B254" s="2840">
        <v>9500</v>
      </c>
      <c r="C254" s="2840">
        <v>9550</v>
      </c>
      <c r="D254" s="2841">
        <f t="shared" si="19"/>
        <v>953</v>
      </c>
      <c r="E254" s="2841">
        <f t="shared" si="20"/>
        <v>953</v>
      </c>
      <c r="F254" s="2841">
        <f t="shared" si="21"/>
        <v>953</v>
      </c>
      <c r="G254" s="2841">
        <f t="shared" si="22"/>
        <v>953</v>
      </c>
    </row>
    <row r="255" spans="1:7" ht="15.75">
      <c r="A255" s="3022">
        <f t="shared" si="23"/>
        <v>9575</v>
      </c>
      <c r="B255" s="2840">
        <v>9550</v>
      </c>
      <c r="C255" s="2840">
        <v>9600</v>
      </c>
      <c r="D255" s="2841">
        <f t="shared" si="19"/>
        <v>959</v>
      </c>
      <c r="E255" s="2841">
        <f t="shared" si="20"/>
        <v>958</v>
      </c>
      <c r="F255" s="2841">
        <f t="shared" si="21"/>
        <v>959</v>
      </c>
      <c r="G255" s="2841">
        <f t="shared" si="22"/>
        <v>958</v>
      </c>
    </row>
    <row r="256" spans="1:7" ht="15.75">
      <c r="A256" s="3022">
        <f t="shared" si="23"/>
        <v>9625</v>
      </c>
      <c r="B256" s="2840">
        <v>9600</v>
      </c>
      <c r="C256" s="2840">
        <v>9650</v>
      </c>
      <c r="D256" s="2841">
        <f t="shared" si="19"/>
        <v>965</v>
      </c>
      <c r="E256" s="2841">
        <f t="shared" si="20"/>
        <v>963</v>
      </c>
      <c r="F256" s="2841">
        <f t="shared" si="21"/>
        <v>965</v>
      </c>
      <c r="G256" s="2841">
        <f t="shared" si="22"/>
        <v>963</v>
      </c>
    </row>
    <row r="257" spans="1:7" ht="15.75">
      <c r="A257" s="3022">
        <f t="shared" si="23"/>
        <v>9675</v>
      </c>
      <c r="B257" s="2840">
        <v>9650</v>
      </c>
      <c r="C257" s="2840">
        <v>9700</v>
      </c>
      <c r="D257" s="2841">
        <f t="shared" si="19"/>
        <v>971</v>
      </c>
      <c r="E257" s="2841">
        <f t="shared" si="20"/>
        <v>968</v>
      </c>
      <c r="F257" s="2841">
        <f t="shared" si="21"/>
        <v>971</v>
      </c>
      <c r="G257" s="2841">
        <f t="shared" si="22"/>
        <v>968</v>
      </c>
    </row>
    <row r="258" spans="1:7" ht="15.75">
      <c r="A258" s="3022">
        <f t="shared" si="23"/>
        <v>9725</v>
      </c>
      <c r="B258" s="2840">
        <v>9700</v>
      </c>
      <c r="C258" s="2840">
        <v>9750</v>
      </c>
      <c r="D258" s="2841">
        <f t="shared" ref="D258:D321" si="24">IF($A258&gt;BOTT_A4,ROUND(BASE_A4+RATE_A4*($A258-BOTT_A4),0),IF($A258&gt;BOTT_A3,ROUND(BASE_A3+RATE_A3*($A258-BOTT_A3),0),IF($A258&gt;BOTT_A2,ROUND(BASE_A2+RATE_A2*($A258-BOTT_A2),0),ROUND(RATE_A1*$A258,0))))</f>
        <v>977</v>
      </c>
      <c r="E258" s="2841">
        <f t="shared" ref="E258:E321" si="25">IF($A258&gt;BOTT_B4,ROUND(BASE_B4+RATE_B4*($A258-BOTT_B4),0),IF($A258&gt;BOTT_B3,ROUND(BASE_B3+RATE_B3*($A258-BOTT_B3),0),IF($A258&gt;BOTT_B2,ROUND(BASE_B2+RATE_B2*($A258-BOTT_B2),0),ROUND(RATE_B1*$A258,0))))</f>
        <v>973</v>
      </c>
      <c r="F258" s="2841">
        <f t="shared" ref="F258:F321" si="26">IF($A258&gt;BOTT_C4,ROUND(BASE_C4+RATE_C4*($A258-BOTT_C4),0),IF($A258&gt;BOTT_C3,ROUND(BASE_C3+RATE_C3*($A258-BOTT_C3),0),IF($A258&gt;BOTT_C2,ROUND(BASE_C2+RATE_C2*($A258-BOTT_C2),0),ROUND(RATE_C1*$A258,0))))</f>
        <v>977</v>
      </c>
      <c r="G258" s="2841">
        <f t="shared" ref="G258:G321" si="27">IF($A258&gt;BOTT_D4,ROUND(BASE_D4+RATE_D4*($A258-BOTT_D4),0),IF($A258&gt;BOTT_D3,ROUND(BASE_D3+RATE_D3*($A258-BOTT_D3),0),IF($A258&gt;BOTT_D2,ROUND(BASE_D2+RATE_D2*($A258-BOTT_D2),0),ROUND(RATE_D1*$A258,0))))</f>
        <v>973</v>
      </c>
    </row>
    <row r="259" spans="1:7" ht="15.75">
      <c r="A259" s="3022">
        <f t="shared" ref="A259:A322" si="28">AVERAGE(B259,C259)</f>
        <v>9775</v>
      </c>
      <c r="B259" s="2840">
        <v>9750</v>
      </c>
      <c r="C259" s="2840">
        <v>9800</v>
      </c>
      <c r="D259" s="2841">
        <f t="shared" si="24"/>
        <v>983</v>
      </c>
      <c r="E259" s="2841">
        <f t="shared" si="25"/>
        <v>978</v>
      </c>
      <c r="F259" s="2841">
        <f t="shared" si="26"/>
        <v>983</v>
      </c>
      <c r="G259" s="2841">
        <f t="shared" si="27"/>
        <v>978</v>
      </c>
    </row>
    <row r="260" spans="1:7" ht="15.75">
      <c r="A260" s="3022">
        <f t="shared" si="28"/>
        <v>9825</v>
      </c>
      <c r="B260" s="2840">
        <v>9800</v>
      </c>
      <c r="C260" s="2840">
        <v>9850</v>
      </c>
      <c r="D260" s="2841">
        <f t="shared" si="24"/>
        <v>989</v>
      </c>
      <c r="E260" s="2841">
        <f t="shared" si="25"/>
        <v>983</v>
      </c>
      <c r="F260" s="2841">
        <f t="shared" si="26"/>
        <v>989</v>
      </c>
      <c r="G260" s="2841">
        <f t="shared" si="27"/>
        <v>983</v>
      </c>
    </row>
    <row r="261" spans="1:7" ht="15.75">
      <c r="A261" s="3022">
        <f t="shared" si="28"/>
        <v>9875</v>
      </c>
      <c r="B261" s="2840">
        <v>9850</v>
      </c>
      <c r="C261" s="2840">
        <v>9900</v>
      </c>
      <c r="D261" s="2841">
        <f t="shared" si="24"/>
        <v>995</v>
      </c>
      <c r="E261" s="2841">
        <f t="shared" si="25"/>
        <v>988</v>
      </c>
      <c r="F261" s="2841">
        <f t="shared" si="26"/>
        <v>995</v>
      </c>
      <c r="G261" s="2841">
        <f t="shared" si="27"/>
        <v>988</v>
      </c>
    </row>
    <row r="262" spans="1:7" ht="15.75">
      <c r="A262" s="3022">
        <f t="shared" si="28"/>
        <v>9925</v>
      </c>
      <c r="B262" s="2840">
        <v>9900</v>
      </c>
      <c r="C262" s="2840">
        <v>9950</v>
      </c>
      <c r="D262" s="2841">
        <f t="shared" si="24"/>
        <v>1001</v>
      </c>
      <c r="E262" s="2841">
        <f t="shared" si="25"/>
        <v>993</v>
      </c>
      <c r="F262" s="2841">
        <f t="shared" si="26"/>
        <v>1001</v>
      </c>
      <c r="G262" s="2841">
        <f t="shared" si="27"/>
        <v>993</v>
      </c>
    </row>
    <row r="263" spans="1:7" ht="15.75">
      <c r="A263" s="3022">
        <f t="shared" si="28"/>
        <v>9975</v>
      </c>
      <c r="B263" s="2840">
        <v>9950</v>
      </c>
      <c r="C263" s="2840">
        <v>10000</v>
      </c>
      <c r="D263" s="2841">
        <f t="shared" si="24"/>
        <v>1007</v>
      </c>
      <c r="E263" s="2841">
        <f t="shared" si="25"/>
        <v>998</v>
      </c>
      <c r="F263" s="2841">
        <f t="shared" si="26"/>
        <v>1007</v>
      </c>
      <c r="G263" s="2841">
        <f t="shared" si="27"/>
        <v>998</v>
      </c>
    </row>
    <row r="264" spans="1:7" ht="15.75">
      <c r="A264" s="3022">
        <f t="shared" si="28"/>
        <v>10025</v>
      </c>
      <c r="B264" s="2840">
        <v>10000</v>
      </c>
      <c r="C264" s="2840">
        <v>10050</v>
      </c>
      <c r="D264" s="2841">
        <f t="shared" si="24"/>
        <v>1013</v>
      </c>
      <c r="E264" s="2841">
        <f t="shared" si="25"/>
        <v>1003</v>
      </c>
      <c r="F264" s="2841">
        <f t="shared" si="26"/>
        <v>1013</v>
      </c>
      <c r="G264" s="2841">
        <f t="shared" si="27"/>
        <v>1003</v>
      </c>
    </row>
    <row r="265" spans="1:7" ht="15.75">
      <c r="A265" s="3022">
        <f t="shared" si="28"/>
        <v>10075</v>
      </c>
      <c r="B265" s="2840">
        <v>10050</v>
      </c>
      <c r="C265" s="2840">
        <v>10100</v>
      </c>
      <c r="D265" s="2841">
        <f t="shared" si="24"/>
        <v>1019</v>
      </c>
      <c r="E265" s="2841">
        <f t="shared" si="25"/>
        <v>1008</v>
      </c>
      <c r="F265" s="2841">
        <f t="shared" si="26"/>
        <v>1019</v>
      </c>
      <c r="G265" s="2841">
        <f t="shared" si="27"/>
        <v>1008</v>
      </c>
    </row>
    <row r="266" spans="1:7" ht="15.75">
      <c r="A266" s="3022">
        <f t="shared" si="28"/>
        <v>10125</v>
      </c>
      <c r="B266" s="2840">
        <v>10100</v>
      </c>
      <c r="C266" s="2840">
        <v>10150</v>
      </c>
      <c r="D266" s="2841">
        <f t="shared" si="24"/>
        <v>1025</v>
      </c>
      <c r="E266" s="2841">
        <f t="shared" si="25"/>
        <v>1013</v>
      </c>
      <c r="F266" s="2841">
        <f t="shared" si="26"/>
        <v>1025</v>
      </c>
      <c r="G266" s="2841">
        <f t="shared" si="27"/>
        <v>1013</v>
      </c>
    </row>
    <row r="267" spans="1:7" ht="15.75">
      <c r="A267" s="3022">
        <f t="shared" si="28"/>
        <v>10175</v>
      </c>
      <c r="B267" s="2840">
        <v>10150</v>
      </c>
      <c r="C267" s="2840">
        <v>10200</v>
      </c>
      <c r="D267" s="2841">
        <f t="shared" si="24"/>
        <v>1031</v>
      </c>
      <c r="E267" s="2841">
        <f t="shared" si="25"/>
        <v>1018</v>
      </c>
      <c r="F267" s="2841">
        <f t="shared" si="26"/>
        <v>1031</v>
      </c>
      <c r="G267" s="2841">
        <f t="shared" si="27"/>
        <v>1018</v>
      </c>
    </row>
    <row r="268" spans="1:7" ht="15.75">
      <c r="A268" s="3022">
        <f t="shared" si="28"/>
        <v>10225</v>
      </c>
      <c r="B268" s="2840">
        <v>10200</v>
      </c>
      <c r="C268" s="2840">
        <v>10250</v>
      </c>
      <c r="D268" s="2841">
        <f t="shared" si="24"/>
        <v>1037</v>
      </c>
      <c r="E268" s="2841">
        <f t="shared" si="25"/>
        <v>1023</v>
      </c>
      <c r="F268" s="2841">
        <f t="shared" si="26"/>
        <v>1037</v>
      </c>
      <c r="G268" s="2841">
        <f t="shared" si="27"/>
        <v>1023</v>
      </c>
    </row>
    <row r="269" spans="1:7" ht="15.75">
      <c r="A269" s="3022">
        <f t="shared" si="28"/>
        <v>10275</v>
      </c>
      <c r="B269" s="2840">
        <v>10250</v>
      </c>
      <c r="C269" s="2840">
        <v>10300</v>
      </c>
      <c r="D269" s="2841">
        <f t="shared" si="24"/>
        <v>1043</v>
      </c>
      <c r="E269" s="2841">
        <f t="shared" si="25"/>
        <v>1028</v>
      </c>
      <c r="F269" s="2841">
        <f t="shared" si="26"/>
        <v>1043</v>
      </c>
      <c r="G269" s="2841">
        <f t="shared" si="27"/>
        <v>1028</v>
      </c>
    </row>
    <row r="270" spans="1:7" ht="15.75">
      <c r="A270" s="3022">
        <f t="shared" si="28"/>
        <v>10325</v>
      </c>
      <c r="B270" s="2840">
        <v>10300</v>
      </c>
      <c r="C270" s="2840">
        <v>10350</v>
      </c>
      <c r="D270" s="2841">
        <f t="shared" si="24"/>
        <v>1049</v>
      </c>
      <c r="E270" s="2841">
        <f t="shared" si="25"/>
        <v>1033</v>
      </c>
      <c r="F270" s="2841">
        <f t="shared" si="26"/>
        <v>1049</v>
      </c>
      <c r="G270" s="2841">
        <f t="shared" si="27"/>
        <v>1033</v>
      </c>
    </row>
    <row r="271" spans="1:7" ht="15.75">
      <c r="A271" s="3022">
        <f t="shared" si="28"/>
        <v>10375</v>
      </c>
      <c r="B271" s="2840">
        <v>10350</v>
      </c>
      <c r="C271" s="2840">
        <v>10400</v>
      </c>
      <c r="D271" s="2841">
        <f t="shared" si="24"/>
        <v>1055</v>
      </c>
      <c r="E271" s="2841">
        <f t="shared" si="25"/>
        <v>1038</v>
      </c>
      <c r="F271" s="2841">
        <f t="shared" si="26"/>
        <v>1055</v>
      </c>
      <c r="G271" s="2841">
        <f t="shared" si="27"/>
        <v>1038</v>
      </c>
    </row>
    <row r="272" spans="1:7" ht="15.75">
      <c r="A272" s="3022">
        <f t="shared" si="28"/>
        <v>10425</v>
      </c>
      <c r="B272" s="2840">
        <v>10400</v>
      </c>
      <c r="C272" s="2840">
        <v>10450</v>
      </c>
      <c r="D272" s="2841">
        <f t="shared" si="24"/>
        <v>1061</v>
      </c>
      <c r="E272" s="2841">
        <f t="shared" si="25"/>
        <v>1043</v>
      </c>
      <c r="F272" s="2841">
        <f t="shared" si="26"/>
        <v>1061</v>
      </c>
      <c r="G272" s="2841">
        <f t="shared" si="27"/>
        <v>1043</v>
      </c>
    </row>
    <row r="273" spans="1:7" ht="15.75">
      <c r="A273" s="3022">
        <f t="shared" si="28"/>
        <v>10475</v>
      </c>
      <c r="B273" s="2840">
        <v>10450</v>
      </c>
      <c r="C273" s="2840">
        <v>10500</v>
      </c>
      <c r="D273" s="2841">
        <f t="shared" si="24"/>
        <v>1067</v>
      </c>
      <c r="E273" s="2841">
        <f t="shared" si="25"/>
        <v>1048</v>
      </c>
      <c r="F273" s="2841">
        <f t="shared" si="26"/>
        <v>1067</v>
      </c>
      <c r="G273" s="2841">
        <f t="shared" si="27"/>
        <v>1048</v>
      </c>
    </row>
    <row r="274" spans="1:7" ht="15.75">
      <c r="A274" s="3022">
        <f t="shared" si="28"/>
        <v>10525</v>
      </c>
      <c r="B274" s="2840">
        <v>10500</v>
      </c>
      <c r="C274" s="2840">
        <v>10550</v>
      </c>
      <c r="D274" s="2841">
        <f t="shared" si="24"/>
        <v>1073</v>
      </c>
      <c r="E274" s="2841">
        <f t="shared" si="25"/>
        <v>1053</v>
      </c>
      <c r="F274" s="2841">
        <f t="shared" si="26"/>
        <v>1073</v>
      </c>
      <c r="G274" s="2841">
        <f t="shared" si="27"/>
        <v>1053</v>
      </c>
    </row>
    <row r="275" spans="1:7" ht="15.75">
      <c r="A275" s="3022">
        <f t="shared" si="28"/>
        <v>10575</v>
      </c>
      <c r="B275" s="2840">
        <v>10550</v>
      </c>
      <c r="C275" s="2840">
        <v>10600</v>
      </c>
      <c r="D275" s="2841">
        <f t="shared" si="24"/>
        <v>1079</v>
      </c>
      <c r="E275" s="2841">
        <f t="shared" si="25"/>
        <v>1058</v>
      </c>
      <c r="F275" s="2841">
        <f t="shared" si="26"/>
        <v>1079</v>
      </c>
      <c r="G275" s="2841">
        <f t="shared" si="27"/>
        <v>1058</v>
      </c>
    </row>
    <row r="276" spans="1:7" ht="15.75">
      <c r="A276" s="3022">
        <f t="shared" si="28"/>
        <v>10625</v>
      </c>
      <c r="B276" s="2840">
        <v>10600</v>
      </c>
      <c r="C276" s="2840">
        <v>10650</v>
      </c>
      <c r="D276" s="2841">
        <f t="shared" si="24"/>
        <v>1085</v>
      </c>
      <c r="E276" s="2841">
        <f t="shared" si="25"/>
        <v>1063</v>
      </c>
      <c r="F276" s="2841">
        <f t="shared" si="26"/>
        <v>1085</v>
      </c>
      <c r="G276" s="2841">
        <f t="shared" si="27"/>
        <v>1063</v>
      </c>
    </row>
    <row r="277" spans="1:7" ht="15.75">
      <c r="A277" s="3022">
        <f t="shared" si="28"/>
        <v>10675</v>
      </c>
      <c r="B277" s="2840">
        <v>10650</v>
      </c>
      <c r="C277" s="2840">
        <v>10700</v>
      </c>
      <c r="D277" s="2841">
        <f t="shared" si="24"/>
        <v>1091</v>
      </c>
      <c r="E277" s="2841">
        <f t="shared" si="25"/>
        <v>1068</v>
      </c>
      <c r="F277" s="2841">
        <f t="shared" si="26"/>
        <v>1091</v>
      </c>
      <c r="G277" s="2841">
        <f t="shared" si="27"/>
        <v>1068</v>
      </c>
    </row>
    <row r="278" spans="1:7" ht="15.75">
      <c r="A278" s="3022">
        <f t="shared" si="28"/>
        <v>10725</v>
      </c>
      <c r="B278" s="2840">
        <v>10700</v>
      </c>
      <c r="C278" s="2840">
        <v>10750</v>
      </c>
      <c r="D278" s="2841">
        <f t="shared" si="24"/>
        <v>1097</v>
      </c>
      <c r="E278" s="2841">
        <f t="shared" si="25"/>
        <v>1073</v>
      </c>
      <c r="F278" s="2841">
        <f t="shared" si="26"/>
        <v>1097</v>
      </c>
      <c r="G278" s="2841">
        <f t="shared" si="27"/>
        <v>1073</v>
      </c>
    </row>
    <row r="279" spans="1:7" ht="15.75">
      <c r="A279" s="3022">
        <f t="shared" si="28"/>
        <v>10775</v>
      </c>
      <c r="B279" s="2840">
        <v>10750</v>
      </c>
      <c r="C279" s="2840">
        <v>10800</v>
      </c>
      <c r="D279" s="2841">
        <f t="shared" si="24"/>
        <v>1103</v>
      </c>
      <c r="E279" s="2841">
        <f t="shared" si="25"/>
        <v>1078</v>
      </c>
      <c r="F279" s="2841">
        <f t="shared" si="26"/>
        <v>1103</v>
      </c>
      <c r="G279" s="2841">
        <f t="shared" si="27"/>
        <v>1078</v>
      </c>
    </row>
    <row r="280" spans="1:7" ht="15.75">
      <c r="A280" s="3022">
        <f t="shared" si="28"/>
        <v>10825</v>
      </c>
      <c r="B280" s="2840">
        <v>10800</v>
      </c>
      <c r="C280" s="2840">
        <v>10850</v>
      </c>
      <c r="D280" s="2841">
        <f t="shared" si="24"/>
        <v>1109</v>
      </c>
      <c r="E280" s="2841">
        <f t="shared" si="25"/>
        <v>1083</v>
      </c>
      <c r="F280" s="2841">
        <f t="shared" si="26"/>
        <v>1109</v>
      </c>
      <c r="G280" s="2841">
        <f t="shared" si="27"/>
        <v>1083</v>
      </c>
    </row>
    <row r="281" spans="1:7" ht="15.75">
      <c r="A281" s="3022">
        <f t="shared" si="28"/>
        <v>10875</v>
      </c>
      <c r="B281" s="2840">
        <v>10850</v>
      </c>
      <c r="C281" s="2840">
        <v>10900</v>
      </c>
      <c r="D281" s="2841">
        <f t="shared" si="24"/>
        <v>1115</v>
      </c>
      <c r="E281" s="2841">
        <f t="shared" si="25"/>
        <v>1088</v>
      </c>
      <c r="F281" s="2841">
        <f t="shared" si="26"/>
        <v>1115</v>
      </c>
      <c r="G281" s="2841">
        <f t="shared" si="27"/>
        <v>1088</v>
      </c>
    </row>
    <row r="282" spans="1:7" ht="15.75">
      <c r="A282" s="3022">
        <f t="shared" si="28"/>
        <v>10925</v>
      </c>
      <c r="B282" s="2840">
        <v>10900</v>
      </c>
      <c r="C282" s="2840">
        <v>10950</v>
      </c>
      <c r="D282" s="2841">
        <f t="shared" si="24"/>
        <v>1121</v>
      </c>
      <c r="E282" s="2841">
        <f t="shared" si="25"/>
        <v>1093</v>
      </c>
      <c r="F282" s="2841">
        <f t="shared" si="26"/>
        <v>1121</v>
      </c>
      <c r="G282" s="2841">
        <f t="shared" si="27"/>
        <v>1093</v>
      </c>
    </row>
    <row r="283" spans="1:7" ht="15.75">
      <c r="A283" s="3022">
        <f t="shared" si="28"/>
        <v>10975</v>
      </c>
      <c r="B283" s="2840">
        <v>10950</v>
      </c>
      <c r="C283" s="2840">
        <v>11000</v>
      </c>
      <c r="D283" s="2841">
        <f t="shared" si="24"/>
        <v>1127</v>
      </c>
      <c r="E283" s="2841">
        <f t="shared" si="25"/>
        <v>1098</v>
      </c>
      <c r="F283" s="2841">
        <f t="shared" si="26"/>
        <v>1127</v>
      </c>
      <c r="G283" s="2841">
        <f t="shared" si="27"/>
        <v>1098</v>
      </c>
    </row>
    <row r="284" spans="1:7" ht="15.75">
      <c r="A284" s="3022">
        <f t="shared" si="28"/>
        <v>11025</v>
      </c>
      <c r="B284" s="2840">
        <v>11000</v>
      </c>
      <c r="C284" s="2840">
        <v>11050</v>
      </c>
      <c r="D284" s="2841">
        <f t="shared" si="24"/>
        <v>1133</v>
      </c>
      <c r="E284" s="2841">
        <f t="shared" si="25"/>
        <v>1103</v>
      </c>
      <c r="F284" s="2841">
        <f t="shared" si="26"/>
        <v>1133</v>
      </c>
      <c r="G284" s="2841">
        <f t="shared" si="27"/>
        <v>1103</v>
      </c>
    </row>
    <row r="285" spans="1:7" ht="15.75">
      <c r="A285" s="3022">
        <f t="shared" si="28"/>
        <v>11075</v>
      </c>
      <c r="B285" s="2840">
        <v>11050</v>
      </c>
      <c r="C285" s="2840">
        <v>11100</v>
      </c>
      <c r="D285" s="2841">
        <f t="shared" si="24"/>
        <v>1139</v>
      </c>
      <c r="E285" s="2841">
        <f t="shared" si="25"/>
        <v>1108</v>
      </c>
      <c r="F285" s="2841">
        <f t="shared" si="26"/>
        <v>1139</v>
      </c>
      <c r="G285" s="2841">
        <f t="shared" si="27"/>
        <v>1108</v>
      </c>
    </row>
    <row r="286" spans="1:7" ht="15.75">
      <c r="A286" s="3022">
        <f t="shared" si="28"/>
        <v>11125</v>
      </c>
      <c r="B286" s="2840">
        <v>11100</v>
      </c>
      <c r="C286" s="2840">
        <v>11150</v>
      </c>
      <c r="D286" s="2841">
        <f t="shared" si="24"/>
        <v>1145</v>
      </c>
      <c r="E286" s="2841">
        <f t="shared" si="25"/>
        <v>1113</v>
      </c>
      <c r="F286" s="2841">
        <f t="shared" si="26"/>
        <v>1145</v>
      </c>
      <c r="G286" s="2841">
        <f t="shared" si="27"/>
        <v>1113</v>
      </c>
    </row>
    <row r="287" spans="1:7" ht="15.75">
      <c r="A287" s="3022">
        <f t="shared" si="28"/>
        <v>11175</v>
      </c>
      <c r="B287" s="2840">
        <v>11150</v>
      </c>
      <c r="C287" s="2840">
        <v>11200</v>
      </c>
      <c r="D287" s="2841">
        <f t="shared" si="24"/>
        <v>1151</v>
      </c>
      <c r="E287" s="2841">
        <f t="shared" si="25"/>
        <v>1118</v>
      </c>
      <c r="F287" s="2841">
        <f t="shared" si="26"/>
        <v>1151</v>
      </c>
      <c r="G287" s="2841">
        <f t="shared" si="27"/>
        <v>1118</v>
      </c>
    </row>
    <row r="288" spans="1:7" ht="15.75">
      <c r="A288" s="3022">
        <f t="shared" si="28"/>
        <v>11225</v>
      </c>
      <c r="B288" s="2840">
        <v>11200</v>
      </c>
      <c r="C288" s="2840">
        <v>11250</v>
      </c>
      <c r="D288" s="2841">
        <f t="shared" si="24"/>
        <v>1157</v>
      </c>
      <c r="E288" s="2841">
        <f t="shared" si="25"/>
        <v>1123</v>
      </c>
      <c r="F288" s="2841">
        <f t="shared" si="26"/>
        <v>1157</v>
      </c>
      <c r="G288" s="2841">
        <f t="shared" si="27"/>
        <v>1123</v>
      </c>
    </row>
    <row r="289" spans="1:7" ht="15.75">
      <c r="A289" s="3022">
        <f t="shared" si="28"/>
        <v>11275</v>
      </c>
      <c r="B289" s="2840">
        <v>11250</v>
      </c>
      <c r="C289" s="2840">
        <v>11300</v>
      </c>
      <c r="D289" s="2841">
        <f t="shared" si="24"/>
        <v>1163</v>
      </c>
      <c r="E289" s="2841">
        <f t="shared" si="25"/>
        <v>1128</v>
      </c>
      <c r="F289" s="2841">
        <f t="shared" si="26"/>
        <v>1163</v>
      </c>
      <c r="G289" s="2841">
        <f t="shared" si="27"/>
        <v>1128</v>
      </c>
    </row>
    <row r="290" spans="1:7" ht="15.75">
      <c r="A290" s="3022">
        <f t="shared" si="28"/>
        <v>11325</v>
      </c>
      <c r="B290" s="2840">
        <v>11300</v>
      </c>
      <c r="C290" s="2840">
        <v>11350</v>
      </c>
      <c r="D290" s="2841">
        <f t="shared" si="24"/>
        <v>1169</v>
      </c>
      <c r="E290" s="2841">
        <f t="shared" si="25"/>
        <v>1133</v>
      </c>
      <c r="F290" s="2841">
        <f t="shared" si="26"/>
        <v>1169</v>
      </c>
      <c r="G290" s="2841">
        <f t="shared" si="27"/>
        <v>1133</v>
      </c>
    </row>
    <row r="291" spans="1:7" ht="15.75">
      <c r="A291" s="3022">
        <f t="shared" si="28"/>
        <v>11375</v>
      </c>
      <c r="B291" s="2840">
        <v>11350</v>
      </c>
      <c r="C291" s="2840">
        <v>11400</v>
      </c>
      <c r="D291" s="2841">
        <f t="shared" si="24"/>
        <v>1175</v>
      </c>
      <c r="E291" s="2841">
        <f t="shared" si="25"/>
        <v>1138</v>
      </c>
      <c r="F291" s="2841">
        <f t="shared" si="26"/>
        <v>1175</v>
      </c>
      <c r="G291" s="2841">
        <f t="shared" si="27"/>
        <v>1138</v>
      </c>
    </row>
    <row r="292" spans="1:7" ht="15.75">
      <c r="A292" s="3022">
        <f t="shared" si="28"/>
        <v>11425</v>
      </c>
      <c r="B292" s="2840">
        <v>11400</v>
      </c>
      <c r="C292" s="2840">
        <v>11450</v>
      </c>
      <c r="D292" s="2841">
        <f t="shared" si="24"/>
        <v>1181</v>
      </c>
      <c r="E292" s="2841">
        <f t="shared" si="25"/>
        <v>1143</v>
      </c>
      <c r="F292" s="2841">
        <f t="shared" si="26"/>
        <v>1181</v>
      </c>
      <c r="G292" s="2841">
        <f t="shared" si="27"/>
        <v>1143</v>
      </c>
    </row>
    <row r="293" spans="1:7" ht="15.75">
      <c r="A293" s="3022">
        <f t="shared" si="28"/>
        <v>11475</v>
      </c>
      <c r="B293" s="2840">
        <v>11450</v>
      </c>
      <c r="C293" s="2840">
        <v>11500</v>
      </c>
      <c r="D293" s="2841">
        <f t="shared" si="24"/>
        <v>1187</v>
      </c>
      <c r="E293" s="2841">
        <f t="shared" si="25"/>
        <v>1148</v>
      </c>
      <c r="F293" s="2841">
        <f t="shared" si="26"/>
        <v>1187</v>
      </c>
      <c r="G293" s="2841">
        <f t="shared" si="27"/>
        <v>1148</v>
      </c>
    </row>
    <row r="294" spans="1:7" ht="15.75">
      <c r="A294" s="3022">
        <f t="shared" si="28"/>
        <v>11525</v>
      </c>
      <c r="B294" s="2840">
        <v>11500</v>
      </c>
      <c r="C294" s="2840">
        <v>11550</v>
      </c>
      <c r="D294" s="2841">
        <f t="shared" si="24"/>
        <v>1193</v>
      </c>
      <c r="E294" s="2841">
        <f t="shared" si="25"/>
        <v>1153</v>
      </c>
      <c r="F294" s="2841">
        <f t="shared" si="26"/>
        <v>1193</v>
      </c>
      <c r="G294" s="2841">
        <f t="shared" si="27"/>
        <v>1153</v>
      </c>
    </row>
    <row r="295" spans="1:7" ht="15.75">
      <c r="A295" s="3022">
        <f t="shared" si="28"/>
        <v>11575</v>
      </c>
      <c r="B295" s="2840">
        <v>11550</v>
      </c>
      <c r="C295" s="2840">
        <v>11600</v>
      </c>
      <c r="D295" s="2841">
        <f t="shared" si="24"/>
        <v>1199</v>
      </c>
      <c r="E295" s="2841">
        <f t="shared" si="25"/>
        <v>1158</v>
      </c>
      <c r="F295" s="2841">
        <f t="shared" si="26"/>
        <v>1199</v>
      </c>
      <c r="G295" s="2841">
        <f t="shared" si="27"/>
        <v>1158</v>
      </c>
    </row>
    <row r="296" spans="1:7" ht="15.75">
      <c r="A296" s="3022">
        <f t="shared" si="28"/>
        <v>11625</v>
      </c>
      <c r="B296" s="2840">
        <v>11600</v>
      </c>
      <c r="C296" s="2840">
        <v>11650</v>
      </c>
      <c r="D296" s="2841">
        <f t="shared" si="24"/>
        <v>1205</v>
      </c>
      <c r="E296" s="2841">
        <f t="shared" si="25"/>
        <v>1163</v>
      </c>
      <c r="F296" s="2841">
        <f t="shared" si="26"/>
        <v>1205</v>
      </c>
      <c r="G296" s="2841">
        <f t="shared" si="27"/>
        <v>1163</v>
      </c>
    </row>
    <row r="297" spans="1:7" ht="15.75">
      <c r="A297" s="3022">
        <f t="shared" si="28"/>
        <v>11675</v>
      </c>
      <c r="B297" s="2840">
        <v>11650</v>
      </c>
      <c r="C297" s="2840">
        <v>11700</v>
      </c>
      <c r="D297" s="2841">
        <f t="shared" si="24"/>
        <v>1211</v>
      </c>
      <c r="E297" s="2841">
        <f t="shared" si="25"/>
        <v>1168</v>
      </c>
      <c r="F297" s="2841">
        <f t="shared" si="26"/>
        <v>1211</v>
      </c>
      <c r="G297" s="2841">
        <f t="shared" si="27"/>
        <v>1168</v>
      </c>
    </row>
    <row r="298" spans="1:7" ht="15.75">
      <c r="A298" s="3022">
        <f t="shared" si="28"/>
        <v>11725</v>
      </c>
      <c r="B298" s="2840">
        <v>11700</v>
      </c>
      <c r="C298" s="2840">
        <v>11750</v>
      </c>
      <c r="D298" s="2841">
        <f t="shared" si="24"/>
        <v>1217</v>
      </c>
      <c r="E298" s="2841">
        <f t="shared" si="25"/>
        <v>1173</v>
      </c>
      <c r="F298" s="2841">
        <f t="shared" si="26"/>
        <v>1217</v>
      </c>
      <c r="G298" s="2841">
        <f t="shared" si="27"/>
        <v>1173</v>
      </c>
    </row>
    <row r="299" spans="1:7" ht="15.75">
      <c r="A299" s="3022">
        <f t="shared" si="28"/>
        <v>11775</v>
      </c>
      <c r="B299" s="2840">
        <v>11750</v>
      </c>
      <c r="C299" s="2840">
        <v>11800</v>
      </c>
      <c r="D299" s="2841">
        <f t="shared" si="24"/>
        <v>1223</v>
      </c>
      <c r="E299" s="2841">
        <f t="shared" si="25"/>
        <v>1178</v>
      </c>
      <c r="F299" s="2841">
        <f t="shared" si="26"/>
        <v>1223</v>
      </c>
      <c r="G299" s="2841">
        <f t="shared" si="27"/>
        <v>1178</v>
      </c>
    </row>
    <row r="300" spans="1:7" ht="15.75">
      <c r="A300" s="3022">
        <f t="shared" si="28"/>
        <v>11825</v>
      </c>
      <c r="B300" s="2840">
        <v>11800</v>
      </c>
      <c r="C300" s="2840">
        <v>11850</v>
      </c>
      <c r="D300" s="2841">
        <f t="shared" si="24"/>
        <v>1229</v>
      </c>
      <c r="E300" s="2841">
        <f t="shared" si="25"/>
        <v>1183</v>
      </c>
      <c r="F300" s="2841">
        <f t="shared" si="26"/>
        <v>1229</v>
      </c>
      <c r="G300" s="2841">
        <f t="shared" si="27"/>
        <v>1183</v>
      </c>
    </row>
    <row r="301" spans="1:7" ht="15.75">
      <c r="A301" s="3022">
        <f t="shared" si="28"/>
        <v>11875</v>
      </c>
      <c r="B301" s="2840">
        <v>11850</v>
      </c>
      <c r="C301" s="2840">
        <v>11900</v>
      </c>
      <c r="D301" s="2841">
        <f t="shared" si="24"/>
        <v>1235</v>
      </c>
      <c r="E301" s="2841">
        <f t="shared" si="25"/>
        <v>1188</v>
      </c>
      <c r="F301" s="2841">
        <f t="shared" si="26"/>
        <v>1235</v>
      </c>
      <c r="G301" s="2841">
        <f t="shared" si="27"/>
        <v>1188</v>
      </c>
    </row>
    <row r="302" spans="1:7" ht="15.75">
      <c r="A302" s="3022">
        <f t="shared" si="28"/>
        <v>11925</v>
      </c>
      <c r="B302" s="2840">
        <v>11900</v>
      </c>
      <c r="C302" s="2840">
        <v>11950</v>
      </c>
      <c r="D302" s="2841">
        <f t="shared" si="24"/>
        <v>1241</v>
      </c>
      <c r="E302" s="2841">
        <f t="shared" si="25"/>
        <v>1193</v>
      </c>
      <c r="F302" s="2841">
        <f t="shared" si="26"/>
        <v>1241</v>
      </c>
      <c r="G302" s="2841">
        <f t="shared" si="27"/>
        <v>1193</v>
      </c>
    </row>
    <row r="303" spans="1:7" ht="15.75">
      <c r="A303" s="3022">
        <f t="shared" si="28"/>
        <v>11975</v>
      </c>
      <c r="B303" s="2840">
        <v>11950</v>
      </c>
      <c r="C303" s="2840">
        <v>12000</v>
      </c>
      <c r="D303" s="2841">
        <f t="shared" si="24"/>
        <v>1247</v>
      </c>
      <c r="E303" s="2841">
        <f t="shared" si="25"/>
        <v>1198</v>
      </c>
      <c r="F303" s="2841">
        <f t="shared" si="26"/>
        <v>1247</v>
      </c>
      <c r="G303" s="2841">
        <f t="shared" si="27"/>
        <v>1198</v>
      </c>
    </row>
    <row r="304" spans="1:7" ht="15.75">
      <c r="A304" s="3022">
        <f t="shared" si="28"/>
        <v>12025</v>
      </c>
      <c r="B304" s="2840">
        <v>12000</v>
      </c>
      <c r="C304" s="2840">
        <v>12050</v>
      </c>
      <c r="D304" s="2841">
        <f t="shared" si="24"/>
        <v>1253</v>
      </c>
      <c r="E304" s="2841">
        <f t="shared" si="25"/>
        <v>1203</v>
      </c>
      <c r="F304" s="2841">
        <f t="shared" si="26"/>
        <v>1253</v>
      </c>
      <c r="G304" s="2841">
        <f t="shared" si="27"/>
        <v>1203</v>
      </c>
    </row>
    <row r="305" spans="1:7" ht="15.75">
      <c r="A305" s="3022">
        <f t="shared" si="28"/>
        <v>12075</v>
      </c>
      <c r="B305" s="2840">
        <v>12050</v>
      </c>
      <c r="C305" s="2840">
        <v>12100</v>
      </c>
      <c r="D305" s="2841">
        <f t="shared" si="24"/>
        <v>1259</v>
      </c>
      <c r="E305" s="2841">
        <f t="shared" si="25"/>
        <v>1208</v>
      </c>
      <c r="F305" s="2841">
        <f t="shared" si="26"/>
        <v>1259</v>
      </c>
      <c r="G305" s="2841">
        <f t="shared" si="27"/>
        <v>1208</v>
      </c>
    </row>
    <row r="306" spans="1:7" ht="15.75">
      <c r="A306" s="3022">
        <f t="shared" si="28"/>
        <v>12125</v>
      </c>
      <c r="B306" s="2840">
        <v>12100</v>
      </c>
      <c r="C306" s="2840">
        <v>12150</v>
      </c>
      <c r="D306" s="2841">
        <f t="shared" si="24"/>
        <v>1265</v>
      </c>
      <c r="E306" s="2841">
        <f t="shared" si="25"/>
        <v>1213</v>
      </c>
      <c r="F306" s="2841">
        <f t="shared" si="26"/>
        <v>1265</v>
      </c>
      <c r="G306" s="2841">
        <f t="shared" si="27"/>
        <v>1213</v>
      </c>
    </row>
    <row r="307" spans="1:7" ht="15.75">
      <c r="A307" s="3022">
        <f t="shared" si="28"/>
        <v>12175</v>
      </c>
      <c r="B307" s="2840">
        <v>12150</v>
      </c>
      <c r="C307" s="2840">
        <v>12200</v>
      </c>
      <c r="D307" s="2841">
        <f t="shared" si="24"/>
        <v>1271</v>
      </c>
      <c r="E307" s="2841">
        <f t="shared" si="25"/>
        <v>1218</v>
      </c>
      <c r="F307" s="2841">
        <f t="shared" si="26"/>
        <v>1271</v>
      </c>
      <c r="G307" s="2841">
        <f t="shared" si="27"/>
        <v>1218</v>
      </c>
    </row>
    <row r="308" spans="1:7" ht="15.75">
      <c r="A308" s="3022">
        <f t="shared" si="28"/>
        <v>12225</v>
      </c>
      <c r="B308" s="2840">
        <v>12200</v>
      </c>
      <c r="C308" s="2840">
        <v>12250</v>
      </c>
      <c r="D308" s="2841">
        <f t="shared" si="24"/>
        <v>1277</v>
      </c>
      <c r="E308" s="2841">
        <f t="shared" si="25"/>
        <v>1223</v>
      </c>
      <c r="F308" s="2841">
        <f t="shared" si="26"/>
        <v>1277</v>
      </c>
      <c r="G308" s="2841">
        <f t="shared" si="27"/>
        <v>1223</v>
      </c>
    </row>
    <row r="309" spans="1:7" ht="15.75">
      <c r="A309" s="3022">
        <f t="shared" si="28"/>
        <v>12275</v>
      </c>
      <c r="B309" s="2840">
        <v>12250</v>
      </c>
      <c r="C309" s="2840">
        <v>12300</v>
      </c>
      <c r="D309" s="2841">
        <f t="shared" si="24"/>
        <v>1283</v>
      </c>
      <c r="E309" s="2841">
        <f t="shared" si="25"/>
        <v>1228</v>
      </c>
      <c r="F309" s="2841">
        <f t="shared" si="26"/>
        <v>1283</v>
      </c>
      <c r="G309" s="2841">
        <f t="shared" si="27"/>
        <v>1228</v>
      </c>
    </row>
    <row r="310" spans="1:7" ht="15.75">
      <c r="A310" s="3022">
        <f t="shared" si="28"/>
        <v>12325</v>
      </c>
      <c r="B310" s="2840">
        <v>12300</v>
      </c>
      <c r="C310" s="2840">
        <v>12350</v>
      </c>
      <c r="D310" s="2841">
        <f t="shared" si="24"/>
        <v>1289</v>
      </c>
      <c r="E310" s="2841">
        <f t="shared" si="25"/>
        <v>1233</v>
      </c>
      <c r="F310" s="2841">
        <f t="shared" si="26"/>
        <v>1289</v>
      </c>
      <c r="G310" s="2841">
        <f t="shared" si="27"/>
        <v>1233</v>
      </c>
    </row>
    <row r="311" spans="1:7" ht="15.75">
      <c r="A311" s="3022">
        <f t="shared" si="28"/>
        <v>12375</v>
      </c>
      <c r="B311" s="2840">
        <v>12350</v>
      </c>
      <c r="C311" s="2840">
        <v>12400</v>
      </c>
      <c r="D311" s="2841">
        <f t="shared" si="24"/>
        <v>1295</v>
      </c>
      <c r="E311" s="2841">
        <f t="shared" si="25"/>
        <v>1238</v>
      </c>
      <c r="F311" s="2841">
        <f t="shared" si="26"/>
        <v>1295</v>
      </c>
      <c r="G311" s="2841">
        <f t="shared" si="27"/>
        <v>1238</v>
      </c>
    </row>
    <row r="312" spans="1:7" ht="15.75">
      <c r="A312" s="3022">
        <f t="shared" si="28"/>
        <v>12425</v>
      </c>
      <c r="B312" s="2840">
        <v>12400</v>
      </c>
      <c r="C312" s="2840">
        <v>12450</v>
      </c>
      <c r="D312" s="2841">
        <f t="shared" si="24"/>
        <v>1301</v>
      </c>
      <c r="E312" s="2841">
        <f t="shared" si="25"/>
        <v>1243</v>
      </c>
      <c r="F312" s="2841">
        <f t="shared" si="26"/>
        <v>1301</v>
      </c>
      <c r="G312" s="2841">
        <f t="shared" si="27"/>
        <v>1243</v>
      </c>
    </row>
    <row r="313" spans="1:7" ht="15.75">
      <c r="A313" s="3022">
        <f t="shared" si="28"/>
        <v>12475</v>
      </c>
      <c r="B313" s="2840">
        <v>12450</v>
      </c>
      <c r="C313" s="2840">
        <v>12500</v>
      </c>
      <c r="D313" s="2841">
        <f t="shared" si="24"/>
        <v>1307</v>
      </c>
      <c r="E313" s="2841">
        <f t="shared" si="25"/>
        <v>1248</v>
      </c>
      <c r="F313" s="2841">
        <f t="shared" si="26"/>
        <v>1307</v>
      </c>
      <c r="G313" s="2841">
        <f t="shared" si="27"/>
        <v>1248</v>
      </c>
    </row>
    <row r="314" spans="1:7" ht="15.75">
      <c r="A314" s="3022">
        <f t="shared" si="28"/>
        <v>12525</v>
      </c>
      <c r="B314" s="2840">
        <v>12500</v>
      </c>
      <c r="C314" s="2840">
        <v>12550</v>
      </c>
      <c r="D314" s="2841">
        <f t="shared" si="24"/>
        <v>1313</v>
      </c>
      <c r="E314" s="2841">
        <f t="shared" si="25"/>
        <v>1253</v>
      </c>
      <c r="F314" s="2841">
        <f t="shared" si="26"/>
        <v>1313</v>
      </c>
      <c r="G314" s="2841">
        <f t="shared" si="27"/>
        <v>1253</v>
      </c>
    </row>
    <row r="315" spans="1:7" ht="15.75">
      <c r="A315" s="3022">
        <f t="shared" si="28"/>
        <v>12575</v>
      </c>
      <c r="B315" s="2840">
        <v>12550</v>
      </c>
      <c r="C315" s="2840">
        <v>12600</v>
      </c>
      <c r="D315" s="2841">
        <f t="shared" si="24"/>
        <v>1319</v>
      </c>
      <c r="E315" s="2841">
        <f t="shared" si="25"/>
        <v>1258</v>
      </c>
      <c r="F315" s="2841">
        <f t="shared" si="26"/>
        <v>1319</v>
      </c>
      <c r="G315" s="2841">
        <f t="shared" si="27"/>
        <v>1258</v>
      </c>
    </row>
    <row r="316" spans="1:7" ht="15.75">
      <c r="A316" s="3022">
        <f t="shared" si="28"/>
        <v>12625</v>
      </c>
      <c r="B316" s="2840">
        <v>12600</v>
      </c>
      <c r="C316" s="2840">
        <v>12650</v>
      </c>
      <c r="D316" s="2841">
        <f t="shared" si="24"/>
        <v>1325</v>
      </c>
      <c r="E316" s="2841">
        <f t="shared" si="25"/>
        <v>1263</v>
      </c>
      <c r="F316" s="2841">
        <f t="shared" si="26"/>
        <v>1325</v>
      </c>
      <c r="G316" s="2841">
        <f t="shared" si="27"/>
        <v>1263</v>
      </c>
    </row>
    <row r="317" spans="1:7" ht="15.75">
      <c r="A317" s="3022">
        <f t="shared" si="28"/>
        <v>12675</v>
      </c>
      <c r="B317" s="2840">
        <v>12650</v>
      </c>
      <c r="C317" s="2840">
        <v>12700</v>
      </c>
      <c r="D317" s="2841">
        <f t="shared" si="24"/>
        <v>1331</v>
      </c>
      <c r="E317" s="2841">
        <f t="shared" si="25"/>
        <v>1268</v>
      </c>
      <c r="F317" s="2841">
        <f t="shared" si="26"/>
        <v>1331</v>
      </c>
      <c r="G317" s="2841">
        <f t="shared" si="27"/>
        <v>1268</v>
      </c>
    </row>
    <row r="318" spans="1:7" ht="15.75">
      <c r="A318" s="3022">
        <f t="shared" si="28"/>
        <v>12725</v>
      </c>
      <c r="B318" s="2840">
        <v>12700</v>
      </c>
      <c r="C318" s="2840">
        <v>12750</v>
      </c>
      <c r="D318" s="2841">
        <f t="shared" si="24"/>
        <v>1337</v>
      </c>
      <c r="E318" s="2841">
        <f t="shared" si="25"/>
        <v>1273</v>
      </c>
      <c r="F318" s="2841">
        <f t="shared" si="26"/>
        <v>1337</v>
      </c>
      <c r="G318" s="2841">
        <f t="shared" si="27"/>
        <v>1273</v>
      </c>
    </row>
    <row r="319" spans="1:7" ht="15.75">
      <c r="A319" s="3022">
        <f t="shared" si="28"/>
        <v>12775</v>
      </c>
      <c r="B319" s="2840">
        <v>12750</v>
      </c>
      <c r="C319" s="2840">
        <v>12800</v>
      </c>
      <c r="D319" s="2841">
        <f t="shared" si="24"/>
        <v>1343</v>
      </c>
      <c r="E319" s="2841">
        <f t="shared" si="25"/>
        <v>1278</v>
      </c>
      <c r="F319" s="2841">
        <f t="shared" si="26"/>
        <v>1343</v>
      </c>
      <c r="G319" s="2841">
        <f t="shared" si="27"/>
        <v>1278</v>
      </c>
    </row>
    <row r="320" spans="1:7" ht="15.75">
      <c r="A320" s="3022">
        <f t="shared" si="28"/>
        <v>12825</v>
      </c>
      <c r="B320" s="2840">
        <v>12800</v>
      </c>
      <c r="C320" s="2840">
        <v>12850</v>
      </c>
      <c r="D320" s="2841">
        <f t="shared" si="24"/>
        <v>1349</v>
      </c>
      <c r="E320" s="2841">
        <f t="shared" si="25"/>
        <v>1283</v>
      </c>
      <c r="F320" s="2841">
        <f t="shared" si="26"/>
        <v>1349</v>
      </c>
      <c r="G320" s="2841">
        <f t="shared" si="27"/>
        <v>1283</v>
      </c>
    </row>
    <row r="321" spans="1:7" ht="15.75">
      <c r="A321" s="3022">
        <f t="shared" si="28"/>
        <v>12875</v>
      </c>
      <c r="B321" s="2840">
        <v>12850</v>
      </c>
      <c r="C321" s="2840">
        <v>12900</v>
      </c>
      <c r="D321" s="2841">
        <f t="shared" si="24"/>
        <v>1355</v>
      </c>
      <c r="E321" s="2841">
        <f t="shared" si="25"/>
        <v>1288</v>
      </c>
      <c r="F321" s="2841">
        <f t="shared" si="26"/>
        <v>1355</v>
      </c>
      <c r="G321" s="2841">
        <f t="shared" si="27"/>
        <v>1288</v>
      </c>
    </row>
    <row r="322" spans="1:7" ht="15.75">
      <c r="A322" s="3022">
        <f t="shared" si="28"/>
        <v>12925</v>
      </c>
      <c r="B322" s="2840">
        <v>12900</v>
      </c>
      <c r="C322" s="2840">
        <v>12950</v>
      </c>
      <c r="D322" s="2841">
        <f t="shared" ref="D322:D385" si="29">IF($A322&gt;BOTT_A4,ROUND(BASE_A4+RATE_A4*($A322-BOTT_A4),0),IF($A322&gt;BOTT_A3,ROUND(BASE_A3+RATE_A3*($A322-BOTT_A3),0),IF($A322&gt;BOTT_A2,ROUND(BASE_A2+RATE_A2*($A322-BOTT_A2),0),ROUND(RATE_A1*$A322,0))))</f>
        <v>1361</v>
      </c>
      <c r="E322" s="2841">
        <f t="shared" ref="E322:E385" si="30">IF($A322&gt;BOTT_B4,ROUND(BASE_B4+RATE_B4*($A322-BOTT_B4),0),IF($A322&gt;BOTT_B3,ROUND(BASE_B3+RATE_B3*($A322-BOTT_B3),0),IF($A322&gt;BOTT_B2,ROUND(BASE_B2+RATE_B2*($A322-BOTT_B2),0),ROUND(RATE_B1*$A322,0))))</f>
        <v>1293</v>
      </c>
      <c r="F322" s="2841">
        <f t="shared" ref="F322:F385" si="31">IF($A322&gt;BOTT_C4,ROUND(BASE_C4+RATE_C4*($A322-BOTT_C4),0),IF($A322&gt;BOTT_C3,ROUND(BASE_C3+RATE_C3*($A322-BOTT_C3),0),IF($A322&gt;BOTT_C2,ROUND(BASE_C2+RATE_C2*($A322-BOTT_C2),0),ROUND(RATE_C1*$A322,0))))</f>
        <v>1361</v>
      </c>
      <c r="G322" s="2841">
        <f t="shared" ref="G322:G385" si="32">IF($A322&gt;BOTT_D4,ROUND(BASE_D4+RATE_D4*($A322-BOTT_D4),0),IF($A322&gt;BOTT_D3,ROUND(BASE_D3+RATE_D3*($A322-BOTT_D3),0),IF($A322&gt;BOTT_D2,ROUND(BASE_D2+RATE_D2*($A322-BOTT_D2),0),ROUND(RATE_D1*$A322,0))))</f>
        <v>1293</v>
      </c>
    </row>
    <row r="323" spans="1:7" ht="15.75">
      <c r="A323" s="3022">
        <f t="shared" ref="A323:A386" si="33">AVERAGE(B323,C323)</f>
        <v>12975</v>
      </c>
      <c r="B323" s="2840">
        <v>12950</v>
      </c>
      <c r="C323" s="2840">
        <v>13000</v>
      </c>
      <c r="D323" s="2841">
        <f t="shared" si="29"/>
        <v>1367</v>
      </c>
      <c r="E323" s="2841">
        <f t="shared" si="30"/>
        <v>1298</v>
      </c>
      <c r="F323" s="2841">
        <f t="shared" si="31"/>
        <v>1367</v>
      </c>
      <c r="G323" s="2841">
        <f t="shared" si="32"/>
        <v>1298</v>
      </c>
    </row>
    <row r="324" spans="1:7" ht="15.75">
      <c r="A324" s="3022">
        <f t="shared" si="33"/>
        <v>13025</v>
      </c>
      <c r="B324" s="2840">
        <v>13000</v>
      </c>
      <c r="C324" s="2840">
        <v>13050</v>
      </c>
      <c r="D324" s="2841">
        <f t="shared" si="29"/>
        <v>1373</v>
      </c>
      <c r="E324" s="2841">
        <f t="shared" si="30"/>
        <v>1303</v>
      </c>
      <c r="F324" s="2841">
        <f t="shared" si="31"/>
        <v>1373</v>
      </c>
      <c r="G324" s="2841">
        <f t="shared" si="32"/>
        <v>1303</v>
      </c>
    </row>
    <row r="325" spans="1:7" ht="15.75">
      <c r="A325" s="3022">
        <f t="shared" si="33"/>
        <v>13075</v>
      </c>
      <c r="B325" s="2840">
        <v>13050</v>
      </c>
      <c r="C325" s="2840">
        <v>13100</v>
      </c>
      <c r="D325" s="2841">
        <f t="shared" si="29"/>
        <v>1379</v>
      </c>
      <c r="E325" s="2841">
        <f t="shared" si="30"/>
        <v>1308</v>
      </c>
      <c r="F325" s="2841">
        <f t="shared" si="31"/>
        <v>1379</v>
      </c>
      <c r="G325" s="2841">
        <f t="shared" si="32"/>
        <v>1308</v>
      </c>
    </row>
    <row r="326" spans="1:7" ht="15.75">
      <c r="A326" s="3022">
        <f t="shared" si="33"/>
        <v>13125</v>
      </c>
      <c r="B326" s="2840">
        <v>13100</v>
      </c>
      <c r="C326" s="2840">
        <v>13150</v>
      </c>
      <c r="D326" s="2841">
        <f t="shared" si="29"/>
        <v>1385</v>
      </c>
      <c r="E326" s="2841">
        <f t="shared" si="30"/>
        <v>1313</v>
      </c>
      <c r="F326" s="2841">
        <f t="shared" si="31"/>
        <v>1385</v>
      </c>
      <c r="G326" s="2841">
        <f t="shared" si="32"/>
        <v>1313</v>
      </c>
    </row>
    <row r="327" spans="1:7" ht="15.75">
      <c r="A327" s="3022">
        <f t="shared" si="33"/>
        <v>13175</v>
      </c>
      <c r="B327" s="2840">
        <v>13150</v>
      </c>
      <c r="C327" s="2840">
        <v>13200</v>
      </c>
      <c r="D327" s="2841">
        <f t="shared" si="29"/>
        <v>1391</v>
      </c>
      <c r="E327" s="2841">
        <f t="shared" si="30"/>
        <v>1318</v>
      </c>
      <c r="F327" s="2841">
        <f t="shared" si="31"/>
        <v>1391</v>
      </c>
      <c r="G327" s="2841">
        <f t="shared" si="32"/>
        <v>1318</v>
      </c>
    </row>
    <row r="328" spans="1:7" ht="15.75">
      <c r="A328" s="3022">
        <f t="shared" si="33"/>
        <v>13225</v>
      </c>
      <c r="B328" s="2840">
        <v>13200</v>
      </c>
      <c r="C328" s="2840">
        <v>13250</v>
      </c>
      <c r="D328" s="2841">
        <f t="shared" si="29"/>
        <v>1397</v>
      </c>
      <c r="E328" s="2841">
        <f t="shared" si="30"/>
        <v>1323</v>
      </c>
      <c r="F328" s="2841">
        <f t="shared" si="31"/>
        <v>1397</v>
      </c>
      <c r="G328" s="2841">
        <f t="shared" si="32"/>
        <v>1323</v>
      </c>
    </row>
    <row r="329" spans="1:7" ht="15.75">
      <c r="A329" s="3022">
        <f t="shared" si="33"/>
        <v>13275</v>
      </c>
      <c r="B329" s="2840">
        <v>13250</v>
      </c>
      <c r="C329" s="2840">
        <v>13300</v>
      </c>
      <c r="D329" s="2841">
        <f t="shared" si="29"/>
        <v>1403</v>
      </c>
      <c r="E329" s="2841">
        <f t="shared" si="30"/>
        <v>1328</v>
      </c>
      <c r="F329" s="2841">
        <f t="shared" si="31"/>
        <v>1403</v>
      </c>
      <c r="G329" s="2841">
        <f t="shared" si="32"/>
        <v>1328</v>
      </c>
    </row>
    <row r="330" spans="1:7" ht="15.75">
      <c r="A330" s="3022">
        <f t="shared" si="33"/>
        <v>13325</v>
      </c>
      <c r="B330" s="2840">
        <v>13300</v>
      </c>
      <c r="C330" s="2840">
        <v>13350</v>
      </c>
      <c r="D330" s="2841">
        <f t="shared" si="29"/>
        <v>1409</v>
      </c>
      <c r="E330" s="2841">
        <f t="shared" si="30"/>
        <v>1333</v>
      </c>
      <c r="F330" s="2841">
        <f t="shared" si="31"/>
        <v>1409</v>
      </c>
      <c r="G330" s="2841">
        <f t="shared" si="32"/>
        <v>1333</v>
      </c>
    </row>
    <row r="331" spans="1:7" ht="15.75">
      <c r="A331" s="3022">
        <f t="shared" si="33"/>
        <v>13375</v>
      </c>
      <c r="B331" s="2840">
        <v>13350</v>
      </c>
      <c r="C331" s="2840">
        <v>13400</v>
      </c>
      <c r="D331" s="2841">
        <f t="shared" si="29"/>
        <v>1415</v>
      </c>
      <c r="E331" s="2841">
        <f t="shared" si="30"/>
        <v>1338</v>
      </c>
      <c r="F331" s="2841">
        <f t="shared" si="31"/>
        <v>1415</v>
      </c>
      <c r="G331" s="2841">
        <f t="shared" si="32"/>
        <v>1338</v>
      </c>
    </row>
    <row r="332" spans="1:7" ht="15.75">
      <c r="A332" s="3022">
        <f t="shared" si="33"/>
        <v>13425</v>
      </c>
      <c r="B332" s="2840">
        <v>13400</v>
      </c>
      <c r="C332" s="2840">
        <v>13450</v>
      </c>
      <c r="D332" s="2841">
        <f t="shared" si="29"/>
        <v>1421</v>
      </c>
      <c r="E332" s="2841">
        <f t="shared" si="30"/>
        <v>1343</v>
      </c>
      <c r="F332" s="2841">
        <f t="shared" si="31"/>
        <v>1421</v>
      </c>
      <c r="G332" s="2841">
        <f t="shared" si="32"/>
        <v>1343</v>
      </c>
    </row>
    <row r="333" spans="1:7" ht="15.75">
      <c r="A333" s="3022">
        <f t="shared" si="33"/>
        <v>13475</v>
      </c>
      <c r="B333" s="2840">
        <v>13450</v>
      </c>
      <c r="C333" s="2840">
        <v>13500</v>
      </c>
      <c r="D333" s="2841">
        <f t="shared" si="29"/>
        <v>1427</v>
      </c>
      <c r="E333" s="2841">
        <f t="shared" si="30"/>
        <v>1348</v>
      </c>
      <c r="F333" s="2841">
        <f t="shared" si="31"/>
        <v>1427</v>
      </c>
      <c r="G333" s="2841">
        <f t="shared" si="32"/>
        <v>1348</v>
      </c>
    </row>
    <row r="334" spans="1:7" ht="15.75">
      <c r="A334" s="3022">
        <f t="shared" si="33"/>
        <v>13525</v>
      </c>
      <c r="B334" s="2840">
        <v>13500</v>
      </c>
      <c r="C334" s="2840">
        <v>13550</v>
      </c>
      <c r="D334" s="2841">
        <f t="shared" si="29"/>
        <v>1433</v>
      </c>
      <c r="E334" s="2841">
        <f t="shared" si="30"/>
        <v>1353</v>
      </c>
      <c r="F334" s="2841">
        <f t="shared" si="31"/>
        <v>1433</v>
      </c>
      <c r="G334" s="2841">
        <f t="shared" si="32"/>
        <v>1353</v>
      </c>
    </row>
    <row r="335" spans="1:7" ht="15.75">
      <c r="A335" s="3022">
        <f t="shared" si="33"/>
        <v>13575</v>
      </c>
      <c r="B335" s="2840">
        <v>13550</v>
      </c>
      <c r="C335" s="2840">
        <v>13600</v>
      </c>
      <c r="D335" s="2841">
        <f t="shared" si="29"/>
        <v>1439</v>
      </c>
      <c r="E335" s="2841">
        <f t="shared" si="30"/>
        <v>1358</v>
      </c>
      <c r="F335" s="2841">
        <f t="shared" si="31"/>
        <v>1439</v>
      </c>
      <c r="G335" s="2841">
        <f t="shared" si="32"/>
        <v>1358</v>
      </c>
    </row>
    <row r="336" spans="1:7" ht="15.75">
      <c r="A336" s="3022">
        <f t="shared" si="33"/>
        <v>13625</v>
      </c>
      <c r="B336" s="2840">
        <v>13600</v>
      </c>
      <c r="C336" s="2840">
        <v>13650</v>
      </c>
      <c r="D336" s="2841">
        <f t="shared" si="29"/>
        <v>1445</v>
      </c>
      <c r="E336" s="2841">
        <f t="shared" si="30"/>
        <v>1363</v>
      </c>
      <c r="F336" s="2841">
        <f t="shared" si="31"/>
        <v>1445</v>
      </c>
      <c r="G336" s="2841">
        <f t="shared" si="32"/>
        <v>1363</v>
      </c>
    </row>
    <row r="337" spans="1:7" ht="15.75">
      <c r="A337" s="3022">
        <f t="shared" si="33"/>
        <v>13675</v>
      </c>
      <c r="B337" s="2840">
        <v>13650</v>
      </c>
      <c r="C337" s="2840">
        <v>13700</v>
      </c>
      <c r="D337" s="2841">
        <f t="shared" si="29"/>
        <v>1451</v>
      </c>
      <c r="E337" s="2841">
        <f t="shared" si="30"/>
        <v>1368</v>
      </c>
      <c r="F337" s="2841">
        <f t="shared" si="31"/>
        <v>1451</v>
      </c>
      <c r="G337" s="2841">
        <f t="shared" si="32"/>
        <v>1369</v>
      </c>
    </row>
    <row r="338" spans="1:7" ht="15.75">
      <c r="A338" s="3022">
        <f t="shared" si="33"/>
        <v>13725</v>
      </c>
      <c r="B338" s="2840">
        <v>13700</v>
      </c>
      <c r="C338" s="2840">
        <v>13750</v>
      </c>
      <c r="D338" s="2841">
        <f t="shared" si="29"/>
        <v>1457</v>
      </c>
      <c r="E338" s="2841">
        <f t="shared" si="30"/>
        <v>1373</v>
      </c>
      <c r="F338" s="2841">
        <f t="shared" si="31"/>
        <v>1457</v>
      </c>
      <c r="G338" s="2841">
        <f t="shared" si="32"/>
        <v>1375</v>
      </c>
    </row>
    <row r="339" spans="1:7" ht="15.75">
      <c r="A339" s="3022">
        <f t="shared" si="33"/>
        <v>13775</v>
      </c>
      <c r="B339" s="2840">
        <v>13750</v>
      </c>
      <c r="C339" s="2840">
        <v>13800</v>
      </c>
      <c r="D339" s="2841">
        <f t="shared" si="29"/>
        <v>1463</v>
      </c>
      <c r="E339" s="2841">
        <f t="shared" si="30"/>
        <v>1378</v>
      </c>
      <c r="F339" s="2841">
        <f t="shared" si="31"/>
        <v>1463</v>
      </c>
      <c r="G339" s="2841">
        <f t="shared" si="32"/>
        <v>1381</v>
      </c>
    </row>
    <row r="340" spans="1:7" ht="15.75">
      <c r="A340" s="3022">
        <f t="shared" si="33"/>
        <v>13825</v>
      </c>
      <c r="B340" s="2840">
        <v>13800</v>
      </c>
      <c r="C340" s="2840">
        <v>13850</v>
      </c>
      <c r="D340" s="2841">
        <f t="shared" si="29"/>
        <v>1469</v>
      </c>
      <c r="E340" s="2841">
        <f t="shared" si="30"/>
        <v>1383</v>
      </c>
      <c r="F340" s="2841">
        <f t="shared" si="31"/>
        <v>1469</v>
      </c>
      <c r="G340" s="2841">
        <f t="shared" si="32"/>
        <v>1387</v>
      </c>
    </row>
    <row r="341" spans="1:7" ht="15.75">
      <c r="A341" s="3022">
        <f t="shared" si="33"/>
        <v>13875</v>
      </c>
      <c r="B341" s="2840">
        <v>13850</v>
      </c>
      <c r="C341" s="2840">
        <v>13900</v>
      </c>
      <c r="D341" s="2841">
        <f t="shared" si="29"/>
        <v>1475</v>
      </c>
      <c r="E341" s="2841">
        <f t="shared" si="30"/>
        <v>1388</v>
      </c>
      <c r="F341" s="2841">
        <f t="shared" si="31"/>
        <v>1475</v>
      </c>
      <c r="G341" s="2841">
        <f t="shared" si="32"/>
        <v>1393</v>
      </c>
    </row>
    <row r="342" spans="1:7" ht="15.75">
      <c r="A342" s="3022">
        <f t="shared" si="33"/>
        <v>13925</v>
      </c>
      <c r="B342" s="2840">
        <v>13900</v>
      </c>
      <c r="C342" s="2840">
        <v>13950</v>
      </c>
      <c r="D342" s="2841">
        <f t="shared" si="29"/>
        <v>1481</v>
      </c>
      <c r="E342" s="2841">
        <f t="shared" si="30"/>
        <v>1393</v>
      </c>
      <c r="F342" s="2841">
        <f t="shared" si="31"/>
        <v>1481</v>
      </c>
      <c r="G342" s="2841">
        <f t="shared" si="32"/>
        <v>1399</v>
      </c>
    </row>
    <row r="343" spans="1:7" ht="15.75">
      <c r="A343" s="3022">
        <f t="shared" si="33"/>
        <v>13975</v>
      </c>
      <c r="B343" s="2840">
        <v>13950</v>
      </c>
      <c r="C343" s="2840">
        <v>14000</v>
      </c>
      <c r="D343" s="2841">
        <f t="shared" si="29"/>
        <v>1487</v>
      </c>
      <c r="E343" s="2841">
        <f t="shared" si="30"/>
        <v>1398</v>
      </c>
      <c r="F343" s="2841">
        <f t="shared" si="31"/>
        <v>1487</v>
      </c>
      <c r="G343" s="2841">
        <f t="shared" si="32"/>
        <v>1405</v>
      </c>
    </row>
    <row r="344" spans="1:7" ht="15.75">
      <c r="A344" s="3022">
        <f t="shared" si="33"/>
        <v>14025</v>
      </c>
      <c r="B344" s="2840">
        <v>14000</v>
      </c>
      <c r="C344" s="2840">
        <v>14050</v>
      </c>
      <c r="D344" s="2841">
        <f t="shared" si="29"/>
        <v>1493</v>
      </c>
      <c r="E344" s="2841">
        <f t="shared" si="30"/>
        <v>1403</v>
      </c>
      <c r="F344" s="2841">
        <f t="shared" si="31"/>
        <v>1493</v>
      </c>
      <c r="G344" s="2841">
        <f t="shared" si="32"/>
        <v>1411</v>
      </c>
    </row>
    <row r="345" spans="1:7" ht="15.75">
      <c r="A345" s="3022">
        <f t="shared" si="33"/>
        <v>14075</v>
      </c>
      <c r="B345" s="2840">
        <v>14050</v>
      </c>
      <c r="C345" s="2840">
        <v>14100</v>
      </c>
      <c r="D345" s="2841">
        <f t="shared" si="29"/>
        <v>1499</v>
      </c>
      <c r="E345" s="2841">
        <f t="shared" si="30"/>
        <v>1408</v>
      </c>
      <c r="F345" s="2841">
        <f t="shared" si="31"/>
        <v>1499</v>
      </c>
      <c r="G345" s="2841">
        <f t="shared" si="32"/>
        <v>1417</v>
      </c>
    </row>
    <row r="346" spans="1:7" ht="15.75">
      <c r="A346" s="3022">
        <f t="shared" si="33"/>
        <v>14125</v>
      </c>
      <c r="B346" s="2840">
        <v>14100</v>
      </c>
      <c r="C346" s="2840">
        <v>14150</v>
      </c>
      <c r="D346" s="2841">
        <f t="shared" si="29"/>
        <v>1505</v>
      </c>
      <c r="E346" s="2841">
        <f t="shared" si="30"/>
        <v>1413</v>
      </c>
      <c r="F346" s="2841">
        <f t="shared" si="31"/>
        <v>1505</v>
      </c>
      <c r="G346" s="2841">
        <f t="shared" si="32"/>
        <v>1423</v>
      </c>
    </row>
    <row r="347" spans="1:7" ht="15.75">
      <c r="A347" s="3022">
        <f t="shared" si="33"/>
        <v>14175</v>
      </c>
      <c r="B347" s="2840">
        <v>14150</v>
      </c>
      <c r="C347" s="2840">
        <v>14200</v>
      </c>
      <c r="D347" s="2841">
        <f t="shared" si="29"/>
        <v>1511</v>
      </c>
      <c r="E347" s="2841">
        <f t="shared" si="30"/>
        <v>1418</v>
      </c>
      <c r="F347" s="2841">
        <f t="shared" si="31"/>
        <v>1511</v>
      </c>
      <c r="G347" s="2841">
        <f t="shared" si="32"/>
        <v>1429</v>
      </c>
    </row>
    <row r="348" spans="1:7" ht="15.75">
      <c r="A348" s="3022">
        <f t="shared" si="33"/>
        <v>14225</v>
      </c>
      <c r="B348" s="2840">
        <v>14200</v>
      </c>
      <c r="C348" s="2840">
        <v>14250</v>
      </c>
      <c r="D348" s="2841">
        <f t="shared" si="29"/>
        <v>1517</v>
      </c>
      <c r="E348" s="2841">
        <f t="shared" si="30"/>
        <v>1423</v>
      </c>
      <c r="F348" s="2841">
        <f t="shared" si="31"/>
        <v>1517</v>
      </c>
      <c r="G348" s="2841">
        <f t="shared" si="32"/>
        <v>1435</v>
      </c>
    </row>
    <row r="349" spans="1:7" ht="15.75">
      <c r="A349" s="3022">
        <f t="shared" si="33"/>
        <v>14275</v>
      </c>
      <c r="B349" s="2840">
        <v>14250</v>
      </c>
      <c r="C349" s="2840">
        <v>14300</v>
      </c>
      <c r="D349" s="2841">
        <f t="shared" si="29"/>
        <v>1523</v>
      </c>
      <c r="E349" s="2841">
        <f t="shared" si="30"/>
        <v>1428</v>
      </c>
      <c r="F349" s="2841">
        <f t="shared" si="31"/>
        <v>1523</v>
      </c>
      <c r="G349" s="2841">
        <f t="shared" si="32"/>
        <v>1441</v>
      </c>
    </row>
    <row r="350" spans="1:7" ht="15.75">
      <c r="A350" s="3022">
        <f t="shared" si="33"/>
        <v>14325</v>
      </c>
      <c r="B350" s="2840">
        <v>14300</v>
      </c>
      <c r="C350" s="2840">
        <v>14350</v>
      </c>
      <c r="D350" s="2841">
        <f t="shared" si="29"/>
        <v>1529</v>
      </c>
      <c r="E350" s="2841">
        <f t="shared" si="30"/>
        <v>1433</v>
      </c>
      <c r="F350" s="2841">
        <f t="shared" si="31"/>
        <v>1529</v>
      </c>
      <c r="G350" s="2841">
        <f t="shared" si="32"/>
        <v>1447</v>
      </c>
    </row>
    <row r="351" spans="1:7" ht="15.75">
      <c r="A351" s="3022">
        <f t="shared" si="33"/>
        <v>14375</v>
      </c>
      <c r="B351" s="2840">
        <v>14350</v>
      </c>
      <c r="C351" s="2840">
        <v>14400</v>
      </c>
      <c r="D351" s="2841">
        <f t="shared" si="29"/>
        <v>1535</v>
      </c>
      <c r="E351" s="2841">
        <f t="shared" si="30"/>
        <v>1438</v>
      </c>
      <c r="F351" s="2841">
        <f t="shared" si="31"/>
        <v>1535</v>
      </c>
      <c r="G351" s="2841">
        <f t="shared" si="32"/>
        <v>1453</v>
      </c>
    </row>
    <row r="352" spans="1:7" ht="15.75">
      <c r="A352" s="3022">
        <f t="shared" si="33"/>
        <v>14425</v>
      </c>
      <c r="B352" s="2840">
        <v>14400</v>
      </c>
      <c r="C352" s="2840">
        <v>14450</v>
      </c>
      <c r="D352" s="2841">
        <f t="shared" si="29"/>
        <v>1541</v>
      </c>
      <c r="E352" s="2841">
        <f t="shared" si="30"/>
        <v>1443</v>
      </c>
      <c r="F352" s="2841">
        <f t="shared" si="31"/>
        <v>1541</v>
      </c>
      <c r="G352" s="2841">
        <f t="shared" si="32"/>
        <v>1459</v>
      </c>
    </row>
    <row r="353" spans="1:7" ht="15.75">
      <c r="A353" s="3022">
        <f t="shared" si="33"/>
        <v>14475</v>
      </c>
      <c r="B353" s="2840">
        <v>14450</v>
      </c>
      <c r="C353" s="2840">
        <v>14500</v>
      </c>
      <c r="D353" s="2841">
        <f t="shared" si="29"/>
        <v>1547</v>
      </c>
      <c r="E353" s="2841">
        <f t="shared" si="30"/>
        <v>1448</v>
      </c>
      <c r="F353" s="2841">
        <f t="shared" si="31"/>
        <v>1547</v>
      </c>
      <c r="G353" s="2841">
        <f t="shared" si="32"/>
        <v>1465</v>
      </c>
    </row>
    <row r="354" spans="1:7" ht="15.75">
      <c r="A354" s="3022">
        <f t="shared" si="33"/>
        <v>14525</v>
      </c>
      <c r="B354" s="2840">
        <v>14500</v>
      </c>
      <c r="C354" s="2840">
        <v>14550</v>
      </c>
      <c r="D354" s="2841">
        <f t="shared" si="29"/>
        <v>1553</v>
      </c>
      <c r="E354" s="2841">
        <f t="shared" si="30"/>
        <v>1453</v>
      </c>
      <c r="F354" s="2841">
        <f t="shared" si="31"/>
        <v>1553</v>
      </c>
      <c r="G354" s="2841">
        <f t="shared" si="32"/>
        <v>1471</v>
      </c>
    </row>
    <row r="355" spans="1:7" ht="15.75">
      <c r="A355" s="3022">
        <f t="shared" si="33"/>
        <v>14575</v>
      </c>
      <c r="B355" s="2840">
        <v>14550</v>
      </c>
      <c r="C355" s="2840">
        <v>14600</v>
      </c>
      <c r="D355" s="2841">
        <f t="shared" si="29"/>
        <v>1559</v>
      </c>
      <c r="E355" s="2841">
        <f t="shared" si="30"/>
        <v>1458</v>
      </c>
      <c r="F355" s="2841">
        <f t="shared" si="31"/>
        <v>1559</v>
      </c>
      <c r="G355" s="2841">
        <f t="shared" si="32"/>
        <v>1477</v>
      </c>
    </row>
    <row r="356" spans="1:7" ht="15.75">
      <c r="A356" s="3022">
        <f t="shared" si="33"/>
        <v>14625</v>
      </c>
      <c r="B356" s="2840">
        <v>14600</v>
      </c>
      <c r="C356" s="2840">
        <v>14650</v>
      </c>
      <c r="D356" s="2841">
        <f t="shared" si="29"/>
        <v>1565</v>
      </c>
      <c r="E356" s="2841">
        <f t="shared" si="30"/>
        <v>1463</v>
      </c>
      <c r="F356" s="2841">
        <f t="shared" si="31"/>
        <v>1565</v>
      </c>
      <c r="G356" s="2841">
        <f t="shared" si="32"/>
        <v>1483</v>
      </c>
    </row>
    <row r="357" spans="1:7" ht="15.75">
      <c r="A357" s="3022">
        <f t="shared" si="33"/>
        <v>14675</v>
      </c>
      <c r="B357" s="2840">
        <v>14650</v>
      </c>
      <c r="C357" s="2840">
        <v>14700</v>
      </c>
      <c r="D357" s="2841">
        <f t="shared" si="29"/>
        <v>1571</v>
      </c>
      <c r="E357" s="2841">
        <f t="shared" si="30"/>
        <v>1468</v>
      </c>
      <c r="F357" s="2841">
        <f t="shared" si="31"/>
        <v>1571</v>
      </c>
      <c r="G357" s="2841">
        <f t="shared" si="32"/>
        <v>1489</v>
      </c>
    </row>
    <row r="358" spans="1:7" ht="15.75">
      <c r="A358" s="3022">
        <f t="shared" si="33"/>
        <v>14725</v>
      </c>
      <c r="B358" s="2840">
        <v>14700</v>
      </c>
      <c r="C358" s="2840">
        <v>14750</v>
      </c>
      <c r="D358" s="2841">
        <f t="shared" si="29"/>
        <v>1577</v>
      </c>
      <c r="E358" s="2841">
        <f t="shared" si="30"/>
        <v>1473</v>
      </c>
      <c r="F358" s="2841">
        <f t="shared" si="31"/>
        <v>1577</v>
      </c>
      <c r="G358" s="2841">
        <f t="shared" si="32"/>
        <v>1495</v>
      </c>
    </row>
    <row r="359" spans="1:7" ht="15.75">
      <c r="A359" s="3022">
        <f t="shared" si="33"/>
        <v>14775</v>
      </c>
      <c r="B359" s="2840">
        <v>14750</v>
      </c>
      <c r="C359" s="2840">
        <v>14800</v>
      </c>
      <c r="D359" s="2841">
        <f t="shared" si="29"/>
        <v>1583</v>
      </c>
      <c r="E359" s="2841">
        <f t="shared" si="30"/>
        <v>1478</v>
      </c>
      <c r="F359" s="2841">
        <f t="shared" si="31"/>
        <v>1583</v>
      </c>
      <c r="G359" s="2841">
        <f t="shared" si="32"/>
        <v>1501</v>
      </c>
    </row>
    <row r="360" spans="1:7" ht="15.75">
      <c r="A360" s="3022">
        <f t="shared" si="33"/>
        <v>14825</v>
      </c>
      <c r="B360" s="2840">
        <v>14800</v>
      </c>
      <c r="C360" s="2840">
        <v>14850</v>
      </c>
      <c r="D360" s="2841">
        <f t="shared" si="29"/>
        <v>1589</v>
      </c>
      <c r="E360" s="2841">
        <f t="shared" si="30"/>
        <v>1483</v>
      </c>
      <c r="F360" s="2841">
        <f t="shared" si="31"/>
        <v>1589</v>
      </c>
      <c r="G360" s="2841">
        <f t="shared" si="32"/>
        <v>1507</v>
      </c>
    </row>
    <row r="361" spans="1:7" ht="15.75">
      <c r="A361" s="3022">
        <f t="shared" si="33"/>
        <v>14875</v>
      </c>
      <c r="B361" s="2840">
        <v>14850</v>
      </c>
      <c r="C361" s="2840">
        <v>14900</v>
      </c>
      <c r="D361" s="2841">
        <f t="shared" si="29"/>
        <v>1595</v>
      </c>
      <c r="E361" s="2841">
        <f t="shared" si="30"/>
        <v>1488</v>
      </c>
      <c r="F361" s="2841">
        <f t="shared" si="31"/>
        <v>1595</v>
      </c>
      <c r="G361" s="2841">
        <f t="shared" si="32"/>
        <v>1513</v>
      </c>
    </row>
    <row r="362" spans="1:7" ht="15.75">
      <c r="A362" s="3022">
        <f t="shared" si="33"/>
        <v>14925</v>
      </c>
      <c r="B362" s="2840">
        <v>14900</v>
      </c>
      <c r="C362" s="2840">
        <v>14950</v>
      </c>
      <c r="D362" s="2841">
        <f t="shared" si="29"/>
        <v>1601</v>
      </c>
      <c r="E362" s="2841">
        <f t="shared" si="30"/>
        <v>1493</v>
      </c>
      <c r="F362" s="2841">
        <f t="shared" si="31"/>
        <v>1601</v>
      </c>
      <c r="G362" s="2841">
        <f t="shared" si="32"/>
        <v>1519</v>
      </c>
    </row>
    <row r="363" spans="1:7" ht="15.75">
      <c r="A363" s="3022">
        <f t="shared" si="33"/>
        <v>14975</v>
      </c>
      <c r="B363" s="2840">
        <v>14950</v>
      </c>
      <c r="C363" s="2840">
        <v>15000</v>
      </c>
      <c r="D363" s="2841">
        <f t="shared" si="29"/>
        <v>1607</v>
      </c>
      <c r="E363" s="2841">
        <f t="shared" si="30"/>
        <v>1498</v>
      </c>
      <c r="F363" s="2841">
        <f t="shared" si="31"/>
        <v>1607</v>
      </c>
      <c r="G363" s="2841">
        <f t="shared" si="32"/>
        <v>1525</v>
      </c>
    </row>
    <row r="364" spans="1:7" ht="15.75">
      <c r="A364" s="3022">
        <f t="shared" si="33"/>
        <v>15025</v>
      </c>
      <c r="B364" s="2840">
        <v>15000</v>
      </c>
      <c r="C364" s="2840">
        <v>15050</v>
      </c>
      <c r="D364" s="2841">
        <f t="shared" si="29"/>
        <v>1613</v>
      </c>
      <c r="E364" s="2841">
        <f t="shared" si="30"/>
        <v>1503</v>
      </c>
      <c r="F364" s="2841">
        <f t="shared" si="31"/>
        <v>1613</v>
      </c>
      <c r="G364" s="2841">
        <f t="shared" si="32"/>
        <v>1531</v>
      </c>
    </row>
    <row r="365" spans="1:7" ht="15.75">
      <c r="A365" s="3022">
        <f t="shared" si="33"/>
        <v>15075</v>
      </c>
      <c r="B365" s="2840">
        <v>15050</v>
      </c>
      <c r="C365" s="2840">
        <v>15100</v>
      </c>
      <c r="D365" s="2841">
        <f t="shared" si="29"/>
        <v>1619</v>
      </c>
      <c r="E365" s="2841">
        <f t="shared" si="30"/>
        <v>1508</v>
      </c>
      <c r="F365" s="2841">
        <f t="shared" si="31"/>
        <v>1619</v>
      </c>
      <c r="G365" s="2841">
        <f t="shared" si="32"/>
        <v>1537</v>
      </c>
    </row>
    <row r="366" spans="1:7" ht="15.75">
      <c r="A366" s="3022">
        <f t="shared" si="33"/>
        <v>15125</v>
      </c>
      <c r="B366" s="2840">
        <v>15100</v>
      </c>
      <c r="C366" s="2840">
        <v>15150</v>
      </c>
      <c r="D366" s="2841">
        <f t="shared" si="29"/>
        <v>1625</v>
      </c>
      <c r="E366" s="2841">
        <f t="shared" si="30"/>
        <v>1513</v>
      </c>
      <c r="F366" s="2841">
        <f t="shared" si="31"/>
        <v>1625</v>
      </c>
      <c r="G366" s="2841">
        <f t="shared" si="32"/>
        <v>1543</v>
      </c>
    </row>
    <row r="367" spans="1:7" ht="15.75">
      <c r="A367" s="3022">
        <f t="shared" si="33"/>
        <v>15175</v>
      </c>
      <c r="B367" s="2840">
        <v>15150</v>
      </c>
      <c r="C367" s="2840">
        <v>15200</v>
      </c>
      <c r="D367" s="2841">
        <f t="shared" si="29"/>
        <v>1631</v>
      </c>
      <c r="E367" s="2841">
        <f t="shared" si="30"/>
        <v>1518</v>
      </c>
      <c r="F367" s="2841">
        <f t="shared" si="31"/>
        <v>1631</v>
      </c>
      <c r="G367" s="2841">
        <f t="shared" si="32"/>
        <v>1549</v>
      </c>
    </row>
    <row r="368" spans="1:7" ht="15.75">
      <c r="A368" s="3022">
        <f t="shared" si="33"/>
        <v>15225</v>
      </c>
      <c r="B368" s="2840">
        <v>15200</v>
      </c>
      <c r="C368" s="2840">
        <v>15250</v>
      </c>
      <c r="D368" s="2841">
        <f t="shared" si="29"/>
        <v>1637</v>
      </c>
      <c r="E368" s="2841">
        <f t="shared" si="30"/>
        <v>1523</v>
      </c>
      <c r="F368" s="2841">
        <f t="shared" si="31"/>
        <v>1637</v>
      </c>
      <c r="G368" s="2841">
        <f t="shared" si="32"/>
        <v>1555</v>
      </c>
    </row>
    <row r="369" spans="1:7" ht="15.75">
      <c r="A369" s="3022">
        <f t="shared" si="33"/>
        <v>15275</v>
      </c>
      <c r="B369" s="2840">
        <v>15250</v>
      </c>
      <c r="C369" s="2840">
        <v>15300</v>
      </c>
      <c r="D369" s="2841">
        <f t="shared" si="29"/>
        <v>1643</v>
      </c>
      <c r="E369" s="2841">
        <f t="shared" si="30"/>
        <v>1528</v>
      </c>
      <c r="F369" s="2841">
        <f t="shared" si="31"/>
        <v>1643</v>
      </c>
      <c r="G369" s="2841">
        <f t="shared" si="32"/>
        <v>1561</v>
      </c>
    </row>
    <row r="370" spans="1:7" ht="15.75">
      <c r="A370" s="3022">
        <f t="shared" si="33"/>
        <v>15325</v>
      </c>
      <c r="B370" s="2840">
        <v>15300</v>
      </c>
      <c r="C370" s="2840">
        <v>15350</v>
      </c>
      <c r="D370" s="2841">
        <f t="shared" si="29"/>
        <v>1649</v>
      </c>
      <c r="E370" s="2841">
        <f t="shared" si="30"/>
        <v>1533</v>
      </c>
      <c r="F370" s="2841">
        <f t="shared" si="31"/>
        <v>1649</v>
      </c>
      <c r="G370" s="2841">
        <f t="shared" si="32"/>
        <v>1567</v>
      </c>
    </row>
    <row r="371" spans="1:7" ht="15.75">
      <c r="A371" s="3022">
        <f t="shared" si="33"/>
        <v>15375</v>
      </c>
      <c r="B371" s="2840">
        <v>15350</v>
      </c>
      <c r="C371" s="2840">
        <v>15400</v>
      </c>
      <c r="D371" s="2841">
        <f t="shared" si="29"/>
        <v>1655</v>
      </c>
      <c r="E371" s="2841">
        <f t="shared" si="30"/>
        <v>1538</v>
      </c>
      <c r="F371" s="2841">
        <f t="shared" si="31"/>
        <v>1655</v>
      </c>
      <c r="G371" s="2841">
        <f t="shared" si="32"/>
        <v>1573</v>
      </c>
    </row>
    <row r="372" spans="1:7" ht="15.75">
      <c r="A372" s="3022">
        <f t="shared" si="33"/>
        <v>15425</v>
      </c>
      <c r="B372" s="2840">
        <v>15400</v>
      </c>
      <c r="C372" s="2840">
        <v>15450</v>
      </c>
      <c r="D372" s="2841">
        <f t="shared" si="29"/>
        <v>1661</v>
      </c>
      <c r="E372" s="2841">
        <f t="shared" si="30"/>
        <v>1543</v>
      </c>
      <c r="F372" s="2841">
        <f t="shared" si="31"/>
        <v>1661</v>
      </c>
      <c r="G372" s="2841">
        <f t="shared" si="32"/>
        <v>1579</v>
      </c>
    </row>
    <row r="373" spans="1:7" ht="15.75">
      <c r="A373" s="3022">
        <f t="shared" si="33"/>
        <v>15475</v>
      </c>
      <c r="B373" s="2840">
        <v>15450</v>
      </c>
      <c r="C373" s="2840">
        <v>15500</v>
      </c>
      <c r="D373" s="2841">
        <f t="shared" si="29"/>
        <v>1667</v>
      </c>
      <c r="E373" s="2841">
        <f t="shared" si="30"/>
        <v>1548</v>
      </c>
      <c r="F373" s="2841">
        <f t="shared" si="31"/>
        <v>1667</v>
      </c>
      <c r="G373" s="2841">
        <f t="shared" si="32"/>
        <v>1585</v>
      </c>
    </row>
    <row r="374" spans="1:7" ht="15.75">
      <c r="A374" s="3022">
        <f t="shared" si="33"/>
        <v>15525</v>
      </c>
      <c r="B374" s="2840">
        <v>15500</v>
      </c>
      <c r="C374" s="2840">
        <v>15550</v>
      </c>
      <c r="D374" s="2841">
        <f t="shared" si="29"/>
        <v>1673</v>
      </c>
      <c r="E374" s="2841">
        <f t="shared" si="30"/>
        <v>1553</v>
      </c>
      <c r="F374" s="2841">
        <f t="shared" si="31"/>
        <v>1673</v>
      </c>
      <c r="G374" s="2841">
        <f t="shared" si="32"/>
        <v>1591</v>
      </c>
    </row>
    <row r="375" spans="1:7" ht="15.75">
      <c r="A375" s="3022">
        <f t="shared" si="33"/>
        <v>15575</v>
      </c>
      <c r="B375" s="2840">
        <v>15550</v>
      </c>
      <c r="C375" s="2840">
        <v>15600</v>
      </c>
      <c r="D375" s="2841">
        <f t="shared" si="29"/>
        <v>1679</v>
      </c>
      <c r="E375" s="2841">
        <f t="shared" si="30"/>
        <v>1558</v>
      </c>
      <c r="F375" s="2841">
        <f t="shared" si="31"/>
        <v>1679</v>
      </c>
      <c r="G375" s="2841">
        <f t="shared" si="32"/>
        <v>1597</v>
      </c>
    </row>
    <row r="376" spans="1:7" ht="15.75">
      <c r="A376" s="3022">
        <f t="shared" si="33"/>
        <v>15625</v>
      </c>
      <c r="B376" s="2840">
        <v>15600</v>
      </c>
      <c r="C376" s="2840">
        <v>15650</v>
      </c>
      <c r="D376" s="2841">
        <f t="shared" si="29"/>
        <v>1685</v>
      </c>
      <c r="E376" s="2841">
        <f t="shared" si="30"/>
        <v>1563</v>
      </c>
      <c r="F376" s="2841">
        <f t="shared" si="31"/>
        <v>1685</v>
      </c>
      <c r="G376" s="2841">
        <f t="shared" si="32"/>
        <v>1603</v>
      </c>
    </row>
    <row r="377" spans="1:7" ht="15.75">
      <c r="A377" s="3022">
        <f t="shared" si="33"/>
        <v>15675</v>
      </c>
      <c r="B377" s="2840">
        <v>15650</v>
      </c>
      <c r="C377" s="2840">
        <v>15700</v>
      </c>
      <c r="D377" s="2841">
        <f t="shared" si="29"/>
        <v>1691</v>
      </c>
      <c r="E377" s="2841">
        <f t="shared" si="30"/>
        <v>1568</v>
      </c>
      <c r="F377" s="2841">
        <f t="shared" si="31"/>
        <v>1691</v>
      </c>
      <c r="G377" s="2841">
        <f t="shared" si="32"/>
        <v>1609</v>
      </c>
    </row>
    <row r="378" spans="1:7" ht="15.75">
      <c r="A378" s="3022">
        <f t="shared" si="33"/>
        <v>15725</v>
      </c>
      <c r="B378" s="2840">
        <v>15700</v>
      </c>
      <c r="C378" s="2840">
        <v>15750</v>
      </c>
      <c r="D378" s="2841">
        <f t="shared" si="29"/>
        <v>1697</v>
      </c>
      <c r="E378" s="2841">
        <f t="shared" si="30"/>
        <v>1573</v>
      </c>
      <c r="F378" s="2841">
        <f t="shared" si="31"/>
        <v>1697</v>
      </c>
      <c r="G378" s="2841">
        <f t="shared" si="32"/>
        <v>1615</v>
      </c>
    </row>
    <row r="379" spans="1:7" ht="15.75">
      <c r="A379" s="3022">
        <f t="shared" si="33"/>
        <v>15775</v>
      </c>
      <c r="B379" s="2840">
        <v>15750</v>
      </c>
      <c r="C379" s="2840">
        <v>15800</v>
      </c>
      <c r="D379" s="2841">
        <f t="shared" si="29"/>
        <v>1703</v>
      </c>
      <c r="E379" s="2841">
        <f t="shared" si="30"/>
        <v>1578</v>
      </c>
      <c r="F379" s="2841">
        <f t="shared" si="31"/>
        <v>1703</v>
      </c>
      <c r="G379" s="2841">
        <f t="shared" si="32"/>
        <v>1621</v>
      </c>
    </row>
    <row r="380" spans="1:7" ht="15.75">
      <c r="A380" s="3022">
        <f t="shared" si="33"/>
        <v>15825</v>
      </c>
      <c r="B380" s="2840">
        <v>15800</v>
      </c>
      <c r="C380" s="2840">
        <v>15850</v>
      </c>
      <c r="D380" s="2841">
        <f t="shared" si="29"/>
        <v>1709</v>
      </c>
      <c r="E380" s="2841">
        <f t="shared" si="30"/>
        <v>1583</v>
      </c>
      <c r="F380" s="2841">
        <f t="shared" si="31"/>
        <v>1709</v>
      </c>
      <c r="G380" s="2841">
        <f t="shared" si="32"/>
        <v>1627</v>
      </c>
    </row>
    <row r="381" spans="1:7" ht="15.75">
      <c r="A381" s="3022">
        <f t="shared" si="33"/>
        <v>15875</v>
      </c>
      <c r="B381" s="2840">
        <v>15850</v>
      </c>
      <c r="C381" s="2840">
        <v>15900</v>
      </c>
      <c r="D381" s="2841">
        <f t="shared" si="29"/>
        <v>1715</v>
      </c>
      <c r="E381" s="2841">
        <f t="shared" si="30"/>
        <v>1588</v>
      </c>
      <c r="F381" s="2841">
        <f t="shared" si="31"/>
        <v>1715</v>
      </c>
      <c r="G381" s="2841">
        <f t="shared" si="32"/>
        <v>1633</v>
      </c>
    </row>
    <row r="382" spans="1:7" ht="15.75">
      <c r="A382" s="3022">
        <f t="shared" si="33"/>
        <v>15925</v>
      </c>
      <c r="B382" s="2840">
        <v>15900</v>
      </c>
      <c r="C382" s="2840">
        <v>15950</v>
      </c>
      <c r="D382" s="2841">
        <f t="shared" si="29"/>
        <v>1721</v>
      </c>
      <c r="E382" s="2841">
        <f t="shared" si="30"/>
        <v>1593</v>
      </c>
      <c r="F382" s="2841">
        <f t="shared" si="31"/>
        <v>1721</v>
      </c>
      <c r="G382" s="2841">
        <f t="shared" si="32"/>
        <v>1639</v>
      </c>
    </row>
    <row r="383" spans="1:7" ht="15.75">
      <c r="A383" s="3022">
        <f t="shared" si="33"/>
        <v>15975</v>
      </c>
      <c r="B383" s="2840">
        <v>15950</v>
      </c>
      <c r="C383" s="2840">
        <v>16000</v>
      </c>
      <c r="D383" s="2841">
        <f t="shared" si="29"/>
        <v>1727</v>
      </c>
      <c r="E383" s="2841">
        <f t="shared" si="30"/>
        <v>1598</v>
      </c>
      <c r="F383" s="2841">
        <f t="shared" si="31"/>
        <v>1727</v>
      </c>
      <c r="G383" s="2841">
        <f t="shared" si="32"/>
        <v>1645</v>
      </c>
    </row>
    <row r="384" spans="1:7" ht="15.75">
      <c r="A384" s="3022">
        <f t="shared" si="33"/>
        <v>16025</v>
      </c>
      <c r="B384" s="2840">
        <v>16000</v>
      </c>
      <c r="C384" s="2840">
        <v>16050</v>
      </c>
      <c r="D384" s="2841">
        <f t="shared" si="29"/>
        <v>1733</v>
      </c>
      <c r="E384" s="2841">
        <f t="shared" si="30"/>
        <v>1603</v>
      </c>
      <c r="F384" s="2841">
        <f t="shared" si="31"/>
        <v>1733</v>
      </c>
      <c r="G384" s="2841">
        <f t="shared" si="32"/>
        <v>1651</v>
      </c>
    </row>
    <row r="385" spans="1:7" ht="15.75">
      <c r="A385" s="3022">
        <f t="shared" si="33"/>
        <v>16075</v>
      </c>
      <c r="B385" s="2840">
        <v>16050</v>
      </c>
      <c r="C385" s="2840">
        <v>16100</v>
      </c>
      <c r="D385" s="2841">
        <f t="shared" si="29"/>
        <v>1739</v>
      </c>
      <c r="E385" s="2841">
        <f t="shared" si="30"/>
        <v>1608</v>
      </c>
      <c r="F385" s="2841">
        <f t="shared" si="31"/>
        <v>1739</v>
      </c>
      <c r="G385" s="2841">
        <f t="shared" si="32"/>
        <v>1657</v>
      </c>
    </row>
    <row r="386" spans="1:7" ht="15.75">
      <c r="A386" s="3022">
        <f t="shared" si="33"/>
        <v>16125</v>
      </c>
      <c r="B386" s="2840">
        <v>16100</v>
      </c>
      <c r="C386" s="2840">
        <v>16150</v>
      </c>
      <c r="D386" s="2841">
        <f t="shared" ref="D386:D449" si="34">IF($A386&gt;BOTT_A4,ROUND(BASE_A4+RATE_A4*($A386-BOTT_A4),0),IF($A386&gt;BOTT_A3,ROUND(BASE_A3+RATE_A3*($A386-BOTT_A3),0),IF($A386&gt;BOTT_A2,ROUND(BASE_A2+RATE_A2*($A386-BOTT_A2),0),ROUND(RATE_A1*$A386,0))))</f>
        <v>1745</v>
      </c>
      <c r="E386" s="2841">
        <f t="shared" ref="E386:E449" si="35">IF($A386&gt;BOTT_B4,ROUND(BASE_B4+RATE_B4*($A386-BOTT_B4),0),IF($A386&gt;BOTT_B3,ROUND(BASE_B3+RATE_B3*($A386-BOTT_B3),0),IF($A386&gt;BOTT_B2,ROUND(BASE_B2+RATE_B2*($A386-BOTT_B2),0),ROUND(RATE_B1*$A386,0))))</f>
        <v>1613</v>
      </c>
      <c r="F386" s="2841">
        <f t="shared" ref="F386:F449" si="36">IF($A386&gt;BOTT_C4,ROUND(BASE_C4+RATE_C4*($A386-BOTT_C4),0),IF($A386&gt;BOTT_C3,ROUND(BASE_C3+RATE_C3*($A386-BOTT_C3),0),IF($A386&gt;BOTT_C2,ROUND(BASE_C2+RATE_C2*($A386-BOTT_C2),0),ROUND(RATE_C1*$A386,0))))</f>
        <v>1745</v>
      </c>
      <c r="G386" s="2841">
        <f t="shared" ref="G386:G449" si="37">IF($A386&gt;BOTT_D4,ROUND(BASE_D4+RATE_D4*($A386-BOTT_D4),0),IF($A386&gt;BOTT_D3,ROUND(BASE_D3+RATE_D3*($A386-BOTT_D3),0),IF($A386&gt;BOTT_D2,ROUND(BASE_D2+RATE_D2*($A386-BOTT_D2),0),ROUND(RATE_D1*$A386,0))))</f>
        <v>1663</v>
      </c>
    </row>
    <row r="387" spans="1:7" ht="15.75">
      <c r="A387" s="3022">
        <f t="shared" ref="A387:A450" si="38">AVERAGE(B387,C387)</f>
        <v>16175</v>
      </c>
      <c r="B387" s="2840">
        <v>16150</v>
      </c>
      <c r="C387" s="2840">
        <v>16200</v>
      </c>
      <c r="D387" s="2841">
        <f t="shared" si="34"/>
        <v>1751</v>
      </c>
      <c r="E387" s="2841">
        <f t="shared" si="35"/>
        <v>1618</v>
      </c>
      <c r="F387" s="2841">
        <f t="shared" si="36"/>
        <v>1751</v>
      </c>
      <c r="G387" s="2841">
        <f t="shared" si="37"/>
        <v>1669</v>
      </c>
    </row>
    <row r="388" spans="1:7" ht="15.75">
      <c r="A388" s="3022">
        <f t="shared" si="38"/>
        <v>16225</v>
      </c>
      <c r="B388" s="2840">
        <v>16200</v>
      </c>
      <c r="C388" s="2840">
        <v>16250</v>
      </c>
      <c r="D388" s="2841">
        <f t="shared" si="34"/>
        <v>1757</v>
      </c>
      <c r="E388" s="2841">
        <f t="shared" si="35"/>
        <v>1623</v>
      </c>
      <c r="F388" s="2841">
        <f t="shared" si="36"/>
        <v>1757</v>
      </c>
      <c r="G388" s="2841">
        <f t="shared" si="37"/>
        <v>1675</v>
      </c>
    </row>
    <row r="389" spans="1:7" ht="15.75">
      <c r="A389" s="3022">
        <f t="shared" si="38"/>
        <v>16275</v>
      </c>
      <c r="B389" s="2840">
        <v>16250</v>
      </c>
      <c r="C389" s="2840">
        <v>16300</v>
      </c>
      <c r="D389" s="2841">
        <f t="shared" si="34"/>
        <v>1763</v>
      </c>
      <c r="E389" s="2841">
        <f t="shared" si="35"/>
        <v>1628</v>
      </c>
      <c r="F389" s="2841">
        <f t="shared" si="36"/>
        <v>1763</v>
      </c>
      <c r="G389" s="2841">
        <f t="shared" si="37"/>
        <v>1681</v>
      </c>
    </row>
    <row r="390" spans="1:7" ht="15.75">
      <c r="A390" s="3022">
        <f t="shared" si="38"/>
        <v>16325</v>
      </c>
      <c r="B390" s="2840">
        <v>16300</v>
      </c>
      <c r="C390" s="2840">
        <v>16350</v>
      </c>
      <c r="D390" s="2841">
        <f t="shared" si="34"/>
        <v>1769</v>
      </c>
      <c r="E390" s="2841">
        <f t="shared" si="35"/>
        <v>1633</v>
      </c>
      <c r="F390" s="2841">
        <f t="shared" si="36"/>
        <v>1769</v>
      </c>
      <c r="G390" s="2841">
        <f t="shared" si="37"/>
        <v>1687</v>
      </c>
    </row>
    <row r="391" spans="1:7" ht="15.75">
      <c r="A391" s="3022">
        <f t="shared" si="38"/>
        <v>16375</v>
      </c>
      <c r="B391" s="2840">
        <v>16350</v>
      </c>
      <c r="C391" s="2840">
        <v>16400</v>
      </c>
      <c r="D391" s="2841">
        <f t="shared" si="34"/>
        <v>1775</v>
      </c>
      <c r="E391" s="2841">
        <f t="shared" si="35"/>
        <v>1638</v>
      </c>
      <c r="F391" s="2841">
        <f t="shared" si="36"/>
        <v>1775</v>
      </c>
      <c r="G391" s="2841">
        <f t="shared" si="37"/>
        <v>1693</v>
      </c>
    </row>
    <row r="392" spans="1:7" ht="15.75">
      <c r="A392" s="3022">
        <f t="shared" si="38"/>
        <v>16425</v>
      </c>
      <c r="B392" s="2840">
        <v>16400</v>
      </c>
      <c r="C392" s="2840">
        <v>16450</v>
      </c>
      <c r="D392" s="2841">
        <f t="shared" si="34"/>
        <v>1781</v>
      </c>
      <c r="E392" s="2841">
        <f t="shared" si="35"/>
        <v>1643</v>
      </c>
      <c r="F392" s="2841">
        <f t="shared" si="36"/>
        <v>1781</v>
      </c>
      <c r="G392" s="2841">
        <f t="shared" si="37"/>
        <v>1699</v>
      </c>
    </row>
    <row r="393" spans="1:7" ht="15.75">
      <c r="A393" s="3022">
        <f t="shared" si="38"/>
        <v>16475</v>
      </c>
      <c r="B393" s="2840">
        <v>16450</v>
      </c>
      <c r="C393" s="2840">
        <v>16500</v>
      </c>
      <c r="D393" s="2841">
        <f t="shared" si="34"/>
        <v>1787</v>
      </c>
      <c r="E393" s="2841">
        <f t="shared" si="35"/>
        <v>1648</v>
      </c>
      <c r="F393" s="2841">
        <f t="shared" si="36"/>
        <v>1787</v>
      </c>
      <c r="G393" s="2841">
        <f t="shared" si="37"/>
        <v>1705</v>
      </c>
    </row>
    <row r="394" spans="1:7" ht="15.75">
      <c r="A394" s="3022">
        <f t="shared" si="38"/>
        <v>16525</v>
      </c>
      <c r="B394" s="2840">
        <v>16500</v>
      </c>
      <c r="C394" s="2840">
        <v>16550</v>
      </c>
      <c r="D394" s="2841">
        <f t="shared" si="34"/>
        <v>1793</v>
      </c>
      <c r="E394" s="2841">
        <f t="shared" si="35"/>
        <v>1653</v>
      </c>
      <c r="F394" s="2841">
        <f t="shared" si="36"/>
        <v>1793</v>
      </c>
      <c r="G394" s="2841">
        <f t="shared" si="37"/>
        <v>1711</v>
      </c>
    </row>
    <row r="395" spans="1:7" ht="15.75">
      <c r="A395" s="3022">
        <f t="shared" si="38"/>
        <v>16575</v>
      </c>
      <c r="B395" s="2840">
        <v>16550</v>
      </c>
      <c r="C395" s="2840">
        <v>16600</v>
      </c>
      <c r="D395" s="2841">
        <f t="shared" si="34"/>
        <v>1799</v>
      </c>
      <c r="E395" s="2841">
        <f t="shared" si="35"/>
        <v>1658</v>
      </c>
      <c r="F395" s="2841">
        <f t="shared" si="36"/>
        <v>1799</v>
      </c>
      <c r="G395" s="2841">
        <f t="shared" si="37"/>
        <v>1717</v>
      </c>
    </row>
    <row r="396" spans="1:7" ht="15.75">
      <c r="A396" s="3022">
        <f t="shared" si="38"/>
        <v>16625</v>
      </c>
      <c r="B396" s="2840">
        <v>16600</v>
      </c>
      <c r="C396" s="2840">
        <v>16650</v>
      </c>
      <c r="D396" s="2841">
        <f t="shared" si="34"/>
        <v>1805</v>
      </c>
      <c r="E396" s="2841">
        <f t="shared" si="35"/>
        <v>1663</v>
      </c>
      <c r="F396" s="2841">
        <f t="shared" si="36"/>
        <v>1805</v>
      </c>
      <c r="G396" s="2841">
        <f t="shared" si="37"/>
        <v>1723</v>
      </c>
    </row>
    <row r="397" spans="1:7" ht="15.75">
      <c r="A397" s="3022">
        <f t="shared" si="38"/>
        <v>16675</v>
      </c>
      <c r="B397" s="2840">
        <v>16650</v>
      </c>
      <c r="C397" s="2840">
        <v>16700</v>
      </c>
      <c r="D397" s="2841">
        <f t="shared" si="34"/>
        <v>1811</v>
      </c>
      <c r="E397" s="2841">
        <f t="shared" si="35"/>
        <v>1668</v>
      </c>
      <c r="F397" s="2841">
        <f t="shared" si="36"/>
        <v>1811</v>
      </c>
      <c r="G397" s="2841">
        <f t="shared" si="37"/>
        <v>1729</v>
      </c>
    </row>
    <row r="398" spans="1:7" ht="15.75">
      <c r="A398" s="3022">
        <f t="shared" si="38"/>
        <v>16725</v>
      </c>
      <c r="B398" s="2840">
        <v>16700</v>
      </c>
      <c r="C398" s="2840">
        <v>16750</v>
      </c>
      <c r="D398" s="2841">
        <f t="shared" si="34"/>
        <v>1817</v>
      </c>
      <c r="E398" s="2841">
        <f t="shared" si="35"/>
        <v>1673</v>
      </c>
      <c r="F398" s="2841">
        <f t="shared" si="36"/>
        <v>1817</v>
      </c>
      <c r="G398" s="2841">
        <f t="shared" si="37"/>
        <v>1735</v>
      </c>
    </row>
    <row r="399" spans="1:7" ht="15.75">
      <c r="A399" s="3022">
        <f t="shared" si="38"/>
        <v>16775</v>
      </c>
      <c r="B399" s="2840">
        <v>16750</v>
      </c>
      <c r="C399" s="2840">
        <v>16800</v>
      </c>
      <c r="D399" s="2841">
        <f t="shared" si="34"/>
        <v>1823</v>
      </c>
      <c r="E399" s="2841">
        <f t="shared" si="35"/>
        <v>1678</v>
      </c>
      <c r="F399" s="2841">
        <f t="shared" si="36"/>
        <v>1823</v>
      </c>
      <c r="G399" s="2841">
        <f t="shared" si="37"/>
        <v>1741</v>
      </c>
    </row>
    <row r="400" spans="1:7" ht="15.75">
      <c r="A400" s="3022">
        <f t="shared" si="38"/>
        <v>16825</v>
      </c>
      <c r="B400" s="2840">
        <v>16800</v>
      </c>
      <c r="C400" s="2840">
        <v>16850</v>
      </c>
      <c r="D400" s="2841">
        <f t="shared" si="34"/>
        <v>1829</v>
      </c>
      <c r="E400" s="2841">
        <f t="shared" si="35"/>
        <v>1683</v>
      </c>
      <c r="F400" s="2841">
        <f t="shared" si="36"/>
        <v>1829</v>
      </c>
      <c r="G400" s="2841">
        <f t="shared" si="37"/>
        <v>1747</v>
      </c>
    </row>
    <row r="401" spans="1:7" ht="15.75">
      <c r="A401" s="3022">
        <f t="shared" si="38"/>
        <v>16875</v>
      </c>
      <c r="B401" s="2840">
        <v>16850</v>
      </c>
      <c r="C401" s="2840">
        <v>16900</v>
      </c>
      <c r="D401" s="2841">
        <f t="shared" si="34"/>
        <v>1835</v>
      </c>
      <c r="E401" s="2841">
        <f t="shared" si="35"/>
        <v>1688</v>
      </c>
      <c r="F401" s="2841">
        <f t="shared" si="36"/>
        <v>1835</v>
      </c>
      <c r="G401" s="2841">
        <f t="shared" si="37"/>
        <v>1753</v>
      </c>
    </row>
    <row r="402" spans="1:7" ht="15.75">
      <c r="A402" s="3022">
        <f t="shared" si="38"/>
        <v>16925</v>
      </c>
      <c r="B402" s="2840">
        <v>16900</v>
      </c>
      <c r="C402" s="2840">
        <v>16950</v>
      </c>
      <c r="D402" s="2841">
        <f t="shared" si="34"/>
        <v>1841</v>
      </c>
      <c r="E402" s="2841">
        <f t="shared" si="35"/>
        <v>1693</v>
      </c>
      <c r="F402" s="2841">
        <f t="shared" si="36"/>
        <v>1841</v>
      </c>
      <c r="G402" s="2841">
        <f t="shared" si="37"/>
        <v>1759</v>
      </c>
    </row>
    <row r="403" spans="1:7" ht="15.75">
      <c r="A403" s="3022">
        <f t="shared" si="38"/>
        <v>16975</v>
      </c>
      <c r="B403" s="2840">
        <v>16950</v>
      </c>
      <c r="C403" s="2840">
        <v>17000</v>
      </c>
      <c r="D403" s="2841">
        <f t="shared" si="34"/>
        <v>1847</v>
      </c>
      <c r="E403" s="2841">
        <f t="shared" si="35"/>
        <v>1698</v>
      </c>
      <c r="F403" s="2841">
        <f t="shared" si="36"/>
        <v>1847</v>
      </c>
      <c r="G403" s="2841">
        <f t="shared" si="37"/>
        <v>1765</v>
      </c>
    </row>
    <row r="404" spans="1:7" ht="15.75">
      <c r="A404" s="3022">
        <f t="shared" si="38"/>
        <v>17025</v>
      </c>
      <c r="B404" s="2840">
        <v>17000</v>
      </c>
      <c r="C404" s="2840">
        <v>17050</v>
      </c>
      <c r="D404" s="2841">
        <f t="shared" si="34"/>
        <v>1853</v>
      </c>
      <c r="E404" s="2841">
        <f t="shared" si="35"/>
        <v>1703</v>
      </c>
      <c r="F404" s="2841">
        <f t="shared" si="36"/>
        <v>1853</v>
      </c>
      <c r="G404" s="2841">
        <f t="shared" si="37"/>
        <v>1771</v>
      </c>
    </row>
    <row r="405" spans="1:7" ht="15.75">
      <c r="A405" s="3022">
        <f t="shared" si="38"/>
        <v>17075</v>
      </c>
      <c r="B405" s="2840">
        <v>17050</v>
      </c>
      <c r="C405" s="2840">
        <v>17100</v>
      </c>
      <c r="D405" s="2841">
        <f t="shared" si="34"/>
        <v>1859</v>
      </c>
      <c r="E405" s="2841">
        <f t="shared" si="35"/>
        <v>1708</v>
      </c>
      <c r="F405" s="2841">
        <f t="shared" si="36"/>
        <v>1859</v>
      </c>
      <c r="G405" s="2841">
        <f t="shared" si="37"/>
        <v>1777</v>
      </c>
    </row>
    <row r="406" spans="1:7" ht="15.75">
      <c r="A406" s="3022">
        <f t="shared" si="38"/>
        <v>17125</v>
      </c>
      <c r="B406" s="2840">
        <v>17100</v>
      </c>
      <c r="C406" s="2840">
        <v>17150</v>
      </c>
      <c r="D406" s="2841">
        <f t="shared" si="34"/>
        <v>1865</v>
      </c>
      <c r="E406" s="2841">
        <f t="shared" si="35"/>
        <v>1713</v>
      </c>
      <c r="F406" s="2841">
        <f t="shared" si="36"/>
        <v>1865</v>
      </c>
      <c r="G406" s="2841">
        <f t="shared" si="37"/>
        <v>1783</v>
      </c>
    </row>
    <row r="407" spans="1:7" ht="15.75">
      <c r="A407" s="3022">
        <f t="shared" si="38"/>
        <v>17175</v>
      </c>
      <c r="B407" s="2840">
        <v>17150</v>
      </c>
      <c r="C407" s="2840">
        <v>17200</v>
      </c>
      <c r="D407" s="2841">
        <f t="shared" si="34"/>
        <v>1871</v>
      </c>
      <c r="E407" s="2841">
        <f t="shared" si="35"/>
        <v>1718</v>
      </c>
      <c r="F407" s="2841">
        <f t="shared" si="36"/>
        <v>1871</v>
      </c>
      <c r="G407" s="2841">
        <f t="shared" si="37"/>
        <v>1789</v>
      </c>
    </row>
    <row r="408" spans="1:7" ht="15.75">
      <c r="A408" s="3022">
        <f t="shared" si="38"/>
        <v>17225</v>
      </c>
      <c r="B408" s="2840">
        <v>17200</v>
      </c>
      <c r="C408" s="2840">
        <v>17250</v>
      </c>
      <c r="D408" s="2841">
        <f t="shared" si="34"/>
        <v>1877</v>
      </c>
      <c r="E408" s="2841">
        <f t="shared" si="35"/>
        <v>1723</v>
      </c>
      <c r="F408" s="2841">
        <f t="shared" si="36"/>
        <v>1877</v>
      </c>
      <c r="G408" s="2841">
        <f t="shared" si="37"/>
        <v>1795</v>
      </c>
    </row>
    <row r="409" spans="1:7" ht="15.75">
      <c r="A409" s="3022">
        <f t="shared" si="38"/>
        <v>17275</v>
      </c>
      <c r="B409" s="2840">
        <v>17250</v>
      </c>
      <c r="C409" s="2840">
        <v>17300</v>
      </c>
      <c r="D409" s="2841">
        <f t="shared" si="34"/>
        <v>1883</v>
      </c>
      <c r="E409" s="2841">
        <f t="shared" si="35"/>
        <v>1728</v>
      </c>
      <c r="F409" s="2841">
        <f t="shared" si="36"/>
        <v>1883</v>
      </c>
      <c r="G409" s="2841">
        <f t="shared" si="37"/>
        <v>1801</v>
      </c>
    </row>
    <row r="410" spans="1:7" ht="15.75">
      <c r="A410" s="3022">
        <f t="shared" si="38"/>
        <v>17325</v>
      </c>
      <c r="B410" s="2840">
        <v>17300</v>
      </c>
      <c r="C410" s="2840">
        <v>17350</v>
      </c>
      <c r="D410" s="2841">
        <f t="shared" si="34"/>
        <v>1889</v>
      </c>
      <c r="E410" s="2841">
        <f t="shared" si="35"/>
        <v>1733</v>
      </c>
      <c r="F410" s="2841">
        <f t="shared" si="36"/>
        <v>1889</v>
      </c>
      <c r="G410" s="2841">
        <f t="shared" si="37"/>
        <v>1807</v>
      </c>
    </row>
    <row r="411" spans="1:7" ht="15.75">
      <c r="A411" s="3022">
        <f t="shared" si="38"/>
        <v>17375</v>
      </c>
      <c r="B411" s="2840">
        <v>17350</v>
      </c>
      <c r="C411" s="2840">
        <v>17400</v>
      </c>
      <c r="D411" s="2841">
        <f t="shared" si="34"/>
        <v>1895</v>
      </c>
      <c r="E411" s="2841">
        <f t="shared" si="35"/>
        <v>1738</v>
      </c>
      <c r="F411" s="2841">
        <f t="shared" si="36"/>
        <v>1895</v>
      </c>
      <c r="G411" s="2841">
        <f t="shared" si="37"/>
        <v>1813</v>
      </c>
    </row>
    <row r="412" spans="1:7" ht="15.75">
      <c r="A412" s="3022">
        <f t="shared" si="38"/>
        <v>17425</v>
      </c>
      <c r="B412" s="2840">
        <v>17400</v>
      </c>
      <c r="C412" s="2840">
        <v>17450</v>
      </c>
      <c r="D412" s="2841">
        <f t="shared" si="34"/>
        <v>1901</v>
      </c>
      <c r="E412" s="2841">
        <f t="shared" si="35"/>
        <v>1743</v>
      </c>
      <c r="F412" s="2841">
        <f t="shared" si="36"/>
        <v>1901</v>
      </c>
      <c r="G412" s="2841">
        <f t="shared" si="37"/>
        <v>1819</v>
      </c>
    </row>
    <row r="413" spans="1:7" ht="15.75">
      <c r="A413" s="3022">
        <f t="shared" si="38"/>
        <v>17475</v>
      </c>
      <c r="B413" s="2840">
        <v>17450</v>
      </c>
      <c r="C413" s="2840">
        <v>17500</v>
      </c>
      <c r="D413" s="2841">
        <f t="shared" si="34"/>
        <v>1907</v>
      </c>
      <c r="E413" s="2841">
        <f t="shared" si="35"/>
        <v>1748</v>
      </c>
      <c r="F413" s="2841">
        <f t="shared" si="36"/>
        <v>1907</v>
      </c>
      <c r="G413" s="2841">
        <f t="shared" si="37"/>
        <v>1825</v>
      </c>
    </row>
    <row r="414" spans="1:7" ht="15.75">
      <c r="A414" s="3022">
        <f t="shared" si="38"/>
        <v>17525</v>
      </c>
      <c r="B414" s="2840">
        <v>17500</v>
      </c>
      <c r="C414" s="2840">
        <v>17550</v>
      </c>
      <c r="D414" s="2841">
        <f t="shared" si="34"/>
        <v>1913</v>
      </c>
      <c r="E414" s="2841">
        <f t="shared" si="35"/>
        <v>1753</v>
      </c>
      <c r="F414" s="2841">
        <f t="shared" si="36"/>
        <v>1913</v>
      </c>
      <c r="G414" s="2841">
        <f t="shared" si="37"/>
        <v>1831</v>
      </c>
    </row>
    <row r="415" spans="1:7" ht="15.75">
      <c r="A415" s="3022">
        <f t="shared" si="38"/>
        <v>17575</v>
      </c>
      <c r="B415" s="2840">
        <v>17550</v>
      </c>
      <c r="C415" s="2840">
        <v>17600</v>
      </c>
      <c r="D415" s="2841">
        <f t="shared" si="34"/>
        <v>1919</v>
      </c>
      <c r="E415" s="2841">
        <f t="shared" si="35"/>
        <v>1758</v>
      </c>
      <c r="F415" s="2841">
        <f t="shared" si="36"/>
        <v>1919</v>
      </c>
      <c r="G415" s="2841">
        <f t="shared" si="37"/>
        <v>1837</v>
      </c>
    </row>
    <row r="416" spans="1:7" ht="15.75">
      <c r="A416" s="3022">
        <f t="shared" si="38"/>
        <v>17625</v>
      </c>
      <c r="B416" s="2840">
        <v>17600</v>
      </c>
      <c r="C416" s="2840">
        <v>17650</v>
      </c>
      <c r="D416" s="2841">
        <f t="shared" si="34"/>
        <v>1925</v>
      </c>
      <c r="E416" s="2841">
        <f t="shared" si="35"/>
        <v>1763</v>
      </c>
      <c r="F416" s="2841">
        <f t="shared" si="36"/>
        <v>1925</v>
      </c>
      <c r="G416" s="2841">
        <f t="shared" si="37"/>
        <v>1843</v>
      </c>
    </row>
    <row r="417" spans="1:7" ht="15.75">
      <c r="A417" s="3022">
        <f t="shared" si="38"/>
        <v>17675</v>
      </c>
      <c r="B417" s="2840">
        <v>17650</v>
      </c>
      <c r="C417" s="2840">
        <v>17700</v>
      </c>
      <c r="D417" s="2841">
        <f t="shared" si="34"/>
        <v>1931</v>
      </c>
      <c r="E417" s="2841">
        <f t="shared" si="35"/>
        <v>1768</v>
      </c>
      <c r="F417" s="2841">
        <f t="shared" si="36"/>
        <v>1931</v>
      </c>
      <c r="G417" s="2841">
        <f t="shared" si="37"/>
        <v>1849</v>
      </c>
    </row>
    <row r="418" spans="1:7" ht="15.75">
      <c r="A418" s="3022">
        <f t="shared" si="38"/>
        <v>17725</v>
      </c>
      <c r="B418" s="2840">
        <v>17700</v>
      </c>
      <c r="C418" s="2840">
        <v>17750</v>
      </c>
      <c r="D418" s="2841">
        <f t="shared" si="34"/>
        <v>1937</v>
      </c>
      <c r="E418" s="2841">
        <f t="shared" si="35"/>
        <v>1773</v>
      </c>
      <c r="F418" s="2841">
        <f t="shared" si="36"/>
        <v>1937</v>
      </c>
      <c r="G418" s="2841">
        <f t="shared" si="37"/>
        <v>1855</v>
      </c>
    </row>
    <row r="419" spans="1:7" ht="15.75">
      <c r="A419" s="3022">
        <f t="shared" si="38"/>
        <v>17775</v>
      </c>
      <c r="B419" s="2840">
        <v>17750</v>
      </c>
      <c r="C419" s="2840">
        <v>17800</v>
      </c>
      <c r="D419" s="2841">
        <f t="shared" si="34"/>
        <v>1943</v>
      </c>
      <c r="E419" s="2841">
        <f t="shared" si="35"/>
        <v>1778</v>
      </c>
      <c r="F419" s="2841">
        <f t="shared" si="36"/>
        <v>1943</v>
      </c>
      <c r="G419" s="2841">
        <f t="shared" si="37"/>
        <v>1861</v>
      </c>
    </row>
    <row r="420" spans="1:7" ht="15.75">
      <c r="A420" s="3022">
        <f t="shared" si="38"/>
        <v>17825</v>
      </c>
      <c r="B420" s="2840">
        <v>17800</v>
      </c>
      <c r="C420" s="2840">
        <v>17850</v>
      </c>
      <c r="D420" s="2841">
        <f t="shared" si="34"/>
        <v>1949</v>
      </c>
      <c r="E420" s="2841">
        <f t="shared" si="35"/>
        <v>1783</v>
      </c>
      <c r="F420" s="2841">
        <f t="shared" si="36"/>
        <v>1949</v>
      </c>
      <c r="G420" s="2841">
        <f t="shared" si="37"/>
        <v>1867</v>
      </c>
    </row>
    <row r="421" spans="1:7" ht="15.75">
      <c r="A421" s="3022">
        <f t="shared" si="38"/>
        <v>17875</v>
      </c>
      <c r="B421" s="2840">
        <v>17850</v>
      </c>
      <c r="C421" s="2840">
        <v>17900</v>
      </c>
      <c r="D421" s="2841">
        <f t="shared" si="34"/>
        <v>1955</v>
      </c>
      <c r="E421" s="2841">
        <f t="shared" si="35"/>
        <v>1788</v>
      </c>
      <c r="F421" s="2841">
        <f t="shared" si="36"/>
        <v>1955</v>
      </c>
      <c r="G421" s="2841">
        <f t="shared" si="37"/>
        <v>1873</v>
      </c>
    </row>
    <row r="422" spans="1:7" ht="15.75">
      <c r="A422" s="3022">
        <f t="shared" si="38"/>
        <v>17925</v>
      </c>
      <c r="B422" s="2840">
        <v>17900</v>
      </c>
      <c r="C422" s="2840">
        <v>17950</v>
      </c>
      <c r="D422" s="2841">
        <f t="shared" si="34"/>
        <v>1961</v>
      </c>
      <c r="E422" s="2841">
        <f t="shared" si="35"/>
        <v>1793</v>
      </c>
      <c r="F422" s="2841">
        <f t="shared" si="36"/>
        <v>1961</v>
      </c>
      <c r="G422" s="2841">
        <f t="shared" si="37"/>
        <v>1879</v>
      </c>
    </row>
    <row r="423" spans="1:7" ht="15.75">
      <c r="A423" s="3022">
        <f t="shared" si="38"/>
        <v>17975</v>
      </c>
      <c r="B423" s="2840">
        <v>17950</v>
      </c>
      <c r="C423" s="2840">
        <v>18000</v>
      </c>
      <c r="D423" s="2841">
        <f t="shared" si="34"/>
        <v>1967</v>
      </c>
      <c r="E423" s="2841">
        <f t="shared" si="35"/>
        <v>1798</v>
      </c>
      <c r="F423" s="2841">
        <f t="shared" si="36"/>
        <v>1967</v>
      </c>
      <c r="G423" s="2841">
        <f t="shared" si="37"/>
        <v>1885</v>
      </c>
    </row>
    <row r="424" spans="1:7" ht="15.75">
      <c r="A424" s="3022">
        <f t="shared" si="38"/>
        <v>18025</v>
      </c>
      <c r="B424" s="2840">
        <v>18000</v>
      </c>
      <c r="C424" s="2840">
        <v>18050</v>
      </c>
      <c r="D424" s="2841">
        <f t="shared" si="34"/>
        <v>1973</v>
      </c>
      <c r="E424" s="2841">
        <f t="shared" si="35"/>
        <v>1803</v>
      </c>
      <c r="F424" s="2841">
        <f t="shared" si="36"/>
        <v>1973</v>
      </c>
      <c r="G424" s="2841">
        <f t="shared" si="37"/>
        <v>1891</v>
      </c>
    </row>
    <row r="425" spans="1:7" ht="15.75">
      <c r="A425" s="3022">
        <f t="shared" si="38"/>
        <v>18075</v>
      </c>
      <c r="B425" s="2840">
        <v>18050</v>
      </c>
      <c r="C425" s="2840">
        <v>18100</v>
      </c>
      <c r="D425" s="2841">
        <f t="shared" si="34"/>
        <v>1979</v>
      </c>
      <c r="E425" s="2841">
        <f t="shared" si="35"/>
        <v>1808</v>
      </c>
      <c r="F425" s="2841">
        <f t="shared" si="36"/>
        <v>1979</v>
      </c>
      <c r="G425" s="2841">
        <f t="shared" si="37"/>
        <v>1897</v>
      </c>
    </row>
    <row r="426" spans="1:7" ht="15.75">
      <c r="A426" s="3022">
        <f t="shared" si="38"/>
        <v>18125</v>
      </c>
      <c r="B426" s="2840">
        <v>18100</v>
      </c>
      <c r="C426" s="2840">
        <v>18150</v>
      </c>
      <c r="D426" s="2841">
        <f t="shared" si="34"/>
        <v>1985</v>
      </c>
      <c r="E426" s="2841">
        <f t="shared" si="35"/>
        <v>1813</v>
      </c>
      <c r="F426" s="2841">
        <f t="shared" si="36"/>
        <v>1985</v>
      </c>
      <c r="G426" s="2841">
        <f t="shared" si="37"/>
        <v>1903</v>
      </c>
    </row>
    <row r="427" spans="1:7" ht="15.75">
      <c r="A427" s="3022">
        <f t="shared" si="38"/>
        <v>18175</v>
      </c>
      <c r="B427" s="2840">
        <v>18150</v>
      </c>
      <c r="C427" s="2840">
        <v>18200</v>
      </c>
      <c r="D427" s="2841">
        <f t="shared" si="34"/>
        <v>1991</v>
      </c>
      <c r="E427" s="2841">
        <f t="shared" si="35"/>
        <v>1818</v>
      </c>
      <c r="F427" s="2841">
        <f t="shared" si="36"/>
        <v>1991</v>
      </c>
      <c r="G427" s="2841">
        <f t="shared" si="37"/>
        <v>1909</v>
      </c>
    </row>
    <row r="428" spans="1:7" ht="15.75">
      <c r="A428" s="3022">
        <f t="shared" si="38"/>
        <v>18225</v>
      </c>
      <c r="B428" s="2840">
        <v>18200</v>
      </c>
      <c r="C428" s="2840">
        <v>18250</v>
      </c>
      <c r="D428" s="2841">
        <f t="shared" si="34"/>
        <v>1997</v>
      </c>
      <c r="E428" s="2841">
        <f t="shared" si="35"/>
        <v>1823</v>
      </c>
      <c r="F428" s="2841">
        <f t="shared" si="36"/>
        <v>1997</v>
      </c>
      <c r="G428" s="2841">
        <f t="shared" si="37"/>
        <v>1915</v>
      </c>
    </row>
    <row r="429" spans="1:7" ht="15.75">
      <c r="A429" s="3022">
        <f t="shared" si="38"/>
        <v>18275</v>
      </c>
      <c r="B429" s="2840">
        <v>18250</v>
      </c>
      <c r="C429" s="2840">
        <v>18300</v>
      </c>
      <c r="D429" s="2841">
        <f t="shared" si="34"/>
        <v>2003</v>
      </c>
      <c r="E429" s="2841">
        <f t="shared" si="35"/>
        <v>1828</v>
      </c>
      <c r="F429" s="2841">
        <f t="shared" si="36"/>
        <v>2003</v>
      </c>
      <c r="G429" s="2841">
        <f t="shared" si="37"/>
        <v>1921</v>
      </c>
    </row>
    <row r="430" spans="1:7" ht="15.75">
      <c r="A430" s="3022">
        <f t="shared" si="38"/>
        <v>18325</v>
      </c>
      <c r="B430" s="2840">
        <v>18300</v>
      </c>
      <c r="C430" s="2840">
        <v>18350</v>
      </c>
      <c r="D430" s="2841">
        <f t="shared" si="34"/>
        <v>2009</v>
      </c>
      <c r="E430" s="2841">
        <f t="shared" si="35"/>
        <v>1833</v>
      </c>
      <c r="F430" s="2841">
        <f t="shared" si="36"/>
        <v>2009</v>
      </c>
      <c r="G430" s="2841">
        <f t="shared" si="37"/>
        <v>1927</v>
      </c>
    </row>
    <row r="431" spans="1:7" ht="15.75">
      <c r="A431" s="3022">
        <f t="shared" si="38"/>
        <v>18375</v>
      </c>
      <c r="B431" s="2840">
        <v>18350</v>
      </c>
      <c r="C431" s="2840">
        <v>18400</v>
      </c>
      <c r="D431" s="2841">
        <f t="shared" si="34"/>
        <v>2015</v>
      </c>
      <c r="E431" s="2841">
        <f t="shared" si="35"/>
        <v>1838</v>
      </c>
      <c r="F431" s="2841">
        <f t="shared" si="36"/>
        <v>2015</v>
      </c>
      <c r="G431" s="2841">
        <f t="shared" si="37"/>
        <v>1933</v>
      </c>
    </row>
    <row r="432" spans="1:7" ht="15.75">
      <c r="A432" s="3022">
        <f t="shared" si="38"/>
        <v>18425</v>
      </c>
      <c r="B432" s="2840">
        <v>18400</v>
      </c>
      <c r="C432" s="2840">
        <v>18450</v>
      </c>
      <c r="D432" s="2841">
        <f t="shared" si="34"/>
        <v>2021</v>
      </c>
      <c r="E432" s="2841">
        <f t="shared" si="35"/>
        <v>1843</v>
      </c>
      <c r="F432" s="2841">
        <f t="shared" si="36"/>
        <v>2021</v>
      </c>
      <c r="G432" s="2841">
        <f t="shared" si="37"/>
        <v>1939</v>
      </c>
    </row>
    <row r="433" spans="1:7" ht="15.75">
      <c r="A433" s="3022">
        <f t="shared" si="38"/>
        <v>18475</v>
      </c>
      <c r="B433" s="2840">
        <v>18450</v>
      </c>
      <c r="C433" s="2840">
        <v>18500</v>
      </c>
      <c r="D433" s="2841">
        <f t="shared" si="34"/>
        <v>2027</v>
      </c>
      <c r="E433" s="2841">
        <f t="shared" si="35"/>
        <v>1848</v>
      </c>
      <c r="F433" s="2841">
        <f t="shared" si="36"/>
        <v>2027</v>
      </c>
      <c r="G433" s="2841">
        <f t="shared" si="37"/>
        <v>1945</v>
      </c>
    </row>
    <row r="434" spans="1:7" ht="15.75">
      <c r="A434" s="3022">
        <f t="shared" si="38"/>
        <v>18525</v>
      </c>
      <c r="B434" s="2840">
        <v>18500</v>
      </c>
      <c r="C434" s="2840">
        <v>18550</v>
      </c>
      <c r="D434" s="2841">
        <f t="shared" si="34"/>
        <v>2033</v>
      </c>
      <c r="E434" s="2841">
        <f t="shared" si="35"/>
        <v>1853</v>
      </c>
      <c r="F434" s="2841">
        <f t="shared" si="36"/>
        <v>2033</v>
      </c>
      <c r="G434" s="2841">
        <f t="shared" si="37"/>
        <v>1951</v>
      </c>
    </row>
    <row r="435" spans="1:7" ht="15.75">
      <c r="A435" s="3022">
        <f t="shared" si="38"/>
        <v>18575</v>
      </c>
      <c r="B435" s="2840">
        <v>18550</v>
      </c>
      <c r="C435" s="2840">
        <v>18600</v>
      </c>
      <c r="D435" s="2841">
        <f t="shared" si="34"/>
        <v>2039</v>
      </c>
      <c r="E435" s="2841">
        <f t="shared" si="35"/>
        <v>1858</v>
      </c>
      <c r="F435" s="2841">
        <f t="shared" si="36"/>
        <v>2039</v>
      </c>
      <c r="G435" s="2841">
        <f t="shared" si="37"/>
        <v>1957</v>
      </c>
    </row>
    <row r="436" spans="1:7" ht="15.75">
      <c r="A436" s="3022">
        <f t="shared" si="38"/>
        <v>18625</v>
      </c>
      <c r="B436" s="2840">
        <v>18600</v>
      </c>
      <c r="C436" s="2840">
        <v>18650</v>
      </c>
      <c r="D436" s="2841">
        <f t="shared" si="34"/>
        <v>2045</v>
      </c>
      <c r="E436" s="2841">
        <f t="shared" si="35"/>
        <v>1863</v>
      </c>
      <c r="F436" s="2841">
        <f t="shared" si="36"/>
        <v>2045</v>
      </c>
      <c r="G436" s="2841">
        <f t="shared" si="37"/>
        <v>1963</v>
      </c>
    </row>
    <row r="437" spans="1:7" ht="15.75">
      <c r="A437" s="3022">
        <f t="shared" si="38"/>
        <v>18675</v>
      </c>
      <c r="B437" s="2840">
        <v>18650</v>
      </c>
      <c r="C437" s="2840">
        <v>18700</v>
      </c>
      <c r="D437" s="2841">
        <f t="shared" si="34"/>
        <v>2051</v>
      </c>
      <c r="E437" s="2841">
        <f t="shared" si="35"/>
        <v>1868</v>
      </c>
      <c r="F437" s="2841">
        <f t="shared" si="36"/>
        <v>2051</v>
      </c>
      <c r="G437" s="2841">
        <f t="shared" si="37"/>
        <v>1969</v>
      </c>
    </row>
    <row r="438" spans="1:7" ht="15.75">
      <c r="A438" s="3022">
        <f t="shared" si="38"/>
        <v>18725</v>
      </c>
      <c r="B438" s="2840">
        <v>18700</v>
      </c>
      <c r="C438" s="2840">
        <v>18750</v>
      </c>
      <c r="D438" s="2841">
        <f t="shared" si="34"/>
        <v>2057</v>
      </c>
      <c r="E438" s="2841">
        <f t="shared" si="35"/>
        <v>1873</v>
      </c>
      <c r="F438" s="2841">
        <f t="shared" si="36"/>
        <v>2057</v>
      </c>
      <c r="G438" s="2841">
        <f t="shared" si="37"/>
        <v>1975</v>
      </c>
    </row>
    <row r="439" spans="1:7" ht="15.75">
      <c r="A439" s="3022">
        <f t="shared" si="38"/>
        <v>18775</v>
      </c>
      <c r="B439" s="2840">
        <v>18750</v>
      </c>
      <c r="C439" s="2840">
        <v>18800</v>
      </c>
      <c r="D439" s="2841">
        <f t="shared" si="34"/>
        <v>2063</v>
      </c>
      <c r="E439" s="2841">
        <f t="shared" si="35"/>
        <v>1878</v>
      </c>
      <c r="F439" s="2841">
        <f t="shared" si="36"/>
        <v>2063</v>
      </c>
      <c r="G439" s="2841">
        <f t="shared" si="37"/>
        <v>1981</v>
      </c>
    </row>
    <row r="440" spans="1:7" ht="15.75">
      <c r="A440" s="3022">
        <f t="shared" si="38"/>
        <v>18825</v>
      </c>
      <c r="B440" s="2840">
        <v>18800</v>
      </c>
      <c r="C440" s="2840">
        <v>18850</v>
      </c>
      <c r="D440" s="2841">
        <f t="shared" si="34"/>
        <v>2069</v>
      </c>
      <c r="E440" s="2841">
        <f t="shared" si="35"/>
        <v>1883</v>
      </c>
      <c r="F440" s="2841">
        <f t="shared" si="36"/>
        <v>2069</v>
      </c>
      <c r="G440" s="2841">
        <f t="shared" si="37"/>
        <v>1987</v>
      </c>
    </row>
    <row r="441" spans="1:7" ht="15.75">
      <c r="A441" s="3022">
        <f t="shared" si="38"/>
        <v>18875</v>
      </c>
      <c r="B441" s="2840">
        <v>18850</v>
      </c>
      <c r="C441" s="2840">
        <v>18900</v>
      </c>
      <c r="D441" s="2841">
        <f t="shared" si="34"/>
        <v>2075</v>
      </c>
      <c r="E441" s="2841">
        <f t="shared" si="35"/>
        <v>1888</v>
      </c>
      <c r="F441" s="2841">
        <f t="shared" si="36"/>
        <v>2075</v>
      </c>
      <c r="G441" s="2841">
        <f t="shared" si="37"/>
        <v>1993</v>
      </c>
    </row>
    <row r="442" spans="1:7" ht="15.75">
      <c r="A442" s="3022">
        <f t="shared" si="38"/>
        <v>18925</v>
      </c>
      <c r="B442" s="2840">
        <v>18900</v>
      </c>
      <c r="C442" s="2840">
        <v>18950</v>
      </c>
      <c r="D442" s="2841">
        <f t="shared" si="34"/>
        <v>2081</v>
      </c>
      <c r="E442" s="2841">
        <f t="shared" si="35"/>
        <v>1893</v>
      </c>
      <c r="F442" s="2841">
        <f t="shared" si="36"/>
        <v>2081</v>
      </c>
      <c r="G442" s="2841">
        <f t="shared" si="37"/>
        <v>1999</v>
      </c>
    </row>
    <row r="443" spans="1:7" ht="15.75">
      <c r="A443" s="3022">
        <f t="shared" si="38"/>
        <v>18975</v>
      </c>
      <c r="B443" s="2840">
        <v>18950</v>
      </c>
      <c r="C443" s="2840">
        <v>19000</v>
      </c>
      <c r="D443" s="2841">
        <f t="shared" si="34"/>
        <v>2087</v>
      </c>
      <c r="E443" s="2841">
        <f t="shared" si="35"/>
        <v>1898</v>
      </c>
      <c r="F443" s="2841">
        <f t="shared" si="36"/>
        <v>2087</v>
      </c>
      <c r="G443" s="2841">
        <f t="shared" si="37"/>
        <v>2005</v>
      </c>
    </row>
    <row r="444" spans="1:7" ht="15.75">
      <c r="A444" s="3022">
        <f t="shared" si="38"/>
        <v>19025</v>
      </c>
      <c r="B444" s="2840">
        <v>19000</v>
      </c>
      <c r="C444" s="2840">
        <v>19050</v>
      </c>
      <c r="D444" s="2841">
        <f t="shared" si="34"/>
        <v>2093</v>
      </c>
      <c r="E444" s="2841">
        <f t="shared" si="35"/>
        <v>1903</v>
      </c>
      <c r="F444" s="2841">
        <f t="shared" si="36"/>
        <v>2093</v>
      </c>
      <c r="G444" s="2841">
        <f t="shared" si="37"/>
        <v>2011</v>
      </c>
    </row>
    <row r="445" spans="1:7" ht="15.75">
      <c r="A445" s="3022">
        <f t="shared" si="38"/>
        <v>19075</v>
      </c>
      <c r="B445" s="2840">
        <v>19050</v>
      </c>
      <c r="C445" s="2840">
        <v>19100</v>
      </c>
      <c r="D445" s="2841">
        <f t="shared" si="34"/>
        <v>2099</v>
      </c>
      <c r="E445" s="2841">
        <f t="shared" si="35"/>
        <v>1908</v>
      </c>
      <c r="F445" s="2841">
        <f t="shared" si="36"/>
        <v>2099</v>
      </c>
      <c r="G445" s="2841">
        <f t="shared" si="37"/>
        <v>2017</v>
      </c>
    </row>
    <row r="446" spans="1:7" ht="15.75">
      <c r="A446" s="3022">
        <f t="shared" si="38"/>
        <v>19125</v>
      </c>
      <c r="B446" s="2840">
        <v>19100</v>
      </c>
      <c r="C446" s="2840">
        <v>19150</v>
      </c>
      <c r="D446" s="2841">
        <f t="shared" si="34"/>
        <v>2105</v>
      </c>
      <c r="E446" s="2841">
        <f t="shared" si="35"/>
        <v>1914</v>
      </c>
      <c r="F446" s="2841">
        <f t="shared" si="36"/>
        <v>2105</v>
      </c>
      <c r="G446" s="2841">
        <f t="shared" si="37"/>
        <v>2023</v>
      </c>
    </row>
    <row r="447" spans="1:7" ht="15.75">
      <c r="A447" s="3022">
        <f t="shared" si="38"/>
        <v>19175</v>
      </c>
      <c r="B447" s="2840">
        <v>19150</v>
      </c>
      <c r="C447" s="2840">
        <v>19200</v>
      </c>
      <c r="D447" s="2841">
        <f t="shared" si="34"/>
        <v>2111</v>
      </c>
      <c r="E447" s="2841">
        <f t="shared" si="35"/>
        <v>1920</v>
      </c>
      <c r="F447" s="2841">
        <f t="shared" si="36"/>
        <v>2111</v>
      </c>
      <c r="G447" s="2841">
        <f t="shared" si="37"/>
        <v>2029</v>
      </c>
    </row>
    <row r="448" spans="1:7" ht="15.75">
      <c r="A448" s="3022">
        <f t="shared" si="38"/>
        <v>19225</v>
      </c>
      <c r="B448" s="2840">
        <v>19200</v>
      </c>
      <c r="C448" s="2840">
        <v>19250</v>
      </c>
      <c r="D448" s="2841">
        <f t="shared" si="34"/>
        <v>2117</v>
      </c>
      <c r="E448" s="2841">
        <f t="shared" si="35"/>
        <v>1926</v>
      </c>
      <c r="F448" s="2841">
        <f t="shared" si="36"/>
        <v>2117</v>
      </c>
      <c r="G448" s="2841">
        <f t="shared" si="37"/>
        <v>2035</v>
      </c>
    </row>
    <row r="449" spans="1:7" ht="15.75">
      <c r="A449" s="3022">
        <f t="shared" si="38"/>
        <v>19275</v>
      </c>
      <c r="B449" s="2840">
        <v>19250</v>
      </c>
      <c r="C449" s="2840">
        <v>19300</v>
      </c>
      <c r="D449" s="2841">
        <f t="shared" si="34"/>
        <v>2123</v>
      </c>
      <c r="E449" s="2841">
        <f t="shared" si="35"/>
        <v>1932</v>
      </c>
      <c r="F449" s="2841">
        <f t="shared" si="36"/>
        <v>2123</v>
      </c>
      <c r="G449" s="2841">
        <f t="shared" si="37"/>
        <v>2041</v>
      </c>
    </row>
    <row r="450" spans="1:7" ht="15.75">
      <c r="A450" s="3022">
        <f t="shared" si="38"/>
        <v>19325</v>
      </c>
      <c r="B450" s="2840">
        <v>19300</v>
      </c>
      <c r="C450" s="2840">
        <v>19350</v>
      </c>
      <c r="D450" s="2841">
        <f t="shared" ref="D450:D513" si="39">IF($A450&gt;BOTT_A4,ROUND(BASE_A4+RATE_A4*($A450-BOTT_A4),0),IF($A450&gt;BOTT_A3,ROUND(BASE_A3+RATE_A3*($A450-BOTT_A3),0),IF($A450&gt;BOTT_A2,ROUND(BASE_A2+RATE_A2*($A450-BOTT_A2),0),ROUND(RATE_A1*$A450,0))))</f>
        <v>2129</v>
      </c>
      <c r="E450" s="2841">
        <f t="shared" ref="E450:E513" si="40">IF($A450&gt;BOTT_B4,ROUND(BASE_B4+RATE_B4*($A450-BOTT_B4),0),IF($A450&gt;BOTT_B3,ROUND(BASE_B3+RATE_B3*($A450-BOTT_B3),0),IF($A450&gt;BOTT_B2,ROUND(BASE_B2+RATE_B2*($A450-BOTT_B2),0),ROUND(RATE_B1*$A450,0))))</f>
        <v>1938</v>
      </c>
      <c r="F450" s="2841">
        <f t="shared" ref="F450:F513" si="41">IF($A450&gt;BOTT_C4,ROUND(BASE_C4+RATE_C4*($A450-BOTT_C4),0),IF($A450&gt;BOTT_C3,ROUND(BASE_C3+RATE_C3*($A450-BOTT_C3),0),IF($A450&gt;BOTT_C2,ROUND(BASE_C2+RATE_C2*($A450-BOTT_C2),0),ROUND(RATE_C1*$A450,0))))</f>
        <v>2129</v>
      </c>
      <c r="G450" s="2841">
        <f t="shared" ref="G450:G513" si="42">IF($A450&gt;BOTT_D4,ROUND(BASE_D4+RATE_D4*($A450-BOTT_D4),0),IF($A450&gt;BOTT_D3,ROUND(BASE_D3+RATE_D3*($A450-BOTT_D3),0),IF($A450&gt;BOTT_D2,ROUND(BASE_D2+RATE_D2*($A450-BOTT_D2),0),ROUND(RATE_D1*$A450,0))))</f>
        <v>2047</v>
      </c>
    </row>
    <row r="451" spans="1:7" ht="15.75">
      <c r="A451" s="3022">
        <f t="shared" ref="A451:A514" si="43">AVERAGE(B451,C451)</f>
        <v>19375</v>
      </c>
      <c r="B451" s="2840">
        <v>19350</v>
      </c>
      <c r="C451" s="2840">
        <v>19400</v>
      </c>
      <c r="D451" s="2841">
        <f t="shared" si="39"/>
        <v>2135</v>
      </c>
      <c r="E451" s="2841">
        <f t="shared" si="40"/>
        <v>1944</v>
      </c>
      <c r="F451" s="2841">
        <f t="shared" si="41"/>
        <v>2135</v>
      </c>
      <c r="G451" s="2841">
        <f t="shared" si="42"/>
        <v>2053</v>
      </c>
    </row>
    <row r="452" spans="1:7" ht="15.75">
      <c r="A452" s="3022">
        <f t="shared" si="43"/>
        <v>19425</v>
      </c>
      <c r="B452" s="2840">
        <v>19400</v>
      </c>
      <c r="C452" s="2840">
        <v>19450</v>
      </c>
      <c r="D452" s="2841">
        <f t="shared" si="39"/>
        <v>2141</v>
      </c>
      <c r="E452" s="2841">
        <f t="shared" si="40"/>
        <v>1950</v>
      </c>
      <c r="F452" s="2841">
        <f t="shared" si="41"/>
        <v>2141</v>
      </c>
      <c r="G452" s="2841">
        <f t="shared" si="42"/>
        <v>2059</v>
      </c>
    </row>
    <row r="453" spans="1:7" ht="15.75">
      <c r="A453" s="3022">
        <f t="shared" si="43"/>
        <v>19475</v>
      </c>
      <c r="B453" s="2840">
        <v>19450</v>
      </c>
      <c r="C453" s="2840">
        <v>19500</v>
      </c>
      <c r="D453" s="2841">
        <f t="shared" si="39"/>
        <v>2147</v>
      </c>
      <c r="E453" s="2841">
        <f t="shared" si="40"/>
        <v>1956</v>
      </c>
      <c r="F453" s="2841">
        <f t="shared" si="41"/>
        <v>2147</v>
      </c>
      <c r="G453" s="2841">
        <f t="shared" si="42"/>
        <v>2065</v>
      </c>
    </row>
    <row r="454" spans="1:7" ht="15.75">
      <c r="A454" s="3022">
        <f t="shared" si="43"/>
        <v>19525</v>
      </c>
      <c r="B454" s="2840">
        <v>19500</v>
      </c>
      <c r="C454" s="2840">
        <v>19550</v>
      </c>
      <c r="D454" s="2841">
        <f t="shared" si="39"/>
        <v>2153</v>
      </c>
      <c r="E454" s="2841">
        <f t="shared" si="40"/>
        <v>1962</v>
      </c>
      <c r="F454" s="2841">
        <f t="shared" si="41"/>
        <v>2153</v>
      </c>
      <c r="G454" s="2841">
        <f t="shared" si="42"/>
        <v>2071</v>
      </c>
    </row>
    <row r="455" spans="1:7" ht="15.75">
      <c r="A455" s="3022">
        <f t="shared" si="43"/>
        <v>19575</v>
      </c>
      <c r="B455" s="2840">
        <v>19550</v>
      </c>
      <c r="C455" s="2840">
        <v>19600</v>
      </c>
      <c r="D455" s="2841">
        <f t="shared" si="39"/>
        <v>2159</v>
      </c>
      <c r="E455" s="2841">
        <f t="shared" si="40"/>
        <v>1968</v>
      </c>
      <c r="F455" s="2841">
        <f t="shared" si="41"/>
        <v>2159</v>
      </c>
      <c r="G455" s="2841">
        <f t="shared" si="42"/>
        <v>2077</v>
      </c>
    </row>
    <row r="456" spans="1:7" ht="15.75">
      <c r="A456" s="3022">
        <f t="shared" si="43"/>
        <v>19625</v>
      </c>
      <c r="B456" s="2840">
        <v>19600</v>
      </c>
      <c r="C456" s="2840">
        <v>19650</v>
      </c>
      <c r="D456" s="2841">
        <f t="shared" si="39"/>
        <v>2165</v>
      </c>
      <c r="E456" s="2841">
        <f t="shared" si="40"/>
        <v>1974</v>
      </c>
      <c r="F456" s="2841">
        <f t="shared" si="41"/>
        <v>2165</v>
      </c>
      <c r="G456" s="2841">
        <f t="shared" si="42"/>
        <v>2083</v>
      </c>
    </row>
    <row r="457" spans="1:7" ht="15.75">
      <c r="A457" s="3022">
        <f t="shared" si="43"/>
        <v>19675</v>
      </c>
      <c r="B457" s="2840">
        <v>19650</v>
      </c>
      <c r="C457" s="2840">
        <v>19700</v>
      </c>
      <c r="D457" s="2841">
        <f t="shared" si="39"/>
        <v>2171</v>
      </c>
      <c r="E457" s="2841">
        <f t="shared" si="40"/>
        <v>1980</v>
      </c>
      <c r="F457" s="2841">
        <f t="shared" si="41"/>
        <v>2171</v>
      </c>
      <c r="G457" s="2841">
        <f t="shared" si="42"/>
        <v>2089</v>
      </c>
    </row>
    <row r="458" spans="1:7" ht="15.75">
      <c r="A458" s="3022">
        <f t="shared" si="43"/>
        <v>19725</v>
      </c>
      <c r="B458" s="2840">
        <v>19700</v>
      </c>
      <c r="C458" s="2840">
        <v>19750</v>
      </c>
      <c r="D458" s="2841">
        <f t="shared" si="39"/>
        <v>2177</v>
      </c>
      <c r="E458" s="2841">
        <f t="shared" si="40"/>
        <v>1986</v>
      </c>
      <c r="F458" s="2841">
        <f t="shared" si="41"/>
        <v>2177</v>
      </c>
      <c r="G458" s="2841">
        <f t="shared" si="42"/>
        <v>2095</v>
      </c>
    </row>
    <row r="459" spans="1:7" ht="15.75">
      <c r="A459" s="3022">
        <f t="shared" si="43"/>
        <v>19775</v>
      </c>
      <c r="B459" s="2840">
        <v>19750</v>
      </c>
      <c r="C459" s="2840">
        <v>19800</v>
      </c>
      <c r="D459" s="2841">
        <f t="shared" si="39"/>
        <v>2183</v>
      </c>
      <c r="E459" s="2841">
        <f t="shared" si="40"/>
        <v>1992</v>
      </c>
      <c r="F459" s="2841">
        <f t="shared" si="41"/>
        <v>2183</v>
      </c>
      <c r="G459" s="2841">
        <f t="shared" si="42"/>
        <v>2101</v>
      </c>
    </row>
    <row r="460" spans="1:7" ht="15.75">
      <c r="A460" s="3022">
        <f t="shared" si="43"/>
        <v>19825</v>
      </c>
      <c r="B460" s="2840">
        <v>19800</v>
      </c>
      <c r="C460" s="2840">
        <v>19850</v>
      </c>
      <c r="D460" s="2841">
        <f t="shared" si="39"/>
        <v>2189</v>
      </c>
      <c r="E460" s="2841">
        <f t="shared" si="40"/>
        <v>1998</v>
      </c>
      <c r="F460" s="2841">
        <f t="shared" si="41"/>
        <v>2189</v>
      </c>
      <c r="G460" s="2841">
        <f t="shared" si="42"/>
        <v>2107</v>
      </c>
    </row>
    <row r="461" spans="1:7" ht="15.75">
      <c r="A461" s="3022">
        <f t="shared" si="43"/>
        <v>19875</v>
      </c>
      <c r="B461" s="2840">
        <v>19850</v>
      </c>
      <c r="C461" s="2840">
        <v>19900</v>
      </c>
      <c r="D461" s="2841">
        <f t="shared" si="39"/>
        <v>2195</v>
      </c>
      <c r="E461" s="2841">
        <f t="shared" si="40"/>
        <v>2004</v>
      </c>
      <c r="F461" s="2841">
        <f t="shared" si="41"/>
        <v>2195</v>
      </c>
      <c r="G461" s="2841">
        <f t="shared" si="42"/>
        <v>2113</v>
      </c>
    </row>
    <row r="462" spans="1:7" ht="15.75">
      <c r="A462" s="3022">
        <f t="shared" si="43"/>
        <v>19925</v>
      </c>
      <c r="B462" s="2840">
        <v>19900</v>
      </c>
      <c r="C462" s="2840">
        <v>19950</v>
      </c>
      <c r="D462" s="2841">
        <f t="shared" si="39"/>
        <v>2201</v>
      </c>
      <c r="E462" s="2841">
        <f t="shared" si="40"/>
        <v>2010</v>
      </c>
      <c r="F462" s="2841">
        <f t="shared" si="41"/>
        <v>2201</v>
      </c>
      <c r="G462" s="2841">
        <f t="shared" si="42"/>
        <v>2119</v>
      </c>
    </row>
    <row r="463" spans="1:7" ht="15.75">
      <c r="A463" s="3022">
        <f t="shared" si="43"/>
        <v>19975</v>
      </c>
      <c r="B463" s="2840">
        <v>19950</v>
      </c>
      <c r="C463" s="2840">
        <v>20000</v>
      </c>
      <c r="D463" s="2841">
        <f t="shared" si="39"/>
        <v>2207</v>
      </c>
      <c r="E463" s="2841">
        <f t="shared" si="40"/>
        <v>2016</v>
      </c>
      <c r="F463" s="2841">
        <f t="shared" si="41"/>
        <v>2207</v>
      </c>
      <c r="G463" s="2841">
        <f t="shared" si="42"/>
        <v>2125</v>
      </c>
    </row>
    <row r="464" spans="1:7" ht="15.75">
      <c r="A464" s="3022">
        <f t="shared" si="43"/>
        <v>20025</v>
      </c>
      <c r="B464" s="2840">
        <v>20000</v>
      </c>
      <c r="C464" s="2840">
        <v>20050</v>
      </c>
      <c r="D464" s="2841">
        <f t="shared" si="39"/>
        <v>2213</v>
      </c>
      <c r="E464" s="2841">
        <f t="shared" si="40"/>
        <v>2022</v>
      </c>
      <c r="F464" s="2841">
        <f t="shared" si="41"/>
        <v>2213</v>
      </c>
      <c r="G464" s="2841">
        <f t="shared" si="42"/>
        <v>2131</v>
      </c>
    </row>
    <row r="465" spans="1:7" ht="15.75">
      <c r="A465" s="3022">
        <f t="shared" si="43"/>
        <v>20075</v>
      </c>
      <c r="B465" s="2840">
        <v>20050</v>
      </c>
      <c r="C465" s="2840">
        <v>20100</v>
      </c>
      <c r="D465" s="2841">
        <f t="shared" si="39"/>
        <v>2219</v>
      </c>
      <c r="E465" s="2841">
        <f t="shared" si="40"/>
        <v>2028</v>
      </c>
      <c r="F465" s="2841">
        <f t="shared" si="41"/>
        <v>2219</v>
      </c>
      <c r="G465" s="2841">
        <f t="shared" si="42"/>
        <v>2137</v>
      </c>
    </row>
    <row r="466" spans="1:7" ht="15.75">
      <c r="A466" s="3022">
        <f t="shared" si="43"/>
        <v>20125</v>
      </c>
      <c r="B466" s="2840">
        <v>20100</v>
      </c>
      <c r="C466" s="2840">
        <v>20150</v>
      </c>
      <c r="D466" s="2841">
        <f t="shared" si="39"/>
        <v>2225</v>
      </c>
      <c r="E466" s="2841">
        <f t="shared" si="40"/>
        <v>2034</v>
      </c>
      <c r="F466" s="2841">
        <f t="shared" si="41"/>
        <v>2225</v>
      </c>
      <c r="G466" s="2841">
        <f t="shared" si="42"/>
        <v>2143</v>
      </c>
    </row>
    <row r="467" spans="1:7" ht="15.75">
      <c r="A467" s="3022">
        <f t="shared" si="43"/>
        <v>20175</v>
      </c>
      <c r="B467" s="2840">
        <v>20150</v>
      </c>
      <c r="C467" s="2840">
        <v>20200</v>
      </c>
      <c r="D467" s="2841">
        <f t="shared" si="39"/>
        <v>2231</v>
      </c>
      <c r="E467" s="2841">
        <f t="shared" si="40"/>
        <v>2040</v>
      </c>
      <c r="F467" s="2841">
        <f t="shared" si="41"/>
        <v>2231</v>
      </c>
      <c r="G467" s="2841">
        <f t="shared" si="42"/>
        <v>2149</v>
      </c>
    </row>
    <row r="468" spans="1:7" ht="15.75">
      <c r="A468" s="3022">
        <f t="shared" si="43"/>
        <v>20225</v>
      </c>
      <c r="B468" s="2840">
        <v>20200</v>
      </c>
      <c r="C468" s="2840">
        <v>20250</v>
      </c>
      <c r="D468" s="2841">
        <f t="shared" si="39"/>
        <v>2237</v>
      </c>
      <c r="E468" s="2841">
        <f t="shared" si="40"/>
        <v>2046</v>
      </c>
      <c r="F468" s="2841">
        <f t="shared" si="41"/>
        <v>2237</v>
      </c>
      <c r="G468" s="2841">
        <f t="shared" si="42"/>
        <v>2155</v>
      </c>
    </row>
    <row r="469" spans="1:7" ht="15.75">
      <c r="A469" s="3022">
        <f t="shared" si="43"/>
        <v>20275</v>
      </c>
      <c r="B469" s="2840">
        <v>20250</v>
      </c>
      <c r="C469" s="2840">
        <v>20300</v>
      </c>
      <c r="D469" s="2841">
        <f t="shared" si="39"/>
        <v>2243</v>
      </c>
      <c r="E469" s="2841">
        <f t="shared" si="40"/>
        <v>2052</v>
      </c>
      <c r="F469" s="2841">
        <f t="shared" si="41"/>
        <v>2243</v>
      </c>
      <c r="G469" s="2841">
        <f t="shared" si="42"/>
        <v>2161</v>
      </c>
    </row>
    <row r="470" spans="1:7" ht="15.75">
      <c r="A470" s="3022">
        <f t="shared" si="43"/>
        <v>20325</v>
      </c>
      <c r="B470" s="2840">
        <v>20300</v>
      </c>
      <c r="C470" s="2840">
        <v>20350</v>
      </c>
      <c r="D470" s="2841">
        <f t="shared" si="39"/>
        <v>2249</v>
      </c>
      <c r="E470" s="2841">
        <f t="shared" si="40"/>
        <v>2058</v>
      </c>
      <c r="F470" s="2841">
        <f t="shared" si="41"/>
        <v>2249</v>
      </c>
      <c r="G470" s="2841">
        <f t="shared" si="42"/>
        <v>2167</v>
      </c>
    </row>
    <row r="471" spans="1:7" ht="15.75">
      <c r="A471" s="3022">
        <f t="shared" si="43"/>
        <v>20375</v>
      </c>
      <c r="B471" s="2840">
        <v>20350</v>
      </c>
      <c r="C471" s="2840">
        <v>20400</v>
      </c>
      <c r="D471" s="2841">
        <f t="shared" si="39"/>
        <v>2255</v>
      </c>
      <c r="E471" s="2841">
        <f t="shared" si="40"/>
        <v>2064</v>
      </c>
      <c r="F471" s="2841">
        <f t="shared" si="41"/>
        <v>2255</v>
      </c>
      <c r="G471" s="2841">
        <f t="shared" si="42"/>
        <v>2173</v>
      </c>
    </row>
    <row r="472" spans="1:7" ht="15.75">
      <c r="A472" s="3022">
        <f t="shared" si="43"/>
        <v>20425</v>
      </c>
      <c r="B472" s="2840">
        <v>20400</v>
      </c>
      <c r="C472" s="2840">
        <v>20450</v>
      </c>
      <c r="D472" s="2841">
        <f t="shared" si="39"/>
        <v>2261</v>
      </c>
      <c r="E472" s="2841">
        <f t="shared" si="40"/>
        <v>2070</v>
      </c>
      <c r="F472" s="2841">
        <f t="shared" si="41"/>
        <v>2261</v>
      </c>
      <c r="G472" s="2841">
        <f t="shared" si="42"/>
        <v>2179</v>
      </c>
    </row>
    <row r="473" spans="1:7" ht="15.75">
      <c r="A473" s="3022">
        <f t="shared" si="43"/>
        <v>20475</v>
      </c>
      <c r="B473" s="2840">
        <v>20450</v>
      </c>
      <c r="C473" s="2840">
        <v>20500</v>
      </c>
      <c r="D473" s="2841">
        <f t="shared" si="39"/>
        <v>2267</v>
      </c>
      <c r="E473" s="2841">
        <f t="shared" si="40"/>
        <v>2076</v>
      </c>
      <c r="F473" s="2841">
        <f t="shared" si="41"/>
        <v>2267</v>
      </c>
      <c r="G473" s="2841">
        <f t="shared" si="42"/>
        <v>2185</v>
      </c>
    </row>
    <row r="474" spans="1:7" ht="15.75">
      <c r="A474" s="3022">
        <f t="shared" si="43"/>
        <v>20525</v>
      </c>
      <c r="B474" s="2840">
        <v>20500</v>
      </c>
      <c r="C474" s="2840">
        <v>20550</v>
      </c>
      <c r="D474" s="2841">
        <f t="shared" si="39"/>
        <v>2273</v>
      </c>
      <c r="E474" s="2841">
        <f t="shared" si="40"/>
        <v>2082</v>
      </c>
      <c r="F474" s="2841">
        <f t="shared" si="41"/>
        <v>2273</v>
      </c>
      <c r="G474" s="2841">
        <f t="shared" si="42"/>
        <v>2191</v>
      </c>
    </row>
    <row r="475" spans="1:7" ht="15.75">
      <c r="A475" s="3022">
        <f t="shared" si="43"/>
        <v>20575</v>
      </c>
      <c r="B475" s="2840">
        <v>20550</v>
      </c>
      <c r="C475" s="2840">
        <v>20600</v>
      </c>
      <c r="D475" s="2841">
        <f t="shared" si="39"/>
        <v>2279</v>
      </c>
      <c r="E475" s="2841">
        <f t="shared" si="40"/>
        <v>2088</v>
      </c>
      <c r="F475" s="2841">
        <f t="shared" si="41"/>
        <v>2279</v>
      </c>
      <c r="G475" s="2841">
        <f t="shared" si="42"/>
        <v>2197</v>
      </c>
    </row>
    <row r="476" spans="1:7" ht="15.75">
      <c r="A476" s="3022">
        <f t="shared" si="43"/>
        <v>20625</v>
      </c>
      <c r="B476" s="2840">
        <v>20600</v>
      </c>
      <c r="C476" s="2840">
        <v>20650</v>
      </c>
      <c r="D476" s="2841">
        <f t="shared" si="39"/>
        <v>2285</v>
      </c>
      <c r="E476" s="2841">
        <f t="shared" si="40"/>
        <v>2094</v>
      </c>
      <c r="F476" s="2841">
        <f t="shared" si="41"/>
        <v>2285</v>
      </c>
      <c r="G476" s="2841">
        <f t="shared" si="42"/>
        <v>2203</v>
      </c>
    </row>
    <row r="477" spans="1:7" ht="15.75">
      <c r="A477" s="3022">
        <f t="shared" si="43"/>
        <v>20675</v>
      </c>
      <c r="B477" s="2840">
        <v>20650</v>
      </c>
      <c r="C477" s="2840">
        <v>20700</v>
      </c>
      <c r="D477" s="2841">
        <f t="shared" si="39"/>
        <v>2291</v>
      </c>
      <c r="E477" s="2841">
        <f t="shared" si="40"/>
        <v>2100</v>
      </c>
      <c r="F477" s="2841">
        <f t="shared" si="41"/>
        <v>2291</v>
      </c>
      <c r="G477" s="2841">
        <f t="shared" si="42"/>
        <v>2209</v>
      </c>
    </row>
    <row r="478" spans="1:7" ht="15.75">
      <c r="A478" s="3022">
        <f t="shared" si="43"/>
        <v>20725</v>
      </c>
      <c r="B478" s="2840">
        <v>20700</v>
      </c>
      <c r="C478" s="2840">
        <v>20750</v>
      </c>
      <c r="D478" s="2841">
        <f t="shared" si="39"/>
        <v>2297</v>
      </c>
      <c r="E478" s="2841">
        <f t="shared" si="40"/>
        <v>2106</v>
      </c>
      <c r="F478" s="2841">
        <f t="shared" si="41"/>
        <v>2297</v>
      </c>
      <c r="G478" s="2841">
        <f t="shared" si="42"/>
        <v>2215</v>
      </c>
    </row>
    <row r="479" spans="1:7" ht="15.75">
      <c r="A479" s="3022">
        <f t="shared" si="43"/>
        <v>20775</v>
      </c>
      <c r="B479" s="2840">
        <v>20750</v>
      </c>
      <c r="C479" s="2840">
        <v>20800</v>
      </c>
      <c r="D479" s="2841">
        <f t="shared" si="39"/>
        <v>2303</v>
      </c>
      <c r="E479" s="2841">
        <f t="shared" si="40"/>
        <v>2112</v>
      </c>
      <c r="F479" s="2841">
        <f t="shared" si="41"/>
        <v>2303</v>
      </c>
      <c r="G479" s="2841">
        <f t="shared" si="42"/>
        <v>2221</v>
      </c>
    </row>
    <row r="480" spans="1:7" ht="15.75">
      <c r="A480" s="3022">
        <f t="shared" si="43"/>
        <v>20825</v>
      </c>
      <c r="B480" s="2840">
        <v>20800</v>
      </c>
      <c r="C480" s="2840">
        <v>20850</v>
      </c>
      <c r="D480" s="2841">
        <f t="shared" si="39"/>
        <v>2309</v>
      </c>
      <c r="E480" s="2841">
        <f t="shared" si="40"/>
        <v>2118</v>
      </c>
      <c r="F480" s="2841">
        <f t="shared" si="41"/>
        <v>2309</v>
      </c>
      <c r="G480" s="2841">
        <f t="shared" si="42"/>
        <v>2227</v>
      </c>
    </row>
    <row r="481" spans="1:7" ht="15.75">
      <c r="A481" s="3022">
        <f t="shared" si="43"/>
        <v>20875</v>
      </c>
      <c r="B481" s="2840">
        <v>20850</v>
      </c>
      <c r="C481" s="2840">
        <v>20900</v>
      </c>
      <c r="D481" s="2841">
        <f t="shared" si="39"/>
        <v>2315</v>
      </c>
      <c r="E481" s="2841">
        <f t="shared" si="40"/>
        <v>2124</v>
      </c>
      <c r="F481" s="2841">
        <f t="shared" si="41"/>
        <v>2315</v>
      </c>
      <c r="G481" s="2841">
        <f t="shared" si="42"/>
        <v>2233</v>
      </c>
    </row>
    <row r="482" spans="1:7" ht="15.75">
      <c r="A482" s="3022">
        <f t="shared" si="43"/>
        <v>20925</v>
      </c>
      <c r="B482" s="2840">
        <v>20900</v>
      </c>
      <c r="C482" s="2840">
        <v>20950</v>
      </c>
      <c r="D482" s="2841">
        <f t="shared" si="39"/>
        <v>2321</v>
      </c>
      <c r="E482" s="2841">
        <f t="shared" si="40"/>
        <v>2130</v>
      </c>
      <c r="F482" s="2841">
        <f t="shared" si="41"/>
        <v>2321</v>
      </c>
      <c r="G482" s="2841">
        <f t="shared" si="42"/>
        <v>2239</v>
      </c>
    </row>
    <row r="483" spans="1:7" ht="15.75">
      <c r="A483" s="3022">
        <f t="shared" si="43"/>
        <v>20975</v>
      </c>
      <c r="B483" s="2840">
        <v>20950</v>
      </c>
      <c r="C483" s="2840">
        <v>21000</v>
      </c>
      <c r="D483" s="2841">
        <f t="shared" si="39"/>
        <v>2327</v>
      </c>
      <c r="E483" s="2841">
        <f t="shared" si="40"/>
        <v>2136</v>
      </c>
      <c r="F483" s="2841">
        <f t="shared" si="41"/>
        <v>2327</v>
      </c>
      <c r="G483" s="2841">
        <f t="shared" si="42"/>
        <v>2245</v>
      </c>
    </row>
    <row r="484" spans="1:7" ht="15.75">
      <c r="A484" s="3022">
        <f t="shared" si="43"/>
        <v>21025</v>
      </c>
      <c r="B484" s="2840">
        <v>21000</v>
      </c>
      <c r="C484" s="2840">
        <v>21050</v>
      </c>
      <c r="D484" s="2841">
        <f t="shared" si="39"/>
        <v>2333</v>
      </c>
      <c r="E484" s="2841">
        <f t="shared" si="40"/>
        <v>2142</v>
      </c>
      <c r="F484" s="2841">
        <f t="shared" si="41"/>
        <v>2333</v>
      </c>
      <c r="G484" s="2841">
        <f t="shared" si="42"/>
        <v>2251</v>
      </c>
    </row>
    <row r="485" spans="1:7" ht="15.75">
      <c r="A485" s="3022">
        <f t="shared" si="43"/>
        <v>21075</v>
      </c>
      <c r="B485" s="2840">
        <v>21050</v>
      </c>
      <c r="C485" s="2840">
        <v>21100</v>
      </c>
      <c r="D485" s="2841">
        <f t="shared" si="39"/>
        <v>2339</v>
      </c>
      <c r="E485" s="2841">
        <f t="shared" si="40"/>
        <v>2148</v>
      </c>
      <c r="F485" s="2841">
        <f t="shared" si="41"/>
        <v>2339</v>
      </c>
      <c r="G485" s="2841">
        <f t="shared" si="42"/>
        <v>2257</v>
      </c>
    </row>
    <row r="486" spans="1:7" ht="15.75">
      <c r="A486" s="3022">
        <f t="shared" si="43"/>
        <v>21125</v>
      </c>
      <c r="B486" s="2840">
        <v>21100</v>
      </c>
      <c r="C486" s="2840">
        <v>21150</v>
      </c>
      <c r="D486" s="2841">
        <f t="shared" si="39"/>
        <v>2345</v>
      </c>
      <c r="E486" s="2841">
        <f t="shared" si="40"/>
        <v>2154</v>
      </c>
      <c r="F486" s="2841">
        <f t="shared" si="41"/>
        <v>2345</v>
      </c>
      <c r="G486" s="2841">
        <f t="shared" si="42"/>
        <v>2263</v>
      </c>
    </row>
    <row r="487" spans="1:7" ht="15.75">
      <c r="A487" s="3022">
        <f t="shared" si="43"/>
        <v>21175</v>
      </c>
      <c r="B487" s="2840">
        <v>21150</v>
      </c>
      <c r="C487" s="2840">
        <v>21200</v>
      </c>
      <c r="D487" s="2841">
        <f t="shared" si="39"/>
        <v>2351</v>
      </c>
      <c r="E487" s="2841">
        <f t="shared" si="40"/>
        <v>2160</v>
      </c>
      <c r="F487" s="2841">
        <f t="shared" si="41"/>
        <v>2351</v>
      </c>
      <c r="G487" s="2841">
        <f t="shared" si="42"/>
        <v>2269</v>
      </c>
    </row>
    <row r="488" spans="1:7" ht="15.75">
      <c r="A488" s="3022">
        <f t="shared" si="43"/>
        <v>21225</v>
      </c>
      <c r="B488" s="2840">
        <v>21200</v>
      </c>
      <c r="C488" s="2840">
        <v>21250</v>
      </c>
      <c r="D488" s="2841">
        <f t="shared" si="39"/>
        <v>2357</v>
      </c>
      <c r="E488" s="2841">
        <f t="shared" si="40"/>
        <v>2166</v>
      </c>
      <c r="F488" s="2841">
        <f t="shared" si="41"/>
        <v>2357</v>
      </c>
      <c r="G488" s="2841">
        <f t="shared" si="42"/>
        <v>2275</v>
      </c>
    </row>
    <row r="489" spans="1:7" ht="15.75">
      <c r="A489" s="3022">
        <f t="shared" si="43"/>
        <v>21275</v>
      </c>
      <c r="B489" s="2840">
        <v>21250</v>
      </c>
      <c r="C489" s="2840">
        <v>21300</v>
      </c>
      <c r="D489" s="2841">
        <f t="shared" si="39"/>
        <v>2363</v>
      </c>
      <c r="E489" s="2841">
        <f t="shared" si="40"/>
        <v>2172</v>
      </c>
      <c r="F489" s="2841">
        <f t="shared" si="41"/>
        <v>2363</v>
      </c>
      <c r="G489" s="2841">
        <f t="shared" si="42"/>
        <v>2281</v>
      </c>
    </row>
    <row r="490" spans="1:7" ht="15.75">
      <c r="A490" s="3022">
        <f t="shared" si="43"/>
        <v>21325</v>
      </c>
      <c r="B490" s="2840">
        <v>21300</v>
      </c>
      <c r="C490" s="2840">
        <v>21350</v>
      </c>
      <c r="D490" s="2841">
        <f t="shared" si="39"/>
        <v>2369</v>
      </c>
      <c r="E490" s="2841">
        <f t="shared" si="40"/>
        <v>2178</v>
      </c>
      <c r="F490" s="2841">
        <f t="shared" si="41"/>
        <v>2369</v>
      </c>
      <c r="G490" s="2841">
        <f t="shared" si="42"/>
        <v>2287</v>
      </c>
    </row>
    <row r="491" spans="1:7" ht="15.75">
      <c r="A491" s="3022">
        <f t="shared" si="43"/>
        <v>21375</v>
      </c>
      <c r="B491" s="2840">
        <v>21350</v>
      </c>
      <c r="C491" s="2840">
        <v>21400</v>
      </c>
      <c r="D491" s="2841">
        <f t="shared" si="39"/>
        <v>2375</v>
      </c>
      <c r="E491" s="2841">
        <f t="shared" si="40"/>
        <v>2184</v>
      </c>
      <c r="F491" s="2841">
        <f t="shared" si="41"/>
        <v>2375</v>
      </c>
      <c r="G491" s="2841">
        <f t="shared" si="42"/>
        <v>2293</v>
      </c>
    </row>
    <row r="492" spans="1:7" ht="15.75">
      <c r="A492" s="3022">
        <f t="shared" si="43"/>
        <v>21425</v>
      </c>
      <c r="B492" s="2840">
        <v>21400</v>
      </c>
      <c r="C492" s="2840">
        <v>21450</v>
      </c>
      <c r="D492" s="2841">
        <f t="shared" si="39"/>
        <v>2381</v>
      </c>
      <c r="E492" s="2841">
        <f t="shared" si="40"/>
        <v>2190</v>
      </c>
      <c r="F492" s="2841">
        <f t="shared" si="41"/>
        <v>2381</v>
      </c>
      <c r="G492" s="2841">
        <f t="shared" si="42"/>
        <v>2299</v>
      </c>
    </row>
    <row r="493" spans="1:7" ht="15.75">
      <c r="A493" s="3022">
        <f t="shared" si="43"/>
        <v>21475</v>
      </c>
      <c r="B493" s="2840">
        <v>21450</v>
      </c>
      <c r="C493" s="2840">
        <v>21500</v>
      </c>
      <c r="D493" s="2841">
        <f t="shared" si="39"/>
        <v>2387</v>
      </c>
      <c r="E493" s="2841">
        <f t="shared" si="40"/>
        <v>2196</v>
      </c>
      <c r="F493" s="2841">
        <f t="shared" si="41"/>
        <v>2387</v>
      </c>
      <c r="G493" s="2841">
        <f t="shared" si="42"/>
        <v>2305</v>
      </c>
    </row>
    <row r="494" spans="1:7" ht="15.75">
      <c r="A494" s="3022">
        <f t="shared" si="43"/>
        <v>21525</v>
      </c>
      <c r="B494" s="2840">
        <v>21500</v>
      </c>
      <c r="C494" s="2840">
        <v>21550</v>
      </c>
      <c r="D494" s="2841">
        <f t="shared" si="39"/>
        <v>2393</v>
      </c>
      <c r="E494" s="2841">
        <f t="shared" si="40"/>
        <v>2202</v>
      </c>
      <c r="F494" s="2841">
        <f t="shared" si="41"/>
        <v>2393</v>
      </c>
      <c r="G494" s="2841">
        <f t="shared" si="42"/>
        <v>2311</v>
      </c>
    </row>
    <row r="495" spans="1:7" ht="15.75">
      <c r="A495" s="3022">
        <f t="shared" si="43"/>
        <v>21575</v>
      </c>
      <c r="B495" s="2840">
        <v>21550</v>
      </c>
      <c r="C495" s="2840">
        <v>21600</v>
      </c>
      <c r="D495" s="2841">
        <f t="shared" si="39"/>
        <v>2399</v>
      </c>
      <c r="E495" s="2841">
        <f t="shared" si="40"/>
        <v>2208</v>
      </c>
      <c r="F495" s="2841">
        <f t="shared" si="41"/>
        <v>2399</v>
      </c>
      <c r="G495" s="2841">
        <f t="shared" si="42"/>
        <v>2317</v>
      </c>
    </row>
    <row r="496" spans="1:7" ht="15.75">
      <c r="A496" s="3022">
        <f t="shared" si="43"/>
        <v>21625</v>
      </c>
      <c r="B496" s="2840">
        <v>21600</v>
      </c>
      <c r="C496" s="2840">
        <v>21650</v>
      </c>
      <c r="D496" s="2841">
        <f t="shared" si="39"/>
        <v>2405</v>
      </c>
      <c r="E496" s="2841">
        <f t="shared" si="40"/>
        <v>2214</v>
      </c>
      <c r="F496" s="2841">
        <f t="shared" si="41"/>
        <v>2405</v>
      </c>
      <c r="G496" s="2841">
        <f t="shared" si="42"/>
        <v>2323</v>
      </c>
    </row>
    <row r="497" spans="1:7" ht="15.75">
      <c r="A497" s="3022">
        <f t="shared" si="43"/>
        <v>21675</v>
      </c>
      <c r="B497" s="2840">
        <v>21650</v>
      </c>
      <c r="C497" s="2840">
        <v>21700</v>
      </c>
      <c r="D497" s="2841">
        <f t="shared" si="39"/>
        <v>2411</v>
      </c>
      <c r="E497" s="2841">
        <f t="shared" si="40"/>
        <v>2220</v>
      </c>
      <c r="F497" s="2841">
        <f t="shared" si="41"/>
        <v>2411</v>
      </c>
      <c r="G497" s="2841">
        <f t="shared" si="42"/>
        <v>2329</v>
      </c>
    </row>
    <row r="498" spans="1:7" ht="15.75">
      <c r="A498" s="3022">
        <f t="shared" si="43"/>
        <v>21725</v>
      </c>
      <c r="B498" s="2840">
        <v>21700</v>
      </c>
      <c r="C498" s="2840">
        <v>21750</v>
      </c>
      <c r="D498" s="2841">
        <f t="shared" si="39"/>
        <v>2417</v>
      </c>
      <c r="E498" s="2841">
        <f t="shared" si="40"/>
        <v>2226</v>
      </c>
      <c r="F498" s="2841">
        <f t="shared" si="41"/>
        <v>2417</v>
      </c>
      <c r="G498" s="2841">
        <f t="shared" si="42"/>
        <v>2335</v>
      </c>
    </row>
    <row r="499" spans="1:7" ht="15.75">
      <c r="A499" s="3022">
        <f t="shared" si="43"/>
        <v>21775</v>
      </c>
      <c r="B499" s="2840">
        <v>21750</v>
      </c>
      <c r="C499" s="2840">
        <v>21800</v>
      </c>
      <c r="D499" s="2841">
        <f t="shared" si="39"/>
        <v>2423</v>
      </c>
      <c r="E499" s="2841">
        <f t="shared" si="40"/>
        <v>2232</v>
      </c>
      <c r="F499" s="2841">
        <f t="shared" si="41"/>
        <v>2423</v>
      </c>
      <c r="G499" s="2841">
        <f t="shared" si="42"/>
        <v>2341</v>
      </c>
    </row>
    <row r="500" spans="1:7" ht="15.75">
      <c r="A500" s="3022">
        <f t="shared" si="43"/>
        <v>21825</v>
      </c>
      <c r="B500" s="2840">
        <v>21800</v>
      </c>
      <c r="C500" s="2840">
        <v>21850</v>
      </c>
      <c r="D500" s="2841">
        <f t="shared" si="39"/>
        <v>2429</v>
      </c>
      <c r="E500" s="2841">
        <f t="shared" si="40"/>
        <v>2238</v>
      </c>
      <c r="F500" s="2841">
        <f t="shared" si="41"/>
        <v>2429</v>
      </c>
      <c r="G500" s="2841">
        <f t="shared" si="42"/>
        <v>2347</v>
      </c>
    </row>
    <row r="501" spans="1:7" ht="15.75">
      <c r="A501" s="3022">
        <f t="shared" si="43"/>
        <v>21875</v>
      </c>
      <c r="B501" s="2840">
        <v>21850</v>
      </c>
      <c r="C501" s="2840">
        <v>21900</v>
      </c>
      <c r="D501" s="2841">
        <f t="shared" si="39"/>
        <v>2435</v>
      </c>
      <c r="E501" s="2841">
        <f t="shared" si="40"/>
        <v>2244</v>
      </c>
      <c r="F501" s="2841">
        <f t="shared" si="41"/>
        <v>2435</v>
      </c>
      <c r="G501" s="2841">
        <f t="shared" si="42"/>
        <v>2353</v>
      </c>
    </row>
    <row r="502" spans="1:7" ht="15.75">
      <c r="A502" s="3022">
        <f t="shared" si="43"/>
        <v>21925</v>
      </c>
      <c r="B502" s="2840">
        <v>21900</v>
      </c>
      <c r="C502" s="2840">
        <v>21950</v>
      </c>
      <c r="D502" s="2841">
        <f t="shared" si="39"/>
        <v>2441</v>
      </c>
      <c r="E502" s="2841">
        <f t="shared" si="40"/>
        <v>2250</v>
      </c>
      <c r="F502" s="2841">
        <f t="shared" si="41"/>
        <v>2441</v>
      </c>
      <c r="G502" s="2841">
        <f t="shared" si="42"/>
        <v>2359</v>
      </c>
    </row>
    <row r="503" spans="1:7" ht="15.75">
      <c r="A503" s="3022">
        <f t="shared" si="43"/>
        <v>21975</v>
      </c>
      <c r="B503" s="2840">
        <v>21950</v>
      </c>
      <c r="C503" s="2840">
        <v>22000</v>
      </c>
      <c r="D503" s="2841">
        <f t="shared" si="39"/>
        <v>2447</v>
      </c>
      <c r="E503" s="2841">
        <f t="shared" si="40"/>
        <v>2256</v>
      </c>
      <c r="F503" s="2841">
        <f t="shared" si="41"/>
        <v>2447</v>
      </c>
      <c r="G503" s="2841">
        <f t="shared" si="42"/>
        <v>2365</v>
      </c>
    </row>
    <row r="504" spans="1:7" ht="15.75">
      <c r="A504" s="3022">
        <f t="shared" si="43"/>
        <v>22025</v>
      </c>
      <c r="B504" s="2840">
        <v>22000</v>
      </c>
      <c r="C504" s="2840">
        <v>22050</v>
      </c>
      <c r="D504" s="2841">
        <f t="shared" si="39"/>
        <v>2453</v>
      </c>
      <c r="E504" s="2841">
        <f t="shared" si="40"/>
        <v>2262</v>
      </c>
      <c r="F504" s="2841">
        <f t="shared" si="41"/>
        <v>2453</v>
      </c>
      <c r="G504" s="2841">
        <f t="shared" si="42"/>
        <v>2371</v>
      </c>
    </row>
    <row r="505" spans="1:7" ht="15.75">
      <c r="A505" s="3022">
        <f t="shared" si="43"/>
        <v>22075</v>
      </c>
      <c r="B505" s="2840">
        <v>22050</v>
      </c>
      <c r="C505" s="2840">
        <v>22100</v>
      </c>
      <c r="D505" s="2841">
        <f t="shared" si="39"/>
        <v>2459</v>
      </c>
      <c r="E505" s="2841">
        <f t="shared" si="40"/>
        <v>2268</v>
      </c>
      <c r="F505" s="2841">
        <f t="shared" si="41"/>
        <v>2459</v>
      </c>
      <c r="G505" s="2841">
        <f t="shared" si="42"/>
        <v>2377</v>
      </c>
    </row>
    <row r="506" spans="1:7" ht="15.75">
      <c r="A506" s="3022">
        <f t="shared" si="43"/>
        <v>22125</v>
      </c>
      <c r="B506" s="2840">
        <v>22100</v>
      </c>
      <c r="C506" s="2840">
        <v>22150</v>
      </c>
      <c r="D506" s="2841">
        <f t="shared" si="39"/>
        <v>2465</v>
      </c>
      <c r="E506" s="2841">
        <f t="shared" si="40"/>
        <v>2274</v>
      </c>
      <c r="F506" s="2841">
        <f t="shared" si="41"/>
        <v>2465</v>
      </c>
      <c r="G506" s="2841">
        <f t="shared" si="42"/>
        <v>2383</v>
      </c>
    </row>
    <row r="507" spans="1:7" ht="15.75">
      <c r="A507" s="3022">
        <f t="shared" si="43"/>
        <v>22175</v>
      </c>
      <c r="B507" s="2840">
        <v>22150</v>
      </c>
      <c r="C507" s="2840">
        <v>22200</v>
      </c>
      <c r="D507" s="2841">
        <f t="shared" si="39"/>
        <v>2471</v>
      </c>
      <c r="E507" s="2841">
        <f t="shared" si="40"/>
        <v>2280</v>
      </c>
      <c r="F507" s="2841">
        <f t="shared" si="41"/>
        <v>2471</v>
      </c>
      <c r="G507" s="2841">
        <f t="shared" si="42"/>
        <v>2389</v>
      </c>
    </row>
    <row r="508" spans="1:7" ht="15.75">
      <c r="A508" s="3022">
        <f t="shared" si="43"/>
        <v>22225</v>
      </c>
      <c r="B508" s="2840">
        <v>22200</v>
      </c>
      <c r="C508" s="2840">
        <v>22250</v>
      </c>
      <c r="D508" s="2841">
        <f t="shared" si="39"/>
        <v>2477</v>
      </c>
      <c r="E508" s="2841">
        <f t="shared" si="40"/>
        <v>2286</v>
      </c>
      <c r="F508" s="2841">
        <f t="shared" si="41"/>
        <v>2477</v>
      </c>
      <c r="G508" s="2841">
        <f t="shared" si="42"/>
        <v>2395</v>
      </c>
    </row>
    <row r="509" spans="1:7" ht="15.75">
      <c r="A509" s="3022">
        <f t="shared" si="43"/>
        <v>22275</v>
      </c>
      <c r="B509" s="2840">
        <v>22250</v>
      </c>
      <c r="C509" s="2840">
        <v>22300</v>
      </c>
      <c r="D509" s="2841">
        <f t="shared" si="39"/>
        <v>2483</v>
      </c>
      <c r="E509" s="2841">
        <f t="shared" si="40"/>
        <v>2292</v>
      </c>
      <c r="F509" s="2841">
        <f t="shared" si="41"/>
        <v>2483</v>
      </c>
      <c r="G509" s="2841">
        <f t="shared" si="42"/>
        <v>2401</v>
      </c>
    </row>
    <row r="510" spans="1:7" ht="15.75">
      <c r="A510" s="3022">
        <f t="shared" si="43"/>
        <v>22325</v>
      </c>
      <c r="B510" s="2840">
        <v>22300</v>
      </c>
      <c r="C510" s="2840">
        <v>22350</v>
      </c>
      <c r="D510" s="2841">
        <f t="shared" si="39"/>
        <v>2489</v>
      </c>
      <c r="E510" s="2841">
        <f t="shared" si="40"/>
        <v>2298</v>
      </c>
      <c r="F510" s="2841">
        <f t="shared" si="41"/>
        <v>2489</v>
      </c>
      <c r="G510" s="2841">
        <f t="shared" si="42"/>
        <v>2407</v>
      </c>
    </row>
    <row r="511" spans="1:7" ht="15.75">
      <c r="A511" s="3022">
        <f t="shared" si="43"/>
        <v>22375</v>
      </c>
      <c r="B511" s="2840">
        <v>22350</v>
      </c>
      <c r="C511" s="2840">
        <v>22400</v>
      </c>
      <c r="D511" s="2841">
        <f t="shared" si="39"/>
        <v>2495</v>
      </c>
      <c r="E511" s="2841">
        <f t="shared" si="40"/>
        <v>2304</v>
      </c>
      <c r="F511" s="2841">
        <f t="shared" si="41"/>
        <v>2495</v>
      </c>
      <c r="G511" s="2841">
        <f t="shared" si="42"/>
        <v>2413</v>
      </c>
    </row>
    <row r="512" spans="1:7" ht="15.75">
      <c r="A512" s="3022">
        <f t="shared" si="43"/>
        <v>22425</v>
      </c>
      <c r="B512" s="2840">
        <v>22400</v>
      </c>
      <c r="C512" s="2840">
        <v>22450</v>
      </c>
      <c r="D512" s="2841">
        <f t="shared" si="39"/>
        <v>2501</v>
      </c>
      <c r="E512" s="2841">
        <f t="shared" si="40"/>
        <v>2310</v>
      </c>
      <c r="F512" s="2841">
        <f t="shared" si="41"/>
        <v>2501</v>
      </c>
      <c r="G512" s="2841">
        <f t="shared" si="42"/>
        <v>2419</v>
      </c>
    </row>
    <row r="513" spans="1:7" ht="15.75">
      <c r="A513" s="3022">
        <f t="shared" si="43"/>
        <v>22475</v>
      </c>
      <c r="B513" s="2840">
        <v>22450</v>
      </c>
      <c r="C513" s="2840">
        <v>22500</v>
      </c>
      <c r="D513" s="2841">
        <f t="shared" si="39"/>
        <v>2507</v>
      </c>
      <c r="E513" s="2841">
        <f t="shared" si="40"/>
        <v>2316</v>
      </c>
      <c r="F513" s="2841">
        <f t="shared" si="41"/>
        <v>2507</v>
      </c>
      <c r="G513" s="2841">
        <f t="shared" si="42"/>
        <v>2425</v>
      </c>
    </row>
    <row r="514" spans="1:7" ht="15.75">
      <c r="A514" s="3022">
        <f t="shared" si="43"/>
        <v>22525</v>
      </c>
      <c r="B514" s="2840">
        <v>22500</v>
      </c>
      <c r="C514" s="2840">
        <v>22550</v>
      </c>
      <c r="D514" s="2841">
        <f t="shared" ref="D514:D577" si="44">IF($A514&gt;BOTT_A4,ROUND(BASE_A4+RATE_A4*($A514-BOTT_A4),0),IF($A514&gt;BOTT_A3,ROUND(BASE_A3+RATE_A3*($A514-BOTT_A3),0),IF($A514&gt;BOTT_A2,ROUND(BASE_A2+RATE_A2*($A514-BOTT_A2),0),ROUND(RATE_A1*$A514,0))))</f>
        <v>2513</v>
      </c>
      <c r="E514" s="2841">
        <f t="shared" ref="E514:E577" si="45">IF($A514&gt;BOTT_B4,ROUND(BASE_B4+RATE_B4*($A514-BOTT_B4),0),IF($A514&gt;BOTT_B3,ROUND(BASE_B3+RATE_B3*($A514-BOTT_B3),0),IF($A514&gt;BOTT_B2,ROUND(BASE_B2+RATE_B2*($A514-BOTT_B2),0),ROUND(RATE_B1*$A514,0))))</f>
        <v>2322</v>
      </c>
      <c r="F514" s="2841">
        <f t="shared" ref="F514:F577" si="46">IF($A514&gt;BOTT_C4,ROUND(BASE_C4+RATE_C4*($A514-BOTT_C4),0),IF($A514&gt;BOTT_C3,ROUND(BASE_C3+RATE_C3*($A514-BOTT_C3),0),IF($A514&gt;BOTT_C2,ROUND(BASE_C2+RATE_C2*($A514-BOTT_C2),0),ROUND(RATE_C1*$A514,0))))</f>
        <v>2513</v>
      </c>
      <c r="G514" s="2841">
        <f t="shared" ref="G514:G577" si="47">IF($A514&gt;BOTT_D4,ROUND(BASE_D4+RATE_D4*($A514-BOTT_D4),0),IF($A514&gt;BOTT_D3,ROUND(BASE_D3+RATE_D3*($A514-BOTT_D3),0),IF($A514&gt;BOTT_D2,ROUND(BASE_D2+RATE_D2*($A514-BOTT_D2),0),ROUND(RATE_D1*$A514,0))))</f>
        <v>2431</v>
      </c>
    </row>
    <row r="515" spans="1:7" ht="15.75">
      <c r="A515" s="3022">
        <f t="shared" ref="A515:A578" si="48">AVERAGE(B515,C515)</f>
        <v>22575</v>
      </c>
      <c r="B515" s="2840">
        <v>22550</v>
      </c>
      <c r="C515" s="2840">
        <v>22600</v>
      </c>
      <c r="D515" s="2841">
        <f t="shared" si="44"/>
        <v>2519</v>
      </c>
      <c r="E515" s="2841">
        <f t="shared" si="45"/>
        <v>2328</v>
      </c>
      <c r="F515" s="2841">
        <f t="shared" si="46"/>
        <v>2519</v>
      </c>
      <c r="G515" s="2841">
        <f t="shared" si="47"/>
        <v>2437</v>
      </c>
    </row>
    <row r="516" spans="1:7" ht="15.75">
      <c r="A516" s="3022">
        <f t="shared" si="48"/>
        <v>22625</v>
      </c>
      <c r="B516" s="2840">
        <v>22600</v>
      </c>
      <c r="C516" s="2840">
        <v>22650</v>
      </c>
      <c r="D516" s="2841">
        <f t="shared" si="44"/>
        <v>2525</v>
      </c>
      <c r="E516" s="2841">
        <f t="shared" si="45"/>
        <v>2334</v>
      </c>
      <c r="F516" s="2841">
        <f t="shared" si="46"/>
        <v>2525</v>
      </c>
      <c r="G516" s="2841">
        <f t="shared" si="47"/>
        <v>2443</v>
      </c>
    </row>
    <row r="517" spans="1:7" ht="15.75">
      <c r="A517" s="3022">
        <f t="shared" si="48"/>
        <v>22675</v>
      </c>
      <c r="B517" s="2840">
        <v>22650</v>
      </c>
      <c r="C517" s="2840">
        <v>22700</v>
      </c>
      <c r="D517" s="2841">
        <f t="shared" si="44"/>
        <v>2531</v>
      </c>
      <c r="E517" s="2841">
        <f t="shared" si="45"/>
        <v>2340</v>
      </c>
      <c r="F517" s="2841">
        <f t="shared" si="46"/>
        <v>2531</v>
      </c>
      <c r="G517" s="2841">
        <f t="shared" si="47"/>
        <v>2449</v>
      </c>
    </row>
    <row r="518" spans="1:7" ht="15.75">
      <c r="A518" s="3022">
        <f t="shared" si="48"/>
        <v>22725</v>
      </c>
      <c r="B518" s="2840">
        <v>22700</v>
      </c>
      <c r="C518" s="2840">
        <v>22750</v>
      </c>
      <c r="D518" s="2841">
        <f t="shared" si="44"/>
        <v>2537</v>
      </c>
      <c r="E518" s="2841">
        <f t="shared" si="45"/>
        <v>2346</v>
      </c>
      <c r="F518" s="2841">
        <f t="shared" si="46"/>
        <v>2537</v>
      </c>
      <c r="G518" s="2841">
        <f t="shared" si="47"/>
        <v>2455</v>
      </c>
    </row>
    <row r="519" spans="1:7" ht="15.75">
      <c r="A519" s="3022">
        <f t="shared" si="48"/>
        <v>22775</v>
      </c>
      <c r="B519" s="2840">
        <v>22750</v>
      </c>
      <c r="C519" s="2840">
        <v>22800</v>
      </c>
      <c r="D519" s="2841">
        <f t="shared" si="44"/>
        <v>2543</v>
      </c>
      <c r="E519" s="2841">
        <f t="shared" si="45"/>
        <v>2352</v>
      </c>
      <c r="F519" s="2841">
        <f t="shared" si="46"/>
        <v>2543</v>
      </c>
      <c r="G519" s="2841">
        <f t="shared" si="47"/>
        <v>2461</v>
      </c>
    </row>
    <row r="520" spans="1:7" ht="15.75">
      <c r="A520" s="3022">
        <f t="shared" si="48"/>
        <v>22825</v>
      </c>
      <c r="B520" s="2840">
        <v>22800</v>
      </c>
      <c r="C520" s="2840">
        <v>22850</v>
      </c>
      <c r="D520" s="2841">
        <f t="shared" si="44"/>
        <v>2549</v>
      </c>
      <c r="E520" s="2841">
        <f t="shared" si="45"/>
        <v>2358</v>
      </c>
      <c r="F520" s="2841">
        <f t="shared" si="46"/>
        <v>2549</v>
      </c>
      <c r="G520" s="2841">
        <f t="shared" si="47"/>
        <v>2467</v>
      </c>
    </row>
    <row r="521" spans="1:7" ht="15.75">
      <c r="A521" s="3022">
        <f t="shared" si="48"/>
        <v>22875</v>
      </c>
      <c r="B521" s="2840">
        <v>22850</v>
      </c>
      <c r="C521" s="2840">
        <v>22900</v>
      </c>
      <c r="D521" s="2841">
        <f t="shared" si="44"/>
        <v>2555</v>
      </c>
      <c r="E521" s="2841">
        <f t="shared" si="45"/>
        <v>2364</v>
      </c>
      <c r="F521" s="2841">
        <f t="shared" si="46"/>
        <v>2555</v>
      </c>
      <c r="G521" s="2841">
        <f t="shared" si="47"/>
        <v>2473</v>
      </c>
    </row>
    <row r="522" spans="1:7" ht="15.75">
      <c r="A522" s="3022">
        <f t="shared" si="48"/>
        <v>22925</v>
      </c>
      <c r="B522" s="2840">
        <v>22900</v>
      </c>
      <c r="C522" s="2840">
        <v>22950</v>
      </c>
      <c r="D522" s="2841">
        <f t="shared" si="44"/>
        <v>2561</v>
      </c>
      <c r="E522" s="2841">
        <f t="shared" si="45"/>
        <v>2370</v>
      </c>
      <c r="F522" s="2841">
        <f t="shared" si="46"/>
        <v>2561</v>
      </c>
      <c r="G522" s="2841">
        <f t="shared" si="47"/>
        <v>2479</v>
      </c>
    </row>
    <row r="523" spans="1:7" ht="15.75">
      <c r="A523" s="3022">
        <f t="shared" si="48"/>
        <v>22975</v>
      </c>
      <c r="B523" s="2840">
        <v>22950</v>
      </c>
      <c r="C523" s="2840">
        <v>23000</v>
      </c>
      <c r="D523" s="2841">
        <f t="shared" si="44"/>
        <v>2567</v>
      </c>
      <c r="E523" s="2841">
        <f t="shared" si="45"/>
        <v>2376</v>
      </c>
      <c r="F523" s="2841">
        <f t="shared" si="46"/>
        <v>2567</v>
      </c>
      <c r="G523" s="2841">
        <f t="shared" si="47"/>
        <v>2485</v>
      </c>
    </row>
    <row r="524" spans="1:7" ht="15.75">
      <c r="A524" s="3022">
        <f t="shared" si="48"/>
        <v>23025</v>
      </c>
      <c r="B524" s="2840">
        <v>23000</v>
      </c>
      <c r="C524" s="2840">
        <v>23050</v>
      </c>
      <c r="D524" s="2841">
        <f t="shared" si="44"/>
        <v>2573</v>
      </c>
      <c r="E524" s="2841">
        <f t="shared" si="45"/>
        <v>2382</v>
      </c>
      <c r="F524" s="2841">
        <f t="shared" si="46"/>
        <v>2573</v>
      </c>
      <c r="G524" s="2841">
        <f t="shared" si="47"/>
        <v>2491</v>
      </c>
    </row>
    <row r="525" spans="1:7" ht="15.75">
      <c r="A525" s="3022">
        <f t="shared" si="48"/>
        <v>23075</v>
      </c>
      <c r="B525" s="2840">
        <v>23050</v>
      </c>
      <c r="C525" s="2840">
        <v>23100</v>
      </c>
      <c r="D525" s="2841">
        <f t="shared" si="44"/>
        <v>2579</v>
      </c>
      <c r="E525" s="2841">
        <f t="shared" si="45"/>
        <v>2388</v>
      </c>
      <c r="F525" s="2841">
        <f t="shared" si="46"/>
        <v>2579</v>
      </c>
      <c r="G525" s="2841">
        <f t="shared" si="47"/>
        <v>2497</v>
      </c>
    </row>
    <row r="526" spans="1:7" ht="15.75">
      <c r="A526" s="3022">
        <f t="shared" si="48"/>
        <v>23125</v>
      </c>
      <c r="B526" s="2840">
        <v>23100</v>
      </c>
      <c r="C526" s="2840">
        <v>23150</v>
      </c>
      <c r="D526" s="2841">
        <f t="shared" si="44"/>
        <v>2585</v>
      </c>
      <c r="E526" s="2841">
        <f t="shared" si="45"/>
        <v>2394</v>
      </c>
      <c r="F526" s="2841">
        <f t="shared" si="46"/>
        <v>2585</v>
      </c>
      <c r="G526" s="2841">
        <f t="shared" si="47"/>
        <v>2503</v>
      </c>
    </row>
    <row r="527" spans="1:7" ht="15.75">
      <c r="A527" s="3022">
        <f t="shared" si="48"/>
        <v>23175</v>
      </c>
      <c r="B527" s="2840">
        <v>23150</v>
      </c>
      <c r="C527" s="2840">
        <v>23200</v>
      </c>
      <c r="D527" s="2841">
        <f t="shared" si="44"/>
        <v>2591</v>
      </c>
      <c r="E527" s="2841">
        <f t="shared" si="45"/>
        <v>2400</v>
      </c>
      <c r="F527" s="2841">
        <f t="shared" si="46"/>
        <v>2591</v>
      </c>
      <c r="G527" s="2841">
        <f t="shared" si="47"/>
        <v>2509</v>
      </c>
    </row>
    <row r="528" spans="1:7" ht="15.75">
      <c r="A528" s="3022">
        <f t="shared" si="48"/>
        <v>23225</v>
      </c>
      <c r="B528" s="2840">
        <v>23200</v>
      </c>
      <c r="C528" s="2840">
        <v>23250</v>
      </c>
      <c r="D528" s="2841">
        <f t="shared" si="44"/>
        <v>2597</v>
      </c>
      <c r="E528" s="2841">
        <f t="shared" si="45"/>
        <v>2406</v>
      </c>
      <c r="F528" s="2841">
        <f t="shared" si="46"/>
        <v>2597</v>
      </c>
      <c r="G528" s="2841">
        <f t="shared" si="47"/>
        <v>2515</v>
      </c>
    </row>
    <row r="529" spans="1:7" ht="15.75">
      <c r="A529" s="3022">
        <f t="shared" si="48"/>
        <v>23275</v>
      </c>
      <c r="B529" s="2840">
        <v>23250</v>
      </c>
      <c r="C529" s="2840">
        <v>23300</v>
      </c>
      <c r="D529" s="2841">
        <f t="shared" si="44"/>
        <v>2603</v>
      </c>
      <c r="E529" s="2841">
        <f t="shared" si="45"/>
        <v>2412</v>
      </c>
      <c r="F529" s="2841">
        <f t="shared" si="46"/>
        <v>2603</v>
      </c>
      <c r="G529" s="2841">
        <f t="shared" si="47"/>
        <v>2521</v>
      </c>
    </row>
    <row r="530" spans="1:7" ht="15.75">
      <c r="A530" s="3022">
        <f t="shared" si="48"/>
        <v>23325</v>
      </c>
      <c r="B530" s="2840">
        <v>23300</v>
      </c>
      <c r="C530" s="2840">
        <v>23350</v>
      </c>
      <c r="D530" s="2841">
        <f t="shared" si="44"/>
        <v>2609</v>
      </c>
      <c r="E530" s="2841">
        <f t="shared" si="45"/>
        <v>2418</v>
      </c>
      <c r="F530" s="2841">
        <f t="shared" si="46"/>
        <v>2609</v>
      </c>
      <c r="G530" s="2841">
        <f t="shared" si="47"/>
        <v>2527</v>
      </c>
    </row>
    <row r="531" spans="1:7" ht="15.75">
      <c r="A531" s="3022">
        <f t="shared" si="48"/>
        <v>23375</v>
      </c>
      <c r="B531" s="2840">
        <v>23350</v>
      </c>
      <c r="C531" s="2840">
        <v>23400</v>
      </c>
      <c r="D531" s="2841">
        <f t="shared" si="44"/>
        <v>2615</v>
      </c>
      <c r="E531" s="2841">
        <f t="shared" si="45"/>
        <v>2424</v>
      </c>
      <c r="F531" s="2841">
        <f t="shared" si="46"/>
        <v>2615</v>
      </c>
      <c r="G531" s="2841">
        <f t="shared" si="47"/>
        <v>2533</v>
      </c>
    </row>
    <row r="532" spans="1:7" ht="15.75">
      <c r="A532" s="3022">
        <f t="shared" si="48"/>
        <v>23425</v>
      </c>
      <c r="B532" s="2840">
        <v>23400</v>
      </c>
      <c r="C532" s="2840">
        <v>23450</v>
      </c>
      <c r="D532" s="2841">
        <f t="shared" si="44"/>
        <v>2621</v>
      </c>
      <c r="E532" s="2841">
        <f t="shared" si="45"/>
        <v>2430</v>
      </c>
      <c r="F532" s="2841">
        <f t="shared" si="46"/>
        <v>2621</v>
      </c>
      <c r="G532" s="2841">
        <f t="shared" si="47"/>
        <v>2539</v>
      </c>
    </row>
    <row r="533" spans="1:7" ht="15.75">
      <c r="A533" s="3022">
        <f t="shared" si="48"/>
        <v>23475</v>
      </c>
      <c r="B533" s="2840">
        <v>23450</v>
      </c>
      <c r="C533" s="2840">
        <v>23500</v>
      </c>
      <c r="D533" s="2841">
        <f t="shared" si="44"/>
        <v>2627</v>
      </c>
      <c r="E533" s="2841">
        <f t="shared" si="45"/>
        <v>2436</v>
      </c>
      <c r="F533" s="2841">
        <f t="shared" si="46"/>
        <v>2627</v>
      </c>
      <c r="G533" s="2841">
        <f t="shared" si="47"/>
        <v>2545</v>
      </c>
    </row>
    <row r="534" spans="1:7" ht="15.75">
      <c r="A534" s="3022">
        <f t="shared" si="48"/>
        <v>23525</v>
      </c>
      <c r="B534" s="2840">
        <v>23500</v>
      </c>
      <c r="C534" s="2840">
        <v>23550</v>
      </c>
      <c r="D534" s="2841">
        <f t="shared" si="44"/>
        <v>2633</v>
      </c>
      <c r="E534" s="2841">
        <f t="shared" si="45"/>
        <v>2442</v>
      </c>
      <c r="F534" s="2841">
        <f t="shared" si="46"/>
        <v>2633</v>
      </c>
      <c r="G534" s="2841">
        <f t="shared" si="47"/>
        <v>2551</v>
      </c>
    </row>
    <row r="535" spans="1:7" ht="15.75">
      <c r="A535" s="3022">
        <f t="shared" si="48"/>
        <v>23575</v>
      </c>
      <c r="B535" s="2840">
        <v>23550</v>
      </c>
      <c r="C535" s="2840">
        <v>23600</v>
      </c>
      <c r="D535" s="2841">
        <f t="shared" si="44"/>
        <v>2639</v>
      </c>
      <c r="E535" s="2841">
        <f t="shared" si="45"/>
        <v>2448</v>
      </c>
      <c r="F535" s="2841">
        <f t="shared" si="46"/>
        <v>2639</v>
      </c>
      <c r="G535" s="2841">
        <f t="shared" si="47"/>
        <v>2557</v>
      </c>
    </row>
    <row r="536" spans="1:7" ht="15.75">
      <c r="A536" s="3022">
        <f t="shared" si="48"/>
        <v>23625</v>
      </c>
      <c r="B536" s="2840">
        <v>23600</v>
      </c>
      <c r="C536" s="2840">
        <v>23650</v>
      </c>
      <c r="D536" s="2841">
        <f t="shared" si="44"/>
        <v>2645</v>
      </c>
      <c r="E536" s="2841">
        <f t="shared" si="45"/>
        <v>2454</v>
      </c>
      <c r="F536" s="2841">
        <f t="shared" si="46"/>
        <v>2645</v>
      </c>
      <c r="G536" s="2841">
        <f t="shared" si="47"/>
        <v>2563</v>
      </c>
    </row>
    <row r="537" spans="1:7" ht="15.75">
      <c r="A537" s="3022">
        <f t="shared" si="48"/>
        <v>23675</v>
      </c>
      <c r="B537" s="2840">
        <v>23650</v>
      </c>
      <c r="C537" s="2840">
        <v>23700</v>
      </c>
      <c r="D537" s="2841">
        <f t="shared" si="44"/>
        <v>2651</v>
      </c>
      <c r="E537" s="2841">
        <f t="shared" si="45"/>
        <v>2460</v>
      </c>
      <c r="F537" s="2841">
        <f t="shared" si="46"/>
        <v>2651</v>
      </c>
      <c r="G537" s="2841">
        <f t="shared" si="47"/>
        <v>2569</v>
      </c>
    </row>
    <row r="538" spans="1:7" ht="15.75">
      <c r="A538" s="3022">
        <f t="shared" si="48"/>
        <v>23725</v>
      </c>
      <c r="B538" s="2840">
        <v>23700</v>
      </c>
      <c r="C538" s="2840">
        <v>23750</v>
      </c>
      <c r="D538" s="2841">
        <f t="shared" si="44"/>
        <v>2657</v>
      </c>
      <c r="E538" s="2841">
        <f t="shared" si="45"/>
        <v>2466</v>
      </c>
      <c r="F538" s="2841">
        <f t="shared" si="46"/>
        <v>2657</v>
      </c>
      <c r="G538" s="2841">
        <f t="shared" si="47"/>
        <v>2575</v>
      </c>
    </row>
    <row r="539" spans="1:7" ht="15.75">
      <c r="A539" s="3022">
        <f t="shared" si="48"/>
        <v>23775</v>
      </c>
      <c r="B539" s="2840">
        <v>23750</v>
      </c>
      <c r="C539" s="2840">
        <v>23800</v>
      </c>
      <c r="D539" s="2841">
        <f t="shared" si="44"/>
        <v>2663</v>
      </c>
      <c r="E539" s="2841">
        <f t="shared" si="45"/>
        <v>2472</v>
      </c>
      <c r="F539" s="2841">
        <f t="shared" si="46"/>
        <v>2663</v>
      </c>
      <c r="G539" s="2841">
        <f t="shared" si="47"/>
        <v>2581</v>
      </c>
    </row>
    <row r="540" spans="1:7" ht="15.75">
      <c r="A540" s="3022">
        <f t="shared" si="48"/>
        <v>23825</v>
      </c>
      <c r="B540" s="2840">
        <v>23800</v>
      </c>
      <c r="C540" s="2840">
        <v>23850</v>
      </c>
      <c r="D540" s="2841">
        <f t="shared" si="44"/>
        <v>2669</v>
      </c>
      <c r="E540" s="2841">
        <f t="shared" si="45"/>
        <v>2478</v>
      </c>
      <c r="F540" s="2841">
        <f t="shared" si="46"/>
        <v>2669</v>
      </c>
      <c r="G540" s="2841">
        <f t="shared" si="47"/>
        <v>2587</v>
      </c>
    </row>
    <row r="541" spans="1:7" ht="15.75">
      <c r="A541" s="3022">
        <f t="shared" si="48"/>
        <v>23875</v>
      </c>
      <c r="B541" s="2840">
        <v>23850</v>
      </c>
      <c r="C541" s="2840">
        <v>23900</v>
      </c>
      <c r="D541" s="2841">
        <f t="shared" si="44"/>
        <v>2675</v>
      </c>
      <c r="E541" s="2841">
        <f t="shared" si="45"/>
        <v>2484</v>
      </c>
      <c r="F541" s="2841">
        <f t="shared" si="46"/>
        <v>2675</v>
      </c>
      <c r="G541" s="2841">
        <f t="shared" si="47"/>
        <v>2593</v>
      </c>
    </row>
    <row r="542" spans="1:7" ht="15.75">
      <c r="A542" s="3022">
        <f t="shared" si="48"/>
        <v>23925</v>
      </c>
      <c r="B542" s="2840">
        <v>23900</v>
      </c>
      <c r="C542" s="2840">
        <v>23950</v>
      </c>
      <c r="D542" s="2841">
        <f t="shared" si="44"/>
        <v>2681</v>
      </c>
      <c r="E542" s="2841">
        <f t="shared" si="45"/>
        <v>2490</v>
      </c>
      <c r="F542" s="2841">
        <f t="shared" si="46"/>
        <v>2681</v>
      </c>
      <c r="G542" s="2841">
        <f t="shared" si="47"/>
        <v>2599</v>
      </c>
    </row>
    <row r="543" spans="1:7" ht="15.75">
      <c r="A543" s="3022">
        <f t="shared" si="48"/>
        <v>23975</v>
      </c>
      <c r="B543" s="2840">
        <v>23950</v>
      </c>
      <c r="C543" s="2840">
        <v>24000</v>
      </c>
      <c r="D543" s="2841">
        <f t="shared" si="44"/>
        <v>2687</v>
      </c>
      <c r="E543" s="2841">
        <f t="shared" si="45"/>
        <v>2496</v>
      </c>
      <c r="F543" s="2841">
        <f t="shared" si="46"/>
        <v>2687</v>
      </c>
      <c r="G543" s="2841">
        <f t="shared" si="47"/>
        <v>2605</v>
      </c>
    </row>
    <row r="544" spans="1:7" ht="15.75">
      <c r="A544" s="3022">
        <f t="shared" si="48"/>
        <v>24025</v>
      </c>
      <c r="B544" s="2840">
        <v>24000</v>
      </c>
      <c r="C544" s="2840">
        <v>24050</v>
      </c>
      <c r="D544" s="2841">
        <f t="shared" si="44"/>
        <v>2693</v>
      </c>
      <c r="E544" s="2841">
        <f t="shared" si="45"/>
        <v>2502</v>
      </c>
      <c r="F544" s="2841">
        <f t="shared" si="46"/>
        <v>2693</v>
      </c>
      <c r="G544" s="2841">
        <f t="shared" si="47"/>
        <v>2611</v>
      </c>
    </row>
    <row r="545" spans="1:7" ht="15.75">
      <c r="A545" s="3022">
        <f t="shared" si="48"/>
        <v>24075</v>
      </c>
      <c r="B545" s="2840">
        <v>24050</v>
      </c>
      <c r="C545" s="2840">
        <v>24100</v>
      </c>
      <c r="D545" s="2841">
        <f t="shared" si="44"/>
        <v>2699</v>
      </c>
      <c r="E545" s="2841">
        <f t="shared" si="45"/>
        <v>2508</v>
      </c>
      <c r="F545" s="2841">
        <f t="shared" si="46"/>
        <v>2699</v>
      </c>
      <c r="G545" s="2841">
        <f t="shared" si="47"/>
        <v>2617</v>
      </c>
    </row>
    <row r="546" spans="1:7" ht="15.75">
      <c r="A546" s="3022">
        <f t="shared" si="48"/>
        <v>24125</v>
      </c>
      <c r="B546" s="2840">
        <v>24100</v>
      </c>
      <c r="C546" s="2840">
        <v>24150</v>
      </c>
      <c r="D546" s="2841">
        <f t="shared" si="44"/>
        <v>2705</v>
      </c>
      <c r="E546" s="2841">
        <f t="shared" si="45"/>
        <v>2514</v>
      </c>
      <c r="F546" s="2841">
        <f t="shared" si="46"/>
        <v>2705</v>
      </c>
      <c r="G546" s="2841">
        <f t="shared" si="47"/>
        <v>2623</v>
      </c>
    </row>
    <row r="547" spans="1:7" ht="15.75">
      <c r="A547" s="3022">
        <f t="shared" si="48"/>
        <v>24175</v>
      </c>
      <c r="B547" s="2840">
        <v>24150</v>
      </c>
      <c r="C547" s="2840">
        <v>24200</v>
      </c>
      <c r="D547" s="2841">
        <f t="shared" si="44"/>
        <v>2711</v>
      </c>
      <c r="E547" s="2841">
        <f t="shared" si="45"/>
        <v>2520</v>
      </c>
      <c r="F547" s="2841">
        <f t="shared" si="46"/>
        <v>2711</v>
      </c>
      <c r="G547" s="2841">
        <f t="shared" si="47"/>
        <v>2629</v>
      </c>
    </row>
    <row r="548" spans="1:7" ht="15.75">
      <c r="A548" s="3022">
        <f t="shared" si="48"/>
        <v>24225</v>
      </c>
      <c r="B548" s="2840">
        <v>24200</v>
      </c>
      <c r="C548" s="2840">
        <v>24250</v>
      </c>
      <c r="D548" s="2841">
        <f t="shared" si="44"/>
        <v>2717</v>
      </c>
      <c r="E548" s="2841">
        <f t="shared" si="45"/>
        <v>2526</v>
      </c>
      <c r="F548" s="2841">
        <f t="shared" si="46"/>
        <v>2717</v>
      </c>
      <c r="G548" s="2841">
        <f t="shared" si="47"/>
        <v>2635</v>
      </c>
    </row>
    <row r="549" spans="1:7" ht="15.75">
      <c r="A549" s="3022">
        <f t="shared" si="48"/>
        <v>24275</v>
      </c>
      <c r="B549" s="2840">
        <v>24250</v>
      </c>
      <c r="C549" s="2840">
        <v>24300</v>
      </c>
      <c r="D549" s="2841">
        <f t="shared" si="44"/>
        <v>2723</v>
      </c>
      <c r="E549" s="2841">
        <f t="shared" si="45"/>
        <v>2532</v>
      </c>
      <c r="F549" s="2841">
        <f t="shared" si="46"/>
        <v>2723</v>
      </c>
      <c r="G549" s="2841">
        <f t="shared" si="47"/>
        <v>2641</v>
      </c>
    </row>
    <row r="550" spans="1:7" ht="15.75">
      <c r="A550" s="3022">
        <f t="shared" si="48"/>
        <v>24325</v>
      </c>
      <c r="B550" s="2840">
        <v>24300</v>
      </c>
      <c r="C550" s="2840">
        <v>24350</v>
      </c>
      <c r="D550" s="2841">
        <f t="shared" si="44"/>
        <v>2729</v>
      </c>
      <c r="E550" s="2841">
        <f t="shared" si="45"/>
        <v>2538</v>
      </c>
      <c r="F550" s="2841">
        <f t="shared" si="46"/>
        <v>2729</v>
      </c>
      <c r="G550" s="2841">
        <f t="shared" si="47"/>
        <v>2647</v>
      </c>
    </row>
    <row r="551" spans="1:7" ht="15.75">
      <c r="A551" s="3022">
        <f t="shared" si="48"/>
        <v>24375</v>
      </c>
      <c r="B551" s="2840">
        <v>24350</v>
      </c>
      <c r="C551" s="2840">
        <v>24400</v>
      </c>
      <c r="D551" s="2841">
        <f t="shared" si="44"/>
        <v>2735</v>
      </c>
      <c r="E551" s="2841">
        <f t="shared" si="45"/>
        <v>2544</v>
      </c>
      <c r="F551" s="2841">
        <f t="shared" si="46"/>
        <v>2735</v>
      </c>
      <c r="G551" s="2841">
        <f t="shared" si="47"/>
        <v>2653</v>
      </c>
    </row>
    <row r="552" spans="1:7" ht="15.75">
      <c r="A552" s="3022">
        <f t="shared" si="48"/>
        <v>24425</v>
      </c>
      <c r="B552" s="2840">
        <v>24400</v>
      </c>
      <c r="C552" s="2840">
        <v>24450</v>
      </c>
      <c r="D552" s="2841">
        <f t="shared" si="44"/>
        <v>2741</v>
      </c>
      <c r="E552" s="2841">
        <f t="shared" si="45"/>
        <v>2550</v>
      </c>
      <c r="F552" s="2841">
        <f t="shared" si="46"/>
        <v>2741</v>
      </c>
      <c r="G552" s="2841">
        <f t="shared" si="47"/>
        <v>2659</v>
      </c>
    </row>
    <row r="553" spans="1:7" ht="15.75">
      <c r="A553" s="3022">
        <f t="shared" si="48"/>
        <v>24475</v>
      </c>
      <c r="B553" s="2840">
        <v>24450</v>
      </c>
      <c r="C553" s="2840">
        <v>24500</v>
      </c>
      <c r="D553" s="2841">
        <f t="shared" si="44"/>
        <v>2747</v>
      </c>
      <c r="E553" s="2841">
        <f t="shared" si="45"/>
        <v>2556</v>
      </c>
      <c r="F553" s="2841">
        <f t="shared" si="46"/>
        <v>2747</v>
      </c>
      <c r="G553" s="2841">
        <f t="shared" si="47"/>
        <v>2665</v>
      </c>
    </row>
    <row r="554" spans="1:7" ht="15.75">
      <c r="A554" s="3022">
        <f t="shared" si="48"/>
        <v>24525</v>
      </c>
      <c r="B554" s="2840">
        <v>24500</v>
      </c>
      <c r="C554" s="2840">
        <v>24550</v>
      </c>
      <c r="D554" s="2841">
        <f t="shared" si="44"/>
        <v>2753</v>
      </c>
      <c r="E554" s="2841">
        <f t="shared" si="45"/>
        <v>2562</v>
      </c>
      <c r="F554" s="2841">
        <f t="shared" si="46"/>
        <v>2753</v>
      </c>
      <c r="G554" s="2841">
        <f t="shared" si="47"/>
        <v>2671</v>
      </c>
    </row>
    <row r="555" spans="1:7" ht="15.75">
      <c r="A555" s="3022">
        <f t="shared" si="48"/>
        <v>24575</v>
      </c>
      <c r="B555" s="2840">
        <v>24550</v>
      </c>
      <c r="C555" s="2840">
        <v>24600</v>
      </c>
      <c r="D555" s="2841">
        <f t="shared" si="44"/>
        <v>2759</v>
      </c>
      <c r="E555" s="2841">
        <f t="shared" si="45"/>
        <v>2568</v>
      </c>
      <c r="F555" s="2841">
        <f t="shared" si="46"/>
        <v>2759</v>
      </c>
      <c r="G555" s="2841">
        <f t="shared" si="47"/>
        <v>2677</v>
      </c>
    </row>
    <row r="556" spans="1:7" ht="15.75">
      <c r="A556" s="3022">
        <f t="shared" si="48"/>
        <v>24625</v>
      </c>
      <c r="B556" s="2840">
        <v>24600</v>
      </c>
      <c r="C556" s="2840">
        <v>24650</v>
      </c>
      <c r="D556" s="2841">
        <f t="shared" si="44"/>
        <v>2765</v>
      </c>
      <c r="E556" s="2841">
        <f t="shared" si="45"/>
        <v>2574</v>
      </c>
      <c r="F556" s="2841">
        <f t="shared" si="46"/>
        <v>2765</v>
      </c>
      <c r="G556" s="2841">
        <f t="shared" si="47"/>
        <v>2683</v>
      </c>
    </row>
    <row r="557" spans="1:7" ht="15.75">
      <c r="A557" s="3022">
        <f t="shared" si="48"/>
        <v>24675</v>
      </c>
      <c r="B557" s="2840">
        <v>24650</v>
      </c>
      <c r="C557" s="2840">
        <v>24700</v>
      </c>
      <c r="D557" s="2841">
        <f t="shared" si="44"/>
        <v>2771</v>
      </c>
      <c r="E557" s="2841">
        <f t="shared" si="45"/>
        <v>2580</v>
      </c>
      <c r="F557" s="2841">
        <f t="shared" si="46"/>
        <v>2771</v>
      </c>
      <c r="G557" s="2841">
        <f t="shared" si="47"/>
        <v>2689</v>
      </c>
    </row>
    <row r="558" spans="1:7" ht="15.75">
      <c r="A558" s="3022">
        <f t="shared" si="48"/>
        <v>24725</v>
      </c>
      <c r="B558" s="2840">
        <v>24700</v>
      </c>
      <c r="C558" s="2840">
        <v>24750</v>
      </c>
      <c r="D558" s="2841">
        <f t="shared" si="44"/>
        <v>2777</v>
      </c>
      <c r="E558" s="2841">
        <f t="shared" si="45"/>
        <v>2586</v>
      </c>
      <c r="F558" s="2841">
        <f t="shared" si="46"/>
        <v>2777</v>
      </c>
      <c r="G558" s="2841">
        <f t="shared" si="47"/>
        <v>2695</v>
      </c>
    </row>
    <row r="559" spans="1:7" ht="15.75">
      <c r="A559" s="3022">
        <f t="shared" si="48"/>
        <v>24775</v>
      </c>
      <c r="B559" s="2840">
        <v>24750</v>
      </c>
      <c r="C559" s="2840">
        <v>24800</v>
      </c>
      <c r="D559" s="2841">
        <f t="shared" si="44"/>
        <v>2783</v>
      </c>
      <c r="E559" s="2841">
        <f t="shared" si="45"/>
        <v>2592</v>
      </c>
      <c r="F559" s="2841">
        <f t="shared" si="46"/>
        <v>2783</v>
      </c>
      <c r="G559" s="2841">
        <f t="shared" si="47"/>
        <v>2701</v>
      </c>
    </row>
    <row r="560" spans="1:7" ht="15.75">
      <c r="A560" s="3022">
        <f t="shared" si="48"/>
        <v>24825</v>
      </c>
      <c r="B560" s="2840">
        <v>24800</v>
      </c>
      <c r="C560" s="2840">
        <v>24850</v>
      </c>
      <c r="D560" s="2841">
        <f t="shared" si="44"/>
        <v>2789</v>
      </c>
      <c r="E560" s="2841">
        <f t="shared" si="45"/>
        <v>2598</v>
      </c>
      <c r="F560" s="2841">
        <f t="shared" si="46"/>
        <v>2789</v>
      </c>
      <c r="G560" s="2841">
        <f t="shared" si="47"/>
        <v>2707</v>
      </c>
    </row>
    <row r="561" spans="1:7" ht="15.75">
      <c r="A561" s="3022">
        <f t="shared" si="48"/>
        <v>24875</v>
      </c>
      <c r="B561" s="2840">
        <v>24850</v>
      </c>
      <c r="C561" s="2840">
        <v>24900</v>
      </c>
      <c r="D561" s="2841">
        <f t="shared" si="44"/>
        <v>2795</v>
      </c>
      <c r="E561" s="2841">
        <f t="shared" si="45"/>
        <v>2604</v>
      </c>
      <c r="F561" s="2841">
        <f t="shared" si="46"/>
        <v>2795</v>
      </c>
      <c r="G561" s="2841">
        <f t="shared" si="47"/>
        <v>2713</v>
      </c>
    </row>
    <row r="562" spans="1:7" ht="15.75">
      <c r="A562" s="3022">
        <f t="shared" si="48"/>
        <v>24925</v>
      </c>
      <c r="B562" s="2840">
        <v>24900</v>
      </c>
      <c r="C562" s="2840">
        <v>24950</v>
      </c>
      <c r="D562" s="2841">
        <f t="shared" si="44"/>
        <v>2801</v>
      </c>
      <c r="E562" s="2841">
        <f t="shared" si="45"/>
        <v>2610</v>
      </c>
      <c r="F562" s="2841">
        <f t="shared" si="46"/>
        <v>2801</v>
      </c>
      <c r="G562" s="2841">
        <f t="shared" si="47"/>
        <v>2719</v>
      </c>
    </row>
    <row r="563" spans="1:7" ht="15.75">
      <c r="A563" s="3022">
        <f t="shared" si="48"/>
        <v>24975</v>
      </c>
      <c r="B563" s="2840">
        <v>24950</v>
      </c>
      <c r="C563" s="2840">
        <v>25000</v>
      </c>
      <c r="D563" s="2841">
        <f t="shared" si="44"/>
        <v>2807</v>
      </c>
      <c r="E563" s="2841">
        <f t="shared" si="45"/>
        <v>2616</v>
      </c>
      <c r="F563" s="2841">
        <f t="shared" si="46"/>
        <v>2807</v>
      </c>
      <c r="G563" s="2841">
        <f t="shared" si="47"/>
        <v>2725</v>
      </c>
    </row>
    <row r="564" spans="1:7" ht="15.75">
      <c r="A564" s="3022">
        <f t="shared" si="48"/>
        <v>25025</v>
      </c>
      <c r="B564" s="2840">
        <v>25000</v>
      </c>
      <c r="C564" s="2840">
        <v>25050</v>
      </c>
      <c r="D564" s="2841">
        <f t="shared" si="44"/>
        <v>2813</v>
      </c>
      <c r="E564" s="2841">
        <f t="shared" si="45"/>
        <v>2622</v>
      </c>
      <c r="F564" s="2841">
        <f t="shared" si="46"/>
        <v>2813</v>
      </c>
      <c r="G564" s="2841">
        <f t="shared" si="47"/>
        <v>2731</v>
      </c>
    </row>
    <row r="565" spans="1:7" ht="15.75">
      <c r="A565" s="3022">
        <f t="shared" si="48"/>
        <v>25075</v>
      </c>
      <c r="B565" s="2840">
        <v>25050</v>
      </c>
      <c r="C565" s="2840">
        <v>25100</v>
      </c>
      <c r="D565" s="2841">
        <f t="shared" si="44"/>
        <v>2819</v>
      </c>
      <c r="E565" s="2841">
        <f t="shared" si="45"/>
        <v>2628</v>
      </c>
      <c r="F565" s="2841">
        <f t="shared" si="46"/>
        <v>2819</v>
      </c>
      <c r="G565" s="2841">
        <f t="shared" si="47"/>
        <v>2737</v>
      </c>
    </row>
    <row r="566" spans="1:7" ht="15.75">
      <c r="A566" s="3022">
        <f t="shared" si="48"/>
        <v>25125</v>
      </c>
      <c r="B566" s="2840">
        <v>25100</v>
      </c>
      <c r="C566" s="2840">
        <v>25150</v>
      </c>
      <c r="D566" s="2841">
        <f t="shared" si="44"/>
        <v>2825</v>
      </c>
      <c r="E566" s="2841">
        <f t="shared" si="45"/>
        <v>2634</v>
      </c>
      <c r="F566" s="2841">
        <f t="shared" si="46"/>
        <v>2825</v>
      </c>
      <c r="G566" s="2841">
        <f t="shared" si="47"/>
        <v>2743</v>
      </c>
    </row>
    <row r="567" spans="1:7" ht="15.75">
      <c r="A567" s="3022">
        <f t="shared" si="48"/>
        <v>25175</v>
      </c>
      <c r="B567" s="2840">
        <v>25150</v>
      </c>
      <c r="C567" s="2840">
        <v>25200</v>
      </c>
      <c r="D567" s="2841">
        <f t="shared" si="44"/>
        <v>2831</v>
      </c>
      <c r="E567" s="2841">
        <f t="shared" si="45"/>
        <v>2640</v>
      </c>
      <c r="F567" s="2841">
        <f t="shared" si="46"/>
        <v>2831</v>
      </c>
      <c r="G567" s="2841">
        <f t="shared" si="47"/>
        <v>2749</v>
      </c>
    </row>
    <row r="568" spans="1:7" ht="15.75">
      <c r="A568" s="3022">
        <f t="shared" si="48"/>
        <v>25225</v>
      </c>
      <c r="B568" s="2840">
        <v>25200</v>
      </c>
      <c r="C568" s="2840">
        <v>25250</v>
      </c>
      <c r="D568" s="2841">
        <f t="shared" si="44"/>
        <v>2837</v>
      </c>
      <c r="E568" s="2841">
        <f t="shared" si="45"/>
        <v>2646</v>
      </c>
      <c r="F568" s="2841">
        <f t="shared" si="46"/>
        <v>2837</v>
      </c>
      <c r="G568" s="2841">
        <f t="shared" si="47"/>
        <v>2755</v>
      </c>
    </row>
    <row r="569" spans="1:7" ht="15.75">
      <c r="A569" s="3022">
        <f t="shared" si="48"/>
        <v>25275</v>
      </c>
      <c r="B569" s="2840">
        <v>25250</v>
      </c>
      <c r="C569" s="2840">
        <v>25300</v>
      </c>
      <c r="D569" s="2841">
        <f t="shared" si="44"/>
        <v>2843</v>
      </c>
      <c r="E569" s="2841">
        <f t="shared" si="45"/>
        <v>2652</v>
      </c>
      <c r="F569" s="2841">
        <f t="shared" si="46"/>
        <v>2843</v>
      </c>
      <c r="G569" s="2841">
        <f t="shared" si="47"/>
        <v>2761</v>
      </c>
    </row>
    <row r="570" spans="1:7" ht="15.75">
      <c r="A570" s="3022">
        <f t="shared" si="48"/>
        <v>25325</v>
      </c>
      <c r="B570" s="2840">
        <v>25300</v>
      </c>
      <c r="C570" s="2840">
        <v>25350</v>
      </c>
      <c r="D570" s="2841">
        <f t="shared" si="44"/>
        <v>2849</v>
      </c>
      <c r="E570" s="2841">
        <f t="shared" si="45"/>
        <v>2658</v>
      </c>
      <c r="F570" s="2841">
        <f t="shared" si="46"/>
        <v>2849</v>
      </c>
      <c r="G570" s="2841">
        <f t="shared" si="47"/>
        <v>2767</v>
      </c>
    </row>
    <row r="571" spans="1:7" ht="15.75">
      <c r="A571" s="3022">
        <f t="shared" si="48"/>
        <v>25375</v>
      </c>
      <c r="B571" s="2840">
        <v>25350</v>
      </c>
      <c r="C571" s="2840">
        <v>25400</v>
      </c>
      <c r="D571" s="2841">
        <f t="shared" si="44"/>
        <v>2855</v>
      </c>
      <c r="E571" s="2841">
        <f t="shared" si="45"/>
        <v>2664</v>
      </c>
      <c r="F571" s="2841">
        <f t="shared" si="46"/>
        <v>2855</v>
      </c>
      <c r="G571" s="2841">
        <f t="shared" si="47"/>
        <v>2773</v>
      </c>
    </row>
    <row r="572" spans="1:7" ht="15.75">
      <c r="A572" s="3022">
        <f t="shared" si="48"/>
        <v>25425</v>
      </c>
      <c r="B572" s="2840">
        <v>25400</v>
      </c>
      <c r="C572" s="2840">
        <v>25450</v>
      </c>
      <c r="D572" s="2841">
        <f t="shared" si="44"/>
        <v>2861</v>
      </c>
      <c r="E572" s="2841">
        <f t="shared" si="45"/>
        <v>2670</v>
      </c>
      <c r="F572" s="2841">
        <f t="shared" si="46"/>
        <v>2861</v>
      </c>
      <c r="G572" s="2841">
        <f t="shared" si="47"/>
        <v>2779</v>
      </c>
    </row>
    <row r="573" spans="1:7" ht="15.75">
      <c r="A573" s="3022">
        <f t="shared" si="48"/>
        <v>25475</v>
      </c>
      <c r="B573" s="2840">
        <v>25450</v>
      </c>
      <c r="C573" s="2840">
        <v>25500</v>
      </c>
      <c r="D573" s="2841">
        <f t="shared" si="44"/>
        <v>2867</v>
      </c>
      <c r="E573" s="2841">
        <f t="shared" si="45"/>
        <v>2676</v>
      </c>
      <c r="F573" s="2841">
        <f t="shared" si="46"/>
        <v>2867</v>
      </c>
      <c r="G573" s="2841">
        <f t="shared" si="47"/>
        <v>2785</v>
      </c>
    </row>
    <row r="574" spans="1:7" ht="15.75">
      <c r="A574" s="3022">
        <f t="shared" si="48"/>
        <v>25525</v>
      </c>
      <c r="B574" s="2840">
        <v>25500</v>
      </c>
      <c r="C574" s="2840">
        <v>25550</v>
      </c>
      <c r="D574" s="2841">
        <f t="shared" si="44"/>
        <v>2873</v>
      </c>
      <c r="E574" s="2841">
        <f t="shared" si="45"/>
        <v>2682</v>
      </c>
      <c r="F574" s="2841">
        <f t="shared" si="46"/>
        <v>2873</v>
      </c>
      <c r="G574" s="2841">
        <f t="shared" si="47"/>
        <v>2791</v>
      </c>
    </row>
    <row r="575" spans="1:7" ht="15.75">
      <c r="A575" s="3022">
        <f t="shared" si="48"/>
        <v>25575</v>
      </c>
      <c r="B575" s="2840">
        <v>25550</v>
      </c>
      <c r="C575" s="2840">
        <v>25600</v>
      </c>
      <c r="D575" s="2841">
        <f t="shared" si="44"/>
        <v>2879</v>
      </c>
      <c r="E575" s="2841">
        <f t="shared" si="45"/>
        <v>2688</v>
      </c>
      <c r="F575" s="2841">
        <f t="shared" si="46"/>
        <v>2879</v>
      </c>
      <c r="G575" s="2841">
        <f t="shared" si="47"/>
        <v>2797</v>
      </c>
    </row>
    <row r="576" spans="1:7" ht="15.75">
      <c r="A576" s="3022">
        <f t="shared" si="48"/>
        <v>25625</v>
      </c>
      <c r="B576" s="2840">
        <v>25600</v>
      </c>
      <c r="C576" s="2840">
        <v>25650</v>
      </c>
      <c r="D576" s="2841">
        <f t="shared" si="44"/>
        <v>2885</v>
      </c>
      <c r="E576" s="2841">
        <f t="shared" si="45"/>
        <v>2694</v>
      </c>
      <c r="F576" s="2841">
        <f t="shared" si="46"/>
        <v>2885</v>
      </c>
      <c r="G576" s="2841">
        <f t="shared" si="47"/>
        <v>2803</v>
      </c>
    </row>
    <row r="577" spans="1:7" ht="15.75">
      <c r="A577" s="3022">
        <f t="shared" si="48"/>
        <v>25675</v>
      </c>
      <c r="B577" s="2840">
        <v>25650</v>
      </c>
      <c r="C577" s="2840">
        <v>25700</v>
      </c>
      <c r="D577" s="2841">
        <f t="shared" si="44"/>
        <v>2891</v>
      </c>
      <c r="E577" s="2841">
        <f t="shared" si="45"/>
        <v>2700</v>
      </c>
      <c r="F577" s="2841">
        <f t="shared" si="46"/>
        <v>2891</v>
      </c>
      <c r="G577" s="2841">
        <f t="shared" si="47"/>
        <v>2809</v>
      </c>
    </row>
    <row r="578" spans="1:7" ht="15.75">
      <c r="A578" s="3022">
        <f t="shared" si="48"/>
        <v>25725</v>
      </c>
      <c r="B578" s="2840">
        <v>25700</v>
      </c>
      <c r="C578" s="2840">
        <v>25750</v>
      </c>
      <c r="D578" s="2841">
        <f t="shared" ref="D578:D641" si="49">IF($A578&gt;BOTT_A4,ROUND(BASE_A4+RATE_A4*($A578-BOTT_A4),0),IF($A578&gt;BOTT_A3,ROUND(BASE_A3+RATE_A3*($A578-BOTT_A3),0),IF($A578&gt;BOTT_A2,ROUND(BASE_A2+RATE_A2*($A578-BOTT_A2),0),ROUND(RATE_A1*$A578,0))))</f>
        <v>2897</v>
      </c>
      <c r="E578" s="2841">
        <f t="shared" ref="E578:E641" si="50">IF($A578&gt;BOTT_B4,ROUND(BASE_B4+RATE_B4*($A578-BOTT_B4),0),IF($A578&gt;BOTT_B3,ROUND(BASE_B3+RATE_B3*($A578-BOTT_B3),0),IF($A578&gt;BOTT_B2,ROUND(BASE_B2+RATE_B2*($A578-BOTT_B2),0),ROUND(RATE_B1*$A578,0))))</f>
        <v>2706</v>
      </c>
      <c r="F578" s="2841">
        <f t="shared" ref="F578:F641" si="51">IF($A578&gt;BOTT_C4,ROUND(BASE_C4+RATE_C4*($A578-BOTT_C4),0),IF($A578&gt;BOTT_C3,ROUND(BASE_C3+RATE_C3*($A578-BOTT_C3),0),IF($A578&gt;BOTT_C2,ROUND(BASE_C2+RATE_C2*($A578-BOTT_C2),0),ROUND(RATE_C1*$A578,0))))</f>
        <v>2897</v>
      </c>
      <c r="G578" s="2841">
        <f t="shared" ref="G578:G641" si="52">IF($A578&gt;BOTT_D4,ROUND(BASE_D4+RATE_D4*($A578-BOTT_D4),0),IF($A578&gt;BOTT_D3,ROUND(BASE_D3+RATE_D3*($A578-BOTT_D3),0),IF($A578&gt;BOTT_D2,ROUND(BASE_D2+RATE_D2*($A578-BOTT_D2),0),ROUND(RATE_D1*$A578,0))))</f>
        <v>2815</v>
      </c>
    </row>
    <row r="579" spans="1:7" ht="15.75">
      <c r="A579" s="3022">
        <f t="shared" ref="A579:A642" si="53">AVERAGE(B579,C579)</f>
        <v>25775</v>
      </c>
      <c r="B579" s="2840">
        <v>25750</v>
      </c>
      <c r="C579" s="2840">
        <v>25800</v>
      </c>
      <c r="D579" s="2841">
        <f t="shared" si="49"/>
        <v>2903</v>
      </c>
      <c r="E579" s="2841">
        <f t="shared" si="50"/>
        <v>2712</v>
      </c>
      <c r="F579" s="2841">
        <f t="shared" si="51"/>
        <v>2903</v>
      </c>
      <c r="G579" s="2841">
        <f t="shared" si="52"/>
        <v>2821</v>
      </c>
    </row>
    <row r="580" spans="1:7" ht="15.75">
      <c r="A580" s="3022">
        <f t="shared" si="53"/>
        <v>25825</v>
      </c>
      <c r="B580" s="2840">
        <v>25800</v>
      </c>
      <c r="C580" s="2840">
        <v>25850</v>
      </c>
      <c r="D580" s="2841">
        <f t="shared" si="49"/>
        <v>2909</v>
      </c>
      <c r="E580" s="2841">
        <f t="shared" si="50"/>
        <v>2718</v>
      </c>
      <c r="F580" s="2841">
        <f t="shared" si="51"/>
        <v>2909</v>
      </c>
      <c r="G580" s="2841">
        <f t="shared" si="52"/>
        <v>2827</v>
      </c>
    </row>
    <row r="581" spans="1:7" ht="15.75">
      <c r="A581" s="3022">
        <f t="shared" si="53"/>
        <v>25875</v>
      </c>
      <c r="B581" s="2840">
        <v>25850</v>
      </c>
      <c r="C581" s="2840">
        <v>25900</v>
      </c>
      <c r="D581" s="2841">
        <f t="shared" si="49"/>
        <v>2915</v>
      </c>
      <c r="E581" s="2841">
        <f t="shared" si="50"/>
        <v>2724</v>
      </c>
      <c r="F581" s="2841">
        <f t="shared" si="51"/>
        <v>2915</v>
      </c>
      <c r="G581" s="2841">
        <f t="shared" si="52"/>
        <v>2833</v>
      </c>
    </row>
    <row r="582" spans="1:7" ht="15.75">
      <c r="A582" s="3022">
        <f t="shared" si="53"/>
        <v>25925</v>
      </c>
      <c r="B582" s="2840">
        <v>25900</v>
      </c>
      <c r="C582" s="2840">
        <v>25950</v>
      </c>
      <c r="D582" s="2841">
        <f t="shared" si="49"/>
        <v>2921</v>
      </c>
      <c r="E582" s="2841">
        <f t="shared" si="50"/>
        <v>2730</v>
      </c>
      <c r="F582" s="2841">
        <f t="shared" si="51"/>
        <v>2921</v>
      </c>
      <c r="G582" s="2841">
        <f t="shared" si="52"/>
        <v>2839</v>
      </c>
    </row>
    <row r="583" spans="1:7" ht="15.75">
      <c r="A583" s="3022">
        <f t="shared" si="53"/>
        <v>25975</v>
      </c>
      <c r="B583" s="2840">
        <v>25950</v>
      </c>
      <c r="C583" s="2840">
        <v>26000</v>
      </c>
      <c r="D583" s="2841">
        <f t="shared" si="49"/>
        <v>2927</v>
      </c>
      <c r="E583" s="2841">
        <f t="shared" si="50"/>
        <v>2736</v>
      </c>
      <c r="F583" s="2841">
        <f t="shared" si="51"/>
        <v>2927</v>
      </c>
      <c r="G583" s="2841">
        <f t="shared" si="52"/>
        <v>2845</v>
      </c>
    </row>
    <row r="584" spans="1:7" ht="15.75">
      <c r="A584" s="3022">
        <f t="shared" si="53"/>
        <v>26025</v>
      </c>
      <c r="B584" s="2840">
        <v>26000</v>
      </c>
      <c r="C584" s="2840">
        <v>26050</v>
      </c>
      <c r="D584" s="2841">
        <f t="shared" si="49"/>
        <v>2933</v>
      </c>
      <c r="E584" s="2841">
        <f t="shared" si="50"/>
        <v>2742</v>
      </c>
      <c r="F584" s="2841">
        <f t="shared" si="51"/>
        <v>2933</v>
      </c>
      <c r="G584" s="2841">
        <f t="shared" si="52"/>
        <v>2851</v>
      </c>
    </row>
    <row r="585" spans="1:7" ht="15.75">
      <c r="A585" s="3022">
        <f t="shared" si="53"/>
        <v>26075</v>
      </c>
      <c r="B585" s="2840">
        <v>26050</v>
      </c>
      <c r="C585" s="2840">
        <v>26100</v>
      </c>
      <c r="D585" s="2841">
        <f t="shared" si="49"/>
        <v>2939</v>
      </c>
      <c r="E585" s="2841">
        <f t="shared" si="50"/>
        <v>2748</v>
      </c>
      <c r="F585" s="2841">
        <f t="shared" si="51"/>
        <v>2939</v>
      </c>
      <c r="G585" s="2841">
        <f t="shared" si="52"/>
        <v>2857</v>
      </c>
    </row>
    <row r="586" spans="1:7" ht="15.75">
      <c r="A586" s="3022">
        <f t="shared" si="53"/>
        <v>26125</v>
      </c>
      <c r="B586" s="2840">
        <v>26100</v>
      </c>
      <c r="C586" s="2840">
        <v>26150</v>
      </c>
      <c r="D586" s="2841">
        <f t="shared" si="49"/>
        <v>2945</v>
      </c>
      <c r="E586" s="2841">
        <f t="shared" si="50"/>
        <v>2754</v>
      </c>
      <c r="F586" s="2841">
        <f t="shared" si="51"/>
        <v>2945</v>
      </c>
      <c r="G586" s="2841">
        <f t="shared" si="52"/>
        <v>2863</v>
      </c>
    </row>
    <row r="587" spans="1:7" ht="15.75">
      <c r="A587" s="3022">
        <f t="shared" si="53"/>
        <v>26175</v>
      </c>
      <c r="B587" s="2840">
        <v>26150</v>
      </c>
      <c r="C587" s="2840">
        <v>26200</v>
      </c>
      <c r="D587" s="2841">
        <f t="shared" si="49"/>
        <v>2951</v>
      </c>
      <c r="E587" s="2841">
        <f t="shared" si="50"/>
        <v>2760</v>
      </c>
      <c r="F587" s="2841">
        <f t="shared" si="51"/>
        <v>2951</v>
      </c>
      <c r="G587" s="2841">
        <f t="shared" si="52"/>
        <v>2869</v>
      </c>
    </row>
    <row r="588" spans="1:7" ht="15.75">
      <c r="A588" s="3022">
        <f t="shared" si="53"/>
        <v>26225</v>
      </c>
      <c r="B588" s="2840">
        <v>26200</v>
      </c>
      <c r="C588" s="2840">
        <v>26250</v>
      </c>
      <c r="D588" s="2841">
        <f t="shared" si="49"/>
        <v>2957</v>
      </c>
      <c r="E588" s="2841">
        <f t="shared" si="50"/>
        <v>2766</v>
      </c>
      <c r="F588" s="2841">
        <f t="shared" si="51"/>
        <v>2957</v>
      </c>
      <c r="G588" s="2841">
        <f t="shared" si="52"/>
        <v>2875</v>
      </c>
    </row>
    <row r="589" spans="1:7" ht="15.75">
      <c r="A589" s="3022">
        <f t="shared" si="53"/>
        <v>26275</v>
      </c>
      <c r="B589" s="2840">
        <v>26250</v>
      </c>
      <c r="C589" s="2840">
        <v>26300</v>
      </c>
      <c r="D589" s="2841">
        <f t="shared" si="49"/>
        <v>2963</v>
      </c>
      <c r="E589" s="2841">
        <f t="shared" si="50"/>
        <v>2772</v>
      </c>
      <c r="F589" s="2841">
        <f t="shared" si="51"/>
        <v>2963</v>
      </c>
      <c r="G589" s="2841">
        <f t="shared" si="52"/>
        <v>2881</v>
      </c>
    </row>
    <row r="590" spans="1:7" ht="15.75">
      <c r="A590" s="3022">
        <f t="shared" si="53"/>
        <v>26325</v>
      </c>
      <c r="B590" s="2840">
        <v>26300</v>
      </c>
      <c r="C590" s="2840">
        <v>26350</v>
      </c>
      <c r="D590" s="2841">
        <f t="shared" si="49"/>
        <v>2969</v>
      </c>
      <c r="E590" s="2841">
        <f t="shared" si="50"/>
        <v>2778</v>
      </c>
      <c r="F590" s="2841">
        <f t="shared" si="51"/>
        <v>2969</v>
      </c>
      <c r="G590" s="2841">
        <f t="shared" si="52"/>
        <v>2887</v>
      </c>
    </row>
    <row r="591" spans="1:7" ht="15.75">
      <c r="A591" s="3022">
        <f t="shared" si="53"/>
        <v>26375</v>
      </c>
      <c r="B591" s="2840">
        <v>26350</v>
      </c>
      <c r="C591" s="2840">
        <v>26400</v>
      </c>
      <c r="D591" s="2841">
        <f t="shared" si="49"/>
        <v>2975</v>
      </c>
      <c r="E591" s="2841">
        <f t="shared" si="50"/>
        <v>2784</v>
      </c>
      <c r="F591" s="2841">
        <f t="shared" si="51"/>
        <v>2975</v>
      </c>
      <c r="G591" s="2841">
        <f t="shared" si="52"/>
        <v>2893</v>
      </c>
    </row>
    <row r="592" spans="1:7" ht="15.75">
      <c r="A592" s="3022">
        <f t="shared" si="53"/>
        <v>26425</v>
      </c>
      <c r="B592" s="2840">
        <v>26400</v>
      </c>
      <c r="C592" s="2840">
        <v>26450</v>
      </c>
      <c r="D592" s="2841">
        <f t="shared" si="49"/>
        <v>2981</v>
      </c>
      <c r="E592" s="2841">
        <f t="shared" si="50"/>
        <v>2790</v>
      </c>
      <c r="F592" s="2841">
        <f t="shared" si="51"/>
        <v>2981</v>
      </c>
      <c r="G592" s="2841">
        <f t="shared" si="52"/>
        <v>2899</v>
      </c>
    </row>
    <row r="593" spans="1:7" ht="15.75">
      <c r="A593" s="3022">
        <f t="shared" si="53"/>
        <v>26475</v>
      </c>
      <c r="B593" s="2840">
        <v>26450</v>
      </c>
      <c r="C593" s="2840">
        <v>26500</v>
      </c>
      <c r="D593" s="2841">
        <f t="shared" si="49"/>
        <v>2987</v>
      </c>
      <c r="E593" s="2841">
        <f t="shared" si="50"/>
        <v>2796</v>
      </c>
      <c r="F593" s="2841">
        <f t="shared" si="51"/>
        <v>2987</v>
      </c>
      <c r="G593" s="2841">
        <f t="shared" si="52"/>
        <v>2905</v>
      </c>
    </row>
    <row r="594" spans="1:7" ht="15.75">
      <c r="A594" s="3022">
        <f t="shared" si="53"/>
        <v>26525</v>
      </c>
      <c r="B594" s="2840">
        <v>26500</v>
      </c>
      <c r="C594" s="2840">
        <v>26550</v>
      </c>
      <c r="D594" s="2841">
        <f t="shared" si="49"/>
        <v>2993</v>
      </c>
      <c r="E594" s="2841">
        <f t="shared" si="50"/>
        <v>2802</v>
      </c>
      <c r="F594" s="2841">
        <f t="shared" si="51"/>
        <v>2993</v>
      </c>
      <c r="G594" s="2841">
        <f t="shared" si="52"/>
        <v>2911</v>
      </c>
    </row>
    <row r="595" spans="1:7" ht="15.75">
      <c r="A595" s="3022">
        <f t="shared" si="53"/>
        <v>26575</v>
      </c>
      <c r="B595" s="2840">
        <v>26550</v>
      </c>
      <c r="C595" s="2840">
        <v>26600</v>
      </c>
      <c r="D595" s="2841">
        <f t="shared" si="49"/>
        <v>2999</v>
      </c>
      <c r="E595" s="2841">
        <f t="shared" si="50"/>
        <v>2808</v>
      </c>
      <c r="F595" s="2841">
        <f t="shared" si="51"/>
        <v>2999</v>
      </c>
      <c r="G595" s="2841">
        <f t="shared" si="52"/>
        <v>2917</v>
      </c>
    </row>
    <row r="596" spans="1:7" ht="15.75">
      <c r="A596" s="3022">
        <f t="shared" si="53"/>
        <v>26625</v>
      </c>
      <c r="B596" s="2840">
        <v>26600</v>
      </c>
      <c r="C596" s="2840">
        <v>26650</v>
      </c>
      <c r="D596" s="2841">
        <f t="shared" si="49"/>
        <v>3005</v>
      </c>
      <c r="E596" s="2841">
        <f t="shared" si="50"/>
        <v>2814</v>
      </c>
      <c r="F596" s="2841">
        <f t="shared" si="51"/>
        <v>3005</v>
      </c>
      <c r="G596" s="2841">
        <f t="shared" si="52"/>
        <v>2923</v>
      </c>
    </row>
    <row r="597" spans="1:7" ht="15.75">
      <c r="A597" s="3022">
        <f t="shared" si="53"/>
        <v>26675</v>
      </c>
      <c r="B597" s="2840">
        <v>26650</v>
      </c>
      <c r="C597" s="2840">
        <v>26700</v>
      </c>
      <c r="D597" s="2841">
        <f t="shared" si="49"/>
        <v>3011</v>
      </c>
      <c r="E597" s="2841">
        <f t="shared" si="50"/>
        <v>2820</v>
      </c>
      <c r="F597" s="2841">
        <f t="shared" si="51"/>
        <v>3011</v>
      </c>
      <c r="G597" s="2841">
        <f t="shared" si="52"/>
        <v>2929</v>
      </c>
    </row>
    <row r="598" spans="1:7" ht="15.75">
      <c r="A598" s="3022">
        <f t="shared" si="53"/>
        <v>26725</v>
      </c>
      <c r="B598" s="2840">
        <v>26700</v>
      </c>
      <c r="C598" s="2840">
        <v>26750</v>
      </c>
      <c r="D598" s="2841">
        <f t="shared" si="49"/>
        <v>3017</v>
      </c>
      <c r="E598" s="2841">
        <f t="shared" si="50"/>
        <v>2826</v>
      </c>
      <c r="F598" s="2841">
        <f t="shared" si="51"/>
        <v>3017</v>
      </c>
      <c r="G598" s="2841">
        <f t="shared" si="52"/>
        <v>2935</v>
      </c>
    </row>
    <row r="599" spans="1:7" ht="15.75">
      <c r="A599" s="3022">
        <f t="shared" si="53"/>
        <v>26775</v>
      </c>
      <c r="B599" s="2840">
        <v>26750</v>
      </c>
      <c r="C599" s="2840">
        <v>26800</v>
      </c>
      <c r="D599" s="2841">
        <f t="shared" si="49"/>
        <v>3023</v>
      </c>
      <c r="E599" s="2841">
        <f t="shared" si="50"/>
        <v>2832</v>
      </c>
      <c r="F599" s="2841">
        <f t="shared" si="51"/>
        <v>3023</v>
      </c>
      <c r="G599" s="2841">
        <f t="shared" si="52"/>
        <v>2941</v>
      </c>
    </row>
    <row r="600" spans="1:7" ht="15.75">
      <c r="A600" s="3022">
        <f t="shared" si="53"/>
        <v>26825</v>
      </c>
      <c r="B600" s="2840">
        <v>26800</v>
      </c>
      <c r="C600" s="2840">
        <v>26850</v>
      </c>
      <c r="D600" s="2841">
        <f t="shared" si="49"/>
        <v>3029</v>
      </c>
      <c r="E600" s="2841">
        <f t="shared" si="50"/>
        <v>2838</v>
      </c>
      <c r="F600" s="2841">
        <f t="shared" si="51"/>
        <v>3029</v>
      </c>
      <c r="G600" s="2841">
        <f t="shared" si="52"/>
        <v>2947</v>
      </c>
    </row>
    <row r="601" spans="1:7" ht="15.75">
      <c r="A601" s="3022">
        <f t="shared" si="53"/>
        <v>26875</v>
      </c>
      <c r="B601" s="2840">
        <v>26850</v>
      </c>
      <c r="C601" s="2840">
        <v>26900</v>
      </c>
      <c r="D601" s="2841">
        <f t="shared" si="49"/>
        <v>3035</v>
      </c>
      <c r="E601" s="2841">
        <f t="shared" si="50"/>
        <v>2844</v>
      </c>
      <c r="F601" s="2841">
        <f t="shared" si="51"/>
        <v>3035</v>
      </c>
      <c r="G601" s="2841">
        <f t="shared" si="52"/>
        <v>2953</v>
      </c>
    </row>
    <row r="602" spans="1:7" ht="15.75">
      <c r="A602" s="3022">
        <f t="shared" si="53"/>
        <v>26925</v>
      </c>
      <c r="B602" s="2840">
        <v>26900</v>
      </c>
      <c r="C602" s="2840">
        <v>26950</v>
      </c>
      <c r="D602" s="2841">
        <f t="shared" si="49"/>
        <v>3041</v>
      </c>
      <c r="E602" s="2841">
        <f t="shared" si="50"/>
        <v>2850</v>
      </c>
      <c r="F602" s="2841">
        <f t="shared" si="51"/>
        <v>3041</v>
      </c>
      <c r="G602" s="2841">
        <f t="shared" si="52"/>
        <v>2959</v>
      </c>
    </row>
    <row r="603" spans="1:7" ht="15.75">
      <c r="A603" s="3022">
        <f t="shared" si="53"/>
        <v>26975</v>
      </c>
      <c r="B603" s="2840">
        <v>26950</v>
      </c>
      <c r="C603" s="2840">
        <v>27000</v>
      </c>
      <c r="D603" s="2841">
        <f t="shared" si="49"/>
        <v>3047</v>
      </c>
      <c r="E603" s="2841">
        <f t="shared" si="50"/>
        <v>2856</v>
      </c>
      <c r="F603" s="2841">
        <f t="shared" si="51"/>
        <v>3047</v>
      </c>
      <c r="G603" s="2841">
        <f t="shared" si="52"/>
        <v>2965</v>
      </c>
    </row>
    <row r="604" spans="1:7" ht="15.75">
      <c r="A604" s="3022">
        <f t="shared" si="53"/>
        <v>27025</v>
      </c>
      <c r="B604" s="2840">
        <v>27000</v>
      </c>
      <c r="C604" s="2840">
        <v>27050</v>
      </c>
      <c r="D604" s="2841">
        <f t="shared" si="49"/>
        <v>3053</v>
      </c>
      <c r="E604" s="2841">
        <f t="shared" si="50"/>
        <v>2862</v>
      </c>
      <c r="F604" s="2841">
        <f t="shared" si="51"/>
        <v>3053</v>
      </c>
      <c r="G604" s="2841">
        <f t="shared" si="52"/>
        <v>2971</v>
      </c>
    </row>
    <row r="605" spans="1:7" ht="15.75">
      <c r="A605" s="3022">
        <f t="shared" si="53"/>
        <v>27075</v>
      </c>
      <c r="B605" s="2840">
        <v>27050</v>
      </c>
      <c r="C605" s="2840">
        <v>27100</v>
      </c>
      <c r="D605" s="2841">
        <f t="shared" si="49"/>
        <v>3059</v>
      </c>
      <c r="E605" s="2841">
        <f t="shared" si="50"/>
        <v>2868</v>
      </c>
      <c r="F605" s="2841">
        <f t="shared" si="51"/>
        <v>3059</v>
      </c>
      <c r="G605" s="2841">
        <f t="shared" si="52"/>
        <v>2977</v>
      </c>
    </row>
    <row r="606" spans="1:7" ht="15.75">
      <c r="A606" s="3022">
        <f t="shared" si="53"/>
        <v>27125</v>
      </c>
      <c r="B606" s="2840">
        <v>27100</v>
      </c>
      <c r="C606" s="2840">
        <v>27150</v>
      </c>
      <c r="D606" s="2841">
        <f t="shared" si="49"/>
        <v>3065</v>
      </c>
      <c r="E606" s="2841">
        <f t="shared" si="50"/>
        <v>2874</v>
      </c>
      <c r="F606" s="2841">
        <f t="shared" si="51"/>
        <v>3065</v>
      </c>
      <c r="G606" s="2841">
        <f t="shared" si="52"/>
        <v>2983</v>
      </c>
    </row>
    <row r="607" spans="1:7" ht="15.75">
      <c r="A607" s="3022">
        <f t="shared" si="53"/>
        <v>27175</v>
      </c>
      <c r="B607" s="2840">
        <v>27150</v>
      </c>
      <c r="C607" s="2840">
        <v>27200</v>
      </c>
      <c r="D607" s="2841">
        <f t="shared" si="49"/>
        <v>3071</v>
      </c>
      <c r="E607" s="2841">
        <f t="shared" si="50"/>
        <v>2880</v>
      </c>
      <c r="F607" s="2841">
        <f t="shared" si="51"/>
        <v>3071</v>
      </c>
      <c r="G607" s="2841">
        <f t="shared" si="52"/>
        <v>2989</v>
      </c>
    </row>
    <row r="608" spans="1:7" ht="15.75">
      <c r="A608" s="3022">
        <f t="shared" si="53"/>
        <v>27225</v>
      </c>
      <c r="B608" s="2840">
        <v>27200</v>
      </c>
      <c r="C608" s="2840">
        <v>27250</v>
      </c>
      <c r="D608" s="2841">
        <f t="shared" si="49"/>
        <v>3077</v>
      </c>
      <c r="E608" s="2841">
        <f t="shared" si="50"/>
        <v>2886</v>
      </c>
      <c r="F608" s="2841">
        <f t="shared" si="51"/>
        <v>3077</v>
      </c>
      <c r="G608" s="2841">
        <f t="shared" si="52"/>
        <v>2995</v>
      </c>
    </row>
    <row r="609" spans="1:7" ht="15.75">
      <c r="A609" s="3022">
        <f t="shared" si="53"/>
        <v>27275</v>
      </c>
      <c r="B609" s="2840">
        <v>27250</v>
      </c>
      <c r="C609" s="2840">
        <v>27300</v>
      </c>
      <c r="D609" s="2841">
        <f t="shared" si="49"/>
        <v>3083</v>
      </c>
      <c r="E609" s="2841">
        <f t="shared" si="50"/>
        <v>2892</v>
      </c>
      <c r="F609" s="2841">
        <f t="shared" si="51"/>
        <v>3083</v>
      </c>
      <c r="G609" s="2841">
        <f t="shared" si="52"/>
        <v>3001</v>
      </c>
    </row>
    <row r="610" spans="1:7" ht="15.75">
      <c r="A610" s="3022">
        <f t="shared" si="53"/>
        <v>27325</v>
      </c>
      <c r="B610" s="2840">
        <v>27300</v>
      </c>
      <c r="C610" s="2840">
        <v>27350</v>
      </c>
      <c r="D610" s="2841">
        <f t="shared" si="49"/>
        <v>3089</v>
      </c>
      <c r="E610" s="2841">
        <f t="shared" si="50"/>
        <v>2898</v>
      </c>
      <c r="F610" s="2841">
        <f t="shared" si="51"/>
        <v>3089</v>
      </c>
      <c r="G610" s="2841">
        <f t="shared" si="52"/>
        <v>3007</v>
      </c>
    </row>
    <row r="611" spans="1:7" ht="15.75">
      <c r="A611" s="3022">
        <f t="shared" si="53"/>
        <v>27375</v>
      </c>
      <c r="B611" s="2840">
        <v>27350</v>
      </c>
      <c r="C611" s="2840">
        <v>27400</v>
      </c>
      <c r="D611" s="2841">
        <f t="shared" si="49"/>
        <v>3095</v>
      </c>
      <c r="E611" s="2841">
        <f t="shared" si="50"/>
        <v>2904</v>
      </c>
      <c r="F611" s="2841">
        <f t="shared" si="51"/>
        <v>3095</v>
      </c>
      <c r="G611" s="2841">
        <f t="shared" si="52"/>
        <v>3013</v>
      </c>
    </row>
    <row r="612" spans="1:7" ht="15.75">
      <c r="A612" s="3022">
        <f t="shared" si="53"/>
        <v>27425</v>
      </c>
      <c r="B612" s="2840">
        <v>27400</v>
      </c>
      <c r="C612" s="2840">
        <v>27450</v>
      </c>
      <c r="D612" s="2841">
        <f t="shared" si="49"/>
        <v>3101</v>
      </c>
      <c r="E612" s="2841">
        <f t="shared" si="50"/>
        <v>2910</v>
      </c>
      <c r="F612" s="2841">
        <f t="shared" si="51"/>
        <v>3101</v>
      </c>
      <c r="G612" s="2841">
        <f t="shared" si="52"/>
        <v>3019</v>
      </c>
    </row>
    <row r="613" spans="1:7" ht="15.75">
      <c r="A613" s="3022">
        <f t="shared" si="53"/>
        <v>27475</v>
      </c>
      <c r="B613" s="2840">
        <v>27450</v>
      </c>
      <c r="C613" s="2840">
        <v>27500</v>
      </c>
      <c r="D613" s="2841">
        <f t="shared" si="49"/>
        <v>3107</v>
      </c>
      <c r="E613" s="2841">
        <f t="shared" si="50"/>
        <v>2916</v>
      </c>
      <c r="F613" s="2841">
        <f t="shared" si="51"/>
        <v>3107</v>
      </c>
      <c r="G613" s="2841">
        <f t="shared" si="52"/>
        <v>3025</v>
      </c>
    </row>
    <row r="614" spans="1:7" ht="15.75">
      <c r="A614" s="3022">
        <f t="shared" si="53"/>
        <v>27525</v>
      </c>
      <c r="B614" s="2840">
        <v>27500</v>
      </c>
      <c r="C614" s="2840">
        <v>27550</v>
      </c>
      <c r="D614" s="2841">
        <f t="shared" si="49"/>
        <v>3113</v>
      </c>
      <c r="E614" s="2841">
        <f t="shared" si="50"/>
        <v>2922</v>
      </c>
      <c r="F614" s="2841">
        <f t="shared" si="51"/>
        <v>3113</v>
      </c>
      <c r="G614" s="2841">
        <f t="shared" si="52"/>
        <v>3031</v>
      </c>
    </row>
    <row r="615" spans="1:7" ht="15.75">
      <c r="A615" s="3022">
        <f t="shared" si="53"/>
        <v>27575</v>
      </c>
      <c r="B615" s="2840">
        <v>27550</v>
      </c>
      <c r="C615" s="2840">
        <v>27600</v>
      </c>
      <c r="D615" s="2841">
        <f t="shared" si="49"/>
        <v>3119</v>
      </c>
      <c r="E615" s="2841">
        <f t="shared" si="50"/>
        <v>2928</v>
      </c>
      <c r="F615" s="2841">
        <f t="shared" si="51"/>
        <v>3119</v>
      </c>
      <c r="G615" s="2841">
        <f t="shared" si="52"/>
        <v>3037</v>
      </c>
    </row>
    <row r="616" spans="1:7" ht="15.75">
      <c r="A616" s="3022">
        <f t="shared" si="53"/>
        <v>27625</v>
      </c>
      <c r="B616" s="2840">
        <v>27600</v>
      </c>
      <c r="C616" s="2840">
        <v>27650</v>
      </c>
      <c r="D616" s="2841">
        <f t="shared" si="49"/>
        <v>3125</v>
      </c>
      <c r="E616" s="2841">
        <f t="shared" si="50"/>
        <v>2934</v>
      </c>
      <c r="F616" s="2841">
        <f t="shared" si="51"/>
        <v>3125</v>
      </c>
      <c r="G616" s="2841">
        <f t="shared" si="52"/>
        <v>3043</v>
      </c>
    </row>
    <row r="617" spans="1:7" ht="15.75">
      <c r="A617" s="3022">
        <f t="shared" si="53"/>
        <v>27675</v>
      </c>
      <c r="B617" s="2840">
        <v>27650</v>
      </c>
      <c r="C617" s="2840">
        <v>27700</v>
      </c>
      <c r="D617" s="2841">
        <f t="shared" si="49"/>
        <v>3131</v>
      </c>
      <c r="E617" s="2841">
        <f t="shared" si="50"/>
        <v>2940</v>
      </c>
      <c r="F617" s="2841">
        <f t="shared" si="51"/>
        <v>3131</v>
      </c>
      <c r="G617" s="2841">
        <f t="shared" si="52"/>
        <v>3049</v>
      </c>
    </row>
    <row r="618" spans="1:7" ht="15.75">
      <c r="A618" s="3022">
        <f t="shared" si="53"/>
        <v>27725</v>
      </c>
      <c r="B618" s="2840">
        <v>27700</v>
      </c>
      <c r="C618" s="2840">
        <v>27750</v>
      </c>
      <c r="D618" s="2841">
        <f t="shared" si="49"/>
        <v>3137</v>
      </c>
      <c r="E618" s="2841">
        <f t="shared" si="50"/>
        <v>2946</v>
      </c>
      <c r="F618" s="2841">
        <f t="shared" si="51"/>
        <v>3137</v>
      </c>
      <c r="G618" s="2841">
        <f t="shared" si="52"/>
        <v>3055</v>
      </c>
    </row>
    <row r="619" spans="1:7" ht="15.75">
      <c r="A619" s="3022">
        <f t="shared" si="53"/>
        <v>27775</v>
      </c>
      <c r="B619" s="2840">
        <v>27750</v>
      </c>
      <c r="C619" s="2840">
        <v>27800</v>
      </c>
      <c r="D619" s="2841">
        <f t="shared" si="49"/>
        <v>3143</v>
      </c>
      <c r="E619" s="2841">
        <f t="shared" si="50"/>
        <v>2952</v>
      </c>
      <c r="F619" s="2841">
        <f t="shared" si="51"/>
        <v>3143</v>
      </c>
      <c r="G619" s="2841">
        <f t="shared" si="52"/>
        <v>3061</v>
      </c>
    </row>
    <row r="620" spans="1:7" ht="15.75">
      <c r="A620" s="3022">
        <f t="shared" si="53"/>
        <v>27825</v>
      </c>
      <c r="B620" s="2840">
        <v>27800</v>
      </c>
      <c r="C620" s="2840">
        <v>27850</v>
      </c>
      <c r="D620" s="2841">
        <f t="shared" si="49"/>
        <v>3149</v>
      </c>
      <c r="E620" s="2841">
        <f t="shared" si="50"/>
        <v>2958</v>
      </c>
      <c r="F620" s="2841">
        <f t="shared" si="51"/>
        <v>3149</v>
      </c>
      <c r="G620" s="2841">
        <f t="shared" si="52"/>
        <v>3067</v>
      </c>
    </row>
    <row r="621" spans="1:7" ht="15.75">
      <c r="A621" s="3022">
        <f t="shared" si="53"/>
        <v>27875</v>
      </c>
      <c r="B621" s="2840">
        <v>27850</v>
      </c>
      <c r="C621" s="2840">
        <v>27900</v>
      </c>
      <c r="D621" s="2841">
        <f t="shared" si="49"/>
        <v>3155</v>
      </c>
      <c r="E621" s="2841">
        <f t="shared" si="50"/>
        <v>2964</v>
      </c>
      <c r="F621" s="2841">
        <f t="shared" si="51"/>
        <v>3155</v>
      </c>
      <c r="G621" s="2841">
        <f t="shared" si="52"/>
        <v>3073</v>
      </c>
    </row>
    <row r="622" spans="1:7" ht="15.75">
      <c r="A622" s="3022">
        <f t="shared" si="53"/>
        <v>27925</v>
      </c>
      <c r="B622" s="2840">
        <v>27900</v>
      </c>
      <c r="C622" s="2840">
        <v>27950</v>
      </c>
      <c r="D622" s="2841">
        <f t="shared" si="49"/>
        <v>3161</v>
      </c>
      <c r="E622" s="2841">
        <f t="shared" si="50"/>
        <v>2970</v>
      </c>
      <c r="F622" s="2841">
        <f t="shared" si="51"/>
        <v>3161</v>
      </c>
      <c r="G622" s="2841">
        <f t="shared" si="52"/>
        <v>3079</v>
      </c>
    </row>
    <row r="623" spans="1:7" ht="15.75">
      <c r="A623" s="3022">
        <f t="shared" si="53"/>
        <v>27975</v>
      </c>
      <c r="B623" s="2840">
        <v>27950</v>
      </c>
      <c r="C623" s="2840">
        <v>28000</v>
      </c>
      <c r="D623" s="2841">
        <f t="shared" si="49"/>
        <v>3167</v>
      </c>
      <c r="E623" s="2841">
        <f t="shared" si="50"/>
        <v>2976</v>
      </c>
      <c r="F623" s="2841">
        <f t="shared" si="51"/>
        <v>3167</v>
      </c>
      <c r="G623" s="2841">
        <f t="shared" si="52"/>
        <v>3085</v>
      </c>
    </row>
    <row r="624" spans="1:7" ht="15.75">
      <c r="A624" s="3022">
        <f t="shared" si="53"/>
        <v>28025</v>
      </c>
      <c r="B624" s="2840">
        <v>28000</v>
      </c>
      <c r="C624" s="2840">
        <v>28050</v>
      </c>
      <c r="D624" s="2841">
        <f t="shared" si="49"/>
        <v>3173</v>
      </c>
      <c r="E624" s="2841">
        <f t="shared" si="50"/>
        <v>2982</v>
      </c>
      <c r="F624" s="2841">
        <f t="shared" si="51"/>
        <v>3173</v>
      </c>
      <c r="G624" s="2841">
        <f t="shared" si="52"/>
        <v>3091</v>
      </c>
    </row>
    <row r="625" spans="1:7" ht="15.75">
      <c r="A625" s="3022">
        <f t="shared" si="53"/>
        <v>28075</v>
      </c>
      <c r="B625" s="2840">
        <v>28050</v>
      </c>
      <c r="C625" s="2840">
        <v>28100</v>
      </c>
      <c r="D625" s="2841">
        <f t="shared" si="49"/>
        <v>3179</v>
      </c>
      <c r="E625" s="2841">
        <f t="shared" si="50"/>
        <v>2988</v>
      </c>
      <c r="F625" s="2841">
        <f t="shared" si="51"/>
        <v>3179</v>
      </c>
      <c r="G625" s="2841">
        <f t="shared" si="52"/>
        <v>3097</v>
      </c>
    </row>
    <row r="626" spans="1:7" ht="15.75">
      <c r="A626" s="3022">
        <f t="shared" si="53"/>
        <v>28125</v>
      </c>
      <c r="B626" s="2840">
        <v>28100</v>
      </c>
      <c r="C626" s="2840">
        <v>28150</v>
      </c>
      <c r="D626" s="2841">
        <f t="shared" si="49"/>
        <v>3185</v>
      </c>
      <c r="E626" s="2841">
        <f t="shared" si="50"/>
        <v>2994</v>
      </c>
      <c r="F626" s="2841">
        <f t="shared" si="51"/>
        <v>3185</v>
      </c>
      <c r="G626" s="2841">
        <f t="shared" si="52"/>
        <v>3103</v>
      </c>
    </row>
    <row r="627" spans="1:7" ht="15.75">
      <c r="A627" s="3022">
        <f t="shared" si="53"/>
        <v>28175</v>
      </c>
      <c r="B627" s="2840">
        <v>28150</v>
      </c>
      <c r="C627" s="2840">
        <v>28200</v>
      </c>
      <c r="D627" s="2841">
        <f t="shared" si="49"/>
        <v>3191</v>
      </c>
      <c r="E627" s="2841">
        <f t="shared" si="50"/>
        <v>3000</v>
      </c>
      <c r="F627" s="2841">
        <f t="shared" si="51"/>
        <v>3191</v>
      </c>
      <c r="G627" s="2841">
        <f t="shared" si="52"/>
        <v>3109</v>
      </c>
    </row>
    <row r="628" spans="1:7" ht="15.75">
      <c r="A628" s="3022">
        <f t="shared" si="53"/>
        <v>28225</v>
      </c>
      <c r="B628" s="2840">
        <v>28200</v>
      </c>
      <c r="C628" s="2840">
        <v>28250</v>
      </c>
      <c r="D628" s="2841">
        <f t="shared" si="49"/>
        <v>3197</v>
      </c>
      <c r="E628" s="2841">
        <f t="shared" si="50"/>
        <v>3006</v>
      </c>
      <c r="F628" s="2841">
        <f t="shared" si="51"/>
        <v>3197</v>
      </c>
      <c r="G628" s="2841">
        <f t="shared" si="52"/>
        <v>3115</v>
      </c>
    </row>
    <row r="629" spans="1:7" ht="15.75">
      <c r="A629" s="3022">
        <f t="shared" si="53"/>
        <v>28275</v>
      </c>
      <c r="B629" s="2840">
        <v>28250</v>
      </c>
      <c r="C629" s="2840">
        <v>28300</v>
      </c>
      <c r="D629" s="2841">
        <f t="shared" si="49"/>
        <v>3203</v>
      </c>
      <c r="E629" s="2841">
        <f t="shared" si="50"/>
        <v>3012</v>
      </c>
      <c r="F629" s="2841">
        <f t="shared" si="51"/>
        <v>3203</v>
      </c>
      <c r="G629" s="2841">
        <f t="shared" si="52"/>
        <v>3121</v>
      </c>
    </row>
    <row r="630" spans="1:7" ht="15.75">
      <c r="A630" s="3022">
        <f t="shared" si="53"/>
        <v>28325</v>
      </c>
      <c r="B630" s="2840">
        <v>28300</v>
      </c>
      <c r="C630" s="2840">
        <v>28350</v>
      </c>
      <c r="D630" s="2841">
        <f t="shared" si="49"/>
        <v>3209</v>
      </c>
      <c r="E630" s="2841">
        <f t="shared" si="50"/>
        <v>3018</v>
      </c>
      <c r="F630" s="2841">
        <f t="shared" si="51"/>
        <v>3209</v>
      </c>
      <c r="G630" s="2841">
        <f t="shared" si="52"/>
        <v>3127</v>
      </c>
    </row>
    <row r="631" spans="1:7" ht="15.75">
      <c r="A631" s="3022">
        <f t="shared" si="53"/>
        <v>28375</v>
      </c>
      <c r="B631" s="2840">
        <v>28350</v>
      </c>
      <c r="C631" s="2840">
        <v>28400</v>
      </c>
      <c r="D631" s="2841">
        <f t="shared" si="49"/>
        <v>3215</v>
      </c>
      <c r="E631" s="2841">
        <f t="shared" si="50"/>
        <v>3024</v>
      </c>
      <c r="F631" s="2841">
        <f t="shared" si="51"/>
        <v>3215</v>
      </c>
      <c r="G631" s="2841">
        <f t="shared" si="52"/>
        <v>3133</v>
      </c>
    </row>
    <row r="632" spans="1:7" ht="15.75">
      <c r="A632" s="3022">
        <f t="shared" si="53"/>
        <v>28425</v>
      </c>
      <c r="B632" s="2840">
        <v>28400</v>
      </c>
      <c r="C632" s="2840">
        <v>28450</v>
      </c>
      <c r="D632" s="2841">
        <f t="shared" si="49"/>
        <v>3221</v>
      </c>
      <c r="E632" s="2841">
        <f t="shared" si="50"/>
        <v>3030</v>
      </c>
      <c r="F632" s="2841">
        <f t="shared" si="51"/>
        <v>3221</v>
      </c>
      <c r="G632" s="2841">
        <f t="shared" si="52"/>
        <v>3139</v>
      </c>
    </row>
    <row r="633" spans="1:7" ht="15.75">
      <c r="A633" s="3022">
        <f t="shared" si="53"/>
        <v>28475</v>
      </c>
      <c r="B633" s="2840">
        <v>28450</v>
      </c>
      <c r="C633" s="2840">
        <v>28500</v>
      </c>
      <c r="D633" s="2841">
        <f t="shared" si="49"/>
        <v>3227</v>
      </c>
      <c r="E633" s="2841">
        <f t="shared" si="50"/>
        <v>3036</v>
      </c>
      <c r="F633" s="2841">
        <f t="shared" si="51"/>
        <v>3227</v>
      </c>
      <c r="G633" s="2841">
        <f t="shared" si="52"/>
        <v>3145</v>
      </c>
    </row>
    <row r="634" spans="1:7" ht="15.75">
      <c r="A634" s="3022">
        <f t="shared" si="53"/>
        <v>28525</v>
      </c>
      <c r="B634" s="2840">
        <v>28500</v>
      </c>
      <c r="C634" s="2840">
        <v>28550</v>
      </c>
      <c r="D634" s="2841">
        <f t="shared" si="49"/>
        <v>3233</v>
      </c>
      <c r="E634" s="2841">
        <f t="shared" si="50"/>
        <v>3042</v>
      </c>
      <c r="F634" s="2841">
        <f t="shared" si="51"/>
        <v>3233</v>
      </c>
      <c r="G634" s="2841">
        <f t="shared" si="52"/>
        <v>3151</v>
      </c>
    </row>
    <row r="635" spans="1:7" ht="15.75">
      <c r="A635" s="3022">
        <f t="shared" si="53"/>
        <v>28575</v>
      </c>
      <c r="B635" s="2840">
        <v>28550</v>
      </c>
      <c r="C635" s="2840">
        <v>28600</v>
      </c>
      <c r="D635" s="2841">
        <f t="shared" si="49"/>
        <v>3239</v>
      </c>
      <c r="E635" s="2841">
        <f t="shared" si="50"/>
        <v>3048</v>
      </c>
      <c r="F635" s="2841">
        <f t="shared" si="51"/>
        <v>3239</v>
      </c>
      <c r="G635" s="2841">
        <f t="shared" si="52"/>
        <v>3157</v>
      </c>
    </row>
    <row r="636" spans="1:7" ht="15.75">
      <c r="A636" s="3022">
        <f t="shared" si="53"/>
        <v>28625</v>
      </c>
      <c r="B636" s="2840">
        <v>28600</v>
      </c>
      <c r="C636" s="2840">
        <v>28650</v>
      </c>
      <c r="D636" s="2841">
        <f t="shared" si="49"/>
        <v>3245</v>
      </c>
      <c r="E636" s="2841">
        <f t="shared" si="50"/>
        <v>3054</v>
      </c>
      <c r="F636" s="2841">
        <f t="shared" si="51"/>
        <v>3245</v>
      </c>
      <c r="G636" s="2841">
        <f t="shared" si="52"/>
        <v>3163</v>
      </c>
    </row>
    <row r="637" spans="1:7" ht="15.75">
      <c r="A637" s="3022">
        <f t="shared" si="53"/>
        <v>28675</v>
      </c>
      <c r="B637" s="2840">
        <v>28650</v>
      </c>
      <c r="C637" s="2840">
        <v>28700</v>
      </c>
      <c r="D637" s="2841">
        <f t="shared" si="49"/>
        <v>3251</v>
      </c>
      <c r="E637" s="2841">
        <f t="shared" si="50"/>
        <v>3060</v>
      </c>
      <c r="F637" s="2841">
        <f t="shared" si="51"/>
        <v>3251</v>
      </c>
      <c r="G637" s="2841">
        <f t="shared" si="52"/>
        <v>3169</v>
      </c>
    </row>
    <row r="638" spans="1:7" ht="15.75">
      <c r="A638" s="3022">
        <f t="shared" si="53"/>
        <v>28725</v>
      </c>
      <c r="B638" s="2840">
        <v>28700</v>
      </c>
      <c r="C638" s="2840">
        <v>28750</v>
      </c>
      <c r="D638" s="2841">
        <f t="shared" si="49"/>
        <v>3257</v>
      </c>
      <c r="E638" s="2841">
        <f t="shared" si="50"/>
        <v>3066</v>
      </c>
      <c r="F638" s="2841">
        <f t="shared" si="51"/>
        <v>3257</v>
      </c>
      <c r="G638" s="2841">
        <f t="shared" si="52"/>
        <v>3175</v>
      </c>
    </row>
    <row r="639" spans="1:7" ht="15.75">
      <c r="A639" s="3022">
        <f t="shared" si="53"/>
        <v>28775</v>
      </c>
      <c r="B639" s="2840">
        <v>28750</v>
      </c>
      <c r="C639" s="2840">
        <v>28800</v>
      </c>
      <c r="D639" s="2841">
        <f t="shared" si="49"/>
        <v>3263</v>
      </c>
      <c r="E639" s="2841">
        <f t="shared" si="50"/>
        <v>3072</v>
      </c>
      <c r="F639" s="2841">
        <f t="shared" si="51"/>
        <v>3263</v>
      </c>
      <c r="G639" s="2841">
        <f t="shared" si="52"/>
        <v>3181</v>
      </c>
    </row>
    <row r="640" spans="1:7" ht="15.75">
      <c r="A640" s="3022">
        <f t="shared" si="53"/>
        <v>28825</v>
      </c>
      <c r="B640" s="2840">
        <v>28800</v>
      </c>
      <c r="C640" s="2840">
        <v>28850</v>
      </c>
      <c r="D640" s="2841">
        <f t="shared" si="49"/>
        <v>3269</v>
      </c>
      <c r="E640" s="2841">
        <f t="shared" si="50"/>
        <v>3078</v>
      </c>
      <c r="F640" s="2841">
        <f t="shared" si="51"/>
        <v>3269</v>
      </c>
      <c r="G640" s="2841">
        <f t="shared" si="52"/>
        <v>3187</v>
      </c>
    </row>
    <row r="641" spans="1:7" ht="15.75">
      <c r="A641" s="3022">
        <f t="shared" si="53"/>
        <v>28875</v>
      </c>
      <c r="B641" s="2840">
        <v>28850</v>
      </c>
      <c r="C641" s="2840">
        <v>28900</v>
      </c>
      <c r="D641" s="2841">
        <f t="shared" si="49"/>
        <v>3275</v>
      </c>
      <c r="E641" s="2841">
        <f t="shared" si="50"/>
        <v>3084</v>
      </c>
      <c r="F641" s="2841">
        <f t="shared" si="51"/>
        <v>3275</v>
      </c>
      <c r="G641" s="2841">
        <f t="shared" si="52"/>
        <v>3193</v>
      </c>
    </row>
    <row r="642" spans="1:7" ht="15.75">
      <c r="A642" s="3022">
        <f t="shared" si="53"/>
        <v>28925</v>
      </c>
      <c r="B642" s="2840">
        <v>28900</v>
      </c>
      <c r="C642" s="2840">
        <v>28950</v>
      </c>
      <c r="D642" s="2841">
        <f t="shared" ref="D642:D705" si="54">IF($A642&gt;BOTT_A4,ROUND(BASE_A4+RATE_A4*($A642-BOTT_A4),0),IF($A642&gt;BOTT_A3,ROUND(BASE_A3+RATE_A3*($A642-BOTT_A3),0),IF($A642&gt;BOTT_A2,ROUND(BASE_A2+RATE_A2*($A642-BOTT_A2),0),ROUND(RATE_A1*$A642,0))))</f>
        <v>3281</v>
      </c>
      <c r="E642" s="2841">
        <f t="shared" ref="E642:E705" si="55">IF($A642&gt;BOTT_B4,ROUND(BASE_B4+RATE_B4*($A642-BOTT_B4),0),IF($A642&gt;BOTT_B3,ROUND(BASE_B3+RATE_B3*($A642-BOTT_B3),0),IF($A642&gt;BOTT_B2,ROUND(BASE_B2+RATE_B2*($A642-BOTT_B2),0),ROUND(RATE_B1*$A642,0))))</f>
        <v>3090</v>
      </c>
      <c r="F642" s="2841">
        <f t="shared" ref="F642:F705" si="56">IF($A642&gt;BOTT_C4,ROUND(BASE_C4+RATE_C4*($A642-BOTT_C4),0),IF($A642&gt;BOTT_C3,ROUND(BASE_C3+RATE_C3*($A642-BOTT_C3),0),IF($A642&gt;BOTT_C2,ROUND(BASE_C2+RATE_C2*($A642-BOTT_C2),0),ROUND(RATE_C1*$A642,0))))</f>
        <v>3281</v>
      </c>
      <c r="G642" s="2841">
        <f t="shared" ref="G642:G705" si="57">IF($A642&gt;BOTT_D4,ROUND(BASE_D4+RATE_D4*($A642-BOTT_D4),0),IF($A642&gt;BOTT_D3,ROUND(BASE_D3+RATE_D3*($A642-BOTT_D3),0),IF($A642&gt;BOTT_D2,ROUND(BASE_D2+RATE_D2*($A642-BOTT_D2),0),ROUND(RATE_D1*$A642,0))))</f>
        <v>3199</v>
      </c>
    </row>
    <row r="643" spans="1:7" ht="15.75">
      <c r="A643" s="3022">
        <f t="shared" ref="A643:A706" si="58">AVERAGE(B643,C643)</f>
        <v>28975</v>
      </c>
      <c r="B643" s="2840">
        <v>28950</v>
      </c>
      <c r="C643" s="2840">
        <v>29000</v>
      </c>
      <c r="D643" s="2841">
        <f t="shared" si="54"/>
        <v>3287</v>
      </c>
      <c r="E643" s="2841">
        <f t="shared" si="55"/>
        <v>3096</v>
      </c>
      <c r="F643" s="2841">
        <f t="shared" si="56"/>
        <v>3287</v>
      </c>
      <c r="G643" s="2841">
        <f t="shared" si="57"/>
        <v>3205</v>
      </c>
    </row>
    <row r="644" spans="1:7" ht="15.75">
      <c r="A644" s="3022">
        <f t="shared" si="58"/>
        <v>29025</v>
      </c>
      <c r="B644" s="2840">
        <v>29000</v>
      </c>
      <c r="C644" s="2840">
        <v>29050</v>
      </c>
      <c r="D644" s="2841">
        <f t="shared" si="54"/>
        <v>3293</v>
      </c>
      <c r="E644" s="2841">
        <f t="shared" si="55"/>
        <v>3102</v>
      </c>
      <c r="F644" s="2841">
        <f t="shared" si="56"/>
        <v>3293</v>
      </c>
      <c r="G644" s="2841">
        <f t="shared" si="57"/>
        <v>3211</v>
      </c>
    </row>
    <row r="645" spans="1:7" ht="15.75">
      <c r="A645" s="3022">
        <f t="shared" si="58"/>
        <v>29075</v>
      </c>
      <c r="B645" s="2840">
        <v>29050</v>
      </c>
      <c r="C645" s="2840">
        <v>29100</v>
      </c>
      <c r="D645" s="2841">
        <f t="shared" si="54"/>
        <v>3299</v>
      </c>
      <c r="E645" s="2841">
        <f t="shared" si="55"/>
        <v>3108</v>
      </c>
      <c r="F645" s="2841">
        <f t="shared" si="56"/>
        <v>3299</v>
      </c>
      <c r="G645" s="2841">
        <f t="shared" si="57"/>
        <v>3217</v>
      </c>
    </row>
    <row r="646" spans="1:7" ht="15.75">
      <c r="A646" s="3022">
        <f t="shared" si="58"/>
        <v>29125</v>
      </c>
      <c r="B646" s="2840">
        <v>29100</v>
      </c>
      <c r="C646" s="2840">
        <v>29150</v>
      </c>
      <c r="D646" s="2841">
        <f t="shared" si="54"/>
        <v>3305</v>
      </c>
      <c r="E646" s="2841">
        <f t="shared" si="55"/>
        <v>3114</v>
      </c>
      <c r="F646" s="2841">
        <f t="shared" si="56"/>
        <v>3305</v>
      </c>
      <c r="G646" s="2841">
        <f t="shared" si="57"/>
        <v>3223</v>
      </c>
    </row>
    <row r="647" spans="1:7" ht="15.75">
      <c r="A647" s="3022">
        <f t="shared" si="58"/>
        <v>29175</v>
      </c>
      <c r="B647" s="2840">
        <v>29150</v>
      </c>
      <c r="C647" s="2840">
        <v>29200</v>
      </c>
      <c r="D647" s="2841">
        <f t="shared" si="54"/>
        <v>3311</v>
      </c>
      <c r="E647" s="2841">
        <f t="shared" si="55"/>
        <v>3120</v>
      </c>
      <c r="F647" s="2841">
        <f t="shared" si="56"/>
        <v>3311</v>
      </c>
      <c r="G647" s="2841">
        <f t="shared" si="57"/>
        <v>3229</v>
      </c>
    </row>
    <row r="648" spans="1:7" ht="15.75">
      <c r="A648" s="3022">
        <f t="shared" si="58"/>
        <v>29225</v>
      </c>
      <c r="B648" s="2840">
        <v>29200</v>
      </c>
      <c r="C648" s="2840">
        <v>29250</v>
      </c>
      <c r="D648" s="2841">
        <f t="shared" si="54"/>
        <v>3317</v>
      </c>
      <c r="E648" s="2841">
        <f t="shared" si="55"/>
        <v>3126</v>
      </c>
      <c r="F648" s="2841">
        <f t="shared" si="56"/>
        <v>3317</v>
      </c>
      <c r="G648" s="2841">
        <f t="shared" si="57"/>
        <v>3235</v>
      </c>
    </row>
    <row r="649" spans="1:7" ht="15.75">
      <c r="A649" s="3022">
        <f t="shared" si="58"/>
        <v>29275</v>
      </c>
      <c r="B649" s="2840">
        <v>29250</v>
      </c>
      <c r="C649" s="2840">
        <v>29300</v>
      </c>
      <c r="D649" s="2841">
        <f t="shared" si="54"/>
        <v>3323</v>
      </c>
      <c r="E649" s="2841">
        <f t="shared" si="55"/>
        <v>3132</v>
      </c>
      <c r="F649" s="2841">
        <f t="shared" si="56"/>
        <v>3323</v>
      </c>
      <c r="G649" s="2841">
        <f t="shared" si="57"/>
        <v>3241</v>
      </c>
    </row>
    <row r="650" spans="1:7" ht="15.75">
      <c r="A650" s="3022">
        <f t="shared" si="58"/>
        <v>29325</v>
      </c>
      <c r="B650" s="2840">
        <v>29300</v>
      </c>
      <c r="C650" s="2840">
        <v>29350</v>
      </c>
      <c r="D650" s="2841">
        <f t="shared" si="54"/>
        <v>3329</v>
      </c>
      <c r="E650" s="2841">
        <f t="shared" si="55"/>
        <v>3138</v>
      </c>
      <c r="F650" s="2841">
        <f t="shared" si="56"/>
        <v>3329</v>
      </c>
      <c r="G650" s="2841">
        <f t="shared" si="57"/>
        <v>3247</v>
      </c>
    </row>
    <row r="651" spans="1:7" ht="15.75">
      <c r="A651" s="3022">
        <f t="shared" si="58"/>
        <v>29375</v>
      </c>
      <c r="B651" s="2840">
        <v>29350</v>
      </c>
      <c r="C651" s="2840">
        <v>29400</v>
      </c>
      <c r="D651" s="2841">
        <f t="shared" si="54"/>
        <v>3335</v>
      </c>
      <c r="E651" s="2841">
        <f t="shared" si="55"/>
        <v>3144</v>
      </c>
      <c r="F651" s="2841">
        <f t="shared" si="56"/>
        <v>3335</v>
      </c>
      <c r="G651" s="2841">
        <f t="shared" si="57"/>
        <v>3253</v>
      </c>
    </row>
    <row r="652" spans="1:7" ht="15.75">
      <c r="A652" s="3022">
        <f t="shared" si="58"/>
        <v>29425</v>
      </c>
      <c r="B652" s="2840">
        <v>29400</v>
      </c>
      <c r="C652" s="2840">
        <v>29450</v>
      </c>
      <c r="D652" s="2841">
        <f t="shared" si="54"/>
        <v>3341</v>
      </c>
      <c r="E652" s="2841">
        <f t="shared" si="55"/>
        <v>3150</v>
      </c>
      <c r="F652" s="2841">
        <f t="shared" si="56"/>
        <v>3341</v>
      </c>
      <c r="G652" s="2841">
        <f t="shared" si="57"/>
        <v>3259</v>
      </c>
    </row>
    <row r="653" spans="1:7" ht="15.75">
      <c r="A653" s="3022">
        <f t="shared" si="58"/>
        <v>29475</v>
      </c>
      <c r="B653" s="2840">
        <v>29450</v>
      </c>
      <c r="C653" s="2840">
        <v>29500</v>
      </c>
      <c r="D653" s="2841">
        <f t="shared" si="54"/>
        <v>3347</v>
      </c>
      <c r="E653" s="2841">
        <f t="shared" si="55"/>
        <v>3156</v>
      </c>
      <c r="F653" s="2841">
        <f t="shared" si="56"/>
        <v>3347</v>
      </c>
      <c r="G653" s="2841">
        <f t="shared" si="57"/>
        <v>3265</v>
      </c>
    </row>
    <row r="654" spans="1:7" ht="15.75">
      <c r="A654" s="3022">
        <f t="shared" si="58"/>
        <v>29525</v>
      </c>
      <c r="B654" s="2840">
        <v>29500</v>
      </c>
      <c r="C654" s="2840">
        <v>29550</v>
      </c>
      <c r="D654" s="2841">
        <f t="shared" si="54"/>
        <v>3353</v>
      </c>
      <c r="E654" s="2841">
        <f t="shared" si="55"/>
        <v>3162</v>
      </c>
      <c r="F654" s="2841">
        <f t="shared" si="56"/>
        <v>3353</v>
      </c>
      <c r="G654" s="2841">
        <f t="shared" si="57"/>
        <v>3271</v>
      </c>
    </row>
    <row r="655" spans="1:7" ht="15.75">
      <c r="A655" s="3022">
        <f t="shared" si="58"/>
        <v>29575</v>
      </c>
      <c r="B655" s="2840">
        <v>29550</v>
      </c>
      <c r="C655" s="2840">
        <v>29600</v>
      </c>
      <c r="D655" s="2841">
        <f t="shared" si="54"/>
        <v>3359</v>
      </c>
      <c r="E655" s="2841">
        <f t="shared" si="55"/>
        <v>3168</v>
      </c>
      <c r="F655" s="2841">
        <f t="shared" si="56"/>
        <v>3359</v>
      </c>
      <c r="G655" s="2841">
        <f t="shared" si="57"/>
        <v>3277</v>
      </c>
    </row>
    <row r="656" spans="1:7" ht="15.75">
      <c r="A656" s="3022">
        <f t="shared" si="58"/>
        <v>29625</v>
      </c>
      <c r="B656" s="2840">
        <v>29600</v>
      </c>
      <c r="C656" s="2840">
        <v>29650</v>
      </c>
      <c r="D656" s="2841">
        <f t="shared" si="54"/>
        <v>3365</v>
      </c>
      <c r="E656" s="2841">
        <f t="shared" si="55"/>
        <v>3174</v>
      </c>
      <c r="F656" s="2841">
        <f t="shared" si="56"/>
        <v>3365</v>
      </c>
      <c r="G656" s="2841">
        <f t="shared" si="57"/>
        <v>3283</v>
      </c>
    </row>
    <row r="657" spans="1:7" ht="15.75">
      <c r="A657" s="3022">
        <f t="shared" si="58"/>
        <v>29675</v>
      </c>
      <c r="B657" s="2840">
        <v>29650</v>
      </c>
      <c r="C657" s="2840">
        <v>29700</v>
      </c>
      <c r="D657" s="2841">
        <f t="shared" si="54"/>
        <v>3371</v>
      </c>
      <c r="E657" s="2841">
        <f t="shared" si="55"/>
        <v>3180</v>
      </c>
      <c r="F657" s="2841">
        <f t="shared" si="56"/>
        <v>3371</v>
      </c>
      <c r="G657" s="2841">
        <f t="shared" si="57"/>
        <v>3289</v>
      </c>
    </row>
    <row r="658" spans="1:7" ht="15.75">
      <c r="A658" s="3022">
        <f t="shared" si="58"/>
        <v>29725</v>
      </c>
      <c r="B658" s="2840">
        <v>29700</v>
      </c>
      <c r="C658" s="2840">
        <v>29750</v>
      </c>
      <c r="D658" s="2841">
        <f t="shared" si="54"/>
        <v>3377</v>
      </c>
      <c r="E658" s="2841">
        <f t="shared" si="55"/>
        <v>3186</v>
      </c>
      <c r="F658" s="2841">
        <f t="shared" si="56"/>
        <v>3377</v>
      </c>
      <c r="G658" s="2841">
        <f t="shared" si="57"/>
        <v>3295</v>
      </c>
    </row>
    <row r="659" spans="1:7" ht="15.75">
      <c r="A659" s="3022">
        <f t="shared" si="58"/>
        <v>29775</v>
      </c>
      <c r="B659" s="2840">
        <v>29750</v>
      </c>
      <c r="C659" s="2840">
        <v>29800</v>
      </c>
      <c r="D659" s="2841">
        <f t="shared" si="54"/>
        <v>3383</v>
      </c>
      <c r="E659" s="2841">
        <f t="shared" si="55"/>
        <v>3192</v>
      </c>
      <c r="F659" s="2841">
        <f t="shared" si="56"/>
        <v>3383</v>
      </c>
      <c r="G659" s="2841">
        <f t="shared" si="57"/>
        <v>3301</v>
      </c>
    </row>
    <row r="660" spans="1:7" ht="15.75">
      <c r="A660" s="3022">
        <f t="shared" si="58"/>
        <v>29825</v>
      </c>
      <c r="B660" s="2840">
        <v>29800</v>
      </c>
      <c r="C660" s="2840">
        <v>29850</v>
      </c>
      <c r="D660" s="2841">
        <f t="shared" si="54"/>
        <v>3389</v>
      </c>
      <c r="E660" s="2841">
        <f t="shared" si="55"/>
        <v>3198</v>
      </c>
      <c r="F660" s="2841">
        <f t="shared" si="56"/>
        <v>3389</v>
      </c>
      <c r="G660" s="2841">
        <f t="shared" si="57"/>
        <v>3307</v>
      </c>
    </row>
    <row r="661" spans="1:7" ht="15.75">
      <c r="A661" s="3022">
        <f t="shared" si="58"/>
        <v>29875</v>
      </c>
      <c r="B661" s="2840">
        <v>29850</v>
      </c>
      <c r="C661" s="2840">
        <v>29900</v>
      </c>
      <c r="D661" s="2841">
        <f t="shared" si="54"/>
        <v>3395</v>
      </c>
      <c r="E661" s="2841">
        <f t="shared" si="55"/>
        <v>3204</v>
      </c>
      <c r="F661" s="2841">
        <f t="shared" si="56"/>
        <v>3395</v>
      </c>
      <c r="G661" s="2841">
        <f t="shared" si="57"/>
        <v>3313</v>
      </c>
    </row>
    <row r="662" spans="1:7" ht="15.75">
      <c r="A662" s="3022">
        <f t="shared" si="58"/>
        <v>29925</v>
      </c>
      <c r="B662" s="2840">
        <v>29900</v>
      </c>
      <c r="C662" s="2840">
        <v>29950</v>
      </c>
      <c r="D662" s="2841">
        <f t="shared" si="54"/>
        <v>3401</v>
      </c>
      <c r="E662" s="2841">
        <f t="shared" si="55"/>
        <v>3210</v>
      </c>
      <c r="F662" s="2841">
        <f t="shared" si="56"/>
        <v>3401</v>
      </c>
      <c r="G662" s="2841">
        <f t="shared" si="57"/>
        <v>3319</v>
      </c>
    </row>
    <row r="663" spans="1:7" ht="15.75">
      <c r="A663" s="3022">
        <f t="shared" si="58"/>
        <v>29975</v>
      </c>
      <c r="B663" s="2840">
        <v>29950</v>
      </c>
      <c r="C663" s="2840">
        <v>30000</v>
      </c>
      <c r="D663" s="2841">
        <f t="shared" si="54"/>
        <v>3407</v>
      </c>
      <c r="E663" s="2841">
        <f t="shared" si="55"/>
        <v>3216</v>
      </c>
      <c r="F663" s="2841">
        <f t="shared" si="56"/>
        <v>3407</v>
      </c>
      <c r="G663" s="2841">
        <f t="shared" si="57"/>
        <v>3325</v>
      </c>
    </row>
    <row r="664" spans="1:7" ht="15.75">
      <c r="A664" s="3022">
        <f t="shared" si="58"/>
        <v>30025</v>
      </c>
      <c r="B664" s="2840">
        <v>30000</v>
      </c>
      <c r="C664" s="2840">
        <v>30050</v>
      </c>
      <c r="D664" s="2841">
        <f t="shared" si="54"/>
        <v>3413</v>
      </c>
      <c r="E664" s="2841">
        <f t="shared" si="55"/>
        <v>3222</v>
      </c>
      <c r="F664" s="2841">
        <f t="shared" si="56"/>
        <v>3413</v>
      </c>
      <c r="G664" s="2841">
        <f t="shared" si="57"/>
        <v>3331</v>
      </c>
    </row>
    <row r="665" spans="1:7" ht="15.75">
      <c r="A665" s="3022">
        <f t="shared" si="58"/>
        <v>30075</v>
      </c>
      <c r="B665" s="2840">
        <v>30050</v>
      </c>
      <c r="C665" s="2840">
        <v>30100</v>
      </c>
      <c r="D665" s="2841">
        <f t="shared" si="54"/>
        <v>3419</v>
      </c>
      <c r="E665" s="2841">
        <f t="shared" si="55"/>
        <v>3228</v>
      </c>
      <c r="F665" s="2841">
        <f t="shared" si="56"/>
        <v>3419</v>
      </c>
      <c r="G665" s="2841">
        <f t="shared" si="57"/>
        <v>3337</v>
      </c>
    </row>
    <row r="666" spans="1:7" ht="15.75">
      <c r="A666" s="3022">
        <f t="shared" si="58"/>
        <v>30125</v>
      </c>
      <c r="B666" s="2840">
        <v>30100</v>
      </c>
      <c r="C666" s="2840">
        <v>30150</v>
      </c>
      <c r="D666" s="2841">
        <f t="shared" si="54"/>
        <v>3425</v>
      </c>
      <c r="E666" s="2841">
        <f t="shared" si="55"/>
        <v>3234</v>
      </c>
      <c r="F666" s="2841">
        <f t="shared" si="56"/>
        <v>3425</v>
      </c>
      <c r="G666" s="2841">
        <f t="shared" si="57"/>
        <v>3343</v>
      </c>
    </row>
    <row r="667" spans="1:7" ht="15.75">
      <c r="A667" s="3022">
        <f t="shared" si="58"/>
        <v>30175</v>
      </c>
      <c r="B667" s="2840">
        <v>30150</v>
      </c>
      <c r="C667" s="2840">
        <v>30200</v>
      </c>
      <c r="D667" s="2841">
        <f t="shared" si="54"/>
        <v>3431</v>
      </c>
      <c r="E667" s="2841">
        <f t="shared" si="55"/>
        <v>3240</v>
      </c>
      <c r="F667" s="2841">
        <f t="shared" si="56"/>
        <v>3431</v>
      </c>
      <c r="G667" s="2841">
        <f t="shared" si="57"/>
        <v>3349</v>
      </c>
    </row>
    <row r="668" spans="1:7" ht="15.75">
      <c r="A668" s="3022">
        <f t="shared" si="58"/>
        <v>30225</v>
      </c>
      <c r="B668" s="2840">
        <v>30200</v>
      </c>
      <c r="C668" s="2840">
        <v>30250</v>
      </c>
      <c r="D668" s="2841">
        <f t="shared" si="54"/>
        <v>3437</v>
      </c>
      <c r="E668" s="2841">
        <f t="shared" si="55"/>
        <v>3246</v>
      </c>
      <c r="F668" s="2841">
        <f t="shared" si="56"/>
        <v>3437</v>
      </c>
      <c r="G668" s="2841">
        <f t="shared" si="57"/>
        <v>3355</v>
      </c>
    </row>
    <row r="669" spans="1:7" ht="15.75">
      <c r="A669" s="3022">
        <f t="shared" si="58"/>
        <v>30275</v>
      </c>
      <c r="B669" s="2840">
        <v>30250</v>
      </c>
      <c r="C669" s="2840">
        <v>30300</v>
      </c>
      <c r="D669" s="2841">
        <f t="shared" si="54"/>
        <v>3443</v>
      </c>
      <c r="E669" s="2841">
        <f t="shared" si="55"/>
        <v>3252</v>
      </c>
      <c r="F669" s="2841">
        <f t="shared" si="56"/>
        <v>3443</v>
      </c>
      <c r="G669" s="2841">
        <f t="shared" si="57"/>
        <v>3361</v>
      </c>
    </row>
    <row r="670" spans="1:7" ht="15.75">
      <c r="A670" s="3022">
        <f t="shared" si="58"/>
        <v>30325</v>
      </c>
      <c r="B670" s="2840">
        <v>30300</v>
      </c>
      <c r="C670" s="2840">
        <v>30350</v>
      </c>
      <c r="D670" s="2841">
        <f t="shared" si="54"/>
        <v>3449</v>
      </c>
      <c r="E670" s="2841">
        <f t="shared" si="55"/>
        <v>3258</v>
      </c>
      <c r="F670" s="2841">
        <f t="shared" si="56"/>
        <v>3449</v>
      </c>
      <c r="G670" s="2841">
        <f t="shared" si="57"/>
        <v>3367</v>
      </c>
    </row>
    <row r="671" spans="1:7" ht="15.75">
      <c r="A671" s="3022">
        <f t="shared" si="58"/>
        <v>30375</v>
      </c>
      <c r="B671" s="2840">
        <v>30350</v>
      </c>
      <c r="C671" s="2840">
        <v>30400</v>
      </c>
      <c r="D671" s="2841">
        <f t="shared" si="54"/>
        <v>3455</v>
      </c>
      <c r="E671" s="2841">
        <f t="shared" si="55"/>
        <v>3264</v>
      </c>
      <c r="F671" s="2841">
        <f t="shared" si="56"/>
        <v>3455</v>
      </c>
      <c r="G671" s="2841">
        <f t="shared" si="57"/>
        <v>3373</v>
      </c>
    </row>
    <row r="672" spans="1:7" ht="15.75">
      <c r="A672" s="3022">
        <f t="shared" si="58"/>
        <v>30425</v>
      </c>
      <c r="B672" s="2840">
        <v>30400</v>
      </c>
      <c r="C672" s="2840">
        <v>30450</v>
      </c>
      <c r="D672" s="2841">
        <f t="shared" si="54"/>
        <v>3461</v>
      </c>
      <c r="E672" s="2841">
        <f t="shared" si="55"/>
        <v>3270</v>
      </c>
      <c r="F672" s="2841">
        <f t="shared" si="56"/>
        <v>3461</v>
      </c>
      <c r="G672" s="2841">
        <f t="shared" si="57"/>
        <v>3379</v>
      </c>
    </row>
    <row r="673" spans="1:7" ht="15.75">
      <c r="A673" s="3022">
        <f t="shared" si="58"/>
        <v>30475</v>
      </c>
      <c r="B673" s="2840">
        <v>30450</v>
      </c>
      <c r="C673" s="2840">
        <v>30500</v>
      </c>
      <c r="D673" s="2841">
        <f t="shared" si="54"/>
        <v>3467</v>
      </c>
      <c r="E673" s="2841">
        <f t="shared" si="55"/>
        <v>3276</v>
      </c>
      <c r="F673" s="2841">
        <f t="shared" si="56"/>
        <v>3467</v>
      </c>
      <c r="G673" s="2841">
        <f t="shared" si="57"/>
        <v>3385</v>
      </c>
    </row>
    <row r="674" spans="1:7" ht="15.75">
      <c r="A674" s="3022">
        <f t="shared" si="58"/>
        <v>30525</v>
      </c>
      <c r="B674" s="2840">
        <v>30500</v>
      </c>
      <c r="C674" s="2840">
        <v>30550</v>
      </c>
      <c r="D674" s="2841">
        <f t="shared" si="54"/>
        <v>3473</v>
      </c>
      <c r="E674" s="2841">
        <f t="shared" si="55"/>
        <v>3282</v>
      </c>
      <c r="F674" s="2841">
        <f t="shared" si="56"/>
        <v>3473</v>
      </c>
      <c r="G674" s="2841">
        <f t="shared" si="57"/>
        <v>3391</v>
      </c>
    </row>
    <row r="675" spans="1:7" ht="15.75">
      <c r="A675" s="3022">
        <f t="shared" si="58"/>
        <v>30575</v>
      </c>
      <c r="B675" s="2840">
        <v>30550</v>
      </c>
      <c r="C675" s="2840">
        <v>30600</v>
      </c>
      <c r="D675" s="2841">
        <f t="shared" si="54"/>
        <v>3479</v>
      </c>
      <c r="E675" s="2841">
        <f t="shared" si="55"/>
        <v>3288</v>
      </c>
      <c r="F675" s="2841">
        <f t="shared" si="56"/>
        <v>3479</v>
      </c>
      <c r="G675" s="2841">
        <f t="shared" si="57"/>
        <v>3397</v>
      </c>
    </row>
    <row r="676" spans="1:7" ht="15.75">
      <c r="A676" s="3022">
        <f t="shared" si="58"/>
        <v>30625</v>
      </c>
      <c r="B676" s="2840">
        <v>30600</v>
      </c>
      <c r="C676" s="2840">
        <v>30650</v>
      </c>
      <c r="D676" s="2841">
        <f t="shared" si="54"/>
        <v>3485</v>
      </c>
      <c r="E676" s="2841">
        <f t="shared" si="55"/>
        <v>3294</v>
      </c>
      <c r="F676" s="2841">
        <f t="shared" si="56"/>
        <v>3485</v>
      </c>
      <c r="G676" s="2841">
        <f t="shared" si="57"/>
        <v>3403</v>
      </c>
    </row>
    <row r="677" spans="1:7" ht="15.75">
      <c r="A677" s="3022">
        <f t="shared" si="58"/>
        <v>30675</v>
      </c>
      <c r="B677" s="2840">
        <v>30650</v>
      </c>
      <c r="C677" s="2840">
        <v>30700</v>
      </c>
      <c r="D677" s="2841">
        <f t="shared" si="54"/>
        <v>3491</v>
      </c>
      <c r="E677" s="2841">
        <f t="shared" si="55"/>
        <v>3300</v>
      </c>
      <c r="F677" s="2841">
        <f t="shared" si="56"/>
        <v>3491</v>
      </c>
      <c r="G677" s="2841">
        <f t="shared" si="57"/>
        <v>3409</v>
      </c>
    </row>
    <row r="678" spans="1:7" ht="15.75">
      <c r="A678" s="3022">
        <f t="shared" si="58"/>
        <v>30725</v>
      </c>
      <c r="B678" s="2840">
        <v>30700</v>
      </c>
      <c r="C678" s="2840">
        <v>30750</v>
      </c>
      <c r="D678" s="2841">
        <f t="shared" si="54"/>
        <v>3497</v>
      </c>
      <c r="E678" s="2841">
        <f t="shared" si="55"/>
        <v>3306</v>
      </c>
      <c r="F678" s="2841">
        <f t="shared" si="56"/>
        <v>3497</v>
      </c>
      <c r="G678" s="2841">
        <f t="shared" si="57"/>
        <v>3415</v>
      </c>
    </row>
    <row r="679" spans="1:7" ht="15.75">
      <c r="A679" s="3022">
        <f t="shared" si="58"/>
        <v>30775</v>
      </c>
      <c r="B679" s="2840">
        <v>30750</v>
      </c>
      <c r="C679" s="2840">
        <v>30800</v>
      </c>
      <c r="D679" s="2841">
        <f t="shared" si="54"/>
        <v>3503</v>
      </c>
      <c r="E679" s="2841">
        <f t="shared" si="55"/>
        <v>3312</v>
      </c>
      <c r="F679" s="2841">
        <f t="shared" si="56"/>
        <v>3503</v>
      </c>
      <c r="G679" s="2841">
        <f t="shared" si="57"/>
        <v>3421</v>
      </c>
    </row>
    <row r="680" spans="1:7" ht="15.75">
      <c r="A680" s="3022">
        <f t="shared" si="58"/>
        <v>30825</v>
      </c>
      <c r="B680" s="2840">
        <v>30800</v>
      </c>
      <c r="C680" s="2840">
        <v>30850</v>
      </c>
      <c r="D680" s="2841">
        <f t="shared" si="54"/>
        <v>3509</v>
      </c>
      <c r="E680" s="2841">
        <f t="shared" si="55"/>
        <v>3318</v>
      </c>
      <c r="F680" s="2841">
        <f t="shared" si="56"/>
        <v>3509</v>
      </c>
      <c r="G680" s="2841">
        <f t="shared" si="57"/>
        <v>3427</v>
      </c>
    </row>
    <row r="681" spans="1:7" ht="15.75">
      <c r="A681" s="3022">
        <f t="shared" si="58"/>
        <v>30875</v>
      </c>
      <c r="B681" s="2840">
        <v>30850</v>
      </c>
      <c r="C681" s="2840">
        <v>30900</v>
      </c>
      <c r="D681" s="2841">
        <f t="shared" si="54"/>
        <v>3515</v>
      </c>
      <c r="E681" s="2841">
        <f t="shared" si="55"/>
        <v>3324</v>
      </c>
      <c r="F681" s="2841">
        <f t="shared" si="56"/>
        <v>3515</v>
      </c>
      <c r="G681" s="2841">
        <f t="shared" si="57"/>
        <v>3433</v>
      </c>
    </row>
    <row r="682" spans="1:7" ht="15.75">
      <c r="A682" s="3022">
        <f t="shared" si="58"/>
        <v>30925</v>
      </c>
      <c r="B682" s="2840">
        <v>30900</v>
      </c>
      <c r="C682" s="2840">
        <v>30950</v>
      </c>
      <c r="D682" s="2841">
        <f t="shared" si="54"/>
        <v>3521</v>
      </c>
      <c r="E682" s="2841">
        <f t="shared" si="55"/>
        <v>3330</v>
      </c>
      <c r="F682" s="2841">
        <f t="shared" si="56"/>
        <v>3521</v>
      </c>
      <c r="G682" s="2841">
        <f t="shared" si="57"/>
        <v>3439</v>
      </c>
    </row>
    <row r="683" spans="1:7" ht="15.75">
      <c r="A683" s="3022">
        <f t="shared" si="58"/>
        <v>30975</v>
      </c>
      <c r="B683" s="2840">
        <v>30950</v>
      </c>
      <c r="C683" s="2840">
        <v>31000</v>
      </c>
      <c r="D683" s="2841">
        <f t="shared" si="54"/>
        <v>3527</v>
      </c>
      <c r="E683" s="2841">
        <f t="shared" si="55"/>
        <v>3336</v>
      </c>
      <c r="F683" s="2841">
        <f t="shared" si="56"/>
        <v>3527</v>
      </c>
      <c r="G683" s="2841">
        <f t="shared" si="57"/>
        <v>3445</v>
      </c>
    </row>
    <row r="684" spans="1:7" ht="15.75">
      <c r="A684" s="3022">
        <f t="shared" si="58"/>
        <v>31025</v>
      </c>
      <c r="B684" s="2840">
        <v>31000</v>
      </c>
      <c r="C684" s="2840">
        <v>31050</v>
      </c>
      <c r="D684" s="2841">
        <f t="shared" si="54"/>
        <v>3533</v>
      </c>
      <c r="E684" s="2841">
        <f t="shared" si="55"/>
        <v>3342</v>
      </c>
      <c r="F684" s="2841">
        <f t="shared" si="56"/>
        <v>3533</v>
      </c>
      <c r="G684" s="2841">
        <f t="shared" si="57"/>
        <v>3451</v>
      </c>
    </row>
    <row r="685" spans="1:7" ht="15.75">
      <c r="A685" s="3022">
        <f t="shared" si="58"/>
        <v>31075</v>
      </c>
      <c r="B685" s="2840">
        <v>31050</v>
      </c>
      <c r="C685" s="2840">
        <v>31100</v>
      </c>
      <c r="D685" s="2841">
        <f t="shared" si="54"/>
        <v>3539</v>
      </c>
      <c r="E685" s="2841">
        <f t="shared" si="55"/>
        <v>3348</v>
      </c>
      <c r="F685" s="2841">
        <f t="shared" si="56"/>
        <v>3539</v>
      </c>
      <c r="G685" s="2841">
        <f t="shared" si="57"/>
        <v>3457</v>
      </c>
    </row>
    <row r="686" spans="1:7" ht="15.75">
      <c r="A686" s="3022">
        <f t="shared" si="58"/>
        <v>31125</v>
      </c>
      <c r="B686" s="2840">
        <v>31100</v>
      </c>
      <c r="C686" s="2840">
        <v>31150</v>
      </c>
      <c r="D686" s="2841">
        <f t="shared" si="54"/>
        <v>3545</v>
      </c>
      <c r="E686" s="2841">
        <f t="shared" si="55"/>
        <v>3354</v>
      </c>
      <c r="F686" s="2841">
        <f t="shared" si="56"/>
        <v>3545</v>
      </c>
      <c r="G686" s="2841">
        <f t="shared" si="57"/>
        <v>3463</v>
      </c>
    </row>
    <row r="687" spans="1:7" ht="15.75">
      <c r="A687" s="3022">
        <f t="shared" si="58"/>
        <v>31175</v>
      </c>
      <c r="B687" s="2840">
        <v>31150</v>
      </c>
      <c r="C687" s="2840">
        <v>31200</v>
      </c>
      <c r="D687" s="2841">
        <f t="shared" si="54"/>
        <v>3551</v>
      </c>
      <c r="E687" s="2841">
        <f t="shared" si="55"/>
        <v>3360</v>
      </c>
      <c r="F687" s="2841">
        <f t="shared" si="56"/>
        <v>3551</v>
      </c>
      <c r="G687" s="2841">
        <f t="shared" si="57"/>
        <v>3469</v>
      </c>
    </row>
    <row r="688" spans="1:7" ht="15.75">
      <c r="A688" s="3022">
        <f t="shared" si="58"/>
        <v>31225</v>
      </c>
      <c r="B688" s="2840">
        <v>31200</v>
      </c>
      <c r="C688" s="2840">
        <v>31250</v>
      </c>
      <c r="D688" s="2841">
        <f t="shared" si="54"/>
        <v>3557</v>
      </c>
      <c r="E688" s="2841">
        <f t="shared" si="55"/>
        <v>3366</v>
      </c>
      <c r="F688" s="2841">
        <f t="shared" si="56"/>
        <v>3557</v>
      </c>
      <c r="G688" s="2841">
        <f t="shared" si="57"/>
        <v>3475</v>
      </c>
    </row>
    <row r="689" spans="1:7" ht="15.75">
      <c r="A689" s="3022">
        <f t="shared" si="58"/>
        <v>31275</v>
      </c>
      <c r="B689" s="2840">
        <v>31250</v>
      </c>
      <c r="C689" s="2840">
        <v>31300</v>
      </c>
      <c r="D689" s="2841">
        <f t="shared" si="54"/>
        <v>3563</v>
      </c>
      <c r="E689" s="2841">
        <f t="shared" si="55"/>
        <v>3372</v>
      </c>
      <c r="F689" s="2841">
        <f t="shared" si="56"/>
        <v>3563</v>
      </c>
      <c r="G689" s="2841">
        <f t="shared" si="57"/>
        <v>3481</v>
      </c>
    </row>
    <row r="690" spans="1:7" ht="15.75">
      <c r="A690" s="3022">
        <f t="shared" si="58"/>
        <v>31325</v>
      </c>
      <c r="B690" s="2840">
        <v>31300</v>
      </c>
      <c r="C690" s="2840">
        <v>31350</v>
      </c>
      <c r="D690" s="2841">
        <f t="shared" si="54"/>
        <v>3569</v>
      </c>
      <c r="E690" s="2841">
        <f t="shared" si="55"/>
        <v>3378</v>
      </c>
      <c r="F690" s="2841">
        <f t="shared" si="56"/>
        <v>3569</v>
      </c>
      <c r="G690" s="2841">
        <f t="shared" si="57"/>
        <v>3487</v>
      </c>
    </row>
    <row r="691" spans="1:7" ht="15.75">
      <c r="A691" s="3022">
        <f t="shared" si="58"/>
        <v>31375</v>
      </c>
      <c r="B691" s="2840">
        <v>31350</v>
      </c>
      <c r="C691" s="2840">
        <v>31400</v>
      </c>
      <c r="D691" s="2841">
        <f t="shared" si="54"/>
        <v>3575</v>
      </c>
      <c r="E691" s="2841">
        <f t="shared" si="55"/>
        <v>3384</v>
      </c>
      <c r="F691" s="2841">
        <f t="shared" si="56"/>
        <v>3575</v>
      </c>
      <c r="G691" s="2841">
        <f t="shared" si="57"/>
        <v>3493</v>
      </c>
    </row>
    <row r="692" spans="1:7" ht="15.75">
      <c r="A692" s="3022">
        <f t="shared" si="58"/>
        <v>31425</v>
      </c>
      <c r="B692" s="2840">
        <v>31400</v>
      </c>
      <c r="C692" s="2840">
        <v>31450</v>
      </c>
      <c r="D692" s="2841">
        <f t="shared" si="54"/>
        <v>3581</v>
      </c>
      <c r="E692" s="2841">
        <f t="shared" si="55"/>
        <v>3390</v>
      </c>
      <c r="F692" s="2841">
        <f t="shared" si="56"/>
        <v>3581</v>
      </c>
      <c r="G692" s="2841">
        <f t="shared" si="57"/>
        <v>3499</v>
      </c>
    </row>
    <row r="693" spans="1:7" ht="15.75">
      <c r="A693" s="3022">
        <f t="shared" si="58"/>
        <v>31475</v>
      </c>
      <c r="B693" s="2840">
        <v>31450</v>
      </c>
      <c r="C693" s="2840">
        <v>31500</v>
      </c>
      <c r="D693" s="2841">
        <f t="shared" si="54"/>
        <v>3587</v>
      </c>
      <c r="E693" s="2841">
        <f t="shared" si="55"/>
        <v>3396</v>
      </c>
      <c r="F693" s="2841">
        <f t="shared" si="56"/>
        <v>3587</v>
      </c>
      <c r="G693" s="2841">
        <f t="shared" si="57"/>
        <v>3505</v>
      </c>
    </row>
    <row r="694" spans="1:7" ht="15.75">
      <c r="A694" s="3022">
        <f t="shared" si="58"/>
        <v>31525</v>
      </c>
      <c r="B694" s="2840">
        <v>31500</v>
      </c>
      <c r="C694" s="2840">
        <v>31550</v>
      </c>
      <c r="D694" s="2841">
        <f t="shared" si="54"/>
        <v>3593</v>
      </c>
      <c r="E694" s="2841">
        <f t="shared" si="55"/>
        <v>3402</v>
      </c>
      <c r="F694" s="2841">
        <f t="shared" si="56"/>
        <v>3593</v>
      </c>
      <c r="G694" s="2841">
        <f t="shared" si="57"/>
        <v>3511</v>
      </c>
    </row>
    <row r="695" spans="1:7" ht="15.75">
      <c r="A695" s="3022">
        <f t="shared" si="58"/>
        <v>31575</v>
      </c>
      <c r="B695" s="2840">
        <v>31550</v>
      </c>
      <c r="C695" s="2840">
        <v>31600</v>
      </c>
      <c r="D695" s="2841">
        <f t="shared" si="54"/>
        <v>3599</v>
      </c>
      <c r="E695" s="2841">
        <f t="shared" si="55"/>
        <v>3408</v>
      </c>
      <c r="F695" s="2841">
        <f t="shared" si="56"/>
        <v>3599</v>
      </c>
      <c r="G695" s="2841">
        <f t="shared" si="57"/>
        <v>3517</v>
      </c>
    </row>
    <row r="696" spans="1:7" ht="15.75">
      <c r="A696" s="3022">
        <f t="shared" si="58"/>
        <v>31625</v>
      </c>
      <c r="B696" s="2840">
        <v>31600</v>
      </c>
      <c r="C696" s="2840">
        <v>31650</v>
      </c>
      <c r="D696" s="2841">
        <f t="shared" si="54"/>
        <v>3605</v>
      </c>
      <c r="E696" s="2841">
        <f t="shared" si="55"/>
        <v>3414</v>
      </c>
      <c r="F696" s="2841">
        <f t="shared" si="56"/>
        <v>3605</v>
      </c>
      <c r="G696" s="2841">
        <f t="shared" si="57"/>
        <v>3523</v>
      </c>
    </row>
    <row r="697" spans="1:7" ht="15.75">
      <c r="A697" s="3022">
        <f t="shared" si="58"/>
        <v>31675</v>
      </c>
      <c r="B697" s="2840">
        <v>31650</v>
      </c>
      <c r="C697" s="2840">
        <v>31700</v>
      </c>
      <c r="D697" s="2841">
        <f t="shared" si="54"/>
        <v>3611</v>
      </c>
      <c r="E697" s="2841">
        <f t="shared" si="55"/>
        <v>3420</v>
      </c>
      <c r="F697" s="2841">
        <f t="shared" si="56"/>
        <v>3611</v>
      </c>
      <c r="G697" s="2841">
        <f t="shared" si="57"/>
        <v>3529</v>
      </c>
    </row>
    <row r="698" spans="1:7" ht="15.75">
      <c r="A698" s="3022">
        <f t="shared" si="58"/>
        <v>31725</v>
      </c>
      <c r="B698" s="2840">
        <v>31700</v>
      </c>
      <c r="C698" s="2840">
        <v>31750</v>
      </c>
      <c r="D698" s="2841">
        <f t="shared" si="54"/>
        <v>3617</v>
      </c>
      <c r="E698" s="2841">
        <f t="shared" si="55"/>
        <v>3426</v>
      </c>
      <c r="F698" s="2841">
        <f t="shared" si="56"/>
        <v>3617</v>
      </c>
      <c r="G698" s="2841">
        <f t="shared" si="57"/>
        <v>3535</v>
      </c>
    </row>
    <row r="699" spans="1:7" ht="15.75">
      <c r="A699" s="3022">
        <f t="shared" si="58"/>
        <v>31775</v>
      </c>
      <c r="B699" s="2840">
        <v>31750</v>
      </c>
      <c r="C699" s="2840">
        <v>31800</v>
      </c>
      <c r="D699" s="2841">
        <f t="shared" si="54"/>
        <v>3623</v>
      </c>
      <c r="E699" s="2841">
        <f t="shared" si="55"/>
        <v>3432</v>
      </c>
      <c r="F699" s="2841">
        <f t="shared" si="56"/>
        <v>3623</v>
      </c>
      <c r="G699" s="2841">
        <f t="shared" si="57"/>
        <v>3541</v>
      </c>
    </row>
    <row r="700" spans="1:7" ht="15.75">
      <c r="A700" s="3022">
        <f t="shared" si="58"/>
        <v>31825</v>
      </c>
      <c r="B700" s="2840">
        <v>31800</v>
      </c>
      <c r="C700" s="2840">
        <v>31850</v>
      </c>
      <c r="D700" s="2841">
        <f t="shared" si="54"/>
        <v>3629</v>
      </c>
      <c r="E700" s="2841">
        <f t="shared" si="55"/>
        <v>3438</v>
      </c>
      <c r="F700" s="2841">
        <f t="shared" si="56"/>
        <v>3629</v>
      </c>
      <c r="G700" s="2841">
        <f t="shared" si="57"/>
        <v>3547</v>
      </c>
    </row>
    <row r="701" spans="1:7" ht="15.75">
      <c r="A701" s="3022">
        <f t="shared" si="58"/>
        <v>31875</v>
      </c>
      <c r="B701" s="2840">
        <v>31850</v>
      </c>
      <c r="C701" s="2840">
        <v>31900</v>
      </c>
      <c r="D701" s="2841">
        <f t="shared" si="54"/>
        <v>3635</v>
      </c>
      <c r="E701" s="2841">
        <f t="shared" si="55"/>
        <v>3444</v>
      </c>
      <c r="F701" s="2841">
        <f t="shared" si="56"/>
        <v>3635</v>
      </c>
      <c r="G701" s="2841">
        <f t="shared" si="57"/>
        <v>3553</v>
      </c>
    </row>
    <row r="702" spans="1:7" ht="15.75">
      <c r="A702" s="3022">
        <f t="shared" si="58"/>
        <v>31925</v>
      </c>
      <c r="B702" s="2840">
        <v>31900</v>
      </c>
      <c r="C702" s="2840">
        <v>31950</v>
      </c>
      <c r="D702" s="2841">
        <f t="shared" si="54"/>
        <v>3641</v>
      </c>
      <c r="E702" s="2841">
        <f t="shared" si="55"/>
        <v>3450</v>
      </c>
      <c r="F702" s="2841">
        <f t="shared" si="56"/>
        <v>3641</v>
      </c>
      <c r="G702" s="2841">
        <f t="shared" si="57"/>
        <v>3559</v>
      </c>
    </row>
    <row r="703" spans="1:7" ht="15.75">
      <c r="A703" s="3022">
        <f t="shared" si="58"/>
        <v>31975</v>
      </c>
      <c r="B703" s="2840">
        <v>31950</v>
      </c>
      <c r="C703" s="2840">
        <v>32000</v>
      </c>
      <c r="D703" s="2841">
        <f t="shared" si="54"/>
        <v>3647</v>
      </c>
      <c r="E703" s="2841">
        <f t="shared" si="55"/>
        <v>3456</v>
      </c>
      <c r="F703" s="2841">
        <f t="shared" si="56"/>
        <v>3647</v>
      </c>
      <c r="G703" s="2841">
        <f t="shared" si="57"/>
        <v>3565</v>
      </c>
    </row>
    <row r="704" spans="1:7" ht="15.75">
      <c r="A704" s="3022">
        <f t="shared" si="58"/>
        <v>32025</v>
      </c>
      <c r="B704" s="2840">
        <v>32000</v>
      </c>
      <c r="C704" s="2840">
        <v>32050</v>
      </c>
      <c r="D704" s="2841">
        <f t="shared" si="54"/>
        <v>3653</v>
      </c>
      <c r="E704" s="2841">
        <f t="shared" si="55"/>
        <v>3462</v>
      </c>
      <c r="F704" s="2841">
        <f t="shared" si="56"/>
        <v>3653</v>
      </c>
      <c r="G704" s="2841">
        <f t="shared" si="57"/>
        <v>3571</v>
      </c>
    </row>
    <row r="705" spans="1:7" ht="15.75">
      <c r="A705" s="3022">
        <f t="shared" si="58"/>
        <v>32075</v>
      </c>
      <c r="B705" s="2840">
        <v>32050</v>
      </c>
      <c r="C705" s="2840">
        <v>32100</v>
      </c>
      <c r="D705" s="2841">
        <f t="shared" si="54"/>
        <v>3659</v>
      </c>
      <c r="E705" s="2841">
        <f t="shared" si="55"/>
        <v>3468</v>
      </c>
      <c r="F705" s="2841">
        <f t="shared" si="56"/>
        <v>3659</v>
      </c>
      <c r="G705" s="2841">
        <f t="shared" si="57"/>
        <v>3577</v>
      </c>
    </row>
    <row r="706" spans="1:7" ht="15.75">
      <c r="A706" s="3022">
        <f t="shared" si="58"/>
        <v>32125</v>
      </c>
      <c r="B706" s="2840">
        <v>32100</v>
      </c>
      <c r="C706" s="2840">
        <v>32150</v>
      </c>
      <c r="D706" s="2841">
        <f t="shared" ref="D706:D769" si="59">IF($A706&gt;BOTT_A4,ROUND(BASE_A4+RATE_A4*($A706-BOTT_A4),0),IF($A706&gt;BOTT_A3,ROUND(BASE_A3+RATE_A3*($A706-BOTT_A3),0),IF($A706&gt;BOTT_A2,ROUND(BASE_A2+RATE_A2*($A706-BOTT_A2),0),ROUND(RATE_A1*$A706,0))))</f>
        <v>3665</v>
      </c>
      <c r="E706" s="2841">
        <f t="shared" ref="E706:E769" si="60">IF($A706&gt;BOTT_B4,ROUND(BASE_B4+RATE_B4*($A706-BOTT_B4),0),IF($A706&gt;BOTT_B3,ROUND(BASE_B3+RATE_B3*($A706-BOTT_B3),0),IF($A706&gt;BOTT_B2,ROUND(BASE_B2+RATE_B2*($A706-BOTT_B2),0),ROUND(RATE_B1*$A706,0))))</f>
        <v>3474</v>
      </c>
      <c r="F706" s="2841">
        <f t="shared" ref="F706:F769" si="61">IF($A706&gt;BOTT_C4,ROUND(BASE_C4+RATE_C4*($A706-BOTT_C4),0),IF($A706&gt;BOTT_C3,ROUND(BASE_C3+RATE_C3*($A706-BOTT_C3),0),IF($A706&gt;BOTT_C2,ROUND(BASE_C2+RATE_C2*($A706-BOTT_C2),0),ROUND(RATE_C1*$A706,0))))</f>
        <v>3665</v>
      </c>
      <c r="G706" s="2841">
        <f t="shared" ref="G706:G769" si="62">IF($A706&gt;BOTT_D4,ROUND(BASE_D4+RATE_D4*($A706-BOTT_D4),0),IF($A706&gt;BOTT_D3,ROUND(BASE_D3+RATE_D3*($A706-BOTT_D3),0),IF($A706&gt;BOTT_D2,ROUND(BASE_D2+RATE_D2*($A706-BOTT_D2),0),ROUND(RATE_D1*$A706,0))))</f>
        <v>3583</v>
      </c>
    </row>
    <row r="707" spans="1:7" ht="15.75">
      <c r="A707" s="3022">
        <f t="shared" ref="A707:A770" si="63">AVERAGE(B707,C707)</f>
        <v>32175</v>
      </c>
      <c r="B707" s="2840">
        <v>32150</v>
      </c>
      <c r="C707" s="2840">
        <v>32200</v>
      </c>
      <c r="D707" s="2841">
        <f t="shared" si="59"/>
        <v>3671</v>
      </c>
      <c r="E707" s="2841">
        <f t="shared" si="60"/>
        <v>3480</v>
      </c>
      <c r="F707" s="2841">
        <f t="shared" si="61"/>
        <v>3671</v>
      </c>
      <c r="G707" s="2841">
        <f t="shared" si="62"/>
        <v>3589</v>
      </c>
    </row>
    <row r="708" spans="1:7" ht="15.75">
      <c r="A708" s="3022">
        <f t="shared" si="63"/>
        <v>32225</v>
      </c>
      <c r="B708" s="2840">
        <v>32200</v>
      </c>
      <c r="C708" s="2840">
        <v>32250</v>
      </c>
      <c r="D708" s="2841">
        <f t="shared" si="59"/>
        <v>3677</v>
      </c>
      <c r="E708" s="2841">
        <f t="shared" si="60"/>
        <v>3486</v>
      </c>
      <c r="F708" s="2841">
        <f t="shared" si="61"/>
        <v>3677</v>
      </c>
      <c r="G708" s="2841">
        <f t="shared" si="62"/>
        <v>3595</v>
      </c>
    </row>
    <row r="709" spans="1:7" ht="15.75">
      <c r="A709" s="3022">
        <f t="shared" si="63"/>
        <v>32275</v>
      </c>
      <c r="B709" s="2840">
        <v>32250</v>
      </c>
      <c r="C709" s="2840">
        <v>32300</v>
      </c>
      <c r="D709" s="2841">
        <f t="shared" si="59"/>
        <v>3683</v>
      </c>
      <c r="E709" s="2841">
        <f t="shared" si="60"/>
        <v>3492</v>
      </c>
      <c r="F709" s="2841">
        <f t="shared" si="61"/>
        <v>3683</v>
      </c>
      <c r="G709" s="2841">
        <f t="shared" si="62"/>
        <v>3601</v>
      </c>
    </row>
    <row r="710" spans="1:7" ht="15.75">
      <c r="A710" s="3022">
        <f t="shared" si="63"/>
        <v>32325</v>
      </c>
      <c r="B710" s="2840">
        <v>32300</v>
      </c>
      <c r="C710" s="2840">
        <v>32350</v>
      </c>
      <c r="D710" s="2841">
        <f t="shared" si="59"/>
        <v>3689</v>
      </c>
      <c r="E710" s="2841">
        <f t="shared" si="60"/>
        <v>3498</v>
      </c>
      <c r="F710" s="2841">
        <f t="shared" si="61"/>
        <v>3689</v>
      </c>
      <c r="G710" s="2841">
        <f t="shared" si="62"/>
        <v>3607</v>
      </c>
    </row>
    <row r="711" spans="1:7" ht="15.75">
      <c r="A711" s="3022">
        <f t="shared" si="63"/>
        <v>32375</v>
      </c>
      <c r="B711" s="2840">
        <v>32350</v>
      </c>
      <c r="C711" s="2840">
        <v>32400</v>
      </c>
      <c r="D711" s="2841">
        <f t="shared" si="59"/>
        <v>3695</v>
      </c>
      <c r="E711" s="2841">
        <f t="shared" si="60"/>
        <v>3504</v>
      </c>
      <c r="F711" s="2841">
        <f t="shared" si="61"/>
        <v>3695</v>
      </c>
      <c r="G711" s="2841">
        <f t="shared" si="62"/>
        <v>3613</v>
      </c>
    </row>
    <row r="712" spans="1:7" ht="15.75">
      <c r="A712" s="3022">
        <f t="shared" si="63"/>
        <v>32425</v>
      </c>
      <c r="B712" s="2840">
        <v>32400</v>
      </c>
      <c r="C712" s="2840">
        <v>32450</v>
      </c>
      <c r="D712" s="2841">
        <f t="shared" si="59"/>
        <v>3701</v>
      </c>
      <c r="E712" s="2841">
        <f t="shared" si="60"/>
        <v>3510</v>
      </c>
      <c r="F712" s="2841">
        <f t="shared" si="61"/>
        <v>3701</v>
      </c>
      <c r="G712" s="2841">
        <f t="shared" si="62"/>
        <v>3619</v>
      </c>
    </row>
    <row r="713" spans="1:7" ht="15.75">
      <c r="A713" s="3022">
        <f t="shared" si="63"/>
        <v>32475</v>
      </c>
      <c r="B713" s="2840">
        <v>32450</v>
      </c>
      <c r="C713" s="2840">
        <v>32500</v>
      </c>
      <c r="D713" s="2841">
        <f t="shared" si="59"/>
        <v>3707</v>
      </c>
      <c r="E713" s="2841">
        <f t="shared" si="60"/>
        <v>3516</v>
      </c>
      <c r="F713" s="2841">
        <f t="shared" si="61"/>
        <v>3707</v>
      </c>
      <c r="G713" s="2841">
        <f t="shared" si="62"/>
        <v>3625</v>
      </c>
    </row>
    <row r="714" spans="1:7" ht="15.75">
      <c r="A714" s="3022">
        <f t="shared" si="63"/>
        <v>32525</v>
      </c>
      <c r="B714" s="2840">
        <v>32500</v>
      </c>
      <c r="C714" s="2840">
        <v>32550</v>
      </c>
      <c r="D714" s="2841">
        <f t="shared" si="59"/>
        <v>3713</v>
      </c>
      <c r="E714" s="2841">
        <f t="shared" si="60"/>
        <v>3522</v>
      </c>
      <c r="F714" s="2841">
        <f t="shared" si="61"/>
        <v>3713</v>
      </c>
      <c r="G714" s="2841">
        <f t="shared" si="62"/>
        <v>3631</v>
      </c>
    </row>
    <row r="715" spans="1:7" ht="15.75">
      <c r="A715" s="3022">
        <f t="shared" si="63"/>
        <v>32575</v>
      </c>
      <c r="B715" s="2840">
        <v>32550</v>
      </c>
      <c r="C715" s="2840">
        <v>32600</v>
      </c>
      <c r="D715" s="2841">
        <f t="shared" si="59"/>
        <v>3719</v>
      </c>
      <c r="E715" s="2841">
        <f t="shared" si="60"/>
        <v>3528</v>
      </c>
      <c r="F715" s="2841">
        <f t="shared" si="61"/>
        <v>3719</v>
      </c>
      <c r="G715" s="2841">
        <f t="shared" si="62"/>
        <v>3637</v>
      </c>
    </row>
    <row r="716" spans="1:7" ht="15.75">
      <c r="A716" s="3022">
        <f t="shared" si="63"/>
        <v>32625</v>
      </c>
      <c r="B716" s="2840">
        <v>32600</v>
      </c>
      <c r="C716" s="2840">
        <v>32650</v>
      </c>
      <c r="D716" s="2841">
        <f t="shared" si="59"/>
        <v>3725</v>
      </c>
      <c r="E716" s="2841">
        <f t="shared" si="60"/>
        <v>3534</v>
      </c>
      <c r="F716" s="2841">
        <f t="shared" si="61"/>
        <v>3725</v>
      </c>
      <c r="G716" s="2841">
        <f t="shared" si="62"/>
        <v>3643</v>
      </c>
    </row>
    <row r="717" spans="1:7" ht="15.75">
      <c r="A717" s="3022">
        <f t="shared" si="63"/>
        <v>32675</v>
      </c>
      <c r="B717" s="2840">
        <v>32650</v>
      </c>
      <c r="C717" s="2840">
        <v>32700</v>
      </c>
      <c r="D717" s="2841">
        <f t="shared" si="59"/>
        <v>3731</v>
      </c>
      <c r="E717" s="2841">
        <f t="shared" si="60"/>
        <v>3540</v>
      </c>
      <c r="F717" s="2841">
        <f t="shared" si="61"/>
        <v>3731</v>
      </c>
      <c r="G717" s="2841">
        <f t="shared" si="62"/>
        <v>3649</v>
      </c>
    </row>
    <row r="718" spans="1:7" ht="15.75">
      <c r="A718" s="3022">
        <f t="shared" si="63"/>
        <v>32725</v>
      </c>
      <c r="B718" s="2840">
        <v>32700</v>
      </c>
      <c r="C718" s="2840">
        <v>32750</v>
      </c>
      <c r="D718" s="2841">
        <f t="shared" si="59"/>
        <v>3737</v>
      </c>
      <c r="E718" s="2841">
        <f t="shared" si="60"/>
        <v>3546</v>
      </c>
      <c r="F718" s="2841">
        <f t="shared" si="61"/>
        <v>3737</v>
      </c>
      <c r="G718" s="2841">
        <f t="shared" si="62"/>
        <v>3655</v>
      </c>
    </row>
    <row r="719" spans="1:7" ht="15.75">
      <c r="A719" s="3022">
        <f t="shared" si="63"/>
        <v>32775</v>
      </c>
      <c r="B719" s="2840">
        <v>32750</v>
      </c>
      <c r="C719" s="2840">
        <v>32800</v>
      </c>
      <c r="D719" s="2841">
        <f t="shared" si="59"/>
        <v>3743</v>
      </c>
      <c r="E719" s="2841">
        <f t="shared" si="60"/>
        <v>3552</v>
      </c>
      <c r="F719" s="2841">
        <f t="shared" si="61"/>
        <v>3743</v>
      </c>
      <c r="G719" s="2841">
        <f t="shared" si="62"/>
        <v>3661</v>
      </c>
    </row>
    <row r="720" spans="1:7" ht="15.75">
      <c r="A720" s="3022">
        <f t="shared" si="63"/>
        <v>32825</v>
      </c>
      <c r="B720" s="2840">
        <v>32800</v>
      </c>
      <c r="C720" s="2840">
        <v>32850</v>
      </c>
      <c r="D720" s="2841">
        <f t="shared" si="59"/>
        <v>3749</v>
      </c>
      <c r="E720" s="2841">
        <f t="shared" si="60"/>
        <v>3558</v>
      </c>
      <c r="F720" s="2841">
        <f t="shared" si="61"/>
        <v>3749</v>
      </c>
      <c r="G720" s="2841">
        <f t="shared" si="62"/>
        <v>3667</v>
      </c>
    </row>
    <row r="721" spans="1:7" ht="15.75">
      <c r="A721" s="3022">
        <f t="shared" si="63"/>
        <v>32875</v>
      </c>
      <c r="B721" s="2840">
        <v>32850</v>
      </c>
      <c r="C721" s="2840">
        <v>32900</v>
      </c>
      <c r="D721" s="2841">
        <f t="shared" si="59"/>
        <v>3755</v>
      </c>
      <c r="E721" s="2841">
        <f t="shared" si="60"/>
        <v>3564</v>
      </c>
      <c r="F721" s="2841">
        <f t="shared" si="61"/>
        <v>3755</v>
      </c>
      <c r="G721" s="2841">
        <f t="shared" si="62"/>
        <v>3673</v>
      </c>
    </row>
    <row r="722" spans="1:7" ht="15.75">
      <c r="A722" s="3022">
        <f t="shared" si="63"/>
        <v>32925</v>
      </c>
      <c r="B722" s="2840">
        <v>32900</v>
      </c>
      <c r="C722" s="2840">
        <v>32950</v>
      </c>
      <c r="D722" s="2841">
        <f t="shared" si="59"/>
        <v>3761</v>
      </c>
      <c r="E722" s="2841">
        <f t="shared" si="60"/>
        <v>3570</v>
      </c>
      <c r="F722" s="2841">
        <f t="shared" si="61"/>
        <v>3761</v>
      </c>
      <c r="G722" s="2841">
        <f t="shared" si="62"/>
        <v>3679</v>
      </c>
    </row>
    <row r="723" spans="1:7" ht="15.75">
      <c r="A723" s="3022">
        <f t="shared" si="63"/>
        <v>32975</v>
      </c>
      <c r="B723" s="2840">
        <v>32950</v>
      </c>
      <c r="C723" s="2840">
        <v>33000</v>
      </c>
      <c r="D723" s="2841">
        <f t="shared" si="59"/>
        <v>3767</v>
      </c>
      <c r="E723" s="2841">
        <f t="shared" si="60"/>
        <v>3576</v>
      </c>
      <c r="F723" s="2841">
        <f t="shared" si="61"/>
        <v>3767</v>
      </c>
      <c r="G723" s="2841">
        <f t="shared" si="62"/>
        <v>3685</v>
      </c>
    </row>
    <row r="724" spans="1:7" ht="15.75">
      <c r="A724" s="3022">
        <f t="shared" si="63"/>
        <v>33025</v>
      </c>
      <c r="B724" s="2840">
        <v>33000</v>
      </c>
      <c r="C724" s="2840">
        <v>33050</v>
      </c>
      <c r="D724" s="2841">
        <f t="shared" si="59"/>
        <v>3773</v>
      </c>
      <c r="E724" s="2841">
        <f t="shared" si="60"/>
        <v>3582</v>
      </c>
      <c r="F724" s="2841">
        <f t="shared" si="61"/>
        <v>3773</v>
      </c>
      <c r="G724" s="2841">
        <f t="shared" si="62"/>
        <v>3691</v>
      </c>
    </row>
    <row r="725" spans="1:7" ht="15.75">
      <c r="A725" s="3022">
        <f t="shared" si="63"/>
        <v>33075</v>
      </c>
      <c r="B725" s="2840">
        <v>33050</v>
      </c>
      <c r="C725" s="2840">
        <v>33100</v>
      </c>
      <c r="D725" s="2841">
        <f t="shared" si="59"/>
        <v>3779</v>
      </c>
      <c r="E725" s="2841">
        <f t="shared" si="60"/>
        <v>3588</v>
      </c>
      <c r="F725" s="2841">
        <f t="shared" si="61"/>
        <v>3779</v>
      </c>
      <c r="G725" s="2841">
        <f t="shared" si="62"/>
        <v>3697</v>
      </c>
    </row>
    <row r="726" spans="1:7" ht="15.75">
      <c r="A726" s="3022">
        <f t="shared" si="63"/>
        <v>33125</v>
      </c>
      <c r="B726" s="2840">
        <v>33100</v>
      </c>
      <c r="C726" s="2840">
        <v>33150</v>
      </c>
      <c r="D726" s="2841">
        <f t="shared" si="59"/>
        <v>3785</v>
      </c>
      <c r="E726" s="2841">
        <f t="shared" si="60"/>
        <v>3594</v>
      </c>
      <c r="F726" s="2841">
        <f t="shared" si="61"/>
        <v>3785</v>
      </c>
      <c r="G726" s="2841">
        <f t="shared" si="62"/>
        <v>3703</v>
      </c>
    </row>
    <row r="727" spans="1:7" ht="15.75">
      <c r="A727" s="3022">
        <f t="shared" si="63"/>
        <v>33175</v>
      </c>
      <c r="B727" s="2840">
        <v>33150</v>
      </c>
      <c r="C727" s="2840">
        <v>33200</v>
      </c>
      <c r="D727" s="2841">
        <f t="shared" si="59"/>
        <v>3791</v>
      </c>
      <c r="E727" s="2841">
        <f t="shared" si="60"/>
        <v>3600</v>
      </c>
      <c r="F727" s="2841">
        <f t="shared" si="61"/>
        <v>3791</v>
      </c>
      <c r="G727" s="2841">
        <f t="shared" si="62"/>
        <v>3709</v>
      </c>
    </row>
    <row r="728" spans="1:7" ht="15.75">
      <c r="A728" s="3022">
        <f t="shared" si="63"/>
        <v>33225</v>
      </c>
      <c r="B728" s="2840">
        <v>33200</v>
      </c>
      <c r="C728" s="2840">
        <v>33250</v>
      </c>
      <c r="D728" s="2841">
        <f t="shared" si="59"/>
        <v>3797</v>
      </c>
      <c r="E728" s="2841">
        <f t="shared" si="60"/>
        <v>3606</v>
      </c>
      <c r="F728" s="2841">
        <f t="shared" si="61"/>
        <v>3797</v>
      </c>
      <c r="G728" s="2841">
        <f t="shared" si="62"/>
        <v>3715</v>
      </c>
    </row>
    <row r="729" spans="1:7" ht="15.75">
      <c r="A729" s="3022">
        <f t="shared" si="63"/>
        <v>33275</v>
      </c>
      <c r="B729" s="2840">
        <v>33250</v>
      </c>
      <c r="C729" s="2840">
        <v>33300</v>
      </c>
      <c r="D729" s="2841">
        <f t="shared" si="59"/>
        <v>3803</v>
      </c>
      <c r="E729" s="2841">
        <f t="shared" si="60"/>
        <v>3612</v>
      </c>
      <c r="F729" s="2841">
        <f t="shared" si="61"/>
        <v>3803</v>
      </c>
      <c r="G729" s="2841">
        <f t="shared" si="62"/>
        <v>3721</v>
      </c>
    </row>
    <row r="730" spans="1:7" ht="15.75">
      <c r="A730" s="3022">
        <f t="shared" si="63"/>
        <v>33325</v>
      </c>
      <c r="B730" s="2840">
        <v>33300</v>
      </c>
      <c r="C730" s="2840">
        <v>33350</v>
      </c>
      <c r="D730" s="2841">
        <f t="shared" si="59"/>
        <v>3809</v>
      </c>
      <c r="E730" s="2841">
        <f t="shared" si="60"/>
        <v>3618</v>
      </c>
      <c r="F730" s="2841">
        <f t="shared" si="61"/>
        <v>3809</v>
      </c>
      <c r="G730" s="2841">
        <f t="shared" si="62"/>
        <v>3727</v>
      </c>
    </row>
    <row r="731" spans="1:7" ht="15.75">
      <c r="A731" s="3022">
        <f t="shared" si="63"/>
        <v>33375</v>
      </c>
      <c r="B731" s="2840">
        <v>33350</v>
      </c>
      <c r="C731" s="2840">
        <v>33400</v>
      </c>
      <c r="D731" s="2841">
        <f t="shared" si="59"/>
        <v>3815</v>
      </c>
      <c r="E731" s="2841">
        <f t="shared" si="60"/>
        <v>3624</v>
      </c>
      <c r="F731" s="2841">
        <f t="shared" si="61"/>
        <v>3815</v>
      </c>
      <c r="G731" s="2841">
        <f t="shared" si="62"/>
        <v>3733</v>
      </c>
    </row>
    <row r="732" spans="1:7" ht="15.75">
      <c r="A732" s="3022">
        <f t="shared" si="63"/>
        <v>33425</v>
      </c>
      <c r="B732" s="2840">
        <v>33400</v>
      </c>
      <c r="C732" s="2840">
        <v>33450</v>
      </c>
      <c r="D732" s="2841">
        <f t="shared" si="59"/>
        <v>3821</v>
      </c>
      <c r="E732" s="2841">
        <f t="shared" si="60"/>
        <v>3630</v>
      </c>
      <c r="F732" s="2841">
        <f t="shared" si="61"/>
        <v>3821</v>
      </c>
      <c r="G732" s="2841">
        <f t="shared" si="62"/>
        <v>3739</v>
      </c>
    </row>
    <row r="733" spans="1:7" ht="15.75">
      <c r="A733" s="3022">
        <f t="shared" si="63"/>
        <v>33475</v>
      </c>
      <c r="B733" s="2840">
        <v>33450</v>
      </c>
      <c r="C733" s="2840">
        <v>33500</v>
      </c>
      <c r="D733" s="2841">
        <f t="shared" si="59"/>
        <v>3827</v>
      </c>
      <c r="E733" s="2841">
        <f t="shared" si="60"/>
        <v>3636</v>
      </c>
      <c r="F733" s="2841">
        <f t="shared" si="61"/>
        <v>3827</v>
      </c>
      <c r="G733" s="2841">
        <f t="shared" si="62"/>
        <v>3745</v>
      </c>
    </row>
    <row r="734" spans="1:7" ht="15.75">
      <c r="A734" s="3022">
        <f t="shared" si="63"/>
        <v>33525</v>
      </c>
      <c r="B734" s="2840">
        <v>33500</v>
      </c>
      <c r="C734" s="2840">
        <v>33550</v>
      </c>
      <c r="D734" s="2841">
        <f t="shared" si="59"/>
        <v>3833</v>
      </c>
      <c r="E734" s="2841">
        <f t="shared" si="60"/>
        <v>3642</v>
      </c>
      <c r="F734" s="2841">
        <f t="shared" si="61"/>
        <v>3833</v>
      </c>
      <c r="G734" s="2841">
        <f t="shared" si="62"/>
        <v>3751</v>
      </c>
    </row>
    <row r="735" spans="1:7" ht="15.75">
      <c r="A735" s="3022">
        <f t="shared" si="63"/>
        <v>33575</v>
      </c>
      <c r="B735" s="2840">
        <v>33550</v>
      </c>
      <c r="C735" s="2840">
        <v>33600</v>
      </c>
      <c r="D735" s="2841">
        <f t="shared" si="59"/>
        <v>3839</v>
      </c>
      <c r="E735" s="2841">
        <f t="shared" si="60"/>
        <v>3648</v>
      </c>
      <c r="F735" s="2841">
        <f t="shared" si="61"/>
        <v>3839</v>
      </c>
      <c r="G735" s="2841">
        <f t="shared" si="62"/>
        <v>3757</v>
      </c>
    </row>
    <row r="736" spans="1:7" ht="15.75">
      <c r="A736" s="3022">
        <f t="shared" si="63"/>
        <v>33625</v>
      </c>
      <c r="B736" s="2840">
        <v>33600</v>
      </c>
      <c r="C736" s="2840">
        <v>33650</v>
      </c>
      <c r="D736" s="2841">
        <f t="shared" si="59"/>
        <v>3845</v>
      </c>
      <c r="E736" s="2841">
        <f t="shared" si="60"/>
        <v>3654</v>
      </c>
      <c r="F736" s="2841">
        <f t="shared" si="61"/>
        <v>3845</v>
      </c>
      <c r="G736" s="2841">
        <f t="shared" si="62"/>
        <v>3763</v>
      </c>
    </row>
    <row r="737" spans="1:7" ht="15.75">
      <c r="A737" s="3022">
        <f t="shared" si="63"/>
        <v>33675</v>
      </c>
      <c r="B737" s="2840">
        <v>33650</v>
      </c>
      <c r="C737" s="2840">
        <v>33700</v>
      </c>
      <c r="D737" s="2841">
        <f t="shared" si="59"/>
        <v>3851</v>
      </c>
      <c r="E737" s="2841">
        <f t="shared" si="60"/>
        <v>3660</v>
      </c>
      <c r="F737" s="2841">
        <f t="shared" si="61"/>
        <v>3851</v>
      </c>
      <c r="G737" s="2841">
        <f t="shared" si="62"/>
        <v>3769</v>
      </c>
    </row>
    <row r="738" spans="1:7" ht="15.75">
      <c r="A738" s="3022">
        <f t="shared" si="63"/>
        <v>33725</v>
      </c>
      <c r="B738" s="2840">
        <v>33700</v>
      </c>
      <c r="C738" s="2840">
        <v>33750</v>
      </c>
      <c r="D738" s="2841">
        <f t="shared" si="59"/>
        <v>3857</v>
      </c>
      <c r="E738" s="2841">
        <f t="shared" si="60"/>
        <v>3666</v>
      </c>
      <c r="F738" s="2841">
        <f t="shared" si="61"/>
        <v>3857</v>
      </c>
      <c r="G738" s="2841">
        <f t="shared" si="62"/>
        <v>3775</v>
      </c>
    </row>
    <row r="739" spans="1:7" ht="15.75">
      <c r="A739" s="3022">
        <f t="shared" si="63"/>
        <v>33775</v>
      </c>
      <c r="B739" s="2840">
        <v>33750</v>
      </c>
      <c r="C739" s="2840">
        <v>33800</v>
      </c>
      <c r="D739" s="2841">
        <f t="shared" si="59"/>
        <v>3863</v>
      </c>
      <c r="E739" s="2841">
        <f t="shared" si="60"/>
        <v>3672</v>
      </c>
      <c r="F739" s="2841">
        <f t="shared" si="61"/>
        <v>3863</v>
      </c>
      <c r="G739" s="2841">
        <f t="shared" si="62"/>
        <v>3781</v>
      </c>
    </row>
    <row r="740" spans="1:7" ht="15.75">
      <c r="A740" s="3022">
        <f t="shared" si="63"/>
        <v>33825</v>
      </c>
      <c r="B740" s="2840">
        <v>33800</v>
      </c>
      <c r="C740" s="2840">
        <v>33850</v>
      </c>
      <c r="D740" s="2841">
        <f t="shared" si="59"/>
        <v>3869</v>
      </c>
      <c r="E740" s="2841">
        <f t="shared" si="60"/>
        <v>3678</v>
      </c>
      <c r="F740" s="2841">
        <f t="shared" si="61"/>
        <v>3869</v>
      </c>
      <c r="G740" s="2841">
        <f t="shared" si="62"/>
        <v>3787</v>
      </c>
    </row>
    <row r="741" spans="1:7" ht="15.75">
      <c r="A741" s="3022">
        <f t="shared" si="63"/>
        <v>33875</v>
      </c>
      <c r="B741" s="2840">
        <v>33850</v>
      </c>
      <c r="C741" s="2840">
        <v>33900</v>
      </c>
      <c r="D741" s="2841">
        <f t="shared" si="59"/>
        <v>3875</v>
      </c>
      <c r="E741" s="2841">
        <f t="shared" si="60"/>
        <v>3684</v>
      </c>
      <c r="F741" s="2841">
        <f t="shared" si="61"/>
        <v>3875</v>
      </c>
      <c r="G741" s="2841">
        <f t="shared" si="62"/>
        <v>3793</v>
      </c>
    </row>
    <row r="742" spans="1:7" ht="15.75">
      <c r="A742" s="3022">
        <f t="shared" si="63"/>
        <v>33925</v>
      </c>
      <c r="B742" s="2840">
        <v>33900</v>
      </c>
      <c r="C742" s="2840">
        <v>33950</v>
      </c>
      <c r="D742" s="2841">
        <f t="shared" si="59"/>
        <v>3881</v>
      </c>
      <c r="E742" s="2841">
        <f t="shared" si="60"/>
        <v>3690</v>
      </c>
      <c r="F742" s="2841">
        <f t="shared" si="61"/>
        <v>3881</v>
      </c>
      <c r="G742" s="2841">
        <f t="shared" si="62"/>
        <v>3799</v>
      </c>
    </row>
    <row r="743" spans="1:7" ht="15.75">
      <c r="A743" s="3022">
        <f t="shared" si="63"/>
        <v>33975</v>
      </c>
      <c r="B743" s="2840">
        <v>33950</v>
      </c>
      <c r="C743" s="2840">
        <v>34000</v>
      </c>
      <c r="D743" s="2841">
        <f t="shared" si="59"/>
        <v>3887</v>
      </c>
      <c r="E743" s="2841">
        <f t="shared" si="60"/>
        <v>3696</v>
      </c>
      <c r="F743" s="2841">
        <f t="shared" si="61"/>
        <v>3887</v>
      </c>
      <c r="G743" s="2841">
        <f t="shared" si="62"/>
        <v>3805</v>
      </c>
    </row>
    <row r="744" spans="1:7" ht="15.75">
      <c r="A744" s="3022">
        <f t="shared" si="63"/>
        <v>34025</v>
      </c>
      <c r="B744" s="2840">
        <v>34000</v>
      </c>
      <c r="C744" s="2840">
        <v>34050</v>
      </c>
      <c r="D744" s="2841">
        <f t="shared" si="59"/>
        <v>3893</v>
      </c>
      <c r="E744" s="2841">
        <f t="shared" si="60"/>
        <v>3702</v>
      </c>
      <c r="F744" s="2841">
        <f t="shared" si="61"/>
        <v>3893</v>
      </c>
      <c r="G744" s="2841">
        <f t="shared" si="62"/>
        <v>3811</v>
      </c>
    </row>
    <row r="745" spans="1:7" ht="15.75">
      <c r="A745" s="3022">
        <f t="shared" si="63"/>
        <v>34075</v>
      </c>
      <c r="B745" s="2840">
        <v>34050</v>
      </c>
      <c r="C745" s="2840">
        <v>34100</v>
      </c>
      <c r="D745" s="2841">
        <f t="shared" si="59"/>
        <v>3899</v>
      </c>
      <c r="E745" s="2841">
        <f t="shared" si="60"/>
        <v>3708</v>
      </c>
      <c r="F745" s="2841">
        <f t="shared" si="61"/>
        <v>3899</v>
      </c>
      <c r="G745" s="2841">
        <f t="shared" si="62"/>
        <v>3817</v>
      </c>
    </row>
    <row r="746" spans="1:7" ht="15.75">
      <c r="A746" s="3022">
        <f t="shared" si="63"/>
        <v>34125</v>
      </c>
      <c r="B746" s="2840">
        <v>34100</v>
      </c>
      <c r="C746" s="2840">
        <v>34150</v>
      </c>
      <c r="D746" s="2841">
        <f t="shared" si="59"/>
        <v>3905</v>
      </c>
      <c r="E746" s="2841">
        <f t="shared" si="60"/>
        <v>3714</v>
      </c>
      <c r="F746" s="2841">
        <f t="shared" si="61"/>
        <v>3905</v>
      </c>
      <c r="G746" s="2841">
        <f t="shared" si="62"/>
        <v>3823</v>
      </c>
    </row>
    <row r="747" spans="1:7" ht="15.75">
      <c r="A747" s="3022">
        <f t="shared" si="63"/>
        <v>34175</v>
      </c>
      <c r="B747" s="2840">
        <v>34150</v>
      </c>
      <c r="C747" s="2840">
        <v>34200</v>
      </c>
      <c r="D747" s="2841">
        <f t="shared" si="59"/>
        <v>3911</v>
      </c>
      <c r="E747" s="2841">
        <f t="shared" si="60"/>
        <v>3720</v>
      </c>
      <c r="F747" s="2841">
        <f t="shared" si="61"/>
        <v>3911</v>
      </c>
      <c r="G747" s="2841">
        <f t="shared" si="62"/>
        <v>3829</v>
      </c>
    </row>
    <row r="748" spans="1:7" ht="15.75">
      <c r="A748" s="3022">
        <f t="shared" si="63"/>
        <v>34225</v>
      </c>
      <c r="B748" s="2840">
        <v>34200</v>
      </c>
      <c r="C748" s="2840">
        <v>34250</v>
      </c>
      <c r="D748" s="2841">
        <f t="shared" si="59"/>
        <v>3917</v>
      </c>
      <c r="E748" s="2841">
        <f t="shared" si="60"/>
        <v>3726</v>
      </c>
      <c r="F748" s="2841">
        <f t="shared" si="61"/>
        <v>3917</v>
      </c>
      <c r="G748" s="2841">
        <f t="shared" si="62"/>
        <v>3835</v>
      </c>
    </row>
    <row r="749" spans="1:7" ht="15.75">
      <c r="A749" s="3022">
        <f t="shared" si="63"/>
        <v>34275</v>
      </c>
      <c r="B749" s="2840">
        <v>34250</v>
      </c>
      <c r="C749" s="2840">
        <v>34300</v>
      </c>
      <c r="D749" s="2841">
        <f t="shared" si="59"/>
        <v>3923</v>
      </c>
      <c r="E749" s="2841">
        <f t="shared" si="60"/>
        <v>3732</v>
      </c>
      <c r="F749" s="2841">
        <f t="shared" si="61"/>
        <v>3923</v>
      </c>
      <c r="G749" s="2841">
        <f t="shared" si="62"/>
        <v>3841</v>
      </c>
    </row>
    <row r="750" spans="1:7" ht="15.75">
      <c r="A750" s="3022">
        <f t="shared" si="63"/>
        <v>34325</v>
      </c>
      <c r="B750" s="2840">
        <v>34300</v>
      </c>
      <c r="C750" s="2840">
        <v>34350</v>
      </c>
      <c r="D750" s="2841">
        <f t="shared" si="59"/>
        <v>3929</v>
      </c>
      <c r="E750" s="2841">
        <f t="shared" si="60"/>
        <v>3738</v>
      </c>
      <c r="F750" s="2841">
        <f t="shared" si="61"/>
        <v>3929</v>
      </c>
      <c r="G750" s="2841">
        <f t="shared" si="62"/>
        <v>3847</v>
      </c>
    </row>
    <row r="751" spans="1:7" ht="15.75">
      <c r="A751" s="3022">
        <f t="shared" si="63"/>
        <v>34375</v>
      </c>
      <c r="B751" s="2840">
        <v>34350</v>
      </c>
      <c r="C751" s="2840">
        <v>34400</v>
      </c>
      <c r="D751" s="2841">
        <f t="shared" si="59"/>
        <v>3935</v>
      </c>
      <c r="E751" s="2841">
        <f t="shared" si="60"/>
        <v>3744</v>
      </c>
      <c r="F751" s="2841">
        <f t="shared" si="61"/>
        <v>3935</v>
      </c>
      <c r="G751" s="2841">
        <f t="shared" si="62"/>
        <v>3853</v>
      </c>
    </row>
    <row r="752" spans="1:7" ht="15.75">
      <c r="A752" s="3022">
        <f t="shared" si="63"/>
        <v>34425</v>
      </c>
      <c r="B752" s="2840">
        <v>34400</v>
      </c>
      <c r="C752" s="2840">
        <v>34450</v>
      </c>
      <c r="D752" s="2841">
        <f t="shared" si="59"/>
        <v>3941</v>
      </c>
      <c r="E752" s="2841">
        <f t="shared" si="60"/>
        <v>3750</v>
      </c>
      <c r="F752" s="2841">
        <f t="shared" si="61"/>
        <v>3941</v>
      </c>
      <c r="G752" s="2841">
        <f t="shared" si="62"/>
        <v>3859</v>
      </c>
    </row>
    <row r="753" spans="1:7" ht="15.75">
      <c r="A753" s="3022">
        <f t="shared" si="63"/>
        <v>34475</v>
      </c>
      <c r="B753" s="2840">
        <v>34450</v>
      </c>
      <c r="C753" s="2840">
        <v>34500</v>
      </c>
      <c r="D753" s="2841">
        <f t="shared" si="59"/>
        <v>3947</v>
      </c>
      <c r="E753" s="2841">
        <f t="shared" si="60"/>
        <v>3756</v>
      </c>
      <c r="F753" s="2841">
        <f t="shared" si="61"/>
        <v>3947</v>
      </c>
      <c r="G753" s="2841">
        <f t="shared" si="62"/>
        <v>3865</v>
      </c>
    </row>
    <row r="754" spans="1:7" ht="15.75">
      <c r="A754" s="3022">
        <f t="shared" si="63"/>
        <v>34525</v>
      </c>
      <c r="B754" s="2840">
        <v>34500</v>
      </c>
      <c r="C754" s="2840">
        <v>34550</v>
      </c>
      <c r="D754" s="2841">
        <f t="shared" si="59"/>
        <v>3953</v>
      </c>
      <c r="E754" s="2841">
        <f t="shared" si="60"/>
        <v>3762</v>
      </c>
      <c r="F754" s="2841">
        <f t="shared" si="61"/>
        <v>3953</v>
      </c>
      <c r="G754" s="2841">
        <f t="shared" si="62"/>
        <v>3871</v>
      </c>
    </row>
    <row r="755" spans="1:7" ht="15.75">
      <c r="A755" s="3022">
        <f t="shared" si="63"/>
        <v>34575</v>
      </c>
      <c r="B755" s="2840">
        <v>34550</v>
      </c>
      <c r="C755" s="2840">
        <v>34600</v>
      </c>
      <c r="D755" s="2841">
        <f t="shared" si="59"/>
        <v>3959</v>
      </c>
      <c r="E755" s="2841">
        <f t="shared" si="60"/>
        <v>3768</v>
      </c>
      <c r="F755" s="2841">
        <f t="shared" si="61"/>
        <v>3959</v>
      </c>
      <c r="G755" s="2841">
        <f t="shared" si="62"/>
        <v>3877</v>
      </c>
    </row>
    <row r="756" spans="1:7" ht="15.75">
      <c r="A756" s="3022">
        <f t="shared" si="63"/>
        <v>34625</v>
      </c>
      <c r="B756" s="2840">
        <v>34600</v>
      </c>
      <c r="C756" s="2840">
        <v>34650</v>
      </c>
      <c r="D756" s="2841">
        <f t="shared" si="59"/>
        <v>3965</v>
      </c>
      <c r="E756" s="2841">
        <f t="shared" si="60"/>
        <v>3774</v>
      </c>
      <c r="F756" s="2841">
        <f t="shared" si="61"/>
        <v>3965</v>
      </c>
      <c r="G756" s="2841">
        <f t="shared" si="62"/>
        <v>3883</v>
      </c>
    </row>
    <row r="757" spans="1:7" ht="15.75">
      <c r="A757" s="3022">
        <f t="shared" si="63"/>
        <v>34675</v>
      </c>
      <c r="B757" s="2840">
        <v>34650</v>
      </c>
      <c r="C757" s="2840">
        <v>34700</v>
      </c>
      <c r="D757" s="2841">
        <f t="shared" si="59"/>
        <v>3971</v>
      </c>
      <c r="E757" s="2841">
        <f t="shared" si="60"/>
        <v>3780</v>
      </c>
      <c r="F757" s="2841">
        <f t="shared" si="61"/>
        <v>3971</v>
      </c>
      <c r="G757" s="2841">
        <f t="shared" si="62"/>
        <v>3889</v>
      </c>
    </row>
    <row r="758" spans="1:7" ht="15.75">
      <c r="A758" s="3022">
        <f t="shared" si="63"/>
        <v>34725</v>
      </c>
      <c r="B758" s="2840">
        <v>34700</v>
      </c>
      <c r="C758" s="2840">
        <v>34750</v>
      </c>
      <c r="D758" s="2841">
        <f t="shared" si="59"/>
        <v>3977</v>
      </c>
      <c r="E758" s="2841">
        <f t="shared" si="60"/>
        <v>3786</v>
      </c>
      <c r="F758" s="2841">
        <f t="shared" si="61"/>
        <v>3977</v>
      </c>
      <c r="G758" s="2841">
        <f t="shared" si="62"/>
        <v>3895</v>
      </c>
    </row>
    <row r="759" spans="1:7" ht="15.75">
      <c r="A759" s="3022">
        <f t="shared" si="63"/>
        <v>34775</v>
      </c>
      <c r="B759" s="2840">
        <v>34750</v>
      </c>
      <c r="C759" s="2840">
        <v>34800</v>
      </c>
      <c r="D759" s="2841">
        <f t="shared" si="59"/>
        <v>3983</v>
      </c>
      <c r="E759" s="2841">
        <f t="shared" si="60"/>
        <v>3792</v>
      </c>
      <c r="F759" s="2841">
        <f t="shared" si="61"/>
        <v>3983</v>
      </c>
      <c r="G759" s="2841">
        <f t="shared" si="62"/>
        <v>3901</v>
      </c>
    </row>
    <row r="760" spans="1:7" ht="15.75">
      <c r="A760" s="3022">
        <f t="shared" si="63"/>
        <v>34825</v>
      </c>
      <c r="B760" s="2840">
        <v>34800</v>
      </c>
      <c r="C760" s="2840">
        <v>34850</v>
      </c>
      <c r="D760" s="2841">
        <f t="shared" si="59"/>
        <v>3989</v>
      </c>
      <c r="E760" s="2841">
        <f t="shared" si="60"/>
        <v>3798</v>
      </c>
      <c r="F760" s="2841">
        <f t="shared" si="61"/>
        <v>3989</v>
      </c>
      <c r="G760" s="2841">
        <f t="shared" si="62"/>
        <v>3907</v>
      </c>
    </row>
    <row r="761" spans="1:7" ht="15.75">
      <c r="A761" s="3022">
        <f t="shared" si="63"/>
        <v>34875</v>
      </c>
      <c r="B761" s="2840">
        <v>34850</v>
      </c>
      <c r="C761" s="2840">
        <v>34900</v>
      </c>
      <c r="D761" s="2841">
        <f t="shared" si="59"/>
        <v>3995</v>
      </c>
      <c r="E761" s="2841">
        <f t="shared" si="60"/>
        <v>3804</v>
      </c>
      <c r="F761" s="2841">
        <f t="shared" si="61"/>
        <v>3995</v>
      </c>
      <c r="G761" s="2841">
        <f t="shared" si="62"/>
        <v>3913</v>
      </c>
    </row>
    <row r="762" spans="1:7" ht="15.75">
      <c r="A762" s="3022">
        <f t="shared" si="63"/>
        <v>34925</v>
      </c>
      <c r="B762" s="2840">
        <v>34900</v>
      </c>
      <c r="C762" s="2840">
        <v>34950</v>
      </c>
      <c r="D762" s="2841">
        <f t="shared" si="59"/>
        <v>4001</v>
      </c>
      <c r="E762" s="2841">
        <f t="shared" si="60"/>
        <v>3810</v>
      </c>
      <c r="F762" s="2841">
        <f t="shared" si="61"/>
        <v>4001</v>
      </c>
      <c r="G762" s="2841">
        <f t="shared" si="62"/>
        <v>3919</v>
      </c>
    </row>
    <row r="763" spans="1:7" ht="15.75">
      <c r="A763" s="3022">
        <f t="shared" si="63"/>
        <v>34975</v>
      </c>
      <c r="B763" s="2840">
        <v>34950</v>
      </c>
      <c r="C763" s="2840">
        <v>35000</v>
      </c>
      <c r="D763" s="2841">
        <f t="shared" si="59"/>
        <v>4007</v>
      </c>
      <c r="E763" s="2841">
        <f t="shared" si="60"/>
        <v>3816</v>
      </c>
      <c r="F763" s="2841">
        <f t="shared" si="61"/>
        <v>4007</v>
      </c>
      <c r="G763" s="2841">
        <f t="shared" si="62"/>
        <v>3925</v>
      </c>
    </row>
    <row r="764" spans="1:7" ht="15.75">
      <c r="A764" s="3022">
        <f t="shared" si="63"/>
        <v>35025</v>
      </c>
      <c r="B764" s="2840">
        <v>35000</v>
      </c>
      <c r="C764" s="2840">
        <v>35050</v>
      </c>
      <c r="D764" s="2841">
        <f t="shared" si="59"/>
        <v>4013</v>
      </c>
      <c r="E764" s="2841">
        <f t="shared" si="60"/>
        <v>3822</v>
      </c>
      <c r="F764" s="2841">
        <f t="shared" si="61"/>
        <v>4013</v>
      </c>
      <c r="G764" s="2841">
        <f t="shared" si="62"/>
        <v>3931</v>
      </c>
    </row>
    <row r="765" spans="1:7" ht="15.75">
      <c r="A765" s="3022">
        <f t="shared" si="63"/>
        <v>35075</v>
      </c>
      <c r="B765" s="2840">
        <v>35050</v>
      </c>
      <c r="C765" s="2840">
        <v>35100</v>
      </c>
      <c r="D765" s="2841">
        <f t="shared" si="59"/>
        <v>4019</v>
      </c>
      <c r="E765" s="2841">
        <f t="shared" si="60"/>
        <v>3828</v>
      </c>
      <c r="F765" s="2841">
        <f t="shared" si="61"/>
        <v>4019</v>
      </c>
      <c r="G765" s="2841">
        <f t="shared" si="62"/>
        <v>3937</v>
      </c>
    </row>
    <row r="766" spans="1:7" ht="15.75">
      <c r="A766" s="3022">
        <f t="shared" si="63"/>
        <v>35125</v>
      </c>
      <c r="B766" s="2840">
        <v>35100</v>
      </c>
      <c r="C766" s="2840">
        <v>35150</v>
      </c>
      <c r="D766" s="2841">
        <f t="shared" si="59"/>
        <v>4025</v>
      </c>
      <c r="E766" s="2841">
        <f t="shared" si="60"/>
        <v>3834</v>
      </c>
      <c r="F766" s="2841">
        <f t="shared" si="61"/>
        <v>4025</v>
      </c>
      <c r="G766" s="2841">
        <f t="shared" si="62"/>
        <v>3943</v>
      </c>
    </row>
    <row r="767" spans="1:7" ht="15.75">
      <c r="A767" s="3022">
        <f t="shared" si="63"/>
        <v>35175</v>
      </c>
      <c r="B767" s="2840">
        <v>35150</v>
      </c>
      <c r="C767" s="2840">
        <v>35200</v>
      </c>
      <c r="D767" s="2841">
        <f t="shared" si="59"/>
        <v>4031</v>
      </c>
      <c r="E767" s="2841">
        <f t="shared" si="60"/>
        <v>3840</v>
      </c>
      <c r="F767" s="2841">
        <f t="shared" si="61"/>
        <v>4031</v>
      </c>
      <c r="G767" s="2841">
        <f t="shared" si="62"/>
        <v>3949</v>
      </c>
    </row>
    <row r="768" spans="1:7" ht="15.75">
      <c r="A768" s="3022">
        <f t="shared" si="63"/>
        <v>35225</v>
      </c>
      <c r="B768" s="2840">
        <v>35200</v>
      </c>
      <c r="C768" s="2840">
        <v>35250</v>
      </c>
      <c r="D768" s="2841">
        <f t="shared" si="59"/>
        <v>4037</v>
      </c>
      <c r="E768" s="2841">
        <f t="shared" si="60"/>
        <v>3846</v>
      </c>
      <c r="F768" s="2841">
        <f t="shared" si="61"/>
        <v>4037</v>
      </c>
      <c r="G768" s="2841">
        <f t="shared" si="62"/>
        <v>3955</v>
      </c>
    </row>
    <row r="769" spans="1:7" ht="15.75">
      <c r="A769" s="3022">
        <f t="shared" si="63"/>
        <v>35275</v>
      </c>
      <c r="B769" s="2840">
        <v>35250</v>
      </c>
      <c r="C769" s="2840">
        <v>35300</v>
      </c>
      <c r="D769" s="2841">
        <f t="shared" si="59"/>
        <v>4043</v>
      </c>
      <c r="E769" s="2841">
        <f t="shared" si="60"/>
        <v>3852</v>
      </c>
      <c r="F769" s="2841">
        <f t="shared" si="61"/>
        <v>4043</v>
      </c>
      <c r="G769" s="2841">
        <f t="shared" si="62"/>
        <v>3961</v>
      </c>
    </row>
    <row r="770" spans="1:7" ht="15.75">
      <c r="A770" s="3022">
        <f t="shared" si="63"/>
        <v>35325</v>
      </c>
      <c r="B770" s="2840">
        <v>35300</v>
      </c>
      <c r="C770" s="2840">
        <v>35350</v>
      </c>
      <c r="D770" s="2841">
        <f t="shared" ref="D770:D833" si="64">IF($A770&gt;BOTT_A4,ROUND(BASE_A4+RATE_A4*($A770-BOTT_A4),0),IF($A770&gt;BOTT_A3,ROUND(BASE_A3+RATE_A3*($A770-BOTT_A3),0),IF($A770&gt;BOTT_A2,ROUND(BASE_A2+RATE_A2*($A770-BOTT_A2),0),ROUND(RATE_A1*$A770,0))))</f>
        <v>4049</v>
      </c>
      <c r="E770" s="2841">
        <f t="shared" ref="E770:E833" si="65">IF($A770&gt;BOTT_B4,ROUND(BASE_B4+RATE_B4*($A770-BOTT_B4),0),IF($A770&gt;BOTT_B3,ROUND(BASE_B3+RATE_B3*($A770-BOTT_B3),0),IF($A770&gt;BOTT_B2,ROUND(BASE_B2+RATE_B2*($A770-BOTT_B2),0),ROUND(RATE_B1*$A770,0))))</f>
        <v>3858</v>
      </c>
      <c r="F770" s="2841">
        <f t="shared" ref="F770:F833" si="66">IF($A770&gt;BOTT_C4,ROUND(BASE_C4+RATE_C4*($A770-BOTT_C4),0),IF($A770&gt;BOTT_C3,ROUND(BASE_C3+RATE_C3*($A770-BOTT_C3),0),IF($A770&gt;BOTT_C2,ROUND(BASE_C2+RATE_C2*($A770-BOTT_C2),0),ROUND(RATE_C1*$A770,0))))</f>
        <v>4049</v>
      </c>
      <c r="G770" s="2841">
        <f t="shared" ref="G770:G833" si="67">IF($A770&gt;BOTT_D4,ROUND(BASE_D4+RATE_D4*($A770-BOTT_D4),0),IF($A770&gt;BOTT_D3,ROUND(BASE_D3+RATE_D3*($A770-BOTT_D3),0),IF($A770&gt;BOTT_D2,ROUND(BASE_D2+RATE_D2*($A770-BOTT_D2),0),ROUND(RATE_D1*$A770,0))))</f>
        <v>3967</v>
      </c>
    </row>
    <row r="771" spans="1:7" ht="15.75">
      <c r="A771" s="3022">
        <f t="shared" ref="A771:A834" si="68">AVERAGE(B771,C771)</f>
        <v>35375</v>
      </c>
      <c r="B771" s="2840">
        <v>35350</v>
      </c>
      <c r="C771" s="2840">
        <v>35400</v>
      </c>
      <c r="D771" s="2841">
        <f t="shared" si="64"/>
        <v>4055</v>
      </c>
      <c r="E771" s="2841">
        <f t="shared" si="65"/>
        <v>3864</v>
      </c>
      <c r="F771" s="2841">
        <f t="shared" si="66"/>
        <v>4055</v>
      </c>
      <c r="G771" s="2841">
        <f t="shared" si="67"/>
        <v>3973</v>
      </c>
    </row>
    <row r="772" spans="1:7" ht="15.75">
      <c r="A772" s="3022">
        <f t="shared" si="68"/>
        <v>35425</v>
      </c>
      <c r="B772" s="2840">
        <v>35400</v>
      </c>
      <c r="C772" s="2840">
        <v>35450</v>
      </c>
      <c r="D772" s="2841">
        <f t="shared" si="64"/>
        <v>4061</v>
      </c>
      <c r="E772" s="2841">
        <f t="shared" si="65"/>
        <v>3870</v>
      </c>
      <c r="F772" s="2841">
        <f t="shared" si="66"/>
        <v>4061</v>
      </c>
      <c r="G772" s="2841">
        <f t="shared" si="67"/>
        <v>3979</v>
      </c>
    </row>
    <row r="773" spans="1:7" ht="15.75">
      <c r="A773" s="3022">
        <f t="shared" si="68"/>
        <v>35475</v>
      </c>
      <c r="B773" s="2840">
        <v>35450</v>
      </c>
      <c r="C773" s="2840">
        <v>35500</v>
      </c>
      <c r="D773" s="2841">
        <f t="shared" si="64"/>
        <v>4067</v>
      </c>
      <c r="E773" s="2841">
        <f t="shared" si="65"/>
        <v>3876</v>
      </c>
      <c r="F773" s="2841">
        <f t="shared" si="66"/>
        <v>4067</v>
      </c>
      <c r="G773" s="2841">
        <f t="shared" si="67"/>
        <v>3985</v>
      </c>
    </row>
    <row r="774" spans="1:7" ht="15.75">
      <c r="A774" s="3022">
        <f t="shared" si="68"/>
        <v>35525</v>
      </c>
      <c r="B774" s="2840">
        <v>35500</v>
      </c>
      <c r="C774" s="2840">
        <v>35550</v>
      </c>
      <c r="D774" s="2841">
        <f t="shared" si="64"/>
        <v>4073</v>
      </c>
      <c r="E774" s="2841">
        <f t="shared" si="65"/>
        <v>3882</v>
      </c>
      <c r="F774" s="2841">
        <f t="shared" si="66"/>
        <v>4073</v>
      </c>
      <c r="G774" s="2841">
        <f t="shared" si="67"/>
        <v>3991</v>
      </c>
    </row>
    <row r="775" spans="1:7" ht="15.75">
      <c r="A775" s="3022">
        <f t="shared" si="68"/>
        <v>35575</v>
      </c>
      <c r="B775" s="2840">
        <v>35550</v>
      </c>
      <c r="C775" s="2840">
        <v>35600</v>
      </c>
      <c r="D775" s="2841">
        <f t="shared" si="64"/>
        <v>4079</v>
      </c>
      <c r="E775" s="2841">
        <f t="shared" si="65"/>
        <v>3888</v>
      </c>
      <c r="F775" s="2841">
        <f t="shared" si="66"/>
        <v>4079</v>
      </c>
      <c r="G775" s="2841">
        <f t="shared" si="67"/>
        <v>3997</v>
      </c>
    </row>
    <row r="776" spans="1:7" ht="15.75">
      <c r="A776" s="3022">
        <f t="shared" si="68"/>
        <v>35625</v>
      </c>
      <c r="B776" s="2840">
        <v>35600</v>
      </c>
      <c r="C776" s="2840">
        <v>35650</v>
      </c>
      <c r="D776" s="2841">
        <f t="shared" si="64"/>
        <v>4085</v>
      </c>
      <c r="E776" s="2841">
        <f t="shared" si="65"/>
        <v>3894</v>
      </c>
      <c r="F776" s="2841">
        <f t="shared" si="66"/>
        <v>4085</v>
      </c>
      <c r="G776" s="2841">
        <f t="shared" si="67"/>
        <v>4003</v>
      </c>
    </row>
    <row r="777" spans="1:7" ht="15.75">
      <c r="A777" s="3022">
        <f t="shared" si="68"/>
        <v>35675</v>
      </c>
      <c r="B777" s="2840">
        <v>35650</v>
      </c>
      <c r="C777" s="2840">
        <v>35700</v>
      </c>
      <c r="D777" s="2841">
        <f t="shared" si="64"/>
        <v>4091</v>
      </c>
      <c r="E777" s="2841">
        <f t="shared" si="65"/>
        <v>3900</v>
      </c>
      <c r="F777" s="2841">
        <f t="shared" si="66"/>
        <v>4091</v>
      </c>
      <c r="G777" s="2841">
        <f t="shared" si="67"/>
        <v>4009</v>
      </c>
    </row>
    <row r="778" spans="1:7" ht="15.75">
      <c r="A778" s="3022">
        <f t="shared" si="68"/>
        <v>35725</v>
      </c>
      <c r="B778" s="2840">
        <v>35700</v>
      </c>
      <c r="C778" s="2840">
        <v>35750</v>
      </c>
      <c r="D778" s="2841">
        <f t="shared" si="64"/>
        <v>4097</v>
      </c>
      <c r="E778" s="2841">
        <f t="shared" si="65"/>
        <v>3906</v>
      </c>
      <c r="F778" s="2841">
        <f t="shared" si="66"/>
        <v>4097</v>
      </c>
      <c r="G778" s="2841">
        <f t="shared" si="67"/>
        <v>4015</v>
      </c>
    </row>
    <row r="779" spans="1:7" ht="15.75">
      <c r="A779" s="3022">
        <f t="shared" si="68"/>
        <v>35775</v>
      </c>
      <c r="B779" s="2840">
        <v>35750</v>
      </c>
      <c r="C779" s="2840">
        <v>35800</v>
      </c>
      <c r="D779" s="2841">
        <f t="shared" si="64"/>
        <v>4103</v>
      </c>
      <c r="E779" s="2841">
        <f t="shared" si="65"/>
        <v>3912</v>
      </c>
      <c r="F779" s="2841">
        <f t="shared" si="66"/>
        <v>4103</v>
      </c>
      <c r="G779" s="2841">
        <f t="shared" si="67"/>
        <v>4021</v>
      </c>
    </row>
    <row r="780" spans="1:7" ht="15.75">
      <c r="A780" s="3022">
        <f t="shared" si="68"/>
        <v>35825</v>
      </c>
      <c r="B780" s="2840">
        <v>35800</v>
      </c>
      <c r="C780" s="2840">
        <v>35850</v>
      </c>
      <c r="D780" s="2841">
        <f t="shared" si="64"/>
        <v>4109</v>
      </c>
      <c r="E780" s="2841">
        <f t="shared" si="65"/>
        <v>3918</v>
      </c>
      <c r="F780" s="2841">
        <f t="shared" si="66"/>
        <v>4109</v>
      </c>
      <c r="G780" s="2841">
        <f t="shared" si="67"/>
        <v>4027</v>
      </c>
    </row>
    <row r="781" spans="1:7" ht="15.75">
      <c r="A781" s="3022">
        <f t="shared" si="68"/>
        <v>35875</v>
      </c>
      <c r="B781" s="2840">
        <v>35850</v>
      </c>
      <c r="C781" s="2840">
        <v>35900</v>
      </c>
      <c r="D781" s="2841">
        <f t="shared" si="64"/>
        <v>4115</v>
      </c>
      <c r="E781" s="2841">
        <f t="shared" si="65"/>
        <v>3924</v>
      </c>
      <c r="F781" s="2841">
        <f t="shared" si="66"/>
        <v>4115</v>
      </c>
      <c r="G781" s="2841">
        <f t="shared" si="67"/>
        <v>4033</v>
      </c>
    </row>
    <row r="782" spans="1:7" ht="15.75">
      <c r="A782" s="3022">
        <f t="shared" si="68"/>
        <v>35925</v>
      </c>
      <c r="B782" s="2840">
        <v>35900</v>
      </c>
      <c r="C782" s="2840">
        <v>35950</v>
      </c>
      <c r="D782" s="2841">
        <f t="shared" si="64"/>
        <v>4121</v>
      </c>
      <c r="E782" s="2841">
        <f t="shared" si="65"/>
        <v>3930</v>
      </c>
      <c r="F782" s="2841">
        <f t="shared" si="66"/>
        <v>4121</v>
      </c>
      <c r="G782" s="2841">
        <f t="shared" si="67"/>
        <v>4039</v>
      </c>
    </row>
    <row r="783" spans="1:7" ht="15.75">
      <c r="A783" s="3022">
        <f t="shared" si="68"/>
        <v>35975</v>
      </c>
      <c r="B783" s="2840">
        <v>35950</v>
      </c>
      <c r="C783" s="2840">
        <v>36000</v>
      </c>
      <c r="D783" s="2841">
        <f t="shared" si="64"/>
        <v>4127</v>
      </c>
      <c r="E783" s="2841">
        <f t="shared" si="65"/>
        <v>3936</v>
      </c>
      <c r="F783" s="2841">
        <f t="shared" si="66"/>
        <v>4127</v>
      </c>
      <c r="G783" s="2841">
        <f t="shared" si="67"/>
        <v>4045</v>
      </c>
    </row>
    <row r="784" spans="1:7" ht="15.75">
      <c r="A784" s="3022">
        <f t="shared" si="68"/>
        <v>36025</v>
      </c>
      <c r="B784" s="2840">
        <v>36000</v>
      </c>
      <c r="C784" s="2840">
        <v>36050</v>
      </c>
      <c r="D784" s="2841">
        <f t="shared" si="64"/>
        <v>4133</v>
      </c>
      <c r="E784" s="2841">
        <f t="shared" si="65"/>
        <v>3942</v>
      </c>
      <c r="F784" s="2841">
        <f t="shared" si="66"/>
        <v>4133</v>
      </c>
      <c r="G784" s="2841">
        <f t="shared" si="67"/>
        <v>4051</v>
      </c>
    </row>
    <row r="785" spans="1:7" ht="15.75">
      <c r="A785" s="3022">
        <f t="shared" si="68"/>
        <v>36075</v>
      </c>
      <c r="B785" s="2840">
        <v>36050</v>
      </c>
      <c r="C785" s="2840">
        <v>36100</v>
      </c>
      <c r="D785" s="2841">
        <f t="shared" si="64"/>
        <v>4139</v>
      </c>
      <c r="E785" s="2841">
        <f t="shared" si="65"/>
        <v>3948</v>
      </c>
      <c r="F785" s="2841">
        <f t="shared" si="66"/>
        <v>4139</v>
      </c>
      <c r="G785" s="2841">
        <f t="shared" si="67"/>
        <v>4057</v>
      </c>
    </row>
    <row r="786" spans="1:7" ht="15.75">
      <c r="A786" s="3022">
        <f t="shared" si="68"/>
        <v>36125</v>
      </c>
      <c r="B786" s="2840">
        <v>36100</v>
      </c>
      <c r="C786" s="2840">
        <v>36150</v>
      </c>
      <c r="D786" s="2841">
        <f t="shared" si="64"/>
        <v>4145</v>
      </c>
      <c r="E786" s="2841">
        <f t="shared" si="65"/>
        <v>3954</v>
      </c>
      <c r="F786" s="2841">
        <f t="shared" si="66"/>
        <v>4145</v>
      </c>
      <c r="G786" s="2841">
        <f t="shared" si="67"/>
        <v>4063</v>
      </c>
    </row>
    <row r="787" spans="1:7" ht="15.75">
      <c r="A787" s="3022">
        <f t="shared" si="68"/>
        <v>36175</v>
      </c>
      <c r="B787" s="2840">
        <v>36150</v>
      </c>
      <c r="C787" s="2840">
        <v>36200</v>
      </c>
      <c r="D787" s="2841">
        <f t="shared" si="64"/>
        <v>4151</v>
      </c>
      <c r="E787" s="2841">
        <f t="shared" si="65"/>
        <v>3960</v>
      </c>
      <c r="F787" s="2841">
        <f t="shared" si="66"/>
        <v>4151</v>
      </c>
      <c r="G787" s="2841">
        <f t="shared" si="67"/>
        <v>4069</v>
      </c>
    </row>
    <row r="788" spans="1:7" ht="15.75">
      <c r="A788" s="3022">
        <f t="shared" si="68"/>
        <v>36225</v>
      </c>
      <c r="B788" s="2840">
        <v>36200</v>
      </c>
      <c r="C788" s="2840">
        <v>36250</v>
      </c>
      <c r="D788" s="2841">
        <f t="shared" si="64"/>
        <v>4157</v>
      </c>
      <c r="E788" s="2841">
        <f t="shared" si="65"/>
        <v>3966</v>
      </c>
      <c r="F788" s="2841">
        <f t="shared" si="66"/>
        <v>4157</v>
      </c>
      <c r="G788" s="2841">
        <f t="shared" si="67"/>
        <v>4075</v>
      </c>
    </row>
    <row r="789" spans="1:7" ht="15.75">
      <c r="A789" s="3022">
        <f t="shared" si="68"/>
        <v>36275</v>
      </c>
      <c r="B789" s="2840">
        <v>36250</v>
      </c>
      <c r="C789" s="2840">
        <v>36300</v>
      </c>
      <c r="D789" s="2841">
        <f t="shared" si="64"/>
        <v>4163</v>
      </c>
      <c r="E789" s="2841">
        <f t="shared" si="65"/>
        <v>3972</v>
      </c>
      <c r="F789" s="2841">
        <f t="shared" si="66"/>
        <v>4163</v>
      </c>
      <c r="G789" s="2841">
        <f t="shared" si="67"/>
        <v>4081</v>
      </c>
    </row>
    <row r="790" spans="1:7" ht="15.75">
      <c r="A790" s="3022">
        <f t="shared" si="68"/>
        <v>36325</v>
      </c>
      <c r="B790" s="2840">
        <v>36300</v>
      </c>
      <c r="C790" s="2840">
        <v>36350</v>
      </c>
      <c r="D790" s="2841">
        <f t="shared" si="64"/>
        <v>4169</v>
      </c>
      <c r="E790" s="2841">
        <f t="shared" si="65"/>
        <v>3978</v>
      </c>
      <c r="F790" s="2841">
        <f t="shared" si="66"/>
        <v>4169</v>
      </c>
      <c r="G790" s="2841">
        <f t="shared" si="67"/>
        <v>4087</v>
      </c>
    </row>
    <row r="791" spans="1:7" ht="15.75">
      <c r="A791" s="3022">
        <f t="shared" si="68"/>
        <v>36375</v>
      </c>
      <c r="B791" s="2840">
        <v>36350</v>
      </c>
      <c r="C791" s="2840">
        <v>36400</v>
      </c>
      <c r="D791" s="2841">
        <f t="shared" si="64"/>
        <v>4175</v>
      </c>
      <c r="E791" s="2841">
        <f t="shared" si="65"/>
        <v>3984</v>
      </c>
      <c r="F791" s="2841">
        <f t="shared" si="66"/>
        <v>4175</v>
      </c>
      <c r="G791" s="2841">
        <f t="shared" si="67"/>
        <v>4093</v>
      </c>
    </row>
    <row r="792" spans="1:7" ht="15.75">
      <c r="A792" s="3022">
        <f t="shared" si="68"/>
        <v>36425</v>
      </c>
      <c r="B792" s="2840">
        <v>36400</v>
      </c>
      <c r="C792" s="2840">
        <v>36450</v>
      </c>
      <c r="D792" s="2841">
        <f t="shared" si="64"/>
        <v>4181</v>
      </c>
      <c r="E792" s="2841">
        <f t="shared" si="65"/>
        <v>3990</v>
      </c>
      <c r="F792" s="2841">
        <f t="shared" si="66"/>
        <v>4181</v>
      </c>
      <c r="G792" s="2841">
        <f t="shared" si="67"/>
        <v>4099</v>
      </c>
    </row>
    <row r="793" spans="1:7" ht="15.75">
      <c r="A793" s="3022">
        <f t="shared" si="68"/>
        <v>36475</v>
      </c>
      <c r="B793" s="2840">
        <v>36450</v>
      </c>
      <c r="C793" s="2840">
        <v>36500</v>
      </c>
      <c r="D793" s="2841">
        <f t="shared" si="64"/>
        <v>4187</v>
      </c>
      <c r="E793" s="2841">
        <f t="shared" si="65"/>
        <v>3996</v>
      </c>
      <c r="F793" s="2841">
        <f t="shared" si="66"/>
        <v>4187</v>
      </c>
      <c r="G793" s="2841">
        <f t="shared" si="67"/>
        <v>4105</v>
      </c>
    </row>
    <row r="794" spans="1:7" ht="15.75">
      <c r="A794" s="3022">
        <f t="shared" si="68"/>
        <v>36525</v>
      </c>
      <c r="B794" s="2840">
        <v>36500</v>
      </c>
      <c r="C794" s="2840">
        <v>36550</v>
      </c>
      <c r="D794" s="2841">
        <f t="shared" si="64"/>
        <v>4193</v>
      </c>
      <c r="E794" s="2841">
        <f t="shared" si="65"/>
        <v>4002</v>
      </c>
      <c r="F794" s="2841">
        <f t="shared" si="66"/>
        <v>4193</v>
      </c>
      <c r="G794" s="2841">
        <f t="shared" si="67"/>
        <v>4111</v>
      </c>
    </row>
    <row r="795" spans="1:7" ht="15.75">
      <c r="A795" s="3022">
        <f t="shared" si="68"/>
        <v>36575</v>
      </c>
      <c r="B795" s="2840">
        <v>36550</v>
      </c>
      <c r="C795" s="2840">
        <v>36600</v>
      </c>
      <c r="D795" s="2841">
        <f t="shared" si="64"/>
        <v>4199</v>
      </c>
      <c r="E795" s="2841">
        <f t="shared" si="65"/>
        <v>4008</v>
      </c>
      <c r="F795" s="2841">
        <f t="shared" si="66"/>
        <v>4199</v>
      </c>
      <c r="G795" s="2841">
        <f t="shared" si="67"/>
        <v>4117</v>
      </c>
    </row>
    <row r="796" spans="1:7" ht="15.75">
      <c r="A796" s="3022">
        <f t="shared" si="68"/>
        <v>36625</v>
      </c>
      <c r="B796" s="2840">
        <v>36600</v>
      </c>
      <c r="C796" s="2840">
        <v>36650</v>
      </c>
      <c r="D796" s="2841">
        <f t="shared" si="64"/>
        <v>4205</v>
      </c>
      <c r="E796" s="2841">
        <f t="shared" si="65"/>
        <v>4014</v>
      </c>
      <c r="F796" s="2841">
        <f t="shared" si="66"/>
        <v>4205</v>
      </c>
      <c r="G796" s="2841">
        <f t="shared" si="67"/>
        <v>4123</v>
      </c>
    </row>
    <row r="797" spans="1:7" ht="15.75">
      <c r="A797" s="3022">
        <f t="shared" si="68"/>
        <v>36675</v>
      </c>
      <c r="B797" s="2840">
        <v>36650</v>
      </c>
      <c r="C797" s="2840">
        <v>36700</v>
      </c>
      <c r="D797" s="2841">
        <f t="shared" si="64"/>
        <v>4211</v>
      </c>
      <c r="E797" s="2841">
        <f t="shared" si="65"/>
        <v>4020</v>
      </c>
      <c r="F797" s="2841">
        <f t="shared" si="66"/>
        <v>4211</v>
      </c>
      <c r="G797" s="2841">
        <f t="shared" si="67"/>
        <v>4129</v>
      </c>
    </row>
    <row r="798" spans="1:7" ht="15.75">
      <c r="A798" s="3022">
        <f t="shared" si="68"/>
        <v>36725</v>
      </c>
      <c r="B798" s="2840">
        <v>36700</v>
      </c>
      <c r="C798" s="2840">
        <v>36750</v>
      </c>
      <c r="D798" s="2841">
        <f t="shared" si="64"/>
        <v>4217</v>
      </c>
      <c r="E798" s="2841">
        <f t="shared" si="65"/>
        <v>4026</v>
      </c>
      <c r="F798" s="2841">
        <f t="shared" si="66"/>
        <v>4217</v>
      </c>
      <c r="G798" s="2841">
        <f t="shared" si="67"/>
        <v>4135</v>
      </c>
    </row>
    <row r="799" spans="1:7" ht="15.75">
      <c r="A799" s="3022">
        <f t="shared" si="68"/>
        <v>36775</v>
      </c>
      <c r="B799" s="2840">
        <v>36750</v>
      </c>
      <c r="C799" s="2840">
        <v>36800</v>
      </c>
      <c r="D799" s="2841">
        <f t="shared" si="64"/>
        <v>4223</v>
      </c>
      <c r="E799" s="2841">
        <f t="shared" si="65"/>
        <v>4032</v>
      </c>
      <c r="F799" s="2841">
        <f t="shared" si="66"/>
        <v>4223</v>
      </c>
      <c r="G799" s="2841">
        <f t="shared" si="67"/>
        <v>4141</v>
      </c>
    </row>
    <row r="800" spans="1:7" ht="15.75">
      <c r="A800" s="3022">
        <f t="shared" si="68"/>
        <v>36825</v>
      </c>
      <c r="B800" s="2840">
        <v>36800</v>
      </c>
      <c r="C800" s="2840">
        <v>36850</v>
      </c>
      <c r="D800" s="2841">
        <f t="shared" si="64"/>
        <v>4229</v>
      </c>
      <c r="E800" s="2841">
        <f t="shared" si="65"/>
        <v>4038</v>
      </c>
      <c r="F800" s="2841">
        <f t="shared" si="66"/>
        <v>4229</v>
      </c>
      <c r="G800" s="2841">
        <f t="shared" si="67"/>
        <v>4147</v>
      </c>
    </row>
    <row r="801" spans="1:7" ht="15.75">
      <c r="A801" s="3022">
        <f t="shared" si="68"/>
        <v>36875</v>
      </c>
      <c r="B801" s="2840">
        <v>36850</v>
      </c>
      <c r="C801" s="2840">
        <v>36900</v>
      </c>
      <c r="D801" s="2841">
        <f t="shared" si="64"/>
        <v>4235</v>
      </c>
      <c r="E801" s="2841">
        <f t="shared" si="65"/>
        <v>4044</v>
      </c>
      <c r="F801" s="2841">
        <f t="shared" si="66"/>
        <v>4235</v>
      </c>
      <c r="G801" s="2841">
        <f t="shared" si="67"/>
        <v>4153</v>
      </c>
    </row>
    <row r="802" spans="1:7" ht="15.75">
      <c r="A802" s="3022">
        <f t="shared" si="68"/>
        <v>36925</v>
      </c>
      <c r="B802" s="2840">
        <v>36900</v>
      </c>
      <c r="C802" s="2840">
        <v>36950</v>
      </c>
      <c r="D802" s="2841">
        <f t="shared" si="64"/>
        <v>4241</v>
      </c>
      <c r="E802" s="2841">
        <f t="shared" si="65"/>
        <v>4050</v>
      </c>
      <c r="F802" s="2841">
        <f t="shared" si="66"/>
        <v>4241</v>
      </c>
      <c r="G802" s="2841">
        <f t="shared" si="67"/>
        <v>4159</v>
      </c>
    </row>
    <row r="803" spans="1:7" ht="15.75">
      <c r="A803" s="3022">
        <f t="shared" si="68"/>
        <v>36975</v>
      </c>
      <c r="B803" s="2840">
        <v>36950</v>
      </c>
      <c r="C803" s="2840">
        <v>37000</v>
      </c>
      <c r="D803" s="2841">
        <f t="shared" si="64"/>
        <v>4247</v>
      </c>
      <c r="E803" s="2841">
        <f t="shared" si="65"/>
        <v>4056</v>
      </c>
      <c r="F803" s="2841">
        <f t="shared" si="66"/>
        <v>4247</v>
      </c>
      <c r="G803" s="2841">
        <f t="shared" si="67"/>
        <v>4165</v>
      </c>
    </row>
    <row r="804" spans="1:7" ht="15.75">
      <c r="A804" s="3022">
        <f t="shared" si="68"/>
        <v>37025</v>
      </c>
      <c r="B804" s="2840">
        <v>37000</v>
      </c>
      <c r="C804" s="2840">
        <v>37050</v>
      </c>
      <c r="D804" s="2841">
        <f t="shared" si="64"/>
        <v>4253</v>
      </c>
      <c r="E804" s="2841">
        <f t="shared" si="65"/>
        <v>4062</v>
      </c>
      <c r="F804" s="2841">
        <f t="shared" si="66"/>
        <v>4253</v>
      </c>
      <c r="G804" s="2841">
        <f t="shared" si="67"/>
        <v>4171</v>
      </c>
    </row>
    <row r="805" spans="1:7" ht="15.75">
      <c r="A805" s="3022">
        <f t="shared" si="68"/>
        <v>37075</v>
      </c>
      <c r="B805" s="2840">
        <v>37050</v>
      </c>
      <c r="C805" s="2840">
        <v>37100</v>
      </c>
      <c r="D805" s="2841">
        <f t="shared" si="64"/>
        <v>4259</v>
      </c>
      <c r="E805" s="2841">
        <f t="shared" si="65"/>
        <v>4068</v>
      </c>
      <c r="F805" s="2841">
        <f t="shared" si="66"/>
        <v>4259</v>
      </c>
      <c r="G805" s="2841">
        <f t="shared" si="67"/>
        <v>4177</v>
      </c>
    </row>
    <row r="806" spans="1:7" ht="15.75">
      <c r="A806" s="3022">
        <f t="shared" si="68"/>
        <v>37125</v>
      </c>
      <c r="B806" s="2840">
        <v>37100</v>
      </c>
      <c r="C806" s="2840">
        <v>37150</v>
      </c>
      <c r="D806" s="2841">
        <f t="shared" si="64"/>
        <v>4265</v>
      </c>
      <c r="E806" s="2841">
        <f t="shared" si="65"/>
        <v>4074</v>
      </c>
      <c r="F806" s="2841">
        <f t="shared" si="66"/>
        <v>4265</v>
      </c>
      <c r="G806" s="2841">
        <f t="shared" si="67"/>
        <v>4183</v>
      </c>
    </row>
    <row r="807" spans="1:7" ht="15.75">
      <c r="A807" s="3022">
        <f t="shared" si="68"/>
        <v>37175</v>
      </c>
      <c r="B807" s="2840">
        <v>37150</v>
      </c>
      <c r="C807" s="2840">
        <v>37200</v>
      </c>
      <c r="D807" s="2841">
        <f t="shared" si="64"/>
        <v>4271</v>
      </c>
      <c r="E807" s="2841">
        <f t="shared" si="65"/>
        <v>4080</v>
      </c>
      <c r="F807" s="2841">
        <f t="shared" si="66"/>
        <v>4271</v>
      </c>
      <c r="G807" s="2841">
        <f t="shared" si="67"/>
        <v>4189</v>
      </c>
    </row>
    <row r="808" spans="1:7" ht="15.75">
      <c r="A808" s="3022">
        <f t="shared" si="68"/>
        <v>37225</v>
      </c>
      <c r="B808" s="2840">
        <v>37200</v>
      </c>
      <c r="C808" s="2840">
        <v>37250</v>
      </c>
      <c r="D808" s="2841">
        <f t="shared" si="64"/>
        <v>4277</v>
      </c>
      <c r="E808" s="2841">
        <f t="shared" si="65"/>
        <v>4086</v>
      </c>
      <c r="F808" s="2841">
        <f t="shared" si="66"/>
        <v>4277</v>
      </c>
      <c r="G808" s="2841">
        <f t="shared" si="67"/>
        <v>4195</v>
      </c>
    </row>
    <row r="809" spans="1:7" ht="15.75">
      <c r="A809" s="3022">
        <f t="shared" si="68"/>
        <v>37275</v>
      </c>
      <c r="B809" s="2840">
        <v>37250</v>
      </c>
      <c r="C809" s="2840">
        <v>37300</v>
      </c>
      <c r="D809" s="2841">
        <f t="shared" si="64"/>
        <v>4283</v>
      </c>
      <c r="E809" s="2841">
        <f t="shared" si="65"/>
        <v>4092</v>
      </c>
      <c r="F809" s="2841">
        <f t="shared" si="66"/>
        <v>4283</v>
      </c>
      <c r="G809" s="2841">
        <f t="shared" si="67"/>
        <v>4201</v>
      </c>
    </row>
    <row r="810" spans="1:7" ht="15.75">
      <c r="A810" s="3022">
        <f t="shared" si="68"/>
        <v>37325</v>
      </c>
      <c r="B810" s="2840">
        <v>37300</v>
      </c>
      <c r="C810" s="2840">
        <v>37350</v>
      </c>
      <c r="D810" s="2841">
        <f t="shared" si="64"/>
        <v>4289</v>
      </c>
      <c r="E810" s="2841">
        <f t="shared" si="65"/>
        <v>4098</v>
      </c>
      <c r="F810" s="2841">
        <f t="shared" si="66"/>
        <v>4289</v>
      </c>
      <c r="G810" s="2841">
        <f t="shared" si="67"/>
        <v>4207</v>
      </c>
    </row>
    <row r="811" spans="1:7" ht="15.75">
      <c r="A811" s="3022">
        <f t="shared" si="68"/>
        <v>37375</v>
      </c>
      <c r="B811" s="2840">
        <v>37350</v>
      </c>
      <c r="C811" s="2840">
        <v>37400</v>
      </c>
      <c r="D811" s="2841">
        <f t="shared" si="64"/>
        <v>4295</v>
      </c>
      <c r="E811" s="2841">
        <f t="shared" si="65"/>
        <v>4104</v>
      </c>
      <c r="F811" s="2841">
        <f t="shared" si="66"/>
        <v>4295</v>
      </c>
      <c r="G811" s="2841">
        <f t="shared" si="67"/>
        <v>4213</v>
      </c>
    </row>
    <row r="812" spans="1:7" ht="15.75">
      <c r="A812" s="3022">
        <f t="shared" si="68"/>
        <v>37425</v>
      </c>
      <c r="B812" s="2840">
        <v>37400</v>
      </c>
      <c r="C812" s="2840">
        <v>37450</v>
      </c>
      <c r="D812" s="2841">
        <f t="shared" si="64"/>
        <v>4301</v>
      </c>
      <c r="E812" s="2841">
        <f t="shared" si="65"/>
        <v>4110</v>
      </c>
      <c r="F812" s="2841">
        <f t="shared" si="66"/>
        <v>4301</v>
      </c>
      <c r="G812" s="2841">
        <f t="shared" si="67"/>
        <v>4219</v>
      </c>
    </row>
    <row r="813" spans="1:7" ht="15.75">
      <c r="A813" s="3022">
        <f t="shared" si="68"/>
        <v>37475</v>
      </c>
      <c r="B813" s="2840">
        <v>37450</v>
      </c>
      <c r="C813" s="2840">
        <v>37500</v>
      </c>
      <c r="D813" s="2841">
        <f t="shared" si="64"/>
        <v>4307</v>
      </c>
      <c r="E813" s="2841">
        <f t="shared" si="65"/>
        <v>4116</v>
      </c>
      <c r="F813" s="2841">
        <f t="shared" si="66"/>
        <v>4307</v>
      </c>
      <c r="G813" s="2841">
        <f t="shared" si="67"/>
        <v>4225</v>
      </c>
    </row>
    <row r="814" spans="1:7" ht="15.75">
      <c r="A814" s="3022">
        <f t="shared" si="68"/>
        <v>37525</v>
      </c>
      <c r="B814" s="2840">
        <v>37500</v>
      </c>
      <c r="C814" s="2840">
        <v>37550</v>
      </c>
      <c r="D814" s="2841">
        <f t="shared" si="64"/>
        <v>4313</v>
      </c>
      <c r="E814" s="2841">
        <f t="shared" si="65"/>
        <v>4122</v>
      </c>
      <c r="F814" s="2841">
        <f t="shared" si="66"/>
        <v>4313</v>
      </c>
      <c r="G814" s="2841">
        <f t="shared" si="67"/>
        <v>4231</v>
      </c>
    </row>
    <row r="815" spans="1:7" ht="15.75">
      <c r="A815" s="3022">
        <f t="shared" si="68"/>
        <v>37575</v>
      </c>
      <c r="B815" s="2840">
        <v>37550</v>
      </c>
      <c r="C815" s="2840">
        <v>37600</v>
      </c>
      <c r="D815" s="2841">
        <f t="shared" si="64"/>
        <v>4319</v>
      </c>
      <c r="E815" s="2841">
        <f t="shared" si="65"/>
        <v>4128</v>
      </c>
      <c r="F815" s="2841">
        <f t="shared" si="66"/>
        <v>4319</v>
      </c>
      <c r="G815" s="2841">
        <f t="shared" si="67"/>
        <v>4237</v>
      </c>
    </row>
    <row r="816" spans="1:7" ht="15.75">
      <c r="A816" s="3022">
        <f t="shared" si="68"/>
        <v>37625</v>
      </c>
      <c r="B816" s="2840">
        <v>37600</v>
      </c>
      <c r="C816" s="2840">
        <v>37650</v>
      </c>
      <c r="D816" s="2841">
        <f t="shared" si="64"/>
        <v>4325</v>
      </c>
      <c r="E816" s="2841">
        <f t="shared" si="65"/>
        <v>4134</v>
      </c>
      <c r="F816" s="2841">
        <f t="shared" si="66"/>
        <v>4325</v>
      </c>
      <c r="G816" s="2841">
        <f t="shared" si="67"/>
        <v>4243</v>
      </c>
    </row>
    <row r="817" spans="1:7" ht="15.75">
      <c r="A817" s="3022">
        <f t="shared" si="68"/>
        <v>37675</v>
      </c>
      <c r="B817" s="2840">
        <v>37650</v>
      </c>
      <c r="C817" s="2840">
        <v>37700</v>
      </c>
      <c r="D817" s="2841">
        <f t="shared" si="64"/>
        <v>4331</v>
      </c>
      <c r="E817" s="2841">
        <f t="shared" si="65"/>
        <v>4140</v>
      </c>
      <c r="F817" s="2841">
        <f t="shared" si="66"/>
        <v>4331</v>
      </c>
      <c r="G817" s="2841">
        <f t="shared" si="67"/>
        <v>4249</v>
      </c>
    </row>
    <row r="818" spans="1:7" ht="15.75">
      <c r="A818" s="3022">
        <f t="shared" si="68"/>
        <v>37725</v>
      </c>
      <c r="B818" s="2840">
        <v>37700</v>
      </c>
      <c r="C818" s="2840">
        <v>37750</v>
      </c>
      <c r="D818" s="2841">
        <f t="shared" si="64"/>
        <v>4337</v>
      </c>
      <c r="E818" s="2841">
        <f t="shared" si="65"/>
        <v>4146</v>
      </c>
      <c r="F818" s="2841">
        <f t="shared" si="66"/>
        <v>4337</v>
      </c>
      <c r="G818" s="2841">
        <f t="shared" si="67"/>
        <v>4255</v>
      </c>
    </row>
    <row r="819" spans="1:7" ht="15.75">
      <c r="A819" s="3022">
        <f t="shared" si="68"/>
        <v>37775</v>
      </c>
      <c r="B819" s="2840">
        <v>37750</v>
      </c>
      <c r="C819" s="2840">
        <v>37800</v>
      </c>
      <c r="D819" s="2841">
        <f t="shared" si="64"/>
        <v>4343</v>
      </c>
      <c r="E819" s="2841">
        <f t="shared" si="65"/>
        <v>4152</v>
      </c>
      <c r="F819" s="2841">
        <f t="shared" si="66"/>
        <v>4343</v>
      </c>
      <c r="G819" s="2841">
        <f t="shared" si="67"/>
        <v>4261</v>
      </c>
    </row>
    <row r="820" spans="1:7" ht="15.75">
      <c r="A820" s="3022">
        <f t="shared" si="68"/>
        <v>37825</v>
      </c>
      <c r="B820" s="2840">
        <v>37800</v>
      </c>
      <c r="C820" s="2840">
        <v>37850</v>
      </c>
      <c r="D820" s="2841">
        <f t="shared" si="64"/>
        <v>4349</v>
      </c>
      <c r="E820" s="2841">
        <f t="shared" si="65"/>
        <v>4158</v>
      </c>
      <c r="F820" s="2841">
        <f t="shared" si="66"/>
        <v>4349</v>
      </c>
      <c r="G820" s="2841">
        <f t="shared" si="67"/>
        <v>4267</v>
      </c>
    </row>
    <row r="821" spans="1:7" ht="15.75">
      <c r="A821" s="3022">
        <f t="shared" si="68"/>
        <v>37875</v>
      </c>
      <c r="B821" s="2840">
        <v>37850</v>
      </c>
      <c r="C821" s="2840">
        <v>37900</v>
      </c>
      <c r="D821" s="2841">
        <f t="shared" si="64"/>
        <v>4355</v>
      </c>
      <c r="E821" s="2841">
        <f t="shared" si="65"/>
        <v>4164</v>
      </c>
      <c r="F821" s="2841">
        <f t="shared" si="66"/>
        <v>4355</v>
      </c>
      <c r="G821" s="2841">
        <f t="shared" si="67"/>
        <v>4273</v>
      </c>
    </row>
    <row r="822" spans="1:7" ht="15.75">
      <c r="A822" s="3022">
        <f t="shared" si="68"/>
        <v>37925</v>
      </c>
      <c r="B822" s="2840">
        <v>37900</v>
      </c>
      <c r="C822" s="2840">
        <v>37950</v>
      </c>
      <c r="D822" s="2841">
        <f t="shared" si="64"/>
        <v>4361</v>
      </c>
      <c r="E822" s="2841">
        <f t="shared" si="65"/>
        <v>4170</v>
      </c>
      <c r="F822" s="2841">
        <f t="shared" si="66"/>
        <v>4361</v>
      </c>
      <c r="G822" s="2841">
        <f t="shared" si="67"/>
        <v>4279</v>
      </c>
    </row>
    <row r="823" spans="1:7" ht="15.75">
      <c r="A823" s="3022">
        <f t="shared" si="68"/>
        <v>37975</v>
      </c>
      <c r="B823" s="2840">
        <v>37950</v>
      </c>
      <c r="C823" s="2840">
        <v>38000</v>
      </c>
      <c r="D823" s="2841">
        <f t="shared" si="64"/>
        <v>4367</v>
      </c>
      <c r="E823" s="2841">
        <f t="shared" si="65"/>
        <v>4176</v>
      </c>
      <c r="F823" s="2841">
        <f t="shared" si="66"/>
        <v>4367</v>
      </c>
      <c r="G823" s="2841">
        <f t="shared" si="67"/>
        <v>4285</v>
      </c>
    </row>
    <row r="824" spans="1:7" ht="15.75">
      <c r="A824" s="3022">
        <f t="shared" si="68"/>
        <v>38025</v>
      </c>
      <c r="B824" s="2840">
        <v>38000</v>
      </c>
      <c r="C824" s="2840">
        <v>38050</v>
      </c>
      <c r="D824" s="2841">
        <f t="shared" si="64"/>
        <v>4373</v>
      </c>
      <c r="E824" s="2841">
        <f t="shared" si="65"/>
        <v>4182</v>
      </c>
      <c r="F824" s="2841">
        <f t="shared" si="66"/>
        <v>4373</v>
      </c>
      <c r="G824" s="2841">
        <f t="shared" si="67"/>
        <v>4291</v>
      </c>
    </row>
    <row r="825" spans="1:7" ht="15.75">
      <c r="A825" s="3022">
        <f t="shared" si="68"/>
        <v>38075</v>
      </c>
      <c r="B825" s="2840">
        <v>38050</v>
      </c>
      <c r="C825" s="2840">
        <v>38100</v>
      </c>
      <c r="D825" s="2841">
        <f t="shared" si="64"/>
        <v>4379</v>
      </c>
      <c r="E825" s="2841">
        <f t="shared" si="65"/>
        <v>4188</v>
      </c>
      <c r="F825" s="2841">
        <f t="shared" si="66"/>
        <v>4379</v>
      </c>
      <c r="G825" s="2841">
        <f t="shared" si="67"/>
        <v>4297</v>
      </c>
    </row>
    <row r="826" spans="1:7" ht="15.75">
      <c r="A826" s="3022">
        <f t="shared" si="68"/>
        <v>38125</v>
      </c>
      <c r="B826" s="2840">
        <v>38100</v>
      </c>
      <c r="C826" s="2840">
        <v>38150</v>
      </c>
      <c r="D826" s="2841">
        <f t="shared" si="64"/>
        <v>4385</v>
      </c>
      <c r="E826" s="2841">
        <f t="shared" si="65"/>
        <v>4194</v>
      </c>
      <c r="F826" s="2841">
        <f t="shared" si="66"/>
        <v>4385</v>
      </c>
      <c r="G826" s="2841">
        <f t="shared" si="67"/>
        <v>4303</v>
      </c>
    </row>
    <row r="827" spans="1:7" ht="15.75">
      <c r="A827" s="3022">
        <f t="shared" si="68"/>
        <v>38175</v>
      </c>
      <c r="B827" s="2840">
        <v>38150</v>
      </c>
      <c r="C827" s="2840">
        <v>38200</v>
      </c>
      <c r="D827" s="2841">
        <f t="shared" si="64"/>
        <v>4391</v>
      </c>
      <c r="E827" s="2841">
        <f t="shared" si="65"/>
        <v>4200</v>
      </c>
      <c r="F827" s="2841">
        <f t="shared" si="66"/>
        <v>4391</v>
      </c>
      <c r="G827" s="2841">
        <f t="shared" si="67"/>
        <v>4309</v>
      </c>
    </row>
    <row r="828" spans="1:7" ht="15.75">
      <c r="A828" s="3022">
        <f t="shared" si="68"/>
        <v>38225</v>
      </c>
      <c r="B828" s="2840">
        <v>38200</v>
      </c>
      <c r="C828" s="2840">
        <v>38250</v>
      </c>
      <c r="D828" s="2841">
        <f t="shared" si="64"/>
        <v>4397</v>
      </c>
      <c r="E828" s="2841">
        <f t="shared" si="65"/>
        <v>4206</v>
      </c>
      <c r="F828" s="2841">
        <f t="shared" si="66"/>
        <v>4397</v>
      </c>
      <c r="G828" s="2841">
        <f t="shared" si="67"/>
        <v>4315</v>
      </c>
    </row>
    <row r="829" spans="1:7" ht="15.75">
      <c r="A829" s="3022">
        <f t="shared" si="68"/>
        <v>38275</v>
      </c>
      <c r="B829" s="2840">
        <v>38250</v>
      </c>
      <c r="C829" s="2840">
        <v>38300</v>
      </c>
      <c r="D829" s="2841">
        <f t="shared" si="64"/>
        <v>4403</v>
      </c>
      <c r="E829" s="2841">
        <f t="shared" si="65"/>
        <v>4212</v>
      </c>
      <c r="F829" s="2841">
        <f t="shared" si="66"/>
        <v>4403</v>
      </c>
      <c r="G829" s="2841">
        <f t="shared" si="67"/>
        <v>4321</v>
      </c>
    </row>
    <row r="830" spans="1:7" ht="15.75">
      <c r="A830" s="3022">
        <f t="shared" si="68"/>
        <v>38325</v>
      </c>
      <c r="B830" s="2840">
        <v>38300</v>
      </c>
      <c r="C830" s="2840">
        <v>38350</v>
      </c>
      <c r="D830" s="2841">
        <f t="shared" si="64"/>
        <v>4409</v>
      </c>
      <c r="E830" s="2841">
        <f t="shared" si="65"/>
        <v>4218</v>
      </c>
      <c r="F830" s="2841">
        <f t="shared" si="66"/>
        <v>4409</v>
      </c>
      <c r="G830" s="2841">
        <f t="shared" si="67"/>
        <v>4327</v>
      </c>
    </row>
    <row r="831" spans="1:7" ht="15.75">
      <c r="A831" s="3022">
        <f t="shared" si="68"/>
        <v>38375</v>
      </c>
      <c r="B831" s="2840">
        <v>38350</v>
      </c>
      <c r="C831" s="2840">
        <v>38400</v>
      </c>
      <c r="D831" s="2841">
        <f t="shared" si="64"/>
        <v>4415</v>
      </c>
      <c r="E831" s="2841">
        <f t="shared" si="65"/>
        <v>4224</v>
      </c>
      <c r="F831" s="2841">
        <f t="shared" si="66"/>
        <v>4415</v>
      </c>
      <c r="G831" s="2841">
        <f t="shared" si="67"/>
        <v>4333</v>
      </c>
    </row>
    <row r="832" spans="1:7" ht="15.75">
      <c r="A832" s="3022">
        <f t="shared" si="68"/>
        <v>38425</v>
      </c>
      <c r="B832" s="2840">
        <v>38400</v>
      </c>
      <c r="C832" s="2840">
        <v>38450</v>
      </c>
      <c r="D832" s="2841">
        <f t="shared" si="64"/>
        <v>4421</v>
      </c>
      <c r="E832" s="2841">
        <f t="shared" si="65"/>
        <v>4230</v>
      </c>
      <c r="F832" s="2841">
        <f t="shared" si="66"/>
        <v>4421</v>
      </c>
      <c r="G832" s="2841">
        <f t="shared" si="67"/>
        <v>4339</v>
      </c>
    </row>
    <row r="833" spans="1:7" ht="15.75">
      <c r="A833" s="3022">
        <f t="shared" si="68"/>
        <v>38475</v>
      </c>
      <c r="B833" s="2840">
        <v>38450</v>
      </c>
      <c r="C833" s="2840">
        <v>38500</v>
      </c>
      <c r="D833" s="2841">
        <f t="shared" si="64"/>
        <v>4427</v>
      </c>
      <c r="E833" s="2841">
        <f t="shared" si="65"/>
        <v>4236</v>
      </c>
      <c r="F833" s="2841">
        <f t="shared" si="66"/>
        <v>4427</v>
      </c>
      <c r="G833" s="2841">
        <f t="shared" si="67"/>
        <v>4345</v>
      </c>
    </row>
    <row r="834" spans="1:7" ht="15.75">
      <c r="A834" s="3022">
        <f t="shared" si="68"/>
        <v>38525</v>
      </c>
      <c r="B834" s="2840">
        <v>38500</v>
      </c>
      <c r="C834" s="2840">
        <v>38550</v>
      </c>
      <c r="D834" s="2841">
        <f t="shared" ref="D834:D897" si="69">IF($A834&gt;BOTT_A4,ROUND(BASE_A4+RATE_A4*($A834-BOTT_A4),0),IF($A834&gt;BOTT_A3,ROUND(BASE_A3+RATE_A3*($A834-BOTT_A3),0),IF($A834&gt;BOTT_A2,ROUND(BASE_A2+RATE_A2*($A834-BOTT_A2),0),ROUND(RATE_A1*$A834,0))))</f>
        <v>4433</v>
      </c>
      <c r="E834" s="2841">
        <f t="shared" ref="E834:E897" si="70">IF($A834&gt;BOTT_B4,ROUND(BASE_B4+RATE_B4*($A834-BOTT_B4),0),IF($A834&gt;BOTT_B3,ROUND(BASE_B3+RATE_B3*($A834-BOTT_B3),0),IF($A834&gt;BOTT_B2,ROUND(BASE_B2+RATE_B2*($A834-BOTT_B2),0),ROUND(RATE_B1*$A834,0))))</f>
        <v>4242</v>
      </c>
      <c r="F834" s="2841">
        <f t="shared" ref="F834:F897" si="71">IF($A834&gt;BOTT_C4,ROUND(BASE_C4+RATE_C4*($A834-BOTT_C4),0),IF($A834&gt;BOTT_C3,ROUND(BASE_C3+RATE_C3*($A834-BOTT_C3),0),IF($A834&gt;BOTT_C2,ROUND(BASE_C2+RATE_C2*($A834-BOTT_C2),0),ROUND(RATE_C1*$A834,0))))</f>
        <v>4433</v>
      </c>
      <c r="G834" s="2841">
        <f t="shared" ref="G834:G897" si="72">IF($A834&gt;BOTT_D4,ROUND(BASE_D4+RATE_D4*($A834-BOTT_D4),0),IF($A834&gt;BOTT_D3,ROUND(BASE_D3+RATE_D3*($A834-BOTT_D3),0),IF($A834&gt;BOTT_D2,ROUND(BASE_D2+RATE_D2*($A834-BOTT_D2),0),ROUND(RATE_D1*$A834,0))))</f>
        <v>4351</v>
      </c>
    </row>
    <row r="835" spans="1:7" ht="15.75">
      <c r="A835" s="3022">
        <f t="shared" ref="A835:A898" si="73">AVERAGE(B835,C835)</f>
        <v>38575</v>
      </c>
      <c r="B835" s="2840">
        <v>38550</v>
      </c>
      <c r="C835" s="2840">
        <v>38600</v>
      </c>
      <c r="D835" s="2841">
        <f t="shared" si="69"/>
        <v>4439</v>
      </c>
      <c r="E835" s="2841">
        <f t="shared" si="70"/>
        <v>4248</v>
      </c>
      <c r="F835" s="2841">
        <f t="shared" si="71"/>
        <v>4439</v>
      </c>
      <c r="G835" s="2841">
        <f t="shared" si="72"/>
        <v>4357</v>
      </c>
    </row>
    <row r="836" spans="1:7" ht="15.75">
      <c r="A836" s="3022">
        <f t="shared" si="73"/>
        <v>38625</v>
      </c>
      <c r="B836" s="2840">
        <v>38600</v>
      </c>
      <c r="C836" s="2840">
        <v>38650</v>
      </c>
      <c r="D836" s="2841">
        <f t="shared" si="69"/>
        <v>4445</v>
      </c>
      <c r="E836" s="2841">
        <f t="shared" si="70"/>
        <v>4254</v>
      </c>
      <c r="F836" s="2841">
        <f t="shared" si="71"/>
        <v>4445</v>
      </c>
      <c r="G836" s="2841">
        <f t="shared" si="72"/>
        <v>4363</v>
      </c>
    </row>
    <row r="837" spans="1:7" ht="15.75">
      <c r="A837" s="3022">
        <f t="shared" si="73"/>
        <v>38675</v>
      </c>
      <c r="B837" s="2840">
        <v>38650</v>
      </c>
      <c r="C837" s="2840">
        <v>38700</v>
      </c>
      <c r="D837" s="2841">
        <f t="shared" si="69"/>
        <v>4451</v>
      </c>
      <c r="E837" s="2841">
        <f t="shared" si="70"/>
        <v>4260</v>
      </c>
      <c r="F837" s="2841">
        <f t="shared" si="71"/>
        <v>4451</v>
      </c>
      <c r="G837" s="2841">
        <f t="shared" si="72"/>
        <v>4369</v>
      </c>
    </row>
    <row r="838" spans="1:7" ht="15.75">
      <c r="A838" s="3022">
        <f t="shared" si="73"/>
        <v>38725</v>
      </c>
      <c r="B838" s="2840">
        <v>38700</v>
      </c>
      <c r="C838" s="2840">
        <v>38750</v>
      </c>
      <c r="D838" s="2841">
        <f t="shared" si="69"/>
        <v>4459</v>
      </c>
      <c r="E838" s="2841">
        <f t="shared" si="70"/>
        <v>4266</v>
      </c>
      <c r="F838" s="2841">
        <f t="shared" si="71"/>
        <v>4459</v>
      </c>
      <c r="G838" s="2841">
        <f t="shared" si="72"/>
        <v>4375</v>
      </c>
    </row>
    <row r="839" spans="1:7" ht="15.75">
      <c r="A839" s="3022">
        <f t="shared" si="73"/>
        <v>38775</v>
      </c>
      <c r="B839" s="2840">
        <v>38750</v>
      </c>
      <c r="C839" s="2840">
        <v>38800</v>
      </c>
      <c r="D839" s="2841">
        <f t="shared" si="69"/>
        <v>4470</v>
      </c>
      <c r="E839" s="2841">
        <f t="shared" si="70"/>
        <v>4272</v>
      </c>
      <c r="F839" s="2841">
        <f t="shared" si="71"/>
        <v>4470</v>
      </c>
      <c r="G839" s="2841">
        <f t="shared" si="72"/>
        <v>4381</v>
      </c>
    </row>
    <row r="840" spans="1:7" ht="15.75">
      <c r="A840" s="3022">
        <f t="shared" si="73"/>
        <v>38825</v>
      </c>
      <c r="B840" s="2840">
        <v>38800</v>
      </c>
      <c r="C840" s="2840">
        <v>38850</v>
      </c>
      <c r="D840" s="2841">
        <f t="shared" si="69"/>
        <v>4481</v>
      </c>
      <c r="E840" s="2841">
        <f t="shared" si="70"/>
        <v>4278</v>
      </c>
      <c r="F840" s="2841">
        <f t="shared" si="71"/>
        <v>4481</v>
      </c>
      <c r="G840" s="2841">
        <f t="shared" si="72"/>
        <v>4387</v>
      </c>
    </row>
    <row r="841" spans="1:7" ht="15.75">
      <c r="A841" s="3022">
        <f t="shared" si="73"/>
        <v>38875</v>
      </c>
      <c r="B841" s="2840">
        <v>38850</v>
      </c>
      <c r="C841" s="2840">
        <v>38900</v>
      </c>
      <c r="D841" s="2841">
        <f t="shared" si="69"/>
        <v>4492</v>
      </c>
      <c r="E841" s="2841">
        <f t="shared" si="70"/>
        <v>4284</v>
      </c>
      <c r="F841" s="2841">
        <f t="shared" si="71"/>
        <v>4492</v>
      </c>
      <c r="G841" s="2841">
        <f t="shared" si="72"/>
        <v>4393</v>
      </c>
    </row>
    <row r="842" spans="1:7" ht="15.75">
      <c r="A842" s="3022">
        <f t="shared" si="73"/>
        <v>38925</v>
      </c>
      <c r="B842" s="2840">
        <v>38900</v>
      </c>
      <c r="C842" s="2840">
        <v>38950</v>
      </c>
      <c r="D842" s="2841">
        <f t="shared" si="69"/>
        <v>4503</v>
      </c>
      <c r="E842" s="2841">
        <f t="shared" si="70"/>
        <v>4290</v>
      </c>
      <c r="F842" s="2841">
        <f t="shared" si="71"/>
        <v>4503</v>
      </c>
      <c r="G842" s="2841">
        <f t="shared" si="72"/>
        <v>4399</v>
      </c>
    </row>
    <row r="843" spans="1:7" ht="15.75">
      <c r="A843" s="3022">
        <f t="shared" si="73"/>
        <v>38975</v>
      </c>
      <c r="B843" s="2840">
        <v>38950</v>
      </c>
      <c r="C843" s="2840">
        <v>39000</v>
      </c>
      <c r="D843" s="2841">
        <f t="shared" si="69"/>
        <v>4514</v>
      </c>
      <c r="E843" s="2841">
        <f t="shared" si="70"/>
        <v>4296</v>
      </c>
      <c r="F843" s="2841">
        <f t="shared" si="71"/>
        <v>4514</v>
      </c>
      <c r="G843" s="2841">
        <f t="shared" si="72"/>
        <v>4405</v>
      </c>
    </row>
    <row r="844" spans="1:7" ht="15.75">
      <c r="A844" s="3022">
        <f t="shared" si="73"/>
        <v>39025</v>
      </c>
      <c r="B844" s="2840">
        <v>39000</v>
      </c>
      <c r="C844" s="2840">
        <v>39050</v>
      </c>
      <c r="D844" s="2841">
        <f t="shared" si="69"/>
        <v>4525</v>
      </c>
      <c r="E844" s="2841">
        <f t="shared" si="70"/>
        <v>4302</v>
      </c>
      <c r="F844" s="2841">
        <f t="shared" si="71"/>
        <v>4525</v>
      </c>
      <c r="G844" s="2841">
        <f t="shared" si="72"/>
        <v>4411</v>
      </c>
    </row>
    <row r="845" spans="1:7" ht="15.75">
      <c r="A845" s="3022">
        <f t="shared" si="73"/>
        <v>39075</v>
      </c>
      <c r="B845" s="2840">
        <v>39050</v>
      </c>
      <c r="C845" s="2840">
        <v>39100</v>
      </c>
      <c r="D845" s="2841">
        <f t="shared" si="69"/>
        <v>4536</v>
      </c>
      <c r="E845" s="2841">
        <f t="shared" si="70"/>
        <v>4308</v>
      </c>
      <c r="F845" s="2841">
        <f t="shared" si="71"/>
        <v>4536</v>
      </c>
      <c r="G845" s="2841">
        <f t="shared" si="72"/>
        <v>4417</v>
      </c>
    </row>
    <row r="846" spans="1:7" ht="15.75">
      <c r="A846" s="3022">
        <f t="shared" si="73"/>
        <v>39125</v>
      </c>
      <c r="B846" s="2840">
        <v>39100</v>
      </c>
      <c r="C846" s="2840">
        <v>39150</v>
      </c>
      <c r="D846" s="2841">
        <f t="shared" si="69"/>
        <v>4547</v>
      </c>
      <c r="E846" s="2841">
        <f t="shared" si="70"/>
        <v>4314</v>
      </c>
      <c r="F846" s="2841">
        <f t="shared" si="71"/>
        <v>4547</v>
      </c>
      <c r="G846" s="2841">
        <f t="shared" si="72"/>
        <v>4423</v>
      </c>
    </row>
    <row r="847" spans="1:7" ht="15.75">
      <c r="A847" s="3022">
        <f t="shared" si="73"/>
        <v>39175</v>
      </c>
      <c r="B847" s="2840">
        <v>39150</v>
      </c>
      <c r="C847" s="2840">
        <v>39200</v>
      </c>
      <c r="D847" s="2841">
        <f t="shared" si="69"/>
        <v>4558</v>
      </c>
      <c r="E847" s="2841">
        <f t="shared" si="70"/>
        <v>4320</v>
      </c>
      <c r="F847" s="2841">
        <f t="shared" si="71"/>
        <v>4558</v>
      </c>
      <c r="G847" s="2841">
        <f t="shared" si="72"/>
        <v>4429</v>
      </c>
    </row>
    <row r="848" spans="1:7" ht="15.75">
      <c r="A848" s="3022">
        <f t="shared" si="73"/>
        <v>39225</v>
      </c>
      <c r="B848" s="2840">
        <v>39200</v>
      </c>
      <c r="C848" s="2840">
        <v>39250</v>
      </c>
      <c r="D848" s="2841">
        <f t="shared" si="69"/>
        <v>4569</v>
      </c>
      <c r="E848" s="2841">
        <f t="shared" si="70"/>
        <v>4326</v>
      </c>
      <c r="F848" s="2841">
        <f t="shared" si="71"/>
        <v>4569</v>
      </c>
      <c r="G848" s="2841">
        <f t="shared" si="72"/>
        <v>4435</v>
      </c>
    </row>
    <row r="849" spans="1:7" ht="15.75">
      <c r="A849" s="3022">
        <f t="shared" si="73"/>
        <v>39275</v>
      </c>
      <c r="B849" s="2840">
        <v>39250</v>
      </c>
      <c r="C849" s="2840">
        <v>39300</v>
      </c>
      <c r="D849" s="2841">
        <f t="shared" si="69"/>
        <v>4580</v>
      </c>
      <c r="E849" s="2841">
        <f t="shared" si="70"/>
        <v>4332</v>
      </c>
      <c r="F849" s="2841">
        <f t="shared" si="71"/>
        <v>4580</v>
      </c>
      <c r="G849" s="2841">
        <f t="shared" si="72"/>
        <v>4441</v>
      </c>
    </row>
    <row r="850" spans="1:7" ht="15.75">
      <c r="A850" s="3022">
        <f t="shared" si="73"/>
        <v>39325</v>
      </c>
      <c r="B850" s="2840">
        <v>39300</v>
      </c>
      <c r="C850" s="2840">
        <v>39350</v>
      </c>
      <c r="D850" s="2841">
        <f t="shared" si="69"/>
        <v>4591</v>
      </c>
      <c r="E850" s="2841">
        <f t="shared" si="70"/>
        <v>4338</v>
      </c>
      <c r="F850" s="2841">
        <f t="shared" si="71"/>
        <v>4591</v>
      </c>
      <c r="G850" s="2841">
        <f t="shared" si="72"/>
        <v>4447</v>
      </c>
    </row>
    <row r="851" spans="1:7" ht="15.75">
      <c r="A851" s="3022">
        <f t="shared" si="73"/>
        <v>39375</v>
      </c>
      <c r="B851" s="2840">
        <v>39350</v>
      </c>
      <c r="C851" s="2840">
        <v>39400</v>
      </c>
      <c r="D851" s="2841">
        <f t="shared" si="69"/>
        <v>4602</v>
      </c>
      <c r="E851" s="2841">
        <f t="shared" si="70"/>
        <v>4344</v>
      </c>
      <c r="F851" s="2841">
        <f t="shared" si="71"/>
        <v>4602</v>
      </c>
      <c r="G851" s="2841">
        <f t="shared" si="72"/>
        <v>4453</v>
      </c>
    </row>
    <row r="852" spans="1:7" ht="15.75">
      <c r="A852" s="3022">
        <f t="shared" si="73"/>
        <v>39425</v>
      </c>
      <c r="B852" s="2840">
        <v>39400</v>
      </c>
      <c r="C852" s="2840">
        <v>39450</v>
      </c>
      <c r="D852" s="2841">
        <f t="shared" si="69"/>
        <v>4613</v>
      </c>
      <c r="E852" s="2841">
        <f t="shared" si="70"/>
        <v>4350</v>
      </c>
      <c r="F852" s="2841">
        <f t="shared" si="71"/>
        <v>4613</v>
      </c>
      <c r="G852" s="2841">
        <f t="shared" si="72"/>
        <v>4459</v>
      </c>
    </row>
    <row r="853" spans="1:7" ht="15.75">
      <c r="A853" s="3022">
        <f t="shared" si="73"/>
        <v>39475</v>
      </c>
      <c r="B853" s="2840">
        <v>39450</v>
      </c>
      <c r="C853" s="2840">
        <v>39500</v>
      </c>
      <c r="D853" s="2841">
        <f t="shared" si="69"/>
        <v>4624</v>
      </c>
      <c r="E853" s="2841">
        <f t="shared" si="70"/>
        <v>4356</v>
      </c>
      <c r="F853" s="2841">
        <f t="shared" si="71"/>
        <v>4624</v>
      </c>
      <c r="G853" s="2841">
        <f t="shared" si="72"/>
        <v>4465</v>
      </c>
    </row>
    <row r="854" spans="1:7" ht="15.75">
      <c r="A854" s="3022">
        <f t="shared" si="73"/>
        <v>39525</v>
      </c>
      <c r="B854" s="2840">
        <v>39500</v>
      </c>
      <c r="C854" s="2840">
        <v>39550</v>
      </c>
      <c r="D854" s="2841">
        <f t="shared" si="69"/>
        <v>4635</v>
      </c>
      <c r="E854" s="2841">
        <f t="shared" si="70"/>
        <v>4362</v>
      </c>
      <c r="F854" s="2841">
        <f t="shared" si="71"/>
        <v>4635</v>
      </c>
      <c r="G854" s="2841">
        <f t="shared" si="72"/>
        <v>4471</v>
      </c>
    </row>
    <row r="855" spans="1:7" ht="15.75">
      <c r="A855" s="3022">
        <f t="shared" si="73"/>
        <v>39575</v>
      </c>
      <c r="B855" s="2840">
        <v>39550</v>
      </c>
      <c r="C855" s="2840">
        <v>39600</v>
      </c>
      <c r="D855" s="2841">
        <f t="shared" si="69"/>
        <v>4646</v>
      </c>
      <c r="E855" s="2841">
        <f t="shared" si="70"/>
        <v>4368</v>
      </c>
      <c r="F855" s="2841">
        <f t="shared" si="71"/>
        <v>4646</v>
      </c>
      <c r="G855" s="2841">
        <f t="shared" si="72"/>
        <v>4477</v>
      </c>
    </row>
    <row r="856" spans="1:7" ht="15.75">
      <c r="A856" s="3022">
        <f t="shared" si="73"/>
        <v>39625</v>
      </c>
      <c r="B856" s="2840">
        <v>39600</v>
      </c>
      <c r="C856" s="2840">
        <v>39650</v>
      </c>
      <c r="D856" s="2841">
        <f t="shared" si="69"/>
        <v>4657</v>
      </c>
      <c r="E856" s="2841">
        <f t="shared" si="70"/>
        <v>4374</v>
      </c>
      <c r="F856" s="2841">
        <f t="shared" si="71"/>
        <v>4657</v>
      </c>
      <c r="G856" s="2841">
        <f t="shared" si="72"/>
        <v>4483</v>
      </c>
    </row>
    <row r="857" spans="1:7" ht="15.75">
      <c r="A857" s="3022">
        <f t="shared" si="73"/>
        <v>39675</v>
      </c>
      <c r="B857" s="2840">
        <v>39650</v>
      </c>
      <c r="C857" s="2840">
        <v>39700</v>
      </c>
      <c r="D857" s="2841">
        <f t="shared" si="69"/>
        <v>4668</v>
      </c>
      <c r="E857" s="2841">
        <f t="shared" si="70"/>
        <v>4380</v>
      </c>
      <c r="F857" s="2841">
        <f t="shared" si="71"/>
        <v>4668</v>
      </c>
      <c r="G857" s="2841">
        <f t="shared" si="72"/>
        <v>4489</v>
      </c>
    </row>
    <row r="858" spans="1:7" ht="15.75">
      <c r="A858" s="3022">
        <f t="shared" si="73"/>
        <v>39725</v>
      </c>
      <c r="B858" s="2840">
        <v>39700</v>
      </c>
      <c r="C858" s="2840">
        <v>39750</v>
      </c>
      <c r="D858" s="2841">
        <f t="shared" si="69"/>
        <v>4679</v>
      </c>
      <c r="E858" s="2841">
        <f t="shared" si="70"/>
        <v>4386</v>
      </c>
      <c r="F858" s="2841">
        <f t="shared" si="71"/>
        <v>4679</v>
      </c>
      <c r="G858" s="2841">
        <f t="shared" si="72"/>
        <v>4495</v>
      </c>
    </row>
    <row r="859" spans="1:7" ht="15.75">
      <c r="A859" s="3022">
        <f t="shared" si="73"/>
        <v>39775</v>
      </c>
      <c r="B859" s="2840">
        <v>39750</v>
      </c>
      <c r="C859" s="2840">
        <v>39800</v>
      </c>
      <c r="D859" s="2841">
        <f t="shared" si="69"/>
        <v>4690</v>
      </c>
      <c r="E859" s="2841">
        <f t="shared" si="70"/>
        <v>4392</v>
      </c>
      <c r="F859" s="2841">
        <f t="shared" si="71"/>
        <v>4690</v>
      </c>
      <c r="G859" s="2841">
        <f t="shared" si="72"/>
        <v>4501</v>
      </c>
    </row>
    <row r="860" spans="1:7" ht="15.75">
      <c r="A860" s="3022">
        <f t="shared" si="73"/>
        <v>39825</v>
      </c>
      <c r="B860" s="2840">
        <v>39800</v>
      </c>
      <c r="C860" s="2840">
        <v>39850</v>
      </c>
      <c r="D860" s="2841">
        <f t="shared" si="69"/>
        <v>4701</v>
      </c>
      <c r="E860" s="2841">
        <f t="shared" si="70"/>
        <v>4398</v>
      </c>
      <c r="F860" s="2841">
        <f t="shared" si="71"/>
        <v>4701</v>
      </c>
      <c r="G860" s="2841">
        <f t="shared" si="72"/>
        <v>4507</v>
      </c>
    </row>
    <row r="861" spans="1:7" ht="15.75">
      <c r="A861" s="3022">
        <f t="shared" si="73"/>
        <v>39875</v>
      </c>
      <c r="B861" s="2840">
        <v>39850</v>
      </c>
      <c r="C861" s="2840">
        <v>39900</v>
      </c>
      <c r="D861" s="2841">
        <f t="shared" si="69"/>
        <v>4712</v>
      </c>
      <c r="E861" s="2841">
        <f t="shared" si="70"/>
        <v>4404</v>
      </c>
      <c r="F861" s="2841">
        <f t="shared" si="71"/>
        <v>4712</v>
      </c>
      <c r="G861" s="2841">
        <f t="shared" si="72"/>
        <v>4513</v>
      </c>
    </row>
    <row r="862" spans="1:7" ht="15.75">
      <c r="A862" s="3022">
        <f t="shared" si="73"/>
        <v>39925</v>
      </c>
      <c r="B862" s="2840">
        <v>39900</v>
      </c>
      <c r="C862" s="2840">
        <v>39950</v>
      </c>
      <c r="D862" s="2841">
        <f t="shared" si="69"/>
        <v>4723</v>
      </c>
      <c r="E862" s="2841">
        <f t="shared" si="70"/>
        <v>4410</v>
      </c>
      <c r="F862" s="2841">
        <f t="shared" si="71"/>
        <v>4723</v>
      </c>
      <c r="G862" s="2841">
        <f t="shared" si="72"/>
        <v>4519</v>
      </c>
    </row>
    <row r="863" spans="1:7" ht="15.75">
      <c r="A863" s="3022">
        <f t="shared" si="73"/>
        <v>39975</v>
      </c>
      <c r="B863" s="2840">
        <v>39950</v>
      </c>
      <c r="C863" s="2840">
        <v>40000</v>
      </c>
      <c r="D863" s="2841">
        <f t="shared" si="69"/>
        <v>4734</v>
      </c>
      <c r="E863" s="2841">
        <f t="shared" si="70"/>
        <v>4416</v>
      </c>
      <c r="F863" s="2841">
        <f t="shared" si="71"/>
        <v>4734</v>
      </c>
      <c r="G863" s="2841">
        <f t="shared" si="72"/>
        <v>4525</v>
      </c>
    </row>
    <row r="864" spans="1:7" ht="15.75">
      <c r="A864" s="3022">
        <f t="shared" si="73"/>
        <v>40025</v>
      </c>
      <c r="B864" s="2840">
        <v>40000</v>
      </c>
      <c r="C864" s="2840">
        <v>40050</v>
      </c>
      <c r="D864" s="2841">
        <f t="shared" si="69"/>
        <v>4745</v>
      </c>
      <c r="E864" s="2841">
        <f t="shared" si="70"/>
        <v>4422</v>
      </c>
      <c r="F864" s="2841">
        <f t="shared" si="71"/>
        <v>4745</v>
      </c>
      <c r="G864" s="2841">
        <f t="shared" si="72"/>
        <v>4531</v>
      </c>
    </row>
    <row r="865" spans="1:7" ht="15.75">
      <c r="A865" s="3022">
        <f t="shared" si="73"/>
        <v>40075</v>
      </c>
      <c r="B865" s="2840">
        <v>40050</v>
      </c>
      <c r="C865" s="2840">
        <v>40100</v>
      </c>
      <c r="D865" s="2841">
        <f t="shared" si="69"/>
        <v>4756</v>
      </c>
      <c r="E865" s="2841">
        <f t="shared" si="70"/>
        <v>4428</v>
      </c>
      <c r="F865" s="2841">
        <f t="shared" si="71"/>
        <v>4756</v>
      </c>
      <c r="G865" s="2841">
        <f t="shared" si="72"/>
        <v>4537</v>
      </c>
    </row>
    <row r="866" spans="1:7" ht="15.75">
      <c r="A866" s="3022">
        <f t="shared" si="73"/>
        <v>40125</v>
      </c>
      <c r="B866" s="2840">
        <v>40100</v>
      </c>
      <c r="C866" s="2840">
        <v>40150</v>
      </c>
      <c r="D866" s="2841">
        <f t="shared" si="69"/>
        <v>4767</v>
      </c>
      <c r="E866" s="2841">
        <f t="shared" si="70"/>
        <v>4434</v>
      </c>
      <c r="F866" s="2841">
        <f t="shared" si="71"/>
        <v>4767</v>
      </c>
      <c r="G866" s="2841">
        <f t="shared" si="72"/>
        <v>4543</v>
      </c>
    </row>
    <row r="867" spans="1:7" ht="15.75">
      <c r="A867" s="3022">
        <f t="shared" si="73"/>
        <v>40175</v>
      </c>
      <c r="B867" s="2840">
        <v>40150</v>
      </c>
      <c r="C867" s="2840">
        <v>40200</v>
      </c>
      <c r="D867" s="2841">
        <f t="shared" si="69"/>
        <v>4778</v>
      </c>
      <c r="E867" s="2841">
        <f t="shared" si="70"/>
        <v>4440</v>
      </c>
      <c r="F867" s="2841">
        <f t="shared" si="71"/>
        <v>4778</v>
      </c>
      <c r="G867" s="2841">
        <f t="shared" si="72"/>
        <v>4549</v>
      </c>
    </row>
    <row r="868" spans="1:7" ht="15.75">
      <c r="A868" s="3022">
        <f t="shared" si="73"/>
        <v>40225</v>
      </c>
      <c r="B868" s="2840">
        <v>40200</v>
      </c>
      <c r="C868" s="2840">
        <v>40250</v>
      </c>
      <c r="D868" s="2841">
        <f t="shared" si="69"/>
        <v>4789</v>
      </c>
      <c r="E868" s="2841">
        <f t="shared" si="70"/>
        <v>4446</v>
      </c>
      <c r="F868" s="2841">
        <f t="shared" si="71"/>
        <v>4789</v>
      </c>
      <c r="G868" s="2841">
        <f t="shared" si="72"/>
        <v>4555</v>
      </c>
    </row>
    <row r="869" spans="1:7" ht="15.75">
      <c r="A869" s="3022">
        <f t="shared" si="73"/>
        <v>40275</v>
      </c>
      <c r="B869" s="2840">
        <v>40250</v>
      </c>
      <c r="C869" s="2840">
        <v>40300</v>
      </c>
      <c r="D869" s="2841">
        <f t="shared" si="69"/>
        <v>4800</v>
      </c>
      <c r="E869" s="2841">
        <f t="shared" si="70"/>
        <v>4452</v>
      </c>
      <c r="F869" s="2841">
        <f t="shared" si="71"/>
        <v>4800</v>
      </c>
      <c r="G869" s="2841">
        <f t="shared" si="72"/>
        <v>4561</v>
      </c>
    </row>
    <row r="870" spans="1:7" ht="15.75">
      <c r="A870" s="3022">
        <f t="shared" si="73"/>
        <v>40325</v>
      </c>
      <c r="B870" s="2840">
        <v>40300</v>
      </c>
      <c r="C870" s="2840">
        <v>40350</v>
      </c>
      <c r="D870" s="2841">
        <f t="shared" si="69"/>
        <v>4811</v>
      </c>
      <c r="E870" s="2841">
        <f t="shared" si="70"/>
        <v>4458</v>
      </c>
      <c r="F870" s="2841">
        <f t="shared" si="71"/>
        <v>4811</v>
      </c>
      <c r="G870" s="2841">
        <f t="shared" si="72"/>
        <v>4567</v>
      </c>
    </row>
    <row r="871" spans="1:7" ht="15.75">
      <c r="A871" s="3022">
        <f t="shared" si="73"/>
        <v>40375</v>
      </c>
      <c r="B871" s="2840">
        <v>40350</v>
      </c>
      <c r="C871" s="2840">
        <v>40400</v>
      </c>
      <c r="D871" s="2841">
        <f t="shared" si="69"/>
        <v>4822</v>
      </c>
      <c r="E871" s="2841">
        <f t="shared" si="70"/>
        <v>4464</v>
      </c>
      <c r="F871" s="2841">
        <f t="shared" si="71"/>
        <v>4822</v>
      </c>
      <c r="G871" s="2841">
        <f t="shared" si="72"/>
        <v>4573</v>
      </c>
    </row>
    <row r="872" spans="1:7" ht="15.75">
      <c r="A872" s="3022">
        <f t="shared" si="73"/>
        <v>40425</v>
      </c>
      <c r="B872" s="2840">
        <v>40400</v>
      </c>
      <c r="C872" s="2840">
        <v>40450</v>
      </c>
      <c r="D872" s="2841">
        <f t="shared" si="69"/>
        <v>4833</v>
      </c>
      <c r="E872" s="2841">
        <f t="shared" si="70"/>
        <v>4470</v>
      </c>
      <c r="F872" s="2841">
        <f t="shared" si="71"/>
        <v>4833</v>
      </c>
      <c r="G872" s="2841">
        <f t="shared" si="72"/>
        <v>4579</v>
      </c>
    </row>
    <row r="873" spans="1:7" ht="15.75">
      <c r="A873" s="3022">
        <f t="shared" si="73"/>
        <v>40475</v>
      </c>
      <c r="B873" s="2840">
        <v>40450</v>
      </c>
      <c r="C873" s="2840">
        <v>40500</v>
      </c>
      <c r="D873" s="2841">
        <f t="shared" si="69"/>
        <v>4844</v>
      </c>
      <c r="E873" s="2841">
        <f t="shared" si="70"/>
        <v>4476</v>
      </c>
      <c r="F873" s="2841">
        <f t="shared" si="71"/>
        <v>4844</v>
      </c>
      <c r="G873" s="2841">
        <f t="shared" si="72"/>
        <v>4585</v>
      </c>
    </row>
    <row r="874" spans="1:7" ht="15.75">
      <c r="A874" s="3022">
        <f t="shared" si="73"/>
        <v>40525</v>
      </c>
      <c r="B874" s="2840">
        <v>40500</v>
      </c>
      <c r="C874" s="2840">
        <v>40550</v>
      </c>
      <c r="D874" s="2841">
        <f t="shared" si="69"/>
        <v>4855</v>
      </c>
      <c r="E874" s="2841">
        <f t="shared" si="70"/>
        <v>4482</v>
      </c>
      <c r="F874" s="2841">
        <f t="shared" si="71"/>
        <v>4855</v>
      </c>
      <c r="G874" s="2841">
        <f t="shared" si="72"/>
        <v>4591</v>
      </c>
    </row>
    <row r="875" spans="1:7" ht="15.75">
      <c r="A875" s="3022">
        <f t="shared" si="73"/>
        <v>40575</v>
      </c>
      <c r="B875" s="2840">
        <v>40550</v>
      </c>
      <c r="C875" s="2840">
        <v>40600</v>
      </c>
      <c r="D875" s="2841">
        <f t="shared" si="69"/>
        <v>4866</v>
      </c>
      <c r="E875" s="2841">
        <f t="shared" si="70"/>
        <v>4488</v>
      </c>
      <c r="F875" s="2841">
        <f t="shared" si="71"/>
        <v>4866</v>
      </c>
      <c r="G875" s="2841">
        <f t="shared" si="72"/>
        <v>4597</v>
      </c>
    </row>
    <row r="876" spans="1:7" ht="15.75">
      <c r="A876" s="3022">
        <f t="shared" si="73"/>
        <v>40625</v>
      </c>
      <c r="B876" s="2840">
        <v>40600</v>
      </c>
      <c r="C876" s="2840">
        <v>40650</v>
      </c>
      <c r="D876" s="2841">
        <f t="shared" si="69"/>
        <v>4877</v>
      </c>
      <c r="E876" s="2841">
        <f t="shared" si="70"/>
        <v>4494</v>
      </c>
      <c r="F876" s="2841">
        <f t="shared" si="71"/>
        <v>4877</v>
      </c>
      <c r="G876" s="2841">
        <f t="shared" si="72"/>
        <v>4603</v>
      </c>
    </row>
    <row r="877" spans="1:7" ht="15.75">
      <c r="A877" s="3022">
        <f t="shared" si="73"/>
        <v>40675</v>
      </c>
      <c r="B877" s="2840">
        <v>40650</v>
      </c>
      <c r="C877" s="2840">
        <v>40700</v>
      </c>
      <c r="D877" s="2841">
        <f t="shared" si="69"/>
        <v>4888</v>
      </c>
      <c r="E877" s="2841">
        <f t="shared" si="70"/>
        <v>4500</v>
      </c>
      <c r="F877" s="2841">
        <f t="shared" si="71"/>
        <v>4888</v>
      </c>
      <c r="G877" s="2841">
        <f t="shared" si="72"/>
        <v>4609</v>
      </c>
    </row>
    <row r="878" spans="1:7" ht="15.75">
      <c r="A878" s="3022">
        <f t="shared" si="73"/>
        <v>40725</v>
      </c>
      <c r="B878" s="2840">
        <v>40700</v>
      </c>
      <c r="C878" s="2840">
        <v>40750</v>
      </c>
      <c r="D878" s="2841">
        <f t="shared" si="69"/>
        <v>4899</v>
      </c>
      <c r="E878" s="2841">
        <f t="shared" si="70"/>
        <v>4506</v>
      </c>
      <c r="F878" s="2841">
        <f t="shared" si="71"/>
        <v>4899</v>
      </c>
      <c r="G878" s="2841">
        <f t="shared" si="72"/>
        <v>4615</v>
      </c>
    </row>
    <row r="879" spans="1:7" ht="15.75">
      <c r="A879" s="3022">
        <f t="shared" si="73"/>
        <v>40775</v>
      </c>
      <c r="B879" s="2840">
        <v>40750</v>
      </c>
      <c r="C879" s="2840">
        <v>40800</v>
      </c>
      <c r="D879" s="2841">
        <f t="shared" si="69"/>
        <v>4910</v>
      </c>
      <c r="E879" s="2841">
        <f t="shared" si="70"/>
        <v>4512</v>
      </c>
      <c r="F879" s="2841">
        <f t="shared" si="71"/>
        <v>4910</v>
      </c>
      <c r="G879" s="2841">
        <f t="shared" si="72"/>
        <v>4621</v>
      </c>
    </row>
    <row r="880" spans="1:7" ht="15.75">
      <c r="A880" s="3022">
        <f t="shared" si="73"/>
        <v>40825</v>
      </c>
      <c r="B880" s="2840">
        <v>40800</v>
      </c>
      <c r="C880" s="2840">
        <v>40850</v>
      </c>
      <c r="D880" s="2841">
        <f t="shared" si="69"/>
        <v>4921</v>
      </c>
      <c r="E880" s="2841">
        <f t="shared" si="70"/>
        <v>4518</v>
      </c>
      <c r="F880" s="2841">
        <f t="shared" si="71"/>
        <v>4921</v>
      </c>
      <c r="G880" s="2841">
        <f t="shared" si="72"/>
        <v>4627</v>
      </c>
    </row>
    <row r="881" spans="1:7" ht="15.75">
      <c r="A881" s="3022">
        <f t="shared" si="73"/>
        <v>40875</v>
      </c>
      <c r="B881" s="2840">
        <v>40850</v>
      </c>
      <c r="C881" s="2840">
        <v>40900</v>
      </c>
      <c r="D881" s="2841">
        <f t="shared" si="69"/>
        <v>4932</v>
      </c>
      <c r="E881" s="2841">
        <f t="shared" si="70"/>
        <v>4524</v>
      </c>
      <c r="F881" s="2841">
        <f t="shared" si="71"/>
        <v>4932</v>
      </c>
      <c r="G881" s="2841">
        <f t="shared" si="72"/>
        <v>4633</v>
      </c>
    </row>
    <row r="882" spans="1:7" ht="15.75">
      <c r="A882" s="3022">
        <f t="shared" si="73"/>
        <v>40925</v>
      </c>
      <c r="B882" s="2840">
        <v>40900</v>
      </c>
      <c r="C882" s="2840">
        <v>40950</v>
      </c>
      <c r="D882" s="2841">
        <f t="shared" si="69"/>
        <v>4943</v>
      </c>
      <c r="E882" s="2841">
        <f t="shared" si="70"/>
        <v>4530</v>
      </c>
      <c r="F882" s="2841">
        <f t="shared" si="71"/>
        <v>4943</v>
      </c>
      <c r="G882" s="2841">
        <f t="shared" si="72"/>
        <v>4639</v>
      </c>
    </row>
    <row r="883" spans="1:7" ht="15.75">
      <c r="A883" s="3022">
        <f t="shared" si="73"/>
        <v>40975</v>
      </c>
      <c r="B883" s="2840">
        <v>40950</v>
      </c>
      <c r="C883" s="2840">
        <v>41000</v>
      </c>
      <c r="D883" s="2841">
        <f t="shared" si="69"/>
        <v>4954</v>
      </c>
      <c r="E883" s="2841">
        <f t="shared" si="70"/>
        <v>4536</v>
      </c>
      <c r="F883" s="2841">
        <f t="shared" si="71"/>
        <v>4954</v>
      </c>
      <c r="G883" s="2841">
        <f t="shared" si="72"/>
        <v>4645</v>
      </c>
    </row>
    <row r="884" spans="1:7" ht="15.75">
      <c r="A884" s="3022">
        <f t="shared" si="73"/>
        <v>41025</v>
      </c>
      <c r="B884" s="2840">
        <v>41000</v>
      </c>
      <c r="C884" s="2840">
        <v>41050</v>
      </c>
      <c r="D884" s="2841">
        <f t="shared" si="69"/>
        <v>4965</v>
      </c>
      <c r="E884" s="2841">
        <f t="shared" si="70"/>
        <v>4542</v>
      </c>
      <c r="F884" s="2841">
        <f t="shared" si="71"/>
        <v>4965</v>
      </c>
      <c r="G884" s="2841">
        <f t="shared" si="72"/>
        <v>4651</v>
      </c>
    </row>
    <row r="885" spans="1:7" ht="15.75">
      <c r="A885" s="3022">
        <f t="shared" si="73"/>
        <v>41075</v>
      </c>
      <c r="B885" s="2840">
        <v>41050</v>
      </c>
      <c r="C885" s="2840">
        <v>41100</v>
      </c>
      <c r="D885" s="2841">
        <f t="shared" si="69"/>
        <v>4976</v>
      </c>
      <c r="E885" s="2841">
        <f t="shared" si="70"/>
        <v>4548</v>
      </c>
      <c r="F885" s="2841">
        <f t="shared" si="71"/>
        <v>4976</v>
      </c>
      <c r="G885" s="2841">
        <f t="shared" si="72"/>
        <v>4657</v>
      </c>
    </row>
    <row r="886" spans="1:7" ht="15.75">
      <c r="A886" s="3022">
        <f t="shared" si="73"/>
        <v>41125</v>
      </c>
      <c r="B886" s="2840">
        <v>41100</v>
      </c>
      <c r="C886" s="2840">
        <v>41150</v>
      </c>
      <c r="D886" s="2841">
        <f t="shared" si="69"/>
        <v>4987</v>
      </c>
      <c r="E886" s="2841">
        <f t="shared" si="70"/>
        <v>4554</v>
      </c>
      <c r="F886" s="2841">
        <f t="shared" si="71"/>
        <v>4987</v>
      </c>
      <c r="G886" s="2841">
        <f t="shared" si="72"/>
        <v>4663</v>
      </c>
    </row>
    <row r="887" spans="1:7" ht="15.75">
      <c r="A887" s="3022">
        <f t="shared" si="73"/>
        <v>41175</v>
      </c>
      <c r="B887" s="2840">
        <v>41150</v>
      </c>
      <c r="C887" s="2840">
        <v>41200</v>
      </c>
      <c r="D887" s="2841">
        <f t="shared" si="69"/>
        <v>4998</v>
      </c>
      <c r="E887" s="2841">
        <f t="shared" si="70"/>
        <v>4560</v>
      </c>
      <c r="F887" s="2841">
        <f t="shared" si="71"/>
        <v>4998</v>
      </c>
      <c r="G887" s="2841">
        <f t="shared" si="72"/>
        <v>4669</v>
      </c>
    </row>
    <row r="888" spans="1:7" ht="15.75">
      <c r="A888" s="3022">
        <f t="shared" si="73"/>
        <v>41225</v>
      </c>
      <c r="B888" s="2840">
        <v>41200</v>
      </c>
      <c r="C888" s="2840">
        <v>41250</v>
      </c>
      <c r="D888" s="2841">
        <f t="shared" si="69"/>
        <v>5009</v>
      </c>
      <c r="E888" s="2841">
        <f t="shared" si="70"/>
        <v>4566</v>
      </c>
      <c r="F888" s="2841">
        <f t="shared" si="71"/>
        <v>5009</v>
      </c>
      <c r="G888" s="2841">
        <f t="shared" si="72"/>
        <v>4675</v>
      </c>
    </row>
    <row r="889" spans="1:7" ht="15.75">
      <c r="A889" s="3022">
        <f t="shared" si="73"/>
        <v>41275</v>
      </c>
      <c r="B889" s="2840">
        <v>41250</v>
      </c>
      <c r="C889" s="2840">
        <v>41300</v>
      </c>
      <c r="D889" s="2841">
        <f t="shared" si="69"/>
        <v>5020</v>
      </c>
      <c r="E889" s="2841">
        <f t="shared" si="70"/>
        <v>4572</v>
      </c>
      <c r="F889" s="2841">
        <f t="shared" si="71"/>
        <v>5020</v>
      </c>
      <c r="G889" s="2841">
        <f t="shared" si="72"/>
        <v>4681</v>
      </c>
    </row>
    <row r="890" spans="1:7" ht="15.75">
      <c r="A890" s="3022">
        <f t="shared" si="73"/>
        <v>41325</v>
      </c>
      <c r="B890" s="2840">
        <v>41300</v>
      </c>
      <c r="C890" s="2840">
        <v>41350</v>
      </c>
      <c r="D890" s="2841">
        <f t="shared" si="69"/>
        <v>5031</v>
      </c>
      <c r="E890" s="2841">
        <f t="shared" si="70"/>
        <v>4578</v>
      </c>
      <c r="F890" s="2841">
        <f t="shared" si="71"/>
        <v>5031</v>
      </c>
      <c r="G890" s="2841">
        <f t="shared" si="72"/>
        <v>4687</v>
      </c>
    </row>
    <row r="891" spans="1:7" ht="15.75">
      <c r="A891" s="3022">
        <f t="shared" si="73"/>
        <v>41375</v>
      </c>
      <c r="B891" s="2840">
        <v>41350</v>
      </c>
      <c r="C891" s="2840">
        <v>41400</v>
      </c>
      <c r="D891" s="2841">
        <f t="shared" si="69"/>
        <v>5042</v>
      </c>
      <c r="E891" s="2841">
        <f t="shared" si="70"/>
        <v>4584</v>
      </c>
      <c r="F891" s="2841">
        <f t="shared" si="71"/>
        <v>5042</v>
      </c>
      <c r="G891" s="2841">
        <f t="shared" si="72"/>
        <v>4693</v>
      </c>
    </row>
    <row r="892" spans="1:7" ht="15.75">
      <c r="A892" s="3022">
        <f t="shared" si="73"/>
        <v>41425</v>
      </c>
      <c r="B892" s="2840">
        <v>41400</v>
      </c>
      <c r="C892" s="2840">
        <v>41450</v>
      </c>
      <c r="D892" s="2841">
        <f t="shared" si="69"/>
        <v>5053</v>
      </c>
      <c r="E892" s="2841">
        <f t="shared" si="70"/>
        <v>4590</v>
      </c>
      <c r="F892" s="2841">
        <f t="shared" si="71"/>
        <v>5053</v>
      </c>
      <c r="G892" s="2841">
        <f t="shared" si="72"/>
        <v>4699</v>
      </c>
    </row>
    <row r="893" spans="1:7" ht="15.75">
      <c r="A893" s="3022">
        <f t="shared" si="73"/>
        <v>41475</v>
      </c>
      <c r="B893" s="2840">
        <v>41450</v>
      </c>
      <c r="C893" s="2840">
        <v>41500</v>
      </c>
      <c r="D893" s="2841">
        <f t="shared" si="69"/>
        <v>5064</v>
      </c>
      <c r="E893" s="2841">
        <f t="shared" si="70"/>
        <v>4596</v>
      </c>
      <c r="F893" s="2841">
        <f t="shared" si="71"/>
        <v>5064</v>
      </c>
      <c r="G893" s="2841">
        <f t="shared" si="72"/>
        <v>4705</v>
      </c>
    </row>
    <row r="894" spans="1:7" ht="15.75">
      <c r="A894" s="3022">
        <f t="shared" si="73"/>
        <v>41525</v>
      </c>
      <c r="B894" s="2840">
        <v>41500</v>
      </c>
      <c r="C894" s="2840">
        <v>41550</v>
      </c>
      <c r="D894" s="2841">
        <f t="shared" si="69"/>
        <v>5075</v>
      </c>
      <c r="E894" s="2841">
        <f t="shared" si="70"/>
        <v>4602</v>
      </c>
      <c r="F894" s="2841">
        <f t="shared" si="71"/>
        <v>5075</v>
      </c>
      <c r="G894" s="2841">
        <f t="shared" si="72"/>
        <v>4711</v>
      </c>
    </row>
    <row r="895" spans="1:7" ht="15.75">
      <c r="A895" s="3022">
        <f t="shared" si="73"/>
        <v>41575</v>
      </c>
      <c r="B895" s="2840">
        <v>41550</v>
      </c>
      <c r="C895" s="2840">
        <v>41600</v>
      </c>
      <c r="D895" s="2841">
        <f t="shared" si="69"/>
        <v>5086</v>
      </c>
      <c r="E895" s="2841">
        <f t="shared" si="70"/>
        <v>4608</v>
      </c>
      <c r="F895" s="2841">
        <f t="shared" si="71"/>
        <v>5086</v>
      </c>
      <c r="G895" s="2841">
        <f t="shared" si="72"/>
        <v>4717</v>
      </c>
    </row>
    <row r="896" spans="1:7" ht="15.75">
      <c r="A896" s="3022">
        <f t="shared" si="73"/>
        <v>41625</v>
      </c>
      <c r="B896" s="2840">
        <v>41600</v>
      </c>
      <c r="C896" s="2840">
        <v>41650</v>
      </c>
      <c r="D896" s="2841">
        <f t="shared" si="69"/>
        <v>5097</v>
      </c>
      <c r="E896" s="2841">
        <f t="shared" si="70"/>
        <v>4614</v>
      </c>
      <c r="F896" s="2841">
        <f t="shared" si="71"/>
        <v>5097</v>
      </c>
      <c r="G896" s="2841">
        <f t="shared" si="72"/>
        <v>4723</v>
      </c>
    </row>
    <row r="897" spans="1:7" ht="15.75">
      <c r="A897" s="3022">
        <f t="shared" si="73"/>
        <v>41675</v>
      </c>
      <c r="B897" s="2840">
        <v>41650</v>
      </c>
      <c r="C897" s="2840">
        <v>41700</v>
      </c>
      <c r="D897" s="2841">
        <f t="shared" si="69"/>
        <v>5108</v>
      </c>
      <c r="E897" s="2841">
        <f t="shared" si="70"/>
        <v>4620</v>
      </c>
      <c r="F897" s="2841">
        <f t="shared" si="71"/>
        <v>5108</v>
      </c>
      <c r="G897" s="2841">
        <f t="shared" si="72"/>
        <v>4729</v>
      </c>
    </row>
    <row r="898" spans="1:7" ht="15.75">
      <c r="A898" s="3022">
        <f t="shared" si="73"/>
        <v>41725</v>
      </c>
      <c r="B898" s="2840">
        <v>41700</v>
      </c>
      <c r="C898" s="2840">
        <v>41750</v>
      </c>
      <c r="D898" s="2841">
        <f t="shared" ref="D898:D961" si="74">IF($A898&gt;BOTT_A4,ROUND(BASE_A4+RATE_A4*($A898-BOTT_A4),0),IF($A898&gt;BOTT_A3,ROUND(BASE_A3+RATE_A3*($A898-BOTT_A3),0),IF($A898&gt;BOTT_A2,ROUND(BASE_A2+RATE_A2*($A898-BOTT_A2),0),ROUND(RATE_A1*$A898,0))))</f>
        <v>5119</v>
      </c>
      <c r="E898" s="2841">
        <f t="shared" ref="E898:E961" si="75">IF($A898&gt;BOTT_B4,ROUND(BASE_B4+RATE_B4*($A898-BOTT_B4),0),IF($A898&gt;BOTT_B3,ROUND(BASE_B3+RATE_B3*($A898-BOTT_B3),0),IF($A898&gt;BOTT_B2,ROUND(BASE_B2+RATE_B2*($A898-BOTT_B2),0),ROUND(RATE_B1*$A898,0))))</f>
        <v>4626</v>
      </c>
      <c r="F898" s="2841">
        <f t="shared" ref="F898:F961" si="76">IF($A898&gt;BOTT_C4,ROUND(BASE_C4+RATE_C4*($A898-BOTT_C4),0),IF($A898&gt;BOTT_C3,ROUND(BASE_C3+RATE_C3*($A898-BOTT_C3),0),IF($A898&gt;BOTT_C2,ROUND(BASE_C2+RATE_C2*($A898-BOTT_C2),0),ROUND(RATE_C1*$A898,0))))</f>
        <v>5119</v>
      </c>
      <c r="G898" s="2841">
        <f t="shared" ref="G898:G961" si="77">IF($A898&gt;BOTT_D4,ROUND(BASE_D4+RATE_D4*($A898-BOTT_D4),0),IF($A898&gt;BOTT_D3,ROUND(BASE_D3+RATE_D3*($A898-BOTT_D3),0),IF($A898&gt;BOTT_D2,ROUND(BASE_D2+RATE_D2*($A898-BOTT_D2),0),ROUND(RATE_D1*$A898,0))))</f>
        <v>4735</v>
      </c>
    </row>
    <row r="899" spans="1:7" ht="15.75">
      <c r="A899" s="3022">
        <f t="shared" ref="A899:A962" si="78">AVERAGE(B899,C899)</f>
        <v>41775</v>
      </c>
      <c r="B899" s="2840">
        <v>41750</v>
      </c>
      <c r="C899" s="2840">
        <v>41800</v>
      </c>
      <c r="D899" s="2841">
        <f t="shared" si="74"/>
        <v>5130</v>
      </c>
      <c r="E899" s="2841">
        <f t="shared" si="75"/>
        <v>4632</v>
      </c>
      <c r="F899" s="2841">
        <f t="shared" si="76"/>
        <v>5130</v>
      </c>
      <c r="G899" s="2841">
        <f t="shared" si="77"/>
        <v>4741</v>
      </c>
    </row>
    <row r="900" spans="1:7" ht="15.75">
      <c r="A900" s="3022">
        <f t="shared" si="78"/>
        <v>41825</v>
      </c>
      <c r="B900" s="2840">
        <v>41800</v>
      </c>
      <c r="C900" s="2840">
        <v>41850</v>
      </c>
      <c r="D900" s="2841">
        <f t="shared" si="74"/>
        <v>5141</v>
      </c>
      <c r="E900" s="2841">
        <f t="shared" si="75"/>
        <v>4638</v>
      </c>
      <c r="F900" s="2841">
        <f t="shared" si="76"/>
        <v>5141</v>
      </c>
      <c r="G900" s="2841">
        <f t="shared" si="77"/>
        <v>4747</v>
      </c>
    </row>
    <row r="901" spans="1:7" ht="15.75">
      <c r="A901" s="3022">
        <f t="shared" si="78"/>
        <v>41875</v>
      </c>
      <c r="B901" s="2840">
        <v>41850</v>
      </c>
      <c r="C901" s="2840">
        <v>41900</v>
      </c>
      <c r="D901" s="2841">
        <f t="shared" si="74"/>
        <v>5152</v>
      </c>
      <c r="E901" s="2841">
        <f t="shared" si="75"/>
        <v>4644</v>
      </c>
      <c r="F901" s="2841">
        <f t="shared" si="76"/>
        <v>5152</v>
      </c>
      <c r="G901" s="2841">
        <f t="shared" si="77"/>
        <v>4753</v>
      </c>
    </row>
    <row r="902" spans="1:7" ht="15.75">
      <c r="A902" s="3022">
        <f t="shared" si="78"/>
        <v>41925</v>
      </c>
      <c r="B902" s="2840">
        <v>41900</v>
      </c>
      <c r="C902" s="2840">
        <v>41950</v>
      </c>
      <c r="D902" s="2841">
        <f t="shared" si="74"/>
        <v>5163</v>
      </c>
      <c r="E902" s="2841">
        <f t="shared" si="75"/>
        <v>4650</v>
      </c>
      <c r="F902" s="2841">
        <f t="shared" si="76"/>
        <v>5163</v>
      </c>
      <c r="G902" s="2841">
        <f t="shared" si="77"/>
        <v>4759</v>
      </c>
    </row>
    <row r="903" spans="1:7" ht="15.75">
      <c r="A903" s="3022">
        <f t="shared" si="78"/>
        <v>41975</v>
      </c>
      <c r="B903" s="2840">
        <v>41950</v>
      </c>
      <c r="C903" s="2840">
        <v>42000</v>
      </c>
      <c r="D903" s="2841">
        <f t="shared" si="74"/>
        <v>5174</v>
      </c>
      <c r="E903" s="2841">
        <f t="shared" si="75"/>
        <v>4656</v>
      </c>
      <c r="F903" s="2841">
        <f t="shared" si="76"/>
        <v>5174</v>
      </c>
      <c r="G903" s="2841">
        <f t="shared" si="77"/>
        <v>4765</v>
      </c>
    </row>
    <row r="904" spans="1:7" ht="15.75">
      <c r="A904" s="3022">
        <f t="shared" si="78"/>
        <v>42025</v>
      </c>
      <c r="B904" s="2840">
        <v>42000</v>
      </c>
      <c r="C904" s="2840">
        <v>42050</v>
      </c>
      <c r="D904" s="2841">
        <f t="shared" si="74"/>
        <v>5185</v>
      </c>
      <c r="E904" s="2841">
        <f t="shared" si="75"/>
        <v>4662</v>
      </c>
      <c r="F904" s="2841">
        <f t="shared" si="76"/>
        <v>5185</v>
      </c>
      <c r="G904" s="2841">
        <f t="shared" si="77"/>
        <v>4771</v>
      </c>
    </row>
    <row r="905" spans="1:7" ht="15.75">
      <c r="A905" s="3022">
        <f t="shared" si="78"/>
        <v>42075</v>
      </c>
      <c r="B905" s="2840">
        <v>42050</v>
      </c>
      <c r="C905" s="2840">
        <v>42100</v>
      </c>
      <c r="D905" s="2841">
        <f t="shared" si="74"/>
        <v>5196</v>
      </c>
      <c r="E905" s="2841">
        <f t="shared" si="75"/>
        <v>4668</v>
      </c>
      <c r="F905" s="2841">
        <f t="shared" si="76"/>
        <v>5196</v>
      </c>
      <c r="G905" s="2841">
        <f t="shared" si="77"/>
        <v>4777</v>
      </c>
    </row>
    <row r="906" spans="1:7" ht="15.75">
      <c r="A906" s="3022">
        <f t="shared" si="78"/>
        <v>42125</v>
      </c>
      <c r="B906" s="2840">
        <v>42100</v>
      </c>
      <c r="C906" s="2840">
        <v>42150</v>
      </c>
      <c r="D906" s="2841">
        <f t="shared" si="74"/>
        <v>5207</v>
      </c>
      <c r="E906" s="2841">
        <f t="shared" si="75"/>
        <v>4674</v>
      </c>
      <c r="F906" s="2841">
        <f t="shared" si="76"/>
        <v>5207</v>
      </c>
      <c r="G906" s="2841">
        <f t="shared" si="77"/>
        <v>4783</v>
      </c>
    </row>
    <row r="907" spans="1:7" ht="15.75">
      <c r="A907" s="3022">
        <f t="shared" si="78"/>
        <v>42175</v>
      </c>
      <c r="B907" s="2840">
        <v>42150</v>
      </c>
      <c r="C907" s="2840">
        <v>42200</v>
      </c>
      <c r="D907" s="2841">
        <f t="shared" si="74"/>
        <v>5218</v>
      </c>
      <c r="E907" s="2841">
        <f t="shared" si="75"/>
        <v>4680</v>
      </c>
      <c r="F907" s="2841">
        <f t="shared" si="76"/>
        <v>5218</v>
      </c>
      <c r="G907" s="2841">
        <f t="shared" si="77"/>
        <v>4789</v>
      </c>
    </row>
    <row r="908" spans="1:7" ht="15.75">
      <c r="A908" s="3022">
        <f t="shared" si="78"/>
        <v>42225</v>
      </c>
      <c r="B908" s="2840">
        <v>42200</v>
      </c>
      <c r="C908" s="2840">
        <v>42250</v>
      </c>
      <c r="D908" s="2841">
        <f t="shared" si="74"/>
        <v>5229</v>
      </c>
      <c r="E908" s="2841">
        <f t="shared" si="75"/>
        <v>4686</v>
      </c>
      <c r="F908" s="2841">
        <f t="shared" si="76"/>
        <v>5229</v>
      </c>
      <c r="G908" s="2841">
        <f t="shared" si="77"/>
        <v>4795</v>
      </c>
    </row>
    <row r="909" spans="1:7" ht="15.75">
      <c r="A909" s="3022">
        <f t="shared" si="78"/>
        <v>42275</v>
      </c>
      <c r="B909" s="2840">
        <v>42250</v>
      </c>
      <c r="C909" s="2840">
        <v>42300</v>
      </c>
      <c r="D909" s="2841">
        <f t="shared" si="74"/>
        <v>5240</v>
      </c>
      <c r="E909" s="2841">
        <f t="shared" si="75"/>
        <v>4692</v>
      </c>
      <c r="F909" s="2841">
        <f t="shared" si="76"/>
        <v>5240</v>
      </c>
      <c r="G909" s="2841">
        <f t="shared" si="77"/>
        <v>4801</v>
      </c>
    </row>
    <row r="910" spans="1:7" ht="15.75">
      <c r="A910" s="3022">
        <f t="shared" si="78"/>
        <v>42325</v>
      </c>
      <c r="B910" s="2840">
        <v>42300</v>
      </c>
      <c r="C910" s="2840">
        <v>42350</v>
      </c>
      <c r="D910" s="2841">
        <f t="shared" si="74"/>
        <v>5251</v>
      </c>
      <c r="E910" s="2841">
        <f t="shared" si="75"/>
        <v>4698</v>
      </c>
      <c r="F910" s="2841">
        <f t="shared" si="76"/>
        <v>5251</v>
      </c>
      <c r="G910" s="2841">
        <f t="shared" si="77"/>
        <v>4807</v>
      </c>
    </row>
    <row r="911" spans="1:7" ht="15.75">
      <c r="A911" s="3022">
        <f t="shared" si="78"/>
        <v>42375</v>
      </c>
      <c r="B911" s="2840">
        <v>42350</v>
      </c>
      <c r="C911" s="2840">
        <v>42400</v>
      </c>
      <c r="D911" s="2841">
        <f t="shared" si="74"/>
        <v>5262</v>
      </c>
      <c r="E911" s="2841">
        <f t="shared" si="75"/>
        <v>4704</v>
      </c>
      <c r="F911" s="2841">
        <f t="shared" si="76"/>
        <v>5262</v>
      </c>
      <c r="G911" s="2841">
        <f t="shared" si="77"/>
        <v>4813</v>
      </c>
    </row>
    <row r="912" spans="1:7" ht="15.75">
      <c r="A912" s="3022">
        <f t="shared" si="78"/>
        <v>42425</v>
      </c>
      <c r="B912" s="2840">
        <v>42400</v>
      </c>
      <c r="C912" s="2840">
        <v>42450</v>
      </c>
      <c r="D912" s="2841">
        <f t="shared" si="74"/>
        <v>5273</v>
      </c>
      <c r="E912" s="2841">
        <f t="shared" si="75"/>
        <v>4710</v>
      </c>
      <c r="F912" s="2841">
        <f t="shared" si="76"/>
        <v>5273</v>
      </c>
      <c r="G912" s="2841">
        <f t="shared" si="77"/>
        <v>4819</v>
      </c>
    </row>
    <row r="913" spans="1:7" ht="15.75">
      <c r="A913" s="3022">
        <f t="shared" si="78"/>
        <v>42475</v>
      </c>
      <c r="B913" s="2840">
        <v>42450</v>
      </c>
      <c r="C913" s="2840">
        <v>42500</v>
      </c>
      <c r="D913" s="2841">
        <f t="shared" si="74"/>
        <v>5284</v>
      </c>
      <c r="E913" s="2841">
        <f t="shared" si="75"/>
        <v>4716</v>
      </c>
      <c r="F913" s="2841">
        <f t="shared" si="76"/>
        <v>5284</v>
      </c>
      <c r="G913" s="2841">
        <f t="shared" si="77"/>
        <v>4825</v>
      </c>
    </row>
    <row r="914" spans="1:7" ht="15.75">
      <c r="A914" s="3022">
        <f t="shared" si="78"/>
        <v>42525</v>
      </c>
      <c r="B914" s="2840">
        <v>42500</v>
      </c>
      <c r="C914" s="2840">
        <v>42550</v>
      </c>
      <c r="D914" s="2841">
        <f t="shared" si="74"/>
        <v>5295</v>
      </c>
      <c r="E914" s="2841">
        <f t="shared" si="75"/>
        <v>4722</v>
      </c>
      <c r="F914" s="2841">
        <f t="shared" si="76"/>
        <v>5295</v>
      </c>
      <c r="G914" s="2841">
        <f t="shared" si="77"/>
        <v>4831</v>
      </c>
    </row>
    <row r="915" spans="1:7" ht="15.75">
      <c r="A915" s="3022">
        <f t="shared" si="78"/>
        <v>42575</v>
      </c>
      <c r="B915" s="2840">
        <v>42550</v>
      </c>
      <c r="C915" s="2840">
        <v>42600</v>
      </c>
      <c r="D915" s="2841">
        <f t="shared" si="74"/>
        <v>5306</v>
      </c>
      <c r="E915" s="2841">
        <f t="shared" si="75"/>
        <v>4728</v>
      </c>
      <c r="F915" s="2841">
        <f t="shared" si="76"/>
        <v>5306</v>
      </c>
      <c r="G915" s="2841">
        <f t="shared" si="77"/>
        <v>4837</v>
      </c>
    </row>
    <row r="916" spans="1:7" ht="15.75">
      <c r="A916" s="3022">
        <f t="shared" si="78"/>
        <v>42625</v>
      </c>
      <c r="B916" s="2840">
        <v>42600</v>
      </c>
      <c r="C916" s="2840">
        <v>42650</v>
      </c>
      <c r="D916" s="2841">
        <f t="shared" si="74"/>
        <v>5317</v>
      </c>
      <c r="E916" s="2841">
        <f t="shared" si="75"/>
        <v>4734</v>
      </c>
      <c r="F916" s="2841">
        <f t="shared" si="76"/>
        <v>5317</v>
      </c>
      <c r="G916" s="2841">
        <f t="shared" si="77"/>
        <v>4843</v>
      </c>
    </row>
    <row r="917" spans="1:7" ht="15.75">
      <c r="A917" s="3022">
        <f t="shared" si="78"/>
        <v>42675</v>
      </c>
      <c r="B917" s="2840">
        <v>42650</v>
      </c>
      <c r="C917" s="2840">
        <v>42700</v>
      </c>
      <c r="D917" s="2841">
        <f t="shared" si="74"/>
        <v>5328</v>
      </c>
      <c r="E917" s="2841">
        <f t="shared" si="75"/>
        <v>4740</v>
      </c>
      <c r="F917" s="2841">
        <f t="shared" si="76"/>
        <v>5328</v>
      </c>
      <c r="G917" s="2841">
        <f t="shared" si="77"/>
        <v>4849</v>
      </c>
    </row>
    <row r="918" spans="1:7" ht="15.75">
      <c r="A918" s="3022">
        <f t="shared" si="78"/>
        <v>42725</v>
      </c>
      <c r="B918" s="2840">
        <v>42700</v>
      </c>
      <c r="C918" s="2840">
        <v>42750</v>
      </c>
      <c r="D918" s="2841">
        <f t="shared" si="74"/>
        <v>5339</v>
      </c>
      <c r="E918" s="2841">
        <f t="shared" si="75"/>
        <v>4746</v>
      </c>
      <c r="F918" s="2841">
        <f t="shared" si="76"/>
        <v>5339</v>
      </c>
      <c r="G918" s="2841">
        <f t="shared" si="77"/>
        <v>4855</v>
      </c>
    </row>
    <row r="919" spans="1:7" ht="15.75">
      <c r="A919" s="3022">
        <f t="shared" si="78"/>
        <v>42775</v>
      </c>
      <c r="B919" s="2840">
        <v>42750</v>
      </c>
      <c r="C919" s="2840">
        <v>42800</v>
      </c>
      <c r="D919" s="2841">
        <f t="shared" si="74"/>
        <v>5350</v>
      </c>
      <c r="E919" s="2841">
        <f t="shared" si="75"/>
        <v>4752</v>
      </c>
      <c r="F919" s="2841">
        <f t="shared" si="76"/>
        <v>5350</v>
      </c>
      <c r="G919" s="2841">
        <f t="shared" si="77"/>
        <v>4861</v>
      </c>
    </row>
    <row r="920" spans="1:7" ht="15.75">
      <c r="A920" s="3022">
        <f t="shared" si="78"/>
        <v>42825</v>
      </c>
      <c r="B920" s="2840">
        <v>42800</v>
      </c>
      <c r="C920" s="2840">
        <v>42850</v>
      </c>
      <c r="D920" s="2841">
        <f t="shared" si="74"/>
        <v>5361</v>
      </c>
      <c r="E920" s="2841">
        <f t="shared" si="75"/>
        <v>4758</v>
      </c>
      <c r="F920" s="2841">
        <f t="shared" si="76"/>
        <v>5361</v>
      </c>
      <c r="G920" s="2841">
        <f t="shared" si="77"/>
        <v>4867</v>
      </c>
    </row>
    <row r="921" spans="1:7" ht="15.75">
      <c r="A921" s="3022">
        <f t="shared" si="78"/>
        <v>42875</v>
      </c>
      <c r="B921" s="2840">
        <v>42850</v>
      </c>
      <c r="C921" s="2840">
        <v>42900</v>
      </c>
      <c r="D921" s="2841">
        <f t="shared" si="74"/>
        <v>5372</v>
      </c>
      <c r="E921" s="2841">
        <f t="shared" si="75"/>
        <v>4764</v>
      </c>
      <c r="F921" s="2841">
        <f t="shared" si="76"/>
        <v>5372</v>
      </c>
      <c r="G921" s="2841">
        <f t="shared" si="77"/>
        <v>4873</v>
      </c>
    </row>
    <row r="922" spans="1:7" ht="15.75">
      <c r="A922" s="3022">
        <f t="shared" si="78"/>
        <v>42925</v>
      </c>
      <c r="B922" s="2840">
        <v>42900</v>
      </c>
      <c r="C922" s="2840">
        <v>42950</v>
      </c>
      <c r="D922" s="2841">
        <f t="shared" si="74"/>
        <v>5383</v>
      </c>
      <c r="E922" s="2841">
        <f t="shared" si="75"/>
        <v>4770</v>
      </c>
      <c r="F922" s="2841">
        <f t="shared" si="76"/>
        <v>5383</v>
      </c>
      <c r="G922" s="2841">
        <f t="shared" si="77"/>
        <v>4879</v>
      </c>
    </row>
    <row r="923" spans="1:7" ht="15.75">
      <c r="A923" s="3022">
        <f t="shared" si="78"/>
        <v>42975</v>
      </c>
      <c r="B923" s="2840">
        <v>42950</v>
      </c>
      <c r="C923" s="2840">
        <v>43000</v>
      </c>
      <c r="D923" s="2841">
        <f t="shared" si="74"/>
        <v>5394</v>
      </c>
      <c r="E923" s="2841">
        <f t="shared" si="75"/>
        <v>4776</v>
      </c>
      <c r="F923" s="2841">
        <f t="shared" si="76"/>
        <v>5394</v>
      </c>
      <c r="G923" s="2841">
        <f t="shared" si="77"/>
        <v>4885</v>
      </c>
    </row>
    <row r="924" spans="1:7" ht="15.75">
      <c r="A924" s="3022">
        <f t="shared" si="78"/>
        <v>43025</v>
      </c>
      <c r="B924" s="2840">
        <v>43000</v>
      </c>
      <c r="C924" s="2840">
        <v>43050</v>
      </c>
      <c r="D924" s="2841">
        <f t="shared" si="74"/>
        <v>5405</v>
      </c>
      <c r="E924" s="2841">
        <f t="shared" si="75"/>
        <v>4782</v>
      </c>
      <c r="F924" s="2841">
        <f t="shared" si="76"/>
        <v>5405</v>
      </c>
      <c r="G924" s="2841">
        <f t="shared" si="77"/>
        <v>4891</v>
      </c>
    </row>
    <row r="925" spans="1:7" ht="15.75">
      <c r="A925" s="3022">
        <f t="shared" si="78"/>
        <v>43075</v>
      </c>
      <c r="B925" s="2840">
        <v>43050</v>
      </c>
      <c r="C925" s="2840">
        <v>43100</v>
      </c>
      <c r="D925" s="2841">
        <f t="shared" si="74"/>
        <v>5416</v>
      </c>
      <c r="E925" s="2841">
        <f t="shared" si="75"/>
        <v>4788</v>
      </c>
      <c r="F925" s="2841">
        <f t="shared" si="76"/>
        <v>5416</v>
      </c>
      <c r="G925" s="2841">
        <f t="shared" si="77"/>
        <v>4897</v>
      </c>
    </row>
    <row r="926" spans="1:7" ht="15.75">
      <c r="A926" s="3022">
        <f t="shared" si="78"/>
        <v>43125</v>
      </c>
      <c r="B926" s="2840">
        <v>43100</v>
      </c>
      <c r="C926" s="2840">
        <v>43150</v>
      </c>
      <c r="D926" s="2841">
        <f t="shared" si="74"/>
        <v>5427</v>
      </c>
      <c r="E926" s="2841">
        <f t="shared" si="75"/>
        <v>4794</v>
      </c>
      <c r="F926" s="2841">
        <f t="shared" si="76"/>
        <v>5427</v>
      </c>
      <c r="G926" s="2841">
        <f t="shared" si="77"/>
        <v>4903</v>
      </c>
    </row>
    <row r="927" spans="1:7" ht="15.75">
      <c r="A927" s="3022">
        <f t="shared" si="78"/>
        <v>43175</v>
      </c>
      <c r="B927" s="2840">
        <v>43150</v>
      </c>
      <c r="C927" s="2840">
        <v>43200</v>
      </c>
      <c r="D927" s="2841">
        <f t="shared" si="74"/>
        <v>5438</v>
      </c>
      <c r="E927" s="2841">
        <f t="shared" si="75"/>
        <v>4800</v>
      </c>
      <c r="F927" s="2841">
        <f t="shared" si="76"/>
        <v>5438</v>
      </c>
      <c r="G927" s="2841">
        <f t="shared" si="77"/>
        <v>4909</v>
      </c>
    </row>
    <row r="928" spans="1:7" ht="15.75">
      <c r="A928" s="3022">
        <f t="shared" si="78"/>
        <v>43225</v>
      </c>
      <c r="B928" s="2840">
        <v>43200</v>
      </c>
      <c r="C928" s="2840">
        <v>43250</v>
      </c>
      <c r="D928" s="2841">
        <f t="shared" si="74"/>
        <v>5449</v>
      </c>
      <c r="E928" s="2841">
        <f t="shared" si="75"/>
        <v>4806</v>
      </c>
      <c r="F928" s="2841">
        <f t="shared" si="76"/>
        <v>5449</v>
      </c>
      <c r="G928" s="2841">
        <f t="shared" si="77"/>
        <v>4915</v>
      </c>
    </row>
    <row r="929" spans="1:7" ht="15.75">
      <c r="A929" s="3022">
        <f t="shared" si="78"/>
        <v>43275</v>
      </c>
      <c r="B929" s="2840">
        <v>43250</v>
      </c>
      <c r="C929" s="2840">
        <v>43300</v>
      </c>
      <c r="D929" s="2841">
        <f t="shared" si="74"/>
        <v>5460</v>
      </c>
      <c r="E929" s="2841">
        <f t="shared" si="75"/>
        <v>4812</v>
      </c>
      <c r="F929" s="2841">
        <f t="shared" si="76"/>
        <v>5460</v>
      </c>
      <c r="G929" s="2841">
        <f t="shared" si="77"/>
        <v>4921</v>
      </c>
    </row>
    <row r="930" spans="1:7" ht="15.75">
      <c r="A930" s="3022">
        <f t="shared" si="78"/>
        <v>43325</v>
      </c>
      <c r="B930" s="2840">
        <v>43300</v>
      </c>
      <c r="C930" s="2840">
        <v>43350</v>
      </c>
      <c r="D930" s="2841">
        <f t="shared" si="74"/>
        <v>5471</v>
      </c>
      <c r="E930" s="2841">
        <f t="shared" si="75"/>
        <v>4818</v>
      </c>
      <c r="F930" s="2841">
        <f t="shared" si="76"/>
        <v>5471</v>
      </c>
      <c r="G930" s="2841">
        <f t="shared" si="77"/>
        <v>4927</v>
      </c>
    </row>
    <row r="931" spans="1:7" ht="15.75">
      <c r="A931" s="3022">
        <f t="shared" si="78"/>
        <v>43375</v>
      </c>
      <c r="B931" s="2840">
        <v>43350</v>
      </c>
      <c r="C931" s="2840">
        <v>43400</v>
      </c>
      <c r="D931" s="2841">
        <f t="shared" si="74"/>
        <v>5482</v>
      </c>
      <c r="E931" s="2841">
        <f t="shared" si="75"/>
        <v>4824</v>
      </c>
      <c r="F931" s="2841">
        <f t="shared" si="76"/>
        <v>5482</v>
      </c>
      <c r="G931" s="2841">
        <f t="shared" si="77"/>
        <v>4933</v>
      </c>
    </row>
    <row r="932" spans="1:7" ht="15.75">
      <c r="A932" s="3022">
        <f t="shared" si="78"/>
        <v>43425</v>
      </c>
      <c r="B932" s="2840">
        <v>43400</v>
      </c>
      <c r="C932" s="2840">
        <v>43450</v>
      </c>
      <c r="D932" s="2841">
        <f t="shared" si="74"/>
        <v>5493</v>
      </c>
      <c r="E932" s="2841">
        <f t="shared" si="75"/>
        <v>4830</v>
      </c>
      <c r="F932" s="2841">
        <f t="shared" si="76"/>
        <v>5493</v>
      </c>
      <c r="G932" s="2841">
        <f t="shared" si="77"/>
        <v>4939</v>
      </c>
    </row>
    <row r="933" spans="1:7" ht="15.75">
      <c r="A933" s="3022">
        <f t="shared" si="78"/>
        <v>43475</v>
      </c>
      <c r="B933" s="2840">
        <v>43450</v>
      </c>
      <c r="C933" s="2840">
        <v>43500</v>
      </c>
      <c r="D933" s="2841">
        <f t="shared" si="74"/>
        <v>5504</v>
      </c>
      <c r="E933" s="2841">
        <f t="shared" si="75"/>
        <v>4836</v>
      </c>
      <c r="F933" s="2841">
        <f t="shared" si="76"/>
        <v>5504</v>
      </c>
      <c r="G933" s="2841">
        <f t="shared" si="77"/>
        <v>4945</v>
      </c>
    </row>
    <row r="934" spans="1:7" ht="15.75">
      <c r="A934" s="3022">
        <f t="shared" si="78"/>
        <v>43525</v>
      </c>
      <c r="B934" s="2840">
        <v>43500</v>
      </c>
      <c r="C934" s="2840">
        <v>43550</v>
      </c>
      <c r="D934" s="2841">
        <f t="shared" si="74"/>
        <v>5515</v>
      </c>
      <c r="E934" s="2841">
        <f t="shared" si="75"/>
        <v>4842</v>
      </c>
      <c r="F934" s="2841">
        <f t="shared" si="76"/>
        <v>5515</v>
      </c>
      <c r="G934" s="2841">
        <f t="shared" si="77"/>
        <v>4951</v>
      </c>
    </row>
    <row r="935" spans="1:7" ht="15.75">
      <c r="A935" s="3022">
        <f t="shared" si="78"/>
        <v>43575</v>
      </c>
      <c r="B935" s="2840">
        <v>43550</v>
      </c>
      <c r="C935" s="2840">
        <v>43600</v>
      </c>
      <c r="D935" s="2841">
        <f t="shared" si="74"/>
        <v>5526</v>
      </c>
      <c r="E935" s="2841">
        <f t="shared" si="75"/>
        <v>4848</v>
      </c>
      <c r="F935" s="2841">
        <f t="shared" si="76"/>
        <v>5526</v>
      </c>
      <c r="G935" s="2841">
        <f t="shared" si="77"/>
        <v>4957</v>
      </c>
    </row>
    <row r="936" spans="1:7" ht="15.75">
      <c r="A936" s="3022">
        <f t="shared" si="78"/>
        <v>43625</v>
      </c>
      <c r="B936" s="2840">
        <v>43600</v>
      </c>
      <c r="C936" s="2840">
        <v>43650</v>
      </c>
      <c r="D936" s="2841">
        <f t="shared" si="74"/>
        <v>5537</v>
      </c>
      <c r="E936" s="2841">
        <f t="shared" si="75"/>
        <v>4854</v>
      </c>
      <c r="F936" s="2841">
        <f t="shared" si="76"/>
        <v>5537</v>
      </c>
      <c r="G936" s="2841">
        <f t="shared" si="77"/>
        <v>4963</v>
      </c>
    </row>
    <row r="937" spans="1:7" ht="15.75">
      <c r="A937" s="3022">
        <f t="shared" si="78"/>
        <v>43675</v>
      </c>
      <c r="B937" s="2840">
        <v>43650</v>
      </c>
      <c r="C937" s="2840">
        <v>43700</v>
      </c>
      <c r="D937" s="2841">
        <f t="shared" si="74"/>
        <v>5548</v>
      </c>
      <c r="E937" s="2841">
        <f t="shared" si="75"/>
        <v>4860</v>
      </c>
      <c r="F937" s="2841">
        <f t="shared" si="76"/>
        <v>5548</v>
      </c>
      <c r="G937" s="2841">
        <f t="shared" si="77"/>
        <v>4969</v>
      </c>
    </row>
    <row r="938" spans="1:7" ht="15.75">
      <c r="A938" s="3022">
        <f t="shared" si="78"/>
        <v>43725</v>
      </c>
      <c r="B938" s="2840">
        <v>43700</v>
      </c>
      <c r="C938" s="2840">
        <v>43750</v>
      </c>
      <c r="D938" s="2841">
        <f t="shared" si="74"/>
        <v>5559</v>
      </c>
      <c r="E938" s="2841">
        <f t="shared" si="75"/>
        <v>4866</v>
      </c>
      <c r="F938" s="2841">
        <f t="shared" si="76"/>
        <v>5559</v>
      </c>
      <c r="G938" s="2841">
        <f t="shared" si="77"/>
        <v>4975</v>
      </c>
    </row>
    <row r="939" spans="1:7" ht="15.75">
      <c r="A939" s="3022">
        <f t="shared" si="78"/>
        <v>43775</v>
      </c>
      <c r="B939" s="2840">
        <v>43750</v>
      </c>
      <c r="C939" s="2840">
        <v>43800</v>
      </c>
      <c r="D939" s="2841">
        <f t="shared" si="74"/>
        <v>5570</v>
      </c>
      <c r="E939" s="2841">
        <f t="shared" si="75"/>
        <v>4872</v>
      </c>
      <c r="F939" s="2841">
        <f t="shared" si="76"/>
        <v>5570</v>
      </c>
      <c r="G939" s="2841">
        <f t="shared" si="77"/>
        <v>4981</v>
      </c>
    </row>
    <row r="940" spans="1:7" ht="15.75">
      <c r="A940" s="3022">
        <f t="shared" si="78"/>
        <v>43825</v>
      </c>
      <c r="B940" s="2840">
        <v>43800</v>
      </c>
      <c r="C940" s="2840">
        <v>43850</v>
      </c>
      <c r="D940" s="2841">
        <f t="shared" si="74"/>
        <v>5581</v>
      </c>
      <c r="E940" s="2841">
        <f t="shared" si="75"/>
        <v>4878</v>
      </c>
      <c r="F940" s="2841">
        <f t="shared" si="76"/>
        <v>5581</v>
      </c>
      <c r="G940" s="2841">
        <f t="shared" si="77"/>
        <v>4987</v>
      </c>
    </row>
    <row r="941" spans="1:7" ht="15.75">
      <c r="A941" s="3022">
        <f t="shared" si="78"/>
        <v>43875</v>
      </c>
      <c r="B941" s="2840">
        <v>43850</v>
      </c>
      <c r="C941" s="2840">
        <v>43900</v>
      </c>
      <c r="D941" s="2841">
        <f t="shared" si="74"/>
        <v>5592</v>
      </c>
      <c r="E941" s="2841">
        <f t="shared" si="75"/>
        <v>4884</v>
      </c>
      <c r="F941" s="2841">
        <f t="shared" si="76"/>
        <v>5592</v>
      </c>
      <c r="G941" s="2841">
        <f t="shared" si="77"/>
        <v>4993</v>
      </c>
    </row>
    <row r="942" spans="1:7" ht="15.75">
      <c r="A942" s="3022">
        <f t="shared" si="78"/>
        <v>43925</v>
      </c>
      <c r="B942" s="2840">
        <v>43900</v>
      </c>
      <c r="C942" s="2840">
        <v>43950</v>
      </c>
      <c r="D942" s="2841">
        <f t="shared" si="74"/>
        <v>5603</v>
      </c>
      <c r="E942" s="2841">
        <f t="shared" si="75"/>
        <v>4890</v>
      </c>
      <c r="F942" s="2841">
        <f t="shared" si="76"/>
        <v>5603</v>
      </c>
      <c r="G942" s="2841">
        <f t="shared" si="77"/>
        <v>4999</v>
      </c>
    </row>
    <row r="943" spans="1:7" ht="15.75">
      <c r="A943" s="3022">
        <f t="shared" si="78"/>
        <v>43975</v>
      </c>
      <c r="B943" s="2840">
        <v>43950</v>
      </c>
      <c r="C943" s="2840">
        <v>44000</v>
      </c>
      <c r="D943" s="2841">
        <f t="shared" si="74"/>
        <v>5614</v>
      </c>
      <c r="E943" s="2841">
        <f t="shared" si="75"/>
        <v>4896</v>
      </c>
      <c r="F943" s="2841">
        <f t="shared" si="76"/>
        <v>5614</v>
      </c>
      <c r="G943" s="2841">
        <f t="shared" si="77"/>
        <v>5005</v>
      </c>
    </row>
    <row r="944" spans="1:7" ht="15.75">
      <c r="A944" s="3022">
        <f t="shared" si="78"/>
        <v>44025</v>
      </c>
      <c r="B944" s="2840">
        <v>44000</v>
      </c>
      <c r="C944" s="2840">
        <v>44050</v>
      </c>
      <c r="D944" s="2841">
        <f t="shared" si="74"/>
        <v>5625</v>
      </c>
      <c r="E944" s="2841">
        <f t="shared" si="75"/>
        <v>4902</v>
      </c>
      <c r="F944" s="2841">
        <f t="shared" si="76"/>
        <v>5625</v>
      </c>
      <c r="G944" s="2841">
        <f t="shared" si="77"/>
        <v>5011</v>
      </c>
    </row>
    <row r="945" spans="1:7" ht="15.75">
      <c r="A945" s="3022">
        <f t="shared" si="78"/>
        <v>44075</v>
      </c>
      <c r="B945" s="2840">
        <v>44050</v>
      </c>
      <c r="C945" s="2840">
        <v>44100</v>
      </c>
      <c r="D945" s="2841">
        <f t="shared" si="74"/>
        <v>5636</v>
      </c>
      <c r="E945" s="2841">
        <f t="shared" si="75"/>
        <v>4908</v>
      </c>
      <c r="F945" s="2841">
        <f t="shared" si="76"/>
        <v>5636</v>
      </c>
      <c r="G945" s="2841">
        <f t="shared" si="77"/>
        <v>5017</v>
      </c>
    </row>
    <row r="946" spans="1:7" ht="15.75">
      <c r="A946" s="3022">
        <f t="shared" si="78"/>
        <v>44125</v>
      </c>
      <c r="B946" s="2840">
        <v>44100</v>
      </c>
      <c r="C946" s="2840">
        <v>44150</v>
      </c>
      <c r="D946" s="2841">
        <f t="shared" si="74"/>
        <v>5647</v>
      </c>
      <c r="E946" s="2841">
        <f t="shared" si="75"/>
        <v>4914</v>
      </c>
      <c r="F946" s="2841">
        <f t="shared" si="76"/>
        <v>5647</v>
      </c>
      <c r="G946" s="2841">
        <f t="shared" si="77"/>
        <v>5023</v>
      </c>
    </row>
    <row r="947" spans="1:7" ht="15.75">
      <c r="A947" s="3022">
        <f t="shared" si="78"/>
        <v>44175</v>
      </c>
      <c r="B947" s="2840">
        <v>44150</v>
      </c>
      <c r="C947" s="2840">
        <v>44200</v>
      </c>
      <c r="D947" s="2841">
        <f t="shared" si="74"/>
        <v>5658</v>
      </c>
      <c r="E947" s="2841">
        <f t="shared" si="75"/>
        <v>4920</v>
      </c>
      <c r="F947" s="2841">
        <f t="shared" si="76"/>
        <v>5658</v>
      </c>
      <c r="G947" s="2841">
        <f t="shared" si="77"/>
        <v>5029</v>
      </c>
    </row>
    <row r="948" spans="1:7" ht="15.75">
      <c r="A948" s="3022">
        <f t="shared" si="78"/>
        <v>44225</v>
      </c>
      <c r="B948" s="2840">
        <v>44200</v>
      </c>
      <c r="C948" s="2840">
        <v>44250</v>
      </c>
      <c r="D948" s="2841">
        <f t="shared" si="74"/>
        <v>5669</v>
      </c>
      <c r="E948" s="2841">
        <f t="shared" si="75"/>
        <v>4926</v>
      </c>
      <c r="F948" s="2841">
        <f t="shared" si="76"/>
        <v>5669</v>
      </c>
      <c r="G948" s="2841">
        <f t="shared" si="77"/>
        <v>5035</v>
      </c>
    </row>
    <row r="949" spans="1:7" ht="15.75">
      <c r="A949" s="3022">
        <f t="shared" si="78"/>
        <v>44275</v>
      </c>
      <c r="B949" s="2840">
        <v>44250</v>
      </c>
      <c r="C949" s="2840">
        <v>44300</v>
      </c>
      <c r="D949" s="2841">
        <f t="shared" si="74"/>
        <v>5680</v>
      </c>
      <c r="E949" s="2841">
        <f t="shared" si="75"/>
        <v>4932</v>
      </c>
      <c r="F949" s="2841">
        <f t="shared" si="76"/>
        <v>5680</v>
      </c>
      <c r="G949" s="2841">
        <f t="shared" si="77"/>
        <v>5041</v>
      </c>
    </row>
    <row r="950" spans="1:7" ht="15.75">
      <c r="A950" s="3022">
        <f t="shared" si="78"/>
        <v>44325</v>
      </c>
      <c r="B950" s="2840">
        <v>44300</v>
      </c>
      <c r="C950" s="2840">
        <v>44350</v>
      </c>
      <c r="D950" s="2841">
        <f t="shared" si="74"/>
        <v>5691</v>
      </c>
      <c r="E950" s="2841">
        <f t="shared" si="75"/>
        <v>4938</v>
      </c>
      <c r="F950" s="2841">
        <f t="shared" si="76"/>
        <v>5691</v>
      </c>
      <c r="G950" s="2841">
        <f t="shared" si="77"/>
        <v>5047</v>
      </c>
    </row>
    <row r="951" spans="1:7" ht="15.75">
      <c r="A951" s="3022">
        <f t="shared" si="78"/>
        <v>44375</v>
      </c>
      <c r="B951" s="2840">
        <v>44350</v>
      </c>
      <c r="C951" s="2840">
        <v>44400</v>
      </c>
      <c r="D951" s="2841">
        <f t="shared" si="74"/>
        <v>5702</v>
      </c>
      <c r="E951" s="2841">
        <f t="shared" si="75"/>
        <v>4944</v>
      </c>
      <c r="F951" s="2841">
        <f t="shared" si="76"/>
        <v>5702</v>
      </c>
      <c r="G951" s="2841">
        <f t="shared" si="77"/>
        <v>5053</v>
      </c>
    </row>
    <row r="952" spans="1:7" ht="15.75">
      <c r="A952" s="3022">
        <f t="shared" si="78"/>
        <v>44425</v>
      </c>
      <c r="B952" s="2840">
        <v>44400</v>
      </c>
      <c r="C952" s="2840">
        <v>44450</v>
      </c>
      <c r="D952" s="2841">
        <f t="shared" si="74"/>
        <v>5713</v>
      </c>
      <c r="E952" s="2841">
        <f t="shared" si="75"/>
        <v>4950</v>
      </c>
      <c r="F952" s="2841">
        <f t="shared" si="76"/>
        <v>5713</v>
      </c>
      <c r="G952" s="2841">
        <f t="shared" si="77"/>
        <v>5059</v>
      </c>
    </row>
    <row r="953" spans="1:7" ht="15.75">
      <c r="A953" s="3022">
        <f t="shared" si="78"/>
        <v>44475</v>
      </c>
      <c r="B953" s="2840">
        <v>44450</v>
      </c>
      <c r="C953" s="2840">
        <v>44500</v>
      </c>
      <c r="D953" s="2841">
        <f t="shared" si="74"/>
        <v>5724</v>
      </c>
      <c r="E953" s="2841">
        <f t="shared" si="75"/>
        <v>4956</v>
      </c>
      <c r="F953" s="2841">
        <f t="shared" si="76"/>
        <v>5724</v>
      </c>
      <c r="G953" s="2841">
        <f t="shared" si="77"/>
        <v>5065</v>
      </c>
    </row>
    <row r="954" spans="1:7" ht="15.75">
      <c r="A954" s="3022">
        <f t="shared" si="78"/>
        <v>44525</v>
      </c>
      <c r="B954" s="2840">
        <v>44500</v>
      </c>
      <c r="C954" s="2840">
        <v>44550</v>
      </c>
      <c r="D954" s="2841">
        <f t="shared" si="74"/>
        <v>5735</v>
      </c>
      <c r="E954" s="2841">
        <f t="shared" si="75"/>
        <v>4962</v>
      </c>
      <c r="F954" s="2841">
        <f t="shared" si="76"/>
        <v>5735</v>
      </c>
      <c r="G954" s="2841">
        <f t="shared" si="77"/>
        <v>5071</v>
      </c>
    </row>
    <row r="955" spans="1:7" ht="15.75">
      <c r="A955" s="3022">
        <f t="shared" si="78"/>
        <v>44575</v>
      </c>
      <c r="B955" s="2840">
        <v>44550</v>
      </c>
      <c r="C955" s="2840">
        <v>44600</v>
      </c>
      <c r="D955" s="2841">
        <f t="shared" si="74"/>
        <v>5746</v>
      </c>
      <c r="E955" s="2841">
        <f t="shared" si="75"/>
        <v>4968</v>
      </c>
      <c r="F955" s="2841">
        <f t="shared" si="76"/>
        <v>5746</v>
      </c>
      <c r="G955" s="2841">
        <f t="shared" si="77"/>
        <v>5077</v>
      </c>
    </row>
    <row r="956" spans="1:7" ht="15.75">
      <c r="A956" s="3022">
        <f t="shared" si="78"/>
        <v>44625</v>
      </c>
      <c r="B956" s="2840">
        <v>44600</v>
      </c>
      <c r="C956" s="2840">
        <v>44650</v>
      </c>
      <c r="D956" s="2841">
        <f t="shared" si="74"/>
        <v>5757</v>
      </c>
      <c r="E956" s="2841">
        <f t="shared" si="75"/>
        <v>4974</v>
      </c>
      <c r="F956" s="2841">
        <f t="shared" si="76"/>
        <v>5757</v>
      </c>
      <c r="G956" s="2841">
        <f t="shared" si="77"/>
        <v>5083</v>
      </c>
    </row>
    <row r="957" spans="1:7" ht="15.75">
      <c r="A957" s="3022">
        <f t="shared" si="78"/>
        <v>44675</v>
      </c>
      <c r="B957" s="2840">
        <v>44650</v>
      </c>
      <c r="C957" s="2840">
        <v>44700</v>
      </c>
      <c r="D957" s="2841">
        <f t="shared" si="74"/>
        <v>5768</v>
      </c>
      <c r="E957" s="2841">
        <f t="shared" si="75"/>
        <v>4980</v>
      </c>
      <c r="F957" s="2841">
        <f t="shared" si="76"/>
        <v>5768</v>
      </c>
      <c r="G957" s="2841">
        <f t="shared" si="77"/>
        <v>5089</v>
      </c>
    </row>
    <row r="958" spans="1:7" ht="15.75">
      <c r="A958" s="3022">
        <f t="shared" si="78"/>
        <v>44725</v>
      </c>
      <c r="B958" s="2840">
        <v>44700</v>
      </c>
      <c r="C958" s="2840">
        <v>44750</v>
      </c>
      <c r="D958" s="2841">
        <f t="shared" si="74"/>
        <v>5779</v>
      </c>
      <c r="E958" s="2841">
        <f t="shared" si="75"/>
        <v>4986</v>
      </c>
      <c r="F958" s="2841">
        <f t="shared" si="76"/>
        <v>5779</v>
      </c>
      <c r="G958" s="2841">
        <f t="shared" si="77"/>
        <v>5095</v>
      </c>
    </row>
    <row r="959" spans="1:7" ht="15.75">
      <c r="A959" s="3022">
        <f t="shared" si="78"/>
        <v>44775</v>
      </c>
      <c r="B959" s="2840">
        <v>44750</v>
      </c>
      <c r="C959" s="2840">
        <v>44800</v>
      </c>
      <c r="D959" s="2841">
        <f t="shared" si="74"/>
        <v>5790</v>
      </c>
      <c r="E959" s="2841">
        <f t="shared" si="75"/>
        <v>4992</v>
      </c>
      <c r="F959" s="2841">
        <f t="shared" si="76"/>
        <v>5790</v>
      </c>
      <c r="G959" s="2841">
        <f t="shared" si="77"/>
        <v>5101</v>
      </c>
    </row>
    <row r="960" spans="1:7" ht="15.75">
      <c r="A960" s="3022">
        <f t="shared" si="78"/>
        <v>44825</v>
      </c>
      <c r="B960" s="2840">
        <v>44800</v>
      </c>
      <c r="C960" s="2840">
        <v>44850</v>
      </c>
      <c r="D960" s="2841">
        <f t="shared" si="74"/>
        <v>5801</v>
      </c>
      <c r="E960" s="2841">
        <f t="shared" si="75"/>
        <v>4998</v>
      </c>
      <c r="F960" s="2841">
        <f t="shared" si="76"/>
        <v>5801</v>
      </c>
      <c r="G960" s="2841">
        <f t="shared" si="77"/>
        <v>5107</v>
      </c>
    </row>
    <row r="961" spans="1:7" ht="15.75">
      <c r="A961" s="3022">
        <f t="shared" si="78"/>
        <v>44875</v>
      </c>
      <c r="B961" s="2840">
        <v>44850</v>
      </c>
      <c r="C961" s="2840">
        <v>44900</v>
      </c>
      <c r="D961" s="2841">
        <f t="shared" si="74"/>
        <v>5812</v>
      </c>
      <c r="E961" s="2841">
        <f t="shared" si="75"/>
        <v>5004</v>
      </c>
      <c r="F961" s="2841">
        <f t="shared" si="76"/>
        <v>5812</v>
      </c>
      <c r="G961" s="2841">
        <f t="shared" si="77"/>
        <v>5113</v>
      </c>
    </row>
    <row r="962" spans="1:7" ht="15.75">
      <c r="A962" s="3022">
        <f t="shared" si="78"/>
        <v>44925</v>
      </c>
      <c r="B962" s="2840">
        <v>44900</v>
      </c>
      <c r="C962" s="2840">
        <v>44950</v>
      </c>
      <c r="D962" s="2841">
        <f t="shared" ref="D962:D1025" si="79">IF($A962&gt;BOTT_A4,ROUND(BASE_A4+RATE_A4*($A962-BOTT_A4),0),IF($A962&gt;BOTT_A3,ROUND(BASE_A3+RATE_A3*($A962-BOTT_A3),0),IF($A962&gt;BOTT_A2,ROUND(BASE_A2+RATE_A2*($A962-BOTT_A2),0),ROUND(RATE_A1*$A962,0))))</f>
        <v>5823</v>
      </c>
      <c r="E962" s="2841">
        <f t="shared" ref="E962:E1025" si="80">IF($A962&gt;BOTT_B4,ROUND(BASE_B4+RATE_B4*($A962-BOTT_B4),0),IF($A962&gt;BOTT_B3,ROUND(BASE_B3+RATE_B3*($A962-BOTT_B3),0),IF($A962&gt;BOTT_B2,ROUND(BASE_B2+RATE_B2*($A962-BOTT_B2),0),ROUND(RATE_B1*$A962,0))))</f>
        <v>5010</v>
      </c>
      <c r="F962" s="2841">
        <f t="shared" ref="F962:F1025" si="81">IF($A962&gt;BOTT_C4,ROUND(BASE_C4+RATE_C4*($A962-BOTT_C4),0),IF($A962&gt;BOTT_C3,ROUND(BASE_C3+RATE_C3*($A962-BOTT_C3),0),IF($A962&gt;BOTT_C2,ROUND(BASE_C2+RATE_C2*($A962-BOTT_C2),0),ROUND(RATE_C1*$A962,0))))</f>
        <v>5823</v>
      </c>
      <c r="G962" s="2841">
        <f t="shared" ref="G962:G1025" si="82">IF($A962&gt;BOTT_D4,ROUND(BASE_D4+RATE_D4*($A962-BOTT_D4),0),IF($A962&gt;BOTT_D3,ROUND(BASE_D3+RATE_D3*($A962-BOTT_D3),0),IF($A962&gt;BOTT_D2,ROUND(BASE_D2+RATE_D2*($A962-BOTT_D2),0),ROUND(RATE_D1*$A962,0))))</f>
        <v>5119</v>
      </c>
    </row>
    <row r="963" spans="1:7" ht="15.75">
      <c r="A963" s="3022">
        <f t="shared" ref="A963:A1026" si="83">AVERAGE(B963,C963)</f>
        <v>44975</v>
      </c>
      <c r="B963" s="2840">
        <v>44950</v>
      </c>
      <c r="C963" s="2840">
        <v>45000</v>
      </c>
      <c r="D963" s="2841">
        <f t="shared" si="79"/>
        <v>5834</v>
      </c>
      <c r="E963" s="2841">
        <f t="shared" si="80"/>
        <v>5016</v>
      </c>
      <c r="F963" s="2841">
        <f t="shared" si="81"/>
        <v>5834</v>
      </c>
      <c r="G963" s="2841">
        <f t="shared" si="82"/>
        <v>5125</v>
      </c>
    </row>
    <row r="964" spans="1:7" ht="15.75">
      <c r="A964" s="3022">
        <f t="shared" si="83"/>
        <v>45025</v>
      </c>
      <c r="B964" s="2840">
        <v>45000</v>
      </c>
      <c r="C964" s="2840">
        <v>45050</v>
      </c>
      <c r="D964" s="2841">
        <f t="shared" si="79"/>
        <v>5845</v>
      </c>
      <c r="E964" s="2841">
        <f t="shared" si="80"/>
        <v>5022</v>
      </c>
      <c r="F964" s="2841">
        <f t="shared" si="81"/>
        <v>5845</v>
      </c>
      <c r="G964" s="2841">
        <f t="shared" si="82"/>
        <v>5131</v>
      </c>
    </row>
    <row r="965" spans="1:7" ht="15.75">
      <c r="A965" s="3022">
        <f t="shared" si="83"/>
        <v>45075</v>
      </c>
      <c r="B965" s="2840">
        <v>45050</v>
      </c>
      <c r="C965" s="2840">
        <v>45100</v>
      </c>
      <c r="D965" s="2841">
        <f t="shared" si="79"/>
        <v>5856</v>
      </c>
      <c r="E965" s="2841">
        <f t="shared" si="80"/>
        <v>5028</v>
      </c>
      <c r="F965" s="2841">
        <f t="shared" si="81"/>
        <v>5856</v>
      </c>
      <c r="G965" s="2841">
        <f t="shared" si="82"/>
        <v>5137</v>
      </c>
    </row>
    <row r="966" spans="1:7" ht="15.75">
      <c r="A966" s="3022">
        <f t="shared" si="83"/>
        <v>45125</v>
      </c>
      <c r="B966" s="2840">
        <v>45100</v>
      </c>
      <c r="C966" s="2840">
        <v>45150</v>
      </c>
      <c r="D966" s="2841">
        <f t="shared" si="79"/>
        <v>5867</v>
      </c>
      <c r="E966" s="2841">
        <f t="shared" si="80"/>
        <v>5034</v>
      </c>
      <c r="F966" s="2841">
        <f t="shared" si="81"/>
        <v>5867</v>
      </c>
      <c r="G966" s="2841">
        <f t="shared" si="82"/>
        <v>5143</v>
      </c>
    </row>
    <row r="967" spans="1:7" ht="15.75">
      <c r="A967" s="3022">
        <f t="shared" si="83"/>
        <v>45175</v>
      </c>
      <c r="B967" s="2840">
        <v>45150</v>
      </c>
      <c r="C967" s="2840">
        <v>45200</v>
      </c>
      <c r="D967" s="2841">
        <f t="shared" si="79"/>
        <v>5878</v>
      </c>
      <c r="E967" s="2841">
        <f t="shared" si="80"/>
        <v>5040</v>
      </c>
      <c r="F967" s="2841">
        <f t="shared" si="81"/>
        <v>5878</v>
      </c>
      <c r="G967" s="2841">
        <f t="shared" si="82"/>
        <v>5149</v>
      </c>
    </row>
    <row r="968" spans="1:7" ht="15.75">
      <c r="A968" s="3022">
        <f t="shared" si="83"/>
        <v>45225</v>
      </c>
      <c r="B968" s="2840">
        <v>45200</v>
      </c>
      <c r="C968" s="2840">
        <v>45250</v>
      </c>
      <c r="D968" s="2841">
        <f t="shared" si="79"/>
        <v>5889</v>
      </c>
      <c r="E968" s="2841">
        <f t="shared" si="80"/>
        <v>5046</v>
      </c>
      <c r="F968" s="2841">
        <f t="shared" si="81"/>
        <v>5889</v>
      </c>
      <c r="G968" s="2841">
        <f t="shared" si="82"/>
        <v>5155</v>
      </c>
    </row>
    <row r="969" spans="1:7" ht="15.75">
      <c r="A969" s="3022">
        <f t="shared" si="83"/>
        <v>45275</v>
      </c>
      <c r="B969" s="2840">
        <v>45250</v>
      </c>
      <c r="C969" s="2840">
        <v>45300</v>
      </c>
      <c r="D969" s="2841">
        <f t="shared" si="79"/>
        <v>5900</v>
      </c>
      <c r="E969" s="2841">
        <f t="shared" si="80"/>
        <v>5052</v>
      </c>
      <c r="F969" s="2841">
        <f t="shared" si="81"/>
        <v>5900</v>
      </c>
      <c r="G969" s="2841">
        <f t="shared" si="82"/>
        <v>5161</v>
      </c>
    </row>
    <row r="970" spans="1:7" ht="15.75">
      <c r="A970" s="3022">
        <f t="shared" si="83"/>
        <v>45325</v>
      </c>
      <c r="B970" s="2840">
        <v>45300</v>
      </c>
      <c r="C970" s="2840">
        <v>45350</v>
      </c>
      <c r="D970" s="2841">
        <f t="shared" si="79"/>
        <v>5911</v>
      </c>
      <c r="E970" s="2841">
        <f t="shared" si="80"/>
        <v>5058</v>
      </c>
      <c r="F970" s="2841">
        <f t="shared" si="81"/>
        <v>5911</v>
      </c>
      <c r="G970" s="2841">
        <f t="shared" si="82"/>
        <v>5167</v>
      </c>
    </row>
    <row r="971" spans="1:7" ht="15.75">
      <c r="A971" s="3022">
        <f t="shared" si="83"/>
        <v>45375</v>
      </c>
      <c r="B971" s="2840">
        <v>45350</v>
      </c>
      <c r="C971" s="2840">
        <v>45400</v>
      </c>
      <c r="D971" s="2841">
        <f t="shared" si="79"/>
        <v>5922</v>
      </c>
      <c r="E971" s="2841">
        <f t="shared" si="80"/>
        <v>5064</v>
      </c>
      <c r="F971" s="2841">
        <f t="shared" si="81"/>
        <v>5922</v>
      </c>
      <c r="G971" s="2841">
        <f t="shared" si="82"/>
        <v>5173</v>
      </c>
    </row>
    <row r="972" spans="1:7" ht="15.75">
      <c r="A972" s="3022">
        <f t="shared" si="83"/>
        <v>45425</v>
      </c>
      <c r="B972" s="2840">
        <v>45400</v>
      </c>
      <c r="C972" s="2840">
        <v>45450</v>
      </c>
      <c r="D972" s="2841">
        <f t="shared" si="79"/>
        <v>5933</v>
      </c>
      <c r="E972" s="2841">
        <f t="shared" si="80"/>
        <v>5070</v>
      </c>
      <c r="F972" s="2841">
        <f t="shared" si="81"/>
        <v>5933</v>
      </c>
      <c r="G972" s="2841">
        <f t="shared" si="82"/>
        <v>5179</v>
      </c>
    </row>
    <row r="973" spans="1:7" ht="15.75">
      <c r="A973" s="3022">
        <f t="shared" si="83"/>
        <v>45475</v>
      </c>
      <c r="B973" s="2840">
        <v>45450</v>
      </c>
      <c r="C973" s="2840">
        <v>45500</v>
      </c>
      <c r="D973" s="2841">
        <f t="shared" si="79"/>
        <v>5944</v>
      </c>
      <c r="E973" s="2841">
        <f t="shared" si="80"/>
        <v>5076</v>
      </c>
      <c r="F973" s="2841">
        <f t="shared" si="81"/>
        <v>5944</v>
      </c>
      <c r="G973" s="2841">
        <f t="shared" si="82"/>
        <v>5185</v>
      </c>
    </row>
    <row r="974" spans="1:7" ht="15.75">
      <c r="A974" s="3022">
        <f t="shared" si="83"/>
        <v>45525</v>
      </c>
      <c r="B974" s="2840">
        <v>45500</v>
      </c>
      <c r="C974" s="2840">
        <v>45550</v>
      </c>
      <c r="D974" s="2841">
        <f t="shared" si="79"/>
        <v>5955</v>
      </c>
      <c r="E974" s="2841">
        <f t="shared" si="80"/>
        <v>5082</v>
      </c>
      <c r="F974" s="2841">
        <f t="shared" si="81"/>
        <v>5955</v>
      </c>
      <c r="G974" s="2841">
        <f t="shared" si="82"/>
        <v>5191</v>
      </c>
    </row>
    <row r="975" spans="1:7" ht="15.75">
      <c r="A975" s="3022">
        <f t="shared" si="83"/>
        <v>45575</v>
      </c>
      <c r="B975" s="2840">
        <v>45550</v>
      </c>
      <c r="C975" s="2840">
        <v>45600</v>
      </c>
      <c r="D975" s="2841">
        <f t="shared" si="79"/>
        <v>5966</v>
      </c>
      <c r="E975" s="2841">
        <f t="shared" si="80"/>
        <v>5088</v>
      </c>
      <c r="F975" s="2841">
        <f t="shared" si="81"/>
        <v>5966</v>
      </c>
      <c r="G975" s="2841">
        <f t="shared" si="82"/>
        <v>5197</v>
      </c>
    </row>
    <row r="976" spans="1:7" ht="15.75">
      <c r="A976" s="3022">
        <f t="shared" si="83"/>
        <v>45625</v>
      </c>
      <c r="B976" s="2840">
        <v>45600</v>
      </c>
      <c r="C976" s="2840">
        <v>45650</v>
      </c>
      <c r="D976" s="2841">
        <f t="shared" si="79"/>
        <v>5977</v>
      </c>
      <c r="E976" s="2841">
        <f t="shared" si="80"/>
        <v>5094</v>
      </c>
      <c r="F976" s="2841">
        <f t="shared" si="81"/>
        <v>5977</v>
      </c>
      <c r="G976" s="2841">
        <f t="shared" si="82"/>
        <v>5203</v>
      </c>
    </row>
    <row r="977" spans="1:7" ht="15.75">
      <c r="A977" s="3022">
        <f t="shared" si="83"/>
        <v>45675</v>
      </c>
      <c r="B977" s="2840">
        <v>45650</v>
      </c>
      <c r="C977" s="2840">
        <v>45700</v>
      </c>
      <c r="D977" s="2841">
        <f t="shared" si="79"/>
        <v>5988</v>
      </c>
      <c r="E977" s="2841">
        <f t="shared" si="80"/>
        <v>5100</v>
      </c>
      <c r="F977" s="2841">
        <f t="shared" si="81"/>
        <v>5988</v>
      </c>
      <c r="G977" s="2841">
        <f t="shared" si="82"/>
        <v>5209</v>
      </c>
    </row>
    <row r="978" spans="1:7" ht="15.75">
      <c r="A978" s="3022">
        <f t="shared" si="83"/>
        <v>45725</v>
      </c>
      <c r="B978" s="2840">
        <v>45700</v>
      </c>
      <c r="C978" s="2840">
        <v>45750</v>
      </c>
      <c r="D978" s="2841">
        <f t="shared" si="79"/>
        <v>5999</v>
      </c>
      <c r="E978" s="2841">
        <f t="shared" si="80"/>
        <v>5106</v>
      </c>
      <c r="F978" s="2841">
        <f t="shared" si="81"/>
        <v>5999</v>
      </c>
      <c r="G978" s="2841">
        <f t="shared" si="82"/>
        <v>5215</v>
      </c>
    </row>
    <row r="979" spans="1:7" ht="15.75">
      <c r="A979" s="3022">
        <f t="shared" si="83"/>
        <v>45775</v>
      </c>
      <c r="B979" s="2840">
        <v>45750</v>
      </c>
      <c r="C979" s="2840">
        <v>45800</v>
      </c>
      <c r="D979" s="2841">
        <f t="shared" si="79"/>
        <v>6010</v>
      </c>
      <c r="E979" s="2841">
        <f t="shared" si="80"/>
        <v>5112</v>
      </c>
      <c r="F979" s="2841">
        <f t="shared" si="81"/>
        <v>6010</v>
      </c>
      <c r="G979" s="2841">
        <f t="shared" si="82"/>
        <v>5221</v>
      </c>
    </row>
    <row r="980" spans="1:7" ht="15.75">
      <c r="A980" s="3022">
        <f t="shared" si="83"/>
        <v>45825</v>
      </c>
      <c r="B980" s="2840">
        <v>45800</v>
      </c>
      <c r="C980" s="2840">
        <v>45850</v>
      </c>
      <c r="D980" s="2841">
        <f t="shared" si="79"/>
        <v>6021</v>
      </c>
      <c r="E980" s="2841">
        <f t="shared" si="80"/>
        <v>5118</v>
      </c>
      <c r="F980" s="2841">
        <f t="shared" si="81"/>
        <v>6021</v>
      </c>
      <c r="G980" s="2841">
        <f t="shared" si="82"/>
        <v>5227</v>
      </c>
    </row>
    <row r="981" spans="1:7" ht="15.75">
      <c r="A981" s="3022">
        <f t="shared" si="83"/>
        <v>45875</v>
      </c>
      <c r="B981" s="2840">
        <v>45850</v>
      </c>
      <c r="C981" s="2840">
        <v>45900</v>
      </c>
      <c r="D981" s="2841">
        <f t="shared" si="79"/>
        <v>6032</v>
      </c>
      <c r="E981" s="2841">
        <f t="shared" si="80"/>
        <v>5124</v>
      </c>
      <c r="F981" s="2841">
        <f t="shared" si="81"/>
        <v>6032</v>
      </c>
      <c r="G981" s="2841">
        <f t="shared" si="82"/>
        <v>5233</v>
      </c>
    </row>
    <row r="982" spans="1:7" ht="15.75">
      <c r="A982" s="3022">
        <f t="shared" si="83"/>
        <v>45925</v>
      </c>
      <c r="B982" s="2840">
        <v>45900</v>
      </c>
      <c r="C982" s="2840">
        <v>45950</v>
      </c>
      <c r="D982" s="2841">
        <f t="shared" si="79"/>
        <v>6043</v>
      </c>
      <c r="E982" s="2841">
        <f t="shared" si="80"/>
        <v>5130</v>
      </c>
      <c r="F982" s="2841">
        <f t="shared" si="81"/>
        <v>6043</v>
      </c>
      <c r="G982" s="2841">
        <f t="shared" si="82"/>
        <v>5239</v>
      </c>
    </row>
    <row r="983" spans="1:7" ht="15.75">
      <c r="A983" s="3022">
        <f t="shared" si="83"/>
        <v>45975</v>
      </c>
      <c r="B983" s="2840">
        <v>45950</v>
      </c>
      <c r="C983" s="2840">
        <v>46000</v>
      </c>
      <c r="D983" s="2841">
        <f t="shared" si="79"/>
        <v>6054</v>
      </c>
      <c r="E983" s="2841">
        <f t="shared" si="80"/>
        <v>5136</v>
      </c>
      <c r="F983" s="2841">
        <f t="shared" si="81"/>
        <v>6054</v>
      </c>
      <c r="G983" s="2841">
        <f t="shared" si="82"/>
        <v>5245</v>
      </c>
    </row>
    <row r="984" spans="1:7" ht="15.75">
      <c r="A984" s="3022">
        <f t="shared" si="83"/>
        <v>46025</v>
      </c>
      <c r="B984" s="2840">
        <v>46000</v>
      </c>
      <c r="C984" s="2840">
        <v>46050</v>
      </c>
      <c r="D984" s="2841">
        <f t="shared" si="79"/>
        <v>6065</v>
      </c>
      <c r="E984" s="2841">
        <f t="shared" si="80"/>
        <v>5142</v>
      </c>
      <c r="F984" s="2841">
        <f t="shared" si="81"/>
        <v>6065</v>
      </c>
      <c r="G984" s="2841">
        <f t="shared" si="82"/>
        <v>5251</v>
      </c>
    </row>
    <row r="985" spans="1:7" ht="15.75">
      <c r="A985" s="3022">
        <f t="shared" si="83"/>
        <v>46075</v>
      </c>
      <c r="B985" s="2840">
        <v>46050</v>
      </c>
      <c r="C985" s="2840">
        <v>46100</v>
      </c>
      <c r="D985" s="2841">
        <f t="shared" si="79"/>
        <v>6076</v>
      </c>
      <c r="E985" s="2841">
        <f t="shared" si="80"/>
        <v>5148</v>
      </c>
      <c r="F985" s="2841">
        <f t="shared" si="81"/>
        <v>6076</v>
      </c>
      <c r="G985" s="2841">
        <f t="shared" si="82"/>
        <v>5257</v>
      </c>
    </row>
    <row r="986" spans="1:7" ht="15.75">
      <c r="A986" s="3022">
        <f t="shared" si="83"/>
        <v>46125</v>
      </c>
      <c r="B986" s="2840">
        <v>46100</v>
      </c>
      <c r="C986" s="2840">
        <v>46150</v>
      </c>
      <c r="D986" s="2841">
        <f t="shared" si="79"/>
        <v>6087</v>
      </c>
      <c r="E986" s="2841">
        <f t="shared" si="80"/>
        <v>5154</v>
      </c>
      <c r="F986" s="2841">
        <f t="shared" si="81"/>
        <v>6087</v>
      </c>
      <c r="G986" s="2841">
        <f t="shared" si="82"/>
        <v>5263</v>
      </c>
    </row>
    <row r="987" spans="1:7" ht="15.75">
      <c r="A987" s="3022">
        <f t="shared" si="83"/>
        <v>46175</v>
      </c>
      <c r="B987" s="2840">
        <v>46150</v>
      </c>
      <c r="C987" s="2840">
        <v>46200</v>
      </c>
      <c r="D987" s="2841">
        <f t="shared" si="79"/>
        <v>6098</v>
      </c>
      <c r="E987" s="2841">
        <f t="shared" si="80"/>
        <v>5160</v>
      </c>
      <c r="F987" s="2841">
        <f t="shared" si="81"/>
        <v>6098</v>
      </c>
      <c r="G987" s="2841">
        <f t="shared" si="82"/>
        <v>5269</v>
      </c>
    </row>
    <row r="988" spans="1:7" ht="15.75">
      <c r="A988" s="3022">
        <f t="shared" si="83"/>
        <v>46225</v>
      </c>
      <c r="B988" s="2840">
        <v>46200</v>
      </c>
      <c r="C988" s="2840">
        <v>46250</v>
      </c>
      <c r="D988" s="2841">
        <f t="shared" si="79"/>
        <v>6109</v>
      </c>
      <c r="E988" s="2841">
        <f t="shared" si="80"/>
        <v>5166</v>
      </c>
      <c r="F988" s="2841">
        <f t="shared" si="81"/>
        <v>6109</v>
      </c>
      <c r="G988" s="2841">
        <f t="shared" si="82"/>
        <v>5275</v>
      </c>
    </row>
    <row r="989" spans="1:7" ht="15.75">
      <c r="A989" s="3022">
        <f t="shared" si="83"/>
        <v>46275</v>
      </c>
      <c r="B989" s="2840">
        <v>46250</v>
      </c>
      <c r="C989" s="2840">
        <v>46300</v>
      </c>
      <c r="D989" s="2841">
        <f t="shared" si="79"/>
        <v>6120</v>
      </c>
      <c r="E989" s="2841">
        <f t="shared" si="80"/>
        <v>5172</v>
      </c>
      <c r="F989" s="2841">
        <f t="shared" si="81"/>
        <v>6120</v>
      </c>
      <c r="G989" s="2841">
        <f t="shared" si="82"/>
        <v>5281</v>
      </c>
    </row>
    <row r="990" spans="1:7" ht="15.75">
      <c r="A990" s="3022">
        <f t="shared" si="83"/>
        <v>46325</v>
      </c>
      <c r="B990" s="2840">
        <v>46300</v>
      </c>
      <c r="C990" s="2840">
        <v>46350</v>
      </c>
      <c r="D990" s="2841">
        <f t="shared" si="79"/>
        <v>6131</v>
      </c>
      <c r="E990" s="2841">
        <f t="shared" si="80"/>
        <v>5178</v>
      </c>
      <c r="F990" s="2841">
        <f t="shared" si="81"/>
        <v>6131</v>
      </c>
      <c r="G990" s="2841">
        <f t="shared" si="82"/>
        <v>5287</v>
      </c>
    </row>
    <row r="991" spans="1:7" ht="15.75">
      <c r="A991" s="3022">
        <f t="shared" si="83"/>
        <v>46375</v>
      </c>
      <c r="B991" s="2840">
        <v>46350</v>
      </c>
      <c r="C991" s="2840">
        <v>46400</v>
      </c>
      <c r="D991" s="2841">
        <f t="shared" si="79"/>
        <v>6142</v>
      </c>
      <c r="E991" s="2841">
        <f t="shared" si="80"/>
        <v>5184</v>
      </c>
      <c r="F991" s="2841">
        <f t="shared" si="81"/>
        <v>6142</v>
      </c>
      <c r="G991" s="2841">
        <f t="shared" si="82"/>
        <v>5293</v>
      </c>
    </row>
    <row r="992" spans="1:7" ht="15.75">
      <c r="A992" s="3022">
        <f t="shared" si="83"/>
        <v>46425</v>
      </c>
      <c r="B992" s="2840">
        <v>46400</v>
      </c>
      <c r="C992" s="2840">
        <v>46450</v>
      </c>
      <c r="D992" s="2841">
        <f t="shared" si="79"/>
        <v>6153</v>
      </c>
      <c r="E992" s="2841">
        <f t="shared" si="80"/>
        <v>5190</v>
      </c>
      <c r="F992" s="2841">
        <f t="shared" si="81"/>
        <v>6153</v>
      </c>
      <c r="G992" s="2841">
        <f t="shared" si="82"/>
        <v>5299</v>
      </c>
    </row>
    <row r="993" spans="1:7" ht="15.75">
      <c r="A993" s="3022">
        <f t="shared" si="83"/>
        <v>46475</v>
      </c>
      <c r="B993" s="2840">
        <v>46450</v>
      </c>
      <c r="C993" s="2840">
        <v>46500</v>
      </c>
      <c r="D993" s="2841">
        <f t="shared" si="79"/>
        <v>6164</v>
      </c>
      <c r="E993" s="2841">
        <f t="shared" si="80"/>
        <v>5196</v>
      </c>
      <c r="F993" s="2841">
        <f t="shared" si="81"/>
        <v>6164</v>
      </c>
      <c r="G993" s="2841">
        <f t="shared" si="82"/>
        <v>5305</v>
      </c>
    </row>
    <row r="994" spans="1:7" ht="15.75">
      <c r="A994" s="3022">
        <f t="shared" si="83"/>
        <v>46525</v>
      </c>
      <c r="B994" s="2840">
        <v>46500</v>
      </c>
      <c r="C994" s="2840">
        <v>46550</v>
      </c>
      <c r="D994" s="2841">
        <f t="shared" si="79"/>
        <v>6175</v>
      </c>
      <c r="E994" s="2841">
        <f t="shared" si="80"/>
        <v>5202</v>
      </c>
      <c r="F994" s="2841">
        <f t="shared" si="81"/>
        <v>6175</v>
      </c>
      <c r="G994" s="2841">
        <f t="shared" si="82"/>
        <v>5311</v>
      </c>
    </row>
    <row r="995" spans="1:7" ht="15.75">
      <c r="A995" s="3022">
        <f t="shared" si="83"/>
        <v>46575</v>
      </c>
      <c r="B995" s="2840">
        <v>46550</v>
      </c>
      <c r="C995" s="2840">
        <v>46600</v>
      </c>
      <c r="D995" s="2841">
        <f t="shared" si="79"/>
        <v>6186</v>
      </c>
      <c r="E995" s="2841">
        <f t="shared" si="80"/>
        <v>5208</v>
      </c>
      <c r="F995" s="2841">
        <f t="shared" si="81"/>
        <v>6186</v>
      </c>
      <c r="G995" s="2841">
        <f t="shared" si="82"/>
        <v>5317</v>
      </c>
    </row>
    <row r="996" spans="1:7" ht="15.75">
      <c r="A996" s="3022">
        <f t="shared" si="83"/>
        <v>46625</v>
      </c>
      <c r="B996" s="2840">
        <v>46600</v>
      </c>
      <c r="C996" s="2840">
        <v>46650</v>
      </c>
      <c r="D996" s="2841">
        <f t="shared" si="79"/>
        <v>6197</v>
      </c>
      <c r="E996" s="2841">
        <f t="shared" si="80"/>
        <v>5214</v>
      </c>
      <c r="F996" s="2841">
        <f t="shared" si="81"/>
        <v>6197</v>
      </c>
      <c r="G996" s="2841">
        <f t="shared" si="82"/>
        <v>5323</v>
      </c>
    </row>
    <row r="997" spans="1:7" ht="15.75">
      <c r="A997" s="3022">
        <f t="shared" si="83"/>
        <v>46675</v>
      </c>
      <c r="B997" s="2840">
        <v>46650</v>
      </c>
      <c r="C997" s="2840">
        <v>46700</v>
      </c>
      <c r="D997" s="2841">
        <f t="shared" si="79"/>
        <v>6208</v>
      </c>
      <c r="E997" s="2841">
        <f t="shared" si="80"/>
        <v>5220</v>
      </c>
      <c r="F997" s="2841">
        <f t="shared" si="81"/>
        <v>6208</v>
      </c>
      <c r="G997" s="2841">
        <f t="shared" si="82"/>
        <v>5329</v>
      </c>
    </row>
    <row r="998" spans="1:7" ht="15.75">
      <c r="A998" s="3022">
        <f t="shared" si="83"/>
        <v>46725</v>
      </c>
      <c r="B998" s="2840">
        <v>46700</v>
      </c>
      <c r="C998" s="2840">
        <v>46750</v>
      </c>
      <c r="D998" s="2841">
        <f t="shared" si="79"/>
        <v>6219</v>
      </c>
      <c r="E998" s="2841">
        <f t="shared" si="80"/>
        <v>5226</v>
      </c>
      <c r="F998" s="2841">
        <f t="shared" si="81"/>
        <v>6219</v>
      </c>
      <c r="G998" s="2841">
        <f t="shared" si="82"/>
        <v>5335</v>
      </c>
    </row>
    <row r="999" spans="1:7" ht="15.75">
      <c r="A999" s="3022">
        <f t="shared" si="83"/>
        <v>46775</v>
      </c>
      <c r="B999" s="2840">
        <v>46750</v>
      </c>
      <c r="C999" s="2840">
        <v>46800</v>
      </c>
      <c r="D999" s="2841">
        <f t="shared" si="79"/>
        <v>6230</v>
      </c>
      <c r="E999" s="2841">
        <f t="shared" si="80"/>
        <v>5232</v>
      </c>
      <c r="F999" s="2841">
        <f t="shared" si="81"/>
        <v>6230</v>
      </c>
      <c r="G999" s="2841">
        <f t="shared" si="82"/>
        <v>5341</v>
      </c>
    </row>
    <row r="1000" spans="1:7" ht="15.75">
      <c r="A1000" s="3022">
        <f t="shared" si="83"/>
        <v>46825</v>
      </c>
      <c r="B1000" s="2840">
        <v>46800</v>
      </c>
      <c r="C1000" s="2840">
        <v>46850</v>
      </c>
      <c r="D1000" s="2841">
        <f t="shared" si="79"/>
        <v>6241</v>
      </c>
      <c r="E1000" s="2841">
        <f t="shared" si="80"/>
        <v>5238</v>
      </c>
      <c r="F1000" s="2841">
        <f t="shared" si="81"/>
        <v>6241</v>
      </c>
      <c r="G1000" s="2841">
        <f t="shared" si="82"/>
        <v>5347</v>
      </c>
    </row>
    <row r="1001" spans="1:7" ht="15.75">
      <c r="A1001" s="3022">
        <f t="shared" si="83"/>
        <v>46875</v>
      </c>
      <c r="B1001" s="2840">
        <v>46850</v>
      </c>
      <c r="C1001" s="2840">
        <v>46900</v>
      </c>
      <c r="D1001" s="2841">
        <f t="shared" si="79"/>
        <v>6252</v>
      </c>
      <c r="E1001" s="2841">
        <f t="shared" si="80"/>
        <v>5244</v>
      </c>
      <c r="F1001" s="2841">
        <f t="shared" si="81"/>
        <v>6252</v>
      </c>
      <c r="G1001" s="2841">
        <f t="shared" si="82"/>
        <v>5353</v>
      </c>
    </row>
    <row r="1002" spans="1:7" ht="15.75">
      <c r="A1002" s="3022">
        <f t="shared" si="83"/>
        <v>46925</v>
      </c>
      <c r="B1002" s="2840">
        <v>46900</v>
      </c>
      <c r="C1002" s="2840">
        <v>46950</v>
      </c>
      <c r="D1002" s="2841">
        <f t="shared" si="79"/>
        <v>6263</v>
      </c>
      <c r="E1002" s="2841">
        <f t="shared" si="80"/>
        <v>5250</v>
      </c>
      <c r="F1002" s="2841">
        <f t="shared" si="81"/>
        <v>6263</v>
      </c>
      <c r="G1002" s="2841">
        <f t="shared" si="82"/>
        <v>5359</v>
      </c>
    </row>
    <row r="1003" spans="1:7" ht="15.75">
      <c r="A1003" s="3022">
        <f t="shared" si="83"/>
        <v>46975</v>
      </c>
      <c r="B1003" s="2840">
        <v>46950</v>
      </c>
      <c r="C1003" s="2840">
        <v>47000</v>
      </c>
      <c r="D1003" s="2841">
        <f t="shared" si="79"/>
        <v>6274</v>
      </c>
      <c r="E1003" s="2841">
        <f t="shared" si="80"/>
        <v>5256</v>
      </c>
      <c r="F1003" s="2841">
        <f t="shared" si="81"/>
        <v>6274</v>
      </c>
      <c r="G1003" s="2841">
        <f t="shared" si="82"/>
        <v>5365</v>
      </c>
    </row>
    <row r="1004" spans="1:7" ht="15.75">
      <c r="A1004" s="3022">
        <f t="shared" si="83"/>
        <v>47025</v>
      </c>
      <c r="B1004" s="2840">
        <v>47000</v>
      </c>
      <c r="C1004" s="2840">
        <v>47050</v>
      </c>
      <c r="D1004" s="2841">
        <f t="shared" si="79"/>
        <v>6285</v>
      </c>
      <c r="E1004" s="2841">
        <f t="shared" si="80"/>
        <v>5262</v>
      </c>
      <c r="F1004" s="2841">
        <f t="shared" si="81"/>
        <v>6285</v>
      </c>
      <c r="G1004" s="2841">
        <f t="shared" si="82"/>
        <v>5371</v>
      </c>
    </row>
    <row r="1005" spans="1:7" ht="15.75">
      <c r="A1005" s="3022">
        <f t="shared" si="83"/>
        <v>47075</v>
      </c>
      <c r="B1005" s="2840">
        <v>47050</v>
      </c>
      <c r="C1005" s="2840">
        <v>47100</v>
      </c>
      <c r="D1005" s="2841">
        <f t="shared" si="79"/>
        <v>6296</v>
      </c>
      <c r="E1005" s="2841">
        <f t="shared" si="80"/>
        <v>5268</v>
      </c>
      <c r="F1005" s="2841">
        <f t="shared" si="81"/>
        <v>6296</v>
      </c>
      <c r="G1005" s="2841">
        <f t="shared" si="82"/>
        <v>5377</v>
      </c>
    </row>
    <row r="1006" spans="1:7" ht="15.75">
      <c r="A1006" s="3022">
        <f t="shared" si="83"/>
        <v>47125</v>
      </c>
      <c r="B1006" s="2840">
        <v>47100</v>
      </c>
      <c r="C1006" s="2840">
        <v>47150</v>
      </c>
      <c r="D1006" s="2841">
        <f t="shared" si="79"/>
        <v>6307</v>
      </c>
      <c r="E1006" s="2841">
        <f t="shared" si="80"/>
        <v>5274</v>
      </c>
      <c r="F1006" s="2841">
        <f t="shared" si="81"/>
        <v>6307</v>
      </c>
      <c r="G1006" s="2841">
        <f t="shared" si="82"/>
        <v>5383</v>
      </c>
    </row>
    <row r="1007" spans="1:7" ht="15.75">
      <c r="A1007" s="3022">
        <f t="shared" si="83"/>
        <v>47175</v>
      </c>
      <c r="B1007" s="2840">
        <v>47150</v>
      </c>
      <c r="C1007" s="2840">
        <v>47200</v>
      </c>
      <c r="D1007" s="2841">
        <f t="shared" si="79"/>
        <v>6318</v>
      </c>
      <c r="E1007" s="2841">
        <f t="shared" si="80"/>
        <v>5280</v>
      </c>
      <c r="F1007" s="2841">
        <f t="shared" si="81"/>
        <v>6318</v>
      </c>
      <c r="G1007" s="2841">
        <f t="shared" si="82"/>
        <v>5389</v>
      </c>
    </row>
    <row r="1008" spans="1:7" ht="15.75">
      <c r="A1008" s="3022">
        <f t="shared" si="83"/>
        <v>47225</v>
      </c>
      <c r="B1008" s="2840">
        <v>47200</v>
      </c>
      <c r="C1008" s="2840">
        <v>47250</v>
      </c>
      <c r="D1008" s="2841">
        <f t="shared" si="79"/>
        <v>6329</v>
      </c>
      <c r="E1008" s="2841">
        <f t="shared" si="80"/>
        <v>5286</v>
      </c>
      <c r="F1008" s="2841">
        <f t="shared" si="81"/>
        <v>6329</v>
      </c>
      <c r="G1008" s="2841">
        <f t="shared" si="82"/>
        <v>5395</v>
      </c>
    </row>
    <row r="1009" spans="1:7" ht="15.75">
      <c r="A1009" s="3022">
        <f t="shared" si="83"/>
        <v>47275</v>
      </c>
      <c r="B1009" s="2840">
        <v>47250</v>
      </c>
      <c r="C1009" s="2840">
        <v>47300</v>
      </c>
      <c r="D1009" s="2841">
        <f t="shared" si="79"/>
        <v>6340</v>
      </c>
      <c r="E1009" s="2841">
        <f t="shared" si="80"/>
        <v>5292</v>
      </c>
      <c r="F1009" s="2841">
        <f t="shared" si="81"/>
        <v>6340</v>
      </c>
      <c r="G1009" s="2841">
        <f t="shared" si="82"/>
        <v>5401</v>
      </c>
    </row>
    <row r="1010" spans="1:7" ht="15.75">
      <c r="A1010" s="3022">
        <f t="shared" si="83"/>
        <v>47325</v>
      </c>
      <c r="B1010" s="2840">
        <v>47300</v>
      </c>
      <c r="C1010" s="2840">
        <v>47350</v>
      </c>
      <c r="D1010" s="2841">
        <f t="shared" si="79"/>
        <v>6351</v>
      </c>
      <c r="E1010" s="2841">
        <f t="shared" si="80"/>
        <v>5298</v>
      </c>
      <c r="F1010" s="2841">
        <f t="shared" si="81"/>
        <v>6351</v>
      </c>
      <c r="G1010" s="2841">
        <f t="shared" si="82"/>
        <v>5407</v>
      </c>
    </row>
    <row r="1011" spans="1:7" ht="15.75">
      <c r="A1011" s="3022">
        <f t="shared" si="83"/>
        <v>47375</v>
      </c>
      <c r="B1011" s="2840">
        <v>47350</v>
      </c>
      <c r="C1011" s="2840">
        <v>47400</v>
      </c>
      <c r="D1011" s="2841">
        <f t="shared" si="79"/>
        <v>6362</v>
      </c>
      <c r="E1011" s="2841">
        <f t="shared" si="80"/>
        <v>5304</v>
      </c>
      <c r="F1011" s="2841">
        <f t="shared" si="81"/>
        <v>6362</v>
      </c>
      <c r="G1011" s="2841">
        <f t="shared" si="82"/>
        <v>5413</v>
      </c>
    </row>
    <row r="1012" spans="1:7" ht="15.75">
      <c r="A1012" s="3022">
        <f t="shared" si="83"/>
        <v>47425</v>
      </c>
      <c r="B1012" s="2840">
        <v>47400</v>
      </c>
      <c r="C1012" s="2840">
        <v>47450</v>
      </c>
      <c r="D1012" s="2841">
        <f t="shared" si="79"/>
        <v>6373</v>
      </c>
      <c r="E1012" s="2841">
        <f t="shared" si="80"/>
        <v>5310</v>
      </c>
      <c r="F1012" s="2841">
        <f t="shared" si="81"/>
        <v>6373</v>
      </c>
      <c r="G1012" s="2841">
        <f t="shared" si="82"/>
        <v>5419</v>
      </c>
    </row>
    <row r="1013" spans="1:7" ht="15.75">
      <c r="A1013" s="3022">
        <f t="shared" si="83"/>
        <v>47475</v>
      </c>
      <c r="B1013" s="2840">
        <v>47450</v>
      </c>
      <c r="C1013" s="2840">
        <v>47500</v>
      </c>
      <c r="D1013" s="2841">
        <f t="shared" si="79"/>
        <v>6384</v>
      </c>
      <c r="E1013" s="2841">
        <f t="shared" si="80"/>
        <v>5316</v>
      </c>
      <c r="F1013" s="2841">
        <f t="shared" si="81"/>
        <v>6384</v>
      </c>
      <c r="G1013" s="2841">
        <f t="shared" si="82"/>
        <v>5425</v>
      </c>
    </row>
    <row r="1014" spans="1:7" ht="15.75">
      <c r="A1014" s="3022">
        <f t="shared" si="83"/>
        <v>47525</v>
      </c>
      <c r="B1014" s="2840">
        <v>47500</v>
      </c>
      <c r="C1014" s="2840">
        <v>47550</v>
      </c>
      <c r="D1014" s="2841">
        <f t="shared" si="79"/>
        <v>6395</v>
      </c>
      <c r="E1014" s="2841">
        <f t="shared" si="80"/>
        <v>5322</v>
      </c>
      <c r="F1014" s="2841">
        <f t="shared" si="81"/>
        <v>6395</v>
      </c>
      <c r="G1014" s="2841">
        <f t="shared" si="82"/>
        <v>5431</v>
      </c>
    </row>
    <row r="1015" spans="1:7" ht="15.75">
      <c r="A1015" s="3022">
        <f t="shared" si="83"/>
        <v>47575</v>
      </c>
      <c r="B1015" s="2840">
        <v>47550</v>
      </c>
      <c r="C1015" s="2840">
        <v>47600</v>
      </c>
      <c r="D1015" s="2841">
        <f t="shared" si="79"/>
        <v>6406</v>
      </c>
      <c r="E1015" s="2841">
        <f t="shared" si="80"/>
        <v>5328</v>
      </c>
      <c r="F1015" s="2841">
        <f t="shared" si="81"/>
        <v>6406</v>
      </c>
      <c r="G1015" s="2841">
        <f t="shared" si="82"/>
        <v>5437</v>
      </c>
    </row>
    <row r="1016" spans="1:7" ht="15.75">
      <c r="A1016" s="3022">
        <f t="shared" si="83"/>
        <v>47625</v>
      </c>
      <c r="B1016" s="2840">
        <v>47600</v>
      </c>
      <c r="C1016" s="2840">
        <v>47650</v>
      </c>
      <c r="D1016" s="2841">
        <f t="shared" si="79"/>
        <v>6417</v>
      </c>
      <c r="E1016" s="2841">
        <f t="shared" si="80"/>
        <v>5334</v>
      </c>
      <c r="F1016" s="2841">
        <f t="shared" si="81"/>
        <v>6417</v>
      </c>
      <c r="G1016" s="2841">
        <f t="shared" si="82"/>
        <v>5443</v>
      </c>
    </row>
    <row r="1017" spans="1:7" ht="15.75">
      <c r="A1017" s="3022">
        <f t="shared" si="83"/>
        <v>47675</v>
      </c>
      <c r="B1017" s="2840">
        <v>47650</v>
      </c>
      <c r="C1017" s="2840">
        <v>47700</v>
      </c>
      <c r="D1017" s="2841">
        <f t="shared" si="79"/>
        <v>6428</v>
      </c>
      <c r="E1017" s="2841">
        <f t="shared" si="80"/>
        <v>5340</v>
      </c>
      <c r="F1017" s="2841">
        <f t="shared" si="81"/>
        <v>6428</v>
      </c>
      <c r="G1017" s="2841">
        <f t="shared" si="82"/>
        <v>5449</v>
      </c>
    </row>
    <row r="1018" spans="1:7" ht="15.75">
      <c r="A1018" s="3022">
        <f t="shared" si="83"/>
        <v>47725</v>
      </c>
      <c r="B1018" s="2840">
        <v>47700</v>
      </c>
      <c r="C1018" s="2840">
        <v>47750</v>
      </c>
      <c r="D1018" s="2841">
        <f t="shared" si="79"/>
        <v>6439</v>
      </c>
      <c r="E1018" s="2841">
        <f t="shared" si="80"/>
        <v>5346</v>
      </c>
      <c r="F1018" s="2841">
        <f t="shared" si="81"/>
        <v>6439</v>
      </c>
      <c r="G1018" s="2841">
        <f t="shared" si="82"/>
        <v>5455</v>
      </c>
    </row>
    <row r="1019" spans="1:7" ht="15.75">
      <c r="A1019" s="3022">
        <f t="shared" si="83"/>
        <v>47775</v>
      </c>
      <c r="B1019" s="2840">
        <v>47750</v>
      </c>
      <c r="C1019" s="2840">
        <v>47800</v>
      </c>
      <c r="D1019" s="2841">
        <f t="shared" si="79"/>
        <v>6450</v>
      </c>
      <c r="E1019" s="2841">
        <f t="shared" si="80"/>
        <v>5352</v>
      </c>
      <c r="F1019" s="2841">
        <f t="shared" si="81"/>
        <v>6450</v>
      </c>
      <c r="G1019" s="2841">
        <f t="shared" si="82"/>
        <v>5461</v>
      </c>
    </row>
    <row r="1020" spans="1:7" ht="15.75">
      <c r="A1020" s="3022">
        <f t="shared" si="83"/>
        <v>47825</v>
      </c>
      <c r="B1020" s="2840">
        <v>47800</v>
      </c>
      <c r="C1020" s="2840">
        <v>47850</v>
      </c>
      <c r="D1020" s="2841">
        <f t="shared" si="79"/>
        <v>6461</v>
      </c>
      <c r="E1020" s="2841">
        <f t="shared" si="80"/>
        <v>5358</v>
      </c>
      <c r="F1020" s="2841">
        <f t="shared" si="81"/>
        <v>6461</v>
      </c>
      <c r="G1020" s="2841">
        <f t="shared" si="82"/>
        <v>5467</v>
      </c>
    </row>
    <row r="1021" spans="1:7" ht="15.75">
      <c r="A1021" s="3022">
        <f t="shared" si="83"/>
        <v>47875</v>
      </c>
      <c r="B1021" s="2840">
        <v>47850</v>
      </c>
      <c r="C1021" s="2840">
        <v>47900</v>
      </c>
      <c r="D1021" s="2841">
        <f t="shared" si="79"/>
        <v>6472</v>
      </c>
      <c r="E1021" s="2841">
        <f t="shared" si="80"/>
        <v>5364</v>
      </c>
      <c r="F1021" s="2841">
        <f t="shared" si="81"/>
        <v>6472</v>
      </c>
      <c r="G1021" s="2841">
        <f t="shared" si="82"/>
        <v>5473</v>
      </c>
    </row>
    <row r="1022" spans="1:7" ht="15.75">
      <c r="A1022" s="3022">
        <f t="shared" si="83"/>
        <v>47925</v>
      </c>
      <c r="B1022" s="2840">
        <v>47900</v>
      </c>
      <c r="C1022" s="2840">
        <v>47950</v>
      </c>
      <c r="D1022" s="2841">
        <f t="shared" si="79"/>
        <v>6483</v>
      </c>
      <c r="E1022" s="2841">
        <f t="shared" si="80"/>
        <v>5370</v>
      </c>
      <c r="F1022" s="2841">
        <f t="shared" si="81"/>
        <v>6483</v>
      </c>
      <c r="G1022" s="2841">
        <f t="shared" si="82"/>
        <v>5479</v>
      </c>
    </row>
    <row r="1023" spans="1:7" ht="15.75">
      <c r="A1023" s="3022">
        <f t="shared" si="83"/>
        <v>47975</v>
      </c>
      <c r="B1023" s="2840">
        <v>47950</v>
      </c>
      <c r="C1023" s="2840">
        <v>48000</v>
      </c>
      <c r="D1023" s="2841">
        <f t="shared" si="79"/>
        <v>6494</v>
      </c>
      <c r="E1023" s="2841">
        <f t="shared" si="80"/>
        <v>5376</v>
      </c>
      <c r="F1023" s="2841">
        <f t="shared" si="81"/>
        <v>6494</v>
      </c>
      <c r="G1023" s="2841">
        <f t="shared" si="82"/>
        <v>5485</v>
      </c>
    </row>
    <row r="1024" spans="1:7" ht="15.75">
      <c r="A1024" s="3022">
        <f t="shared" si="83"/>
        <v>48025</v>
      </c>
      <c r="B1024" s="2840">
        <v>48000</v>
      </c>
      <c r="C1024" s="2840">
        <v>48050</v>
      </c>
      <c r="D1024" s="2841">
        <f t="shared" si="79"/>
        <v>6505</v>
      </c>
      <c r="E1024" s="2841">
        <f t="shared" si="80"/>
        <v>5382</v>
      </c>
      <c r="F1024" s="2841">
        <f t="shared" si="81"/>
        <v>6505</v>
      </c>
      <c r="G1024" s="2841">
        <f t="shared" si="82"/>
        <v>5491</v>
      </c>
    </row>
    <row r="1025" spans="1:7" ht="15.75">
      <c r="A1025" s="3022">
        <f t="shared" si="83"/>
        <v>48075</v>
      </c>
      <c r="B1025" s="2840">
        <v>48050</v>
      </c>
      <c r="C1025" s="2840">
        <v>48100</v>
      </c>
      <c r="D1025" s="2841">
        <f t="shared" si="79"/>
        <v>6516</v>
      </c>
      <c r="E1025" s="2841">
        <f t="shared" si="80"/>
        <v>5388</v>
      </c>
      <c r="F1025" s="2841">
        <f t="shared" si="81"/>
        <v>6516</v>
      </c>
      <c r="G1025" s="2841">
        <f t="shared" si="82"/>
        <v>5497</v>
      </c>
    </row>
    <row r="1026" spans="1:7" ht="15.75">
      <c r="A1026" s="3022">
        <f t="shared" si="83"/>
        <v>48125</v>
      </c>
      <c r="B1026" s="2840">
        <v>48100</v>
      </c>
      <c r="C1026" s="2840">
        <v>48150</v>
      </c>
      <c r="D1026" s="2841">
        <f t="shared" ref="D1026:D1089" si="84">IF($A1026&gt;BOTT_A4,ROUND(BASE_A4+RATE_A4*($A1026-BOTT_A4),0),IF($A1026&gt;BOTT_A3,ROUND(BASE_A3+RATE_A3*($A1026-BOTT_A3),0),IF($A1026&gt;BOTT_A2,ROUND(BASE_A2+RATE_A2*($A1026-BOTT_A2),0),ROUND(RATE_A1*$A1026,0))))</f>
        <v>6527</v>
      </c>
      <c r="E1026" s="2841">
        <f t="shared" ref="E1026:E1089" si="85">IF($A1026&gt;BOTT_B4,ROUND(BASE_B4+RATE_B4*($A1026-BOTT_B4),0),IF($A1026&gt;BOTT_B3,ROUND(BASE_B3+RATE_B3*($A1026-BOTT_B3),0),IF($A1026&gt;BOTT_B2,ROUND(BASE_B2+RATE_B2*($A1026-BOTT_B2),0),ROUND(RATE_B1*$A1026,0))))</f>
        <v>5394</v>
      </c>
      <c r="F1026" s="2841">
        <f t="shared" ref="F1026:F1089" si="86">IF($A1026&gt;BOTT_C4,ROUND(BASE_C4+RATE_C4*($A1026-BOTT_C4),0),IF($A1026&gt;BOTT_C3,ROUND(BASE_C3+RATE_C3*($A1026-BOTT_C3),0),IF($A1026&gt;BOTT_C2,ROUND(BASE_C2+RATE_C2*($A1026-BOTT_C2),0),ROUND(RATE_C1*$A1026,0))))</f>
        <v>6527</v>
      </c>
      <c r="G1026" s="2841">
        <f t="shared" ref="G1026:G1089" si="87">IF($A1026&gt;BOTT_D4,ROUND(BASE_D4+RATE_D4*($A1026-BOTT_D4),0),IF($A1026&gt;BOTT_D3,ROUND(BASE_D3+RATE_D3*($A1026-BOTT_D3),0),IF($A1026&gt;BOTT_D2,ROUND(BASE_D2+RATE_D2*($A1026-BOTT_D2),0),ROUND(RATE_D1*$A1026,0))))</f>
        <v>5503</v>
      </c>
    </row>
    <row r="1027" spans="1:7" ht="15.75">
      <c r="A1027" s="3022">
        <f t="shared" ref="A1027:A1090" si="88">AVERAGE(B1027,C1027)</f>
        <v>48175</v>
      </c>
      <c r="B1027" s="2840">
        <v>48150</v>
      </c>
      <c r="C1027" s="2840">
        <v>48200</v>
      </c>
      <c r="D1027" s="2841">
        <f t="shared" si="84"/>
        <v>6538</v>
      </c>
      <c r="E1027" s="2841">
        <f t="shared" si="85"/>
        <v>5400</v>
      </c>
      <c r="F1027" s="2841">
        <f t="shared" si="86"/>
        <v>6538</v>
      </c>
      <c r="G1027" s="2841">
        <f t="shared" si="87"/>
        <v>5509</v>
      </c>
    </row>
    <row r="1028" spans="1:7" ht="15.75">
      <c r="A1028" s="3022">
        <f t="shared" si="88"/>
        <v>48225</v>
      </c>
      <c r="B1028" s="2840">
        <v>48200</v>
      </c>
      <c r="C1028" s="2840">
        <v>48250</v>
      </c>
      <c r="D1028" s="2841">
        <f t="shared" si="84"/>
        <v>6549</v>
      </c>
      <c r="E1028" s="2841">
        <f t="shared" si="85"/>
        <v>5406</v>
      </c>
      <c r="F1028" s="2841">
        <f t="shared" si="86"/>
        <v>6549</v>
      </c>
      <c r="G1028" s="2841">
        <f t="shared" si="87"/>
        <v>5515</v>
      </c>
    </row>
    <row r="1029" spans="1:7" ht="15.75">
      <c r="A1029" s="3022">
        <f t="shared" si="88"/>
        <v>48275</v>
      </c>
      <c r="B1029" s="2840">
        <v>48250</v>
      </c>
      <c r="C1029" s="2840">
        <v>48300</v>
      </c>
      <c r="D1029" s="2841">
        <f t="shared" si="84"/>
        <v>6560</v>
      </c>
      <c r="E1029" s="2841">
        <f t="shared" si="85"/>
        <v>5412</v>
      </c>
      <c r="F1029" s="2841">
        <f t="shared" si="86"/>
        <v>6560</v>
      </c>
      <c r="G1029" s="2841">
        <f t="shared" si="87"/>
        <v>5521</v>
      </c>
    </row>
    <row r="1030" spans="1:7" ht="15.75">
      <c r="A1030" s="3022">
        <f t="shared" si="88"/>
        <v>48325</v>
      </c>
      <c r="B1030" s="2840">
        <v>48300</v>
      </c>
      <c r="C1030" s="2840">
        <v>48350</v>
      </c>
      <c r="D1030" s="2841">
        <f t="shared" si="84"/>
        <v>6571</v>
      </c>
      <c r="E1030" s="2841">
        <f t="shared" si="85"/>
        <v>5418</v>
      </c>
      <c r="F1030" s="2841">
        <f t="shared" si="86"/>
        <v>6571</v>
      </c>
      <c r="G1030" s="2841">
        <f t="shared" si="87"/>
        <v>5527</v>
      </c>
    </row>
    <row r="1031" spans="1:7" ht="15.75">
      <c r="A1031" s="3022">
        <f t="shared" si="88"/>
        <v>48375</v>
      </c>
      <c r="B1031" s="2840">
        <v>48350</v>
      </c>
      <c r="C1031" s="2840">
        <v>48400</v>
      </c>
      <c r="D1031" s="2841">
        <f t="shared" si="84"/>
        <v>6582</v>
      </c>
      <c r="E1031" s="2841">
        <f t="shared" si="85"/>
        <v>5424</v>
      </c>
      <c r="F1031" s="2841">
        <f t="shared" si="86"/>
        <v>6582</v>
      </c>
      <c r="G1031" s="2841">
        <f t="shared" si="87"/>
        <v>5533</v>
      </c>
    </row>
    <row r="1032" spans="1:7" ht="15.75">
      <c r="A1032" s="3022">
        <f t="shared" si="88"/>
        <v>48425</v>
      </c>
      <c r="B1032" s="2840">
        <v>48400</v>
      </c>
      <c r="C1032" s="2840">
        <v>48450</v>
      </c>
      <c r="D1032" s="2841">
        <f t="shared" si="84"/>
        <v>6593</v>
      </c>
      <c r="E1032" s="2841">
        <f t="shared" si="85"/>
        <v>5430</v>
      </c>
      <c r="F1032" s="2841">
        <f t="shared" si="86"/>
        <v>6593</v>
      </c>
      <c r="G1032" s="2841">
        <f t="shared" si="87"/>
        <v>5539</v>
      </c>
    </row>
    <row r="1033" spans="1:7" ht="15.75">
      <c r="A1033" s="3022">
        <f t="shared" si="88"/>
        <v>48475</v>
      </c>
      <c r="B1033" s="2840">
        <v>48450</v>
      </c>
      <c r="C1033" s="2840">
        <v>48500</v>
      </c>
      <c r="D1033" s="2841">
        <f t="shared" si="84"/>
        <v>6604</v>
      </c>
      <c r="E1033" s="2841">
        <f t="shared" si="85"/>
        <v>5436</v>
      </c>
      <c r="F1033" s="2841">
        <f t="shared" si="86"/>
        <v>6604</v>
      </c>
      <c r="G1033" s="2841">
        <f t="shared" si="87"/>
        <v>5545</v>
      </c>
    </row>
    <row r="1034" spans="1:7" ht="15.75">
      <c r="A1034" s="3022">
        <f t="shared" si="88"/>
        <v>48525</v>
      </c>
      <c r="B1034" s="2840">
        <v>48500</v>
      </c>
      <c r="C1034" s="2840">
        <v>48550</v>
      </c>
      <c r="D1034" s="2841">
        <f t="shared" si="84"/>
        <v>6615</v>
      </c>
      <c r="E1034" s="2841">
        <f t="shared" si="85"/>
        <v>5442</v>
      </c>
      <c r="F1034" s="2841">
        <f t="shared" si="86"/>
        <v>6615</v>
      </c>
      <c r="G1034" s="2841">
        <f t="shared" si="87"/>
        <v>5551</v>
      </c>
    </row>
    <row r="1035" spans="1:7" ht="15.75">
      <c r="A1035" s="3022">
        <f t="shared" si="88"/>
        <v>48575</v>
      </c>
      <c r="B1035" s="2840">
        <v>48550</v>
      </c>
      <c r="C1035" s="2840">
        <v>48600</v>
      </c>
      <c r="D1035" s="2841">
        <f t="shared" si="84"/>
        <v>6626</v>
      </c>
      <c r="E1035" s="2841">
        <f t="shared" si="85"/>
        <v>5448</v>
      </c>
      <c r="F1035" s="2841">
        <f t="shared" si="86"/>
        <v>6626</v>
      </c>
      <c r="G1035" s="2841">
        <f t="shared" si="87"/>
        <v>5557</v>
      </c>
    </row>
    <row r="1036" spans="1:7" ht="15.75">
      <c r="A1036" s="3022">
        <f t="shared" si="88"/>
        <v>48625</v>
      </c>
      <c r="B1036" s="2840">
        <v>48600</v>
      </c>
      <c r="C1036" s="2840">
        <v>48650</v>
      </c>
      <c r="D1036" s="2841">
        <f t="shared" si="84"/>
        <v>6637</v>
      </c>
      <c r="E1036" s="2841">
        <f t="shared" si="85"/>
        <v>5454</v>
      </c>
      <c r="F1036" s="2841">
        <f t="shared" si="86"/>
        <v>6637</v>
      </c>
      <c r="G1036" s="2841">
        <f t="shared" si="87"/>
        <v>5563</v>
      </c>
    </row>
    <row r="1037" spans="1:7" ht="15.75">
      <c r="A1037" s="3022">
        <f t="shared" si="88"/>
        <v>48675</v>
      </c>
      <c r="B1037" s="2840">
        <v>48650</v>
      </c>
      <c r="C1037" s="2840">
        <v>48700</v>
      </c>
      <c r="D1037" s="2841">
        <f t="shared" si="84"/>
        <v>6648</v>
      </c>
      <c r="E1037" s="2841">
        <f t="shared" si="85"/>
        <v>5460</v>
      </c>
      <c r="F1037" s="2841">
        <f t="shared" si="86"/>
        <v>6648</v>
      </c>
      <c r="G1037" s="2841">
        <f t="shared" si="87"/>
        <v>5569</v>
      </c>
    </row>
    <row r="1038" spans="1:7" ht="15.75">
      <c r="A1038" s="3022">
        <f t="shared" si="88"/>
        <v>48725</v>
      </c>
      <c r="B1038" s="2840">
        <v>48700</v>
      </c>
      <c r="C1038" s="2840">
        <v>48750</v>
      </c>
      <c r="D1038" s="2841">
        <f t="shared" si="84"/>
        <v>6659</v>
      </c>
      <c r="E1038" s="2841">
        <f t="shared" si="85"/>
        <v>5466</v>
      </c>
      <c r="F1038" s="2841">
        <f t="shared" si="86"/>
        <v>6659</v>
      </c>
      <c r="G1038" s="2841">
        <f t="shared" si="87"/>
        <v>5575</v>
      </c>
    </row>
    <row r="1039" spans="1:7" ht="15.75">
      <c r="A1039" s="3022">
        <f t="shared" si="88"/>
        <v>48775</v>
      </c>
      <c r="B1039" s="2840">
        <v>48750</v>
      </c>
      <c r="C1039" s="2840">
        <v>48800</v>
      </c>
      <c r="D1039" s="2841">
        <f t="shared" si="84"/>
        <v>6670</v>
      </c>
      <c r="E1039" s="2841">
        <f t="shared" si="85"/>
        <v>5472</v>
      </c>
      <c r="F1039" s="2841">
        <f t="shared" si="86"/>
        <v>6670</v>
      </c>
      <c r="G1039" s="2841">
        <f t="shared" si="87"/>
        <v>5581</v>
      </c>
    </row>
    <row r="1040" spans="1:7" ht="15.75">
      <c r="A1040" s="3022">
        <f t="shared" si="88"/>
        <v>48825</v>
      </c>
      <c r="B1040" s="2840">
        <v>48800</v>
      </c>
      <c r="C1040" s="2840">
        <v>48850</v>
      </c>
      <c r="D1040" s="2841">
        <f t="shared" si="84"/>
        <v>6681</v>
      </c>
      <c r="E1040" s="2841">
        <f t="shared" si="85"/>
        <v>5478</v>
      </c>
      <c r="F1040" s="2841">
        <f t="shared" si="86"/>
        <v>6681</v>
      </c>
      <c r="G1040" s="2841">
        <f t="shared" si="87"/>
        <v>5587</v>
      </c>
    </row>
    <row r="1041" spans="1:7" ht="15.75">
      <c r="A1041" s="3022">
        <f t="shared" si="88"/>
        <v>48875</v>
      </c>
      <c r="B1041" s="2840">
        <v>48850</v>
      </c>
      <c r="C1041" s="2840">
        <v>48900</v>
      </c>
      <c r="D1041" s="2841">
        <f t="shared" si="84"/>
        <v>6692</v>
      </c>
      <c r="E1041" s="2841">
        <f t="shared" si="85"/>
        <v>5484</v>
      </c>
      <c r="F1041" s="2841">
        <f t="shared" si="86"/>
        <v>6692</v>
      </c>
      <c r="G1041" s="2841">
        <f t="shared" si="87"/>
        <v>5593</v>
      </c>
    </row>
    <row r="1042" spans="1:7" ht="15.75">
      <c r="A1042" s="3022">
        <f t="shared" si="88"/>
        <v>48925</v>
      </c>
      <c r="B1042" s="2840">
        <v>48900</v>
      </c>
      <c r="C1042" s="2840">
        <v>48950</v>
      </c>
      <c r="D1042" s="2841">
        <f t="shared" si="84"/>
        <v>6703</v>
      </c>
      <c r="E1042" s="2841">
        <f t="shared" si="85"/>
        <v>5490</v>
      </c>
      <c r="F1042" s="2841">
        <f t="shared" si="86"/>
        <v>6703</v>
      </c>
      <c r="G1042" s="2841">
        <f t="shared" si="87"/>
        <v>5599</v>
      </c>
    </row>
    <row r="1043" spans="1:7" ht="15.75">
      <c r="A1043" s="3022">
        <f t="shared" si="88"/>
        <v>48975</v>
      </c>
      <c r="B1043" s="2840">
        <v>48950</v>
      </c>
      <c r="C1043" s="2840">
        <v>49000</v>
      </c>
      <c r="D1043" s="2841">
        <f t="shared" si="84"/>
        <v>6714</v>
      </c>
      <c r="E1043" s="2841">
        <f t="shared" si="85"/>
        <v>5496</v>
      </c>
      <c r="F1043" s="2841">
        <f t="shared" si="86"/>
        <v>6714</v>
      </c>
      <c r="G1043" s="2841">
        <f t="shared" si="87"/>
        <v>5605</v>
      </c>
    </row>
    <row r="1044" spans="1:7" ht="15.75">
      <c r="A1044" s="3022">
        <f t="shared" si="88"/>
        <v>49025</v>
      </c>
      <c r="B1044" s="2840">
        <v>49000</v>
      </c>
      <c r="C1044" s="2840">
        <v>49050</v>
      </c>
      <c r="D1044" s="2841">
        <f t="shared" si="84"/>
        <v>6725</v>
      </c>
      <c r="E1044" s="2841">
        <f t="shared" si="85"/>
        <v>5502</v>
      </c>
      <c r="F1044" s="2841">
        <f t="shared" si="86"/>
        <v>6725</v>
      </c>
      <c r="G1044" s="2841">
        <f t="shared" si="87"/>
        <v>5611</v>
      </c>
    </row>
    <row r="1045" spans="1:7" ht="15.75">
      <c r="A1045" s="3022">
        <f t="shared" si="88"/>
        <v>49075</v>
      </c>
      <c r="B1045" s="2840">
        <v>49050</v>
      </c>
      <c r="C1045" s="2840">
        <v>49100</v>
      </c>
      <c r="D1045" s="2841">
        <f t="shared" si="84"/>
        <v>6736</v>
      </c>
      <c r="E1045" s="2841">
        <f t="shared" si="85"/>
        <v>5508</v>
      </c>
      <c r="F1045" s="2841">
        <f t="shared" si="86"/>
        <v>6736</v>
      </c>
      <c r="G1045" s="2841">
        <f t="shared" si="87"/>
        <v>5617</v>
      </c>
    </row>
    <row r="1046" spans="1:7" ht="15.75">
      <c r="A1046" s="3022">
        <f t="shared" si="88"/>
        <v>49125</v>
      </c>
      <c r="B1046" s="2840">
        <v>49100</v>
      </c>
      <c r="C1046" s="2840">
        <v>49150</v>
      </c>
      <c r="D1046" s="2841">
        <f t="shared" si="84"/>
        <v>6747</v>
      </c>
      <c r="E1046" s="2841">
        <f t="shared" si="85"/>
        <v>5514</v>
      </c>
      <c r="F1046" s="2841">
        <f t="shared" si="86"/>
        <v>6747</v>
      </c>
      <c r="G1046" s="2841">
        <f t="shared" si="87"/>
        <v>5623</v>
      </c>
    </row>
    <row r="1047" spans="1:7" ht="15.75">
      <c r="A1047" s="3022">
        <f t="shared" si="88"/>
        <v>49175</v>
      </c>
      <c r="B1047" s="2840">
        <v>49150</v>
      </c>
      <c r="C1047" s="2840">
        <v>49200</v>
      </c>
      <c r="D1047" s="2841">
        <f t="shared" si="84"/>
        <v>6758</v>
      </c>
      <c r="E1047" s="2841">
        <f t="shared" si="85"/>
        <v>5520</v>
      </c>
      <c r="F1047" s="2841">
        <f t="shared" si="86"/>
        <v>6758</v>
      </c>
      <c r="G1047" s="2841">
        <f t="shared" si="87"/>
        <v>5629</v>
      </c>
    </row>
    <row r="1048" spans="1:7" ht="15.75">
      <c r="A1048" s="3022">
        <f t="shared" si="88"/>
        <v>49225</v>
      </c>
      <c r="B1048" s="2840">
        <v>49200</v>
      </c>
      <c r="C1048" s="2840">
        <v>49250</v>
      </c>
      <c r="D1048" s="2841">
        <f t="shared" si="84"/>
        <v>6769</v>
      </c>
      <c r="E1048" s="2841">
        <f t="shared" si="85"/>
        <v>5526</v>
      </c>
      <c r="F1048" s="2841">
        <f t="shared" si="86"/>
        <v>6769</v>
      </c>
      <c r="G1048" s="2841">
        <f t="shared" si="87"/>
        <v>5635</v>
      </c>
    </row>
    <row r="1049" spans="1:7" ht="15.75">
      <c r="A1049" s="3022">
        <f t="shared" si="88"/>
        <v>49275</v>
      </c>
      <c r="B1049" s="2840">
        <v>49250</v>
      </c>
      <c r="C1049" s="2840">
        <v>49300</v>
      </c>
      <c r="D1049" s="2841">
        <f t="shared" si="84"/>
        <v>6780</v>
      </c>
      <c r="E1049" s="2841">
        <f t="shared" si="85"/>
        <v>5532</v>
      </c>
      <c r="F1049" s="2841">
        <f t="shared" si="86"/>
        <v>6780</v>
      </c>
      <c r="G1049" s="2841">
        <f t="shared" si="87"/>
        <v>5641</v>
      </c>
    </row>
    <row r="1050" spans="1:7" ht="15.75">
      <c r="A1050" s="3022">
        <f t="shared" si="88"/>
        <v>49325</v>
      </c>
      <c r="B1050" s="2840">
        <v>49300</v>
      </c>
      <c r="C1050" s="2840">
        <v>49350</v>
      </c>
      <c r="D1050" s="2841">
        <f t="shared" si="84"/>
        <v>6791</v>
      </c>
      <c r="E1050" s="2841">
        <f t="shared" si="85"/>
        <v>5538</v>
      </c>
      <c r="F1050" s="2841">
        <f t="shared" si="86"/>
        <v>6791</v>
      </c>
      <c r="G1050" s="2841">
        <f t="shared" si="87"/>
        <v>5647</v>
      </c>
    </row>
    <row r="1051" spans="1:7" ht="15.75">
      <c r="A1051" s="3022">
        <f t="shared" si="88"/>
        <v>49375</v>
      </c>
      <c r="B1051" s="2840">
        <v>49350</v>
      </c>
      <c r="C1051" s="2840">
        <v>49400</v>
      </c>
      <c r="D1051" s="2841">
        <f t="shared" si="84"/>
        <v>6802</v>
      </c>
      <c r="E1051" s="2841">
        <f t="shared" si="85"/>
        <v>5544</v>
      </c>
      <c r="F1051" s="2841">
        <f t="shared" si="86"/>
        <v>6802</v>
      </c>
      <c r="G1051" s="2841">
        <f t="shared" si="87"/>
        <v>5653</v>
      </c>
    </row>
    <row r="1052" spans="1:7" ht="15.75">
      <c r="A1052" s="3022">
        <f t="shared" si="88"/>
        <v>49425</v>
      </c>
      <c r="B1052" s="2840">
        <v>49400</v>
      </c>
      <c r="C1052" s="2840">
        <v>49450</v>
      </c>
      <c r="D1052" s="2841">
        <f t="shared" si="84"/>
        <v>6813</v>
      </c>
      <c r="E1052" s="2841">
        <f t="shared" si="85"/>
        <v>5550</v>
      </c>
      <c r="F1052" s="2841">
        <f t="shared" si="86"/>
        <v>6813</v>
      </c>
      <c r="G1052" s="2841">
        <f t="shared" si="87"/>
        <v>5659</v>
      </c>
    </row>
    <row r="1053" spans="1:7" ht="15.75">
      <c r="A1053" s="3022">
        <f t="shared" si="88"/>
        <v>49475</v>
      </c>
      <c r="B1053" s="2840">
        <v>49450</v>
      </c>
      <c r="C1053" s="2840">
        <v>49500</v>
      </c>
      <c r="D1053" s="2841">
        <f t="shared" si="84"/>
        <v>6824</v>
      </c>
      <c r="E1053" s="2841">
        <f t="shared" si="85"/>
        <v>5556</v>
      </c>
      <c r="F1053" s="2841">
        <f t="shared" si="86"/>
        <v>6824</v>
      </c>
      <c r="G1053" s="2841">
        <f t="shared" si="87"/>
        <v>5665</v>
      </c>
    </row>
    <row r="1054" spans="1:7" ht="15.75">
      <c r="A1054" s="3022">
        <f t="shared" si="88"/>
        <v>49525</v>
      </c>
      <c r="B1054" s="2840">
        <v>49500</v>
      </c>
      <c r="C1054" s="2840">
        <v>49550</v>
      </c>
      <c r="D1054" s="2841">
        <f t="shared" si="84"/>
        <v>6835</v>
      </c>
      <c r="E1054" s="2841">
        <f t="shared" si="85"/>
        <v>5562</v>
      </c>
      <c r="F1054" s="2841">
        <f t="shared" si="86"/>
        <v>6835</v>
      </c>
      <c r="G1054" s="2841">
        <f t="shared" si="87"/>
        <v>5671</v>
      </c>
    </row>
    <row r="1055" spans="1:7" ht="15.75">
      <c r="A1055" s="3022">
        <f t="shared" si="88"/>
        <v>49575</v>
      </c>
      <c r="B1055" s="2840">
        <v>49550</v>
      </c>
      <c r="C1055" s="2840">
        <v>49600</v>
      </c>
      <c r="D1055" s="2841">
        <f t="shared" si="84"/>
        <v>6846</v>
      </c>
      <c r="E1055" s="2841">
        <f t="shared" si="85"/>
        <v>5568</v>
      </c>
      <c r="F1055" s="2841">
        <f t="shared" si="86"/>
        <v>6846</v>
      </c>
      <c r="G1055" s="2841">
        <f t="shared" si="87"/>
        <v>5677</v>
      </c>
    </row>
    <row r="1056" spans="1:7" ht="15.75">
      <c r="A1056" s="3022">
        <f t="shared" si="88"/>
        <v>49625</v>
      </c>
      <c r="B1056" s="2840">
        <v>49600</v>
      </c>
      <c r="C1056" s="2840">
        <v>49650</v>
      </c>
      <c r="D1056" s="2841">
        <f t="shared" si="84"/>
        <v>6857</v>
      </c>
      <c r="E1056" s="2841">
        <f t="shared" si="85"/>
        <v>5574</v>
      </c>
      <c r="F1056" s="2841">
        <f t="shared" si="86"/>
        <v>6857</v>
      </c>
      <c r="G1056" s="2841">
        <f t="shared" si="87"/>
        <v>5683</v>
      </c>
    </row>
    <row r="1057" spans="1:7" ht="15.75">
      <c r="A1057" s="3022">
        <f t="shared" si="88"/>
        <v>49675</v>
      </c>
      <c r="B1057" s="2840">
        <v>49650</v>
      </c>
      <c r="C1057" s="2840">
        <v>49700</v>
      </c>
      <c r="D1057" s="2841">
        <f t="shared" si="84"/>
        <v>6868</v>
      </c>
      <c r="E1057" s="2841">
        <f t="shared" si="85"/>
        <v>5580</v>
      </c>
      <c r="F1057" s="2841">
        <f t="shared" si="86"/>
        <v>6868</v>
      </c>
      <c r="G1057" s="2841">
        <f t="shared" si="87"/>
        <v>5689</v>
      </c>
    </row>
    <row r="1058" spans="1:7" ht="15.75">
      <c r="A1058" s="3022">
        <f t="shared" si="88"/>
        <v>49725</v>
      </c>
      <c r="B1058" s="2840">
        <v>49700</v>
      </c>
      <c r="C1058" s="2840">
        <v>49750</v>
      </c>
      <c r="D1058" s="2841">
        <f t="shared" si="84"/>
        <v>6879</v>
      </c>
      <c r="E1058" s="2841">
        <f t="shared" si="85"/>
        <v>5586</v>
      </c>
      <c r="F1058" s="2841">
        <f t="shared" si="86"/>
        <v>6879</v>
      </c>
      <c r="G1058" s="2841">
        <f t="shared" si="87"/>
        <v>5695</v>
      </c>
    </row>
    <row r="1059" spans="1:7" ht="15.75">
      <c r="A1059" s="3022">
        <f t="shared" si="88"/>
        <v>49775</v>
      </c>
      <c r="B1059" s="2840">
        <v>49750</v>
      </c>
      <c r="C1059" s="2840">
        <v>49800</v>
      </c>
      <c r="D1059" s="2841">
        <f t="shared" si="84"/>
        <v>6890</v>
      </c>
      <c r="E1059" s="2841">
        <f t="shared" si="85"/>
        <v>5592</v>
      </c>
      <c r="F1059" s="2841">
        <f t="shared" si="86"/>
        <v>6890</v>
      </c>
      <c r="G1059" s="2841">
        <f t="shared" si="87"/>
        <v>5701</v>
      </c>
    </row>
    <row r="1060" spans="1:7" ht="15.75">
      <c r="A1060" s="3022">
        <f t="shared" si="88"/>
        <v>49825</v>
      </c>
      <c r="B1060" s="2840">
        <v>49800</v>
      </c>
      <c r="C1060" s="2840">
        <v>49850</v>
      </c>
      <c r="D1060" s="2841">
        <f t="shared" si="84"/>
        <v>6901</v>
      </c>
      <c r="E1060" s="2841">
        <f t="shared" si="85"/>
        <v>5598</v>
      </c>
      <c r="F1060" s="2841">
        <f t="shared" si="86"/>
        <v>6901</v>
      </c>
      <c r="G1060" s="2841">
        <f t="shared" si="87"/>
        <v>5707</v>
      </c>
    </row>
    <row r="1061" spans="1:7" ht="15.75">
      <c r="A1061" s="3022">
        <f t="shared" si="88"/>
        <v>49875</v>
      </c>
      <c r="B1061" s="2840">
        <v>49850</v>
      </c>
      <c r="C1061" s="2840">
        <v>49900</v>
      </c>
      <c r="D1061" s="2841">
        <f t="shared" si="84"/>
        <v>6912</v>
      </c>
      <c r="E1061" s="2841">
        <f t="shared" si="85"/>
        <v>5604</v>
      </c>
      <c r="F1061" s="2841">
        <f t="shared" si="86"/>
        <v>6912</v>
      </c>
      <c r="G1061" s="2841">
        <f t="shared" si="87"/>
        <v>5713</v>
      </c>
    </row>
    <row r="1062" spans="1:7" ht="15.75">
      <c r="A1062" s="3022">
        <f t="shared" si="88"/>
        <v>49925</v>
      </c>
      <c r="B1062" s="2840">
        <v>49900</v>
      </c>
      <c r="C1062" s="2840">
        <v>49950</v>
      </c>
      <c r="D1062" s="2841">
        <f t="shared" si="84"/>
        <v>6923</v>
      </c>
      <c r="E1062" s="2841">
        <f t="shared" si="85"/>
        <v>5610</v>
      </c>
      <c r="F1062" s="2841">
        <f t="shared" si="86"/>
        <v>6923</v>
      </c>
      <c r="G1062" s="2841">
        <f t="shared" si="87"/>
        <v>5719</v>
      </c>
    </row>
    <row r="1063" spans="1:7" ht="15.75">
      <c r="A1063" s="3022">
        <f t="shared" si="88"/>
        <v>49975</v>
      </c>
      <c r="B1063" s="2840">
        <v>49950</v>
      </c>
      <c r="C1063" s="2840">
        <v>50000</v>
      </c>
      <c r="D1063" s="2841">
        <f t="shared" si="84"/>
        <v>6934</v>
      </c>
      <c r="E1063" s="2841">
        <f t="shared" si="85"/>
        <v>5616</v>
      </c>
      <c r="F1063" s="2841">
        <f t="shared" si="86"/>
        <v>6934</v>
      </c>
      <c r="G1063" s="2841">
        <f t="shared" si="87"/>
        <v>5725</v>
      </c>
    </row>
    <row r="1064" spans="1:7" ht="15.75">
      <c r="A1064" s="3022">
        <f t="shared" si="88"/>
        <v>50025</v>
      </c>
      <c r="B1064" s="2840">
        <v>50000</v>
      </c>
      <c r="C1064" s="2840">
        <v>50050</v>
      </c>
      <c r="D1064" s="2841">
        <f t="shared" si="84"/>
        <v>6945</v>
      </c>
      <c r="E1064" s="2841">
        <f t="shared" si="85"/>
        <v>5622</v>
      </c>
      <c r="F1064" s="2841">
        <f t="shared" si="86"/>
        <v>6945</v>
      </c>
      <c r="G1064" s="2841">
        <f t="shared" si="87"/>
        <v>5731</v>
      </c>
    </row>
    <row r="1065" spans="1:7" ht="15.75">
      <c r="A1065" s="3022">
        <f t="shared" si="88"/>
        <v>50075</v>
      </c>
      <c r="B1065" s="2840">
        <v>50050</v>
      </c>
      <c r="C1065" s="2840">
        <v>50100</v>
      </c>
      <c r="D1065" s="2841">
        <f t="shared" si="84"/>
        <v>6956</v>
      </c>
      <c r="E1065" s="2841">
        <f t="shared" si="85"/>
        <v>5628</v>
      </c>
      <c r="F1065" s="2841">
        <f t="shared" si="86"/>
        <v>6956</v>
      </c>
      <c r="G1065" s="2841">
        <f t="shared" si="87"/>
        <v>5737</v>
      </c>
    </row>
    <row r="1066" spans="1:7" ht="15.75">
      <c r="A1066" s="3022">
        <f t="shared" si="88"/>
        <v>50125</v>
      </c>
      <c r="B1066" s="2840">
        <v>50100</v>
      </c>
      <c r="C1066" s="2840">
        <v>50150</v>
      </c>
      <c r="D1066" s="2841">
        <f t="shared" si="84"/>
        <v>6967</v>
      </c>
      <c r="E1066" s="2841">
        <f t="shared" si="85"/>
        <v>5634</v>
      </c>
      <c r="F1066" s="2841">
        <f t="shared" si="86"/>
        <v>6967</v>
      </c>
      <c r="G1066" s="2841">
        <f t="shared" si="87"/>
        <v>5743</v>
      </c>
    </row>
    <row r="1067" spans="1:7" ht="15.75">
      <c r="A1067" s="3022">
        <f t="shared" si="88"/>
        <v>50175</v>
      </c>
      <c r="B1067" s="2840">
        <v>50150</v>
      </c>
      <c r="C1067" s="2840">
        <v>50200</v>
      </c>
      <c r="D1067" s="2841">
        <f t="shared" si="84"/>
        <v>6978</v>
      </c>
      <c r="E1067" s="2841">
        <f t="shared" si="85"/>
        <v>5640</v>
      </c>
      <c r="F1067" s="2841">
        <f t="shared" si="86"/>
        <v>6978</v>
      </c>
      <c r="G1067" s="2841">
        <f t="shared" si="87"/>
        <v>5749</v>
      </c>
    </row>
    <row r="1068" spans="1:7" ht="15.75">
      <c r="A1068" s="3022">
        <f t="shared" si="88"/>
        <v>50225</v>
      </c>
      <c r="B1068" s="2840">
        <v>50200</v>
      </c>
      <c r="C1068" s="2840">
        <v>50250</v>
      </c>
      <c r="D1068" s="2841">
        <f t="shared" si="84"/>
        <v>6989</v>
      </c>
      <c r="E1068" s="2841">
        <f t="shared" si="85"/>
        <v>5646</v>
      </c>
      <c r="F1068" s="2841">
        <f t="shared" si="86"/>
        <v>6989</v>
      </c>
      <c r="G1068" s="2841">
        <f t="shared" si="87"/>
        <v>5755</v>
      </c>
    </row>
    <row r="1069" spans="1:7" ht="15.75">
      <c r="A1069" s="3022">
        <f t="shared" si="88"/>
        <v>50275</v>
      </c>
      <c r="B1069" s="2840">
        <v>50250</v>
      </c>
      <c r="C1069" s="2840">
        <v>50300</v>
      </c>
      <c r="D1069" s="2841">
        <f t="shared" si="84"/>
        <v>7000</v>
      </c>
      <c r="E1069" s="2841">
        <f t="shared" si="85"/>
        <v>5652</v>
      </c>
      <c r="F1069" s="2841">
        <f t="shared" si="86"/>
        <v>7000</v>
      </c>
      <c r="G1069" s="2841">
        <f t="shared" si="87"/>
        <v>5761</v>
      </c>
    </row>
    <row r="1070" spans="1:7" ht="15.75">
      <c r="A1070" s="3022">
        <f t="shared" si="88"/>
        <v>50325</v>
      </c>
      <c r="B1070" s="2840">
        <v>50300</v>
      </c>
      <c r="C1070" s="2840">
        <v>50350</v>
      </c>
      <c r="D1070" s="2841">
        <f t="shared" si="84"/>
        <v>7011</v>
      </c>
      <c r="E1070" s="2841">
        <f t="shared" si="85"/>
        <v>5658</v>
      </c>
      <c r="F1070" s="2841">
        <f t="shared" si="86"/>
        <v>7011</v>
      </c>
      <c r="G1070" s="2841">
        <f t="shared" si="87"/>
        <v>5767</v>
      </c>
    </row>
    <row r="1071" spans="1:7" ht="15.75">
      <c r="A1071" s="3022">
        <f t="shared" si="88"/>
        <v>50375</v>
      </c>
      <c r="B1071" s="2840">
        <v>50350</v>
      </c>
      <c r="C1071" s="2840">
        <v>50400</v>
      </c>
      <c r="D1071" s="2841">
        <f t="shared" si="84"/>
        <v>7022</v>
      </c>
      <c r="E1071" s="2841">
        <f t="shared" si="85"/>
        <v>5664</v>
      </c>
      <c r="F1071" s="2841">
        <f t="shared" si="86"/>
        <v>7022</v>
      </c>
      <c r="G1071" s="2841">
        <f t="shared" si="87"/>
        <v>5773</v>
      </c>
    </row>
    <row r="1072" spans="1:7" ht="15.75">
      <c r="A1072" s="3022">
        <f t="shared" si="88"/>
        <v>50425</v>
      </c>
      <c r="B1072" s="2840">
        <v>50400</v>
      </c>
      <c r="C1072" s="2840">
        <v>50450</v>
      </c>
      <c r="D1072" s="2841">
        <f t="shared" si="84"/>
        <v>7033</v>
      </c>
      <c r="E1072" s="2841">
        <f t="shared" si="85"/>
        <v>5670</v>
      </c>
      <c r="F1072" s="2841">
        <f t="shared" si="86"/>
        <v>7033</v>
      </c>
      <c r="G1072" s="2841">
        <f t="shared" si="87"/>
        <v>5779</v>
      </c>
    </row>
    <row r="1073" spans="1:7" ht="15.75">
      <c r="A1073" s="3022">
        <f t="shared" si="88"/>
        <v>50475</v>
      </c>
      <c r="B1073" s="2840">
        <v>50450</v>
      </c>
      <c r="C1073" s="2840">
        <v>50500</v>
      </c>
      <c r="D1073" s="2841">
        <f t="shared" si="84"/>
        <v>7044</v>
      </c>
      <c r="E1073" s="2841">
        <f t="shared" si="85"/>
        <v>5676</v>
      </c>
      <c r="F1073" s="2841">
        <f t="shared" si="86"/>
        <v>7044</v>
      </c>
      <c r="G1073" s="2841">
        <f t="shared" si="87"/>
        <v>5785</v>
      </c>
    </row>
    <row r="1074" spans="1:7" ht="15.75">
      <c r="A1074" s="3022">
        <f t="shared" si="88"/>
        <v>50525</v>
      </c>
      <c r="B1074" s="2840">
        <v>50500</v>
      </c>
      <c r="C1074" s="2840">
        <v>50550</v>
      </c>
      <c r="D1074" s="2841">
        <f t="shared" si="84"/>
        <v>7055</v>
      </c>
      <c r="E1074" s="2841">
        <f t="shared" si="85"/>
        <v>5682</v>
      </c>
      <c r="F1074" s="2841">
        <f t="shared" si="86"/>
        <v>7055</v>
      </c>
      <c r="G1074" s="2841">
        <f t="shared" si="87"/>
        <v>5791</v>
      </c>
    </row>
    <row r="1075" spans="1:7" ht="15.75">
      <c r="A1075" s="3022">
        <f t="shared" si="88"/>
        <v>50575</v>
      </c>
      <c r="B1075" s="2840">
        <v>50550</v>
      </c>
      <c r="C1075" s="2840">
        <v>50600</v>
      </c>
      <c r="D1075" s="2841">
        <f t="shared" si="84"/>
        <v>7066</v>
      </c>
      <c r="E1075" s="2841">
        <f t="shared" si="85"/>
        <v>5688</v>
      </c>
      <c r="F1075" s="2841">
        <f t="shared" si="86"/>
        <v>7066</v>
      </c>
      <c r="G1075" s="2841">
        <f t="shared" si="87"/>
        <v>5797</v>
      </c>
    </row>
    <row r="1076" spans="1:7" ht="15.75">
      <c r="A1076" s="3022">
        <f t="shared" si="88"/>
        <v>50625</v>
      </c>
      <c r="B1076" s="2840">
        <v>50600</v>
      </c>
      <c r="C1076" s="2840">
        <v>50650</v>
      </c>
      <c r="D1076" s="2841">
        <f t="shared" si="84"/>
        <v>7077</v>
      </c>
      <c r="E1076" s="2841">
        <f t="shared" si="85"/>
        <v>5694</v>
      </c>
      <c r="F1076" s="2841">
        <f t="shared" si="86"/>
        <v>7077</v>
      </c>
      <c r="G1076" s="2841">
        <f t="shared" si="87"/>
        <v>5803</v>
      </c>
    </row>
    <row r="1077" spans="1:7" ht="15.75">
      <c r="A1077" s="3022">
        <f t="shared" si="88"/>
        <v>50675</v>
      </c>
      <c r="B1077" s="2840">
        <v>50650</v>
      </c>
      <c r="C1077" s="2840">
        <v>50700</v>
      </c>
      <c r="D1077" s="2841">
        <f t="shared" si="84"/>
        <v>7088</v>
      </c>
      <c r="E1077" s="2841">
        <f t="shared" si="85"/>
        <v>5700</v>
      </c>
      <c r="F1077" s="2841">
        <f t="shared" si="86"/>
        <v>7088</v>
      </c>
      <c r="G1077" s="2841">
        <f t="shared" si="87"/>
        <v>5809</v>
      </c>
    </row>
    <row r="1078" spans="1:7" ht="15.75">
      <c r="A1078" s="3022">
        <f t="shared" si="88"/>
        <v>50725</v>
      </c>
      <c r="B1078" s="2840">
        <v>50700</v>
      </c>
      <c r="C1078" s="2840">
        <v>50750</v>
      </c>
      <c r="D1078" s="2841">
        <f t="shared" si="84"/>
        <v>7099</v>
      </c>
      <c r="E1078" s="2841">
        <f t="shared" si="85"/>
        <v>5706</v>
      </c>
      <c r="F1078" s="2841">
        <f t="shared" si="86"/>
        <v>7099</v>
      </c>
      <c r="G1078" s="2841">
        <f t="shared" si="87"/>
        <v>5815</v>
      </c>
    </row>
    <row r="1079" spans="1:7" ht="15.75">
      <c r="A1079" s="3022">
        <f t="shared" si="88"/>
        <v>50775</v>
      </c>
      <c r="B1079" s="2840">
        <v>50750</v>
      </c>
      <c r="C1079" s="2840">
        <v>50800</v>
      </c>
      <c r="D1079" s="2841">
        <f t="shared" si="84"/>
        <v>7110</v>
      </c>
      <c r="E1079" s="2841">
        <f t="shared" si="85"/>
        <v>5712</v>
      </c>
      <c r="F1079" s="2841">
        <f t="shared" si="86"/>
        <v>7110</v>
      </c>
      <c r="G1079" s="2841">
        <f t="shared" si="87"/>
        <v>5821</v>
      </c>
    </row>
    <row r="1080" spans="1:7" ht="15.75">
      <c r="A1080" s="3022">
        <f t="shared" si="88"/>
        <v>50825</v>
      </c>
      <c r="B1080" s="2840">
        <v>50800</v>
      </c>
      <c r="C1080" s="2840">
        <v>50850</v>
      </c>
      <c r="D1080" s="2841">
        <f t="shared" si="84"/>
        <v>7121</v>
      </c>
      <c r="E1080" s="2841">
        <f t="shared" si="85"/>
        <v>5718</v>
      </c>
      <c r="F1080" s="2841">
        <f t="shared" si="86"/>
        <v>7121</v>
      </c>
      <c r="G1080" s="2841">
        <f t="shared" si="87"/>
        <v>5827</v>
      </c>
    </row>
    <row r="1081" spans="1:7" ht="15.75">
      <c r="A1081" s="3022">
        <f t="shared" si="88"/>
        <v>50875</v>
      </c>
      <c r="B1081" s="2840">
        <v>50850</v>
      </c>
      <c r="C1081" s="2840">
        <v>50900</v>
      </c>
      <c r="D1081" s="2841">
        <f t="shared" si="84"/>
        <v>7132</v>
      </c>
      <c r="E1081" s="2841">
        <f t="shared" si="85"/>
        <v>5724</v>
      </c>
      <c r="F1081" s="2841">
        <f t="shared" si="86"/>
        <v>7132</v>
      </c>
      <c r="G1081" s="2841">
        <f t="shared" si="87"/>
        <v>5833</v>
      </c>
    </row>
    <row r="1082" spans="1:7" ht="15.75">
      <c r="A1082" s="3022">
        <f t="shared" si="88"/>
        <v>50925</v>
      </c>
      <c r="B1082" s="2840">
        <v>50900</v>
      </c>
      <c r="C1082" s="2840">
        <v>50950</v>
      </c>
      <c r="D1082" s="2841">
        <f t="shared" si="84"/>
        <v>7143</v>
      </c>
      <c r="E1082" s="2841">
        <f t="shared" si="85"/>
        <v>5730</v>
      </c>
      <c r="F1082" s="2841">
        <f t="shared" si="86"/>
        <v>7143</v>
      </c>
      <c r="G1082" s="2841">
        <f t="shared" si="87"/>
        <v>5839</v>
      </c>
    </row>
    <row r="1083" spans="1:7" ht="15.75">
      <c r="A1083" s="3022">
        <f t="shared" si="88"/>
        <v>50975</v>
      </c>
      <c r="B1083" s="2840">
        <v>50950</v>
      </c>
      <c r="C1083" s="2840">
        <v>51000</v>
      </c>
      <c r="D1083" s="2841">
        <f t="shared" si="84"/>
        <v>7154</v>
      </c>
      <c r="E1083" s="2841">
        <f t="shared" si="85"/>
        <v>5736</v>
      </c>
      <c r="F1083" s="2841">
        <f t="shared" si="86"/>
        <v>7154</v>
      </c>
      <c r="G1083" s="2841">
        <f t="shared" si="87"/>
        <v>5845</v>
      </c>
    </row>
    <row r="1084" spans="1:7" ht="15.75">
      <c r="A1084" s="3022">
        <f t="shared" si="88"/>
        <v>51025</v>
      </c>
      <c r="B1084" s="2840">
        <v>51000</v>
      </c>
      <c r="C1084" s="2840">
        <v>51050</v>
      </c>
      <c r="D1084" s="2841">
        <f t="shared" si="84"/>
        <v>7165</v>
      </c>
      <c r="E1084" s="2841">
        <f t="shared" si="85"/>
        <v>5742</v>
      </c>
      <c r="F1084" s="2841">
        <f t="shared" si="86"/>
        <v>7165</v>
      </c>
      <c r="G1084" s="2841">
        <f t="shared" si="87"/>
        <v>5851</v>
      </c>
    </row>
    <row r="1085" spans="1:7" ht="15.75">
      <c r="A1085" s="3022">
        <f t="shared" si="88"/>
        <v>51075</v>
      </c>
      <c r="B1085" s="2840">
        <v>51050</v>
      </c>
      <c r="C1085" s="2840">
        <v>51100</v>
      </c>
      <c r="D1085" s="2841">
        <f t="shared" si="84"/>
        <v>7176</v>
      </c>
      <c r="E1085" s="2841">
        <f t="shared" si="85"/>
        <v>5748</v>
      </c>
      <c r="F1085" s="2841">
        <f t="shared" si="86"/>
        <v>7176</v>
      </c>
      <c r="G1085" s="2841">
        <f t="shared" si="87"/>
        <v>5857</v>
      </c>
    </row>
    <row r="1086" spans="1:7" ht="15.75">
      <c r="A1086" s="3022">
        <f t="shared" si="88"/>
        <v>51125</v>
      </c>
      <c r="B1086" s="2840">
        <v>51100</v>
      </c>
      <c r="C1086" s="2840">
        <v>51150</v>
      </c>
      <c r="D1086" s="2841">
        <f t="shared" si="84"/>
        <v>7187</v>
      </c>
      <c r="E1086" s="2841">
        <f t="shared" si="85"/>
        <v>5754</v>
      </c>
      <c r="F1086" s="2841">
        <f t="shared" si="86"/>
        <v>7187</v>
      </c>
      <c r="G1086" s="2841">
        <f t="shared" si="87"/>
        <v>5863</v>
      </c>
    </row>
    <row r="1087" spans="1:7" ht="15.75">
      <c r="A1087" s="3022">
        <f t="shared" si="88"/>
        <v>51175</v>
      </c>
      <c r="B1087" s="2840">
        <v>51150</v>
      </c>
      <c r="C1087" s="2840">
        <v>51200</v>
      </c>
      <c r="D1087" s="2841">
        <f t="shared" si="84"/>
        <v>7198</v>
      </c>
      <c r="E1087" s="2841">
        <f t="shared" si="85"/>
        <v>5760</v>
      </c>
      <c r="F1087" s="2841">
        <f t="shared" si="86"/>
        <v>7198</v>
      </c>
      <c r="G1087" s="2841">
        <f t="shared" si="87"/>
        <v>5869</v>
      </c>
    </row>
    <row r="1088" spans="1:7" ht="15.75">
      <c r="A1088" s="3022">
        <f t="shared" si="88"/>
        <v>51225</v>
      </c>
      <c r="B1088" s="2840">
        <v>51200</v>
      </c>
      <c r="C1088" s="2840">
        <v>51250</v>
      </c>
      <c r="D1088" s="2841">
        <f t="shared" si="84"/>
        <v>7209</v>
      </c>
      <c r="E1088" s="2841">
        <f t="shared" si="85"/>
        <v>5766</v>
      </c>
      <c r="F1088" s="2841">
        <f t="shared" si="86"/>
        <v>7209</v>
      </c>
      <c r="G1088" s="2841">
        <f t="shared" si="87"/>
        <v>5875</v>
      </c>
    </row>
    <row r="1089" spans="1:7" ht="15.75">
      <c r="A1089" s="3022">
        <f t="shared" si="88"/>
        <v>51275</v>
      </c>
      <c r="B1089" s="2840">
        <v>51250</v>
      </c>
      <c r="C1089" s="2840">
        <v>51300</v>
      </c>
      <c r="D1089" s="2841">
        <f t="shared" si="84"/>
        <v>7220</v>
      </c>
      <c r="E1089" s="2841">
        <f t="shared" si="85"/>
        <v>5772</v>
      </c>
      <c r="F1089" s="2841">
        <f t="shared" si="86"/>
        <v>7220</v>
      </c>
      <c r="G1089" s="2841">
        <f t="shared" si="87"/>
        <v>5881</v>
      </c>
    </row>
    <row r="1090" spans="1:7" ht="15.75">
      <c r="A1090" s="3022">
        <f t="shared" si="88"/>
        <v>51325</v>
      </c>
      <c r="B1090" s="2840">
        <v>51300</v>
      </c>
      <c r="C1090" s="2840">
        <v>51350</v>
      </c>
      <c r="D1090" s="2841">
        <f t="shared" ref="D1090:D1153" si="89">IF($A1090&gt;BOTT_A4,ROUND(BASE_A4+RATE_A4*($A1090-BOTT_A4),0),IF($A1090&gt;BOTT_A3,ROUND(BASE_A3+RATE_A3*($A1090-BOTT_A3),0),IF($A1090&gt;BOTT_A2,ROUND(BASE_A2+RATE_A2*($A1090-BOTT_A2),0),ROUND(RATE_A1*$A1090,0))))</f>
        <v>7231</v>
      </c>
      <c r="E1090" s="2841">
        <f t="shared" ref="E1090:E1153" si="90">IF($A1090&gt;BOTT_B4,ROUND(BASE_B4+RATE_B4*($A1090-BOTT_B4),0),IF($A1090&gt;BOTT_B3,ROUND(BASE_B3+RATE_B3*($A1090-BOTT_B3),0),IF($A1090&gt;BOTT_B2,ROUND(BASE_B2+RATE_B2*($A1090-BOTT_B2),0),ROUND(RATE_B1*$A1090,0))))</f>
        <v>5778</v>
      </c>
      <c r="F1090" s="2841">
        <f t="shared" ref="F1090:F1153" si="91">IF($A1090&gt;BOTT_C4,ROUND(BASE_C4+RATE_C4*($A1090-BOTT_C4),0),IF($A1090&gt;BOTT_C3,ROUND(BASE_C3+RATE_C3*($A1090-BOTT_C3),0),IF($A1090&gt;BOTT_C2,ROUND(BASE_C2+RATE_C2*($A1090-BOTT_C2),0),ROUND(RATE_C1*$A1090,0))))</f>
        <v>7231</v>
      </c>
      <c r="G1090" s="2841">
        <f t="shared" ref="G1090:G1153" si="92">IF($A1090&gt;BOTT_D4,ROUND(BASE_D4+RATE_D4*($A1090-BOTT_D4),0),IF($A1090&gt;BOTT_D3,ROUND(BASE_D3+RATE_D3*($A1090-BOTT_D3),0),IF($A1090&gt;BOTT_D2,ROUND(BASE_D2+RATE_D2*($A1090-BOTT_D2),0),ROUND(RATE_D1*$A1090,0))))</f>
        <v>5887</v>
      </c>
    </row>
    <row r="1091" spans="1:7" ht="15.75">
      <c r="A1091" s="3022">
        <f t="shared" ref="A1091:A1154" si="93">AVERAGE(B1091,C1091)</f>
        <v>51375</v>
      </c>
      <c r="B1091" s="2840">
        <v>51350</v>
      </c>
      <c r="C1091" s="2840">
        <v>51400</v>
      </c>
      <c r="D1091" s="2841">
        <f t="shared" si="89"/>
        <v>7242</v>
      </c>
      <c r="E1091" s="2841">
        <f t="shared" si="90"/>
        <v>5784</v>
      </c>
      <c r="F1091" s="2841">
        <f t="shared" si="91"/>
        <v>7242</v>
      </c>
      <c r="G1091" s="2841">
        <f t="shared" si="92"/>
        <v>5893</v>
      </c>
    </row>
    <row r="1092" spans="1:7" ht="15.75">
      <c r="A1092" s="3022">
        <f t="shared" si="93"/>
        <v>51425</v>
      </c>
      <c r="B1092" s="2840">
        <v>51400</v>
      </c>
      <c r="C1092" s="2840">
        <v>51450</v>
      </c>
      <c r="D1092" s="2841">
        <f t="shared" si="89"/>
        <v>7253</v>
      </c>
      <c r="E1092" s="2841">
        <f t="shared" si="90"/>
        <v>5790</v>
      </c>
      <c r="F1092" s="2841">
        <f t="shared" si="91"/>
        <v>7253</v>
      </c>
      <c r="G1092" s="2841">
        <f t="shared" si="92"/>
        <v>5899</v>
      </c>
    </row>
    <row r="1093" spans="1:7" ht="15.75">
      <c r="A1093" s="3022">
        <f t="shared" si="93"/>
        <v>51475</v>
      </c>
      <c r="B1093" s="2840">
        <v>51450</v>
      </c>
      <c r="C1093" s="2840">
        <v>51500</v>
      </c>
      <c r="D1093" s="2841">
        <f t="shared" si="89"/>
        <v>7264</v>
      </c>
      <c r="E1093" s="2841">
        <f t="shared" si="90"/>
        <v>5796</v>
      </c>
      <c r="F1093" s="2841">
        <f t="shared" si="91"/>
        <v>7264</v>
      </c>
      <c r="G1093" s="2841">
        <f t="shared" si="92"/>
        <v>5905</v>
      </c>
    </row>
    <row r="1094" spans="1:7" ht="15.75">
      <c r="A1094" s="3022">
        <f t="shared" si="93"/>
        <v>51525</v>
      </c>
      <c r="B1094" s="2840">
        <v>51500</v>
      </c>
      <c r="C1094" s="2840">
        <v>51550</v>
      </c>
      <c r="D1094" s="2841">
        <f t="shared" si="89"/>
        <v>7275</v>
      </c>
      <c r="E1094" s="2841">
        <f t="shared" si="90"/>
        <v>5802</v>
      </c>
      <c r="F1094" s="2841">
        <f t="shared" si="91"/>
        <v>7275</v>
      </c>
      <c r="G1094" s="2841">
        <f t="shared" si="92"/>
        <v>5911</v>
      </c>
    </row>
    <row r="1095" spans="1:7" ht="15.75">
      <c r="A1095" s="3022">
        <f t="shared" si="93"/>
        <v>51575</v>
      </c>
      <c r="B1095" s="2840">
        <v>51550</v>
      </c>
      <c r="C1095" s="2840">
        <v>51600</v>
      </c>
      <c r="D1095" s="2841">
        <f t="shared" si="89"/>
        <v>7286</v>
      </c>
      <c r="E1095" s="2841">
        <f t="shared" si="90"/>
        <v>5808</v>
      </c>
      <c r="F1095" s="2841">
        <f t="shared" si="91"/>
        <v>7286</v>
      </c>
      <c r="G1095" s="2841">
        <f t="shared" si="92"/>
        <v>5917</v>
      </c>
    </row>
    <row r="1096" spans="1:7" ht="15.75">
      <c r="A1096" s="3022">
        <f t="shared" si="93"/>
        <v>51625</v>
      </c>
      <c r="B1096" s="2840">
        <v>51600</v>
      </c>
      <c r="C1096" s="2840">
        <v>51650</v>
      </c>
      <c r="D1096" s="2841">
        <f t="shared" si="89"/>
        <v>7297</v>
      </c>
      <c r="E1096" s="2841">
        <f t="shared" si="90"/>
        <v>5814</v>
      </c>
      <c r="F1096" s="2841">
        <f t="shared" si="91"/>
        <v>7297</v>
      </c>
      <c r="G1096" s="2841">
        <f t="shared" si="92"/>
        <v>5923</v>
      </c>
    </row>
    <row r="1097" spans="1:7" ht="15.75">
      <c r="A1097" s="3022">
        <f t="shared" si="93"/>
        <v>51675</v>
      </c>
      <c r="B1097" s="2840">
        <v>51650</v>
      </c>
      <c r="C1097" s="2840">
        <v>51700</v>
      </c>
      <c r="D1097" s="2841">
        <f t="shared" si="89"/>
        <v>7308</v>
      </c>
      <c r="E1097" s="2841">
        <f t="shared" si="90"/>
        <v>5820</v>
      </c>
      <c r="F1097" s="2841">
        <f t="shared" si="91"/>
        <v>7308</v>
      </c>
      <c r="G1097" s="2841">
        <f t="shared" si="92"/>
        <v>5929</v>
      </c>
    </row>
    <row r="1098" spans="1:7" ht="15.75">
      <c r="A1098" s="3022">
        <f t="shared" si="93"/>
        <v>51725</v>
      </c>
      <c r="B1098" s="2840">
        <v>51700</v>
      </c>
      <c r="C1098" s="2840">
        <v>51750</v>
      </c>
      <c r="D1098" s="2841">
        <f t="shared" si="89"/>
        <v>7319</v>
      </c>
      <c r="E1098" s="2841">
        <f t="shared" si="90"/>
        <v>5826</v>
      </c>
      <c r="F1098" s="2841">
        <f t="shared" si="91"/>
        <v>7319</v>
      </c>
      <c r="G1098" s="2841">
        <f t="shared" si="92"/>
        <v>5935</v>
      </c>
    </row>
    <row r="1099" spans="1:7" ht="15.75">
      <c r="A1099" s="3022">
        <f t="shared" si="93"/>
        <v>51775</v>
      </c>
      <c r="B1099" s="2840">
        <v>51750</v>
      </c>
      <c r="C1099" s="2840">
        <v>51800</v>
      </c>
      <c r="D1099" s="2841">
        <f t="shared" si="89"/>
        <v>7330</v>
      </c>
      <c r="E1099" s="2841">
        <f t="shared" si="90"/>
        <v>5832</v>
      </c>
      <c r="F1099" s="2841">
        <f t="shared" si="91"/>
        <v>7330</v>
      </c>
      <c r="G1099" s="2841">
        <f t="shared" si="92"/>
        <v>5941</v>
      </c>
    </row>
    <row r="1100" spans="1:7" ht="15.75">
      <c r="A1100" s="3022">
        <f t="shared" si="93"/>
        <v>51825</v>
      </c>
      <c r="B1100" s="2840">
        <v>51800</v>
      </c>
      <c r="C1100" s="2840">
        <v>51850</v>
      </c>
      <c r="D1100" s="2841">
        <f t="shared" si="89"/>
        <v>7341</v>
      </c>
      <c r="E1100" s="2841">
        <f t="shared" si="90"/>
        <v>5838</v>
      </c>
      <c r="F1100" s="2841">
        <f t="shared" si="91"/>
        <v>7341</v>
      </c>
      <c r="G1100" s="2841">
        <f t="shared" si="92"/>
        <v>5950</v>
      </c>
    </row>
    <row r="1101" spans="1:7" ht="15.75">
      <c r="A1101" s="3022">
        <f t="shared" si="93"/>
        <v>51875</v>
      </c>
      <c r="B1101" s="2840">
        <v>51850</v>
      </c>
      <c r="C1101" s="2840">
        <v>51900</v>
      </c>
      <c r="D1101" s="2841">
        <f t="shared" si="89"/>
        <v>7352</v>
      </c>
      <c r="E1101" s="2841">
        <f t="shared" si="90"/>
        <v>5844</v>
      </c>
      <c r="F1101" s="2841">
        <f t="shared" si="91"/>
        <v>7352</v>
      </c>
      <c r="G1101" s="2841">
        <f t="shared" si="92"/>
        <v>5961</v>
      </c>
    </row>
    <row r="1102" spans="1:7" ht="15.75">
      <c r="A1102" s="3022">
        <f t="shared" si="93"/>
        <v>51925</v>
      </c>
      <c r="B1102" s="2840">
        <v>51900</v>
      </c>
      <c r="C1102" s="2840">
        <v>51950</v>
      </c>
      <c r="D1102" s="2841">
        <f t="shared" si="89"/>
        <v>7363</v>
      </c>
      <c r="E1102" s="2841">
        <f t="shared" si="90"/>
        <v>5850</v>
      </c>
      <c r="F1102" s="2841">
        <f t="shared" si="91"/>
        <v>7363</v>
      </c>
      <c r="G1102" s="2841">
        <f t="shared" si="92"/>
        <v>5972</v>
      </c>
    </row>
    <row r="1103" spans="1:7" ht="15.75">
      <c r="A1103" s="3022">
        <f t="shared" si="93"/>
        <v>51975</v>
      </c>
      <c r="B1103" s="2840">
        <v>51950</v>
      </c>
      <c r="C1103" s="2840">
        <v>52000</v>
      </c>
      <c r="D1103" s="2841">
        <f t="shared" si="89"/>
        <v>7374</v>
      </c>
      <c r="E1103" s="2841">
        <f t="shared" si="90"/>
        <v>5856</v>
      </c>
      <c r="F1103" s="2841">
        <f t="shared" si="91"/>
        <v>7374</v>
      </c>
      <c r="G1103" s="2841">
        <f t="shared" si="92"/>
        <v>5983</v>
      </c>
    </row>
    <row r="1104" spans="1:7" ht="15.75">
      <c r="A1104" s="3022">
        <f t="shared" si="93"/>
        <v>52025</v>
      </c>
      <c r="B1104" s="2840">
        <v>52000</v>
      </c>
      <c r="C1104" s="2840">
        <v>52050</v>
      </c>
      <c r="D1104" s="2841">
        <f t="shared" si="89"/>
        <v>7385</v>
      </c>
      <c r="E1104" s="2841">
        <f t="shared" si="90"/>
        <v>5862</v>
      </c>
      <c r="F1104" s="2841">
        <f t="shared" si="91"/>
        <v>7385</v>
      </c>
      <c r="G1104" s="2841">
        <f t="shared" si="92"/>
        <v>5994</v>
      </c>
    </row>
    <row r="1105" spans="1:7" ht="15.75">
      <c r="A1105" s="3022">
        <f t="shared" si="93"/>
        <v>52075</v>
      </c>
      <c r="B1105" s="2840">
        <v>52050</v>
      </c>
      <c r="C1105" s="2840">
        <v>52100</v>
      </c>
      <c r="D1105" s="2841">
        <f t="shared" si="89"/>
        <v>7396</v>
      </c>
      <c r="E1105" s="2841">
        <f t="shared" si="90"/>
        <v>5868</v>
      </c>
      <c r="F1105" s="2841">
        <f t="shared" si="91"/>
        <v>7396</v>
      </c>
      <c r="G1105" s="2841">
        <f t="shared" si="92"/>
        <v>6005</v>
      </c>
    </row>
    <row r="1106" spans="1:7" ht="15.75">
      <c r="A1106" s="3022">
        <f t="shared" si="93"/>
        <v>52125</v>
      </c>
      <c r="B1106" s="2840">
        <v>52100</v>
      </c>
      <c r="C1106" s="2840">
        <v>52150</v>
      </c>
      <c r="D1106" s="2841">
        <f t="shared" si="89"/>
        <v>7407</v>
      </c>
      <c r="E1106" s="2841">
        <f t="shared" si="90"/>
        <v>5874</v>
      </c>
      <c r="F1106" s="2841">
        <f t="shared" si="91"/>
        <v>7407</v>
      </c>
      <c r="G1106" s="2841">
        <f t="shared" si="92"/>
        <v>6016</v>
      </c>
    </row>
    <row r="1107" spans="1:7" ht="15.75">
      <c r="A1107" s="3022">
        <f t="shared" si="93"/>
        <v>52175</v>
      </c>
      <c r="B1107" s="2840">
        <v>52150</v>
      </c>
      <c r="C1107" s="2840">
        <v>52200</v>
      </c>
      <c r="D1107" s="2841">
        <f t="shared" si="89"/>
        <v>7418</v>
      </c>
      <c r="E1107" s="2841">
        <f t="shared" si="90"/>
        <v>5880</v>
      </c>
      <c r="F1107" s="2841">
        <f t="shared" si="91"/>
        <v>7418</v>
      </c>
      <c r="G1107" s="2841">
        <f t="shared" si="92"/>
        <v>6027</v>
      </c>
    </row>
    <row r="1108" spans="1:7" ht="15.75">
      <c r="A1108" s="3022">
        <f t="shared" si="93"/>
        <v>52225</v>
      </c>
      <c r="B1108" s="2840">
        <v>52200</v>
      </c>
      <c r="C1108" s="2840">
        <v>52250</v>
      </c>
      <c r="D1108" s="2841">
        <f t="shared" si="89"/>
        <v>7429</v>
      </c>
      <c r="E1108" s="2841">
        <f t="shared" si="90"/>
        <v>5886</v>
      </c>
      <c r="F1108" s="2841">
        <f t="shared" si="91"/>
        <v>7429</v>
      </c>
      <c r="G1108" s="2841">
        <f t="shared" si="92"/>
        <v>6038</v>
      </c>
    </row>
    <row r="1109" spans="1:7" ht="15.75">
      <c r="A1109" s="3022">
        <f t="shared" si="93"/>
        <v>52275</v>
      </c>
      <c r="B1109" s="2840">
        <v>52250</v>
      </c>
      <c r="C1109" s="2840">
        <v>52300</v>
      </c>
      <c r="D1109" s="2841">
        <f t="shared" si="89"/>
        <v>7440</v>
      </c>
      <c r="E1109" s="2841">
        <f t="shared" si="90"/>
        <v>5892</v>
      </c>
      <c r="F1109" s="2841">
        <f t="shared" si="91"/>
        <v>7440</v>
      </c>
      <c r="G1109" s="2841">
        <f t="shared" si="92"/>
        <v>6049</v>
      </c>
    </row>
    <row r="1110" spans="1:7" ht="15.75">
      <c r="A1110" s="3022">
        <f t="shared" si="93"/>
        <v>52325</v>
      </c>
      <c r="B1110" s="2840">
        <v>52300</v>
      </c>
      <c r="C1110" s="2840">
        <v>52350</v>
      </c>
      <c r="D1110" s="2841">
        <f t="shared" si="89"/>
        <v>7451</v>
      </c>
      <c r="E1110" s="2841">
        <f t="shared" si="90"/>
        <v>5898</v>
      </c>
      <c r="F1110" s="2841">
        <f t="shared" si="91"/>
        <v>7451</v>
      </c>
      <c r="G1110" s="2841">
        <f t="shared" si="92"/>
        <v>6060</v>
      </c>
    </row>
    <row r="1111" spans="1:7" ht="15.75">
      <c r="A1111" s="3022">
        <f t="shared" si="93"/>
        <v>52375</v>
      </c>
      <c r="B1111" s="2840">
        <v>52350</v>
      </c>
      <c r="C1111" s="2840">
        <v>52400</v>
      </c>
      <c r="D1111" s="2841">
        <f t="shared" si="89"/>
        <v>7462</v>
      </c>
      <c r="E1111" s="2841">
        <f t="shared" si="90"/>
        <v>5904</v>
      </c>
      <c r="F1111" s="2841">
        <f t="shared" si="91"/>
        <v>7462</v>
      </c>
      <c r="G1111" s="2841">
        <f t="shared" si="92"/>
        <v>6071</v>
      </c>
    </row>
    <row r="1112" spans="1:7" ht="15.75">
      <c r="A1112" s="3022">
        <f t="shared" si="93"/>
        <v>52425</v>
      </c>
      <c r="B1112" s="2840">
        <v>52400</v>
      </c>
      <c r="C1112" s="2840">
        <v>52450</v>
      </c>
      <c r="D1112" s="2841">
        <f t="shared" si="89"/>
        <v>7473</v>
      </c>
      <c r="E1112" s="2841">
        <f t="shared" si="90"/>
        <v>5910</v>
      </c>
      <c r="F1112" s="2841">
        <f t="shared" si="91"/>
        <v>7473</v>
      </c>
      <c r="G1112" s="2841">
        <f t="shared" si="92"/>
        <v>6082</v>
      </c>
    </row>
    <row r="1113" spans="1:7" ht="15.75">
      <c r="A1113" s="3022">
        <f t="shared" si="93"/>
        <v>52475</v>
      </c>
      <c r="B1113" s="2840">
        <v>52450</v>
      </c>
      <c r="C1113" s="2840">
        <v>52500</v>
      </c>
      <c r="D1113" s="2841">
        <f t="shared" si="89"/>
        <v>7484</v>
      </c>
      <c r="E1113" s="2841">
        <f t="shared" si="90"/>
        <v>5916</v>
      </c>
      <c r="F1113" s="2841">
        <f t="shared" si="91"/>
        <v>7484</v>
      </c>
      <c r="G1113" s="2841">
        <f t="shared" si="92"/>
        <v>6093</v>
      </c>
    </row>
    <row r="1114" spans="1:7" ht="15.75">
      <c r="A1114" s="3022">
        <f t="shared" si="93"/>
        <v>52525</v>
      </c>
      <c r="B1114" s="2840">
        <v>52500</v>
      </c>
      <c r="C1114" s="2840">
        <v>52550</v>
      </c>
      <c r="D1114" s="2841">
        <f t="shared" si="89"/>
        <v>7495</v>
      </c>
      <c r="E1114" s="2841">
        <f t="shared" si="90"/>
        <v>5922</v>
      </c>
      <c r="F1114" s="2841">
        <f t="shared" si="91"/>
        <v>7495</v>
      </c>
      <c r="G1114" s="2841">
        <f t="shared" si="92"/>
        <v>6104</v>
      </c>
    </row>
    <row r="1115" spans="1:7" ht="15.75">
      <c r="A1115" s="3022">
        <f t="shared" si="93"/>
        <v>52575</v>
      </c>
      <c r="B1115" s="2840">
        <v>52550</v>
      </c>
      <c r="C1115" s="2840">
        <v>52600</v>
      </c>
      <c r="D1115" s="2841">
        <f t="shared" si="89"/>
        <v>7506</v>
      </c>
      <c r="E1115" s="2841">
        <f t="shared" si="90"/>
        <v>5928</v>
      </c>
      <c r="F1115" s="2841">
        <f t="shared" si="91"/>
        <v>7506</v>
      </c>
      <c r="G1115" s="2841">
        <f t="shared" si="92"/>
        <v>6115</v>
      </c>
    </row>
    <row r="1116" spans="1:7" ht="15.75">
      <c r="A1116" s="3022">
        <f t="shared" si="93"/>
        <v>52625</v>
      </c>
      <c r="B1116" s="2840">
        <v>52600</v>
      </c>
      <c r="C1116" s="2840">
        <v>52650</v>
      </c>
      <c r="D1116" s="2841">
        <f t="shared" si="89"/>
        <v>7517</v>
      </c>
      <c r="E1116" s="2841">
        <f t="shared" si="90"/>
        <v>5934</v>
      </c>
      <c r="F1116" s="2841">
        <f t="shared" si="91"/>
        <v>7517</v>
      </c>
      <c r="G1116" s="2841">
        <f t="shared" si="92"/>
        <v>6126</v>
      </c>
    </row>
    <row r="1117" spans="1:7" ht="15.75">
      <c r="A1117" s="3022">
        <f t="shared" si="93"/>
        <v>52675</v>
      </c>
      <c r="B1117" s="2840">
        <v>52650</v>
      </c>
      <c r="C1117" s="2840">
        <v>52700</v>
      </c>
      <c r="D1117" s="2841">
        <f t="shared" si="89"/>
        <v>7528</v>
      </c>
      <c r="E1117" s="2841">
        <f t="shared" si="90"/>
        <v>5940</v>
      </c>
      <c r="F1117" s="2841">
        <f t="shared" si="91"/>
        <v>7528</v>
      </c>
      <c r="G1117" s="2841">
        <f t="shared" si="92"/>
        <v>6137</v>
      </c>
    </row>
    <row r="1118" spans="1:7" ht="15.75">
      <c r="A1118" s="3022">
        <f t="shared" si="93"/>
        <v>52725</v>
      </c>
      <c r="B1118" s="2840">
        <v>52700</v>
      </c>
      <c r="C1118" s="2840">
        <v>52750</v>
      </c>
      <c r="D1118" s="2841">
        <f t="shared" si="89"/>
        <v>7539</v>
      </c>
      <c r="E1118" s="2841">
        <f t="shared" si="90"/>
        <v>5946</v>
      </c>
      <c r="F1118" s="2841">
        <f t="shared" si="91"/>
        <v>7539</v>
      </c>
      <c r="G1118" s="2841">
        <f t="shared" si="92"/>
        <v>6148</v>
      </c>
    </row>
    <row r="1119" spans="1:7" ht="15.75">
      <c r="A1119" s="3022">
        <f t="shared" si="93"/>
        <v>52775</v>
      </c>
      <c r="B1119" s="2840">
        <v>52750</v>
      </c>
      <c r="C1119" s="2840">
        <v>52800</v>
      </c>
      <c r="D1119" s="2841">
        <f t="shared" si="89"/>
        <v>7550</v>
      </c>
      <c r="E1119" s="2841">
        <f t="shared" si="90"/>
        <v>5952</v>
      </c>
      <c r="F1119" s="2841">
        <f t="shared" si="91"/>
        <v>7550</v>
      </c>
      <c r="G1119" s="2841">
        <f t="shared" si="92"/>
        <v>6159</v>
      </c>
    </row>
    <row r="1120" spans="1:7" ht="15.75">
      <c r="A1120" s="3022">
        <f t="shared" si="93"/>
        <v>52825</v>
      </c>
      <c r="B1120" s="2840">
        <v>52800</v>
      </c>
      <c r="C1120" s="2840">
        <v>52850</v>
      </c>
      <c r="D1120" s="2841">
        <f t="shared" si="89"/>
        <v>7561</v>
      </c>
      <c r="E1120" s="2841">
        <f t="shared" si="90"/>
        <v>5958</v>
      </c>
      <c r="F1120" s="2841">
        <f t="shared" si="91"/>
        <v>7561</v>
      </c>
      <c r="G1120" s="2841">
        <f t="shared" si="92"/>
        <v>6170</v>
      </c>
    </row>
    <row r="1121" spans="1:7" ht="15.75">
      <c r="A1121" s="3022">
        <f t="shared" si="93"/>
        <v>52875</v>
      </c>
      <c r="B1121" s="2840">
        <v>52850</v>
      </c>
      <c r="C1121" s="2840">
        <v>52900</v>
      </c>
      <c r="D1121" s="2841">
        <f t="shared" si="89"/>
        <v>7572</v>
      </c>
      <c r="E1121" s="2841">
        <f t="shared" si="90"/>
        <v>5964</v>
      </c>
      <c r="F1121" s="2841">
        <f t="shared" si="91"/>
        <v>7572</v>
      </c>
      <c r="G1121" s="2841">
        <f t="shared" si="92"/>
        <v>6181</v>
      </c>
    </row>
    <row r="1122" spans="1:7" ht="15.75">
      <c r="A1122" s="3022">
        <f t="shared" si="93"/>
        <v>52925</v>
      </c>
      <c r="B1122" s="2840">
        <v>52900</v>
      </c>
      <c r="C1122" s="2840">
        <v>52950</v>
      </c>
      <c r="D1122" s="2841">
        <f t="shared" si="89"/>
        <v>7583</v>
      </c>
      <c r="E1122" s="2841">
        <f t="shared" si="90"/>
        <v>5970</v>
      </c>
      <c r="F1122" s="2841">
        <f t="shared" si="91"/>
        <v>7583</v>
      </c>
      <c r="G1122" s="2841">
        <f t="shared" si="92"/>
        <v>6192</v>
      </c>
    </row>
    <row r="1123" spans="1:7" ht="15.75">
      <c r="A1123" s="3022">
        <f t="shared" si="93"/>
        <v>52975</v>
      </c>
      <c r="B1123" s="2840">
        <v>52950</v>
      </c>
      <c r="C1123" s="2840">
        <v>53000</v>
      </c>
      <c r="D1123" s="2841">
        <f t="shared" si="89"/>
        <v>7594</v>
      </c>
      <c r="E1123" s="2841">
        <f t="shared" si="90"/>
        <v>5976</v>
      </c>
      <c r="F1123" s="2841">
        <f t="shared" si="91"/>
        <v>7594</v>
      </c>
      <c r="G1123" s="2841">
        <f t="shared" si="92"/>
        <v>6203</v>
      </c>
    </row>
    <row r="1124" spans="1:7" ht="15.75">
      <c r="A1124" s="3022">
        <f t="shared" si="93"/>
        <v>53025</v>
      </c>
      <c r="B1124" s="2840">
        <v>53000</v>
      </c>
      <c r="C1124" s="2840">
        <v>53050</v>
      </c>
      <c r="D1124" s="2841">
        <f t="shared" si="89"/>
        <v>7605</v>
      </c>
      <c r="E1124" s="2841">
        <f t="shared" si="90"/>
        <v>5982</v>
      </c>
      <c r="F1124" s="2841">
        <f t="shared" si="91"/>
        <v>7605</v>
      </c>
      <c r="G1124" s="2841">
        <f t="shared" si="92"/>
        <v>6214</v>
      </c>
    </row>
    <row r="1125" spans="1:7" ht="15.75">
      <c r="A1125" s="3022">
        <f t="shared" si="93"/>
        <v>53075</v>
      </c>
      <c r="B1125" s="2840">
        <v>53050</v>
      </c>
      <c r="C1125" s="2840">
        <v>53100</v>
      </c>
      <c r="D1125" s="2841">
        <f t="shared" si="89"/>
        <v>7616</v>
      </c>
      <c r="E1125" s="2841">
        <f t="shared" si="90"/>
        <v>5988</v>
      </c>
      <c r="F1125" s="2841">
        <f t="shared" si="91"/>
        <v>7616</v>
      </c>
      <c r="G1125" s="2841">
        <f t="shared" si="92"/>
        <v>6225</v>
      </c>
    </row>
    <row r="1126" spans="1:7" ht="15.75">
      <c r="A1126" s="3022">
        <f t="shared" si="93"/>
        <v>53125</v>
      </c>
      <c r="B1126" s="2840">
        <v>53100</v>
      </c>
      <c r="C1126" s="2840">
        <v>53150</v>
      </c>
      <c r="D1126" s="2841">
        <f t="shared" si="89"/>
        <v>7627</v>
      </c>
      <c r="E1126" s="2841">
        <f t="shared" si="90"/>
        <v>5994</v>
      </c>
      <c r="F1126" s="2841">
        <f t="shared" si="91"/>
        <v>7627</v>
      </c>
      <c r="G1126" s="2841">
        <f t="shared" si="92"/>
        <v>6236</v>
      </c>
    </row>
    <row r="1127" spans="1:7" ht="15.75">
      <c r="A1127" s="3022">
        <f t="shared" si="93"/>
        <v>53175</v>
      </c>
      <c r="B1127" s="2840">
        <v>53150</v>
      </c>
      <c r="C1127" s="2840">
        <v>53200</v>
      </c>
      <c r="D1127" s="2841">
        <f t="shared" si="89"/>
        <v>7638</v>
      </c>
      <c r="E1127" s="2841">
        <f t="shared" si="90"/>
        <v>6000</v>
      </c>
      <c r="F1127" s="2841">
        <f t="shared" si="91"/>
        <v>7638</v>
      </c>
      <c r="G1127" s="2841">
        <f t="shared" si="92"/>
        <v>6247</v>
      </c>
    </row>
    <row r="1128" spans="1:7" ht="15.75">
      <c r="A1128" s="3022">
        <f t="shared" si="93"/>
        <v>53225</v>
      </c>
      <c r="B1128" s="2840">
        <v>53200</v>
      </c>
      <c r="C1128" s="2840">
        <v>53250</v>
      </c>
      <c r="D1128" s="2841">
        <f t="shared" si="89"/>
        <v>7649</v>
      </c>
      <c r="E1128" s="2841">
        <f t="shared" si="90"/>
        <v>6006</v>
      </c>
      <c r="F1128" s="2841">
        <f t="shared" si="91"/>
        <v>7649</v>
      </c>
      <c r="G1128" s="2841">
        <f t="shared" si="92"/>
        <v>6258</v>
      </c>
    </row>
    <row r="1129" spans="1:7" ht="15.75">
      <c r="A1129" s="3022">
        <f t="shared" si="93"/>
        <v>53275</v>
      </c>
      <c r="B1129" s="2840">
        <v>53250</v>
      </c>
      <c r="C1129" s="2840">
        <v>53300</v>
      </c>
      <c r="D1129" s="2841">
        <f t="shared" si="89"/>
        <v>7660</v>
      </c>
      <c r="E1129" s="2841">
        <f t="shared" si="90"/>
        <v>6012</v>
      </c>
      <c r="F1129" s="2841">
        <f t="shared" si="91"/>
        <v>7660</v>
      </c>
      <c r="G1129" s="2841">
        <f t="shared" si="92"/>
        <v>6269</v>
      </c>
    </row>
    <row r="1130" spans="1:7" ht="15.75">
      <c r="A1130" s="3022">
        <f t="shared" si="93"/>
        <v>53325</v>
      </c>
      <c r="B1130" s="2840">
        <v>53300</v>
      </c>
      <c r="C1130" s="2840">
        <v>53350</v>
      </c>
      <c r="D1130" s="2841">
        <f t="shared" si="89"/>
        <v>7671</v>
      </c>
      <c r="E1130" s="2841">
        <f t="shared" si="90"/>
        <v>6018</v>
      </c>
      <c r="F1130" s="2841">
        <f t="shared" si="91"/>
        <v>7671</v>
      </c>
      <c r="G1130" s="2841">
        <f t="shared" si="92"/>
        <v>6280</v>
      </c>
    </row>
    <row r="1131" spans="1:7" ht="15.75">
      <c r="A1131" s="3022">
        <f t="shared" si="93"/>
        <v>53375</v>
      </c>
      <c r="B1131" s="2840">
        <v>53350</v>
      </c>
      <c r="C1131" s="2840">
        <v>53400</v>
      </c>
      <c r="D1131" s="2841">
        <f t="shared" si="89"/>
        <v>7682</v>
      </c>
      <c r="E1131" s="2841">
        <f t="shared" si="90"/>
        <v>6024</v>
      </c>
      <c r="F1131" s="2841">
        <f t="shared" si="91"/>
        <v>7682</v>
      </c>
      <c r="G1131" s="2841">
        <f t="shared" si="92"/>
        <v>6291</v>
      </c>
    </row>
    <row r="1132" spans="1:7" ht="15.75">
      <c r="A1132" s="3022">
        <f t="shared" si="93"/>
        <v>53425</v>
      </c>
      <c r="B1132" s="2840">
        <v>53400</v>
      </c>
      <c r="C1132" s="2840">
        <v>53450</v>
      </c>
      <c r="D1132" s="2841">
        <f t="shared" si="89"/>
        <v>7693</v>
      </c>
      <c r="E1132" s="2841">
        <f t="shared" si="90"/>
        <v>6030</v>
      </c>
      <c r="F1132" s="2841">
        <f t="shared" si="91"/>
        <v>7693</v>
      </c>
      <c r="G1132" s="2841">
        <f t="shared" si="92"/>
        <v>6302</v>
      </c>
    </row>
    <row r="1133" spans="1:7" ht="15.75">
      <c r="A1133" s="3022">
        <f t="shared" si="93"/>
        <v>53475</v>
      </c>
      <c r="B1133" s="2840">
        <v>53450</v>
      </c>
      <c r="C1133" s="2840">
        <v>53500</v>
      </c>
      <c r="D1133" s="2841">
        <f t="shared" si="89"/>
        <v>7704</v>
      </c>
      <c r="E1133" s="2841">
        <f t="shared" si="90"/>
        <v>6036</v>
      </c>
      <c r="F1133" s="2841">
        <f t="shared" si="91"/>
        <v>7704</v>
      </c>
      <c r="G1133" s="2841">
        <f t="shared" si="92"/>
        <v>6313</v>
      </c>
    </row>
    <row r="1134" spans="1:7" ht="15.75">
      <c r="A1134" s="3022">
        <f t="shared" si="93"/>
        <v>53525</v>
      </c>
      <c r="B1134" s="2840">
        <v>53500</v>
      </c>
      <c r="C1134" s="2840">
        <v>53550</v>
      </c>
      <c r="D1134" s="2841">
        <f t="shared" si="89"/>
        <v>7715</v>
      </c>
      <c r="E1134" s="2841">
        <f t="shared" si="90"/>
        <v>6042</v>
      </c>
      <c r="F1134" s="2841">
        <f t="shared" si="91"/>
        <v>7715</v>
      </c>
      <c r="G1134" s="2841">
        <f t="shared" si="92"/>
        <v>6324</v>
      </c>
    </row>
    <row r="1135" spans="1:7" ht="15.75">
      <c r="A1135" s="3022">
        <f t="shared" si="93"/>
        <v>53575</v>
      </c>
      <c r="B1135" s="2840">
        <v>53550</v>
      </c>
      <c r="C1135" s="2840">
        <v>53600</v>
      </c>
      <c r="D1135" s="2841">
        <f t="shared" si="89"/>
        <v>7726</v>
      </c>
      <c r="E1135" s="2841">
        <f t="shared" si="90"/>
        <v>6048</v>
      </c>
      <c r="F1135" s="2841">
        <f t="shared" si="91"/>
        <v>7726</v>
      </c>
      <c r="G1135" s="2841">
        <f t="shared" si="92"/>
        <v>6335</v>
      </c>
    </row>
    <row r="1136" spans="1:7" ht="15.75">
      <c r="A1136" s="3022">
        <f t="shared" si="93"/>
        <v>53625</v>
      </c>
      <c r="B1136" s="2840">
        <v>53600</v>
      </c>
      <c r="C1136" s="2840">
        <v>53650</v>
      </c>
      <c r="D1136" s="2841">
        <f t="shared" si="89"/>
        <v>7737</v>
      </c>
      <c r="E1136" s="2841">
        <f t="shared" si="90"/>
        <v>6054</v>
      </c>
      <c r="F1136" s="2841">
        <f t="shared" si="91"/>
        <v>7737</v>
      </c>
      <c r="G1136" s="2841">
        <f t="shared" si="92"/>
        <v>6346</v>
      </c>
    </row>
    <row r="1137" spans="1:7" ht="15.75">
      <c r="A1137" s="3022">
        <f t="shared" si="93"/>
        <v>53675</v>
      </c>
      <c r="B1137" s="2840">
        <v>53650</v>
      </c>
      <c r="C1137" s="2840">
        <v>53700</v>
      </c>
      <c r="D1137" s="2841">
        <f t="shared" si="89"/>
        <v>7748</v>
      </c>
      <c r="E1137" s="2841">
        <f t="shared" si="90"/>
        <v>6060</v>
      </c>
      <c r="F1137" s="2841">
        <f t="shared" si="91"/>
        <v>7748</v>
      </c>
      <c r="G1137" s="2841">
        <f t="shared" si="92"/>
        <v>6357</v>
      </c>
    </row>
    <row r="1138" spans="1:7" ht="15.75">
      <c r="A1138" s="3022">
        <f t="shared" si="93"/>
        <v>53725</v>
      </c>
      <c r="B1138" s="2840">
        <v>53700</v>
      </c>
      <c r="C1138" s="2840">
        <v>53750</v>
      </c>
      <c r="D1138" s="2841">
        <f t="shared" si="89"/>
        <v>7759</v>
      </c>
      <c r="E1138" s="2841">
        <f t="shared" si="90"/>
        <v>6066</v>
      </c>
      <c r="F1138" s="2841">
        <f t="shared" si="91"/>
        <v>7759</v>
      </c>
      <c r="G1138" s="2841">
        <f t="shared" si="92"/>
        <v>6368</v>
      </c>
    </row>
    <row r="1139" spans="1:7" ht="15.75">
      <c r="A1139" s="3022">
        <f t="shared" si="93"/>
        <v>53775</v>
      </c>
      <c r="B1139" s="2840">
        <v>53750</v>
      </c>
      <c r="C1139" s="2840">
        <v>53800</v>
      </c>
      <c r="D1139" s="2841">
        <f t="shared" si="89"/>
        <v>7770</v>
      </c>
      <c r="E1139" s="2841">
        <f t="shared" si="90"/>
        <v>6072</v>
      </c>
      <c r="F1139" s="2841">
        <f t="shared" si="91"/>
        <v>7770</v>
      </c>
      <c r="G1139" s="2841">
        <f t="shared" si="92"/>
        <v>6379</v>
      </c>
    </row>
    <row r="1140" spans="1:7" ht="15.75">
      <c r="A1140" s="3022">
        <f t="shared" si="93"/>
        <v>53825</v>
      </c>
      <c r="B1140" s="2840">
        <v>53800</v>
      </c>
      <c r="C1140" s="2840">
        <v>53850</v>
      </c>
      <c r="D1140" s="2841">
        <f t="shared" si="89"/>
        <v>7781</v>
      </c>
      <c r="E1140" s="2841">
        <f t="shared" si="90"/>
        <v>6078</v>
      </c>
      <c r="F1140" s="2841">
        <f t="shared" si="91"/>
        <v>7781</v>
      </c>
      <c r="G1140" s="2841">
        <f t="shared" si="92"/>
        <v>6390</v>
      </c>
    </row>
    <row r="1141" spans="1:7" ht="15.75">
      <c r="A1141" s="3022">
        <f t="shared" si="93"/>
        <v>53875</v>
      </c>
      <c r="B1141" s="2840">
        <v>53850</v>
      </c>
      <c r="C1141" s="2840">
        <v>53900</v>
      </c>
      <c r="D1141" s="2841">
        <f t="shared" si="89"/>
        <v>7792</v>
      </c>
      <c r="E1141" s="2841">
        <f t="shared" si="90"/>
        <v>6084</v>
      </c>
      <c r="F1141" s="2841">
        <f t="shared" si="91"/>
        <v>7792</v>
      </c>
      <c r="G1141" s="2841">
        <f t="shared" si="92"/>
        <v>6401</v>
      </c>
    </row>
    <row r="1142" spans="1:7" ht="15.75">
      <c r="A1142" s="3022">
        <f t="shared" si="93"/>
        <v>53925</v>
      </c>
      <c r="B1142" s="2840">
        <v>53900</v>
      </c>
      <c r="C1142" s="2840">
        <v>53950</v>
      </c>
      <c r="D1142" s="2841">
        <f t="shared" si="89"/>
        <v>7803</v>
      </c>
      <c r="E1142" s="2841">
        <f t="shared" si="90"/>
        <v>6090</v>
      </c>
      <c r="F1142" s="2841">
        <f t="shared" si="91"/>
        <v>7803</v>
      </c>
      <c r="G1142" s="2841">
        <f t="shared" si="92"/>
        <v>6412</v>
      </c>
    </row>
    <row r="1143" spans="1:7" ht="15.75">
      <c r="A1143" s="3022">
        <f t="shared" si="93"/>
        <v>53975</v>
      </c>
      <c r="B1143" s="2840">
        <v>53950</v>
      </c>
      <c r="C1143" s="2840">
        <v>54000</v>
      </c>
      <c r="D1143" s="2841">
        <f t="shared" si="89"/>
        <v>7814</v>
      </c>
      <c r="E1143" s="2841">
        <f t="shared" si="90"/>
        <v>6096</v>
      </c>
      <c r="F1143" s="2841">
        <f t="shared" si="91"/>
        <v>7814</v>
      </c>
      <c r="G1143" s="2841">
        <f t="shared" si="92"/>
        <v>6423</v>
      </c>
    </row>
    <row r="1144" spans="1:7" ht="15.75">
      <c r="A1144" s="3022">
        <f t="shared" si="93"/>
        <v>54025</v>
      </c>
      <c r="B1144" s="2840">
        <v>54000</v>
      </c>
      <c r="C1144" s="2840">
        <v>54050</v>
      </c>
      <c r="D1144" s="2841">
        <f t="shared" si="89"/>
        <v>7825</v>
      </c>
      <c r="E1144" s="2841">
        <f t="shared" si="90"/>
        <v>6102</v>
      </c>
      <c r="F1144" s="2841">
        <f t="shared" si="91"/>
        <v>7825</v>
      </c>
      <c r="G1144" s="2841">
        <f t="shared" si="92"/>
        <v>6434</v>
      </c>
    </row>
    <row r="1145" spans="1:7" ht="15.75">
      <c r="A1145" s="3022">
        <f t="shared" si="93"/>
        <v>54075</v>
      </c>
      <c r="B1145" s="2840">
        <v>54050</v>
      </c>
      <c r="C1145" s="2840">
        <v>54100</v>
      </c>
      <c r="D1145" s="2841">
        <f t="shared" si="89"/>
        <v>7836</v>
      </c>
      <c r="E1145" s="2841">
        <f t="shared" si="90"/>
        <v>6108</v>
      </c>
      <c r="F1145" s="2841">
        <f t="shared" si="91"/>
        <v>7836</v>
      </c>
      <c r="G1145" s="2841">
        <f t="shared" si="92"/>
        <v>6445</v>
      </c>
    </row>
    <row r="1146" spans="1:7" ht="15.75">
      <c r="A1146" s="3022">
        <f t="shared" si="93"/>
        <v>54125</v>
      </c>
      <c r="B1146" s="2840">
        <v>54100</v>
      </c>
      <c r="C1146" s="2840">
        <v>54150</v>
      </c>
      <c r="D1146" s="2841">
        <f t="shared" si="89"/>
        <v>7847</v>
      </c>
      <c r="E1146" s="2841">
        <f t="shared" si="90"/>
        <v>6114</v>
      </c>
      <c r="F1146" s="2841">
        <f t="shared" si="91"/>
        <v>7847</v>
      </c>
      <c r="G1146" s="2841">
        <f t="shared" si="92"/>
        <v>6456</v>
      </c>
    </row>
    <row r="1147" spans="1:7" ht="15.75">
      <c r="A1147" s="3022">
        <f t="shared" si="93"/>
        <v>54175</v>
      </c>
      <c r="B1147" s="2840">
        <v>54150</v>
      </c>
      <c r="C1147" s="2840">
        <v>54200</v>
      </c>
      <c r="D1147" s="2841">
        <f t="shared" si="89"/>
        <v>7858</v>
      </c>
      <c r="E1147" s="2841">
        <f t="shared" si="90"/>
        <v>6120</v>
      </c>
      <c r="F1147" s="2841">
        <f t="shared" si="91"/>
        <v>7858</v>
      </c>
      <c r="G1147" s="2841">
        <f t="shared" si="92"/>
        <v>6467</v>
      </c>
    </row>
    <row r="1148" spans="1:7" ht="15.75">
      <c r="A1148" s="3022">
        <f t="shared" si="93"/>
        <v>54225</v>
      </c>
      <c r="B1148" s="2840">
        <v>54200</v>
      </c>
      <c r="C1148" s="2840">
        <v>54250</v>
      </c>
      <c r="D1148" s="2841">
        <f t="shared" si="89"/>
        <v>7869</v>
      </c>
      <c r="E1148" s="2841">
        <f t="shared" si="90"/>
        <v>6126</v>
      </c>
      <c r="F1148" s="2841">
        <f t="shared" si="91"/>
        <v>7869</v>
      </c>
      <c r="G1148" s="2841">
        <f t="shared" si="92"/>
        <v>6478</v>
      </c>
    </row>
    <row r="1149" spans="1:7" ht="15.75">
      <c r="A1149" s="3022">
        <f t="shared" si="93"/>
        <v>54275</v>
      </c>
      <c r="B1149" s="2840">
        <v>54250</v>
      </c>
      <c r="C1149" s="2840">
        <v>54300</v>
      </c>
      <c r="D1149" s="2841">
        <f t="shared" si="89"/>
        <v>7880</v>
      </c>
      <c r="E1149" s="2841">
        <f t="shared" si="90"/>
        <v>6132</v>
      </c>
      <c r="F1149" s="2841">
        <f t="shared" si="91"/>
        <v>7880</v>
      </c>
      <c r="G1149" s="2841">
        <f t="shared" si="92"/>
        <v>6489</v>
      </c>
    </row>
    <row r="1150" spans="1:7" ht="15.75">
      <c r="A1150" s="3022">
        <f t="shared" si="93"/>
        <v>54325</v>
      </c>
      <c r="B1150" s="2840">
        <v>54300</v>
      </c>
      <c r="C1150" s="2840">
        <v>54350</v>
      </c>
      <c r="D1150" s="2841">
        <f t="shared" si="89"/>
        <v>7891</v>
      </c>
      <c r="E1150" s="2841">
        <f t="shared" si="90"/>
        <v>6138</v>
      </c>
      <c r="F1150" s="2841">
        <f t="shared" si="91"/>
        <v>7891</v>
      </c>
      <c r="G1150" s="2841">
        <f t="shared" si="92"/>
        <v>6500</v>
      </c>
    </row>
    <row r="1151" spans="1:7" ht="15.75">
      <c r="A1151" s="3022">
        <f t="shared" si="93"/>
        <v>54375</v>
      </c>
      <c r="B1151" s="2840">
        <v>54350</v>
      </c>
      <c r="C1151" s="2840">
        <v>54400</v>
      </c>
      <c r="D1151" s="2841">
        <f t="shared" si="89"/>
        <v>7902</v>
      </c>
      <c r="E1151" s="2841">
        <f t="shared" si="90"/>
        <v>6144</v>
      </c>
      <c r="F1151" s="2841">
        <f t="shared" si="91"/>
        <v>7902</v>
      </c>
      <c r="G1151" s="2841">
        <f t="shared" si="92"/>
        <v>6511</v>
      </c>
    </row>
    <row r="1152" spans="1:7" ht="15.75">
      <c r="A1152" s="3022">
        <f t="shared" si="93"/>
        <v>54425</v>
      </c>
      <c r="B1152" s="2840">
        <v>54400</v>
      </c>
      <c r="C1152" s="2840">
        <v>54450</v>
      </c>
      <c r="D1152" s="2841">
        <f t="shared" si="89"/>
        <v>7913</v>
      </c>
      <c r="E1152" s="2841">
        <f t="shared" si="90"/>
        <v>6150</v>
      </c>
      <c r="F1152" s="2841">
        <f t="shared" si="91"/>
        <v>7913</v>
      </c>
      <c r="G1152" s="2841">
        <f t="shared" si="92"/>
        <v>6522</v>
      </c>
    </row>
    <row r="1153" spans="1:7" ht="15.75">
      <c r="A1153" s="3022">
        <f t="shared" si="93"/>
        <v>54475</v>
      </c>
      <c r="B1153" s="2840">
        <v>54450</v>
      </c>
      <c r="C1153" s="2840">
        <v>54500</v>
      </c>
      <c r="D1153" s="2841">
        <f t="shared" si="89"/>
        <v>7924</v>
      </c>
      <c r="E1153" s="2841">
        <f t="shared" si="90"/>
        <v>6156</v>
      </c>
      <c r="F1153" s="2841">
        <f t="shared" si="91"/>
        <v>7924</v>
      </c>
      <c r="G1153" s="2841">
        <f t="shared" si="92"/>
        <v>6533</v>
      </c>
    </row>
    <row r="1154" spans="1:7" ht="15.75">
      <c r="A1154" s="3022">
        <f t="shared" si="93"/>
        <v>54525</v>
      </c>
      <c r="B1154" s="2840">
        <v>54500</v>
      </c>
      <c r="C1154" s="2840">
        <v>54550</v>
      </c>
      <c r="D1154" s="2841">
        <f t="shared" ref="D1154:D1217" si="94">IF($A1154&gt;BOTT_A4,ROUND(BASE_A4+RATE_A4*($A1154-BOTT_A4),0),IF($A1154&gt;BOTT_A3,ROUND(BASE_A3+RATE_A3*($A1154-BOTT_A3),0),IF($A1154&gt;BOTT_A2,ROUND(BASE_A2+RATE_A2*($A1154-BOTT_A2),0),ROUND(RATE_A1*$A1154,0))))</f>
        <v>7935</v>
      </c>
      <c r="E1154" s="2841">
        <f t="shared" ref="E1154:E1217" si="95">IF($A1154&gt;BOTT_B4,ROUND(BASE_B4+RATE_B4*($A1154-BOTT_B4),0),IF($A1154&gt;BOTT_B3,ROUND(BASE_B3+RATE_B3*($A1154-BOTT_B3),0),IF($A1154&gt;BOTT_B2,ROUND(BASE_B2+RATE_B2*($A1154-BOTT_B2),0),ROUND(RATE_B1*$A1154,0))))</f>
        <v>6162</v>
      </c>
      <c r="F1154" s="2841">
        <f t="shared" ref="F1154:F1217" si="96">IF($A1154&gt;BOTT_C4,ROUND(BASE_C4+RATE_C4*($A1154-BOTT_C4),0),IF($A1154&gt;BOTT_C3,ROUND(BASE_C3+RATE_C3*($A1154-BOTT_C3),0),IF($A1154&gt;BOTT_C2,ROUND(BASE_C2+RATE_C2*($A1154-BOTT_C2),0),ROUND(RATE_C1*$A1154,0))))</f>
        <v>7935</v>
      </c>
      <c r="G1154" s="2841">
        <f t="shared" ref="G1154:G1217" si="97">IF($A1154&gt;BOTT_D4,ROUND(BASE_D4+RATE_D4*($A1154-BOTT_D4),0),IF($A1154&gt;BOTT_D3,ROUND(BASE_D3+RATE_D3*($A1154-BOTT_D3),0),IF($A1154&gt;BOTT_D2,ROUND(BASE_D2+RATE_D2*($A1154-BOTT_D2),0),ROUND(RATE_D1*$A1154,0))))</f>
        <v>6544</v>
      </c>
    </row>
    <row r="1155" spans="1:7" ht="15.75">
      <c r="A1155" s="3022">
        <f t="shared" ref="A1155:A1218" si="98">AVERAGE(B1155,C1155)</f>
        <v>54575</v>
      </c>
      <c r="B1155" s="2840">
        <v>54550</v>
      </c>
      <c r="C1155" s="2840">
        <v>54600</v>
      </c>
      <c r="D1155" s="2841">
        <f t="shared" si="94"/>
        <v>7946</v>
      </c>
      <c r="E1155" s="2841">
        <f t="shared" si="95"/>
        <v>6168</v>
      </c>
      <c r="F1155" s="2841">
        <f t="shared" si="96"/>
        <v>7946</v>
      </c>
      <c r="G1155" s="2841">
        <f t="shared" si="97"/>
        <v>6555</v>
      </c>
    </row>
    <row r="1156" spans="1:7" ht="15.75">
      <c r="A1156" s="3022">
        <f t="shared" si="98"/>
        <v>54625</v>
      </c>
      <c r="B1156" s="2840">
        <v>54600</v>
      </c>
      <c r="C1156" s="2840">
        <v>54650</v>
      </c>
      <c r="D1156" s="2841">
        <f t="shared" si="94"/>
        <v>7957</v>
      </c>
      <c r="E1156" s="2841">
        <f t="shared" si="95"/>
        <v>6174</v>
      </c>
      <c r="F1156" s="2841">
        <f t="shared" si="96"/>
        <v>7957</v>
      </c>
      <c r="G1156" s="2841">
        <f t="shared" si="97"/>
        <v>6566</v>
      </c>
    </row>
    <row r="1157" spans="1:7" ht="15.75">
      <c r="A1157" s="3022">
        <f t="shared" si="98"/>
        <v>54675</v>
      </c>
      <c r="B1157" s="2840">
        <v>54650</v>
      </c>
      <c r="C1157" s="2840">
        <v>54700</v>
      </c>
      <c r="D1157" s="2841">
        <f t="shared" si="94"/>
        <v>7968</v>
      </c>
      <c r="E1157" s="2841">
        <f t="shared" si="95"/>
        <v>6180</v>
      </c>
      <c r="F1157" s="2841">
        <f t="shared" si="96"/>
        <v>7968</v>
      </c>
      <c r="G1157" s="2841">
        <f t="shared" si="97"/>
        <v>6577</v>
      </c>
    </row>
    <row r="1158" spans="1:7" ht="15.75">
      <c r="A1158" s="3022">
        <f t="shared" si="98"/>
        <v>54725</v>
      </c>
      <c r="B1158" s="2840">
        <v>54700</v>
      </c>
      <c r="C1158" s="2840">
        <v>54750</v>
      </c>
      <c r="D1158" s="2841">
        <f t="shared" si="94"/>
        <v>7979</v>
      </c>
      <c r="E1158" s="2841">
        <f t="shared" si="95"/>
        <v>6186</v>
      </c>
      <c r="F1158" s="2841">
        <f t="shared" si="96"/>
        <v>7979</v>
      </c>
      <c r="G1158" s="2841">
        <f t="shared" si="97"/>
        <v>6588</v>
      </c>
    </row>
    <row r="1159" spans="1:7" ht="15.75">
      <c r="A1159" s="3022">
        <f t="shared" si="98"/>
        <v>54775</v>
      </c>
      <c r="B1159" s="2840">
        <v>54750</v>
      </c>
      <c r="C1159" s="2840">
        <v>54800</v>
      </c>
      <c r="D1159" s="2841">
        <f t="shared" si="94"/>
        <v>7990</v>
      </c>
      <c r="E1159" s="2841">
        <f t="shared" si="95"/>
        <v>6192</v>
      </c>
      <c r="F1159" s="2841">
        <f t="shared" si="96"/>
        <v>7990</v>
      </c>
      <c r="G1159" s="2841">
        <f t="shared" si="97"/>
        <v>6599</v>
      </c>
    </row>
    <row r="1160" spans="1:7" ht="15.75">
      <c r="A1160" s="3022">
        <f t="shared" si="98"/>
        <v>54825</v>
      </c>
      <c r="B1160" s="2840">
        <v>54800</v>
      </c>
      <c r="C1160" s="2840">
        <v>54850</v>
      </c>
      <c r="D1160" s="2841">
        <f t="shared" si="94"/>
        <v>8001</v>
      </c>
      <c r="E1160" s="2841">
        <f t="shared" si="95"/>
        <v>6198</v>
      </c>
      <c r="F1160" s="2841">
        <f t="shared" si="96"/>
        <v>8001</v>
      </c>
      <c r="G1160" s="2841">
        <f t="shared" si="97"/>
        <v>6610</v>
      </c>
    </row>
    <row r="1161" spans="1:7" ht="15.75">
      <c r="A1161" s="3022">
        <f t="shared" si="98"/>
        <v>54875</v>
      </c>
      <c r="B1161" s="2840">
        <v>54850</v>
      </c>
      <c r="C1161" s="2840">
        <v>54900</v>
      </c>
      <c r="D1161" s="2841">
        <f t="shared" si="94"/>
        <v>8012</v>
      </c>
      <c r="E1161" s="2841">
        <f t="shared" si="95"/>
        <v>6204</v>
      </c>
      <c r="F1161" s="2841">
        <f t="shared" si="96"/>
        <v>8012</v>
      </c>
      <c r="G1161" s="2841">
        <f t="shared" si="97"/>
        <v>6621</v>
      </c>
    </row>
    <row r="1162" spans="1:7" ht="15.75">
      <c r="A1162" s="3022">
        <f t="shared" si="98"/>
        <v>54925</v>
      </c>
      <c r="B1162" s="2840">
        <v>54900</v>
      </c>
      <c r="C1162" s="2840">
        <v>54950</v>
      </c>
      <c r="D1162" s="2841">
        <f t="shared" si="94"/>
        <v>8023</v>
      </c>
      <c r="E1162" s="2841">
        <f t="shared" si="95"/>
        <v>6210</v>
      </c>
      <c r="F1162" s="2841">
        <f t="shared" si="96"/>
        <v>8023</v>
      </c>
      <c r="G1162" s="2841">
        <f t="shared" si="97"/>
        <v>6632</v>
      </c>
    </row>
    <row r="1163" spans="1:7" ht="15.75">
      <c r="A1163" s="3022">
        <f t="shared" si="98"/>
        <v>54975</v>
      </c>
      <c r="B1163" s="2840">
        <v>54950</v>
      </c>
      <c r="C1163" s="2840">
        <v>55000</v>
      </c>
      <c r="D1163" s="2841">
        <f t="shared" si="94"/>
        <v>8034</v>
      </c>
      <c r="E1163" s="2841">
        <f t="shared" si="95"/>
        <v>6216</v>
      </c>
      <c r="F1163" s="2841">
        <f t="shared" si="96"/>
        <v>8034</v>
      </c>
      <c r="G1163" s="2841">
        <f t="shared" si="97"/>
        <v>6643</v>
      </c>
    </row>
    <row r="1164" spans="1:7" ht="15.75">
      <c r="A1164" s="3022">
        <f t="shared" si="98"/>
        <v>55025</v>
      </c>
      <c r="B1164" s="2840">
        <v>55000</v>
      </c>
      <c r="C1164" s="2840">
        <v>55050</v>
      </c>
      <c r="D1164" s="2841">
        <f t="shared" si="94"/>
        <v>8045</v>
      </c>
      <c r="E1164" s="2841">
        <f t="shared" si="95"/>
        <v>6222</v>
      </c>
      <c r="F1164" s="2841">
        <f t="shared" si="96"/>
        <v>8045</v>
      </c>
      <c r="G1164" s="2841">
        <f t="shared" si="97"/>
        <v>6654</v>
      </c>
    </row>
    <row r="1165" spans="1:7" ht="15.75">
      <c r="A1165" s="3022">
        <f t="shared" si="98"/>
        <v>55075</v>
      </c>
      <c r="B1165" s="2840">
        <v>55050</v>
      </c>
      <c r="C1165" s="2840">
        <v>55100</v>
      </c>
      <c r="D1165" s="2841">
        <f t="shared" si="94"/>
        <v>8056</v>
      </c>
      <c r="E1165" s="2841">
        <f t="shared" si="95"/>
        <v>6228</v>
      </c>
      <c r="F1165" s="2841">
        <f t="shared" si="96"/>
        <v>8056</v>
      </c>
      <c r="G1165" s="2841">
        <f t="shared" si="97"/>
        <v>6665</v>
      </c>
    </row>
    <row r="1166" spans="1:7" ht="15.75">
      <c r="A1166" s="3022">
        <f t="shared" si="98"/>
        <v>55125</v>
      </c>
      <c r="B1166" s="2840">
        <v>55100</v>
      </c>
      <c r="C1166" s="2840">
        <v>55150</v>
      </c>
      <c r="D1166" s="2841">
        <f t="shared" si="94"/>
        <v>8067</v>
      </c>
      <c r="E1166" s="2841">
        <f t="shared" si="95"/>
        <v>6234</v>
      </c>
      <c r="F1166" s="2841">
        <f t="shared" si="96"/>
        <v>8067</v>
      </c>
      <c r="G1166" s="2841">
        <f t="shared" si="97"/>
        <v>6676</v>
      </c>
    </row>
    <row r="1167" spans="1:7" ht="15.75">
      <c r="A1167" s="3022">
        <f t="shared" si="98"/>
        <v>55175</v>
      </c>
      <c r="B1167" s="2840">
        <v>55150</v>
      </c>
      <c r="C1167" s="2840">
        <v>55200</v>
      </c>
      <c r="D1167" s="2841">
        <f t="shared" si="94"/>
        <v>8078</v>
      </c>
      <c r="E1167" s="2841">
        <f t="shared" si="95"/>
        <v>6240</v>
      </c>
      <c r="F1167" s="2841">
        <f t="shared" si="96"/>
        <v>8078</v>
      </c>
      <c r="G1167" s="2841">
        <f t="shared" si="97"/>
        <v>6687</v>
      </c>
    </row>
    <row r="1168" spans="1:7" ht="15.75">
      <c r="A1168" s="3022">
        <f t="shared" si="98"/>
        <v>55225</v>
      </c>
      <c r="B1168" s="2840">
        <v>55200</v>
      </c>
      <c r="C1168" s="2840">
        <v>55250</v>
      </c>
      <c r="D1168" s="2841">
        <f t="shared" si="94"/>
        <v>8089</v>
      </c>
      <c r="E1168" s="2841">
        <f t="shared" si="95"/>
        <v>6246</v>
      </c>
      <c r="F1168" s="2841">
        <f t="shared" si="96"/>
        <v>8089</v>
      </c>
      <c r="G1168" s="2841">
        <f t="shared" si="97"/>
        <v>6698</v>
      </c>
    </row>
    <row r="1169" spans="1:7" ht="15.75">
      <c r="A1169" s="3022">
        <f t="shared" si="98"/>
        <v>55275</v>
      </c>
      <c r="B1169" s="2840">
        <v>55250</v>
      </c>
      <c r="C1169" s="2840">
        <v>55300</v>
      </c>
      <c r="D1169" s="2841">
        <f t="shared" si="94"/>
        <v>8100</v>
      </c>
      <c r="E1169" s="2841">
        <f t="shared" si="95"/>
        <v>6252</v>
      </c>
      <c r="F1169" s="2841">
        <f t="shared" si="96"/>
        <v>8100</v>
      </c>
      <c r="G1169" s="2841">
        <f t="shared" si="97"/>
        <v>6709</v>
      </c>
    </row>
    <row r="1170" spans="1:7" ht="15.75">
      <c r="A1170" s="3022">
        <f t="shared" si="98"/>
        <v>55325</v>
      </c>
      <c r="B1170" s="2840">
        <v>55300</v>
      </c>
      <c r="C1170" s="2840">
        <v>55350</v>
      </c>
      <c r="D1170" s="2841">
        <f t="shared" si="94"/>
        <v>8111</v>
      </c>
      <c r="E1170" s="2841">
        <f t="shared" si="95"/>
        <v>6258</v>
      </c>
      <c r="F1170" s="2841">
        <f t="shared" si="96"/>
        <v>8111</v>
      </c>
      <c r="G1170" s="2841">
        <f t="shared" si="97"/>
        <v>6720</v>
      </c>
    </row>
    <row r="1171" spans="1:7" ht="15.75">
      <c r="A1171" s="3022">
        <f t="shared" si="98"/>
        <v>55375</v>
      </c>
      <c r="B1171" s="2840">
        <v>55350</v>
      </c>
      <c r="C1171" s="2840">
        <v>55400</v>
      </c>
      <c r="D1171" s="2841">
        <f t="shared" si="94"/>
        <v>8122</v>
      </c>
      <c r="E1171" s="2841">
        <f t="shared" si="95"/>
        <v>6264</v>
      </c>
      <c r="F1171" s="2841">
        <f t="shared" si="96"/>
        <v>8122</v>
      </c>
      <c r="G1171" s="2841">
        <f t="shared" si="97"/>
        <v>6731</v>
      </c>
    </row>
    <row r="1172" spans="1:7" ht="15.75">
      <c r="A1172" s="3022">
        <f t="shared" si="98"/>
        <v>55425</v>
      </c>
      <c r="B1172" s="2840">
        <v>55400</v>
      </c>
      <c r="C1172" s="2840">
        <v>55450</v>
      </c>
      <c r="D1172" s="2841">
        <f t="shared" si="94"/>
        <v>8133</v>
      </c>
      <c r="E1172" s="2841">
        <f t="shared" si="95"/>
        <v>6270</v>
      </c>
      <c r="F1172" s="2841">
        <f t="shared" si="96"/>
        <v>8133</v>
      </c>
      <c r="G1172" s="2841">
        <f t="shared" si="97"/>
        <v>6742</v>
      </c>
    </row>
    <row r="1173" spans="1:7" ht="15.75">
      <c r="A1173" s="3022">
        <f t="shared" si="98"/>
        <v>55475</v>
      </c>
      <c r="B1173" s="2840">
        <v>55450</v>
      </c>
      <c r="C1173" s="2840">
        <v>55500</v>
      </c>
      <c r="D1173" s="2841">
        <f t="shared" si="94"/>
        <v>8144</v>
      </c>
      <c r="E1173" s="2841">
        <f t="shared" si="95"/>
        <v>6276</v>
      </c>
      <c r="F1173" s="2841">
        <f t="shared" si="96"/>
        <v>8144</v>
      </c>
      <c r="G1173" s="2841">
        <f t="shared" si="97"/>
        <v>6753</v>
      </c>
    </row>
    <row r="1174" spans="1:7" ht="15.75">
      <c r="A1174" s="3022">
        <f t="shared" si="98"/>
        <v>55525</v>
      </c>
      <c r="B1174" s="2840">
        <v>55500</v>
      </c>
      <c r="C1174" s="2840">
        <v>55550</v>
      </c>
      <c r="D1174" s="2841">
        <f t="shared" si="94"/>
        <v>8155</v>
      </c>
      <c r="E1174" s="2841">
        <f t="shared" si="95"/>
        <v>6282</v>
      </c>
      <c r="F1174" s="2841">
        <f t="shared" si="96"/>
        <v>8155</v>
      </c>
      <c r="G1174" s="2841">
        <f t="shared" si="97"/>
        <v>6764</v>
      </c>
    </row>
    <row r="1175" spans="1:7" ht="15.75">
      <c r="A1175" s="3022">
        <f t="shared" si="98"/>
        <v>55575</v>
      </c>
      <c r="B1175" s="2840">
        <v>55550</v>
      </c>
      <c r="C1175" s="2840">
        <v>55600</v>
      </c>
      <c r="D1175" s="2841">
        <f t="shared" si="94"/>
        <v>8166</v>
      </c>
      <c r="E1175" s="2841">
        <f t="shared" si="95"/>
        <v>6288</v>
      </c>
      <c r="F1175" s="2841">
        <f t="shared" si="96"/>
        <v>8166</v>
      </c>
      <c r="G1175" s="2841">
        <f t="shared" si="97"/>
        <v>6775</v>
      </c>
    </row>
    <row r="1176" spans="1:7" ht="15.75">
      <c r="A1176" s="3022">
        <f t="shared" si="98"/>
        <v>55625</v>
      </c>
      <c r="B1176" s="2840">
        <v>55600</v>
      </c>
      <c r="C1176" s="2840">
        <v>55650</v>
      </c>
      <c r="D1176" s="2841">
        <f t="shared" si="94"/>
        <v>8177</v>
      </c>
      <c r="E1176" s="2841">
        <f t="shared" si="95"/>
        <v>6294</v>
      </c>
      <c r="F1176" s="2841">
        <f t="shared" si="96"/>
        <v>8177</v>
      </c>
      <c r="G1176" s="2841">
        <f t="shared" si="97"/>
        <v>6786</v>
      </c>
    </row>
    <row r="1177" spans="1:7" ht="15.75">
      <c r="A1177" s="3022">
        <f t="shared" si="98"/>
        <v>55675</v>
      </c>
      <c r="B1177" s="2840">
        <v>55650</v>
      </c>
      <c r="C1177" s="2840">
        <v>55700</v>
      </c>
      <c r="D1177" s="2841">
        <f t="shared" si="94"/>
        <v>8188</v>
      </c>
      <c r="E1177" s="2841">
        <f t="shared" si="95"/>
        <v>6300</v>
      </c>
      <c r="F1177" s="2841">
        <f t="shared" si="96"/>
        <v>8188</v>
      </c>
      <c r="G1177" s="2841">
        <f t="shared" si="97"/>
        <v>6797</v>
      </c>
    </row>
    <row r="1178" spans="1:7" ht="15.75">
      <c r="A1178" s="3022">
        <f t="shared" si="98"/>
        <v>55725</v>
      </c>
      <c r="B1178" s="2840">
        <v>55700</v>
      </c>
      <c r="C1178" s="2840">
        <v>55750</v>
      </c>
      <c r="D1178" s="2841">
        <f t="shared" si="94"/>
        <v>8199</v>
      </c>
      <c r="E1178" s="2841">
        <f t="shared" si="95"/>
        <v>6306</v>
      </c>
      <c r="F1178" s="2841">
        <f t="shared" si="96"/>
        <v>8199</v>
      </c>
      <c r="G1178" s="2841">
        <f t="shared" si="97"/>
        <v>6808</v>
      </c>
    </row>
    <row r="1179" spans="1:7" ht="15.75">
      <c r="A1179" s="3022">
        <f t="shared" si="98"/>
        <v>55775</v>
      </c>
      <c r="B1179" s="2840">
        <v>55750</v>
      </c>
      <c r="C1179" s="2840">
        <v>55800</v>
      </c>
      <c r="D1179" s="2841">
        <f t="shared" si="94"/>
        <v>8210</v>
      </c>
      <c r="E1179" s="2841">
        <f t="shared" si="95"/>
        <v>6312</v>
      </c>
      <c r="F1179" s="2841">
        <f t="shared" si="96"/>
        <v>8210</v>
      </c>
      <c r="G1179" s="2841">
        <f t="shared" si="97"/>
        <v>6819</v>
      </c>
    </row>
    <row r="1180" spans="1:7" ht="15.75">
      <c r="A1180" s="3022">
        <f t="shared" si="98"/>
        <v>55825</v>
      </c>
      <c r="B1180" s="2840">
        <v>55800</v>
      </c>
      <c r="C1180" s="2840">
        <v>55850</v>
      </c>
      <c r="D1180" s="2841">
        <f t="shared" si="94"/>
        <v>8221</v>
      </c>
      <c r="E1180" s="2841">
        <f t="shared" si="95"/>
        <v>6318</v>
      </c>
      <c r="F1180" s="2841">
        <f t="shared" si="96"/>
        <v>8221</v>
      </c>
      <c r="G1180" s="2841">
        <f t="shared" si="97"/>
        <v>6830</v>
      </c>
    </row>
    <row r="1181" spans="1:7" ht="15.75">
      <c r="A1181" s="3022">
        <f t="shared" si="98"/>
        <v>55875</v>
      </c>
      <c r="B1181" s="2840">
        <v>55850</v>
      </c>
      <c r="C1181" s="2840">
        <v>55900</v>
      </c>
      <c r="D1181" s="2841">
        <f t="shared" si="94"/>
        <v>8232</v>
      </c>
      <c r="E1181" s="2841">
        <f t="shared" si="95"/>
        <v>6324</v>
      </c>
      <c r="F1181" s="2841">
        <f t="shared" si="96"/>
        <v>8232</v>
      </c>
      <c r="G1181" s="2841">
        <f t="shared" si="97"/>
        <v>6841</v>
      </c>
    </row>
    <row r="1182" spans="1:7" ht="15.75">
      <c r="A1182" s="3022">
        <f t="shared" si="98"/>
        <v>55925</v>
      </c>
      <c r="B1182" s="2840">
        <v>55900</v>
      </c>
      <c r="C1182" s="2840">
        <v>55950</v>
      </c>
      <c r="D1182" s="2841">
        <f t="shared" si="94"/>
        <v>8243</v>
      </c>
      <c r="E1182" s="2841">
        <f t="shared" si="95"/>
        <v>6330</v>
      </c>
      <c r="F1182" s="2841">
        <f t="shared" si="96"/>
        <v>8243</v>
      </c>
      <c r="G1182" s="2841">
        <f t="shared" si="97"/>
        <v>6852</v>
      </c>
    </row>
    <row r="1183" spans="1:7" ht="15.75">
      <c r="A1183" s="3022">
        <f t="shared" si="98"/>
        <v>55975</v>
      </c>
      <c r="B1183" s="2840">
        <v>55950</v>
      </c>
      <c r="C1183" s="2840">
        <v>56000</v>
      </c>
      <c r="D1183" s="2841">
        <f t="shared" si="94"/>
        <v>8254</v>
      </c>
      <c r="E1183" s="2841">
        <f t="shared" si="95"/>
        <v>6336</v>
      </c>
      <c r="F1183" s="2841">
        <f t="shared" si="96"/>
        <v>8254</v>
      </c>
      <c r="G1183" s="2841">
        <f t="shared" si="97"/>
        <v>6863</v>
      </c>
    </row>
    <row r="1184" spans="1:7" ht="15.75">
      <c r="A1184" s="3022">
        <f t="shared" si="98"/>
        <v>56025</v>
      </c>
      <c r="B1184" s="2840">
        <v>56000</v>
      </c>
      <c r="C1184" s="2840">
        <v>56050</v>
      </c>
      <c r="D1184" s="2841">
        <f t="shared" si="94"/>
        <v>8265</v>
      </c>
      <c r="E1184" s="2841">
        <f t="shared" si="95"/>
        <v>6342</v>
      </c>
      <c r="F1184" s="2841">
        <f t="shared" si="96"/>
        <v>8265</v>
      </c>
      <c r="G1184" s="2841">
        <f t="shared" si="97"/>
        <v>6874</v>
      </c>
    </row>
    <row r="1185" spans="1:7" ht="15.75">
      <c r="A1185" s="3022">
        <f t="shared" si="98"/>
        <v>56075</v>
      </c>
      <c r="B1185" s="2840">
        <v>56050</v>
      </c>
      <c r="C1185" s="2840">
        <v>56100</v>
      </c>
      <c r="D1185" s="2841">
        <f t="shared" si="94"/>
        <v>8276</v>
      </c>
      <c r="E1185" s="2841">
        <f t="shared" si="95"/>
        <v>6348</v>
      </c>
      <c r="F1185" s="2841">
        <f t="shared" si="96"/>
        <v>8276</v>
      </c>
      <c r="G1185" s="2841">
        <f t="shared" si="97"/>
        <v>6885</v>
      </c>
    </row>
    <row r="1186" spans="1:7" ht="15.75">
      <c r="A1186" s="3022">
        <f t="shared" si="98"/>
        <v>56125</v>
      </c>
      <c r="B1186" s="2840">
        <v>56100</v>
      </c>
      <c r="C1186" s="2840">
        <v>56150</v>
      </c>
      <c r="D1186" s="2841">
        <f t="shared" si="94"/>
        <v>8287</v>
      </c>
      <c r="E1186" s="2841">
        <f t="shared" si="95"/>
        <v>6354</v>
      </c>
      <c r="F1186" s="2841">
        <f t="shared" si="96"/>
        <v>8287</v>
      </c>
      <c r="G1186" s="2841">
        <f t="shared" si="97"/>
        <v>6896</v>
      </c>
    </row>
    <row r="1187" spans="1:7" ht="15.75">
      <c r="A1187" s="3022">
        <f t="shared" si="98"/>
        <v>56175</v>
      </c>
      <c r="B1187" s="2840">
        <v>56150</v>
      </c>
      <c r="C1187" s="2840">
        <v>56200</v>
      </c>
      <c r="D1187" s="2841">
        <f t="shared" si="94"/>
        <v>8298</v>
      </c>
      <c r="E1187" s="2841">
        <f t="shared" si="95"/>
        <v>6360</v>
      </c>
      <c r="F1187" s="2841">
        <f t="shared" si="96"/>
        <v>8298</v>
      </c>
      <c r="G1187" s="2841">
        <f t="shared" si="97"/>
        <v>6907</v>
      </c>
    </row>
    <row r="1188" spans="1:7" ht="15.75">
      <c r="A1188" s="3022">
        <f t="shared" si="98"/>
        <v>56225</v>
      </c>
      <c r="B1188" s="2840">
        <v>56200</v>
      </c>
      <c r="C1188" s="2840">
        <v>56250</v>
      </c>
      <c r="D1188" s="2841">
        <f t="shared" si="94"/>
        <v>8309</v>
      </c>
      <c r="E1188" s="2841">
        <f t="shared" si="95"/>
        <v>6366</v>
      </c>
      <c r="F1188" s="2841">
        <f t="shared" si="96"/>
        <v>8309</v>
      </c>
      <c r="G1188" s="2841">
        <f t="shared" si="97"/>
        <v>6918</v>
      </c>
    </row>
    <row r="1189" spans="1:7" ht="15.75">
      <c r="A1189" s="3022">
        <f t="shared" si="98"/>
        <v>56275</v>
      </c>
      <c r="B1189" s="2840">
        <v>56250</v>
      </c>
      <c r="C1189" s="2840">
        <v>56300</v>
      </c>
      <c r="D1189" s="2841">
        <f t="shared" si="94"/>
        <v>8320</v>
      </c>
      <c r="E1189" s="2841">
        <f t="shared" si="95"/>
        <v>6372</v>
      </c>
      <c r="F1189" s="2841">
        <f t="shared" si="96"/>
        <v>8320</v>
      </c>
      <c r="G1189" s="2841">
        <f t="shared" si="97"/>
        <v>6929</v>
      </c>
    </row>
    <row r="1190" spans="1:7" ht="15.75">
      <c r="A1190" s="3022">
        <f t="shared" si="98"/>
        <v>56325</v>
      </c>
      <c r="B1190" s="2840">
        <v>56300</v>
      </c>
      <c r="C1190" s="2840">
        <v>56350</v>
      </c>
      <c r="D1190" s="2841">
        <f t="shared" si="94"/>
        <v>8331</v>
      </c>
      <c r="E1190" s="2841">
        <f t="shared" si="95"/>
        <v>6378</v>
      </c>
      <c r="F1190" s="2841">
        <f t="shared" si="96"/>
        <v>8331</v>
      </c>
      <c r="G1190" s="2841">
        <f t="shared" si="97"/>
        <v>6940</v>
      </c>
    </row>
    <row r="1191" spans="1:7" ht="15.75">
      <c r="A1191" s="3022">
        <f t="shared" si="98"/>
        <v>56375</v>
      </c>
      <c r="B1191" s="2840">
        <v>56350</v>
      </c>
      <c r="C1191" s="2840">
        <v>56400</v>
      </c>
      <c r="D1191" s="2841">
        <f t="shared" si="94"/>
        <v>8342</v>
      </c>
      <c r="E1191" s="2841">
        <f t="shared" si="95"/>
        <v>6384</v>
      </c>
      <c r="F1191" s="2841">
        <f t="shared" si="96"/>
        <v>8342</v>
      </c>
      <c r="G1191" s="2841">
        <f t="shared" si="97"/>
        <v>6951</v>
      </c>
    </row>
    <row r="1192" spans="1:7" ht="15.75">
      <c r="A1192" s="3022">
        <f t="shared" si="98"/>
        <v>56425</v>
      </c>
      <c r="B1192" s="2840">
        <v>56400</v>
      </c>
      <c r="C1192" s="2840">
        <v>56450</v>
      </c>
      <c r="D1192" s="2841">
        <f t="shared" si="94"/>
        <v>8353</v>
      </c>
      <c r="E1192" s="2841">
        <f t="shared" si="95"/>
        <v>6390</v>
      </c>
      <c r="F1192" s="2841">
        <f t="shared" si="96"/>
        <v>8353</v>
      </c>
      <c r="G1192" s="2841">
        <f t="shared" si="97"/>
        <v>6962</v>
      </c>
    </row>
    <row r="1193" spans="1:7" ht="15.75">
      <c r="A1193" s="3022">
        <f t="shared" si="98"/>
        <v>56475</v>
      </c>
      <c r="B1193" s="2840">
        <v>56450</v>
      </c>
      <c r="C1193" s="2840">
        <v>56500</v>
      </c>
      <c r="D1193" s="2841">
        <f t="shared" si="94"/>
        <v>8364</v>
      </c>
      <c r="E1193" s="2841">
        <f t="shared" si="95"/>
        <v>6396</v>
      </c>
      <c r="F1193" s="2841">
        <f t="shared" si="96"/>
        <v>8364</v>
      </c>
      <c r="G1193" s="2841">
        <f t="shared" si="97"/>
        <v>6973</v>
      </c>
    </row>
    <row r="1194" spans="1:7" ht="15.75">
      <c r="A1194" s="3022">
        <f t="shared" si="98"/>
        <v>56525</v>
      </c>
      <c r="B1194" s="2840">
        <v>56500</v>
      </c>
      <c r="C1194" s="2840">
        <v>56550</v>
      </c>
      <c r="D1194" s="2841">
        <f t="shared" si="94"/>
        <v>8375</v>
      </c>
      <c r="E1194" s="2841">
        <f t="shared" si="95"/>
        <v>6402</v>
      </c>
      <c r="F1194" s="2841">
        <f t="shared" si="96"/>
        <v>8375</v>
      </c>
      <c r="G1194" s="2841">
        <f t="shared" si="97"/>
        <v>6984</v>
      </c>
    </row>
    <row r="1195" spans="1:7" ht="15.75">
      <c r="A1195" s="3022">
        <f t="shared" si="98"/>
        <v>56575</v>
      </c>
      <c r="B1195" s="2840">
        <v>56550</v>
      </c>
      <c r="C1195" s="2840">
        <v>56600</v>
      </c>
      <c r="D1195" s="2841">
        <f t="shared" si="94"/>
        <v>8386</v>
      </c>
      <c r="E1195" s="2841">
        <f t="shared" si="95"/>
        <v>6408</v>
      </c>
      <c r="F1195" s="2841">
        <f t="shared" si="96"/>
        <v>8386</v>
      </c>
      <c r="G1195" s="2841">
        <f t="shared" si="97"/>
        <v>6995</v>
      </c>
    </row>
    <row r="1196" spans="1:7" ht="15.75">
      <c r="A1196" s="3022">
        <f t="shared" si="98"/>
        <v>56625</v>
      </c>
      <c r="B1196" s="2840">
        <v>56600</v>
      </c>
      <c r="C1196" s="2840">
        <v>56650</v>
      </c>
      <c r="D1196" s="2841">
        <f t="shared" si="94"/>
        <v>8397</v>
      </c>
      <c r="E1196" s="2841">
        <f t="shared" si="95"/>
        <v>6414</v>
      </c>
      <c r="F1196" s="2841">
        <f t="shared" si="96"/>
        <v>8397</v>
      </c>
      <c r="G1196" s="2841">
        <f t="shared" si="97"/>
        <v>7006</v>
      </c>
    </row>
    <row r="1197" spans="1:7" ht="15.75">
      <c r="A1197" s="3022">
        <f t="shared" si="98"/>
        <v>56675</v>
      </c>
      <c r="B1197" s="2840">
        <v>56650</v>
      </c>
      <c r="C1197" s="2840">
        <v>56700</v>
      </c>
      <c r="D1197" s="2841">
        <f t="shared" si="94"/>
        <v>8408</v>
      </c>
      <c r="E1197" s="2841">
        <f t="shared" si="95"/>
        <v>6420</v>
      </c>
      <c r="F1197" s="2841">
        <f t="shared" si="96"/>
        <v>8408</v>
      </c>
      <c r="G1197" s="2841">
        <f t="shared" si="97"/>
        <v>7017</v>
      </c>
    </row>
    <row r="1198" spans="1:7" ht="15.75">
      <c r="A1198" s="3022">
        <f t="shared" si="98"/>
        <v>56725</v>
      </c>
      <c r="B1198" s="2840">
        <v>56700</v>
      </c>
      <c r="C1198" s="2840">
        <v>56750</v>
      </c>
      <c r="D1198" s="2841">
        <f t="shared" si="94"/>
        <v>8419</v>
      </c>
      <c r="E1198" s="2841">
        <f t="shared" si="95"/>
        <v>6426</v>
      </c>
      <c r="F1198" s="2841">
        <f t="shared" si="96"/>
        <v>8419</v>
      </c>
      <c r="G1198" s="2841">
        <f t="shared" si="97"/>
        <v>7028</v>
      </c>
    </row>
    <row r="1199" spans="1:7" ht="15.75">
      <c r="A1199" s="3022">
        <f t="shared" si="98"/>
        <v>56775</v>
      </c>
      <c r="B1199" s="2840">
        <v>56750</v>
      </c>
      <c r="C1199" s="2840">
        <v>56800</v>
      </c>
      <c r="D1199" s="2841">
        <f t="shared" si="94"/>
        <v>8430</v>
      </c>
      <c r="E1199" s="2841">
        <f t="shared" si="95"/>
        <v>6432</v>
      </c>
      <c r="F1199" s="2841">
        <f t="shared" si="96"/>
        <v>8430</v>
      </c>
      <c r="G1199" s="2841">
        <f t="shared" si="97"/>
        <v>7039</v>
      </c>
    </row>
    <row r="1200" spans="1:7" ht="15.75">
      <c r="A1200" s="3022">
        <f t="shared" si="98"/>
        <v>56825</v>
      </c>
      <c r="B1200" s="2840">
        <v>56800</v>
      </c>
      <c r="C1200" s="2840">
        <v>56850</v>
      </c>
      <c r="D1200" s="2841">
        <f t="shared" si="94"/>
        <v>8441</v>
      </c>
      <c r="E1200" s="2841">
        <f t="shared" si="95"/>
        <v>6438</v>
      </c>
      <c r="F1200" s="2841">
        <f t="shared" si="96"/>
        <v>8441</v>
      </c>
      <c r="G1200" s="2841">
        <f t="shared" si="97"/>
        <v>7050</v>
      </c>
    </row>
    <row r="1201" spans="1:7" ht="15.75">
      <c r="A1201" s="3022">
        <f t="shared" si="98"/>
        <v>56875</v>
      </c>
      <c r="B1201" s="2840">
        <v>56850</v>
      </c>
      <c r="C1201" s="2840">
        <v>56900</v>
      </c>
      <c r="D1201" s="2841">
        <f t="shared" si="94"/>
        <v>8452</v>
      </c>
      <c r="E1201" s="2841">
        <f t="shared" si="95"/>
        <v>6444</v>
      </c>
      <c r="F1201" s="2841">
        <f t="shared" si="96"/>
        <v>8452</v>
      </c>
      <c r="G1201" s="2841">
        <f t="shared" si="97"/>
        <v>7061</v>
      </c>
    </row>
    <row r="1202" spans="1:7" ht="15.75">
      <c r="A1202" s="3022">
        <f t="shared" si="98"/>
        <v>56925</v>
      </c>
      <c r="B1202" s="2840">
        <v>56900</v>
      </c>
      <c r="C1202" s="2840">
        <v>56950</v>
      </c>
      <c r="D1202" s="2841">
        <f t="shared" si="94"/>
        <v>8463</v>
      </c>
      <c r="E1202" s="2841">
        <f t="shared" si="95"/>
        <v>6450</v>
      </c>
      <c r="F1202" s="2841">
        <f t="shared" si="96"/>
        <v>8463</v>
      </c>
      <c r="G1202" s="2841">
        <f t="shared" si="97"/>
        <v>7072</v>
      </c>
    </row>
    <row r="1203" spans="1:7" ht="15.75">
      <c r="A1203" s="3022">
        <f t="shared" si="98"/>
        <v>56975</v>
      </c>
      <c r="B1203" s="2840">
        <v>56950</v>
      </c>
      <c r="C1203" s="2840">
        <v>57000</v>
      </c>
      <c r="D1203" s="2841">
        <f t="shared" si="94"/>
        <v>8474</v>
      </c>
      <c r="E1203" s="2841">
        <f t="shared" si="95"/>
        <v>6456</v>
      </c>
      <c r="F1203" s="2841">
        <f t="shared" si="96"/>
        <v>8474</v>
      </c>
      <c r="G1203" s="2841">
        <f t="shared" si="97"/>
        <v>7083</v>
      </c>
    </row>
    <row r="1204" spans="1:7" ht="15.75">
      <c r="A1204" s="3022">
        <f t="shared" si="98"/>
        <v>57025</v>
      </c>
      <c r="B1204" s="2840">
        <v>57000</v>
      </c>
      <c r="C1204" s="2840">
        <v>57050</v>
      </c>
      <c r="D1204" s="2841">
        <f t="shared" si="94"/>
        <v>8485</v>
      </c>
      <c r="E1204" s="2841">
        <f t="shared" si="95"/>
        <v>6462</v>
      </c>
      <c r="F1204" s="2841">
        <f t="shared" si="96"/>
        <v>8485</v>
      </c>
      <c r="G1204" s="2841">
        <f t="shared" si="97"/>
        <v>7094</v>
      </c>
    </row>
    <row r="1205" spans="1:7" ht="15.75">
      <c r="A1205" s="3022">
        <f t="shared" si="98"/>
        <v>57075</v>
      </c>
      <c r="B1205" s="2840">
        <v>57050</v>
      </c>
      <c r="C1205" s="2840">
        <v>57100</v>
      </c>
      <c r="D1205" s="2841">
        <f t="shared" si="94"/>
        <v>8496</v>
      </c>
      <c r="E1205" s="2841">
        <f t="shared" si="95"/>
        <v>6468</v>
      </c>
      <c r="F1205" s="2841">
        <f t="shared" si="96"/>
        <v>8496</v>
      </c>
      <c r="G1205" s="2841">
        <f t="shared" si="97"/>
        <v>7105</v>
      </c>
    </row>
    <row r="1206" spans="1:7" ht="15.75">
      <c r="A1206" s="3022">
        <f t="shared" si="98"/>
        <v>57125</v>
      </c>
      <c r="B1206" s="2840">
        <v>57100</v>
      </c>
      <c r="C1206" s="2840">
        <v>57150</v>
      </c>
      <c r="D1206" s="2841">
        <f t="shared" si="94"/>
        <v>8507</v>
      </c>
      <c r="E1206" s="2841">
        <f t="shared" si="95"/>
        <v>6474</v>
      </c>
      <c r="F1206" s="2841">
        <f t="shared" si="96"/>
        <v>8507</v>
      </c>
      <c r="G1206" s="2841">
        <f t="shared" si="97"/>
        <v>7116</v>
      </c>
    </row>
    <row r="1207" spans="1:7" ht="15.75">
      <c r="A1207" s="3022">
        <f t="shared" si="98"/>
        <v>57175</v>
      </c>
      <c r="B1207" s="2840">
        <v>57150</v>
      </c>
      <c r="C1207" s="2840">
        <v>57200</v>
      </c>
      <c r="D1207" s="2841">
        <f t="shared" si="94"/>
        <v>8518</v>
      </c>
      <c r="E1207" s="2841">
        <f t="shared" si="95"/>
        <v>6480</v>
      </c>
      <c r="F1207" s="2841">
        <f t="shared" si="96"/>
        <v>8518</v>
      </c>
      <c r="G1207" s="2841">
        <f t="shared" si="97"/>
        <v>7127</v>
      </c>
    </row>
    <row r="1208" spans="1:7" ht="15.75">
      <c r="A1208" s="3022">
        <f t="shared" si="98"/>
        <v>57225</v>
      </c>
      <c r="B1208" s="2840">
        <v>57200</v>
      </c>
      <c r="C1208" s="2840">
        <v>57250</v>
      </c>
      <c r="D1208" s="2841">
        <f t="shared" si="94"/>
        <v>8529</v>
      </c>
      <c r="E1208" s="2841">
        <f t="shared" si="95"/>
        <v>6486</v>
      </c>
      <c r="F1208" s="2841">
        <f t="shared" si="96"/>
        <v>8529</v>
      </c>
      <c r="G1208" s="2841">
        <f t="shared" si="97"/>
        <v>7138</v>
      </c>
    </row>
    <row r="1209" spans="1:7" ht="15.75">
      <c r="A1209" s="3022">
        <f t="shared" si="98"/>
        <v>57275</v>
      </c>
      <c r="B1209" s="2840">
        <v>57250</v>
      </c>
      <c r="C1209" s="2840">
        <v>57300</v>
      </c>
      <c r="D1209" s="2841">
        <f t="shared" si="94"/>
        <v>8540</v>
      </c>
      <c r="E1209" s="2841">
        <f t="shared" si="95"/>
        <v>6492</v>
      </c>
      <c r="F1209" s="2841">
        <f t="shared" si="96"/>
        <v>8540</v>
      </c>
      <c r="G1209" s="2841">
        <f t="shared" si="97"/>
        <v>7149</v>
      </c>
    </row>
    <row r="1210" spans="1:7" ht="15.75">
      <c r="A1210" s="3022">
        <f t="shared" si="98"/>
        <v>57325</v>
      </c>
      <c r="B1210" s="2840">
        <v>57300</v>
      </c>
      <c r="C1210" s="2840">
        <v>57350</v>
      </c>
      <c r="D1210" s="2841">
        <f t="shared" si="94"/>
        <v>8551</v>
      </c>
      <c r="E1210" s="2841">
        <f t="shared" si="95"/>
        <v>6498</v>
      </c>
      <c r="F1210" s="2841">
        <f t="shared" si="96"/>
        <v>8551</v>
      </c>
      <c r="G1210" s="2841">
        <f t="shared" si="97"/>
        <v>7160</v>
      </c>
    </row>
    <row r="1211" spans="1:7" ht="15.75">
      <c r="A1211" s="3022">
        <f t="shared" si="98"/>
        <v>57375</v>
      </c>
      <c r="B1211" s="2840">
        <v>57350</v>
      </c>
      <c r="C1211" s="2840">
        <v>57400</v>
      </c>
      <c r="D1211" s="2841">
        <f t="shared" si="94"/>
        <v>8562</v>
      </c>
      <c r="E1211" s="2841">
        <f t="shared" si="95"/>
        <v>6504</v>
      </c>
      <c r="F1211" s="2841">
        <f t="shared" si="96"/>
        <v>8562</v>
      </c>
      <c r="G1211" s="2841">
        <f t="shared" si="97"/>
        <v>7171</v>
      </c>
    </row>
    <row r="1212" spans="1:7" ht="15.75">
      <c r="A1212" s="3022">
        <f t="shared" si="98"/>
        <v>57425</v>
      </c>
      <c r="B1212" s="2840">
        <v>57400</v>
      </c>
      <c r="C1212" s="2840">
        <v>57450</v>
      </c>
      <c r="D1212" s="2841">
        <f t="shared" si="94"/>
        <v>8573</v>
      </c>
      <c r="E1212" s="2841">
        <f t="shared" si="95"/>
        <v>6510</v>
      </c>
      <c r="F1212" s="2841">
        <f t="shared" si="96"/>
        <v>8573</v>
      </c>
      <c r="G1212" s="2841">
        <f t="shared" si="97"/>
        <v>7182</v>
      </c>
    </row>
    <row r="1213" spans="1:7" ht="15.75">
      <c r="A1213" s="3022">
        <f t="shared" si="98"/>
        <v>57475</v>
      </c>
      <c r="B1213" s="2840">
        <v>57450</v>
      </c>
      <c r="C1213" s="2840">
        <v>57500</v>
      </c>
      <c r="D1213" s="2841">
        <f t="shared" si="94"/>
        <v>8584</v>
      </c>
      <c r="E1213" s="2841">
        <f t="shared" si="95"/>
        <v>6516</v>
      </c>
      <c r="F1213" s="2841">
        <f t="shared" si="96"/>
        <v>8584</v>
      </c>
      <c r="G1213" s="2841">
        <f t="shared" si="97"/>
        <v>7193</v>
      </c>
    </row>
    <row r="1214" spans="1:7" ht="15.75">
      <c r="A1214" s="3022">
        <f t="shared" si="98"/>
        <v>57525</v>
      </c>
      <c r="B1214" s="2840">
        <v>57500</v>
      </c>
      <c r="C1214" s="2840">
        <v>57550</v>
      </c>
      <c r="D1214" s="2841">
        <f t="shared" si="94"/>
        <v>8595</v>
      </c>
      <c r="E1214" s="2841">
        <f t="shared" si="95"/>
        <v>6522</v>
      </c>
      <c r="F1214" s="2841">
        <f t="shared" si="96"/>
        <v>8595</v>
      </c>
      <c r="G1214" s="2841">
        <f t="shared" si="97"/>
        <v>7204</v>
      </c>
    </row>
    <row r="1215" spans="1:7" ht="15.75">
      <c r="A1215" s="3022">
        <f t="shared" si="98"/>
        <v>57575</v>
      </c>
      <c r="B1215" s="2840">
        <v>57550</v>
      </c>
      <c r="C1215" s="2840">
        <v>57600</v>
      </c>
      <c r="D1215" s="2841">
        <f t="shared" si="94"/>
        <v>8606</v>
      </c>
      <c r="E1215" s="2841">
        <f t="shared" si="95"/>
        <v>6528</v>
      </c>
      <c r="F1215" s="2841">
        <f t="shared" si="96"/>
        <v>8606</v>
      </c>
      <c r="G1215" s="2841">
        <f t="shared" si="97"/>
        <v>7215</v>
      </c>
    </row>
    <row r="1216" spans="1:7" ht="15.75">
      <c r="A1216" s="3022">
        <f t="shared" si="98"/>
        <v>57625</v>
      </c>
      <c r="B1216" s="2840">
        <v>57600</v>
      </c>
      <c r="C1216" s="2840">
        <v>57650</v>
      </c>
      <c r="D1216" s="2841">
        <f t="shared" si="94"/>
        <v>8617</v>
      </c>
      <c r="E1216" s="2841">
        <f t="shared" si="95"/>
        <v>6534</v>
      </c>
      <c r="F1216" s="2841">
        <f t="shared" si="96"/>
        <v>8617</v>
      </c>
      <c r="G1216" s="2841">
        <f t="shared" si="97"/>
        <v>7226</v>
      </c>
    </row>
    <row r="1217" spans="1:7" ht="15.75">
      <c r="A1217" s="3022">
        <f t="shared" si="98"/>
        <v>57675</v>
      </c>
      <c r="B1217" s="2840">
        <v>57650</v>
      </c>
      <c r="C1217" s="2840">
        <v>57700</v>
      </c>
      <c r="D1217" s="2841">
        <f t="shared" si="94"/>
        <v>8628</v>
      </c>
      <c r="E1217" s="2841">
        <f t="shared" si="95"/>
        <v>6540</v>
      </c>
      <c r="F1217" s="2841">
        <f t="shared" si="96"/>
        <v>8628</v>
      </c>
      <c r="G1217" s="2841">
        <f t="shared" si="97"/>
        <v>7237</v>
      </c>
    </row>
    <row r="1218" spans="1:7" ht="15.75">
      <c r="A1218" s="3022">
        <f t="shared" si="98"/>
        <v>57725</v>
      </c>
      <c r="B1218" s="2840">
        <v>57700</v>
      </c>
      <c r="C1218" s="2840">
        <v>57750</v>
      </c>
      <c r="D1218" s="2841">
        <f t="shared" ref="D1218:D1281" si="99">IF($A1218&gt;BOTT_A4,ROUND(BASE_A4+RATE_A4*($A1218-BOTT_A4),0),IF($A1218&gt;BOTT_A3,ROUND(BASE_A3+RATE_A3*($A1218-BOTT_A3),0),IF($A1218&gt;BOTT_A2,ROUND(BASE_A2+RATE_A2*($A1218-BOTT_A2),0),ROUND(RATE_A1*$A1218,0))))</f>
        <v>8639</v>
      </c>
      <c r="E1218" s="2841">
        <f t="shared" ref="E1218:E1281" si="100">IF($A1218&gt;BOTT_B4,ROUND(BASE_B4+RATE_B4*($A1218-BOTT_B4),0),IF($A1218&gt;BOTT_B3,ROUND(BASE_B3+RATE_B3*($A1218-BOTT_B3),0),IF($A1218&gt;BOTT_B2,ROUND(BASE_B2+RATE_B2*($A1218-BOTT_B2),0),ROUND(RATE_B1*$A1218,0))))</f>
        <v>6546</v>
      </c>
      <c r="F1218" s="2841">
        <f t="shared" ref="F1218:F1281" si="101">IF($A1218&gt;BOTT_C4,ROUND(BASE_C4+RATE_C4*($A1218-BOTT_C4),0),IF($A1218&gt;BOTT_C3,ROUND(BASE_C3+RATE_C3*($A1218-BOTT_C3),0),IF($A1218&gt;BOTT_C2,ROUND(BASE_C2+RATE_C2*($A1218-BOTT_C2),0),ROUND(RATE_C1*$A1218,0))))</f>
        <v>8639</v>
      </c>
      <c r="G1218" s="2841">
        <f t="shared" ref="G1218:G1281" si="102">IF($A1218&gt;BOTT_D4,ROUND(BASE_D4+RATE_D4*($A1218-BOTT_D4),0),IF($A1218&gt;BOTT_D3,ROUND(BASE_D3+RATE_D3*($A1218-BOTT_D3),0),IF($A1218&gt;BOTT_D2,ROUND(BASE_D2+RATE_D2*($A1218-BOTT_D2),0),ROUND(RATE_D1*$A1218,0))))</f>
        <v>7248</v>
      </c>
    </row>
    <row r="1219" spans="1:7" ht="15.75">
      <c r="A1219" s="3022">
        <f t="shared" ref="A1219:A1282" si="103">AVERAGE(B1219,C1219)</f>
        <v>57775</v>
      </c>
      <c r="B1219" s="2840">
        <v>57750</v>
      </c>
      <c r="C1219" s="2840">
        <v>57800</v>
      </c>
      <c r="D1219" s="2841">
        <f t="shared" si="99"/>
        <v>8650</v>
      </c>
      <c r="E1219" s="2841">
        <f t="shared" si="100"/>
        <v>6552</v>
      </c>
      <c r="F1219" s="2841">
        <f t="shared" si="101"/>
        <v>8650</v>
      </c>
      <c r="G1219" s="2841">
        <f t="shared" si="102"/>
        <v>7259</v>
      </c>
    </row>
    <row r="1220" spans="1:7" ht="15.75">
      <c r="A1220" s="3022">
        <f t="shared" si="103"/>
        <v>57825</v>
      </c>
      <c r="B1220" s="2840">
        <v>57800</v>
      </c>
      <c r="C1220" s="2840">
        <v>57850</v>
      </c>
      <c r="D1220" s="2841">
        <f t="shared" si="99"/>
        <v>8661</v>
      </c>
      <c r="E1220" s="2841">
        <f t="shared" si="100"/>
        <v>6558</v>
      </c>
      <c r="F1220" s="2841">
        <f t="shared" si="101"/>
        <v>8661</v>
      </c>
      <c r="G1220" s="2841">
        <f t="shared" si="102"/>
        <v>7270</v>
      </c>
    </row>
    <row r="1221" spans="1:7" ht="15.75">
      <c r="A1221" s="3022">
        <f t="shared" si="103"/>
        <v>57875</v>
      </c>
      <c r="B1221" s="2840">
        <v>57850</v>
      </c>
      <c r="C1221" s="2840">
        <v>57900</v>
      </c>
      <c r="D1221" s="2841">
        <f t="shared" si="99"/>
        <v>8672</v>
      </c>
      <c r="E1221" s="2841">
        <f t="shared" si="100"/>
        <v>6564</v>
      </c>
      <c r="F1221" s="2841">
        <f t="shared" si="101"/>
        <v>8672</v>
      </c>
      <c r="G1221" s="2841">
        <f t="shared" si="102"/>
        <v>7281</v>
      </c>
    </row>
    <row r="1222" spans="1:7" ht="15.75">
      <c r="A1222" s="3022">
        <f t="shared" si="103"/>
        <v>57925</v>
      </c>
      <c r="B1222" s="2840">
        <v>57900</v>
      </c>
      <c r="C1222" s="2840">
        <v>57950</v>
      </c>
      <c r="D1222" s="2841">
        <f t="shared" si="99"/>
        <v>8683</v>
      </c>
      <c r="E1222" s="2841">
        <f t="shared" si="100"/>
        <v>6570</v>
      </c>
      <c r="F1222" s="2841">
        <f t="shared" si="101"/>
        <v>8683</v>
      </c>
      <c r="G1222" s="2841">
        <f t="shared" si="102"/>
        <v>7292</v>
      </c>
    </row>
    <row r="1223" spans="1:7" ht="15.75">
      <c r="A1223" s="3022">
        <f t="shared" si="103"/>
        <v>57975</v>
      </c>
      <c r="B1223" s="2840">
        <v>57950</v>
      </c>
      <c r="C1223" s="2840">
        <v>58000</v>
      </c>
      <c r="D1223" s="2841">
        <f t="shared" si="99"/>
        <v>8694</v>
      </c>
      <c r="E1223" s="2841">
        <f t="shared" si="100"/>
        <v>6576</v>
      </c>
      <c r="F1223" s="2841">
        <f t="shared" si="101"/>
        <v>8694</v>
      </c>
      <c r="G1223" s="2841">
        <f t="shared" si="102"/>
        <v>7303</v>
      </c>
    </row>
    <row r="1224" spans="1:7" ht="15.75">
      <c r="A1224" s="3022">
        <f t="shared" si="103"/>
        <v>58025</v>
      </c>
      <c r="B1224" s="2840">
        <v>58000</v>
      </c>
      <c r="C1224" s="2840">
        <v>58050</v>
      </c>
      <c r="D1224" s="2841">
        <f t="shared" si="99"/>
        <v>8705</v>
      </c>
      <c r="E1224" s="2841">
        <f t="shared" si="100"/>
        <v>6582</v>
      </c>
      <c r="F1224" s="2841">
        <f t="shared" si="101"/>
        <v>8705</v>
      </c>
      <c r="G1224" s="2841">
        <f t="shared" si="102"/>
        <v>7314</v>
      </c>
    </row>
    <row r="1225" spans="1:7" ht="15.75">
      <c r="A1225" s="3022">
        <f t="shared" si="103"/>
        <v>58075</v>
      </c>
      <c r="B1225" s="2840">
        <v>58050</v>
      </c>
      <c r="C1225" s="2840">
        <v>58100</v>
      </c>
      <c r="D1225" s="2841">
        <f t="shared" si="99"/>
        <v>8716</v>
      </c>
      <c r="E1225" s="2841">
        <f t="shared" si="100"/>
        <v>6588</v>
      </c>
      <c r="F1225" s="2841">
        <f t="shared" si="101"/>
        <v>8716</v>
      </c>
      <c r="G1225" s="2841">
        <f t="shared" si="102"/>
        <v>7325</v>
      </c>
    </row>
    <row r="1226" spans="1:7" ht="15.75">
      <c r="A1226" s="3022">
        <f t="shared" si="103"/>
        <v>58125</v>
      </c>
      <c r="B1226" s="2840">
        <v>58100</v>
      </c>
      <c r="C1226" s="2840">
        <v>58150</v>
      </c>
      <c r="D1226" s="2841">
        <f t="shared" si="99"/>
        <v>8727</v>
      </c>
      <c r="E1226" s="2841">
        <f t="shared" si="100"/>
        <v>6594</v>
      </c>
      <c r="F1226" s="2841">
        <f t="shared" si="101"/>
        <v>8727</v>
      </c>
      <c r="G1226" s="2841">
        <f t="shared" si="102"/>
        <v>7336</v>
      </c>
    </row>
    <row r="1227" spans="1:7" ht="15.75">
      <c r="A1227" s="3022">
        <f t="shared" si="103"/>
        <v>58175</v>
      </c>
      <c r="B1227" s="2840">
        <v>58150</v>
      </c>
      <c r="C1227" s="2840">
        <v>58200</v>
      </c>
      <c r="D1227" s="2841">
        <f t="shared" si="99"/>
        <v>8738</v>
      </c>
      <c r="E1227" s="2841">
        <f t="shared" si="100"/>
        <v>6600</v>
      </c>
      <c r="F1227" s="2841">
        <f t="shared" si="101"/>
        <v>8738</v>
      </c>
      <c r="G1227" s="2841">
        <f t="shared" si="102"/>
        <v>7347</v>
      </c>
    </row>
    <row r="1228" spans="1:7" ht="15.75">
      <c r="A1228" s="3022">
        <f t="shared" si="103"/>
        <v>58225</v>
      </c>
      <c r="B1228" s="2840">
        <v>58200</v>
      </c>
      <c r="C1228" s="2840">
        <v>58250</v>
      </c>
      <c r="D1228" s="2841">
        <f t="shared" si="99"/>
        <v>8749</v>
      </c>
      <c r="E1228" s="2841">
        <f t="shared" si="100"/>
        <v>6606</v>
      </c>
      <c r="F1228" s="2841">
        <f t="shared" si="101"/>
        <v>8749</v>
      </c>
      <c r="G1228" s="2841">
        <f t="shared" si="102"/>
        <v>7358</v>
      </c>
    </row>
    <row r="1229" spans="1:7" ht="15.75">
      <c r="A1229" s="3022">
        <f t="shared" si="103"/>
        <v>58275</v>
      </c>
      <c r="B1229" s="2840">
        <v>58250</v>
      </c>
      <c r="C1229" s="2840">
        <v>58300</v>
      </c>
      <c r="D1229" s="2841">
        <f t="shared" si="99"/>
        <v>8760</v>
      </c>
      <c r="E1229" s="2841">
        <f t="shared" si="100"/>
        <v>6612</v>
      </c>
      <c r="F1229" s="2841">
        <f t="shared" si="101"/>
        <v>8760</v>
      </c>
      <c r="G1229" s="2841">
        <f t="shared" si="102"/>
        <v>7369</v>
      </c>
    </row>
    <row r="1230" spans="1:7" ht="15.75">
      <c r="A1230" s="3022">
        <f t="shared" si="103"/>
        <v>58325</v>
      </c>
      <c r="B1230" s="2840">
        <v>58300</v>
      </c>
      <c r="C1230" s="2840">
        <v>58350</v>
      </c>
      <c r="D1230" s="2841">
        <f t="shared" si="99"/>
        <v>8771</v>
      </c>
      <c r="E1230" s="2841">
        <f t="shared" si="100"/>
        <v>6618</v>
      </c>
      <c r="F1230" s="2841">
        <f t="shared" si="101"/>
        <v>8771</v>
      </c>
      <c r="G1230" s="2841">
        <f t="shared" si="102"/>
        <v>7380</v>
      </c>
    </row>
    <row r="1231" spans="1:7" ht="15.75">
      <c r="A1231" s="3022">
        <f t="shared" si="103"/>
        <v>58375</v>
      </c>
      <c r="B1231" s="2840">
        <v>58350</v>
      </c>
      <c r="C1231" s="2840">
        <v>58400</v>
      </c>
      <c r="D1231" s="2841">
        <f t="shared" si="99"/>
        <v>8782</v>
      </c>
      <c r="E1231" s="2841">
        <f t="shared" si="100"/>
        <v>6624</v>
      </c>
      <c r="F1231" s="2841">
        <f t="shared" si="101"/>
        <v>8782</v>
      </c>
      <c r="G1231" s="2841">
        <f t="shared" si="102"/>
        <v>7391</v>
      </c>
    </row>
    <row r="1232" spans="1:7" ht="15.75">
      <c r="A1232" s="3022">
        <f t="shared" si="103"/>
        <v>58425</v>
      </c>
      <c r="B1232" s="2840">
        <v>58400</v>
      </c>
      <c r="C1232" s="2840">
        <v>58450</v>
      </c>
      <c r="D1232" s="2841">
        <f t="shared" si="99"/>
        <v>8793</v>
      </c>
      <c r="E1232" s="2841">
        <f t="shared" si="100"/>
        <v>6630</v>
      </c>
      <c r="F1232" s="2841">
        <f t="shared" si="101"/>
        <v>8793</v>
      </c>
      <c r="G1232" s="2841">
        <f t="shared" si="102"/>
        <v>7402</v>
      </c>
    </row>
    <row r="1233" spans="1:7" ht="15.75">
      <c r="A1233" s="3022">
        <f t="shared" si="103"/>
        <v>58475</v>
      </c>
      <c r="B1233" s="2840">
        <v>58450</v>
      </c>
      <c r="C1233" s="2840">
        <v>58500</v>
      </c>
      <c r="D1233" s="2841">
        <f t="shared" si="99"/>
        <v>8804</v>
      </c>
      <c r="E1233" s="2841">
        <f t="shared" si="100"/>
        <v>6636</v>
      </c>
      <c r="F1233" s="2841">
        <f t="shared" si="101"/>
        <v>8804</v>
      </c>
      <c r="G1233" s="2841">
        <f t="shared" si="102"/>
        <v>7413</v>
      </c>
    </row>
    <row r="1234" spans="1:7" ht="15.75">
      <c r="A1234" s="3022">
        <f t="shared" si="103"/>
        <v>58525</v>
      </c>
      <c r="B1234" s="2840">
        <v>58500</v>
      </c>
      <c r="C1234" s="2840">
        <v>58550</v>
      </c>
      <c r="D1234" s="2841">
        <f t="shared" si="99"/>
        <v>8815</v>
      </c>
      <c r="E1234" s="2841">
        <f t="shared" si="100"/>
        <v>6642</v>
      </c>
      <c r="F1234" s="2841">
        <f t="shared" si="101"/>
        <v>8815</v>
      </c>
      <c r="G1234" s="2841">
        <f t="shared" si="102"/>
        <v>7424</v>
      </c>
    </row>
    <row r="1235" spans="1:7" ht="15.75">
      <c r="A1235" s="3022">
        <f t="shared" si="103"/>
        <v>58575</v>
      </c>
      <c r="B1235" s="2840">
        <v>58550</v>
      </c>
      <c r="C1235" s="2840">
        <v>58600</v>
      </c>
      <c r="D1235" s="2841">
        <f t="shared" si="99"/>
        <v>8826</v>
      </c>
      <c r="E1235" s="2841">
        <f t="shared" si="100"/>
        <v>6648</v>
      </c>
      <c r="F1235" s="2841">
        <f t="shared" si="101"/>
        <v>8826</v>
      </c>
      <c r="G1235" s="2841">
        <f t="shared" si="102"/>
        <v>7435</v>
      </c>
    </row>
    <row r="1236" spans="1:7" ht="15.75">
      <c r="A1236" s="3022">
        <f t="shared" si="103"/>
        <v>58625</v>
      </c>
      <c r="B1236" s="2840">
        <v>58600</v>
      </c>
      <c r="C1236" s="2840">
        <v>58650</v>
      </c>
      <c r="D1236" s="2841">
        <f t="shared" si="99"/>
        <v>8837</v>
      </c>
      <c r="E1236" s="2841">
        <f t="shared" si="100"/>
        <v>6654</v>
      </c>
      <c r="F1236" s="2841">
        <f t="shared" si="101"/>
        <v>8837</v>
      </c>
      <c r="G1236" s="2841">
        <f t="shared" si="102"/>
        <v>7446</v>
      </c>
    </row>
    <row r="1237" spans="1:7" ht="15.75">
      <c r="A1237" s="3022">
        <f t="shared" si="103"/>
        <v>58675</v>
      </c>
      <c r="B1237" s="2840">
        <v>58650</v>
      </c>
      <c r="C1237" s="2840">
        <v>58700</v>
      </c>
      <c r="D1237" s="2841">
        <f t="shared" si="99"/>
        <v>8848</v>
      </c>
      <c r="E1237" s="2841">
        <f t="shared" si="100"/>
        <v>6660</v>
      </c>
      <c r="F1237" s="2841">
        <f t="shared" si="101"/>
        <v>8848</v>
      </c>
      <c r="G1237" s="2841">
        <f t="shared" si="102"/>
        <v>7457</v>
      </c>
    </row>
    <row r="1238" spans="1:7" ht="15.75">
      <c r="A1238" s="3022">
        <f t="shared" si="103"/>
        <v>58725</v>
      </c>
      <c r="B1238" s="2840">
        <v>58700</v>
      </c>
      <c r="C1238" s="2840">
        <v>58750</v>
      </c>
      <c r="D1238" s="2841">
        <f t="shared" si="99"/>
        <v>8859</v>
      </c>
      <c r="E1238" s="2841">
        <f t="shared" si="100"/>
        <v>6666</v>
      </c>
      <c r="F1238" s="2841">
        <f t="shared" si="101"/>
        <v>8859</v>
      </c>
      <c r="G1238" s="2841">
        <f t="shared" si="102"/>
        <v>7468</v>
      </c>
    </row>
    <row r="1239" spans="1:7" ht="15.75">
      <c r="A1239" s="3022">
        <f t="shared" si="103"/>
        <v>58775</v>
      </c>
      <c r="B1239" s="2840">
        <v>58750</v>
      </c>
      <c r="C1239" s="2840">
        <v>58800</v>
      </c>
      <c r="D1239" s="2841">
        <f t="shared" si="99"/>
        <v>8870</v>
      </c>
      <c r="E1239" s="2841">
        <f t="shared" si="100"/>
        <v>6672</v>
      </c>
      <c r="F1239" s="2841">
        <f t="shared" si="101"/>
        <v>8870</v>
      </c>
      <c r="G1239" s="2841">
        <f t="shared" si="102"/>
        <v>7479</v>
      </c>
    </row>
    <row r="1240" spans="1:7" ht="15.75">
      <c r="A1240" s="3022">
        <f t="shared" si="103"/>
        <v>58825</v>
      </c>
      <c r="B1240" s="2840">
        <v>58800</v>
      </c>
      <c r="C1240" s="2840">
        <v>58850</v>
      </c>
      <c r="D1240" s="2841">
        <f t="shared" si="99"/>
        <v>8881</v>
      </c>
      <c r="E1240" s="2841">
        <f t="shared" si="100"/>
        <v>6678</v>
      </c>
      <c r="F1240" s="2841">
        <f t="shared" si="101"/>
        <v>8881</v>
      </c>
      <c r="G1240" s="2841">
        <f t="shared" si="102"/>
        <v>7490</v>
      </c>
    </row>
    <row r="1241" spans="1:7" ht="15.75">
      <c r="A1241" s="3022">
        <f t="shared" si="103"/>
        <v>58875</v>
      </c>
      <c r="B1241" s="2840">
        <v>58850</v>
      </c>
      <c r="C1241" s="2840">
        <v>58900</v>
      </c>
      <c r="D1241" s="2841">
        <f t="shared" si="99"/>
        <v>8892</v>
      </c>
      <c r="E1241" s="2841">
        <f t="shared" si="100"/>
        <v>6684</v>
      </c>
      <c r="F1241" s="2841">
        <f t="shared" si="101"/>
        <v>8892</v>
      </c>
      <c r="G1241" s="2841">
        <f t="shared" si="102"/>
        <v>7501</v>
      </c>
    </row>
    <row r="1242" spans="1:7" ht="15.75">
      <c r="A1242" s="3022">
        <f t="shared" si="103"/>
        <v>58925</v>
      </c>
      <c r="B1242" s="2840">
        <v>58900</v>
      </c>
      <c r="C1242" s="2840">
        <v>58950</v>
      </c>
      <c r="D1242" s="2841">
        <f t="shared" si="99"/>
        <v>8903</v>
      </c>
      <c r="E1242" s="2841">
        <f t="shared" si="100"/>
        <v>6690</v>
      </c>
      <c r="F1242" s="2841">
        <f t="shared" si="101"/>
        <v>8903</v>
      </c>
      <c r="G1242" s="2841">
        <f t="shared" si="102"/>
        <v>7512</v>
      </c>
    </row>
    <row r="1243" spans="1:7" ht="15.75">
      <c r="A1243" s="3022">
        <f t="shared" si="103"/>
        <v>58975</v>
      </c>
      <c r="B1243" s="2840">
        <v>58950</v>
      </c>
      <c r="C1243" s="2840">
        <v>59000</v>
      </c>
      <c r="D1243" s="2841">
        <f t="shared" si="99"/>
        <v>8914</v>
      </c>
      <c r="E1243" s="2841">
        <f t="shared" si="100"/>
        <v>6696</v>
      </c>
      <c r="F1243" s="2841">
        <f t="shared" si="101"/>
        <v>8914</v>
      </c>
      <c r="G1243" s="2841">
        <f t="shared" si="102"/>
        <v>7523</v>
      </c>
    </row>
    <row r="1244" spans="1:7" ht="15.75">
      <c r="A1244" s="3022">
        <f t="shared" si="103"/>
        <v>59025</v>
      </c>
      <c r="B1244" s="2840">
        <v>59000</v>
      </c>
      <c r="C1244" s="2840">
        <v>59050</v>
      </c>
      <c r="D1244" s="2841">
        <f t="shared" si="99"/>
        <v>8925</v>
      </c>
      <c r="E1244" s="2841">
        <f t="shared" si="100"/>
        <v>6702</v>
      </c>
      <c r="F1244" s="2841">
        <f t="shared" si="101"/>
        <v>8925</v>
      </c>
      <c r="G1244" s="2841">
        <f t="shared" si="102"/>
        <v>7534</v>
      </c>
    </row>
    <row r="1245" spans="1:7" ht="15.75">
      <c r="A1245" s="3022">
        <f t="shared" si="103"/>
        <v>59075</v>
      </c>
      <c r="B1245" s="2840">
        <v>59050</v>
      </c>
      <c r="C1245" s="2840">
        <v>59100</v>
      </c>
      <c r="D1245" s="2841">
        <f t="shared" si="99"/>
        <v>8936</v>
      </c>
      <c r="E1245" s="2841">
        <f t="shared" si="100"/>
        <v>6708</v>
      </c>
      <c r="F1245" s="2841">
        <f t="shared" si="101"/>
        <v>8936</v>
      </c>
      <c r="G1245" s="2841">
        <f t="shared" si="102"/>
        <v>7545</v>
      </c>
    </row>
    <row r="1246" spans="1:7" ht="15.75">
      <c r="A1246" s="3022">
        <f t="shared" si="103"/>
        <v>59125</v>
      </c>
      <c r="B1246" s="2840">
        <v>59100</v>
      </c>
      <c r="C1246" s="2840">
        <v>59150</v>
      </c>
      <c r="D1246" s="2841">
        <f t="shared" si="99"/>
        <v>8947</v>
      </c>
      <c r="E1246" s="2841">
        <f t="shared" si="100"/>
        <v>6714</v>
      </c>
      <c r="F1246" s="2841">
        <f t="shared" si="101"/>
        <v>8947</v>
      </c>
      <c r="G1246" s="2841">
        <f t="shared" si="102"/>
        <v>7556</v>
      </c>
    </row>
    <row r="1247" spans="1:7" ht="15.75">
      <c r="A1247" s="3022">
        <f t="shared" si="103"/>
        <v>59175</v>
      </c>
      <c r="B1247" s="2840">
        <v>59150</v>
      </c>
      <c r="C1247" s="2840">
        <v>59200</v>
      </c>
      <c r="D1247" s="2841">
        <f t="shared" si="99"/>
        <v>8958</v>
      </c>
      <c r="E1247" s="2841">
        <f t="shared" si="100"/>
        <v>6720</v>
      </c>
      <c r="F1247" s="2841">
        <f t="shared" si="101"/>
        <v>8958</v>
      </c>
      <c r="G1247" s="2841">
        <f t="shared" si="102"/>
        <v>7567</v>
      </c>
    </row>
    <row r="1248" spans="1:7" ht="15.75">
      <c r="A1248" s="3022">
        <f t="shared" si="103"/>
        <v>59225</v>
      </c>
      <c r="B1248" s="2840">
        <v>59200</v>
      </c>
      <c r="C1248" s="2840">
        <v>59250</v>
      </c>
      <c r="D1248" s="2841">
        <f t="shared" si="99"/>
        <v>8969</v>
      </c>
      <c r="E1248" s="2841">
        <f t="shared" si="100"/>
        <v>6726</v>
      </c>
      <c r="F1248" s="2841">
        <f t="shared" si="101"/>
        <v>8969</v>
      </c>
      <c r="G1248" s="2841">
        <f t="shared" si="102"/>
        <v>7578</v>
      </c>
    </row>
    <row r="1249" spans="1:7" ht="15.75">
      <c r="A1249" s="3022">
        <f t="shared" si="103"/>
        <v>59275</v>
      </c>
      <c r="B1249" s="2840">
        <v>59250</v>
      </c>
      <c r="C1249" s="2840">
        <v>59300</v>
      </c>
      <c r="D1249" s="2841">
        <f t="shared" si="99"/>
        <v>8980</v>
      </c>
      <c r="E1249" s="2841">
        <f t="shared" si="100"/>
        <v>6732</v>
      </c>
      <c r="F1249" s="2841">
        <f t="shared" si="101"/>
        <v>8980</v>
      </c>
      <c r="G1249" s="2841">
        <f t="shared" si="102"/>
        <v>7589</v>
      </c>
    </row>
    <row r="1250" spans="1:7" ht="15.75">
      <c r="A1250" s="3022">
        <f t="shared" si="103"/>
        <v>59325</v>
      </c>
      <c r="B1250" s="2840">
        <v>59300</v>
      </c>
      <c r="C1250" s="2840">
        <v>59350</v>
      </c>
      <c r="D1250" s="2841">
        <f t="shared" si="99"/>
        <v>8991</v>
      </c>
      <c r="E1250" s="2841">
        <f t="shared" si="100"/>
        <v>6738</v>
      </c>
      <c r="F1250" s="2841">
        <f t="shared" si="101"/>
        <v>8991</v>
      </c>
      <c r="G1250" s="2841">
        <f t="shared" si="102"/>
        <v>7600</v>
      </c>
    </row>
    <row r="1251" spans="1:7" ht="15.75">
      <c r="A1251" s="3022">
        <f t="shared" si="103"/>
        <v>59375</v>
      </c>
      <c r="B1251" s="2840">
        <v>59350</v>
      </c>
      <c r="C1251" s="2840">
        <v>59400</v>
      </c>
      <c r="D1251" s="2841">
        <f t="shared" si="99"/>
        <v>9002</v>
      </c>
      <c r="E1251" s="2841">
        <f t="shared" si="100"/>
        <v>6744</v>
      </c>
      <c r="F1251" s="2841">
        <f t="shared" si="101"/>
        <v>9002</v>
      </c>
      <c r="G1251" s="2841">
        <f t="shared" si="102"/>
        <v>7611</v>
      </c>
    </row>
    <row r="1252" spans="1:7" ht="15.75">
      <c r="A1252" s="3022">
        <f t="shared" si="103"/>
        <v>59425</v>
      </c>
      <c r="B1252" s="2840">
        <v>59400</v>
      </c>
      <c r="C1252" s="2840">
        <v>59450</v>
      </c>
      <c r="D1252" s="2841">
        <f t="shared" si="99"/>
        <v>9013</v>
      </c>
      <c r="E1252" s="2841">
        <f t="shared" si="100"/>
        <v>6750</v>
      </c>
      <c r="F1252" s="2841">
        <f t="shared" si="101"/>
        <v>9013</v>
      </c>
      <c r="G1252" s="2841">
        <f t="shared" si="102"/>
        <v>7622</v>
      </c>
    </row>
    <row r="1253" spans="1:7" ht="15.75">
      <c r="A1253" s="3022">
        <f t="shared" si="103"/>
        <v>59475</v>
      </c>
      <c r="B1253" s="2840">
        <v>59450</v>
      </c>
      <c r="C1253" s="2840">
        <v>59500</v>
      </c>
      <c r="D1253" s="2841">
        <f t="shared" si="99"/>
        <v>9024</v>
      </c>
      <c r="E1253" s="2841">
        <f t="shared" si="100"/>
        <v>6756</v>
      </c>
      <c r="F1253" s="2841">
        <f t="shared" si="101"/>
        <v>9024</v>
      </c>
      <c r="G1253" s="2841">
        <f t="shared" si="102"/>
        <v>7633</v>
      </c>
    </row>
    <row r="1254" spans="1:7" ht="15.75">
      <c r="A1254" s="3022">
        <f t="shared" si="103"/>
        <v>59525</v>
      </c>
      <c r="B1254" s="2840">
        <v>59500</v>
      </c>
      <c r="C1254" s="2840">
        <v>59550</v>
      </c>
      <c r="D1254" s="2841">
        <f t="shared" si="99"/>
        <v>9035</v>
      </c>
      <c r="E1254" s="2841">
        <f t="shared" si="100"/>
        <v>6762</v>
      </c>
      <c r="F1254" s="2841">
        <f t="shared" si="101"/>
        <v>9035</v>
      </c>
      <c r="G1254" s="2841">
        <f t="shared" si="102"/>
        <v>7644</v>
      </c>
    </row>
    <row r="1255" spans="1:7" ht="15.75">
      <c r="A1255" s="3022">
        <f t="shared" si="103"/>
        <v>59575</v>
      </c>
      <c r="B1255" s="2840">
        <v>59550</v>
      </c>
      <c r="C1255" s="2840">
        <v>59600</v>
      </c>
      <c r="D1255" s="2841">
        <f t="shared" si="99"/>
        <v>9046</v>
      </c>
      <c r="E1255" s="2841">
        <f t="shared" si="100"/>
        <v>6768</v>
      </c>
      <c r="F1255" s="2841">
        <f t="shared" si="101"/>
        <v>9046</v>
      </c>
      <c r="G1255" s="2841">
        <f t="shared" si="102"/>
        <v>7655</v>
      </c>
    </row>
    <row r="1256" spans="1:7" ht="15.75">
      <c r="A1256" s="3022">
        <f t="shared" si="103"/>
        <v>59625</v>
      </c>
      <c r="B1256" s="2840">
        <v>59600</v>
      </c>
      <c r="C1256" s="2840">
        <v>59650</v>
      </c>
      <c r="D1256" s="2841">
        <f t="shared" si="99"/>
        <v>9057</v>
      </c>
      <c r="E1256" s="2841">
        <f t="shared" si="100"/>
        <v>6774</v>
      </c>
      <c r="F1256" s="2841">
        <f t="shared" si="101"/>
        <v>9057</v>
      </c>
      <c r="G1256" s="2841">
        <f t="shared" si="102"/>
        <v>7666</v>
      </c>
    </row>
    <row r="1257" spans="1:7" ht="15.75">
      <c r="A1257" s="3022">
        <f t="shared" si="103"/>
        <v>59675</v>
      </c>
      <c r="B1257" s="2840">
        <v>59650</v>
      </c>
      <c r="C1257" s="2840">
        <v>59700</v>
      </c>
      <c r="D1257" s="2841">
        <f t="shared" si="99"/>
        <v>9068</v>
      </c>
      <c r="E1257" s="2841">
        <f t="shared" si="100"/>
        <v>6780</v>
      </c>
      <c r="F1257" s="2841">
        <f t="shared" si="101"/>
        <v>9068</v>
      </c>
      <c r="G1257" s="2841">
        <f t="shared" si="102"/>
        <v>7677</v>
      </c>
    </row>
    <row r="1258" spans="1:7" ht="15.75">
      <c r="A1258" s="3022">
        <f t="shared" si="103"/>
        <v>59725</v>
      </c>
      <c r="B1258" s="2840">
        <v>59700</v>
      </c>
      <c r="C1258" s="2840">
        <v>59750</v>
      </c>
      <c r="D1258" s="2841">
        <f t="shared" si="99"/>
        <v>9079</v>
      </c>
      <c r="E1258" s="2841">
        <f t="shared" si="100"/>
        <v>6786</v>
      </c>
      <c r="F1258" s="2841">
        <f t="shared" si="101"/>
        <v>9079</v>
      </c>
      <c r="G1258" s="2841">
        <f t="shared" si="102"/>
        <v>7688</v>
      </c>
    </row>
    <row r="1259" spans="1:7" ht="15.75">
      <c r="A1259" s="3022">
        <f t="shared" si="103"/>
        <v>59775</v>
      </c>
      <c r="B1259" s="2840">
        <v>59750</v>
      </c>
      <c r="C1259" s="2840">
        <v>59800</v>
      </c>
      <c r="D1259" s="2841">
        <f t="shared" si="99"/>
        <v>9090</v>
      </c>
      <c r="E1259" s="2841">
        <f t="shared" si="100"/>
        <v>6792</v>
      </c>
      <c r="F1259" s="2841">
        <f t="shared" si="101"/>
        <v>9090</v>
      </c>
      <c r="G1259" s="2841">
        <f t="shared" si="102"/>
        <v>7699</v>
      </c>
    </row>
    <row r="1260" spans="1:7" ht="15.75">
      <c r="A1260" s="3022">
        <f t="shared" si="103"/>
        <v>59825</v>
      </c>
      <c r="B1260" s="2840">
        <v>59800</v>
      </c>
      <c r="C1260" s="2840">
        <v>59850</v>
      </c>
      <c r="D1260" s="2841">
        <f t="shared" si="99"/>
        <v>9101</v>
      </c>
      <c r="E1260" s="2841">
        <f t="shared" si="100"/>
        <v>6798</v>
      </c>
      <c r="F1260" s="2841">
        <f t="shared" si="101"/>
        <v>9101</v>
      </c>
      <c r="G1260" s="2841">
        <f t="shared" si="102"/>
        <v>7710</v>
      </c>
    </row>
    <row r="1261" spans="1:7" ht="15.75">
      <c r="A1261" s="3022">
        <f t="shared" si="103"/>
        <v>59875</v>
      </c>
      <c r="B1261" s="2840">
        <v>59850</v>
      </c>
      <c r="C1261" s="2840">
        <v>59900</v>
      </c>
      <c r="D1261" s="2841">
        <f t="shared" si="99"/>
        <v>9112</v>
      </c>
      <c r="E1261" s="2841">
        <f t="shared" si="100"/>
        <v>6804</v>
      </c>
      <c r="F1261" s="2841">
        <f t="shared" si="101"/>
        <v>9112</v>
      </c>
      <c r="G1261" s="2841">
        <f t="shared" si="102"/>
        <v>7721</v>
      </c>
    </row>
    <row r="1262" spans="1:7" ht="15.75">
      <c r="A1262" s="3022">
        <f t="shared" si="103"/>
        <v>59925</v>
      </c>
      <c r="B1262" s="2840">
        <v>59900</v>
      </c>
      <c r="C1262" s="2840">
        <v>59950</v>
      </c>
      <c r="D1262" s="2841">
        <f t="shared" si="99"/>
        <v>9123</v>
      </c>
      <c r="E1262" s="2841">
        <f t="shared" si="100"/>
        <v>6810</v>
      </c>
      <c r="F1262" s="2841">
        <f t="shared" si="101"/>
        <v>9123</v>
      </c>
      <c r="G1262" s="2841">
        <f t="shared" si="102"/>
        <v>7732</v>
      </c>
    </row>
    <row r="1263" spans="1:7" ht="15.75">
      <c r="A1263" s="3022">
        <f t="shared" si="103"/>
        <v>59975</v>
      </c>
      <c r="B1263" s="2840">
        <v>59950</v>
      </c>
      <c r="C1263" s="2840">
        <v>60000</v>
      </c>
      <c r="D1263" s="2841">
        <f t="shared" si="99"/>
        <v>9134</v>
      </c>
      <c r="E1263" s="2841">
        <f t="shared" si="100"/>
        <v>6816</v>
      </c>
      <c r="F1263" s="2841">
        <f t="shared" si="101"/>
        <v>9134</v>
      </c>
      <c r="G1263" s="2841">
        <f t="shared" si="102"/>
        <v>7743</v>
      </c>
    </row>
    <row r="1264" spans="1:7" ht="15.75">
      <c r="A1264" s="3022">
        <f t="shared" si="103"/>
        <v>60025</v>
      </c>
      <c r="B1264" s="2840">
        <v>60000</v>
      </c>
      <c r="C1264" s="2840">
        <v>60050</v>
      </c>
      <c r="D1264" s="2841">
        <f t="shared" si="99"/>
        <v>9145</v>
      </c>
      <c r="E1264" s="2841">
        <f t="shared" si="100"/>
        <v>6822</v>
      </c>
      <c r="F1264" s="2841">
        <f t="shared" si="101"/>
        <v>9145</v>
      </c>
      <c r="G1264" s="2841">
        <f t="shared" si="102"/>
        <v>7754</v>
      </c>
    </row>
    <row r="1265" spans="1:7" ht="15.75">
      <c r="A1265" s="3022">
        <f t="shared" si="103"/>
        <v>60075</v>
      </c>
      <c r="B1265" s="2840">
        <v>60050</v>
      </c>
      <c r="C1265" s="2840">
        <v>60100</v>
      </c>
      <c r="D1265" s="2841">
        <f t="shared" si="99"/>
        <v>9156</v>
      </c>
      <c r="E1265" s="2841">
        <f t="shared" si="100"/>
        <v>6828</v>
      </c>
      <c r="F1265" s="2841">
        <f t="shared" si="101"/>
        <v>9156</v>
      </c>
      <c r="G1265" s="2841">
        <f t="shared" si="102"/>
        <v>7765</v>
      </c>
    </row>
    <row r="1266" spans="1:7" ht="15.75">
      <c r="A1266" s="3022">
        <f t="shared" si="103"/>
        <v>60125</v>
      </c>
      <c r="B1266" s="2840">
        <v>60100</v>
      </c>
      <c r="C1266" s="2840">
        <v>60150</v>
      </c>
      <c r="D1266" s="2841">
        <f t="shared" si="99"/>
        <v>9167</v>
      </c>
      <c r="E1266" s="2841">
        <f t="shared" si="100"/>
        <v>6834</v>
      </c>
      <c r="F1266" s="2841">
        <f t="shared" si="101"/>
        <v>9167</v>
      </c>
      <c r="G1266" s="2841">
        <f t="shared" si="102"/>
        <v>7776</v>
      </c>
    </row>
    <row r="1267" spans="1:7" ht="15.75">
      <c r="A1267" s="3022">
        <f t="shared" si="103"/>
        <v>60175</v>
      </c>
      <c r="B1267" s="2840">
        <v>60150</v>
      </c>
      <c r="C1267" s="2840">
        <v>60200</v>
      </c>
      <c r="D1267" s="2841">
        <f t="shared" si="99"/>
        <v>9178</v>
      </c>
      <c r="E1267" s="2841">
        <f t="shared" si="100"/>
        <v>6840</v>
      </c>
      <c r="F1267" s="2841">
        <f t="shared" si="101"/>
        <v>9178</v>
      </c>
      <c r="G1267" s="2841">
        <f t="shared" si="102"/>
        <v>7787</v>
      </c>
    </row>
    <row r="1268" spans="1:7" ht="15.75">
      <c r="A1268" s="3022">
        <f t="shared" si="103"/>
        <v>60225</v>
      </c>
      <c r="B1268" s="2840">
        <v>60200</v>
      </c>
      <c r="C1268" s="2840">
        <v>60250</v>
      </c>
      <c r="D1268" s="2841">
        <f t="shared" si="99"/>
        <v>9189</v>
      </c>
      <c r="E1268" s="2841">
        <f t="shared" si="100"/>
        <v>6846</v>
      </c>
      <c r="F1268" s="2841">
        <f t="shared" si="101"/>
        <v>9189</v>
      </c>
      <c r="G1268" s="2841">
        <f t="shared" si="102"/>
        <v>7798</v>
      </c>
    </row>
    <row r="1269" spans="1:7" ht="15.75">
      <c r="A1269" s="3022">
        <f t="shared" si="103"/>
        <v>60275</v>
      </c>
      <c r="B1269" s="2840">
        <v>60250</v>
      </c>
      <c r="C1269" s="2840">
        <v>60300</v>
      </c>
      <c r="D1269" s="2841">
        <f t="shared" si="99"/>
        <v>9200</v>
      </c>
      <c r="E1269" s="2841">
        <f t="shared" si="100"/>
        <v>6852</v>
      </c>
      <c r="F1269" s="2841">
        <f t="shared" si="101"/>
        <v>9200</v>
      </c>
      <c r="G1269" s="2841">
        <f t="shared" si="102"/>
        <v>7809</v>
      </c>
    </row>
    <row r="1270" spans="1:7" ht="15.75">
      <c r="A1270" s="3022">
        <f t="shared" si="103"/>
        <v>60325</v>
      </c>
      <c r="B1270" s="2840">
        <v>60300</v>
      </c>
      <c r="C1270" s="2840">
        <v>60350</v>
      </c>
      <c r="D1270" s="2841">
        <f t="shared" si="99"/>
        <v>9211</v>
      </c>
      <c r="E1270" s="2841">
        <f t="shared" si="100"/>
        <v>6858</v>
      </c>
      <c r="F1270" s="2841">
        <f t="shared" si="101"/>
        <v>9211</v>
      </c>
      <c r="G1270" s="2841">
        <f t="shared" si="102"/>
        <v>7820</v>
      </c>
    </row>
    <row r="1271" spans="1:7" ht="15.75">
      <c r="A1271" s="3022">
        <f t="shared" si="103"/>
        <v>60375</v>
      </c>
      <c r="B1271" s="2840">
        <v>60350</v>
      </c>
      <c r="C1271" s="2840">
        <v>60400</v>
      </c>
      <c r="D1271" s="2841">
        <f t="shared" si="99"/>
        <v>9222</v>
      </c>
      <c r="E1271" s="2841">
        <f t="shared" si="100"/>
        <v>6864</v>
      </c>
      <c r="F1271" s="2841">
        <f t="shared" si="101"/>
        <v>9222</v>
      </c>
      <c r="G1271" s="2841">
        <f t="shared" si="102"/>
        <v>7831</v>
      </c>
    </row>
    <row r="1272" spans="1:7" ht="15.75">
      <c r="A1272" s="3022">
        <f t="shared" si="103"/>
        <v>60425</v>
      </c>
      <c r="B1272" s="2840">
        <v>60400</v>
      </c>
      <c r="C1272" s="2840">
        <v>60450</v>
      </c>
      <c r="D1272" s="2841">
        <f t="shared" si="99"/>
        <v>9233</v>
      </c>
      <c r="E1272" s="2841">
        <f t="shared" si="100"/>
        <v>6870</v>
      </c>
      <c r="F1272" s="2841">
        <f t="shared" si="101"/>
        <v>9233</v>
      </c>
      <c r="G1272" s="2841">
        <f t="shared" si="102"/>
        <v>7842</v>
      </c>
    </row>
    <row r="1273" spans="1:7" ht="15.75">
      <c r="A1273" s="3022">
        <f t="shared" si="103"/>
        <v>60475</v>
      </c>
      <c r="B1273" s="2840">
        <v>60450</v>
      </c>
      <c r="C1273" s="2840">
        <v>60500</v>
      </c>
      <c r="D1273" s="2841">
        <f t="shared" si="99"/>
        <v>9244</v>
      </c>
      <c r="E1273" s="2841">
        <f t="shared" si="100"/>
        <v>6876</v>
      </c>
      <c r="F1273" s="2841">
        <f t="shared" si="101"/>
        <v>9244</v>
      </c>
      <c r="G1273" s="2841">
        <f t="shared" si="102"/>
        <v>7853</v>
      </c>
    </row>
    <row r="1274" spans="1:7" ht="15.75">
      <c r="A1274" s="3022">
        <f t="shared" si="103"/>
        <v>60525</v>
      </c>
      <c r="B1274" s="2840">
        <v>60500</v>
      </c>
      <c r="C1274" s="2840">
        <v>60550</v>
      </c>
      <c r="D1274" s="2841">
        <f t="shared" si="99"/>
        <v>9255</v>
      </c>
      <c r="E1274" s="2841">
        <f t="shared" si="100"/>
        <v>6882</v>
      </c>
      <c r="F1274" s="2841">
        <f t="shared" si="101"/>
        <v>9255</v>
      </c>
      <c r="G1274" s="2841">
        <f t="shared" si="102"/>
        <v>7864</v>
      </c>
    </row>
    <row r="1275" spans="1:7" ht="15.75">
      <c r="A1275" s="3022">
        <f t="shared" si="103"/>
        <v>60575</v>
      </c>
      <c r="B1275" s="2840">
        <v>60550</v>
      </c>
      <c r="C1275" s="2840">
        <v>60600</v>
      </c>
      <c r="D1275" s="2841">
        <f t="shared" si="99"/>
        <v>9266</v>
      </c>
      <c r="E1275" s="2841">
        <f t="shared" si="100"/>
        <v>6888</v>
      </c>
      <c r="F1275" s="2841">
        <f t="shared" si="101"/>
        <v>9266</v>
      </c>
      <c r="G1275" s="2841">
        <f t="shared" si="102"/>
        <v>7875</v>
      </c>
    </row>
    <row r="1276" spans="1:7" ht="15.75">
      <c r="A1276" s="3022">
        <f t="shared" si="103"/>
        <v>60625</v>
      </c>
      <c r="B1276" s="2840">
        <v>60600</v>
      </c>
      <c r="C1276" s="2840">
        <v>60650</v>
      </c>
      <c r="D1276" s="2841">
        <f t="shared" si="99"/>
        <v>9277</v>
      </c>
      <c r="E1276" s="2841">
        <f t="shared" si="100"/>
        <v>6894</v>
      </c>
      <c r="F1276" s="2841">
        <f t="shared" si="101"/>
        <v>9277</v>
      </c>
      <c r="G1276" s="2841">
        <f t="shared" si="102"/>
        <v>7886</v>
      </c>
    </row>
    <row r="1277" spans="1:7" ht="15.75">
      <c r="A1277" s="3022">
        <f t="shared" si="103"/>
        <v>60675</v>
      </c>
      <c r="B1277" s="2840">
        <v>60650</v>
      </c>
      <c r="C1277" s="2840">
        <v>60700</v>
      </c>
      <c r="D1277" s="2841">
        <f t="shared" si="99"/>
        <v>9288</v>
      </c>
      <c r="E1277" s="2841">
        <f t="shared" si="100"/>
        <v>6900</v>
      </c>
      <c r="F1277" s="2841">
        <f t="shared" si="101"/>
        <v>9288</v>
      </c>
      <c r="G1277" s="2841">
        <f t="shared" si="102"/>
        <v>7897</v>
      </c>
    </row>
    <row r="1278" spans="1:7" ht="15.75">
      <c r="A1278" s="3022">
        <f t="shared" si="103"/>
        <v>60725</v>
      </c>
      <c r="B1278" s="2840">
        <v>60700</v>
      </c>
      <c r="C1278" s="2840">
        <v>60750</v>
      </c>
      <c r="D1278" s="2841">
        <f t="shared" si="99"/>
        <v>9299</v>
      </c>
      <c r="E1278" s="2841">
        <f t="shared" si="100"/>
        <v>6906</v>
      </c>
      <c r="F1278" s="2841">
        <f t="shared" si="101"/>
        <v>9299</v>
      </c>
      <c r="G1278" s="2841">
        <f t="shared" si="102"/>
        <v>7908</v>
      </c>
    </row>
    <row r="1279" spans="1:7" ht="15.75">
      <c r="A1279" s="3022">
        <f t="shared" si="103"/>
        <v>60775</v>
      </c>
      <c r="B1279" s="2840">
        <v>60750</v>
      </c>
      <c r="C1279" s="2840">
        <v>60800</v>
      </c>
      <c r="D1279" s="2841">
        <f t="shared" si="99"/>
        <v>9310</v>
      </c>
      <c r="E1279" s="2841">
        <f t="shared" si="100"/>
        <v>6912</v>
      </c>
      <c r="F1279" s="2841">
        <f t="shared" si="101"/>
        <v>9310</v>
      </c>
      <c r="G1279" s="2841">
        <f t="shared" si="102"/>
        <v>7919</v>
      </c>
    </row>
    <row r="1280" spans="1:7" ht="15.75">
      <c r="A1280" s="3022">
        <f t="shared" si="103"/>
        <v>60825</v>
      </c>
      <c r="B1280" s="2840">
        <v>60800</v>
      </c>
      <c r="C1280" s="2840">
        <v>60850</v>
      </c>
      <c r="D1280" s="2841">
        <f t="shared" si="99"/>
        <v>9321</v>
      </c>
      <c r="E1280" s="2841">
        <f t="shared" si="100"/>
        <v>6918</v>
      </c>
      <c r="F1280" s="2841">
        <f t="shared" si="101"/>
        <v>9321</v>
      </c>
      <c r="G1280" s="2841">
        <f t="shared" si="102"/>
        <v>7930</v>
      </c>
    </row>
    <row r="1281" spans="1:7" ht="15.75">
      <c r="A1281" s="3022">
        <f t="shared" si="103"/>
        <v>60875</v>
      </c>
      <c r="B1281" s="2840">
        <v>60850</v>
      </c>
      <c r="C1281" s="2840">
        <v>60900</v>
      </c>
      <c r="D1281" s="2841">
        <f t="shared" si="99"/>
        <v>9332</v>
      </c>
      <c r="E1281" s="2841">
        <f t="shared" si="100"/>
        <v>6924</v>
      </c>
      <c r="F1281" s="2841">
        <f t="shared" si="101"/>
        <v>9332</v>
      </c>
      <c r="G1281" s="2841">
        <f t="shared" si="102"/>
        <v>7941</v>
      </c>
    </row>
    <row r="1282" spans="1:7" ht="15.75">
      <c r="A1282" s="3022">
        <f t="shared" si="103"/>
        <v>60925</v>
      </c>
      <c r="B1282" s="2840">
        <v>60900</v>
      </c>
      <c r="C1282" s="2840">
        <v>60950</v>
      </c>
      <c r="D1282" s="2841">
        <f t="shared" ref="D1282:D1345" si="104">IF($A1282&gt;BOTT_A4,ROUND(BASE_A4+RATE_A4*($A1282-BOTT_A4),0),IF($A1282&gt;BOTT_A3,ROUND(BASE_A3+RATE_A3*($A1282-BOTT_A3),0),IF($A1282&gt;BOTT_A2,ROUND(BASE_A2+RATE_A2*($A1282-BOTT_A2),0),ROUND(RATE_A1*$A1282,0))))</f>
        <v>9343</v>
      </c>
      <c r="E1282" s="2841">
        <f t="shared" ref="E1282:E1345" si="105">IF($A1282&gt;BOTT_B4,ROUND(BASE_B4+RATE_B4*($A1282-BOTT_B4),0),IF($A1282&gt;BOTT_B3,ROUND(BASE_B3+RATE_B3*($A1282-BOTT_B3),0),IF($A1282&gt;BOTT_B2,ROUND(BASE_B2+RATE_B2*($A1282-BOTT_B2),0),ROUND(RATE_B1*$A1282,0))))</f>
        <v>6930</v>
      </c>
      <c r="F1282" s="2841">
        <f t="shared" ref="F1282:F1345" si="106">IF($A1282&gt;BOTT_C4,ROUND(BASE_C4+RATE_C4*($A1282-BOTT_C4),0),IF($A1282&gt;BOTT_C3,ROUND(BASE_C3+RATE_C3*($A1282-BOTT_C3),0),IF($A1282&gt;BOTT_C2,ROUND(BASE_C2+RATE_C2*($A1282-BOTT_C2),0),ROUND(RATE_C1*$A1282,0))))</f>
        <v>9343</v>
      </c>
      <c r="G1282" s="2841">
        <f t="shared" ref="G1282:G1345" si="107">IF($A1282&gt;BOTT_D4,ROUND(BASE_D4+RATE_D4*($A1282-BOTT_D4),0),IF($A1282&gt;BOTT_D3,ROUND(BASE_D3+RATE_D3*($A1282-BOTT_D3),0),IF($A1282&gt;BOTT_D2,ROUND(BASE_D2+RATE_D2*($A1282-BOTT_D2),0),ROUND(RATE_D1*$A1282,0))))</f>
        <v>7952</v>
      </c>
    </row>
    <row r="1283" spans="1:7" ht="15.75">
      <c r="A1283" s="3022">
        <f t="shared" ref="A1283:A1346" si="108">AVERAGE(B1283,C1283)</f>
        <v>60975</v>
      </c>
      <c r="B1283" s="2840">
        <v>60950</v>
      </c>
      <c r="C1283" s="2840">
        <v>61000</v>
      </c>
      <c r="D1283" s="2841">
        <f t="shared" si="104"/>
        <v>9354</v>
      </c>
      <c r="E1283" s="2841">
        <f t="shared" si="105"/>
        <v>6936</v>
      </c>
      <c r="F1283" s="2841">
        <f t="shared" si="106"/>
        <v>9354</v>
      </c>
      <c r="G1283" s="2841">
        <f t="shared" si="107"/>
        <v>7963</v>
      </c>
    </row>
    <row r="1284" spans="1:7" ht="15.75">
      <c r="A1284" s="3022">
        <f t="shared" si="108"/>
        <v>61025</v>
      </c>
      <c r="B1284" s="2840">
        <v>61000</v>
      </c>
      <c r="C1284" s="2840">
        <v>61050</v>
      </c>
      <c r="D1284" s="2841">
        <f t="shared" si="104"/>
        <v>9365</v>
      </c>
      <c r="E1284" s="2841">
        <f t="shared" si="105"/>
        <v>6942</v>
      </c>
      <c r="F1284" s="2841">
        <f t="shared" si="106"/>
        <v>9365</v>
      </c>
      <c r="G1284" s="2841">
        <f t="shared" si="107"/>
        <v>7974</v>
      </c>
    </row>
    <row r="1285" spans="1:7" ht="15.75">
      <c r="A1285" s="3022">
        <f t="shared" si="108"/>
        <v>61075</v>
      </c>
      <c r="B1285" s="2840">
        <v>61050</v>
      </c>
      <c r="C1285" s="2840">
        <v>61100</v>
      </c>
      <c r="D1285" s="2841">
        <f t="shared" si="104"/>
        <v>9376</v>
      </c>
      <c r="E1285" s="2841">
        <f t="shared" si="105"/>
        <v>6948</v>
      </c>
      <c r="F1285" s="2841">
        <f t="shared" si="106"/>
        <v>9376</v>
      </c>
      <c r="G1285" s="2841">
        <f t="shared" si="107"/>
        <v>7985</v>
      </c>
    </row>
    <row r="1286" spans="1:7" ht="15.75">
      <c r="A1286" s="3022">
        <f t="shared" si="108"/>
        <v>61125</v>
      </c>
      <c r="B1286" s="2840">
        <v>61100</v>
      </c>
      <c r="C1286" s="2840">
        <v>61150</v>
      </c>
      <c r="D1286" s="2841">
        <f t="shared" si="104"/>
        <v>9387</v>
      </c>
      <c r="E1286" s="2841">
        <f t="shared" si="105"/>
        <v>6954</v>
      </c>
      <c r="F1286" s="2841">
        <f t="shared" si="106"/>
        <v>9387</v>
      </c>
      <c r="G1286" s="2841">
        <f t="shared" si="107"/>
        <v>7996</v>
      </c>
    </row>
    <row r="1287" spans="1:7" ht="15.75">
      <c r="A1287" s="3022">
        <f t="shared" si="108"/>
        <v>61175</v>
      </c>
      <c r="B1287" s="2840">
        <v>61150</v>
      </c>
      <c r="C1287" s="2840">
        <v>61200</v>
      </c>
      <c r="D1287" s="2841">
        <f t="shared" si="104"/>
        <v>9398</v>
      </c>
      <c r="E1287" s="2841">
        <f t="shared" si="105"/>
        <v>6960</v>
      </c>
      <c r="F1287" s="2841">
        <f t="shared" si="106"/>
        <v>9398</v>
      </c>
      <c r="G1287" s="2841">
        <f t="shared" si="107"/>
        <v>8007</v>
      </c>
    </row>
    <row r="1288" spans="1:7" ht="15.75">
      <c r="A1288" s="3022">
        <f t="shared" si="108"/>
        <v>61225</v>
      </c>
      <c r="B1288" s="2840">
        <v>61200</v>
      </c>
      <c r="C1288" s="2840">
        <v>61250</v>
      </c>
      <c r="D1288" s="2841">
        <f t="shared" si="104"/>
        <v>9409</v>
      </c>
      <c r="E1288" s="2841">
        <f t="shared" si="105"/>
        <v>6966</v>
      </c>
      <c r="F1288" s="2841">
        <f t="shared" si="106"/>
        <v>9409</v>
      </c>
      <c r="G1288" s="2841">
        <f t="shared" si="107"/>
        <v>8018</v>
      </c>
    </row>
    <row r="1289" spans="1:7" ht="15.75">
      <c r="A1289" s="3022">
        <f t="shared" si="108"/>
        <v>61275</v>
      </c>
      <c r="B1289" s="2840">
        <v>61250</v>
      </c>
      <c r="C1289" s="2840">
        <v>61300</v>
      </c>
      <c r="D1289" s="2841">
        <f t="shared" si="104"/>
        <v>9420</v>
      </c>
      <c r="E1289" s="2841">
        <f t="shared" si="105"/>
        <v>6972</v>
      </c>
      <c r="F1289" s="2841">
        <f t="shared" si="106"/>
        <v>9420</v>
      </c>
      <c r="G1289" s="2841">
        <f t="shared" si="107"/>
        <v>8029</v>
      </c>
    </row>
    <row r="1290" spans="1:7" ht="15.75">
      <c r="A1290" s="3022">
        <f t="shared" si="108"/>
        <v>61325</v>
      </c>
      <c r="B1290" s="2840">
        <v>61300</v>
      </c>
      <c r="C1290" s="2840">
        <v>61350</v>
      </c>
      <c r="D1290" s="2841">
        <f t="shared" si="104"/>
        <v>9431</v>
      </c>
      <c r="E1290" s="2841">
        <f t="shared" si="105"/>
        <v>6978</v>
      </c>
      <c r="F1290" s="2841">
        <f t="shared" si="106"/>
        <v>9431</v>
      </c>
      <c r="G1290" s="2841">
        <f t="shared" si="107"/>
        <v>8040</v>
      </c>
    </row>
    <row r="1291" spans="1:7" ht="15.75">
      <c r="A1291" s="3022">
        <f t="shared" si="108"/>
        <v>61375</v>
      </c>
      <c r="B1291" s="2840">
        <v>61350</v>
      </c>
      <c r="C1291" s="2840">
        <v>61400</v>
      </c>
      <c r="D1291" s="2841">
        <f t="shared" si="104"/>
        <v>9442</v>
      </c>
      <c r="E1291" s="2841">
        <f t="shared" si="105"/>
        <v>6984</v>
      </c>
      <c r="F1291" s="2841">
        <f t="shared" si="106"/>
        <v>9442</v>
      </c>
      <c r="G1291" s="2841">
        <f t="shared" si="107"/>
        <v>8051</v>
      </c>
    </row>
    <row r="1292" spans="1:7" ht="15.75">
      <c r="A1292" s="3022">
        <f t="shared" si="108"/>
        <v>61425</v>
      </c>
      <c r="B1292" s="2840">
        <v>61400</v>
      </c>
      <c r="C1292" s="2840">
        <v>61450</v>
      </c>
      <c r="D1292" s="2841">
        <f t="shared" si="104"/>
        <v>9453</v>
      </c>
      <c r="E1292" s="2841">
        <f t="shared" si="105"/>
        <v>6990</v>
      </c>
      <c r="F1292" s="2841">
        <f t="shared" si="106"/>
        <v>9453</v>
      </c>
      <c r="G1292" s="2841">
        <f t="shared" si="107"/>
        <v>8062</v>
      </c>
    </row>
    <row r="1293" spans="1:7" ht="15.75">
      <c r="A1293" s="3022">
        <f t="shared" si="108"/>
        <v>61475</v>
      </c>
      <c r="B1293" s="2840">
        <v>61450</v>
      </c>
      <c r="C1293" s="2840">
        <v>61500</v>
      </c>
      <c r="D1293" s="2841">
        <f t="shared" si="104"/>
        <v>9464</v>
      </c>
      <c r="E1293" s="2841">
        <f t="shared" si="105"/>
        <v>6996</v>
      </c>
      <c r="F1293" s="2841">
        <f t="shared" si="106"/>
        <v>9464</v>
      </c>
      <c r="G1293" s="2841">
        <f t="shared" si="107"/>
        <v>8073</v>
      </c>
    </row>
    <row r="1294" spans="1:7" ht="15.75">
      <c r="A1294" s="3022">
        <f t="shared" si="108"/>
        <v>61525</v>
      </c>
      <c r="B1294" s="2840">
        <v>61500</v>
      </c>
      <c r="C1294" s="2840">
        <v>61550</v>
      </c>
      <c r="D1294" s="2841">
        <f t="shared" si="104"/>
        <v>9475</v>
      </c>
      <c r="E1294" s="2841">
        <f t="shared" si="105"/>
        <v>7002</v>
      </c>
      <c r="F1294" s="2841">
        <f t="shared" si="106"/>
        <v>9475</v>
      </c>
      <c r="G1294" s="2841">
        <f t="shared" si="107"/>
        <v>8084</v>
      </c>
    </row>
    <row r="1295" spans="1:7" ht="15.75">
      <c r="A1295" s="3022">
        <f t="shared" si="108"/>
        <v>61575</v>
      </c>
      <c r="B1295" s="2840">
        <v>61550</v>
      </c>
      <c r="C1295" s="2840">
        <v>61600</v>
      </c>
      <c r="D1295" s="2841">
        <f t="shared" si="104"/>
        <v>9486</v>
      </c>
      <c r="E1295" s="2841">
        <f t="shared" si="105"/>
        <v>7008</v>
      </c>
      <c r="F1295" s="2841">
        <f t="shared" si="106"/>
        <v>9486</v>
      </c>
      <c r="G1295" s="2841">
        <f t="shared" si="107"/>
        <v>8095</v>
      </c>
    </row>
    <row r="1296" spans="1:7" ht="15.75">
      <c r="A1296" s="3022">
        <f t="shared" si="108"/>
        <v>61625</v>
      </c>
      <c r="B1296" s="2840">
        <v>61600</v>
      </c>
      <c r="C1296" s="2840">
        <v>61650</v>
      </c>
      <c r="D1296" s="2841">
        <f t="shared" si="104"/>
        <v>9497</v>
      </c>
      <c r="E1296" s="2841">
        <f t="shared" si="105"/>
        <v>7014</v>
      </c>
      <c r="F1296" s="2841">
        <f t="shared" si="106"/>
        <v>9497</v>
      </c>
      <c r="G1296" s="2841">
        <f t="shared" si="107"/>
        <v>8106</v>
      </c>
    </row>
    <row r="1297" spans="1:7" ht="15.75">
      <c r="A1297" s="3022">
        <f t="shared" si="108"/>
        <v>61675</v>
      </c>
      <c r="B1297" s="2840">
        <v>61650</v>
      </c>
      <c r="C1297" s="2840">
        <v>61700</v>
      </c>
      <c r="D1297" s="2841">
        <f t="shared" si="104"/>
        <v>9508</v>
      </c>
      <c r="E1297" s="2841">
        <f t="shared" si="105"/>
        <v>7020</v>
      </c>
      <c r="F1297" s="2841">
        <f t="shared" si="106"/>
        <v>9508</v>
      </c>
      <c r="G1297" s="2841">
        <f t="shared" si="107"/>
        <v>8117</v>
      </c>
    </row>
    <row r="1298" spans="1:7" ht="15.75">
      <c r="A1298" s="3022">
        <f t="shared" si="108"/>
        <v>61725</v>
      </c>
      <c r="B1298" s="2840">
        <v>61700</v>
      </c>
      <c r="C1298" s="2840">
        <v>61750</v>
      </c>
      <c r="D1298" s="2841">
        <f t="shared" si="104"/>
        <v>9519</v>
      </c>
      <c r="E1298" s="2841">
        <f t="shared" si="105"/>
        <v>7026</v>
      </c>
      <c r="F1298" s="2841">
        <f t="shared" si="106"/>
        <v>9519</v>
      </c>
      <c r="G1298" s="2841">
        <f t="shared" si="107"/>
        <v>8128</v>
      </c>
    </row>
    <row r="1299" spans="1:7" ht="15.75">
      <c r="A1299" s="3022">
        <f t="shared" si="108"/>
        <v>61775</v>
      </c>
      <c r="B1299" s="2840">
        <v>61750</v>
      </c>
      <c r="C1299" s="2840">
        <v>61800</v>
      </c>
      <c r="D1299" s="2841">
        <f t="shared" si="104"/>
        <v>9530</v>
      </c>
      <c r="E1299" s="2841">
        <f t="shared" si="105"/>
        <v>7032</v>
      </c>
      <c r="F1299" s="2841">
        <f t="shared" si="106"/>
        <v>9530</v>
      </c>
      <c r="G1299" s="2841">
        <f t="shared" si="107"/>
        <v>8139</v>
      </c>
    </row>
    <row r="1300" spans="1:7" ht="15.75">
      <c r="A1300" s="3022">
        <f t="shared" si="108"/>
        <v>61825</v>
      </c>
      <c r="B1300" s="2840">
        <v>61800</v>
      </c>
      <c r="C1300" s="2840">
        <v>61850</v>
      </c>
      <c r="D1300" s="2841">
        <f t="shared" si="104"/>
        <v>9541</v>
      </c>
      <c r="E1300" s="2841">
        <f t="shared" si="105"/>
        <v>7038</v>
      </c>
      <c r="F1300" s="2841">
        <f t="shared" si="106"/>
        <v>9541</v>
      </c>
      <c r="G1300" s="2841">
        <f t="shared" si="107"/>
        <v>8150</v>
      </c>
    </row>
    <row r="1301" spans="1:7" ht="15.75">
      <c r="A1301" s="3022">
        <f t="shared" si="108"/>
        <v>61875</v>
      </c>
      <c r="B1301" s="2840">
        <v>61850</v>
      </c>
      <c r="C1301" s="2840">
        <v>61900</v>
      </c>
      <c r="D1301" s="2841">
        <f t="shared" si="104"/>
        <v>9552</v>
      </c>
      <c r="E1301" s="2841">
        <f t="shared" si="105"/>
        <v>7044</v>
      </c>
      <c r="F1301" s="2841">
        <f t="shared" si="106"/>
        <v>9552</v>
      </c>
      <c r="G1301" s="2841">
        <f t="shared" si="107"/>
        <v>8161</v>
      </c>
    </row>
    <row r="1302" spans="1:7" ht="15.75">
      <c r="A1302" s="3022">
        <f t="shared" si="108"/>
        <v>61925</v>
      </c>
      <c r="B1302" s="2840">
        <v>61900</v>
      </c>
      <c r="C1302" s="2840">
        <v>61950</v>
      </c>
      <c r="D1302" s="2841">
        <f t="shared" si="104"/>
        <v>9563</v>
      </c>
      <c r="E1302" s="2841">
        <f t="shared" si="105"/>
        <v>7050</v>
      </c>
      <c r="F1302" s="2841">
        <f t="shared" si="106"/>
        <v>9563</v>
      </c>
      <c r="G1302" s="2841">
        <f t="shared" si="107"/>
        <v>8172</v>
      </c>
    </row>
    <row r="1303" spans="1:7" ht="15.75">
      <c r="A1303" s="3022">
        <f t="shared" si="108"/>
        <v>61975</v>
      </c>
      <c r="B1303" s="2840">
        <v>61950</v>
      </c>
      <c r="C1303" s="2840">
        <v>62000</v>
      </c>
      <c r="D1303" s="2841">
        <f t="shared" si="104"/>
        <v>9574</v>
      </c>
      <c r="E1303" s="2841">
        <f t="shared" si="105"/>
        <v>7056</v>
      </c>
      <c r="F1303" s="2841">
        <f t="shared" si="106"/>
        <v>9574</v>
      </c>
      <c r="G1303" s="2841">
        <f t="shared" si="107"/>
        <v>8183</v>
      </c>
    </row>
    <row r="1304" spans="1:7" ht="15.75">
      <c r="A1304" s="3022">
        <f t="shared" si="108"/>
        <v>62025</v>
      </c>
      <c r="B1304" s="2840">
        <v>62000</v>
      </c>
      <c r="C1304" s="2840">
        <v>62050</v>
      </c>
      <c r="D1304" s="2841">
        <f t="shared" si="104"/>
        <v>9585</v>
      </c>
      <c r="E1304" s="2841">
        <f t="shared" si="105"/>
        <v>7062</v>
      </c>
      <c r="F1304" s="2841">
        <f t="shared" si="106"/>
        <v>9585</v>
      </c>
      <c r="G1304" s="2841">
        <f t="shared" si="107"/>
        <v>8194</v>
      </c>
    </row>
    <row r="1305" spans="1:7" ht="15.75">
      <c r="A1305" s="3022">
        <f t="shared" si="108"/>
        <v>62075</v>
      </c>
      <c r="B1305" s="2840">
        <v>62050</v>
      </c>
      <c r="C1305" s="2840">
        <v>62100</v>
      </c>
      <c r="D1305" s="2841">
        <f t="shared" si="104"/>
        <v>9596</v>
      </c>
      <c r="E1305" s="2841">
        <f t="shared" si="105"/>
        <v>7068</v>
      </c>
      <c r="F1305" s="2841">
        <f t="shared" si="106"/>
        <v>9596</v>
      </c>
      <c r="G1305" s="2841">
        <f t="shared" si="107"/>
        <v>8205</v>
      </c>
    </row>
    <row r="1306" spans="1:7" ht="15.75">
      <c r="A1306" s="3022">
        <f t="shared" si="108"/>
        <v>62125</v>
      </c>
      <c r="B1306" s="2840">
        <v>62100</v>
      </c>
      <c r="C1306" s="2840">
        <v>62150</v>
      </c>
      <c r="D1306" s="2841">
        <f t="shared" si="104"/>
        <v>9607</v>
      </c>
      <c r="E1306" s="2841">
        <f t="shared" si="105"/>
        <v>7074</v>
      </c>
      <c r="F1306" s="2841">
        <f t="shared" si="106"/>
        <v>9607</v>
      </c>
      <c r="G1306" s="2841">
        <f t="shared" si="107"/>
        <v>8216</v>
      </c>
    </row>
    <row r="1307" spans="1:7" ht="15.75">
      <c r="A1307" s="3022">
        <f t="shared" si="108"/>
        <v>62175</v>
      </c>
      <c r="B1307" s="2840">
        <v>62150</v>
      </c>
      <c r="C1307" s="2840">
        <v>62200</v>
      </c>
      <c r="D1307" s="2841">
        <f t="shared" si="104"/>
        <v>9618</v>
      </c>
      <c r="E1307" s="2841">
        <f t="shared" si="105"/>
        <v>7080</v>
      </c>
      <c r="F1307" s="2841">
        <f t="shared" si="106"/>
        <v>9618</v>
      </c>
      <c r="G1307" s="2841">
        <f t="shared" si="107"/>
        <v>8227</v>
      </c>
    </row>
    <row r="1308" spans="1:7" ht="15.75">
      <c r="A1308" s="3022">
        <f t="shared" si="108"/>
        <v>62225</v>
      </c>
      <c r="B1308" s="2840">
        <v>62200</v>
      </c>
      <c r="C1308" s="2840">
        <v>62250</v>
      </c>
      <c r="D1308" s="2841">
        <f t="shared" si="104"/>
        <v>9629</v>
      </c>
      <c r="E1308" s="2841">
        <f t="shared" si="105"/>
        <v>7086</v>
      </c>
      <c r="F1308" s="2841">
        <f t="shared" si="106"/>
        <v>9629</v>
      </c>
      <c r="G1308" s="2841">
        <f t="shared" si="107"/>
        <v>8238</v>
      </c>
    </row>
    <row r="1309" spans="1:7" ht="15.75">
      <c r="A1309" s="3022">
        <f t="shared" si="108"/>
        <v>62275</v>
      </c>
      <c r="B1309" s="2840">
        <v>62250</v>
      </c>
      <c r="C1309" s="2840">
        <v>62300</v>
      </c>
      <c r="D1309" s="2841">
        <f t="shared" si="104"/>
        <v>9640</v>
      </c>
      <c r="E1309" s="2841">
        <f t="shared" si="105"/>
        <v>7092</v>
      </c>
      <c r="F1309" s="2841">
        <f t="shared" si="106"/>
        <v>9640</v>
      </c>
      <c r="G1309" s="2841">
        <f t="shared" si="107"/>
        <v>8249</v>
      </c>
    </row>
    <row r="1310" spans="1:7" ht="15.75">
      <c r="A1310" s="3022">
        <f t="shared" si="108"/>
        <v>62325</v>
      </c>
      <c r="B1310" s="2840">
        <v>62300</v>
      </c>
      <c r="C1310" s="2840">
        <v>62350</v>
      </c>
      <c r="D1310" s="2841">
        <f t="shared" si="104"/>
        <v>9651</v>
      </c>
      <c r="E1310" s="2841">
        <f t="shared" si="105"/>
        <v>7098</v>
      </c>
      <c r="F1310" s="2841">
        <f t="shared" si="106"/>
        <v>9651</v>
      </c>
      <c r="G1310" s="2841">
        <f t="shared" si="107"/>
        <v>8260</v>
      </c>
    </row>
    <row r="1311" spans="1:7" ht="15.75">
      <c r="A1311" s="3022">
        <f t="shared" si="108"/>
        <v>62375</v>
      </c>
      <c r="B1311" s="2840">
        <v>62350</v>
      </c>
      <c r="C1311" s="2840">
        <v>62400</v>
      </c>
      <c r="D1311" s="2841">
        <f t="shared" si="104"/>
        <v>9662</v>
      </c>
      <c r="E1311" s="2841">
        <f t="shared" si="105"/>
        <v>7104</v>
      </c>
      <c r="F1311" s="2841">
        <f t="shared" si="106"/>
        <v>9662</v>
      </c>
      <c r="G1311" s="2841">
        <f t="shared" si="107"/>
        <v>8271</v>
      </c>
    </row>
    <row r="1312" spans="1:7" ht="15.75">
      <c r="A1312" s="3022">
        <f t="shared" si="108"/>
        <v>62425</v>
      </c>
      <c r="B1312" s="2840">
        <v>62400</v>
      </c>
      <c r="C1312" s="2840">
        <v>62450</v>
      </c>
      <c r="D1312" s="2841">
        <f t="shared" si="104"/>
        <v>9673</v>
      </c>
      <c r="E1312" s="2841">
        <f t="shared" si="105"/>
        <v>7110</v>
      </c>
      <c r="F1312" s="2841">
        <f t="shared" si="106"/>
        <v>9673</v>
      </c>
      <c r="G1312" s="2841">
        <f t="shared" si="107"/>
        <v>8282</v>
      </c>
    </row>
    <row r="1313" spans="1:7" ht="15.75">
      <c r="A1313" s="3022">
        <f t="shared" si="108"/>
        <v>62475</v>
      </c>
      <c r="B1313" s="2840">
        <v>62450</v>
      </c>
      <c r="C1313" s="2840">
        <v>62500</v>
      </c>
      <c r="D1313" s="2841">
        <f t="shared" si="104"/>
        <v>9684</v>
      </c>
      <c r="E1313" s="2841">
        <f t="shared" si="105"/>
        <v>7116</v>
      </c>
      <c r="F1313" s="2841">
        <f t="shared" si="106"/>
        <v>9684</v>
      </c>
      <c r="G1313" s="2841">
        <f t="shared" si="107"/>
        <v>8293</v>
      </c>
    </row>
    <row r="1314" spans="1:7" ht="15.75">
      <c r="A1314" s="3022">
        <f t="shared" si="108"/>
        <v>62525</v>
      </c>
      <c r="B1314" s="2840">
        <v>62500</v>
      </c>
      <c r="C1314" s="2840">
        <v>62550</v>
      </c>
      <c r="D1314" s="2841">
        <f t="shared" si="104"/>
        <v>9695</v>
      </c>
      <c r="E1314" s="2841">
        <f t="shared" si="105"/>
        <v>7122</v>
      </c>
      <c r="F1314" s="2841">
        <f t="shared" si="106"/>
        <v>9695</v>
      </c>
      <c r="G1314" s="2841">
        <f t="shared" si="107"/>
        <v>8304</v>
      </c>
    </row>
    <row r="1315" spans="1:7" ht="15.75">
      <c r="A1315" s="3022">
        <f t="shared" si="108"/>
        <v>62575</v>
      </c>
      <c r="B1315" s="2840">
        <v>62550</v>
      </c>
      <c r="C1315" s="2840">
        <v>62600</v>
      </c>
      <c r="D1315" s="2841">
        <f t="shared" si="104"/>
        <v>9706</v>
      </c>
      <c r="E1315" s="2841">
        <f t="shared" si="105"/>
        <v>7128</v>
      </c>
      <c r="F1315" s="2841">
        <f t="shared" si="106"/>
        <v>9706</v>
      </c>
      <c r="G1315" s="2841">
        <f t="shared" si="107"/>
        <v>8315</v>
      </c>
    </row>
    <row r="1316" spans="1:7" ht="15.75">
      <c r="A1316" s="3022">
        <f t="shared" si="108"/>
        <v>62625</v>
      </c>
      <c r="B1316" s="2840">
        <v>62600</v>
      </c>
      <c r="C1316" s="2840">
        <v>62650</v>
      </c>
      <c r="D1316" s="2841">
        <f t="shared" si="104"/>
        <v>9717</v>
      </c>
      <c r="E1316" s="2841">
        <f t="shared" si="105"/>
        <v>7134</v>
      </c>
      <c r="F1316" s="2841">
        <f t="shared" si="106"/>
        <v>9717</v>
      </c>
      <c r="G1316" s="2841">
        <f t="shared" si="107"/>
        <v>8326</v>
      </c>
    </row>
    <row r="1317" spans="1:7" ht="15.75">
      <c r="A1317" s="3022">
        <f t="shared" si="108"/>
        <v>62675</v>
      </c>
      <c r="B1317" s="2840">
        <v>62650</v>
      </c>
      <c r="C1317" s="2840">
        <v>62700</v>
      </c>
      <c r="D1317" s="2841">
        <f t="shared" si="104"/>
        <v>9728</v>
      </c>
      <c r="E1317" s="2841">
        <f t="shared" si="105"/>
        <v>7140</v>
      </c>
      <c r="F1317" s="2841">
        <f t="shared" si="106"/>
        <v>9728</v>
      </c>
      <c r="G1317" s="2841">
        <f t="shared" si="107"/>
        <v>8337</v>
      </c>
    </row>
    <row r="1318" spans="1:7" ht="15.75">
      <c r="A1318" s="3022">
        <f t="shared" si="108"/>
        <v>62725</v>
      </c>
      <c r="B1318" s="2840">
        <v>62700</v>
      </c>
      <c r="C1318" s="2840">
        <v>62750</v>
      </c>
      <c r="D1318" s="2841">
        <f t="shared" si="104"/>
        <v>9739</v>
      </c>
      <c r="E1318" s="2841">
        <f t="shared" si="105"/>
        <v>7146</v>
      </c>
      <c r="F1318" s="2841">
        <f t="shared" si="106"/>
        <v>9739</v>
      </c>
      <c r="G1318" s="2841">
        <f t="shared" si="107"/>
        <v>8348</v>
      </c>
    </row>
    <row r="1319" spans="1:7" ht="15.75">
      <c r="A1319" s="3022">
        <f t="shared" si="108"/>
        <v>62775</v>
      </c>
      <c r="B1319" s="2840">
        <v>62750</v>
      </c>
      <c r="C1319" s="2840">
        <v>62800</v>
      </c>
      <c r="D1319" s="2841">
        <f t="shared" si="104"/>
        <v>9750</v>
      </c>
      <c r="E1319" s="2841">
        <f t="shared" si="105"/>
        <v>7152</v>
      </c>
      <c r="F1319" s="2841">
        <f t="shared" si="106"/>
        <v>9750</v>
      </c>
      <c r="G1319" s="2841">
        <f t="shared" si="107"/>
        <v>8359</v>
      </c>
    </row>
    <row r="1320" spans="1:7" ht="15.75">
      <c r="A1320" s="3022">
        <f t="shared" si="108"/>
        <v>62825</v>
      </c>
      <c r="B1320" s="2840">
        <v>62800</v>
      </c>
      <c r="C1320" s="2840">
        <v>62850</v>
      </c>
      <c r="D1320" s="2841">
        <f t="shared" si="104"/>
        <v>9761</v>
      </c>
      <c r="E1320" s="2841">
        <f t="shared" si="105"/>
        <v>7158</v>
      </c>
      <c r="F1320" s="2841">
        <f t="shared" si="106"/>
        <v>9761</v>
      </c>
      <c r="G1320" s="2841">
        <f t="shared" si="107"/>
        <v>8370</v>
      </c>
    </row>
    <row r="1321" spans="1:7" ht="15.75">
      <c r="A1321" s="3022">
        <f t="shared" si="108"/>
        <v>62875</v>
      </c>
      <c r="B1321" s="2840">
        <v>62850</v>
      </c>
      <c r="C1321" s="2840">
        <v>62900</v>
      </c>
      <c r="D1321" s="2841">
        <f t="shared" si="104"/>
        <v>9772</v>
      </c>
      <c r="E1321" s="2841">
        <f t="shared" si="105"/>
        <v>7164</v>
      </c>
      <c r="F1321" s="2841">
        <f t="shared" si="106"/>
        <v>9772</v>
      </c>
      <c r="G1321" s="2841">
        <f t="shared" si="107"/>
        <v>8381</v>
      </c>
    </row>
    <row r="1322" spans="1:7" ht="15.75">
      <c r="A1322" s="3022">
        <f t="shared" si="108"/>
        <v>62925</v>
      </c>
      <c r="B1322" s="2840">
        <v>62900</v>
      </c>
      <c r="C1322" s="2840">
        <v>62950</v>
      </c>
      <c r="D1322" s="2841">
        <f t="shared" si="104"/>
        <v>9783</v>
      </c>
      <c r="E1322" s="2841">
        <f t="shared" si="105"/>
        <v>7170</v>
      </c>
      <c r="F1322" s="2841">
        <f t="shared" si="106"/>
        <v>9783</v>
      </c>
      <c r="G1322" s="2841">
        <f t="shared" si="107"/>
        <v>8392</v>
      </c>
    </row>
    <row r="1323" spans="1:7" ht="15.75">
      <c r="A1323" s="3022">
        <f t="shared" si="108"/>
        <v>62975</v>
      </c>
      <c r="B1323" s="2840">
        <v>62950</v>
      </c>
      <c r="C1323" s="2840">
        <v>63000</v>
      </c>
      <c r="D1323" s="2841">
        <f t="shared" si="104"/>
        <v>9794</v>
      </c>
      <c r="E1323" s="2841">
        <f t="shared" si="105"/>
        <v>7176</v>
      </c>
      <c r="F1323" s="2841">
        <f t="shared" si="106"/>
        <v>9794</v>
      </c>
      <c r="G1323" s="2841">
        <f t="shared" si="107"/>
        <v>8403</v>
      </c>
    </row>
    <row r="1324" spans="1:7" ht="15.75">
      <c r="A1324" s="3022">
        <f t="shared" si="108"/>
        <v>63025</v>
      </c>
      <c r="B1324" s="2840">
        <v>63000</v>
      </c>
      <c r="C1324" s="2840">
        <v>63050</v>
      </c>
      <c r="D1324" s="2841">
        <f t="shared" si="104"/>
        <v>9805</v>
      </c>
      <c r="E1324" s="2841">
        <f t="shared" si="105"/>
        <v>7182</v>
      </c>
      <c r="F1324" s="2841">
        <f t="shared" si="106"/>
        <v>9805</v>
      </c>
      <c r="G1324" s="2841">
        <f t="shared" si="107"/>
        <v>8414</v>
      </c>
    </row>
    <row r="1325" spans="1:7" ht="15.75">
      <c r="A1325" s="3022">
        <f t="shared" si="108"/>
        <v>63075</v>
      </c>
      <c r="B1325" s="2840">
        <v>63050</v>
      </c>
      <c r="C1325" s="2840">
        <v>63100</v>
      </c>
      <c r="D1325" s="2841">
        <f t="shared" si="104"/>
        <v>9816</v>
      </c>
      <c r="E1325" s="2841">
        <f t="shared" si="105"/>
        <v>7188</v>
      </c>
      <c r="F1325" s="2841">
        <f t="shared" si="106"/>
        <v>9816</v>
      </c>
      <c r="G1325" s="2841">
        <f t="shared" si="107"/>
        <v>8425</v>
      </c>
    </row>
    <row r="1326" spans="1:7" ht="15.75">
      <c r="A1326" s="3022">
        <f t="shared" si="108"/>
        <v>63125</v>
      </c>
      <c r="B1326" s="2840">
        <v>63100</v>
      </c>
      <c r="C1326" s="2840">
        <v>63150</v>
      </c>
      <c r="D1326" s="2841">
        <f t="shared" si="104"/>
        <v>9827</v>
      </c>
      <c r="E1326" s="2841">
        <f t="shared" si="105"/>
        <v>7194</v>
      </c>
      <c r="F1326" s="2841">
        <f t="shared" si="106"/>
        <v>9827</v>
      </c>
      <c r="G1326" s="2841">
        <f t="shared" si="107"/>
        <v>8436</v>
      </c>
    </row>
    <row r="1327" spans="1:7" ht="15.75">
      <c r="A1327" s="3022">
        <f t="shared" si="108"/>
        <v>63175</v>
      </c>
      <c r="B1327" s="2840">
        <v>63150</v>
      </c>
      <c r="C1327" s="2840">
        <v>63200</v>
      </c>
      <c r="D1327" s="2841">
        <f t="shared" si="104"/>
        <v>9838</v>
      </c>
      <c r="E1327" s="2841">
        <f t="shared" si="105"/>
        <v>7200</v>
      </c>
      <c r="F1327" s="2841">
        <f t="shared" si="106"/>
        <v>9838</v>
      </c>
      <c r="G1327" s="2841">
        <f t="shared" si="107"/>
        <v>8447</v>
      </c>
    </row>
    <row r="1328" spans="1:7" ht="15.75">
      <c r="A1328" s="3022">
        <f t="shared" si="108"/>
        <v>63225</v>
      </c>
      <c r="B1328" s="2840">
        <v>63200</v>
      </c>
      <c r="C1328" s="2840">
        <v>63250</v>
      </c>
      <c r="D1328" s="2841">
        <f t="shared" si="104"/>
        <v>9849</v>
      </c>
      <c r="E1328" s="2841">
        <f t="shared" si="105"/>
        <v>7206</v>
      </c>
      <c r="F1328" s="2841">
        <f t="shared" si="106"/>
        <v>9849</v>
      </c>
      <c r="G1328" s="2841">
        <f t="shared" si="107"/>
        <v>8458</v>
      </c>
    </row>
    <row r="1329" spans="1:7" ht="15.75">
      <c r="A1329" s="3022">
        <f t="shared" si="108"/>
        <v>63275</v>
      </c>
      <c r="B1329" s="2840">
        <v>63250</v>
      </c>
      <c r="C1329" s="2840">
        <v>63300</v>
      </c>
      <c r="D1329" s="2841">
        <f t="shared" si="104"/>
        <v>9860</v>
      </c>
      <c r="E1329" s="2841">
        <f t="shared" si="105"/>
        <v>7212</v>
      </c>
      <c r="F1329" s="2841">
        <f t="shared" si="106"/>
        <v>9860</v>
      </c>
      <c r="G1329" s="2841">
        <f t="shared" si="107"/>
        <v>8469</v>
      </c>
    </row>
    <row r="1330" spans="1:7" ht="15.75">
      <c r="A1330" s="3022">
        <f t="shared" si="108"/>
        <v>63325</v>
      </c>
      <c r="B1330" s="2840">
        <v>63300</v>
      </c>
      <c r="C1330" s="2840">
        <v>63350</v>
      </c>
      <c r="D1330" s="2841">
        <f t="shared" si="104"/>
        <v>9871</v>
      </c>
      <c r="E1330" s="2841">
        <f t="shared" si="105"/>
        <v>7218</v>
      </c>
      <c r="F1330" s="2841">
        <f t="shared" si="106"/>
        <v>9871</v>
      </c>
      <c r="G1330" s="2841">
        <f t="shared" si="107"/>
        <v>8480</v>
      </c>
    </row>
    <row r="1331" spans="1:7" ht="15.75">
      <c r="A1331" s="3022">
        <f t="shared" si="108"/>
        <v>63375</v>
      </c>
      <c r="B1331" s="2840">
        <v>63350</v>
      </c>
      <c r="C1331" s="2840">
        <v>63400</v>
      </c>
      <c r="D1331" s="2841">
        <f t="shared" si="104"/>
        <v>9882</v>
      </c>
      <c r="E1331" s="2841">
        <f t="shared" si="105"/>
        <v>7224</v>
      </c>
      <c r="F1331" s="2841">
        <f t="shared" si="106"/>
        <v>9882</v>
      </c>
      <c r="G1331" s="2841">
        <f t="shared" si="107"/>
        <v>8491</v>
      </c>
    </row>
    <row r="1332" spans="1:7" ht="15.75">
      <c r="A1332" s="3022">
        <f t="shared" si="108"/>
        <v>63425</v>
      </c>
      <c r="B1332" s="2840">
        <v>63400</v>
      </c>
      <c r="C1332" s="2840">
        <v>63450</v>
      </c>
      <c r="D1332" s="2841">
        <f t="shared" si="104"/>
        <v>9893</v>
      </c>
      <c r="E1332" s="2841">
        <f t="shared" si="105"/>
        <v>7230</v>
      </c>
      <c r="F1332" s="2841">
        <f t="shared" si="106"/>
        <v>9893</v>
      </c>
      <c r="G1332" s="2841">
        <f t="shared" si="107"/>
        <v>8502</v>
      </c>
    </row>
    <row r="1333" spans="1:7" ht="15.75">
      <c r="A1333" s="3022">
        <f t="shared" si="108"/>
        <v>63475</v>
      </c>
      <c r="B1333" s="2840">
        <v>63450</v>
      </c>
      <c r="C1333" s="2840">
        <v>63500</v>
      </c>
      <c r="D1333" s="2841">
        <f t="shared" si="104"/>
        <v>9904</v>
      </c>
      <c r="E1333" s="2841">
        <f t="shared" si="105"/>
        <v>7236</v>
      </c>
      <c r="F1333" s="2841">
        <f t="shared" si="106"/>
        <v>9904</v>
      </c>
      <c r="G1333" s="2841">
        <f t="shared" si="107"/>
        <v>8513</v>
      </c>
    </row>
    <row r="1334" spans="1:7" ht="15.75">
      <c r="A1334" s="3022">
        <f t="shared" si="108"/>
        <v>63525</v>
      </c>
      <c r="B1334" s="2840">
        <v>63500</v>
      </c>
      <c r="C1334" s="2840">
        <v>63550</v>
      </c>
      <c r="D1334" s="2841">
        <f t="shared" si="104"/>
        <v>9915</v>
      </c>
      <c r="E1334" s="2841">
        <f t="shared" si="105"/>
        <v>7242</v>
      </c>
      <c r="F1334" s="2841">
        <f t="shared" si="106"/>
        <v>9915</v>
      </c>
      <c r="G1334" s="2841">
        <f t="shared" si="107"/>
        <v>8524</v>
      </c>
    </row>
    <row r="1335" spans="1:7" ht="15.75">
      <c r="A1335" s="3022">
        <f t="shared" si="108"/>
        <v>63575</v>
      </c>
      <c r="B1335" s="2840">
        <v>63550</v>
      </c>
      <c r="C1335" s="2840">
        <v>63600</v>
      </c>
      <c r="D1335" s="2841">
        <f t="shared" si="104"/>
        <v>9926</v>
      </c>
      <c r="E1335" s="2841">
        <f t="shared" si="105"/>
        <v>7248</v>
      </c>
      <c r="F1335" s="2841">
        <f t="shared" si="106"/>
        <v>9926</v>
      </c>
      <c r="G1335" s="2841">
        <f t="shared" si="107"/>
        <v>8535</v>
      </c>
    </row>
    <row r="1336" spans="1:7" ht="15.75">
      <c r="A1336" s="3022">
        <f t="shared" si="108"/>
        <v>63625</v>
      </c>
      <c r="B1336" s="2840">
        <v>63600</v>
      </c>
      <c r="C1336" s="2840">
        <v>63650</v>
      </c>
      <c r="D1336" s="2841">
        <f t="shared" si="104"/>
        <v>9937</v>
      </c>
      <c r="E1336" s="2841">
        <f t="shared" si="105"/>
        <v>7254</v>
      </c>
      <c r="F1336" s="2841">
        <f t="shared" si="106"/>
        <v>9937</v>
      </c>
      <c r="G1336" s="2841">
        <f t="shared" si="107"/>
        <v>8546</v>
      </c>
    </row>
    <row r="1337" spans="1:7" ht="15.75">
      <c r="A1337" s="3022">
        <f t="shared" si="108"/>
        <v>63675</v>
      </c>
      <c r="B1337" s="2840">
        <v>63650</v>
      </c>
      <c r="C1337" s="2840">
        <v>63700</v>
      </c>
      <c r="D1337" s="2841">
        <f t="shared" si="104"/>
        <v>9948</v>
      </c>
      <c r="E1337" s="2841">
        <f t="shared" si="105"/>
        <v>7260</v>
      </c>
      <c r="F1337" s="2841">
        <f t="shared" si="106"/>
        <v>9948</v>
      </c>
      <c r="G1337" s="2841">
        <f t="shared" si="107"/>
        <v>8557</v>
      </c>
    </row>
    <row r="1338" spans="1:7" ht="15.75">
      <c r="A1338" s="3022">
        <f t="shared" si="108"/>
        <v>63725</v>
      </c>
      <c r="B1338" s="2840">
        <v>63700</v>
      </c>
      <c r="C1338" s="2840">
        <v>63750</v>
      </c>
      <c r="D1338" s="2841">
        <f t="shared" si="104"/>
        <v>9959</v>
      </c>
      <c r="E1338" s="2841">
        <f t="shared" si="105"/>
        <v>7266</v>
      </c>
      <c r="F1338" s="2841">
        <f t="shared" si="106"/>
        <v>9959</v>
      </c>
      <c r="G1338" s="2841">
        <f t="shared" si="107"/>
        <v>8568</v>
      </c>
    </row>
    <row r="1339" spans="1:7" ht="15.75">
      <c r="A1339" s="3022">
        <f t="shared" si="108"/>
        <v>63775</v>
      </c>
      <c r="B1339" s="2840">
        <v>63750</v>
      </c>
      <c r="C1339" s="2840">
        <v>63800</v>
      </c>
      <c r="D1339" s="2841">
        <f t="shared" si="104"/>
        <v>9970</v>
      </c>
      <c r="E1339" s="2841">
        <f t="shared" si="105"/>
        <v>7272</v>
      </c>
      <c r="F1339" s="2841">
        <f t="shared" si="106"/>
        <v>9970</v>
      </c>
      <c r="G1339" s="2841">
        <f t="shared" si="107"/>
        <v>8579</v>
      </c>
    </row>
    <row r="1340" spans="1:7" ht="15.75">
      <c r="A1340" s="3022">
        <f t="shared" si="108"/>
        <v>63825</v>
      </c>
      <c r="B1340" s="2840">
        <v>63800</v>
      </c>
      <c r="C1340" s="2840">
        <v>63850</v>
      </c>
      <c r="D1340" s="2841">
        <f t="shared" si="104"/>
        <v>9981</v>
      </c>
      <c r="E1340" s="2841">
        <f t="shared" si="105"/>
        <v>7278</v>
      </c>
      <c r="F1340" s="2841">
        <f t="shared" si="106"/>
        <v>9981</v>
      </c>
      <c r="G1340" s="2841">
        <f t="shared" si="107"/>
        <v>8590</v>
      </c>
    </row>
    <row r="1341" spans="1:7" ht="15.75">
      <c r="A1341" s="3022">
        <f t="shared" si="108"/>
        <v>63875</v>
      </c>
      <c r="B1341" s="2840">
        <v>63850</v>
      </c>
      <c r="C1341" s="2840">
        <v>63900</v>
      </c>
      <c r="D1341" s="2841">
        <f t="shared" si="104"/>
        <v>9992</v>
      </c>
      <c r="E1341" s="2841">
        <f t="shared" si="105"/>
        <v>7284</v>
      </c>
      <c r="F1341" s="2841">
        <f t="shared" si="106"/>
        <v>9992</v>
      </c>
      <c r="G1341" s="2841">
        <f t="shared" si="107"/>
        <v>8601</v>
      </c>
    </row>
    <row r="1342" spans="1:7" ht="15.75">
      <c r="A1342" s="3022">
        <f t="shared" si="108"/>
        <v>63925</v>
      </c>
      <c r="B1342" s="2840">
        <v>63900</v>
      </c>
      <c r="C1342" s="2840">
        <v>63950</v>
      </c>
      <c r="D1342" s="2841">
        <f t="shared" si="104"/>
        <v>10003</v>
      </c>
      <c r="E1342" s="2841">
        <f t="shared" si="105"/>
        <v>7290</v>
      </c>
      <c r="F1342" s="2841">
        <f t="shared" si="106"/>
        <v>10003</v>
      </c>
      <c r="G1342" s="2841">
        <f t="shared" si="107"/>
        <v>8612</v>
      </c>
    </row>
    <row r="1343" spans="1:7" ht="15.75">
      <c r="A1343" s="3022">
        <f t="shared" si="108"/>
        <v>63975</v>
      </c>
      <c r="B1343" s="2840">
        <v>63950</v>
      </c>
      <c r="C1343" s="2840">
        <v>64000</v>
      </c>
      <c r="D1343" s="2841">
        <f t="shared" si="104"/>
        <v>10014</v>
      </c>
      <c r="E1343" s="2841">
        <f t="shared" si="105"/>
        <v>7296</v>
      </c>
      <c r="F1343" s="2841">
        <f t="shared" si="106"/>
        <v>10014</v>
      </c>
      <c r="G1343" s="2841">
        <f t="shared" si="107"/>
        <v>8623</v>
      </c>
    </row>
    <row r="1344" spans="1:7" ht="15.75">
      <c r="A1344" s="3022">
        <f t="shared" si="108"/>
        <v>64025</v>
      </c>
      <c r="B1344" s="2840">
        <v>64000</v>
      </c>
      <c r="C1344" s="2840">
        <v>64050</v>
      </c>
      <c r="D1344" s="2841">
        <f t="shared" si="104"/>
        <v>10025</v>
      </c>
      <c r="E1344" s="2841">
        <f t="shared" si="105"/>
        <v>7302</v>
      </c>
      <c r="F1344" s="2841">
        <f t="shared" si="106"/>
        <v>10025</v>
      </c>
      <c r="G1344" s="2841">
        <f t="shared" si="107"/>
        <v>8634</v>
      </c>
    </row>
    <row r="1345" spans="1:7" ht="15.75">
      <c r="A1345" s="3022">
        <f t="shared" si="108"/>
        <v>64075</v>
      </c>
      <c r="B1345" s="2840">
        <v>64050</v>
      </c>
      <c r="C1345" s="2840">
        <v>64100</v>
      </c>
      <c r="D1345" s="2841">
        <f t="shared" si="104"/>
        <v>10036</v>
      </c>
      <c r="E1345" s="2841">
        <f t="shared" si="105"/>
        <v>7308</v>
      </c>
      <c r="F1345" s="2841">
        <f t="shared" si="106"/>
        <v>10036</v>
      </c>
      <c r="G1345" s="2841">
        <f t="shared" si="107"/>
        <v>8645</v>
      </c>
    </row>
    <row r="1346" spans="1:7" ht="15.75">
      <c r="A1346" s="3022">
        <f t="shared" si="108"/>
        <v>64125</v>
      </c>
      <c r="B1346" s="2840">
        <v>64100</v>
      </c>
      <c r="C1346" s="2840">
        <v>64150</v>
      </c>
      <c r="D1346" s="2841">
        <f t="shared" ref="D1346:D1409" si="109">IF($A1346&gt;BOTT_A4,ROUND(BASE_A4+RATE_A4*($A1346-BOTT_A4),0),IF($A1346&gt;BOTT_A3,ROUND(BASE_A3+RATE_A3*($A1346-BOTT_A3),0),IF($A1346&gt;BOTT_A2,ROUND(BASE_A2+RATE_A2*($A1346-BOTT_A2),0),ROUND(RATE_A1*$A1346,0))))</f>
        <v>10047</v>
      </c>
      <c r="E1346" s="2841">
        <f t="shared" ref="E1346:E1409" si="110">IF($A1346&gt;BOTT_B4,ROUND(BASE_B4+RATE_B4*($A1346-BOTT_B4),0),IF($A1346&gt;BOTT_B3,ROUND(BASE_B3+RATE_B3*($A1346-BOTT_B3),0),IF($A1346&gt;BOTT_B2,ROUND(BASE_B2+RATE_B2*($A1346-BOTT_B2),0),ROUND(RATE_B1*$A1346,0))))</f>
        <v>7314</v>
      </c>
      <c r="F1346" s="2841">
        <f t="shared" ref="F1346:F1409" si="111">IF($A1346&gt;BOTT_C4,ROUND(BASE_C4+RATE_C4*($A1346-BOTT_C4),0),IF($A1346&gt;BOTT_C3,ROUND(BASE_C3+RATE_C3*($A1346-BOTT_C3),0),IF($A1346&gt;BOTT_C2,ROUND(BASE_C2+RATE_C2*($A1346-BOTT_C2),0),ROUND(RATE_C1*$A1346,0))))</f>
        <v>10047</v>
      </c>
      <c r="G1346" s="2841">
        <f t="shared" ref="G1346:G1409" si="112">IF($A1346&gt;BOTT_D4,ROUND(BASE_D4+RATE_D4*($A1346-BOTT_D4),0),IF($A1346&gt;BOTT_D3,ROUND(BASE_D3+RATE_D3*($A1346-BOTT_D3),0),IF($A1346&gt;BOTT_D2,ROUND(BASE_D2+RATE_D2*($A1346-BOTT_D2),0),ROUND(RATE_D1*$A1346,0))))</f>
        <v>8656</v>
      </c>
    </row>
    <row r="1347" spans="1:7" ht="15.75">
      <c r="A1347" s="3022">
        <f t="shared" ref="A1347:A1410" si="113">AVERAGE(B1347,C1347)</f>
        <v>64175</v>
      </c>
      <c r="B1347" s="2840">
        <v>64150</v>
      </c>
      <c r="C1347" s="2840">
        <v>64200</v>
      </c>
      <c r="D1347" s="2841">
        <f t="shared" si="109"/>
        <v>10058</v>
      </c>
      <c r="E1347" s="2841">
        <f t="shared" si="110"/>
        <v>7320</v>
      </c>
      <c r="F1347" s="2841">
        <f t="shared" si="111"/>
        <v>10058</v>
      </c>
      <c r="G1347" s="2841">
        <f t="shared" si="112"/>
        <v>8667</v>
      </c>
    </row>
    <row r="1348" spans="1:7" ht="15.75">
      <c r="A1348" s="3022">
        <f t="shared" si="113"/>
        <v>64225</v>
      </c>
      <c r="B1348" s="2840">
        <v>64200</v>
      </c>
      <c r="C1348" s="2840">
        <v>64250</v>
      </c>
      <c r="D1348" s="2841">
        <f t="shared" si="109"/>
        <v>10069</v>
      </c>
      <c r="E1348" s="2841">
        <f t="shared" si="110"/>
        <v>7326</v>
      </c>
      <c r="F1348" s="2841">
        <f t="shared" si="111"/>
        <v>10069</v>
      </c>
      <c r="G1348" s="2841">
        <f t="shared" si="112"/>
        <v>8678</v>
      </c>
    </row>
    <row r="1349" spans="1:7" ht="15.75">
      <c r="A1349" s="3022">
        <f t="shared" si="113"/>
        <v>64275</v>
      </c>
      <c r="B1349" s="2840">
        <v>64250</v>
      </c>
      <c r="C1349" s="2840">
        <v>64300</v>
      </c>
      <c r="D1349" s="2841">
        <f t="shared" si="109"/>
        <v>10080</v>
      </c>
      <c r="E1349" s="2841">
        <f t="shared" si="110"/>
        <v>7332</v>
      </c>
      <c r="F1349" s="2841">
        <f t="shared" si="111"/>
        <v>10080</v>
      </c>
      <c r="G1349" s="2841">
        <f t="shared" si="112"/>
        <v>8689</v>
      </c>
    </row>
    <row r="1350" spans="1:7" ht="15.75">
      <c r="A1350" s="3022">
        <f t="shared" si="113"/>
        <v>64325</v>
      </c>
      <c r="B1350" s="2840">
        <v>64300</v>
      </c>
      <c r="C1350" s="2840">
        <v>64350</v>
      </c>
      <c r="D1350" s="2841">
        <f t="shared" si="109"/>
        <v>10091</v>
      </c>
      <c r="E1350" s="2841">
        <f t="shared" si="110"/>
        <v>7338</v>
      </c>
      <c r="F1350" s="2841">
        <f t="shared" si="111"/>
        <v>10091</v>
      </c>
      <c r="G1350" s="2841">
        <f t="shared" si="112"/>
        <v>8700</v>
      </c>
    </row>
    <row r="1351" spans="1:7" ht="15.75">
      <c r="A1351" s="3022">
        <f t="shared" si="113"/>
        <v>64375</v>
      </c>
      <c r="B1351" s="2840">
        <v>64350</v>
      </c>
      <c r="C1351" s="2840">
        <v>64400</v>
      </c>
      <c r="D1351" s="2841">
        <f t="shared" si="109"/>
        <v>10102</v>
      </c>
      <c r="E1351" s="2841">
        <f t="shared" si="110"/>
        <v>7344</v>
      </c>
      <c r="F1351" s="2841">
        <f t="shared" si="111"/>
        <v>10102</v>
      </c>
      <c r="G1351" s="2841">
        <f t="shared" si="112"/>
        <v>8711</v>
      </c>
    </row>
    <row r="1352" spans="1:7" ht="15.75">
      <c r="A1352" s="3022">
        <f t="shared" si="113"/>
        <v>64425</v>
      </c>
      <c r="B1352" s="2840">
        <v>64400</v>
      </c>
      <c r="C1352" s="2840">
        <v>64450</v>
      </c>
      <c r="D1352" s="2841">
        <f t="shared" si="109"/>
        <v>10113</v>
      </c>
      <c r="E1352" s="2841">
        <f t="shared" si="110"/>
        <v>7350</v>
      </c>
      <c r="F1352" s="2841">
        <f t="shared" si="111"/>
        <v>10113</v>
      </c>
      <c r="G1352" s="2841">
        <f t="shared" si="112"/>
        <v>8722</v>
      </c>
    </row>
    <row r="1353" spans="1:7" ht="15.75">
      <c r="A1353" s="3022">
        <f t="shared" si="113"/>
        <v>64475</v>
      </c>
      <c r="B1353" s="2840">
        <v>64450</v>
      </c>
      <c r="C1353" s="2840">
        <v>64500</v>
      </c>
      <c r="D1353" s="2841">
        <f t="shared" si="109"/>
        <v>10124</v>
      </c>
      <c r="E1353" s="2841">
        <f t="shared" si="110"/>
        <v>7356</v>
      </c>
      <c r="F1353" s="2841">
        <f t="shared" si="111"/>
        <v>10124</v>
      </c>
      <c r="G1353" s="2841">
        <f t="shared" si="112"/>
        <v>8733</v>
      </c>
    </row>
    <row r="1354" spans="1:7" ht="15.75">
      <c r="A1354" s="3022">
        <f t="shared" si="113"/>
        <v>64525</v>
      </c>
      <c r="B1354" s="2840">
        <v>64500</v>
      </c>
      <c r="C1354" s="2840">
        <v>64550</v>
      </c>
      <c r="D1354" s="2841">
        <f t="shared" si="109"/>
        <v>10135</v>
      </c>
      <c r="E1354" s="2841">
        <f t="shared" si="110"/>
        <v>7362</v>
      </c>
      <c r="F1354" s="2841">
        <f t="shared" si="111"/>
        <v>10135</v>
      </c>
      <c r="G1354" s="2841">
        <f t="shared" si="112"/>
        <v>8744</v>
      </c>
    </row>
    <row r="1355" spans="1:7" ht="15.75">
      <c r="A1355" s="3022">
        <f t="shared" si="113"/>
        <v>64575</v>
      </c>
      <c r="B1355" s="2840">
        <v>64550</v>
      </c>
      <c r="C1355" s="2840">
        <v>64600</v>
      </c>
      <c r="D1355" s="2841">
        <f t="shared" si="109"/>
        <v>10146</v>
      </c>
      <c r="E1355" s="2841">
        <f t="shared" si="110"/>
        <v>7368</v>
      </c>
      <c r="F1355" s="2841">
        <f t="shared" si="111"/>
        <v>10146</v>
      </c>
      <c r="G1355" s="2841">
        <f t="shared" si="112"/>
        <v>8755</v>
      </c>
    </row>
    <row r="1356" spans="1:7" ht="15.75">
      <c r="A1356" s="3022">
        <f t="shared" si="113"/>
        <v>64625</v>
      </c>
      <c r="B1356" s="2840">
        <v>64600</v>
      </c>
      <c r="C1356" s="2840">
        <v>64650</v>
      </c>
      <c r="D1356" s="2841">
        <f t="shared" si="109"/>
        <v>10157</v>
      </c>
      <c r="E1356" s="2841">
        <f t="shared" si="110"/>
        <v>7374</v>
      </c>
      <c r="F1356" s="2841">
        <f t="shared" si="111"/>
        <v>10157</v>
      </c>
      <c r="G1356" s="2841">
        <f t="shared" si="112"/>
        <v>8766</v>
      </c>
    </row>
    <row r="1357" spans="1:7" ht="15.75">
      <c r="A1357" s="3022">
        <f t="shared" si="113"/>
        <v>64675</v>
      </c>
      <c r="B1357" s="2840">
        <v>64650</v>
      </c>
      <c r="C1357" s="2840">
        <v>64700</v>
      </c>
      <c r="D1357" s="2841">
        <f t="shared" si="109"/>
        <v>10168</v>
      </c>
      <c r="E1357" s="2841">
        <f t="shared" si="110"/>
        <v>7380</v>
      </c>
      <c r="F1357" s="2841">
        <f t="shared" si="111"/>
        <v>10168</v>
      </c>
      <c r="G1357" s="2841">
        <f t="shared" si="112"/>
        <v>8777</v>
      </c>
    </row>
    <row r="1358" spans="1:7" ht="15.75">
      <c r="A1358" s="3022">
        <f t="shared" si="113"/>
        <v>64725</v>
      </c>
      <c r="B1358" s="2840">
        <v>64700</v>
      </c>
      <c r="C1358" s="2840">
        <v>64750</v>
      </c>
      <c r="D1358" s="2841">
        <f t="shared" si="109"/>
        <v>10179</v>
      </c>
      <c r="E1358" s="2841">
        <f t="shared" si="110"/>
        <v>7386</v>
      </c>
      <c r="F1358" s="2841">
        <f t="shared" si="111"/>
        <v>10179</v>
      </c>
      <c r="G1358" s="2841">
        <f t="shared" si="112"/>
        <v>8788</v>
      </c>
    </row>
    <row r="1359" spans="1:7" ht="15.75">
      <c r="A1359" s="3022">
        <f t="shared" si="113"/>
        <v>64775</v>
      </c>
      <c r="B1359" s="2840">
        <v>64750</v>
      </c>
      <c r="C1359" s="2840">
        <v>64800</v>
      </c>
      <c r="D1359" s="2841">
        <f t="shared" si="109"/>
        <v>10190</v>
      </c>
      <c r="E1359" s="2841">
        <f t="shared" si="110"/>
        <v>7392</v>
      </c>
      <c r="F1359" s="2841">
        <f t="shared" si="111"/>
        <v>10190</v>
      </c>
      <c r="G1359" s="2841">
        <f t="shared" si="112"/>
        <v>8799</v>
      </c>
    </row>
    <row r="1360" spans="1:7" ht="15.75">
      <c r="A1360" s="3022">
        <f t="shared" si="113"/>
        <v>64825</v>
      </c>
      <c r="B1360" s="2840">
        <v>64800</v>
      </c>
      <c r="C1360" s="2840">
        <v>64850</v>
      </c>
      <c r="D1360" s="2841">
        <f t="shared" si="109"/>
        <v>10201</v>
      </c>
      <c r="E1360" s="2841">
        <f t="shared" si="110"/>
        <v>7398</v>
      </c>
      <c r="F1360" s="2841">
        <f t="shared" si="111"/>
        <v>10201</v>
      </c>
      <c r="G1360" s="2841">
        <f t="shared" si="112"/>
        <v>8810</v>
      </c>
    </row>
    <row r="1361" spans="1:7" ht="15.75">
      <c r="A1361" s="3022">
        <f t="shared" si="113"/>
        <v>64875</v>
      </c>
      <c r="B1361" s="2840">
        <v>64850</v>
      </c>
      <c r="C1361" s="2840">
        <v>64900</v>
      </c>
      <c r="D1361" s="2841">
        <f t="shared" si="109"/>
        <v>10212</v>
      </c>
      <c r="E1361" s="2841">
        <f t="shared" si="110"/>
        <v>7404</v>
      </c>
      <c r="F1361" s="2841">
        <f t="shared" si="111"/>
        <v>10212</v>
      </c>
      <c r="G1361" s="2841">
        <f t="shared" si="112"/>
        <v>8821</v>
      </c>
    </row>
    <row r="1362" spans="1:7" ht="15.75">
      <c r="A1362" s="3022">
        <f t="shared" si="113"/>
        <v>64925</v>
      </c>
      <c r="B1362" s="2840">
        <v>64900</v>
      </c>
      <c r="C1362" s="2840">
        <v>64950</v>
      </c>
      <c r="D1362" s="2841">
        <f t="shared" si="109"/>
        <v>10223</v>
      </c>
      <c r="E1362" s="2841">
        <f t="shared" si="110"/>
        <v>7410</v>
      </c>
      <c r="F1362" s="2841">
        <f t="shared" si="111"/>
        <v>10223</v>
      </c>
      <c r="G1362" s="2841">
        <f t="shared" si="112"/>
        <v>8832</v>
      </c>
    </row>
    <row r="1363" spans="1:7" ht="15.75">
      <c r="A1363" s="3022">
        <f t="shared" si="113"/>
        <v>64975</v>
      </c>
      <c r="B1363" s="2840">
        <v>64950</v>
      </c>
      <c r="C1363" s="2840">
        <v>65000</v>
      </c>
      <c r="D1363" s="2841">
        <f t="shared" si="109"/>
        <v>10234</v>
      </c>
      <c r="E1363" s="2841">
        <f t="shared" si="110"/>
        <v>7416</v>
      </c>
      <c r="F1363" s="2841">
        <f t="shared" si="111"/>
        <v>10234</v>
      </c>
      <c r="G1363" s="2841">
        <f t="shared" si="112"/>
        <v>8843</v>
      </c>
    </row>
    <row r="1364" spans="1:7" ht="15.75">
      <c r="A1364" s="3022">
        <f t="shared" si="113"/>
        <v>65025</v>
      </c>
      <c r="B1364" s="2840">
        <v>65000</v>
      </c>
      <c r="C1364" s="2840">
        <v>65050</v>
      </c>
      <c r="D1364" s="2841">
        <f t="shared" si="109"/>
        <v>10245</v>
      </c>
      <c r="E1364" s="2841">
        <f t="shared" si="110"/>
        <v>7422</v>
      </c>
      <c r="F1364" s="2841">
        <f t="shared" si="111"/>
        <v>10245</v>
      </c>
      <c r="G1364" s="2841">
        <f t="shared" si="112"/>
        <v>8854</v>
      </c>
    </row>
    <row r="1365" spans="1:7" ht="15.75">
      <c r="A1365" s="3022">
        <f t="shared" si="113"/>
        <v>65075</v>
      </c>
      <c r="B1365" s="2840">
        <v>65050</v>
      </c>
      <c r="C1365" s="2840">
        <v>65100</v>
      </c>
      <c r="D1365" s="2841">
        <f t="shared" si="109"/>
        <v>10256</v>
      </c>
      <c r="E1365" s="2841">
        <f t="shared" si="110"/>
        <v>7428</v>
      </c>
      <c r="F1365" s="2841">
        <f t="shared" si="111"/>
        <v>10256</v>
      </c>
      <c r="G1365" s="2841">
        <f t="shared" si="112"/>
        <v>8865</v>
      </c>
    </row>
    <row r="1366" spans="1:7" ht="15.75">
      <c r="A1366" s="3022">
        <f t="shared" si="113"/>
        <v>65125</v>
      </c>
      <c r="B1366" s="2840">
        <v>65100</v>
      </c>
      <c r="C1366" s="2840">
        <v>65150</v>
      </c>
      <c r="D1366" s="2841">
        <f t="shared" si="109"/>
        <v>10267</v>
      </c>
      <c r="E1366" s="2841">
        <f t="shared" si="110"/>
        <v>7434</v>
      </c>
      <c r="F1366" s="2841">
        <f t="shared" si="111"/>
        <v>10267</v>
      </c>
      <c r="G1366" s="2841">
        <f t="shared" si="112"/>
        <v>8876</v>
      </c>
    </row>
    <row r="1367" spans="1:7" ht="15.75">
      <c r="A1367" s="3022">
        <f t="shared" si="113"/>
        <v>65175</v>
      </c>
      <c r="B1367" s="2840">
        <v>65150</v>
      </c>
      <c r="C1367" s="2840">
        <v>65200</v>
      </c>
      <c r="D1367" s="2841">
        <f t="shared" si="109"/>
        <v>10278</v>
      </c>
      <c r="E1367" s="2841">
        <f t="shared" si="110"/>
        <v>7440</v>
      </c>
      <c r="F1367" s="2841">
        <f t="shared" si="111"/>
        <v>10278</v>
      </c>
      <c r="G1367" s="2841">
        <f t="shared" si="112"/>
        <v>8887</v>
      </c>
    </row>
    <row r="1368" spans="1:7" ht="15.75">
      <c r="A1368" s="3022">
        <f t="shared" si="113"/>
        <v>65225</v>
      </c>
      <c r="B1368" s="2840">
        <v>65200</v>
      </c>
      <c r="C1368" s="2840">
        <v>65250</v>
      </c>
      <c r="D1368" s="2841">
        <f t="shared" si="109"/>
        <v>10289</v>
      </c>
      <c r="E1368" s="2841">
        <f t="shared" si="110"/>
        <v>7446</v>
      </c>
      <c r="F1368" s="2841">
        <f t="shared" si="111"/>
        <v>10289</v>
      </c>
      <c r="G1368" s="2841">
        <f t="shared" si="112"/>
        <v>8898</v>
      </c>
    </row>
    <row r="1369" spans="1:7" ht="15.75">
      <c r="A1369" s="3022">
        <f t="shared" si="113"/>
        <v>65275</v>
      </c>
      <c r="B1369" s="2840">
        <v>65250</v>
      </c>
      <c r="C1369" s="2840">
        <v>65300</v>
      </c>
      <c r="D1369" s="2841">
        <f t="shared" si="109"/>
        <v>10300</v>
      </c>
      <c r="E1369" s="2841">
        <f t="shared" si="110"/>
        <v>7452</v>
      </c>
      <c r="F1369" s="2841">
        <f t="shared" si="111"/>
        <v>10300</v>
      </c>
      <c r="G1369" s="2841">
        <f t="shared" si="112"/>
        <v>8909</v>
      </c>
    </row>
    <row r="1370" spans="1:7" ht="15.75">
      <c r="A1370" s="3022">
        <f t="shared" si="113"/>
        <v>65325</v>
      </c>
      <c r="B1370" s="2840">
        <v>65300</v>
      </c>
      <c r="C1370" s="2840">
        <v>65350</v>
      </c>
      <c r="D1370" s="2841">
        <f t="shared" si="109"/>
        <v>10311</v>
      </c>
      <c r="E1370" s="2841">
        <f t="shared" si="110"/>
        <v>7458</v>
      </c>
      <c r="F1370" s="2841">
        <f t="shared" si="111"/>
        <v>10311</v>
      </c>
      <c r="G1370" s="2841">
        <f t="shared" si="112"/>
        <v>8920</v>
      </c>
    </row>
    <row r="1371" spans="1:7" ht="15.75">
      <c r="A1371" s="3022">
        <f t="shared" si="113"/>
        <v>65375</v>
      </c>
      <c r="B1371" s="2840">
        <v>65350</v>
      </c>
      <c r="C1371" s="2840">
        <v>65400</v>
      </c>
      <c r="D1371" s="2841">
        <f t="shared" si="109"/>
        <v>10322</v>
      </c>
      <c r="E1371" s="2841">
        <f t="shared" si="110"/>
        <v>7464</v>
      </c>
      <c r="F1371" s="2841">
        <f t="shared" si="111"/>
        <v>10322</v>
      </c>
      <c r="G1371" s="2841">
        <f t="shared" si="112"/>
        <v>8931</v>
      </c>
    </row>
    <row r="1372" spans="1:7" ht="15.75">
      <c r="A1372" s="3022">
        <f t="shared" si="113"/>
        <v>65425</v>
      </c>
      <c r="B1372" s="2840">
        <v>65400</v>
      </c>
      <c r="C1372" s="2840">
        <v>65450</v>
      </c>
      <c r="D1372" s="2841">
        <f t="shared" si="109"/>
        <v>10333</v>
      </c>
      <c r="E1372" s="2841">
        <f t="shared" si="110"/>
        <v>7470</v>
      </c>
      <c r="F1372" s="2841">
        <f t="shared" si="111"/>
        <v>10333</v>
      </c>
      <c r="G1372" s="2841">
        <f t="shared" si="112"/>
        <v>8942</v>
      </c>
    </row>
    <row r="1373" spans="1:7" ht="15.75">
      <c r="A1373" s="3022">
        <f t="shared" si="113"/>
        <v>65475</v>
      </c>
      <c r="B1373" s="2840">
        <v>65450</v>
      </c>
      <c r="C1373" s="2840">
        <v>65500</v>
      </c>
      <c r="D1373" s="2841">
        <f t="shared" si="109"/>
        <v>10344</v>
      </c>
      <c r="E1373" s="2841">
        <f t="shared" si="110"/>
        <v>7476</v>
      </c>
      <c r="F1373" s="2841">
        <f t="shared" si="111"/>
        <v>10344</v>
      </c>
      <c r="G1373" s="2841">
        <f t="shared" si="112"/>
        <v>8953</v>
      </c>
    </row>
    <row r="1374" spans="1:7" ht="15.75">
      <c r="A1374" s="3022">
        <f t="shared" si="113"/>
        <v>65525</v>
      </c>
      <c r="B1374" s="2840">
        <v>65500</v>
      </c>
      <c r="C1374" s="2840">
        <v>65550</v>
      </c>
      <c r="D1374" s="2841">
        <f t="shared" si="109"/>
        <v>10355</v>
      </c>
      <c r="E1374" s="2841">
        <f t="shared" si="110"/>
        <v>7482</v>
      </c>
      <c r="F1374" s="2841">
        <f t="shared" si="111"/>
        <v>10355</v>
      </c>
      <c r="G1374" s="2841">
        <f t="shared" si="112"/>
        <v>8964</v>
      </c>
    </row>
    <row r="1375" spans="1:7" ht="15.75">
      <c r="A1375" s="3022">
        <f t="shared" si="113"/>
        <v>65575</v>
      </c>
      <c r="B1375" s="2840">
        <v>65550</v>
      </c>
      <c r="C1375" s="2840">
        <v>65600</v>
      </c>
      <c r="D1375" s="2841">
        <f t="shared" si="109"/>
        <v>10366</v>
      </c>
      <c r="E1375" s="2841">
        <f t="shared" si="110"/>
        <v>7488</v>
      </c>
      <c r="F1375" s="2841">
        <f t="shared" si="111"/>
        <v>10366</v>
      </c>
      <c r="G1375" s="2841">
        <f t="shared" si="112"/>
        <v>8975</v>
      </c>
    </row>
    <row r="1376" spans="1:7" ht="15.75">
      <c r="A1376" s="3022">
        <f t="shared" si="113"/>
        <v>65625</v>
      </c>
      <c r="B1376" s="2840">
        <v>65600</v>
      </c>
      <c r="C1376" s="2840">
        <v>65650</v>
      </c>
      <c r="D1376" s="2841">
        <f t="shared" si="109"/>
        <v>10377</v>
      </c>
      <c r="E1376" s="2841">
        <f t="shared" si="110"/>
        <v>7494</v>
      </c>
      <c r="F1376" s="2841">
        <f t="shared" si="111"/>
        <v>10377</v>
      </c>
      <c r="G1376" s="2841">
        <f t="shared" si="112"/>
        <v>8986</v>
      </c>
    </row>
    <row r="1377" spans="1:7" ht="15.75">
      <c r="A1377" s="3022">
        <f t="shared" si="113"/>
        <v>65675</v>
      </c>
      <c r="B1377" s="2840">
        <v>65650</v>
      </c>
      <c r="C1377" s="2840">
        <v>65700</v>
      </c>
      <c r="D1377" s="2841">
        <f t="shared" si="109"/>
        <v>10388</v>
      </c>
      <c r="E1377" s="2841">
        <f t="shared" si="110"/>
        <v>7500</v>
      </c>
      <c r="F1377" s="2841">
        <f t="shared" si="111"/>
        <v>10388</v>
      </c>
      <c r="G1377" s="2841">
        <f t="shared" si="112"/>
        <v>8997</v>
      </c>
    </row>
    <row r="1378" spans="1:7" ht="15.75">
      <c r="A1378" s="3022">
        <f t="shared" si="113"/>
        <v>65725</v>
      </c>
      <c r="B1378" s="2840">
        <v>65700</v>
      </c>
      <c r="C1378" s="2840">
        <v>65750</v>
      </c>
      <c r="D1378" s="2841">
        <f t="shared" si="109"/>
        <v>10399</v>
      </c>
      <c r="E1378" s="2841">
        <f t="shared" si="110"/>
        <v>7506</v>
      </c>
      <c r="F1378" s="2841">
        <f t="shared" si="111"/>
        <v>10399</v>
      </c>
      <c r="G1378" s="2841">
        <f t="shared" si="112"/>
        <v>9008</v>
      </c>
    </row>
    <row r="1379" spans="1:7" ht="15.75">
      <c r="A1379" s="3022">
        <f t="shared" si="113"/>
        <v>65775</v>
      </c>
      <c r="B1379" s="2840">
        <v>65750</v>
      </c>
      <c r="C1379" s="2840">
        <v>65800</v>
      </c>
      <c r="D1379" s="2841">
        <f t="shared" si="109"/>
        <v>10410</v>
      </c>
      <c r="E1379" s="2841">
        <f t="shared" si="110"/>
        <v>7512</v>
      </c>
      <c r="F1379" s="2841">
        <f t="shared" si="111"/>
        <v>10410</v>
      </c>
      <c r="G1379" s="2841">
        <f t="shared" si="112"/>
        <v>9019</v>
      </c>
    </row>
    <row r="1380" spans="1:7" ht="15.75">
      <c r="A1380" s="3022">
        <f t="shared" si="113"/>
        <v>65825</v>
      </c>
      <c r="B1380" s="2840">
        <v>65800</v>
      </c>
      <c r="C1380" s="2840">
        <v>65850</v>
      </c>
      <c r="D1380" s="2841">
        <f t="shared" si="109"/>
        <v>10421</v>
      </c>
      <c r="E1380" s="2841">
        <f t="shared" si="110"/>
        <v>7518</v>
      </c>
      <c r="F1380" s="2841">
        <f t="shared" si="111"/>
        <v>10421</v>
      </c>
      <c r="G1380" s="2841">
        <f t="shared" si="112"/>
        <v>9030</v>
      </c>
    </row>
    <row r="1381" spans="1:7" ht="15.75">
      <c r="A1381" s="3022">
        <f t="shared" si="113"/>
        <v>65875</v>
      </c>
      <c r="B1381" s="2840">
        <v>65850</v>
      </c>
      <c r="C1381" s="2840">
        <v>65900</v>
      </c>
      <c r="D1381" s="2841">
        <f t="shared" si="109"/>
        <v>10432</v>
      </c>
      <c r="E1381" s="2841">
        <f t="shared" si="110"/>
        <v>7524</v>
      </c>
      <c r="F1381" s="2841">
        <f t="shared" si="111"/>
        <v>10432</v>
      </c>
      <c r="G1381" s="2841">
        <f t="shared" si="112"/>
        <v>9041</v>
      </c>
    </row>
    <row r="1382" spans="1:7" ht="15.75">
      <c r="A1382" s="3022">
        <f t="shared" si="113"/>
        <v>65925</v>
      </c>
      <c r="B1382" s="2840">
        <v>65900</v>
      </c>
      <c r="C1382" s="2840">
        <v>65950</v>
      </c>
      <c r="D1382" s="2841">
        <f t="shared" si="109"/>
        <v>10443</v>
      </c>
      <c r="E1382" s="2841">
        <f t="shared" si="110"/>
        <v>7530</v>
      </c>
      <c r="F1382" s="2841">
        <f t="shared" si="111"/>
        <v>10443</v>
      </c>
      <c r="G1382" s="2841">
        <f t="shared" si="112"/>
        <v>9052</v>
      </c>
    </row>
    <row r="1383" spans="1:7" ht="15.75">
      <c r="A1383" s="3022">
        <f t="shared" si="113"/>
        <v>65975</v>
      </c>
      <c r="B1383" s="2840">
        <v>65950</v>
      </c>
      <c r="C1383" s="2840">
        <v>66000</v>
      </c>
      <c r="D1383" s="2841">
        <f t="shared" si="109"/>
        <v>10454</v>
      </c>
      <c r="E1383" s="2841">
        <f t="shared" si="110"/>
        <v>7536</v>
      </c>
      <c r="F1383" s="2841">
        <f t="shared" si="111"/>
        <v>10454</v>
      </c>
      <c r="G1383" s="2841">
        <f t="shared" si="112"/>
        <v>9063</v>
      </c>
    </row>
    <row r="1384" spans="1:7" ht="15.75">
      <c r="A1384" s="3022">
        <f t="shared" si="113"/>
        <v>66025</v>
      </c>
      <c r="B1384" s="2840">
        <v>66000</v>
      </c>
      <c r="C1384" s="2840">
        <v>66050</v>
      </c>
      <c r="D1384" s="2841">
        <f t="shared" si="109"/>
        <v>10465</v>
      </c>
      <c r="E1384" s="2841">
        <f t="shared" si="110"/>
        <v>7542</v>
      </c>
      <c r="F1384" s="2841">
        <f t="shared" si="111"/>
        <v>10465</v>
      </c>
      <c r="G1384" s="2841">
        <f t="shared" si="112"/>
        <v>9074</v>
      </c>
    </row>
    <row r="1385" spans="1:7" ht="15.75">
      <c r="A1385" s="3022">
        <f t="shared" si="113"/>
        <v>66075</v>
      </c>
      <c r="B1385" s="2840">
        <v>66050</v>
      </c>
      <c r="C1385" s="2840">
        <v>66100</v>
      </c>
      <c r="D1385" s="2841">
        <f t="shared" si="109"/>
        <v>10476</v>
      </c>
      <c r="E1385" s="2841">
        <f t="shared" si="110"/>
        <v>7548</v>
      </c>
      <c r="F1385" s="2841">
        <f t="shared" si="111"/>
        <v>10476</v>
      </c>
      <c r="G1385" s="2841">
        <f t="shared" si="112"/>
        <v>9085</v>
      </c>
    </row>
    <row r="1386" spans="1:7" ht="15.75">
      <c r="A1386" s="3022">
        <f t="shared" si="113"/>
        <v>66125</v>
      </c>
      <c r="B1386" s="2840">
        <v>66100</v>
      </c>
      <c r="C1386" s="2840">
        <v>66150</v>
      </c>
      <c r="D1386" s="2841">
        <f t="shared" si="109"/>
        <v>10487</v>
      </c>
      <c r="E1386" s="2841">
        <f t="shared" si="110"/>
        <v>7554</v>
      </c>
      <c r="F1386" s="2841">
        <f t="shared" si="111"/>
        <v>10487</v>
      </c>
      <c r="G1386" s="2841">
        <f t="shared" si="112"/>
        <v>9096</v>
      </c>
    </row>
    <row r="1387" spans="1:7" ht="15.75">
      <c r="A1387" s="3022">
        <f t="shared" si="113"/>
        <v>66175</v>
      </c>
      <c r="B1387" s="2840">
        <v>66150</v>
      </c>
      <c r="C1387" s="2840">
        <v>66200</v>
      </c>
      <c r="D1387" s="2841">
        <f t="shared" si="109"/>
        <v>10498</v>
      </c>
      <c r="E1387" s="2841">
        <f t="shared" si="110"/>
        <v>7560</v>
      </c>
      <c r="F1387" s="2841">
        <f t="shared" si="111"/>
        <v>10498</v>
      </c>
      <c r="G1387" s="2841">
        <f t="shared" si="112"/>
        <v>9107</v>
      </c>
    </row>
    <row r="1388" spans="1:7" ht="15.75">
      <c r="A1388" s="3022">
        <f t="shared" si="113"/>
        <v>66225</v>
      </c>
      <c r="B1388" s="2840">
        <v>66200</v>
      </c>
      <c r="C1388" s="2840">
        <v>66250</v>
      </c>
      <c r="D1388" s="2841">
        <f t="shared" si="109"/>
        <v>10509</v>
      </c>
      <c r="E1388" s="2841">
        <f t="shared" si="110"/>
        <v>7566</v>
      </c>
      <c r="F1388" s="2841">
        <f t="shared" si="111"/>
        <v>10509</v>
      </c>
      <c r="G1388" s="2841">
        <f t="shared" si="112"/>
        <v>9118</v>
      </c>
    </row>
    <row r="1389" spans="1:7" ht="15.75">
      <c r="A1389" s="3022">
        <f t="shared" si="113"/>
        <v>66275</v>
      </c>
      <c r="B1389" s="2840">
        <v>66250</v>
      </c>
      <c r="C1389" s="2840">
        <v>66300</v>
      </c>
      <c r="D1389" s="2841">
        <f t="shared" si="109"/>
        <v>10520</v>
      </c>
      <c r="E1389" s="2841">
        <f t="shared" si="110"/>
        <v>7572</v>
      </c>
      <c r="F1389" s="2841">
        <f t="shared" si="111"/>
        <v>10520</v>
      </c>
      <c r="G1389" s="2841">
        <f t="shared" si="112"/>
        <v>9129</v>
      </c>
    </row>
    <row r="1390" spans="1:7" ht="15.75">
      <c r="A1390" s="3022">
        <f t="shared" si="113"/>
        <v>66325</v>
      </c>
      <c r="B1390" s="2840">
        <v>66300</v>
      </c>
      <c r="C1390" s="2840">
        <v>66350</v>
      </c>
      <c r="D1390" s="2841">
        <f t="shared" si="109"/>
        <v>10531</v>
      </c>
      <c r="E1390" s="2841">
        <f t="shared" si="110"/>
        <v>7578</v>
      </c>
      <c r="F1390" s="2841">
        <f t="shared" si="111"/>
        <v>10531</v>
      </c>
      <c r="G1390" s="2841">
        <f t="shared" si="112"/>
        <v>9140</v>
      </c>
    </row>
    <row r="1391" spans="1:7" ht="15.75">
      <c r="A1391" s="3022">
        <f t="shared" si="113"/>
        <v>66375</v>
      </c>
      <c r="B1391" s="2840">
        <v>66350</v>
      </c>
      <c r="C1391" s="2840">
        <v>66400</v>
      </c>
      <c r="D1391" s="2841">
        <f t="shared" si="109"/>
        <v>10542</v>
      </c>
      <c r="E1391" s="2841">
        <f t="shared" si="110"/>
        <v>7584</v>
      </c>
      <c r="F1391" s="2841">
        <f t="shared" si="111"/>
        <v>10542</v>
      </c>
      <c r="G1391" s="2841">
        <f t="shared" si="112"/>
        <v>9151</v>
      </c>
    </row>
    <row r="1392" spans="1:7" ht="15.75">
      <c r="A1392" s="3022">
        <f t="shared" si="113"/>
        <v>66425</v>
      </c>
      <c r="B1392" s="2840">
        <v>66400</v>
      </c>
      <c r="C1392" s="2840">
        <v>66450</v>
      </c>
      <c r="D1392" s="2841">
        <f t="shared" si="109"/>
        <v>10553</v>
      </c>
      <c r="E1392" s="2841">
        <f t="shared" si="110"/>
        <v>7590</v>
      </c>
      <c r="F1392" s="2841">
        <f t="shared" si="111"/>
        <v>10553</v>
      </c>
      <c r="G1392" s="2841">
        <f t="shared" si="112"/>
        <v>9162</v>
      </c>
    </row>
    <row r="1393" spans="1:7" ht="15.75">
      <c r="A1393" s="3022">
        <f t="shared" si="113"/>
        <v>66475</v>
      </c>
      <c r="B1393" s="2840">
        <v>66450</v>
      </c>
      <c r="C1393" s="2840">
        <v>66500</v>
      </c>
      <c r="D1393" s="2841">
        <f t="shared" si="109"/>
        <v>10564</v>
      </c>
      <c r="E1393" s="2841">
        <f t="shared" si="110"/>
        <v>7596</v>
      </c>
      <c r="F1393" s="2841">
        <f t="shared" si="111"/>
        <v>10564</v>
      </c>
      <c r="G1393" s="2841">
        <f t="shared" si="112"/>
        <v>9173</v>
      </c>
    </row>
    <row r="1394" spans="1:7" ht="15.75">
      <c r="A1394" s="3022">
        <f t="shared" si="113"/>
        <v>66525</v>
      </c>
      <c r="B1394" s="2840">
        <v>66500</v>
      </c>
      <c r="C1394" s="2840">
        <v>66550</v>
      </c>
      <c r="D1394" s="2841">
        <f t="shared" si="109"/>
        <v>10575</v>
      </c>
      <c r="E1394" s="2841">
        <f t="shared" si="110"/>
        <v>7602</v>
      </c>
      <c r="F1394" s="2841">
        <f t="shared" si="111"/>
        <v>10575</v>
      </c>
      <c r="G1394" s="2841">
        <f t="shared" si="112"/>
        <v>9184</v>
      </c>
    </row>
    <row r="1395" spans="1:7" ht="15.75">
      <c r="A1395" s="3022">
        <f t="shared" si="113"/>
        <v>66575</v>
      </c>
      <c r="B1395" s="2840">
        <v>66550</v>
      </c>
      <c r="C1395" s="2840">
        <v>66600</v>
      </c>
      <c r="D1395" s="2841">
        <f t="shared" si="109"/>
        <v>10586</v>
      </c>
      <c r="E1395" s="2841">
        <f t="shared" si="110"/>
        <v>7608</v>
      </c>
      <c r="F1395" s="2841">
        <f t="shared" si="111"/>
        <v>10586</v>
      </c>
      <c r="G1395" s="2841">
        <f t="shared" si="112"/>
        <v>9195</v>
      </c>
    </row>
    <row r="1396" spans="1:7" ht="15.75">
      <c r="A1396" s="3022">
        <f t="shared" si="113"/>
        <v>66625</v>
      </c>
      <c r="B1396" s="2840">
        <v>66600</v>
      </c>
      <c r="C1396" s="2840">
        <v>66650</v>
      </c>
      <c r="D1396" s="2841">
        <f t="shared" si="109"/>
        <v>10597</v>
      </c>
      <c r="E1396" s="2841">
        <f t="shared" si="110"/>
        <v>7614</v>
      </c>
      <c r="F1396" s="2841">
        <f t="shared" si="111"/>
        <v>10597</v>
      </c>
      <c r="G1396" s="2841">
        <f t="shared" si="112"/>
        <v>9206</v>
      </c>
    </row>
    <row r="1397" spans="1:7" ht="15.75">
      <c r="A1397" s="3022">
        <f t="shared" si="113"/>
        <v>66675</v>
      </c>
      <c r="B1397" s="2840">
        <v>66650</v>
      </c>
      <c r="C1397" s="2840">
        <v>66700</v>
      </c>
      <c r="D1397" s="2841">
        <f t="shared" si="109"/>
        <v>10608</v>
      </c>
      <c r="E1397" s="2841">
        <f t="shared" si="110"/>
        <v>7620</v>
      </c>
      <c r="F1397" s="2841">
        <f t="shared" si="111"/>
        <v>10608</v>
      </c>
      <c r="G1397" s="2841">
        <f t="shared" si="112"/>
        <v>9217</v>
      </c>
    </row>
    <row r="1398" spans="1:7" ht="15.75">
      <c r="A1398" s="3022">
        <f t="shared" si="113"/>
        <v>66725</v>
      </c>
      <c r="B1398" s="2840">
        <v>66700</v>
      </c>
      <c r="C1398" s="2840">
        <v>66750</v>
      </c>
      <c r="D1398" s="2841">
        <f t="shared" si="109"/>
        <v>10619</v>
      </c>
      <c r="E1398" s="2841">
        <f t="shared" si="110"/>
        <v>7626</v>
      </c>
      <c r="F1398" s="2841">
        <f t="shared" si="111"/>
        <v>10619</v>
      </c>
      <c r="G1398" s="2841">
        <f t="shared" si="112"/>
        <v>9228</v>
      </c>
    </row>
    <row r="1399" spans="1:7" ht="15.75">
      <c r="A1399" s="3022">
        <f t="shared" si="113"/>
        <v>66775</v>
      </c>
      <c r="B1399" s="2840">
        <v>66750</v>
      </c>
      <c r="C1399" s="2840">
        <v>66800</v>
      </c>
      <c r="D1399" s="2841">
        <f t="shared" si="109"/>
        <v>10630</v>
      </c>
      <c r="E1399" s="2841">
        <f t="shared" si="110"/>
        <v>7632</v>
      </c>
      <c r="F1399" s="2841">
        <f t="shared" si="111"/>
        <v>10630</v>
      </c>
      <c r="G1399" s="2841">
        <f t="shared" si="112"/>
        <v>9239</v>
      </c>
    </row>
    <row r="1400" spans="1:7" ht="15.75">
      <c r="A1400" s="3022">
        <f t="shared" si="113"/>
        <v>66825</v>
      </c>
      <c r="B1400" s="2840">
        <v>66800</v>
      </c>
      <c r="C1400" s="2840">
        <v>66850</v>
      </c>
      <c r="D1400" s="2841">
        <f t="shared" si="109"/>
        <v>10641</v>
      </c>
      <c r="E1400" s="2841">
        <f t="shared" si="110"/>
        <v>7638</v>
      </c>
      <c r="F1400" s="2841">
        <f t="shared" si="111"/>
        <v>10641</v>
      </c>
      <c r="G1400" s="2841">
        <f t="shared" si="112"/>
        <v>9250</v>
      </c>
    </row>
    <row r="1401" spans="1:7" ht="15.75">
      <c r="A1401" s="3022">
        <f t="shared" si="113"/>
        <v>66875</v>
      </c>
      <c r="B1401" s="2840">
        <v>66850</v>
      </c>
      <c r="C1401" s="2840">
        <v>66900</v>
      </c>
      <c r="D1401" s="2841">
        <f t="shared" si="109"/>
        <v>10652</v>
      </c>
      <c r="E1401" s="2841">
        <f t="shared" si="110"/>
        <v>7644</v>
      </c>
      <c r="F1401" s="2841">
        <f t="shared" si="111"/>
        <v>10652</v>
      </c>
      <c r="G1401" s="2841">
        <f t="shared" si="112"/>
        <v>9261</v>
      </c>
    </row>
    <row r="1402" spans="1:7" ht="15.75">
      <c r="A1402" s="3022">
        <f t="shared" si="113"/>
        <v>66925</v>
      </c>
      <c r="B1402" s="2840">
        <v>66900</v>
      </c>
      <c r="C1402" s="2840">
        <v>66950</v>
      </c>
      <c r="D1402" s="2841">
        <f t="shared" si="109"/>
        <v>10663</v>
      </c>
      <c r="E1402" s="2841">
        <f t="shared" si="110"/>
        <v>7650</v>
      </c>
      <c r="F1402" s="2841">
        <f t="shared" si="111"/>
        <v>10663</v>
      </c>
      <c r="G1402" s="2841">
        <f t="shared" si="112"/>
        <v>9272</v>
      </c>
    </row>
    <row r="1403" spans="1:7" ht="15.75">
      <c r="A1403" s="3022">
        <f t="shared" si="113"/>
        <v>66975</v>
      </c>
      <c r="B1403" s="2840">
        <v>66950</v>
      </c>
      <c r="C1403" s="2840">
        <v>67000</v>
      </c>
      <c r="D1403" s="2841">
        <f t="shared" si="109"/>
        <v>10674</v>
      </c>
      <c r="E1403" s="2841">
        <f t="shared" si="110"/>
        <v>7656</v>
      </c>
      <c r="F1403" s="2841">
        <f t="shared" si="111"/>
        <v>10674</v>
      </c>
      <c r="G1403" s="2841">
        <f t="shared" si="112"/>
        <v>9283</v>
      </c>
    </row>
    <row r="1404" spans="1:7" ht="15.75">
      <c r="A1404" s="3022">
        <f t="shared" si="113"/>
        <v>67025</v>
      </c>
      <c r="B1404" s="2840">
        <v>67000</v>
      </c>
      <c r="C1404" s="2840">
        <v>67050</v>
      </c>
      <c r="D1404" s="2841">
        <f t="shared" si="109"/>
        <v>10685</v>
      </c>
      <c r="E1404" s="2841">
        <f t="shared" si="110"/>
        <v>7662</v>
      </c>
      <c r="F1404" s="2841">
        <f t="shared" si="111"/>
        <v>10685</v>
      </c>
      <c r="G1404" s="2841">
        <f t="shared" si="112"/>
        <v>9294</v>
      </c>
    </row>
    <row r="1405" spans="1:7" ht="15.75">
      <c r="A1405" s="3022">
        <f t="shared" si="113"/>
        <v>67075</v>
      </c>
      <c r="B1405" s="2840">
        <v>67050</v>
      </c>
      <c r="C1405" s="2840">
        <v>67100</v>
      </c>
      <c r="D1405" s="2841">
        <f t="shared" si="109"/>
        <v>10696</v>
      </c>
      <c r="E1405" s="2841">
        <f t="shared" si="110"/>
        <v>7668</v>
      </c>
      <c r="F1405" s="2841">
        <f t="shared" si="111"/>
        <v>10696</v>
      </c>
      <c r="G1405" s="2841">
        <f t="shared" si="112"/>
        <v>9305</v>
      </c>
    </row>
    <row r="1406" spans="1:7" ht="15.75">
      <c r="A1406" s="3022">
        <f t="shared" si="113"/>
        <v>67125</v>
      </c>
      <c r="B1406" s="2840">
        <v>67100</v>
      </c>
      <c r="C1406" s="2840">
        <v>67150</v>
      </c>
      <c r="D1406" s="2841">
        <f t="shared" si="109"/>
        <v>10707</v>
      </c>
      <c r="E1406" s="2841">
        <f t="shared" si="110"/>
        <v>7674</v>
      </c>
      <c r="F1406" s="2841">
        <f t="shared" si="111"/>
        <v>10707</v>
      </c>
      <c r="G1406" s="2841">
        <f t="shared" si="112"/>
        <v>9316</v>
      </c>
    </row>
    <row r="1407" spans="1:7" ht="15.75">
      <c r="A1407" s="3022">
        <f t="shared" si="113"/>
        <v>67175</v>
      </c>
      <c r="B1407" s="2840">
        <v>67150</v>
      </c>
      <c r="C1407" s="2840">
        <v>67200</v>
      </c>
      <c r="D1407" s="2841">
        <f t="shared" si="109"/>
        <v>10718</v>
      </c>
      <c r="E1407" s="2841">
        <f t="shared" si="110"/>
        <v>7680</v>
      </c>
      <c r="F1407" s="2841">
        <f t="shared" si="111"/>
        <v>10718</v>
      </c>
      <c r="G1407" s="2841">
        <f t="shared" si="112"/>
        <v>9327</v>
      </c>
    </row>
    <row r="1408" spans="1:7" ht="15.75">
      <c r="A1408" s="3022">
        <f t="shared" si="113"/>
        <v>67225</v>
      </c>
      <c r="B1408" s="2840">
        <v>67200</v>
      </c>
      <c r="C1408" s="2840">
        <v>67250</v>
      </c>
      <c r="D1408" s="2841">
        <f t="shared" si="109"/>
        <v>10729</v>
      </c>
      <c r="E1408" s="2841">
        <f t="shared" si="110"/>
        <v>7686</v>
      </c>
      <c r="F1408" s="2841">
        <f t="shared" si="111"/>
        <v>10729</v>
      </c>
      <c r="G1408" s="2841">
        <f t="shared" si="112"/>
        <v>9338</v>
      </c>
    </row>
    <row r="1409" spans="1:7" ht="15.75">
      <c r="A1409" s="3022">
        <f t="shared" si="113"/>
        <v>67275</v>
      </c>
      <c r="B1409" s="2840">
        <v>67250</v>
      </c>
      <c r="C1409" s="2840">
        <v>67300</v>
      </c>
      <c r="D1409" s="2841">
        <f t="shared" si="109"/>
        <v>10740</v>
      </c>
      <c r="E1409" s="2841">
        <f t="shared" si="110"/>
        <v>7692</v>
      </c>
      <c r="F1409" s="2841">
        <f t="shared" si="111"/>
        <v>10740</v>
      </c>
      <c r="G1409" s="2841">
        <f t="shared" si="112"/>
        <v>9349</v>
      </c>
    </row>
    <row r="1410" spans="1:7" ht="15.75">
      <c r="A1410" s="3022">
        <f t="shared" si="113"/>
        <v>67325</v>
      </c>
      <c r="B1410" s="2840">
        <v>67300</v>
      </c>
      <c r="C1410" s="2840">
        <v>67350</v>
      </c>
      <c r="D1410" s="2841">
        <f t="shared" ref="D1410:D1473" si="114">IF($A1410&gt;BOTT_A4,ROUND(BASE_A4+RATE_A4*($A1410-BOTT_A4),0),IF($A1410&gt;BOTT_A3,ROUND(BASE_A3+RATE_A3*($A1410-BOTT_A3),0),IF($A1410&gt;BOTT_A2,ROUND(BASE_A2+RATE_A2*($A1410-BOTT_A2),0),ROUND(RATE_A1*$A1410,0))))</f>
        <v>10751</v>
      </c>
      <c r="E1410" s="2841">
        <f t="shared" ref="E1410:E1473" si="115">IF($A1410&gt;BOTT_B4,ROUND(BASE_B4+RATE_B4*($A1410-BOTT_B4),0),IF($A1410&gt;BOTT_B3,ROUND(BASE_B3+RATE_B3*($A1410-BOTT_B3),0),IF($A1410&gt;BOTT_B2,ROUND(BASE_B2+RATE_B2*($A1410-BOTT_B2),0),ROUND(RATE_B1*$A1410,0))))</f>
        <v>7698</v>
      </c>
      <c r="F1410" s="2841">
        <f t="shared" ref="F1410:F1473" si="116">IF($A1410&gt;BOTT_C4,ROUND(BASE_C4+RATE_C4*($A1410-BOTT_C4),0),IF($A1410&gt;BOTT_C3,ROUND(BASE_C3+RATE_C3*($A1410-BOTT_C3),0),IF($A1410&gt;BOTT_C2,ROUND(BASE_C2+RATE_C2*($A1410-BOTT_C2),0),ROUND(RATE_C1*$A1410,0))))</f>
        <v>10751</v>
      </c>
      <c r="G1410" s="2841">
        <f t="shared" ref="G1410:G1473" si="117">IF($A1410&gt;BOTT_D4,ROUND(BASE_D4+RATE_D4*($A1410-BOTT_D4),0),IF($A1410&gt;BOTT_D3,ROUND(BASE_D3+RATE_D3*($A1410-BOTT_D3),0),IF($A1410&gt;BOTT_D2,ROUND(BASE_D2+RATE_D2*($A1410-BOTT_D2),0),ROUND(RATE_D1*$A1410,0))))</f>
        <v>9360</v>
      </c>
    </row>
    <row r="1411" spans="1:7" ht="15.75">
      <c r="A1411" s="3022">
        <f t="shared" ref="A1411:A1474" si="118">AVERAGE(B1411,C1411)</f>
        <v>67375</v>
      </c>
      <c r="B1411" s="2840">
        <v>67350</v>
      </c>
      <c r="C1411" s="2840">
        <v>67400</v>
      </c>
      <c r="D1411" s="2841">
        <f t="shared" si="114"/>
        <v>10762</v>
      </c>
      <c r="E1411" s="2841">
        <f t="shared" si="115"/>
        <v>7704</v>
      </c>
      <c r="F1411" s="2841">
        <f t="shared" si="116"/>
        <v>10762</v>
      </c>
      <c r="G1411" s="2841">
        <f t="shared" si="117"/>
        <v>9371</v>
      </c>
    </row>
    <row r="1412" spans="1:7" ht="15.75">
      <c r="A1412" s="3022">
        <f t="shared" si="118"/>
        <v>67425</v>
      </c>
      <c r="B1412" s="2840">
        <v>67400</v>
      </c>
      <c r="C1412" s="2840">
        <v>67450</v>
      </c>
      <c r="D1412" s="2841">
        <f t="shared" si="114"/>
        <v>10773</v>
      </c>
      <c r="E1412" s="2841">
        <f t="shared" si="115"/>
        <v>7710</v>
      </c>
      <c r="F1412" s="2841">
        <f t="shared" si="116"/>
        <v>10773</v>
      </c>
      <c r="G1412" s="2841">
        <f t="shared" si="117"/>
        <v>9382</v>
      </c>
    </row>
    <row r="1413" spans="1:7" ht="15.75">
      <c r="A1413" s="3022">
        <f t="shared" si="118"/>
        <v>67475</v>
      </c>
      <c r="B1413" s="2840">
        <v>67450</v>
      </c>
      <c r="C1413" s="2840">
        <v>67500</v>
      </c>
      <c r="D1413" s="2841">
        <f t="shared" si="114"/>
        <v>10784</v>
      </c>
      <c r="E1413" s="2841">
        <f t="shared" si="115"/>
        <v>7716</v>
      </c>
      <c r="F1413" s="2841">
        <f t="shared" si="116"/>
        <v>10784</v>
      </c>
      <c r="G1413" s="2841">
        <f t="shared" si="117"/>
        <v>9393</v>
      </c>
    </row>
    <row r="1414" spans="1:7" ht="15.75">
      <c r="A1414" s="3022">
        <f t="shared" si="118"/>
        <v>67525</v>
      </c>
      <c r="B1414" s="2840">
        <v>67500</v>
      </c>
      <c r="C1414" s="2840">
        <v>67550</v>
      </c>
      <c r="D1414" s="2841">
        <f t="shared" si="114"/>
        <v>10795</v>
      </c>
      <c r="E1414" s="2841">
        <f t="shared" si="115"/>
        <v>7722</v>
      </c>
      <c r="F1414" s="2841">
        <f t="shared" si="116"/>
        <v>10795</v>
      </c>
      <c r="G1414" s="2841">
        <f t="shared" si="117"/>
        <v>9404</v>
      </c>
    </row>
    <row r="1415" spans="1:7" ht="15.75">
      <c r="A1415" s="3022">
        <f t="shared" si="118"/>
        <v>67575</v>
      </c>
      <c r="B1415" s="2840">
        <v>67550</v>
      </c>
      <c r="C1415" s="2840">
        <v>67600</v>
      </c>
      <c r="D1415" s="2841">
        <f t="shared" si="114"/>
        <v>10806</v>
      </c>
      <c r="E1415" s="2841">
        <f t="shared" si="115"/>
        <v>7728</v>
      </c>
      <c r="F1415" s="2841">
        <f t="shared" si="116"/>
        <v>10806</v>
      </c>
      <c r="G1415" s="2841">
        <f t="shared" si="117"/>
        <v>9415</v>
      </c>
    </row>
    <row r="1416" spans="1:7" ht="15.75">
      <c r="A1416" s="3022">
        <f t="shared" si="118"/>
        <v>67625</v>
      </c>
      <c r="B1416" s="2840">
        <v>67600</v>
      </c>
      <c r="C1416" s="2840">
        <v>67650</v>
      </c>
      <c r="D1416" s="2841">
        <f t="shared" si="114"/>
        <v>10817</v>
      </c>
      <c r="E1416" s="2841">
        <f t="shared" si="115"/>
        <v>7734</v>
      </c>
      <c r="F1416" s="2841">
        <f t="shared" si="116"/>
        <v>10817</v>
      </c>
      <c r="G1416" s="2841">
        <f t="shared" si="117"/>
        <v>9426</v>
      </c>
    </row>
    <row r="1417" spans="1:7" ht="15.75">
      <c r="A1417" s="3022">
        <f t="shared" si="118"/>
        <v>67675</v>
      </c>
      <c r="B1417" s="2840">
        <v>67650</v>
      </c>
      <c r="C1417" s="2840">
        <v>67700</v>
      </c>
      <c r="D1417" s="2841">
        <f t="shared" si="114"/>
        <v>10828</v>
      </c>
      <c r="E1417" s="2841">
        <f t="shared" si="115"/>
        <v>7740</v>
      </c>
      <c r="F1417" s="2841">
        <f t="shared" si="116"/>
        <v>10828</v>
      </c>
      <c r="G1417" s="2841">
        <f t="shared" si="117"/>
        <v>9437</v>
      </c>
    </row>
    <row r="1418" spans="1:7" ht="15.75">
      <c r="A1418" s="3022">
        <f t="shared" si="118"/>
        <v>67725</v>
      </c>
      <c r="B1418" s="2840">
        <v>67700</v>
      </c>
      <c r="C1418" s="2840">
        <v>67750</v>
      </c>
      <c r="D1418" s="2841">
        <f t="shared" si="114"/>
        <v>10839</v>
      </c>
      <c r="E1418" s="2841">
        <f t="shared" si="115"/>
        <v>7746</v>
      </c>
      <c r="F1418" s="2841">
        <f t="shared" si="116"/>
        <v>10839</v>
      </c>
      <c r="G1418" s="2841">
        <f t="shared" si="117"/>
        <v>9448</v>
      </c>
    </row>
    <row r="1419" spans="1:7" ht="15.75">
      <c r="A1419" s="3022">
        <f t="shared" si="118"/>
        <v>67775</v>
      </c>
      <c r="B1419" s="2840">
        <v>67750</v>
      </c>
      <c r="C1419" s="2840">
        <v>67800</v>
      </c>
      <c r="D1419" s="2841">
        <f t="shared" si="114"/>
        <v>10850</v>
      </c>
      <c r="E1419" s="2841">
        <f t="shared" si="115"/>
        <v>7752</v>
      </c>
      <c r="F1419" s="2841">
        <f t="shared" si="116"/>
        <v>10850</v>
      </c>
      <c r="G1419" s="2841">
        <f t="shared" si="117"/>
        <v>9459</v>
      </c>
    </row>
    <row r="1420" spans="1:7" ht="15.75">
      <c r="A1420" s="3022">
        <f t="shared" si="118"/>
        <v>67825</v>
      </c>
      <c r="B1420" s="2840">
        <v>67800</v>
      </c>
      <c r="C1420" s="2840">
        <v>67850</v>
      </c>
      <c r="D1420" s="2841">
        <f t="shared" si="114"/>
        <v>10861</v>
      </c>
      <c r="E1420" s="2841">
        <f t="shared" si="115"/>
        <v>7758</v>
      </c>
      <c r="F1420" s="2841">
        <f t="shared" si="116"/>
        <v>10861</v>
      </c>
      <c r="G1420" s="2841">
        <f t="shared" si="117"/>
        <v>9470</v>
      </c>
    </row>
    <row r="1421" spans="1:7" ht="15.75">
      <c r="A1421" s="3022">
        <f t="shared" si="118"/>
        <v>67875</v>
      </c>
      <c r="B1421" s="2840">
        <v>67850</v>
      </c>
      <c r="C1421" s="2840">
        <v>67900</v>
      </c>
      <c r="D1421" s="2841">
        <f t="shared" si="114"/>
        <v>10872</v>
      </c>
      <c r="E1421" s="2841">
        <f t="shared" si="115"/>
        <v>7764</v>
      </c>
      <c r="F1421" s="2841">
        <f t="shared" si="116"/>
        <v>10872</v>
      </c>
      <c r="G1421" s="2841">
        <f t="shared" si="117"/>
        <v>9481</v>
      </c>
    </row>
    <row r="1422" spans="1:7" ht="15.75">
      <c r="A1422" s="3022">
        <f t="shared" si="118"/>
        <v>67925</v>
      </c>
      <c r="B1422" s="2840">
        <v>67900</v>
      </c>
      <c r="C1422" s="2840">
        <v>67950</v>
      </c>
      <c r="D1422" s="2841">
        <f t="shared" si="114"/>
        <v>10883</v>
      </c>
      <c r="E1422" s="2841">
        <f t="shared" si="115"/>
        <v>7770</v>
      </c>
      <c r="F1422" s="2841">
        <f t="shared" si="116"/>
        <v>10883</v>
      </c>
      <c r="G1422" s="2841">
        <f t="shared" si="117"/>
        <v>9492</v>
      </c>
    </row>
    <row r="1423" spans="1:7" ht="15.75">
      <c r="A1423" s="3022">
        <f t="shared" si="118"/>
        <v>67975</v>
      </c>
      <c r="B1423" s="2840">
        <v>67950</v>
      </c>
      <c r="C1423" s="2840">
        <v>68000</v>
      </c>
      <c r="D1423" s="2841">
        <f t="shared" si="114"/>
        <v>10894</v>
      </c>
      <c r="E1423" s="2841">
        <f t="shared" si="115"/>
        <v>7776</v>
      </c>
      <c r="F1423" s="2841">
        <f t="shared" si="116"/>
        <v>10894</v>
      </c>
      <c r="G1423" s="2841">
        <f t="shared" si="117"/>
        <v>9503</v>
      </c>
    </row>
    <row r="1424" spans="1:7" ht="15.75">
      <c r="A1424" s="3022">
        <f t="shared" si="118"/>
        <v>68025</v>
      </c>
      <c r="B1424" s="2840">
        <v>68000</v>
      </c>
      <c r="C1424" s="2840">
        <v>68050</v>
      </c>
      <c r="D1424" s="2841">
        <f t="shared" si="114"/>
        <v>10905</v>
      </c>
      <c r="E1424" s="2841">
        <f t="shared" si="115"/>
        <v>7782</v>
      </c>
      <c r="F1424" s="2841">
        <f t="shared" si="116"/>
        <v>10905</v>
      </c>
      <c r="G1424" s="2841">
        <f t="shared" si="117"/>
        <v>9514</v>
      </c>
    </row>
    <row r="1425" spans="1:7" ht="15.75">
      <c r="A1425" s="3022">
        <f t="shared" si="118"/>
        <v>68075</v>
      </c>
      <c r="B1425" s="2840">
        <v>68050</v>
      </c>
      <c r="C1425" s="2840">
        <v>68100</v>
      </c>
      <c r="D1425" s="2841">
        <f t="shared" si="114"/>
        <v>10916</v>
      </c>
      <c r="E1425" s="2841">
        <f t="shared" si="115"/>
        <v>7788</v>
      </c>
      <c r="F1425" s="2841">
        <f t="shared" si="116"/>
        <v>10916</v>
      </c>
      <c r="G1425" s="2841">
        <f t="shared" si="117"/>
        <v>9525</v>
      </c>
    </row>
    <row r="1426" spans="1:7" ht="15.75">
      <c r="A1426" s="3022">
        <f t="shared" si="118"/>
        <v>68125</v>
      </c>
      <c r="B1426" s="2840">
        <v>68100</v>
      </c>
      <c r="C1426" s="2840">
        <v>68150</v>
      </c>
      <c r="D1426" s="2841">
        <f t="shared" si="114"/>
        <v>10927</v>
      </c>
      <c r="E1426" s="2841">
        <f t="shared" si="115"/>
        <v>7794</v>
      </c>
      <c r="F1426" s="2841">
        <f t="shared" si="116"/>
        <v>10927</v>
      </c>
      <c r="G1426" s="2841">
        <f t="shared" si="117"/>
        <v>9536</v>
      </c>
    </row>
    <row r="1427" spans="1:7" ht="15.75">
      <c r="A1427" s="3022">
        <f t="shared" si="118"/>
        <v>68175</v>
      </c>
      <c r="B1427" s="2840">
        <v>68150</v>
      </c>
      <c r="C1427" s="2840">
        <v>68200</v>
      </c>
      <c r="D1427" s="2841">
        <f t="shared" si="114"/>
        <v>10938</v>
      </c>
      <c r="E1427" s="2841">
        <f t="shared" si="115"/>
        <v>7800</v>
      </c>
      <c r="F1427" s="2841">
        <f t="shared" si="116"/>
        <v>10938</v>
      </c>
      <c r="G1427" s="2841">
        <f t="shared" si="117"/>
        <v>9547</v>
      </c>
    </row>
    <row r="1428" spans="1:7" ht="15.75">
      <c r="A1428" s="3022">
        <f t="shared" si="118"/>
        <v>68225</v>
      </c>
      <c r="B1428" s="2840">
        <v>68200</v>
      </c>
      <c r="C1428" s="2840">
        <v>68250</v>
      </c>
      <c r="D1428" s="2841">
        <f t="shared" si="114"/>
        <v>10949</v>
      </c>
      <c r="E1428" s="2841">
        <f t="shared" si="115"/>
        <v>7806</v>
      </c>
      <c r="F1428" s="2841">
        <f t="shared" si="116"/>
        <v>10949</v>
      </c>
      <c r="G1428" s="2841">
        <f t="shared" si="117"/>
        <v>9558</v>
      </c>
    </row>
    <row r="1429" spans="1:7" ht="15.75">
      <c r="A1429" s="3022">
        <f t="shared" si="118"/>
        <v>68275</v>
      </c>
      <c r="B1429" s="2840">
        <v>68250</v>
      </c>
      <c r="C1429" s="2840">
        <v>68300</v>
      </c>
      <c r="D1429" s="2841">
        <f t="shared" si="114"/>
        <v>10960</v>
      </c>
      <c r="E1429" s="2841">
        <f t="shared" si="115"/>
        <v>7812</v>
      </c>
      <c r="F1429" s="2841">
        <f t="shared" si="116"/>
        <v>10960</v>
      </c>
      <c r="G1429" s="2841">
        <f t="shared" si="117"/>
        <v>9569</v>
      </c>
    </row>
    <row r="1430" spans="1:7" ht="15.75">
      <c r="A1430" s="3022">
        <f t="shared" si="118"/>
        <v>68325</v>
      </c>
      <c r="B1430" s="2840">
        <v>68300</v>
      </c>
      <c r="C1430" s="2840">
        <v>68350</v>
      </c>
      <c r="D1430" s="2841">
        <f t="shared" si="114"/>
        <v>10971</v>
      </c>
      <c r="E1430" s="2841">
        <f t="shared" si="115"/>
        <v>7818</v>
      </c>
      <c r="F1430" s="2841">
        <f t="shared" si="116"/>
        <v>10971</v>
      </c>
      <c r="G1430" s="2841">
        <f t="shared" si="117"/>
        <v>9580</v>
      </c>
    </row>
    <row r="1431" spans="1:7" ht="15.75">
      <c r="A1431" s="3022">
        <f t="shared" si="118"/>
        <v>68375</v>
      </c>
      <c r="B1431" s="2840">
        <v>68350</v>
      </c>
      <c r="C1431" s="2840">
        <v>68400</v>
      </c>
      <c r="D1431" s="2841">
        <f t="shared" si="114"/>
        <v>10982</v>
      </c>
      <c r="E1431" s="2841">
        <f t="shared" si="115"/>
        <v>7824</v>
      </c>
      <c r="F1431" s="2841">
        <f t="shared" si="116"/>
        <v>10982</v>
      </c>
      <c r="G1431" s="2841">
        <f t="shared" si="117"/>
        <v>9591</v>
      </c>
    </row>
    <row r="1432" spans="1:7" ht="15.75">
      <c r="A1432" s="3022">
        <f t="shared" si="118"/>
        <v>68425</v>
      </c>
      <c r="B1432" s="2840">
        <v>68400</v>
      </c>
      <c r="C1432" s="2840">
        <v>68450</v>
      </c>
      <c r="D1432" s="2841">
        <f t="shared" si="114"/>
        <v>10993</v>
      </c>
      <c r="E1432" s="2841">
        <f t="shared" si="115"/>
        <v>7830</v>
      </c>
      <c r="F1432" s="2841">
        <f t="shared" si="116"/>
        <v>10993</v>
      </c>
      <c r="G1432" s="2841">
        <f t="shared" si="117"/>
        <v>9602</v>
      </c>
    </row>
    <row r="1433" spans="1:7" ht="15.75">
      <c r="A1433" s="3022">
        <f t="shared" si="118"/>
        <v>68475</v>
      </c>
      <c r="B1433" s="2840">
        <v>68450</v>
      </c>
      <c r="C1433" s="2840">
        <v>68500</v>
      </c>
      <c r="D1433" s="2841">
        <f t="shared" si="114"/>
        <v>11004</v>
      </c>
      <c r="E1433" s="2841">
        <f t="shared" si="115"/>
        <v>7836</v>
      </c>
      <c r="F1433" s="2841">
        <f t="shared" si="116"/>
        <v>11004</v>
      </c>
      <c r="G1433" s="2841">
        <f t="shared" si="117"/>
        <v>9613</v>
      </c>
    </row>
    <row r="1434" spans="1:7" ht="15.75">
      <c r="A1434" s="3022">
        <f t="shared" si="118"/>
        <v>68525</v>
      </c>
      <c r="B1434" s="2840">
        <v>68500</v>
      </c>
      <c r="C1434" s="2840">
        <v>68550</v>
      </c>
      <c r="D1434" s="2841">
        <f t="shared" si="114"/>
        <v>11015</v>
      </c>
      <c r="E1434" s="2841">
        <f t="shared" si="115"/>
        <v>7842</v>
      </c>
      <c r="F1434" s="2841">
        <f t="shared" si="116"/>
        <v>11015</v>
      </c>
      <c r="G1434" s="2841">
        <f t="shared" si="117"/>
        <v>9624</v>
      </c>
    </row>
    <row r="1435" spans="1:7" ht="15.75">
      <c r="A1435" s="3022">
        <f t="shared" si="118"/>
        <v>68575</v>
      </c>
      <c r="B1435" s="2840">
        <v>68550</v>
      </c>
      <c r="C1435" s="2840">
        <v>68600</v>
      </c>
      <c r="D1435" s="2841">
        <f t="shared" si="114"/>
        <v>11026</v>
      </c>
      <c r="E1435" s="2841">
        <f t="shared" si="115"/>
        <v>7848</v>
      </c>
      <c r="F1435" s="2841">
        <f t="shared" si="116"/>
        <v>11026</v>
      </c>
      <c r="G1435" s="2841">
        <f t="shared" si="117"/>
        <v>9635</v>
      </c>
    </row>
    <row r="1436" spans="1:7" ht="15.75">
      <c r="A1436" s="3022">
        <f t="shared" si="118"/>
        <v>68625</v>
      </c>
      <c r="B1436" s="2840">
        <v>68600</v>
      </c>
      <c r="C1436" s="2840">
        <v>68650</v>
      </c>
      <c r="D1436" s="2841">
        <f t="shared" si="114"/>
        <v>11037</v>
      </c>
      <c r="E1436" s="2841">
        <f t="shared" si="115"/>
        <v>7854</v>
      </c>
      <c r="F1436" s="2841">
        <f t="shared" si="116"/>
        <v>11037</v>
      </c>
      <c r="G1436" s="2841">
        <f t="shared" si="117"/>
        <v>9646</v>
      </c>
    </row>
    <row r="1437" spans="1:7" ht="15.75">
      <c r="A1437" s="3022">
        <f t="shared" si="118"/>
        <v>68675</v>
      </c>
      <c r="B1437" s="2840">
        <v>68650</v>
      </c>
      <c r="C1437" s="2840">
        <v>68700</v>
      </c>
      <c r="D1437" s="2841">
        <f t="shared" si="114"/>
        <v>11048</v>
      </c>
      <c r="E1437" s="2841">
        <f t="shared" si="115"/>
        <v>7860</v>
      </c>
      <c r="F1437" s="2841">
        <f t="shared" si="116"/>
        <v>11048</v>
      </c>
      <c r="G1437" s="2841">
        <f t="shared" si="117"/>
        <v>9657</v>
      </c>
    </row>
    <row r="1438" spans="1:7" ht="15.75">
      <c r="A1438" s="3022">
        <f t="shared" si="118"/>
        <v>68725</v>
      </c>
      <c r="B1438" s="2840">
        <v>68700</v>
      </c>
      <c r="C1438" s="2840">
        <v>68750</v>
      </c>
      <c r="D1438" s="2841">
        <f t="shared" si="114"/>
        <v>11059</v>
      </c>
      <c r="E1438" s="2841">
        <f t="shared" si="115"/>
        <v>7866</v>
      </c>
      <c r="F1438" s="2841">
        <f t="shared" si="116"/>
        <v>11059</v>
      </c>
      <c r="G1438" s="2841">
        <f t="shared" si="117"/>
        <v>9668</v>
      </c>
    </row>
    <row r="1439" spans="1:7" ht="15.75">
      <c r="A1439" s="3022">
        <f t="shared" si="118"/>
        <v>68775</v>
      </c>
      <c r="B1439" s="2840">
        <v>68750</v>
      </c>
      <c r="C1439" s="2840">
        <v>68800</v>
      </c>
      <c r="D1439" s="2841">
        <f t="shared" si="114"/>
        <v>11070</v>
      </c>
      <c r="E1439" s="2841">
        <f t="shared" si="115"/>
        <v>7872</v>
      </c>
      <c r="F1439" s="2841">
        <f t="shared" si="116"/>
        <v>11070</v>
      </c>
      <c r="G1439" s="2841">
        <f t="shared" si="117"/>
        <v>9679</v>
      </c>
    </row>
    <row r="1440" spans="1:7" ht="15.75">
      <c r="A1440" s="3022">
        <f t="shared" si="118"/>
        <v>68825</v>
      </c>
      <c r="B1440" s="2840">
        <v>68800</v>
      </c>
      <c r="C1440" s="2840">
        <v>68850</v>
      </c>
      <c r="D1440" s="2841">
        <f t="shared" si="114"/>
        <v>11081</v>
      </c>
      <c r="E1440" s="2841">
        <f t="shared" si="115"/>
        <v>7878</v>
      </c>
      <c r="F1440" s="2841">
        <f t="shared" si="116"/>
        <v>11081</v>
      </c>
      <c r="G1440" s="2841">
        <f t="shared" si="117"/>
        <v>9690</v>
      </c>
    </row>
    <row r="1441" spans="1:7" ht="15.75">
      <c r="A1441" s="3022">
        <f t="shared" si="118"/>
        <v>68875</v>
      </c>
      <c r="B1441" s="2840">
        <v>68850</v>
      </c>
      <c r="C1441" s="2840">
        <v>68900</v>
      </c>
      <c r="D1441" s="2841">
        <f t="shared" si="114"/>
        <v>11092</v>
      </c>
      <c r="E1441" s="2841">
        <f t="shared" si="115"/>
        <v>7884</v>
      </c>
      <c r="F1441" s="2841">
        <f t="shared" si="116"/>
        <v>11092</v>
      </c>
      <c r="G1441" s="2841">
        <f t="shared" si="117"/>
        <v>9701</v>
      </c>
    </row>
    <row r="1442" spans="1:7" ht="15.75">
      <c r="A1442" s="3022">
        <f t="shared" si="118"/>
        <v>68925</v>
      </c>
      <c r="B1442" s="2840">
        <v>68900</v>
      </c>
      <c r="C1442" s="2840">
        <v>68950</v>
      </c>
      <c r="D1442" s="2841">
        <f t="shared" si="114"/>
        <v>11103</v>
      </c>
      <c r="E1442" s="2841">
        <f t="shared" si="115"/>
        <v>7890</v>
      </c>
      <c r="F1442" s="2841">
        <f t="shared" si="116"/>
        <v>11103</v>
      </c>
      <c r="G1442" s="2841">
        <f t="shared" si="117"/>
        <v>9712</v>
      </c>
    </row>
    <row r="1443" spans="1:7" ht="15.75">
      <c r="A1443" s="3022">
        <f t="shared" si="118"/>
        <v>68975</v>
      </c>
      <c r="B1443" s="2840">
        <v>68950</v>
      </c>
      <c r="C1443" s="2840">
        <v>69000</v>
      </c>
      <c r="D1443" s="2841">
        <f t="shared" si="114"/>
        <v>11114</v>
      </c>
      <c r="E1443" s="2841">
        <f t="shared" si="115"/>
        <v>7896</v>
      </c>
      <c r="F1443" s="2841">
        <f t="shared" si="116"/>
        <v>11114</v>
      </c>
      <c r="G1443" s="2841">
        <f t="shared" si="117"/>
        <v>9723</v>
      </c>
    </row>
    <row r="1444" spans="1:7" ht="15.75">
      <c r="A1444" s="3022">
        <f t="shared" si="118"/>
        <v>69025</v>
      </c>
      <c r="B1444" s="2840">
        <v>69000</v>
      </c>
      <c r="C1444" s="2840">
        <v>69050</v>
      </c>
      <c r="D1444" s="2841">
        <f t="shared" si="114"/>
        <v>11125</v>
      </c>
      <c r="E1444" s="2841">
        <f t="shared" si="115"/>
        <v>7902</v>
      </c>
      <c r="F1444" s="2841">
        <f t="shared" si="116"/>
        <v>11125</v>
      </c>
      <c r="G1444" s="2841">
        <f t="shared" si="117"/>
        <v>9734</v>
      </c>
    </row>
    <row r="1445" spans="1:7" ht="15.75">
      <c r="A1445" s="3022">
        <f t="shared" si="118"/>
        <v>69075</v>
      </c>
      <c r="B1445" s="2840">
        <v>69050</v>
      </c>
      <c r="C1445" s="2840">
        <v>69100</v>
      </c>
      <c r="D1445" s="2841">
        <f t="shared" si="114"/>
        <v>11136</v>
      </c>
      <c r="E1445" s="2841">
        <f t="shared" si="115"/>
        <v>7908</v>
      </c>
      <c r="F1445" s="2841">
        <f t="shared" si="116"/>
        <v>11136</v>
      </c>
      <c r="G1445" s="2841">
        <f t="shared" si="117"/>
        <v>9745</v>
      </c>
    </row>
    <row r="1446" spans="1:7" ht="15.75">
      <c r="A1446" s="3022">
        <f t="shared" si="118"/>
        <v>69125</v>
      </c>
      <c r="B1446" s="2840">
        <v>69100</v>
      </c>
      <c r="C1446" s="2840">
        <v>69150</v>
      </c>
      <c r="D1446" s="2841">
        <f t="shared" si="114"/>
        <v>11147</v>
      </c>
      <c r="E1446" s="2841">
        <f t="shared" si="115"/>
        <v>7914</v>
      </c>
      <c r="F1446" s="2841">
        <f t="shared" si="116"/>
        <v>11147</v>
      </c>
      <c r="G1446" s="2841">
        <f t="shared" si="117"/>
        <v>9756</v>
      </c>
    </row>
    <row r="1447" spans="1:7" ht="15.75">
      <c r="A1447" s="3022">
        <f t="shared" si="118"/>
        <v>69175</v>
      </c>
      <c r="B1447" s="2840">
        <v>69150</v>
      </c>
      <c r="C1447" s="2840">
        <v>69200</v>
      </c>
      <c r="D1447" s="2841">
        <f t="shared" si="114"/>
        <v>11158</v>
      </c>
      <c r="E1447" s="2841">
        <f t="shared" si="115"/>
        <v>7920</v>
      </c>
      <c r="F1447" s="2841">
        <f t="shared" si="116"/>
        <v>11158</v>
      </c>
      <c r="G1447" s="2841">
        <f t="shared" si="117"/>
        <v>9767</v>
      </c>
    </row>
    <row r="1448" spans="1:7" ht="15.75">
      <c r="A1448" s="3022">
        <f t="shared" si="118"/>
        <v>69225</v>
      </c>
      <c r="B1448" s="2840">
        <v>69200</v>
      </c>
      <c r="C1448" s="2840">
        <v>69250</v>
      </c>
      <c r="D1448" s="2841">
        <f t="shared" si="114"/>
        <v>11169</v>
      </c>
      <c r="E1448" s="2841">
        <f t="shared" si="115"/>
        <v>7926</v>
      </c>
      <c r="F1448" s="2841">
        <f t="shared" si="116"/>
        <v>11169</v>
      </c>
      <c r="G1448" s="2841">
        <f t="shared" si="117"/>
        <v>9778</v>
      </c>
    </row>
    <row r="1449" spans="1:7" ht="15.75">
      <c r="A1449" s="3022">
        <f t="shared" si="118"/>
        <v>69275</v>
      </c>
      <c r="B1449" s="2840">
        <v>69250</v>
      </c>
      <c r="C1449" s="2840">
        <v>69300</v>
      </c>
      <c r="D1449" s="2841">
        <f t="shared" si="114"/>
        <v>11180</v>
      </c>
      <c r="E1449" s="2841">
        <f t="shared" si="115"/>
        <v>7932</v>
      </c>
      <c r="F1449" s="2841">
        <f t="shared" si="116"/>
        <v>11180</v>
      </c>
      <c r="G1449" s="2841">
        <f t="shared" si="117"/>
        <v>9789</v>
      </c>
    </row>
    <row r="1450" spans="1:7" ht="15.75">
      <c r="A1450" s="3022">
        <f t="shared" si="118"/>
        <v>69325</v>
      </c>
      <c r="B1450" s="2840">
        <v>69300</v>
      </c>
      <c r="C1450" s="2840">
        <v>69350</v>
      </c>
      <c r="D1450" s="2841">
        <f t="shared" si="114"/>
        <v>11191</v>
      </c>
      <c r="E1450" s="2841">
        <f t="shared" si="115"/>
        <v>7938</v>
      </c>
      <c r="F1450" s="2841">
        <f t="shared" si="116"/>
        <v>11191</v>
      </c>
      <c r="G1450" s="2841">
        <f t="shared" si="117"/>
        <v>9800</v>
      </c>
    </row>
    <row r="1451" spans="1:7" ht="15.75">
      <c r="A1451" s="3022">
        <f t="shared" si="118"/>
        <v>69375</v>
      </c>
      <c r="B1451" s="2840">
        <v>69350</v>
      </c>
      <c r="C1451" s="2840">
        <v>69400</v>
      </c>
      <c r="D1451" s="2841">
        <f t="shared" si="114"/>
        <v>11202</v>
      </c>
      <c r="E1451" s="2841">
        <f t="shared" si="115"/>
        <v>7944</v>
      </c>
      <c r="F1451" s="2841">
        <f t="shared" si="116"/>
        <v>11202</v>
      </c>
      <c r="G1451" s="2841">
        <f t="shared" si="117"/>
        <v>9811</v>
      </c>
    </row>
    <row r="1452" spans="1:7" ht="15.75">
      <c r="A1452" s="3022">
        <f t="shared" si="118"/>
        <v>69425</v>
      </c>
      <c r="B1452" s="2840">
        <v>69400</v>
      </c>
      <c r="C1452" s="2840">
        <v>69450</v>
      </c>
      <c r="D1452" s="2841">
        <f t="shared" si="114"/>
        <v>11213</v>
      </c>
      <c r="E1452" s="2841">
        <f t="shared" si="115"/>
        <v>7950</v>
      </c>
      <c r="F1452" s="2841">
        <f t="shared" si="116"/>
        <v>11213</v>
      </c>
      <c r="G1452" s="2841">
        <f t="shared" si="117"/>
        <v>9822</v>
      </c>
    </row>
    <row r="1453" spans="1:7" ht="15.75">
      <c r="A1453" s="3022">
        <f t="shared" si="118"/>
        <v>69475</v>
      </c>
      <c r="B1453" s="2840">
        <v>69450</v>
      </c>
      <c r="C1453" s="2840">
        <v>69500</v>
      </c>
      <c r="D1453" s="2841">
        <f t="shared" si="114"/>
        <v>11224</v>
      </c>
      <c r="E1453" s="2841">
        <f t="shared" si="115"/>
        <v>7956</v>
      </c>
      <c r="F1453" s="2841">
        <f t="shared" si="116"/>
        <v>11224</v>
      </c>
      <c r="G1453" s="2841">
        <f t="shared" si="117"/>
        <v>9833</v>
      </c>
    </row>
    <row r="1454" spans="1:7" ht="15.75">
      <c r="A1454" s="3022">
        <f t="shared" si="118"/>
        <v>69525</v>
      </c>
      <c r="B1454" s="2840">
        <v>69500</v>
      </c>
      <c r="C1454" s="2840">
        <v>69550</v>
      </c>
      <c r="D1454" s="2841">
        <f t="shared" si="114"/>
        <v>11235</v>
      </c>
      <c r="E1454" s="2841">
        <f t="shared" si="115"/>
        <v>7962</v>
      </c>
      <c r="F1454" s="2841">
        <f t="shared" si="116"/>
        <v>11235</v>
      </c>
      <c r="G1454" s="2841">
        <f t="shared" si="117"/>
        <v>9844</v>
      </c>
    </row>
    <row r="1455" spans="1:7" ht="15.75">
      <c r="A1455" s="3022">
        <f t="shared" si="118"/>
        <v>69575</v>
      </c>
      <c r="B1455" s="2840">
        <v>69550</v>
      </c>
      <c r="C1455" s="2840">
        <v>69600</v>
      </c>
      <c r="D1455" s="2841">
        <f t="shared" si="114"/>
        <v>11246</v>
      </c>
      <c r="E1455" s="2841">
        <f t="shared" si="115"/>
        <v>7968</v>
      </c>
      <c r="F1455" s="2841">
        <f t="shared" si="116"/>
        <v>11246</v>
      </c>
      <c r="G1455" s="2841">
        <f t="shared" si="117"/>
        <v>9855</v>
      </c>
    </row>
    <row r="1456" spans="1:7" ht="15.75">
      <c r="A1456" s="3022">
        <f t="shared" si="118"/>
        <v>69625</v>
      </c>
      <c r="B1456" s="2840">
        <v>69600</v>
      </c>
      <c r="C1456" s="2840">
        <v>69650</v>
      </c>
      <c r="D1456" s="2841">
        <f t="shared" si="114"/>
        <v>11257</v>
      </c>
      <c r="E1456" s="2841">
        <f t="shared" si="115"/>
        <v>7974</v>
      </c>
      <c r="F1456" s="2841">
        <f t="shared" si="116"/>
        <v>11257</v>
      </c>
      <c r="G1456" s="2841">
        <f t="shared" si="117"/>
        <v>9866</v>
      </c>
    </row>
    <row r="1457" spans="1:7" ht="15.75">
      <c r="A1457" s="3022">
        <f t="shared" si="118"/>
        <v>69675</v>
      </c>
      <c r="B1457" s="2840">
        <v>69650</v>
      </c>
      <c r="C1457" s="2840">
        <v>69700</v>
      </c>
      <c r="D1457" s="2841">
        <f t="shared" si="114"/>
        <v>11268</v>
      </c>
      <c r="E1457" s="2841">
        <f t="shared" si="115"/>
        <v>7980</v>
      </c>
      <c r="F1457" s="2841">
        <f t="shared" si="116"/>
        <v>11268</v>
      </c>
      <c r="G1457" s="2841">
        <f t="shared" si="117"/>
        <v>9877</v>
      </c>
    </row>
    <row r="1458" spans="1:7" ht="15.75">
      <c r="A1458" s="3022">
        <f t="shared" si="118"/>
        <v>69725</v>
      </c>
      <c r="B1458" s="2840">
        <v>69700</v>
      </c>
      <c r="C1458" s="2840">
        <v>69750</v>
      </c>
      <c r="D1458" s="2841">
        <f t="shared" si="114"/>
        <v>11279</v>
      </c>
      <c r="E1458" s="2841">
        <f t="shared" si="115"/>
        <v>7986</v>
      </c>
      <c r="F1458" s="2841">
        <f t="shared" si="116"/>
        <v>11279</v>
      </c>
      <c r="G1458" s="2841">
        <f t="shared" si="117"/>
        <v>9888</v>
      </c>
    </row>
    <row r="1459" spans="1:7" ht="15.75">
      <c r="A1459" s="3022">
        <f t="shared" si="118"/>
        <v>69775</v>
      </c>
      <c r="B1459" s="2840">
        <v>69750</v>
      </c>
      <c r="C1459" s="2840">
        <v>69800</v>
      </c>
      <c r="D1459" s="2841">
        <f t="shared" si="114"/>
        <v>11290</v>
      </c>
      <c r="E1459" s="2841">
        <f t="shared" si="115"/>
        <v>7992</v>
      </c>
      <c r="F1459" s="2841">
        <f t="shared" si="116"/>
        <v>11290</v>
      </c>
      <c r="G1459" s="2841">
        <f t="shared" si="117"/>
        <v>9899</v>
      </c>
    </row>
    <row r="1460" spans="1:7" ht="15.75">
      <c r="A1460" s="3022">
        <f t="shared" si="118"/>
        <v>69825</v>
      </c>
      <c r="B1460" s="2840">
        <v>69800</v>
      </c>
      <c r="C1460" s="2840">
        <v>69850</v>
      </c>
      <c r="D1460" s="2841">
        <f t="shared" si="114"/>
        <v>11301</v>
      </c>
      <c r="E1460" s="2841">
        <f t="shared" si="115"/>
        <v>7998</v>
      </c>
      <c r="F1460" s="2841">
        <f t="shared" si="116"/>
        <v>11301</v>
      </c>
      <c r="G1460" s="2841">
        <f t="shared" si="117"/>
        <v>9910</v>
      </c>
    </row>
    <row r="1461" spans="1:7" ht="15.75">
      <c r="A1461" s="3022">
        <f t="shared" si="118"/>
        <v>69875</v>
      </c>
      <c r="B1461" s="2840">
        <v>69850</v>
      </c>
      <c r="C1461" s="2840">
        <v>69900</v>
      </c>
      <c r="D1461" s="2841">
        <f t="shared" si="114"/>
        <v>11312</v>
      </c>
      <c r="E1461" s="2841">
        <f t="shared" si="115"/>
        <v>8004</v>
      </c>
      <c r="F1461" s="2841">
        <f t="shared" si="116"/>
        <v>11312</v>
      </c>
      <c r="G1461" s="2841">
        <f t="shared" si="117"/>
        <v>9921</v>
      </c>
    </row>
    <row r="1462" spans="1:7" ht="15.75">
      <c r="A1462" s="3022">
        <f t="shared" si="118"/>
        <v>69925</v>
      </c>
      <c r="B1462" s="2840">
        <v>69900</v>
      </c>
      <c r="C1462" s="2840">
        <v>69950</v>
      </c>
      <c r="D1462" s="2841">
        <f t="shared" si="114"/>
        <v>11323</v>
      </c>
      <c r="E1462" s="2841">
        <f t="shared" si="115"/>
        <v>8010</v>
      </c>
      <c r="F1462" s="2841">
        <f t="shared" si="116"/>
        <v>11323</v>
      </c>
      <c r="G1462" s="2841">
        <f t="shared" si="117"/>
        <v>9932</v>
      </c>
    </row>
    <row r="1463" spans="1:7" ht="15.75">
      <c r="A1463" s="3022">
        <f t="shared" si="118"/>
        <v>69975</v>
      </c>
      <c r="B1463" s="2840">
        <v>69950</v>
      </c>
      <c r="C1463" s="2840">
        <v>70000</v>
      </c>
      <c r="D1463" s="2841">
        <f t="shared" si="114"/>
        <v>11334</v>
      </c>
      <c r="E1463" s="2841">
        <f t="shared" si="115"/>
        <v>8016</v>
      </c>
      <c r="F1463" s="2841">
        <f t="shared" si="116"/>
        <v>11334</v>
      </c>
      <c r="G1463" s="2841">
        <f t="shared" si="117"/>
        <v>9943</v>
      </c>
    </row>
    <row r="1464" spans="1:7" ht="15.75">
      <c r="A1464" s="3022">
        <f t="shared" si="118"/>
        <v>70025</v>
      </c>
      <c r="B1464" s="2840">
        <v>70000</v>
      </c>
      <c r="C1464" s="2840">
        <v>70050</v>
      </c>
      <c r="D1464" s="2841">
        <f t="shared" si="114"/>
        <v>11345</v>
      </c>
      <c r="E1464" s="2841">
        <f t="shared" si="115"/>
        <v>8022</v>
      </c>
      <c r="F1464" s="2841">
        <f t="shared" si="116"/>
        <v>11345</v>
      </c>
      <c r="G1464" s="2841">
        <f t="shared" si="117"/>
        <v>9954</v>
      </c>
    </row>
    <row r="1465" spans="1:7" ht="15.75">
      <c r="A1465" s="3022">
        <f t="shared" si="118"/>
        <v>70075</v>
      </c>
      <c r="B1465" s="2840">
        <v>70050</v>
      </c>
      <c r="C1465" s="2840">
        <v>70100</v>
      </c>
      <c r="D1465" s="2841">
        <f t="shared" si="114"/>
        <v>11356</v>
      </c>
      <c r="E1465" s="2841">
        <f t="shared" si="115"/>
        <v>8028</v>
      </c>
      <c r="F1465" s="2841">
        <f t="shared" si="116"/>
        <v>11356</v>
      </c>
      <c r="G1465" s="2841">
        <f t="shared" si="117"/>
        <v>9965</v>
      </c>
    </row>
    <row r="1466" spans="1:7" ht="15.75">
      <c r="A1466" s="3022">
        <f t="shared" si="118"/>
        <v>70125</v>
      </c>
      <c r="B1466" s="2840">
        <v>70100</v>
      </c>
      <c r="C1466" s="2840">
        <v>70150</v>
      </c>
      <c r="D1466" s="2841">
        <f t="shared" si="114"/>
        <v>11367</v>
      </c>
      <c r="E1466" s="2841">
        <f t="shared" si="115"/>
        <v>8034</v>
      </c>
      <c r="F1466" s="2841">
        <f t="shared" si="116"/>
        <v>11367</v>
      </c>
      <c r="G1466" s="2841">
        <f t="shared" si="117"/>
        <v>9976</v>
      </c>
    </row>
    <row r="1467" spans="1:7" ht="15.75">
      <c r="A1467" s="3022">
        <f t="shared" si="118"/>
        <v>70175</v>
      </c>
      <c r="B1467" s="2840">
        <v>70150</v>
      </c>
      <c r="C1467" s="2840">
        <v>70200</v>
      </c>
      <c r="D1467" s="2841">
        <f t="shared" si="114"/>
        <v>11378</v>
      </c>
      <c r="E1467" s="2841">
        <f t="shared" si="115"/>
        <v>8040</v>
      </c>
      <c r="F1467" s="2841">
        <f t="shared" si="116"/>
        <v>11378</v>
      </c>
      <c r="G1467" s="2841">
        <f t="shared" si="117"/>
        <v>9987</v>
      </c>
    </row>
    <row r="1468" spans="1:7" ht="15.75">
      <c r="A1468" s="3022">
        <f t="shared" si="118"/>
        <v>70225</v>
      </c>
      <c r="B1468" s="2840">
        <v>70200</v>
      </c>
      <c r="C1468" s="2840">
        <v>70250</v>
      </c>
      <c r="D1468" s="2841">
        <f t="shared" si="114"/>
        <v>11389</v>
      </c>
      <c r="E1468" s="2841">
        <f t="shared" si="115"/>
        <v>8046</v>
      </c>
      <c r="F1468" s="2841">
        <f t="shared" si="116"/>
        <v>11389</v>
      </c>
      <c r="G1468" s="2841">
        <f t="shared" si="117"/>
        <v>9998</v>
      </c>
    </row>
    <row r="1469" spans="1:7" ht="15.75">
      <c r="A1469" s="3022">
        <f t="shared" si="118"/>
        <v>70275</v>
      </c>
      <c r="B1469" s="2840">
        <v>70250</v>
      </c>
      <c r="C1469" s="2840">
        <v>70300</v>
      </c>
      <c r="D1469" s="2841">
        <f t="shared" si="114"/>
        <v>11400</v>
      </c>
      <c r="E1469" s="2841">
        <f t="shared" si="115"/>
        <v>8052</v>
      </c>
      <c r="F1469" s="2841">
        <f t="shared" si="116"/>
        <v>11400</v>
      </c>
      <c r="G1469" s="2841">
        <f t="shared" si="117"/>
        <v>10009</v>
      </c>
    </row>
    <row r="1470" spans="1:7" ht="15.75">
      <c r="A1470" s="3022">
        <f t="shared" si="118"/>
        <v>70325</v>
      </c>
      <c r="B1470" s="2840">
        <v>70300</v>
      </c>
      <c r="C1470" s="2840">
        <v>70350</v>
      </c>
      <c r="D1470" s="2841">
        <f t="shared" si="114"/>
        <v>11411</v>
      </c>
      <c r="E1470" s="2841">
        <f t="shared" si="115"/>
        <v>8058</v>
      </c>
      <c r="F1470" s="2841">
        <f t="shared" si="116"/>
        <v>11411</v>
      </c>
      <c r="G1470" s="2841">
        <f t="shared" si="117"/>
        <v>10020</v>
      </c>
    </row>
    <row r="1471" spans="1:7" ht="15.75">
      <c r="A1471" s="3022">
        <f t="shared" si="118"/>
        <v>70375</v>
      </c>
      <c r="B1471" s="2840">
        <v>70350</v>
      </c>
      <c r="C1471" s="2840">
        <v>70400</v>
      </c>
      <c r="D1471" s="2841">
        <f t="shared" si="114"/>
        <v>11422</v>
      </c>
      <c r="E1471" s="2841">
        <f t="shared" si="115"/>
        <v>8064</v>
      </c>
      <c r="F1471" s="2841">
        <f t="shared" si="116"/>
        <v>11422</v>
      </c>
      <c r="G1471" s="2841">
        <f t="shared" si="117"/>
        <v>10031</v>
      </c>
    </row>
    <row r="1472" spans="1:7" ht="15.75">
      <c r="A1472" s="3022">
        <f t="shared" si="118"/>
        <v>70425</v>
      </c>
      <c r="B1472" s="2840">
        <v>70400</v>
      </c>
      <c r="C1472" s="2840">
        <v>70450</v>
      </c>
      <c r="D1472" s="2841">
        <f t="shared" si="114"/>
        <v>11433</v>
      </c>
      <c r="E1472" s="2841">
        <f t="shared" si="115"/>
        <v>8070</v>
      </c>
      <c r="F1472" s="2841">
        <f t="shared" si="116"/>
        <v>11433</v>
      </c>
      <c r="G1472" s="2841">
        <f t="shared" si="117"/>
        <v>10042</v>
      </c>
    </row>
    <row r="1473" spans="1:7" ht="15.75">
      <c r="A1473" s="3022">
        <f t="shared" si="118"/>
        <v>70475</v>
      </c>
      <c r="B1473" s="2840">
        <v>70450</v>
      </c>
      <c r="C1473" s="2840">
        <v>70500</v>
      </c>
      <c r="D1473" s="2841">
        <f t="shared" si="114"/>
        <v>11444</v>
      </c>
      <c r="E1473" s="2841">
        <f t="shared" si="115"/>
        <v>8076</v>
      </c>
      <c r="F1473" s="2841">
        <f t="shared" si="116"/>
        <v>11444</v>
      </c>
      <c r="G1473" s="2841">
        <f t="shared" si="117"/>
        <v>10053</v>
      </c>
    </row>
    <row r="1474" spans="1:7" ht="15.75">
      <c r="A1474" s="3022">
        <f t="shared" si="118"/>
        <v>70525</v>
      </c>
      <c r="B1474" s="2840">
        <v>70500</v>
      </c>
      <c r="C1474" s="2840">
        <v>70550</v>
      </c>
      <c r="D1474" s="2841">
        <f t="shared" ref="D1474:D1537" si="119">IF($A1474&gt;BOTT_A4,ROUND(BASE_A4+RATE_A4*($A1474-BOTT_A4),0),IF($A1474&gt;BOTT_A3,ROUND(BASE_A3+RATE_A3*($A1474-BOTT_A3),0),IF($A1474&gt;BOTT_A2,ROUND(BASE_A2+RATE_A2*($A1474-BOTT_A2),0),ROUND(RATE_A1*$A1474,0))))</f>
        <v>11455</v>
      </c>
      <c r="E1474" s="2841">
        <f t="shared" ref="E1474:E1537" si="120">IF($A1474&gt;BOTT_B4,ROUND(BASE_B4+RATE_B4*($A1474-BOTT_B4),0),IF($A1474&gt;BOTT_B3,ROUND(BASE_B3+RATE_B3*($A1474-BOTT_B3),0),IF($A1474&gt;BOTT_B2,ROUND(BASE_B2+RATE_B2*($A1474-BOTT_B2),0),ROUND(RATE_B1*$A1474,0))))</f>
        <v>8082</v>
      </c>
      <c r="F1474" s="2841">
        <f t="shared" ref="F1474:F1537" si="121">IF($A1474&gt;BOTT_C4,ROUND(BASE_C4+RATE_C4*($A1474-BOTT_C4),0),IF($A1474&gt;BOTT_C3,ROUND(BASE_C3+RATE_C3*($A1474-BOTT_C3),0),IF($A1474&gt;BOTT_C2,ROUND(BASE_C2+RATE_C2*($A1474-BOTT_C2),0),ROUND(RATE_C1*$A1474,0))))</f>
        <v>11455</v>
      </c>
      <c r="G1474" s="2841">
        <f t="shared" ref="G1474:G1537" si="122">IF($A1474&gt;BOTT_D4,ROUND(BASE_D4+RATE_D4*($A1474-BOTT_D4),0),IF($A1474&gt;BOTT_D3,ROUND(BASE_D3+RATE_D3*($A1474-BOTT_D3),0),IF($A1474&gt;BOTT_D2,ROUND(BASE_D2+RATE_D2*($A1474-BOTT_D2),0),ROUND(RATE_D1*$A1474,0))))</f>
        <v>10064</v>
      </c>
    </row>
    <row r="1475" spans="1:7" ht="15.75">
      <c r="A1475" s="3022">
        <f t="shared" ref="A1475:A1538" si="123">AVERAGE(B1475,C1475)</f>
        <v>70575</v>
      </c>
      <c r="B1475" s="2840">
        <v>70550</v>
      </c>
      <c r="C1475" s="2840">
        <v>70600</v>
      </c>
      <c r="D1475" s="2841">
        <f t="shared" si="119"/>
        <v>11466</v>
      </c>
      <c r="E1475" s="2841">
        <f t="shared" si="120"/>
        <v>8088</v>
      </c>
      <c r="F1475" s="2841">
        <f t="shared" si="121"/>
        <v>11466</v>
      </c>
      <c r="G1475" s="2841">
        <f t="shared" si="122"/>
        <v>10075</v>
      </c>
    </row>
    <row r="1476" spans="1:7" ht="15.75">
      <c r="A1476" s="3022">
        <f t="shared" si="123"/>
        <v>70625</v>
      </c>
      <c r="B1476" s="2840">
        <v>70600</v>
      </c>
      <c r="C1476" s="2840">
        <v>70650</v>
      </c>
      <c r="D1476" s="2841">
        <f t="shared" si="119"/>
        <v>11477</v>
      </c>
      <c r="E1476" s="2841">
        <f t="shared" si="120"/>
        <v>8094</v>
      </c>
      <c r="F1476" s="2841">
        <f t="shared" si="121"/>
        <v>11477</v>
      </c>
      <c r="G1476" s="2841">
        <f t="shared" si="122"/>
        <v>10086</v>
      </c>
    </row>
    <row r="1477" spans="1:7" ht="15.75">
      <c r="A1477" s="3022">
        <f t="shared" si="123"/>
        <v>70675</v>
      </c>
      <c r="B1477" s="2840">
        <v>70650</v>
      </c>
      <c r="C1477" s="2840">
        <v>70700</v>
      </c>
      <c r="D1477" s="2841">
        <f t="shared" si="119"/>
        <v>11488</v>
      </c>
      <c r="E1477" s="2841">
        <f t="shared" si="120"/>
        <v>8100</v>
      </c>
      <c r="F1477" s="2841">
        <f t="shared" si="121"/>
        <v>11488</v>
      </c>
      <c r="G1477" s="2841">
        <f t="shared" si="122"/>
        <v>10097</v>
      </c>
    </row>
    <row r="1478" spans="1:7" ht="15.75">
      <c r="A1478" s="3022">
        <f t="shared" si="123"/>
        <v>70725</v>
      </c>
      <c r="B1478" s="2840">
        <v>70700</v>
      </c>
      <c r="C1478" s="2840">
        <v>70750</v>
      </c>
      <c r="D1478" s="2841">
        <f t="shared" si="119"/>
        <v>11499</v>
      </c>
      <c r="E1478" s="2841">
        <f t="shared" si="120"/>
        <v>8106</v>
      </c>
      <c r="F1478" s="2841">
        <f t="shared" si="121"/>
        <v>11499</v>
      </c>
      <c r="G1478" s="2841">
        <f t="shared" si="122"/>
        <v>10108</v>
      </c>
    </row>
    <row r="1479" spans="1:7" ht="15.75">
      <c r="A1479" s="3022">
        <f t="shared" si="123"/>
        <v>70775</v>
      </c>
      <c r="B1479" s="2840">
        <v>70750</v>
      </c>
      <c r="C1479" s="2840">
        <v>70800</v>
      </c>
      <c r="D1479" s="2841">
        <f t="shared" si="119"/>
        <v>11510</v>
      </c>
      <c r="E1479" s="2841">
        <f t="shared" si="120"/>
        <v>8112</v>
      </c>
      <c r="F1479" s="2841">
        <f t="shared" si="121"/>
        <v>11510</v>
      </c>
      <c r="G1479" s="2841">
        <f t="shared" si="122"/>
        <v>10119</v>
      </c>
    </row>
    <row r="1480" spans="1:7" ht="15.75">
      <c r="A1480" s="3022">
        <f t="shared" si="123"/>
        <v>70825</v>
      </c>
      <c r="B1480" s="2840">
        <v>70800</v>
      </c>
      <c r="C1480" s="2840">
        <v>70850</v>
      </c>
      <c r="D1480" s="2841">
        <f t="shared" si="119"/>
        <v>11521</v>
      </c>
      <c r="E1480" s="2841">
        <f t="shared" si="120"/>
        <v>8118</v>
      </c>
      <c r="F1480" s="2841">
        <f t="shared" si="121"/>
        <v>11521</v>
      </c>
      <c r="G1480" s="2841">
        <f t="shared" si="122"/>
        <v>10130</v>
      </c>
    </row>
    <row r="1481" spans="1:7" ht="15.75">
      <c r="A1481" s="3022">
        <f t="shared" si="123"/>
        <v>70875</v>
      </c>
      <c r="B1481" s="2840">
        <v>70850</v>
      </c>
      <c r="C1481" s="2840">
        <v>70900</v>
      </c>
      <c r="D1481" s="2841">
        <f t="shared" si="119"/>
        <v>11532</v>
      </c>
      <c r="E1481" s="2841">
        <f t="shared" si="120"/>
        <v>8124</v>
      </c>
      <c r="F1481" s="2841">
        <f t="shared" si="121"/>
        <v>11532</v>
      </c>
      <c r="G1481" s="2841">
        <f t="shared" si="122"/>
        <v>10141</v>
      </c>
    </row>
    <row r="1482" spans="1:7" ht="15.75">
      <c r="A1482" s="3022">
        <f t="shared" si="123"/>
        <v>70925</v>
      </c>
      <c r="B1482" s="2840">
        <v>70900</v>
      </c>
      <c r="C1482" s="2840">
        <v>70950</v>
      </c>
      <c r="D1482" s="2841">
        <f t="shared" si="119"/>
        <v>11543</v>
      </c>
      <c r="E1482" s="2841">
        <f t="shared" si="120"/>
        <v>8130</v>
      </c>
      <c r="F1482" s="2841">
        <f t="shared" si="121"/>
        <v>11543</v>
      </c>
      <c r="G1482" s="2841">
        <f t="shared" si="122"/>
        <v>10152</v>
      </c>
    </row>
    <row r="1483" spans="1:7" ht="15.75">
      <c r="A1483" s="3022">
        <f t="shared" si="123"/>
        <v>70975</v>
      </c>
      <c r="B1483" s="2840">
        <v>70950</v>
      </c>
      <c r="C1483" s="2840">
        <v>71000</v>
      </c>
      <c r="D1483" s="2841">
        <f t="shared" si="119"/>
        <v>11554</v>
      </c>
      <c r="E1483" s="2841">
        <f t="shared" si="120"/>
        <v>8136</v>
      </c>
      <c r="F1483" s="2841">
        <f t="shared" si="121"/>
        <v>11554</v>
      </c>
      <c r="G1483" s="2841">
        <f t="shared" si="122"/>
        <v>10163</v>
      </c>
    </row>
    <row r="1484" spans="1:7" ht="15.75">
      <c r="A1484" s="3022">
        <f t="shared" si="123"/>
        <v>71025</v>
      </c>
      <c r="B1484" s="2840">
        <v>71000</v>
      </c>
      <c r="C1484" s="2840">
        <v>71050</v>
      </c>
      <c r="D1484" s="2841">
        <f t="shared" si="119"/>
        <v>11565</v>
      </c>
      <c r="E1484" s="2841">
        <f t="shared" si="120"/>
        <v>8142</v>
      </c>
      <c r="F1484" s="2841">
        <f t="shared" si="121"/>
        <v>11565</v>
      </c>
      <c r="G1484" s="2841">
        <f t="shared" si="122"/>
        <v>10174</v>
      </c>
    </row>
    <row r="1485" spans="1:7" ht="15.75">
      <c r="A1485" s="3022">
        <f t="shared" si="123"/>
        <v>71075</v>
      </c>
      <c r="B1485" s="2840">
        <v>71050</v>
      </c>
      <c r="C1485" s="2840">
        <v>71100</v>
      </c>
      <c r="D1485" s="2841">
        <f t="shared" si="119"/>
        <v>11576</v>
      </c>
      <c r="E1485" s="2841">
        <f t="shared" si="120"/>
        <v>8148</v>
      </c>
      <c r="F1485" s="2841">
        <f t="shared" si="121"/>
        <v>11576</v>
      </c>
      <c r="G1485" s="2841">
        <f t="shared" si="122"/>
        <v>10185</v>
      </c>
    </row>
    <row r="1486" spans="1:7" ht="15.75">
      <c r="A1486" s="3022">
        <f t="shared" si="123"/>
        <v>71125</v>
      </c>
      <c r="B1486" s="2840">
        <v>71100</v>
      </c>
      <c r="C1486" s="2840">
        <v>71150</v>
      </c>
      <c r="D1486" s="2841">
        <f t="shared" si="119"/>
        <v>11587</v>
      </c>
      <c r="E1486" s="2841">
        <f t="shared" si="120"/>
        <v>8154</v>
      </c>
      <c r="F1486" s="2841">
        <f t="shared" si="121"/>
        <v>11587</v>
      </c>
      <c r="G1486" s="2841">
        <f t="shared" si="122"/>
        <v>10196</v>
      </c>
    </row>
    <row r="1487" spans="1:7" ht="15.75">
      <c r="A1487" s="3022">
        <f t="shared" si="123"/>
        <v>71175</v>
      </c>
      <c r="B1487" s="2840">
        <v>71150</v>
      </c>
      <c r="C1487" s="2840">
        <v>71200</v>
      </c>
      <c r="D1487" s="2841">
        <f t="shared" si="119"/>
        <v>11598</v>
      </c>
      <c r="E1487" s="2841">
        <f t="shared" si="120"/>
        <v>8160</v>
      </c>
      <c r="F1487" s="2841">
        <f t="shared" si="121"/>
        <v>11598</v>
      </c>
      <c r="G1487" s="2841">
        <f t="shared" si="122"/>
        <v>10207</v>
      </c>
    </row>
    <row r="1488" spans="1:7" ht="15.75">
      <c r="A1488" s="3022">
        <f t="shared" si="123"/>
        <v>71225</v>
      </c>
      <c r="B1488" s="2840">
        <v>71200</v>
      </c>
      <c r="C1488" s="2840">
        <v>71250</v>
      </c>
      <c r="D1488" s="2841">
        <f t="shared" si="119"/>
        <v>11609</v>
      </c>
      <c r="E1488" s="2841">
        <f t="shared" si="120"/>
        <v>8166</v>
      </c>
      <c r="F1488" s="2841">
        <f t="shared" si="121"/>
        <v>11609</v>
      </c>
      <c r="G1488" s="2841">
        <f t="shared" si="122"/>
        <v>10218</v>
      </c>
    </row>
    <row r="1489" spans="1:7" ht="15.75">
      <c r="A1489" s="3022">
        <f t="shared" si="123"/>
        <v>71275</v>
      </c>
      <c r="B1489" s="2840">
        <v>71250</v>
      </c>
      <c r="C1489" s="2840">
        <v>71300</v>
      </c>
      <c r="D1489" s="2841">
        <f t="shared" si="119"/>
        <v>11620</v>
      </c>
      <c r="E1489" s="2841">
        <f t="shared" si="120"/>
        <v>8172</v>
      </c>
      <c r="F1489" s="2841">
        <f t="shared" si="121"/>
        <v>11620</v>
      </c>
      <c r="G1489" s="2841">
        <f t="shared" si="122"/>
        <v>10229</v>
      </c>
    </row>
    <row r="1490" spans="1:7" ht="15.75">
      <c r="A1490" s="3022">
        <f t="shared" si="123"/>
        <v>71325</v>
      </c>
      <c r="B1490" s="2840">
        <v>71300</v>
      </c>
      <c r="C1490" s="2840">
        <v>71350</v>
      </c>
      <c r="D1490" s="2841">
        <f t="shared" si="119"/>
        <v>11631</v>
      </c>
      <c r="E1490" s="2841">
        <f t="shared" si="120"/>
        <v>8178</v>
      </c>
      <c r="F1490" s="2841">
        <f t="shared" si="121"/>
        <v>11631</v>
      </c>
      <c r="G1490" s="2841">
        <f t="shared" si="122"/>
        <v>10240</v>
      </c>
    </row>
    <row r="1491" spans="1:7" ht="15.75">
      <c r="A1491" s="3022">
        <f t="shared" si="123"/>
        <v>71375</v>
      </c>
      <c r="B1491" s="2840">
        <v>71350</v>
      </c>
      <c r="C1491" s="2840">
        <v>71400</v>
      </c>
      <c r="D1491" s="2841">
        <f t="shared" si="119"/>
        <v>11642</v>
      </c>
      <c r="E1491" s="2841">
        <f t="shared" si="120"/>
        <v>8184</v>
      </c>
      <c r="F1491" s="2841">
        <f t="shared" si="121"/>
        <v>11642</v>
      </c>
      <c r="G1491" s="2841">
        <f t="shared" si="122"/>
        <v>10251</v>
      </c>
    </row>
    <row r="1492" spans="1:7" ht="15.75">
      <c r="A1492" s="3022">
        <f t="shared" si="123"/>
        <v>71425</v>
      </c>
      <c r="B1492" s="2840">
        <v>71400</v>
      </c>
      <c r="C1492" s="2840">
        <v>71450</v>
      </c>
      <c r="D1492" s="2841">
        <f t="shared" si="119"/>
        <v>11653</v>
      </c>
      <c r="E1492" s="2841">
        <f t="shared" si="120"/>
        <v>8190</v>
      </c>
      <c r="F1492" s="2841">
        <f t="shared" si="121"/>
        <v>11653</v>
      </c>
      <c r="G1492" s="2841">
        <f t="shared" si="122"/>
        <v>10262</v>
      </c>
    </row>
    <row r="1493" spans="1:7" ht="15.75">
      <c r="A1493" s="3022">
        <f t="shared" si="123"/>
        <v>71475</v>
      </c>
      <c r="B1493" s="2840">
        <v>71450</v>
      </c>
      <c r="C1493" s="2840">
        <v>71500</v>
      </c>
      <c r="D1493" s="2841">
        <f t="shared" si="119"/>
        <v>11664</v>
      </c>
      <c r="E1493" s="2841">
        <f t="shared" si="120"/>
        <v>8196</v>
      </c>
      <c r="F1493" s="2841">
        <f t="shared" si="121"/>
        <v>11664</v>
      </c>
      <c r="G1493" s="2841">
        <f t="shared" si="122"/>
        <v>10273</v>
      </c>
    </row>
    <row r="1494" spans="1:7" ht="15.75">
      <c r="A1494" s="3022">
        <f t="shared" si="123"/>
        <v>71525</v>
      </c>
      <c r="B1494" s="2840">
        <v>71500</v>
      </c>
      <c r="C1494" s="2840">
        <v>71550</v>
      </c>
      <c r="D1494" s="2841">
        <f t="shared" si="119"/>
        <v>11675</v>
      </c>
      <c r="E1494" s="2841">
        <f t="shared" si="120"/>
        <v>8202</v>
      </c>
      <c r="F1494" s="2841">
        <f t="shared" si="121"/>
        <v>11675</v>
      </c>
      <c r="G1494" s="2841">
        <f t="shared" si="122"/>
        <v>10284</v>
      </c>
    </row>
    <row r="1495" spans="1:7" ht="15.75">
      <c r="A1495" s="3022">
        <f t="shared" si="123"/>
        <v>71575</v>
      </c>
      <c r="B1495" s="2840">
        <v>71550</v>
      </c>
      <c r="C1495" s="2840">
        <v>71600</v>
      </c>
      <c r="D1495" s="2841">
        <f t="shared" si="119"/>
        <v>11686</v>
      </c>
      <c r="E1495" s="2841">
        <f t="shared" si="120"/>
        <v>8208</v>
      </c>
      <c r="F1495" s="2841">
        <f t="shared" si="121"/>
        <v>11686</v>
      </c>
      <c r="G1495" s="2841">
        <f t="shared" si="122"/>
        <v>10295</v>
      </c>
    </row>
    <row r="1496" spans="1:7" ht="15.75">
      <c r="A1496" s="3022">
        <f t="shared" si="123"/>
        <v>71625</v>
      </c>
      <c r="B1496" s="2840">
        <v>71600</v>
      </c>
      <c r="C1496" s="2840">
        <v>71650</v>
      </c>
      <c r="D1496" s="2841">
        <f t="shared" si="119"/>
        <v>11697</v>
      </c>
      <c r="E1496" s="2841">
        <f t="shared" si="120"/>
        <v>8214</v>
      </c>
      <c r="F1496" s="2841">
        <f t="shared" si="121"/>
        <v>11697</v>
      </c>
      <c r="G1496" s="2841">
        <f t="shared" si="122"/>
        <v>10306</v>
      </c>
    </row>
    <row r="1497" spans="1:7" ht="15.75">
      <c r="A1497" s="3022">
        <f t="shared" si="123"/>
        <v>71675</v>
      </c>
      <c r="B1497" s="2840">
        <v>71650</v>
      </c>
      <c r="C1497" s="2840">
        <v>71700</v>
      </c>
      <c r="D1497" s="2841">
        <f t="shared" si="119"/>
        <v>11708</v>
      </c>
      <c r="E1497" s="2841">
        <f t="shared" si="120"/>
        <v>8220</v>
      </c>
      <c r="F1497" s="2841">
        <f t="shared" si="121"/>
        <v>11708</v>
      </c>
      <c r="G1497" s="2841">
        <f t="shared" si="122"/>
        <v>10317</v>
      </c>
    </row>
    <row r="1498" spans="1:7" ht="15.75">
      <c r="A1498" s="3022">
        <f t="shared" si="123"/>
        <v>71725</v>
      </c>
      <c r="B1498" s="2840">
        <v>71700</v>
      </c>
      <c r="C1498" s="2840">
        <v>71750</v>
      </c>
      <c r="D1498" s="2841">
        <f t="shared" si="119"/>
        <v>11719</v>
      </c>
      <c r="E1498" s="2841">
        <f t="shared" si="120"/>
        <v>8226</v>
      </c>
      <c r="F1498" s="2841">
        <f t="shared" si="121"/>
        <v>11719</v>
      </c>
      <c r="G1498" s="2841">
        <f t="shared" si="122"/>
        <v>10328</v>
      </c>
    </row>
    <row r="1499" spans="1:7" ht="15.75">
      <c r="A1499" s="3022">
        <f t="shared" si="123"/>
        <v>71775</v>
      </c>
      <c r="B1499" s="2840">
        <v>71750</v>
      </c>
      <c r="C1499" s="2840">
        <v>71800</v>
      </c>
      <c r="D1499" s="2841">
        <f t="shared" si="119"/>
        <v>11730</v>
      </c>
      <c r="E1499" s="2841">
        <f t="shared" si="120"/>
        <v>8232</v>
      </c>
      <c r="F1499" s="2841">
        <f t="shared" si="121"/>
        <v>11730</v>
      </c>
      <c r="G1499" s="2841">
        <f t="shared" si="122"/>
        <v>10339</v>
      </c>
    </row>
    <row r="1500" spans="1:7" ht="15.75">
      <c r="A1500" s="3022">
        <f t="shared" si="123"/>
        <v>71825</v>
      </c>
      <c r="B1500" s="2840">
        <v>71800</v>
      </c>
      <c r="C1500" s="2840">
        <v>71850</v>
      </c>
      <c r="D1500" s="2841">
        <f t="shared" si="119"/>
        <v>11741</v>
      </c>
      <c r="E1500" s="2841">
        <f t="shared" si="120"/>
        <v>8238</v>
      </c>
      <c r="F1500" s="2841">
        <f t="shared" si="121"/>
        <v>11741</v>
      </c>
      <c r="G1500" s="2841">
        <f t="shared" si="122"/>
        <v>10350</v>
      </c>
    </row>
    <row r="1501" spans="1:7" ht="15.75">
      <c r="A1501" s="3022">
        <f t="shared" si="123"/>
        <v>71875</v>
      </c>
      <c r="B1501" s="2840">
        <v>71850</v>
      </c>
      <c r="C1501" s="2840">
        <v>71900</v>
      </c>
      <c r="D1501" s="2841">
        <f t="shared" si="119"/>
        <v>11752</v>
      </c>
      <c r="E1501" s="2841">
        <f t="shared" si="120"/>
        <v>8244</v>
      </c>
      <c r="F1501" s="2841">
        <f t="shared" si="121"/>
        <v>11752</v>
      </c>
      <c r="G1501" s="2841">
        <f t="shared" si="122"/>
        <v>10361</v>
      </c>
    </row>
    <row r="1502" spans="1:7" ht="15.75">
      <c r="A1502" s="3022">
        <f t="shared" si="123"/>
        <v>71925</v>
      </c>
      <c r="B1502" s="2840">
        <v>71900</v>
      </c>
      <c r="C1502" s="2840">
        <v>71950</v>
      </c>
      <c r="D1502" s="2841">
        <f t="shared" si="119"/>
        <v>11763</v>
      </c>
      <c r="E1502" s="2841">
        <f t="shared" si="120"/>
        <v>8250</v>
      </c>
      <c r="F1502" s="2841">
        <f t="shared" si="121"/>
        <v>11763</v>
      </c>
      <c r="G1502" s="2841">
        <f t="shared" si="122"/>
        <v>10372</v>
      </c>
    </row>
    <row r="1503" spans="1:7" ht="15.75">
      <c r="A1503" s="3022">
        <f t="shared" si="123"/>
        <v>71975</v>
      </c>
      <c r="B1503" s="2840">
        <v>71950</v>
      </c>
      <c r="C1503" s="2840">
        <v>72000</v>
      </c>
      <c r="D1503" s="2841">
        <f t="shared" si="119"/>
        <v>11774</v>
      </c>
      <c r="E1503" s="2841">
        <f t="shared" si="120"/>
        <v>8256</v>
      </c>
      <c r="F1503" s="2841">
        <f t="shared" si="121"/>
        <v>11774</v>
      </c>
      <c r="G1503" s="2841">
        <f t="shared" si="122"/>
        <v>10383</v>
      </c>
    </row>
    <row r="1504" spans="1:7" ht="15.75">
      <c r="A1504" s="3022">
        <f t="shared" si="123"/>
        <v>72025</v>
      </c>
      <c r="B1504" s="2840">
        <v>72000</v>
      </c>
      <c r="C1504" s="2840">
        <v>72050</v>
      </c>
      <c r="D1504" s="2841">
        <f t="shared" si="119"/>
        <v>11785</v>
      </c>
      <c r="E1504" s="2841">
        <f t="shared" si="120"/>
        <v>8262</v>
      </c>
      <c r="F1504" s="2841">
        <f t="shared" si="121"/>
        <v>11785</v>
      </c>
      <c r="G1504" s="2841">
        <f t="shared" si="122"/>
        <v>10394</v>
      </c>
    </row>
    <row r="1505" spans="1:7" ht="15.75">
      <c r="A1505" s="3022">
        <f t="shared" si="123"/>
        <v>72075</v>
      </c>
      <c r="B1505" s="2840">
        <v>72050</v>
      </c>
      <c r="C1505" s="2840">
        <v>72100</v>
      </c>
      <c r="D1505" s="2841">
        <f t="shared" si="119"/>
        <v>11796</v>
      </c>
      <c r="E1505" s="2841">
        <f t="shared" si="120"/>
        <v>8268</v>
      </c>
      <c r="F1505" s="2841">
        <f t="shared" si="121"/>
        <v>11796</v>
      </c>
      <c r="G1505" s="2841">
        <f t="shared" si="122"/>
        <v>10405</v>
      </c>
    </row>
    <row r="1506" spans="1:7" ht="15.75">
      <c r="A1506" s="3022">
        <f t="shared" si="123"/>
        <v>72125</v>
      </c>
      <c r="B1506" s="2840">
        <v>72100</v>
      </c>
      <c r="C1506" s="2840">
        <v>72150</v>
      </c>
      <c r="D1506" s="2841">
        <f t="shared" si="119"/>
        <v>11807</v>
      </c>
      <c r="E1506" s="2841">
        <f t="shared" si="120"/>
        <v>8274</v>
      </c>
      <c r="F1506" s="2841">
        <f t="shared" si="121"/>
        <v>11807</v>
      </c>
      <c r="G1506" s="2841">
        <f t="shared" si="122"/>
        <v>10416</v>
      </c>
    </row>
    <row r="1507" spans="1:7" ht="15.75">
      <c r="A1507" s="3022">
        <f t="shared" si="123"/>
        <v>72175</v>
      </c>
      <c r="B1507" s="2840">
        <v>72150</v>
      </c>
      <c r="C1507" s="2840">
        <v>72200</v>
      </c>
      <c r="D1507" s="2841">
        <f t="shared" si="119"/>
        <v>11818</v>
      </c>
      <c r="E1507" s="2841">
        <f t="shared" si="120"/>
        <v>8280</v>
      </c>
      <c r="F1507" s="2841">
        <f t="shared" si="121"/>
        <v>11818</v>
      </c>
      <c r="G1507" s="2841">
        <f t="shared" si="122"/>
        <v>10427</v>
      </c>
    </row>
    <row r="1508" spans="1:7" ht="15.75">
      <c r="A1508" s="3022">
        <f t="shared" si="123"/>
        <v>72225</v>
      </c>
      <c r="B1508" s="2840">
        <v>72200</v>
      </c>
      <c r="C1508" s="2840">
        <v>72250</v>
      </c>
      <c r="D1508" s="2841">
        <f t="shared" si="119"/>
        <v>11829</v>
      </c>
      <c r="E1508" s="2841">
        <f t="shared" si="120"/>
        <v>8286</v>
      </c>
      <c r="F1508" s="2841">
        <f t="shared" si="121"/>
        <v>11829</v>
      </c>
      <c r="G1508" s="2841">
        <f t="shared" si="122"/>
        <v>10438</v>
      </c>
    </row>
    <row r="1509" spans="1:7" ht="15.75">
      <c r="A1509" s="3022">
        <f t="shared" si="123"/>
        <v>72275</v>
      </c>
      <c r="B1509" s="2840">
        <v>72250</v>
      </c>
      <c r="C1509" s="2840">
        <v>72300</v>
      </c>
      <c r="D1509" s="2841">
        <f t="shared" si="119"/>
        <v>11840</v>
      </c>
      <c r="E1509" s="2841">
        <f t="shared" si="120"/>
        <v>8292</v>
      </c>
      <c r="F1509" s="2841">
        <f t="shared" si="121"/>
        <v>11840</v>
      </c>
      <c r="G1509" s="2841">
        <f t="shared" si="122"/>
        <v>10449</v>
      </c>
    </row>
    <row r="1510" spans="1:7" ht="15.75">
      <c r="A1510" s="3022">
        <f t="shared" si="123"/>
        <v>72325</v>
      </c>
      <c r="B1510" s="2840">
        <v>72300</v>
      </c>
      <c r="C1510" s="2840">
        <v>72350</v>
      </c>
      <c r="D1510" s="2841">
        <f t="shared" si="119"/>
        <v>11851</v>
      </c>
      <c r="E1510" s="2841">
        <f t="shared" si="120"/>
        <v>8298</v>
      </c>
      <c r="F1510" s="2841">
        <f t="shared" si="121"/>
        <v>11851</v>
      </c>
      <c r="G1510" s="2841">
        <f t="shared" si="122"/>
        <v>10460</v>
      </c>
    </row>
    <row r="1511" spans="1:7" ht="15.75">
      <c r="A1511" s="3022">
        <f t="shared" si="123"/>
        <v>72375</v>
      </c>
      <c r="B1511" s="2840">
        <v>72350</v>
      </c>
      <c r="C1511" s="2840">
        <v>72400</v>
      </c>
      <c r="D1511" s="2841">
        <f t="shared" si="119"/>
        <v>11862</v>
      </c>
      <c r="E1511" s="2841">
        <f t="shared" si="120"/>
        <v>8304</v>
      </c>
      <c r="F1511" s="2841">
        <f t="shared" si="121"/>
        <v>11862</v>
      </c>
      <c r="G1511" s="2841">
        <f t="shared" si="122"/>
        <v>10471</v>
      </c>
    </row>
    <row r="1512" spans="1:7" ht="15.75">
      <c r="A1512" s="3022">
        <f t="shared" si="123"/>
        <v>72425</v>
      </c>
      <c r="B1512" s="2840">
        <v>72400</v>
      </c>
      <c r="C1512" s="2840">
        <v>72450</v>
      </c>
      <c r="D1512" s="2841">
        <f t="shared" si="119"/>
        <v>11873</v>
      </c>
      <c r="E1512" s="2841">
        <f t="shared" si="120"/>
        <v>8310</v>
      </c>
      <c r="F1512" s="2841">
        <f t="shared" si="121"/>
        <v>11873</v>
      </c>
      <c r="G1512" s="2841">
        <f t="shared" si="122"/>
        <v>10482</v>
      </c>
    </row>
    <row r="1513" spans="1:7" ht="15.75">
      <c r="A1513" s="3022">
        <f t="shared" si="123"/>
        <v>72475</v>
      </c>
      <c r="B1513" s="2840">
        <v>72450</v>
      </c>
      <c r="C1513" s="2840">
        <v>72500</v>
      </c>
      <c r="D1513" s="2841">
        <f t="shared" si="119"/>
        <v>11884</v>
      </c>
      <c r="E1513" s="2841">
        <f t="shared" si="120"/>
        <v>8316</v>
      </c>
      <c r="F1513" s="2841">
        <f t="shared" si="121"/>
        <v>11884</v>
      </c>
      <c r="G1513" s="2841">
        <f t="shared" si="122"/>
        <v>10493</v>
      </c>
    </row>
    <row r="1514" spans="1:7" ht="15.75">
      <c r="A1514" s="3022">
        <f t="shared" si="123"/>
        <v>72525</v>
      </c>
      <c r="B1514" s="2840">
        <v>72500</v>
      </c>
      <c r="C1514" s="2840">
        <v>72550</v>
      </c>
      <c r="D1514" s="2841">
        <f t="shared" si="119"/>
        <v>11895</v>
      </c>
      <c r="E1514" s="2841">
        <f t="shared" si="120"/>
        <v>8322</v>
      </c>
      <c r="F1514" s="2841">
        <f t="shared" si="121"/>
        <v>11895</v>
      </c>
      <c r="G1514" s="2841">
        <f t="shared" si="122"/>
        <v>10504</v>
      </c>
    </row>
    <row r="1515" spans="1:7" ht="15.75">
      <c r="A1515" s="3022">
        <f t="shared" si="123"/>
        <v>72575</v>
      </c>
      <c r="B1515" s="2840">
        <v>72550</v>
      </c>
      <c r="C1515" s="2840">
        <v>72600</v>
      </c>
      <c r="D1515" s="2841">
        <f t="shared" si="119"/>
        <v>11906</v>
      </c>
      <c r="E1515" s="2841">
        <f t="shared" si="120"/>
        <v>8328</v>
      </c>
      <c r="F1515" s="2841">
        <f t="shared" si="121"/>
        <v>11906</v>
      </c>
      <c r="G1515" s="2841">
        <f t="shared" si="122"/>
        <v>10515</v>
      </c>
    </row>
    <row r="1516" spans="1:7" ht="15.75">
      <c r="A1516" s="3022">
        <f t="shared" si="123"/>
        <v>72625</v>
      </c>
      <c r="B1516" s="2840">
        <v>72600</v>
      </c>
      <c r="C1516" s="2840">
        <v>72650</v>
      </c>
      <c r="D1516" s="2841">
        <f t="shared" si="119"/>
        <v>11917</v>
      </c>
      <c r="E1516" s="2841">
        <f t="shared" si="120"/>
        <v>8334</v>
      </c>
      <c r="F1516" s="2841">
        <f t="shared" si="121"/>
        <v>11917</v>
      </c>
      <c r="G1516" s="2841">
        <f t="shared" si="122"/>
        <v>10526</v>
      </c>
    </row>
    <row r="1517" spans="1:7" ht="15.75">
      <c r="A1517" s="3022">
        <f t="shared" si="123"/>
        <v>72675</v>
      </c>
      <c r="B1517" s="2840">
        <v>72650</v>
      </c>
      <c r="C1517" s="2840">
        <v>72700</v>
      </c>
      <c r="D1517" s="2841">
        <f t="shared" si="119"/>
        <v>11928</v>
      </c>
      <c r="E1517" s="2841">
        <f t="shared" si="120"/>
        <v>8340</v>
      </c>
      <c r="F1517" s="2841">
        <f t="shared" si="121"/>
        <v>11928</v>
      </c>
      <c r="G1517" s="2841">
        <f t="shared" si="122"/>
        <v>10537</v>
      </c>
    </row>
    <row r="1518" spans="1:7" ht="15.75">
      <c r="A1518" s="3022">
        <f t="shared" si="123"/>
        <v>72725</v>
      </c>
      <c r="B1518" s="2840">
        <v>72700</v>
      </c>
      <c r="C1518" s="2840">
        <v>72750</v>
      </c>
      <c r="D1518" s="2841">
        <f t="shared" si="119"/>
        <v>11939</v>
      </c>
      <c r="E1518" s="2841">
        <f t="shared" si="120"/>
        <v>8346</v>
      </c>
      <c r="F1518" s="2841">
        <f t="shared" si="121"/>
        <v>11939</v>
      </c>
      <c r="G1518" s="2841">
        <f t="shared" si="122"/>
        <v>10548</v>
      </c>
    </row>
    <row r="1519" spans="1:7" ht="15.75">
      <c r="A1519" s="3022">
        <f t="shared" si="123"/>
        <v>72775</v>
      </c>
      <c r="B1519" s="2840">
        <v>72750</v>
      </c>
      <c r="C1519" s="2840">
        <v>72800</v>
      </c>
      <c r="D1519" s="2841">
        <f t="shared" si="119"/>
        <v>11950</v>
      </c>
      <c r="E1519" s="2841">
        <f t="shared" si="120"/>
        <v>8352</v>
      </c>
      <c r="F1519" s="2841">
        <f t="shared" si="121"/>
        <v>11950</v>
      </c>
      <c r="G1519" s="2841">
        <f t="shared" si="122"/>
        <v>10559</v>
      </c>
    </row>
    <row r="1520" spans="1:7" ht="15.75">
      <c r="A1520" s="3022">
        <f t="shared" si="123"/>
        <v>72825</v>
      </c>
      <c r="B1520" s="2840">
        <v>72800</v>
      </c>
      <c r="C1520" s="2840">
        <v>72850</v>
      </c>
      <c r="D1520" s="2841">
        <f t="shared" si="119"/>
        <v>11961</v>
      </c>
      <c r="E1520" s="2841">
        <f t="shared" si="120"/>
        <v>8358</v>
      </c>
      <c r="F1520" s="2841">
        <f t="shared" si="121"/>
        <v>11961</v>
      </c>
      <c r="G1520" s="2841">
        <f t="shared" si="122"/>
        <v>10570</v>
      </c>
    </row>
    <row r="1521" spans="1:7" ht="15.75">
      <c r="A1521" s="3022">
        <f t="shared" si="123"/>
        <v>72875</v>
      </c>
      <c r="B1521" s="2840">
        <v>72850</v>
      </c>
      <c r="C1521" s="2840">
        <v>72900</v>
      </c>
      <c r="D1521" s="2841">
        <f t="shared" si="119"/>
        <v>11972</v>
      </c>
      <c r="E1521" s="2841">
        <f t="shared" si="120"/>
        <v>8364</v>
      </c>
      <c r="F1521" s="2841">
        <f t="shared" si="121"/>
        <v>11972</v>
      </c>
      <c r="G1521" s="2841">
        <f t="shared" si="122"/>
        <v>10581</v>
      </c>
    </row>
    <row r="1522" spans="1:7" ht="15.75">
      <c r="A1522" s="3022">
        <f t="shared" si="123"/>
        <v>72925</v>
      </c>
      <c r="B1522" s="2840">
        <v>72900</v>
      </c>
      <c r="C1522" s="2840">
        <v>72950</v>
      </c>
      <c r="D1522" s="2841">
        <f t="shared" si="119"/>
        <v>11983</v>
      </c>
      <c r="E1522" s="2841">
        <f t="shared" si="120"/>
        <v>8370</v>
      </c>
      <c r="F1522" s="2841">
        <f t="shared" si="121"/>
        <v>11983</v>
      </c>
      <c r="G1522" s="2841">
        <f t="shared" si="122"/>
        <v>10592</v>
      </c>
    </row>
    <row r="1523" spans="1:7" ht="15.75">
      <c r="A1523" s="3022">
        <f t="shared" si="123"/>
        <v>72975</v>
      </c>
      <c r="B1523" s="2840">
        <v>72950</v>
      </c>
      <c r="C1523" s="2840">
        <v>73000</v>
      </c>
      <c r="D1523" s="2841">
        <f t="shared" si="119"/>
        <v>11994</v>
      </c>
      <c r="E1523" s="2841">
        <f t="shared" si="120"/>
        <v>8376</v>
      </c>
      <c r="F1523" s="2841">
        <f t="shared" si="121"/>
        <v>11994</v>
      </c>
      <c r="G1523" s="2841">
        <f t="shared" si="122"/>
        <v>10603</v>
      </c>
    </row>
    <row r="1524" spans="1:7" ht="15.75">
      <c r="A1524" s="3022">
        <f t="shared" si="123"/>
        <v>73025</v>
      </c>
      <c r="B1524" s="2840">
        <v>73000</v>
      </c>
      <c r="C1524" s="2840">
        <v>73050</v>
      </c>
      <c r="D1524" s="2841">
        <f t="shared" si="119"/>
        <v>12005</v>
      </c>
      <c r="E1524" s="2841">
        <f t="shared" si="120"/>
        <v>8382</v>
      </c>
      <c r="F1524" s="2841">
        <f t="shared" si="121"/>
        <v>12005</v>
      </c>
      <c r="G1524" s="2841">
        <f t="shared" si="122"/>
        <v>10614</v>
      </c>
    </row>
    <row r="1525" spans="1:7" ht="15.75">
      <c r="A1525" s="3022">
        <f t="shared" si="123"/>
        <v>73075</v>
      </c>
      <c r="B1525" s="2840">
        <v>73050</v>
      </c>
      <c r="C1525" s="2840">
        <v>73100</v>
      </c>
      <c r="D1525" s="2841">
        <f t="shared" si="119"/>
        <v>12016</v>
      </c>
      <c r="E1525" s="2841">
        <f t="shared" si="120"/>
        <v>8388</v>
      </c>
      <c r="F1525" s="2841">
        <f t="shared" si="121"/>
        <v>12016</v>
      </c>
      <c r="G1525" s="2841">
        <f t="shared" si="122"/>
        <v>10625</v>
      </c>
    </row>
    <row r="1526" spans="1:7" ht="15.75">
      <c r="A1526" s="3022">
        <f t="shared" si="123"/>
        <v>73125</v>
      </c>
      <c r="B1526" s="2840">
        <v>73100</v>
      </c>
      <c r="C1526" s="2840">
        <v>73150</v>
      </c>
      <c r="D1526" s="2841">
        <f t="shared" si="119"/>
        <v>12027</v>
      </c>
      <c r="E1526" s="2841">
        <f t="shared" si="120"/>
        <v>8394</v>
      </c>
      <c r="F1526" s="2841">
        <f t="shared" si="121"/>
        <v>12027</v>
      </c>
      <c r="G1526" s="2841">
        <f t="shared" si="122"/>
        <v>10636</v>
      </c>
    </row>
    <row r="1527" spans="1:7" ht="15.75">
      <c r="A1527" s="3022">
        <f t="shared" si="123"/>
        <v>73175</v>
      </c>
      <c r="B1527" s="2840">
        <v>73150</v>
      </c>
      <c r="C1527" s="2840">
        <v>73200</v>
      </c>
      <c r="D1527" s="2841">
        <f t="shared" si="119"/>
        <v>12038</v>
      </c>
      <c r="E1527" s="2841">
        <f t="shared" si="120"/>
        <v>8400</v>
      </c>
      <c r="F1527" s="2841">
        <f t="shared" si="121"/>
        <v>12038</v>
      </c>
      <c r="G1527" s="2841">
        <f t="shared" si="122"/>
        <v>10647</v>
      </c>
    </row>
    <row r="1528" spans="1:7" ht="15.75">
      <c r="A1528" s="3022">
        <f t="shared" si="123"/>
        <v>73225</v>
      </c>
      <c r="B1528" s="2840">
        <v>73200</v>
      </c>
      <c r="C1528" s="2840">
        <v>73250</v>
      </c>
      <c r="D1528" s="2841">
        <f t="shared" si="119"/>
        <v>12049</v>
      </c>
      <c r="E1528" s="2841">
        <f t="shared" si="120"/>
        <v>8406</v>
      </c>
      <c r="F1528" s="2841">
        <f t="shared" si="121"/>
        <v>12049</v>
      </c>
      <c r="G1528" s="2841">
        <f t="shared" si="122"/>
        <v>10658</v>
      </c>
    </row>
    <row r="1529" spans="1:7" ht="15.75">
      <c r="A1529" s="3022">
        <f t="shared" si="123"/>
        <v>73275</v>
      </c>
      <c r="B1529" s="2840">
        <v>73250</v>
      </c>
      <c r="C1529" s="2840">
        <v>73300</v>
      </c>
      <c r="D1529" s="2841">
        <f t="shared" si="119"/>
        <v>12060</v>
      </c>
      <c r="E1529" s="2841">
        <f t="shared" si="120"/>
        <v>8412</v>
      </c>
      <c r="F1529" s="2841">
        <f t="shared" si="121"/>
        <v>12060</v>
      </c>
      <c r="G1529" s="2841">
        <f t="shared" si="122"/>
        <v>10669</v>
      </c>
    </row>
    <row r="1530" spans="1:7" ht="15.75">
      <c r="A1530" s="3022">
        <f t="shared" si="123"/>
        <v>73325</v>
      </c>
      <c r="B1530" s="2840">
        <v>73300</v>
      </c>
      <c r="C1530" s="2840">
        <v>73350</v>
      </c>
      <c r="D1530" s="2841">
        <f t="shared" si="119"/>
        <v>12071</v>
      </c>
      <c r="E1530" s="2841">
        <f t="shared" si="120"/>
        <v>8418</v>
      </c>
      <c r="F1530" s="2841">
        <f t="shared" si="121"/>
        <v>12071</v>
      </c>
      <c r="G1530" s="2841">
        <f t="shared" si="122"/>
        <v>10680</v>
      </c>
    </row>
    <row r="1531" spans="1:7" ht="15.75">
      <c r="A1531" s="3022">
        <f t="shared" si="123"/>
        <v>73375</v>
      </c>
      <c r="B1531" s="2840">
        <v>73350</v>
      </c>
      <c r="C1531" s="2840">
        <v>73400</v>
      </c>
      <c r="D1531" s="2841">
        <f t="shared" si="119"/>
        <v>12082</v>
      </c>
      <c r="E1531" s="2841">
        <f t="shared" si="120"/>
        <v>8424</v>
      </c>
      <c r="F1531" s="2841">
        <f t="shared" si="121"/>
        <v>12082</v>
      </c>
      <c r="G1531" s="2841">
        <f t="shared" si="122"/>
        <v>10691</v>
      </c>
    </row>
    <row r="1532" spans="1:7" ht="15.75">
      <c r="A1532" s="3022">
        <f t="shared" si="123"/>
        <v>73425</v>
      </c>
      <c r="B1532" s="2840">
        <v>73400</v>
      </c>
      <c r="C1532" s="2840">
        <v>73450</v>
      </c>
      <c r="D1532" s="2841">
        <f t="shared" si="119"/>
        <v>12093</v>
      </c>
      <c r="E1532" s="2841">
        <f t="shared" si="120"/>
        <v>8430</v>
      </c>
      <c r="F1532" s="2841">
        <f t="shared" si="121"/>
        <v>12093</v>
      </c>
      <c r="G1532" s="2841">
        <f t="shared" si="122"/>
        <v>10702</v>
      </c>
    </row>
    <row r="1533" spans="1:7" ht="15.75">
      <c r="A1533" s="3022">
        <f t="shared" si="123"/>
        <v>73475</v>
      </c>
      <c r="B1533" s="2840">
        <v>73450</v>
      </c>
      <c r="C1533" s="2840">
        <v>73500</v>
      </c>
      <c r="D1533" s="2841">
        <f t="shared" si="119"/>
        <v>12104</v>
      </c>
      <c r="E1533" s="2841">
        <f t="shared" si="120"/>
        <v>8436</v>
      </c>
      <c r="F1533" s="2841">
        <f t="shared" si="121"/>
        <v>12104</v>
      </c>
      <c r="G1533" s="2841">
        <f t="shared" si="122"/>
        <v>10713</v>
      </c>
    </row>
    <row r="1534" spans="1:7" ht="15.75">
      <c r="A1534" s="3022">
        <f t="shared" si="123"/>
        <v>73525</v>
      </c>
      <c r="B1534" s="2840">
        <v>73500</v>
      </c>
      <c r="C1534" s="2840">
        <v>73550</v>
      </c>
      <c r="D1534" s="2841">
        <f t="shared" si="119"/>
        <v>12115</v>
      </c>
      <c r="E1534" s="2841">
        <f t="shared" si="120"/>
        <v>8442</v>
      </c>
      <c r="F1534" s="2841">
        <f t="shared" si="121"/>
        <v>12115</v>
      </c>
      <c r="G1534" s="2841">
        <f t="shared" si="122"/>
        <v>10724</v>
      </c>
    </row>
    <row r="1535" spans="1:7" ht="15.75">
      <c r="A1535" s="3022">
        <f t="shared" si="123"/>
        <v>73575</v>
      </c>
      <c r="B1535" s="2840">
        <v>73550</v>
      </c>
      <c r="C1535" s="2840">
        <v>73600</v>
      </c>
      <c r="D1535" s="2841">
        <f t="shared" si="119"/>
        <v>12126</v>
      </c>
      <c r="E1535" s="2841">
        <f t="shared" si="120"/>
        <v>8448</v>
      </c>
      <c r="F1535" s="2841">
        <f t="shared" si="121"/>
        <v>12126</v>
      </c>
      <c r="G1535" s="2841">
        <f t="shared" si="122"/>
        <v>10735</v>
      </c>
    </row>
    <row r="1536" spans="1:7" ht="15.75">
      <c r="A1536" s="3022">
        <f t="shared" si="123"/>
        <v>73625</v>
      </c>
      <c r="B1536" s="2840">
        <v>73600</v>
      </c>
      <c r="C1536" s="2840">
        <v>73650</v>
      </c>
      <c r="D1536" s="2841">
        <f t="shared" si="119"/>
        <v>12137</v>
      </c>
      <c r="E1536" s="2841">
        <f t="shared" si="120"/>
        <v>8454</v>
      </c>
      <c r="F1536" s="2841">
        <f t="shared" si="121"/>
        <v>12137</v>
      </c>
      <c r="G1536" s="2841">
        <f t="shared" si="122"/>
        <v>10746</v>
      </c>
    </row>
    <row r="1537" spans="1:7" ht="15.75">
      <c r="A1537" s="3022">
        <f t="shared" si="123"/>
        <v>73675</v>
      </c>
      <c r="B1537" s="2840">
        <v>73650</v>
      </c>
      <c r="C1537" s="2840">
        <v>73700</v>
      </c>
      <c r="D1537" s="2841">
        <f t="shared" si="119"/>
        <v>12148</v>
      </c>
      <c r="E1537" s="2841">
        <f t="shared" si="120"/>
        <v>8460</v>
      </c>
      <c r="F1537" s="2841">
        <f t="shared" si="121"/>
        <v>12148</v>
      </c>
      <c r="G1537" s="2841">
        <f t="shared" si="122"/>
        <v>10757</v>
      </c>
    </row>
    <row r="1538" spans="1:7" ht="15.75">
      <c r="A1538" s="3022">
        <f t="shared" si="123"/>
        <v>73725</v>
      </c>
      <c r="B1538" s="2840">
        <v>73700</v>
      </c>
      <c r="C1538" s="2840">
        <v>73750</v>
      </c>
      <c r="D1538" s="2841">
        <f t="shared" ref="D1538:D1601" si="124">IF($A1538&gt;BOTT_A4,ROUND(BASE_A4+RATE_A4*($A1538-BOTT_A4),0),IF($A1538&gt;BOTT_A3,ROUND(BASE_A3+RATE_A3*($A1538-BOTT_A3),0),IF($A1538&gt;BOTT_A2,ROUND(BASE_A2+RATE_A2*($A1538-BOTT_A2),0),ROUND(RATE_A1*$A1538,0))))</f>
        <v>12159</v>
      </c>
      <c r="E1538" s="2841">
        <f t="shared" ref="E1538:E1601" si="125">IF($A1538&gt;BOTT_B4,ROUND(BASE_B4+RATE_B4*($A1538-BOTT_B4),0),IF($A1538&gt;BOTT_B3,ROUND(BASE_B3+RATE_B3*($A1538-BOTT_B3),0),IF($A1538&gt;BOTT_B2,ROUND(BASE_B2+RATE_B2*($A1538-BOTT_B2),0),ROUND(RATE_B1*$A1538,0))))</f>
        <v>8466</v>
      </c>
      <c r="F1538" s="2841">
        <f t="shared" ref="F1538:F1601" si="126">IF($A1538&gt;BOTT_C4,ROUND(BASE_C4+RATE_C4*($A1538-BOTT_C4),0),IF($A1538&gt;BOTT_C3,ROUND(BASE_C3+RATE_C3*($A1538-BOTT_C3),0),IF($A1538&gt;BOTT_C2,ROUND(BASE_C2+RATE_C2*($A1538-BOTT_C2),0),ROUND(RATE_C1*$A1538,0))))</f>
        <v>12159</v>
      </c>
      <c r="G1538" s="2841">
        <f t="shared" ref="G1538:G1601" si="127">IF($A1538&gt;BOTT_D4,ROUND(BASE_D4+RATE_D4*($A1538-BOTT_D4),0),IF($A1538&gt;BOTT_D3,ROUND(BASE_D3+RATE_D3*($A1538-BOTT_D3),0),IF($A1538&gt;BOTT_D2,ROUND(BASE_D2+RATE_D2*($A1538-BOTT_D2),0),ROUND(RATE_D1*$A1538,0))))</f>
        <v>10768</v>
      </c>
    </row>
    <row r="1539" spans="1:7" ht="15.75">
      <c r="A1539" s="3022">
        <f t="shared" ref="A1539:A1602" si="128">AVERAGE(B1539,C1539)</f>
        <v>73775</v>
      </c>
      <c r="B1539" s="2840">
        <v>73750</v>
      </c>
      <c r="C1539" s="2840">
        <v>73800</v>
      </c>
      <c r="D1539" s="2841">
        <f t="shared" si="124"/>
        <v>12170</v>
      </c>
      <c r="E1539" s="2841">
        <f t="shared" si="125"/>
        <v>8472</v>
      </c>
      <c r="F1539" s="2841">
        <f t="shared" si="126"/>
        <v>12170</v>
      </c>
      <c r="G1539" s="2841">
        <f t="shared" si="127"/>
        <v>10779</v>
      </c>
    </row>
    <row r="1540" spans="1:7" ht="15.75">
      <c r="A1540" s="3022">
        <f t="shared" si="128"/>
        <v>73825</v>
      </c>
      <c r="B1540" s="2840">
        <v>73800</v>
      </c>
      <c r="C1540" s="2840">
        <v>73850</v>
      </c>
      <c r="D1540" s="2841">
        <f t="shared" si="124"/>
        <v>12181</v>
      </c>
      <c r="E1540" s="2841">
        <f t="shared" si="125"/>
        <v>8478</v>
      </c>
      <c r="F1540" s="2841">
        <f t="shared" si="126"/>
        <v>12181</v>
      </c>
      <c r="G1540" s="2841">
        <f t="shared" si="127"/>
        <v>10790</v>
      </c>
    </row>
    <row r="1541" spans="1:7" ht="15.75">
      <c r="A1541" s="3022">
        <f t="shared" si="128"/>
        <v>73875</v>
      </c>
      <c r="B1541" s="2840">
        <v>73850</v>
      </c>
      <c r="C1541" s="2840">
        <v>73900</v>
      </c>
      <c r="D1541" s="2841">
        <f t="shared" si="124"/>
        <v>12192</v>
      </c>
      <c r="E1541" s="2841">
        <f t="shared" si="125"/>
        <v>8484</v>
      </c>
      <c r="F1541" s="2841">
        <f t="shared" si="126"/>
        <v>12192</v>
      </c>
      <c r="G1541" s="2841">
        <f t="shared" si="127"/>
        <v>10801</v>
      </c>
    </row>
    <row r="1542" spans="1:7" ht="15.75">
      <c r="A1542" s="3022">
        <f t="shared" si="128"/>
        <v>73925</v>
      </c>
      <c r="B1542" s="2840">
        <v>73900</v>
      </c>
      <c r="C1542" s="2840">
        <v>73950</v>
      </c>
      <c r="D1542" s="2841">
        <f t="shared" si="124"/>
        <v>12203</v>
      </c>
      <c r="E1542" s="2841">
        <f t="shared" si="125"/>
        <v>8490</v>
      </c>
      <c r="F1542" s="2841">
        <f t="shared" si="126"/>
        <v>12203</v>
      </c>
      <c r="G1542" s="2841">
        <f t="shared" si="127"/>
        <v>10812</v>
      </c>
    </row>
    <row r="1543" spans="1:7" ht="15.75">
      <c r="A1543" s="3022">
        <f t="shared" si="128"/>
        <v>73975</v>
      </c>
      <c r="B1543" s="2840">
        <v>73950</v>
      </c>
      <c r="C1543" s="2840">
        <v>74000</v>
      </c>
      <c r="D1543" s="2841">
        <f t="shared" si="124"/>
        <v>12214</v>
      </c>
      <c r="E1543" s="2841">
        <f t="shared" si="125"/>
        <v>8496</v>
      </c>
      <c r="F1543" s="2841">
        <f t="shared" si="126"/>
        <v>12214</v>
      </c>
      <c r="G1543" s="2841">
        <f t="shared" si="127"/>
        <v>10823</v>
      </c>
    </row>
    <row r="1544" spans="1:7" ht="15.75">
      <c r="A1544" s="3022">
        <f t="shared" si="128"/>
        <v>74025</v>
      </c>
      <c r="B1544" s="2840">
        <v>74000</v>
      </c>
      <c r="C1544" s="2840">
        <v>74050</v>
      </c>
      <c r="D1544" s="2841">
        <f t="shared" si="124"/>
        <v>12225</v>
      </c>
      <c r="E1544" s="2841">
        <f t="shared" si="125"/>
        <v>8502</v>
      </c>
      <c r="F1544" s="2841">
        <f t="shared" si="126"/>
        <v>12225</v>
      </c>
      <c r="G1544" s="2841">
        <f t="shared" si="127"/>
        <v>10834</v>
      </c>
    </row>
    <row r="1545" spans="1:7" ht="15.75">
      <c r="A1545" s="3022">
        <f t="shared" si="128"/>
        <v>74075</v>
      </c>
      <c r="B1545" s="2840">
        <v>74050</v>
      </c>
      <c r="C1545" s="2840">
        <v>74100</v>
      </c>
      <c r="D1545" s="2841">
        <f t="shared" si="124"/>
        <v>12236</v>
      </c>
      <c r="E1545" s="2841">
        <f t="shared" si="125"/>
        <v>8508</v>
      </c>
      <c r="F1545" s="2841">
        <f t="shared" si="126"/>
        <v>12236</v>
      </c>
      <c r="G1545" s="2841">
        <f t="shared" si="127"/>
        <v>10845</v>
      </c>
    </row>
    <row r="1546" spans="1:7" ht="15.75">
      <c r="A1546" s="3022">
        <f t="shared" si="128"/>
        <v>74125</v>
      </c>
      <c r="B1546" s="2840">
        <v>74100</v>
      </c>
      <c r="C1546" s="2840">
        <v>74150</v>
      </c>
      <c r="D1546" s="2841">
        <f t="shared" si="124"/>
        <v>12247</v>
      </c>
      <c r="E1546" s="2841">
        <f t="shared" si="125"/>
        <v>8514</v>
      </c>
      <c r="F1546" s="2841">
        <f t="shared" si="126"/>
        <v>12247</v>
      </c>
      <c r="G1546" s="2841">
        <f t="shared" si="127"/>
        <v>10856</v>
      </c>
    </row>
    <row r="1547" spans="1:7" ht="15.75">
      <c r="A1547" s="3022">
        <f t="shared" si="128"/>
        <v>74175</v>
      </c>
      <c r="B1547" s="2840">
        <v>74150</v>
      </c>
      <c r="C1547" s="2840">
        <v>74200</v>
      </c>
      <c r="D1547" s="2841">
        <f t="shared" si="124"/>
        <v>12258</v>
      </c>
      <c r="E1547" s="2841">
        <f t="shared" si="125"/>
        <v>8520</v>
      </c>
      <c r="F1547" s="2841">
        <f t="shared" si="126"/>
        <v>12258</v>
      </c>
      <c r="G1547" s="2841">
        <f t="shared" si="127"/>
        <v>10867</v>
      </c>
    </row>
    <row r="1548" spans="1:7" ht="15.75">
      <c r="A1548" s="3022">
        <f t="shared" si="128"/>
        <v>74225</v>
      </c>
      <c r="B1548" s="2840">
        <v>74200</v>
      </c>
      <c r="C1548" s="2840">
        <v>74250</v>
      </c>
      <c r="D1548" s="2841">
        <f t="shared" si="124"/>
        <v>12269</v>
      </c>
      <c r="E1548" s="2841">
        <f t="shared" si="125"/>
        <v>8526</v>
      </c>
      <c r="F1548" s="2841">
        <f t="shared" si="126"/>
        <v>12269</v>
      </c>
      <c r="G1548" s="2841">
        <f t="shared" si="127"/>
        <v>10878</v>
      </c>
    </row>
    <row r="1549" spans="1:7" ht="15.75">
      <c r="A1549" s="3022">
        <f t="shared" si="128"/>
        <v>74275</v>
      </c>
      <c r="B1549" s="2840">
        <v>74250</v>
      </c>
      <c r="C1549" s="2840">
        <v>74300</v>
      </c>
      <c r="D1549" s="2841">
        <f t="shared" si="124"/>
        <v>12280</v>
      </c>
      <c r="E1549" s="2841">
        <f t="shared" si="125"/>
        <v>8532</v>
      </c>
      <c r="F1549" s="2841">
        <f t="shared" si="126"/>
        <v>12280</v>
      </c>
      <c r="G1549" s="2841">
        <f t="shared" si="127"/>
        <v>10889</v>
      </c>
    </row>
    <row r="1550" spans="1:7" ht="15.75">
      <c r="A1550" s="3022">
        <f t="shared" si="128"/>
        <v>74325</v>
      </c>
      <c r="B1550" s="2840">
        <v>74300</v>
      </c>
      <c r="C1550" s="2840">
        <v>74350</v>
      </c>
      <c r="D1550" s="2841">
        <f t="shared" si="124"/>
        <v>12291</v>
      </c>
      <c r="E1550" s="2841">
        <f t="shared" si="125"/>
        <v>8538</v>
      </c>
      <c r="F1550" s="2841">
        <f t="shared" si="126"/>
        <v>12291</v>
      </c>
      <c r="G1550" s="2841">
        <f t="shared" si="127"/>
        <v>10900</v>
      </c>
    </row>
    <row r="1551" spans="1:7" ht="15.75">
      <c r="A1551" s="3022">
        <f t="shared" si="128"/>
        <v>74375</v>
      </c>
      <c r="B1551" s="2840">
        <v>74350</v>
      </c>
      <c r="C1551" s="2840">
        <v>74400</v>
      </c>
      <c r="D1551" s="2841">
        <f t="shared" si="124"/>
        <v>12302</v>
      </c>
      <c r="E1551" s="2841">
        <f t="shared" si="125"/>
        <v>8544</v>
      </c>
      <c r="F1551" s="2841">
        <f t="shared" si="126"/>
        <v>12302</v>
      </c>
      <c r="G1551" s="2841">
        <f t="shared" si="127"/>
        <v>10911</v>
      </c>
    </row>
    <row r="1552" spans="1:7" ht="15.75">
      <c r="A1552" s="3022">
        <f t="shared" si="128"/>
        <v>74425</v>
      </c>
      <c r="B1552" s="2840">
        <v>74400</v>
      </c>
      <c r="C1552" s="2840">
        <v>74450</v>
      </c>
      <c r="D1552" s="2841">
        <f t="shared" si="124"/>
        <v>12313</v>
      </c>
      <c r="E1552" s="2841">
        <f t="shared" si="125"/>
        <v>8550</v>
      </c>
      <c r="F1552" s="2841">
        <f t="shared" si="126"/>
        <v>12313</v>
      </c>
      <c r="G1552" s="2841">
        <f t="shared" si="127"/>
        <v>10922</v>
      </c>
    </row>
    <row r="1553" spans="1:7" ht="15.75">
      <c r="A1553" s="3022">
        <f t="shared" si="128"/>
        <v>74475</v>
      </c>
      <c r="B1553" s="2840">
        <v>74450</v>
      </c>
      <c r="C1553" s="2840">
        <v>74500</v>
      </c>
      <c r="D1553" s="2841">
        <f t="shared" si="124"/>
        <v>12324</v>
      </c>
      <c r="E1553" s="2841">
        <f t="shared" si="125"/>
        <v>8556</v>
      </c>
      <c r="F1553" s="2841">
        <f t="shared" si="126"/>
        <v>12324</v>
      </c>
      <c r="G1553" s="2841">
        <f t="shared" si="127"/>
        <v>10933</v>
      </c>
    </row>
    <row r="1554" spans="1:7" ht="15.75">
      <c r="A1554" s="3022">
        <f t="shared" si="128"/>
        <v>74525</v>
      </c>
      <c r="B1554" s="2840">
        <v>74500</v>
      </c>
      <c r="C1554" s="2840">
        <v>74550</v>
      </c>
      <c r="D1554" s="2841">
        <f t="shared" si="124"/>
        <v>12335</v>
      </c>
      <c r="E1554" s="2841">
        <f t="shared" si="125"/>
        <v>8562</v>
      </c>
      <c r="F1554" s="2841">
        <f t="shared" si="126"/>
        <v>12335</v>
      </c>
      <c r="G1554" s="2841">
        <f t="shared" si="127"/>
        <v>10944</v>
      </c>
    </row>
    <row r="1555" spans="1:7" ht="15.75">
      <c r="A1555" s="3022">
        <f t="shared" si="128"/>
        <v>74575</v>
      </c>
      <c r="B1555" s="2840">
        <v>74550</v>
      </c>
      <c r="C1555" s="2840">
        <v>74600</v>
      </c>
      <c r="D1555" s="2841">
        <f t="shared" si="124"/>
        <v>12346</v>
      </c>
      <c r="E1555" s="2841">
        <f t="shared" si="125"/>
        <v>8568</v>
      </c>
      <c r="F1555" s="2841">
        <f t="shared" si="126"/>
        <v>12346</v>
      </c>
      <c r="G1555" s="2841">
        <f t="shared" si="127"/>
        <v>10955</v>
      </c>
    </row>
    <row r="1556" spans="1:7" ht="15.75">
      <c r="A1556" s="3022">
        <f t="shared" si="128"/>
        <v>74625</v>
      </c>
      <c r="B1556" s="2840">
        <v>74600</v>
      </c>
      <c r="C1556" s="2840">
        <v>74650</v>
      </c>
      <c r="D1556" s="2841">
        <f t="shared" si="124"/>
        <v>12357</v>
      </c>
      <c r="E1556" s="2841">
        <f t="shared" si="125"/>
        <v>8574</v>
      </c>
      <c r="F1556" s="2841">
        <f t="shared" si="126"/>
        <v>12357</v>
      </c>
      <c r="G1556" s="2841">
        <f t="shared" si="127"/>
        <v>10966</v>
      </c>
    </row>
    <row r="1557" spans="1:7" ht="15.75">
      <c r="A1557" s="3022">
        <f t="shared" si="128"/>
        <v>74675</v>
      </c>
      <c r="B1557" s="2840">
        <v>74650</v>
      </c>
      <c r="C1557" s="2840">
        <v>74700</v>
      </c>
      <c r="D1557" s="2841">
        <f t="shared" si="124"/>
        <v>12368</v>
      </c>
      <c r="E1557" s="2841">
        <f t="shared" si="125"/>
        <v>8580</v>
      </c>
      <c r="F1557" s="2841">
        <f t="shared" si="126"/>
        <v>12368</v>
      </c>
      <c r="G1557" s="2841">
        <f t="shared" si="127"/>
        <v>10977</v>
      </c>
    </row>
    <row r="1558" spans="1:7" ht="15.75">
      <c r="A1558" s="3022">
        <f t="shared" si="128"/>
        <v>74725</v>
      </c>
      <c r="B1558" s="2840">
        <v>74700</v>
      </c>
      <c r="C1558" s="2840">
        <v>74750</v>
      </c>
      <c r="D1558" s="2841">
        <f t="shared" si="124"/>
        <v>12379</v>
      </c>
      <c r="E1558" s="2841">
        <f t="shared" si="125"/>
        <v>8586</v>
      </c>
      <c r="F1558" s="2841">
        <f t="shared" si="126"/>
        <v>12379</v>
      </c>
      <c r="G1558" s="2841">
        <f t="shared" si="127"/>
        <v>10988</v>
      </c>
    </row>
    <row r="1559" spans="1:7" ht="15.75">
      <c r="A1559" s="3022">
        <f t="shared" si="128"/>
        <v>74775</v>
      </c>
      <c r="B1559" s="2840">
        <v>74750</v>
      </c>
      <c r="C1559" s="2840">
        <v>74800</v>
      </c>
      <c r="D1559" s="2841">
        <f t="shared" si="124"/>
        <v>12390</v>
      </c>
      <c r="E1559" s="2841">
        <f t="shared" si="125"/>
        <v>8592</v>
      </c>
      <c r="F1559" s="2841">
        <f t="shared" si="126"/>
        <v>12390</v>
      </c>
      <c r="G1559" s="2841">
        <f t="shared" si="127"/>
        <v>10999</v>
      </c>
    </row>
    <row r="1560" spans="1:7" ht="15.75">
      <c r="A1560" s="3022">
        <f t="shared" si="128"/>
        <v>74825</v>
      </c>
      <c r="B1560" s="2840">
        <v>74800</v>
      </c>
      <c r="C1560" s="2840">
        <v>74850</v>
      </c>
      <c r="D1560" s="2841">
        <f t="shared" si="124"/>
        <v>12401</v>
      </c>
      <c r="E1560" s="2841">
        <f t="shared" si="125"/>
        <v>8598</v>
      </c>
      <c r="F1560" s="2841">
        <f t="shared" si="126"/>
        <v>12401</v>
      </c>
      <c r="G1560" s="2841">
        <f t="shared" si="127"/>
        <v>11010</v>
      </c>
    </row>
    <row r="1561" spans="1:7" ht="15.75">
      <c r="A1561" s="3022">
        <f t="shared" si="128"/>
        <v>74875</v>
      </c>
      <c r="B1561" s="2840">
        <v>74850</v>
      </c>
      <c r="C1561" s="2840">
        <v>74900</v>
      </c>
      <c r="D1561" s="2841">
        <f t="shared" si="124"/>
        <v>12412</v>
      </c>
      <c r="E1561" s="2841">
        <f t="shared" si="125"/>
        <v>8604</v>
      </c>
      <c r="F1561" s="2841">
        <f t="shared" si="126"/>
        <v>12412</v>
      </c>
      <c r="G1561" s="2841">
        <f t="shared" si="127"/>
        <v>11021</v>
      </c>
    </row>
    <row r="1562" spans="1:7" ht="15.75">
      <c r="A1562" s="3022">
        <f t="shared" si="128"/>
        <v>74925</v>
      </c>
      <c r="B1562" s="2840">
        <v>74900</v>
      </c>
      <c r="C1562" s="2840">
        <v>74950</v>
      </c>
      <c r="D1562" s="2841">
        <f t="shared" si="124"/>
        <v>12423</v>
      </c>
      <c r="E1562" s="2841">
        <f t="shared" si="125"/>
        <v>8610</v>
      </c>
      <c r="F1562" s="2841">
        <f t="shared" si="126"/>
        <v>12423</v>
      </c>
      <c r="G1562" s="2841">
        <f t="shared" si="127"/>
        <v>11032</v>
      </c>
    </row>
    <row r="1563" spans="1:7" ht="15.75">
      <c r="A1563" s="3022">
        <f t="shared" si="128"/>
        <v>74975</v>
      </c>
      <c r="B1563" s="2840">
        <v>74950</v>
      </c>
      <c r="C1563" s="2840">
        <v>75000</v>
      </c>
      <c r="D1563" s="2841">
        <f t="shared" si="124"/>
        <v>12434</v>
      </c>
      <c r="E1563" s="2841">
        <f t="shared" si="125"/>
        <v>8616</v>
      </c>
      <c r="F1563" s="2841">
        <f t="shared" si="126"/>
        <v>12434</v>
      </c>
      <c r="G1563" s="2841">
        <f t="shared" si="127"/>
        <v>11043</v>
      </c>
    </row>
    <row r="1564" spans="1:7" ht="15.75">
      <c r="A1564" s="3022">
        <f t="shared" si="128"/>
        <v>75025</v>
      </c>
      <c r="B1564" s="2840">
        <v>75000</v>
      </c>
      <c r="C1564" s="2840">
        <v>75050</v>
      </c>
      <c r="D1564" s="2841">
        <f t="shared" si="124"/>
        <v>12445</v>
      </c>
      <c r="E1564" s="2841">
        <f t="shared" si="125"/>
        <v>8622</v>
      </c>
      <c r="F1564" s="2841">
        <f t="shared" si="126"/>
        <v>12445</v>
      </c>
      <c r="G1564" s="2841">
        <f t="shared" si="127"/>
        <v>11054</v>
      </c>
    </row>
    <row r="1565" spans="1:7" ht="15.75">
      <c r="A1565" s="3022">
        <f t="shared" si="128"/>
        <v>75075</v>
      </c>
      <c r="B1565" s="2840">
        <v>75050</v>
      </c>
      <c r="C1565" s="2840">
        <v>75100</v>
      </c>
      <c r="D1565" s="2841">
        <f t="shared" si="124"/>
        <v>12456</v>
      </c>
      <c r="E1565" s="2841">
        <f t="shared" si="125"/>
        <v>8628</v>
      </c>
      <c r="F1565" s="2841">
        <f t="shared" si="126"/>
        <v>12456</v>
      </c>
      <c r="G1565" s="2841">
        <f t="shared" si="127"/>
        <v>11065</v>
      </c>
    </row>
    <row r="1566" spans="1:7" ht="15.75">
      <c r="A1566" s="3022">
        <f t="shared" si="128"/>
        <v>75125</v>
      </c>
      <c r="B1566" s="2840">
        <v>75100</v>
      </c>
      <c r="C1566" s="2840">
        <v>75150</v>
      </c>
      <c r="D1566" s="2841">
        <f t="shared" si="124"/>
        <v>12467</v>
      </c>
      <c r="E1566" s="2841">
        <f t="shared" si="125"/>
        <v>8634</v>
      </c>
      <c r="F1566" s="2841">
        <f t="shared" si="126"/>
        <v>12467</v>
      </c>
      <c r="G1566" s="2841">
        <f t="shared" si="127"/>
        <v>11076</v>
      </c>
    </row>
    <row r="1567" spans="1:7" ht="15.75">
      <c r="A1567" s="3022">
        <f t="shared" si="128"/>
        <v>75175</v>
      </c>
      <c r="B1567" s="2840">
        <v>75150</v>
      </c>
      <c r="C1567" s="2840">
        <v>75200</v>
      </c>
      <c r="D1567" s="2841">
        <f t="shared" si="124"/>
        <v>12478</v>
      </c>
      <c r="E1567" s="2841">
        <f t="shared" si="125"/>
        <v>8640</v>
      </c>
      <c r="F1567" s="2841">
        <f t="shared" si="126"/>
        <v>12478</v>
      </c>
      <c r="G1567" s="2841">
        <f t="shared" si="127"/>
        <v>11087</v>
      </c>
    </row>
    <row r="1568" spans="1:7" ht="15.75">
      <c r="A1568" s="3022">
        <f t="shared" si="128"/>
        <v>75225</v>
      </c>
      <c r="B1568" s="2840">
        <v>75200</v>
      </c>
      <c r="C1568" s="2840">
        <v>75250</v>
      </c>
      <c r="D1568" s="2841">
        <f t="shared" si="124"/>
        <v>12489</v>
      </c>
      <c r="E1568" s="2841">
        <f t="shared" si="125"/>
        <v>8646</v>
      </c>
      <c r="F1568" s="2841">
        <f t="shared" si="126"/>
        <v>12489</v>
      </c>
      <c r="G1568" s="2841">
        <f t="shared" si="127"/>
        <v>11098</v>
      </c>
    </row>
    <row r="1569" spans="1:7" ht="15.75">
      <c r="A1569" s="3022">
        <f t="shared" si="128"/>
        <v>75275</v>
      </c>
      <c r="B1569" s="2840">
        <v>75250</v>
      </c>
      <c r="C1569" s="2840">
        <v>75300</v>
      </c>
      <c r="D1569" s="2841">
        <f t="shared" si="124"/>
        <v>12500</v>
      </c>
      <c r="E1569" s="2841">
        <f t="shared" si="125"/>
        <v>8652</v>
      </c>
      <c r="F1569" s="2841">
        <f t="shared" si="126"/>
        <v>12500</v>
      </c>
      <c r="G1569" s="2841">
        <f t="shared" si="127"/>
        <v>11109</v>
      </c>
    </row>
    <row r="1570" spans="1:7" ht="15.75">
      <c r="A1570" s="3022">
        <f t="shared" si="128"/>
        <v>75325</v>
      </c>
      <c r="B1570" s="2840">
        <v>75300</v>
      </c>
      <c r="C1570" s="2840">
        <v>75350</v>
      </c>
      <c r="D1570" s="2841">
        <f t="shared" si="124"/>
        <v>12511</v>
      </c>
      <c r="E1570" s="2841">
        <f t="shared" si="125"/>
        <v>8658</v>
      </c>
      <c r="F1570" s="2841">
        <f t="shared" si="126"/>
        <v>12511</v>
      </c>
      <c r="G1570" s="2841">
        <f t="shared" si="127"/>
        <v>11120</v>
      </c>
    </row>
    <row r="1571" spans="1:7" ht="15.75">
      <c r="A1571" s="3022">
        <f t="shared" si="128"/>
        <v>75375</v>
      </c>
      <c r="B1571" s="2840">
        <v>75350</v>
      </c>
      <c r="C1571" s="2840">
        <v>75400</v>
      </c>
      <c r="D1571" s="2841">
        <f t="shared" si="124"/>
        <v>12522</v>
      </c>
      <c r="E1571" s="2841">
        <f t="shared" si="125"/>
        <v>8664</v>
      </c>
      <c r="F1571" s="2841">
        <f t="shared" si="126"/>
        <v>12522</v>
      </c>
      <c r="G1571" s="2841">
        <f t="shared" si="127"/>
        <v>11131</v>
      </c>
    </row>
    <row r="1572" spans="1:7" ht="15.75">
      <c r="A1572" s="3022">
        <f t="shared" si="128"/>
        <v>75425</v>
      </c>
      <c r="B1572" s="2840">
        <v>75400</v>
      </c>
      <c r="C1572" s="2840">
        <v>75450</v>
      </c>
      <c r="D1572" s="2841">
        <f t="shared" si="124"/>
        <v>12533</v>
      </c>
      <c r="E1572" s="2841">
        <f t="shared" si="125"/>
        <v>8670</v>
      </c>
      <c r="F1572" s="2841">
        <f t="shared" si="126"/>
        <v>12533</v>
      </c>
      <c r="G1572" s="2841">
        <f t="shared" si="127"/>
        <v>11142</v>
      </c>
    </row>
    <row r="1573" spans="1:7" ht="15.75">
      <c r="A1573" s="3022">
        <f t="shared" si="128"/>
        <v>75475</v>
      </c>
      <c r="B1573" s="2840">
        <v>75450</v>
      </c>
      <c r="C1573" s="2840">
        <v>75500</v>
      </c>
      <c r="D1573" s="2841">
        <f t="shared" si="124"/>
        <v>12544</v>
      </c>
      <c r="E1573" s="2841">
        <f t="shared" si="125"/>
        <v>8676</v>
      </c>
      <c r="F1573" s="2841">
        <f t="shared" si="126"/>
        <v>12544</v>
      </c>
      <c r="G1573" s="2841">
        <f t="shared" si="127"/>
        <v>11153</v>
      </c>
    </row>
    <row r="1574" spans="1:7" ht="15.75">
      <c r="A1574" s="3022">
        <f t="shared" si="128"/>
        <v>75525</v>
      </c>
      <c r="B1574" s="2840">
        <v>75500</v>
      </c>
      <c r="C1574" s="2840">
        <v>75550</v>
      </c>
      <c r="D1574" s="2841">
        <f t="shared" si="124"/>
        <v>12555</v>
      </c>
      <c r="E1574" s="2841">
        <f t="shared" si="125"/>
        <v>8682</v>
      </c>
      <c r="F1574" s="2841">
        <f t="shared" si="126"/>
        <v>12555</v>
      </c>
      <c r="G1574" s="2841">
        <f t="shared" si="127"/>
        <v>11164</v>
      </c>
    </row>
    <row r="1575" spans="1:7" ht="15.75">
      <c r="A1575" s="3022">
        <f t="shared" si="128"/>
        <v>75575</v>
      </c>
      <c r="B1575" s="2840">
        <v>75550</v>
      </c>
      <c r="C1575" s="2840">
        <v>75600</v>
      </c>
      <c r="D1575" s="2841">
        <f t="shared" si="124"/>
        <v>12566</v>
      </c>
      <c r="E1575" s="2841">
        <f t="shared" si="125"/>
        <v>8688</v>
      </c>
      <c r="F1575" s="2841">
        <f t="shared" si="126"/>
        <v>12566</v>
      </c>
      <c r="G1575" s="2841">
        <f t="shared" si="127"/>
        <v>11175</v>
      </c>
    </row>
    <row r="1576" spans="1:7" ht="15.75">
      <c r="A1576" s="3022">
        <f t="shared" si="128"/>
        <v>75625</v>
      </c>
      <c r="B1576" s="2840">
        <v>75600</v>
      </c>
      <c r="C1576" s="2840">
        <v>75650</v>
      </c>
      <c r="D1576" s="2841">
        <f t="shared" si="124"/>
        <v>12577</v>
      </c>
      <c r="E1576" s="2841">
        <f t="shared" si="125"/>
        <v>8694</v>
      </c>
      <c r="F1576" s="2841">
        <f t="shared" si="126"/>
        <v>12577</v>
      </c>
      <c r="G1576" s="2841">
        <f t="shared" si="127"/>
        <v>11186</v>
      </c>
    </row>
    <row r="1577" spans="1:7" ht="15.75">
      <c r="A1577" s="3022">
        <f t="shared" si="128"/>
        <v>75675</v>
      </c>
      <c r="B1577" s="2840">
        <v>75650</v>
      </c>
      <c r="C1577" s="2840">
        <v>75700</v>
      </c>
      <c r="D1577" s="2841">
        <f t="shared" si="124"/>
        <v>12588</v>
      </c>
      <c r="E1577" s="2841">
        <f t="shared" si="125"/>
        <v>8700</v>
      </c>
      <c r="F1577" s="2841">
        <f t="shared" si="126"/>
        <v>12588</v>
      </c>
      <c r="G1577" s="2841">
        <f t="shared" si="127"/>
        <v>11197</v>
      </c>
    </row>
    <row r="1578" spans="1:7" ht="15.75">
      <c r="A1578" s="3022">
        <f t="shared" si="128"/>
        <v>75725</v>
      </c>
      <c r="B1578" s="2840">
        <v>75700</v>
      </c>
      <c r="C1578" s="2840">
        <v>75750</v>
      </c>
      <c r="D1578" s="2841">
        <f t="shared" si="124"/>
        <v>12599</v>
      </c>
      <c r="E1578" s="2841">
        <f t="shared" si="125"/>
        <v>8706</v>
      </c>
      <c r="F1578" s="2841">
        <f t="shared" si="126"/>
        <v>12599</v>
      </c>
      <c r="G1578" s="2841">
        <f t="shared" si="127"/>
        <v>11208</v>
      </c>
    </row>
    <row r="1579" spans="1:7" ht="15.75">
      <c r="A1579" s="3022">
        <f t="shared" si="128"/>
        <v>75775</v>
      </c>
      <c r="B1579" s="2840">
        <v>75750</v>
      </c>
      <c r="C1579" s="2840">
        <v>75800</v>
      </c>
      <c r="D1579" s="2841">
        <f t="shared" si="124"/>
        <v>12610</v>
      </c>
      <c r="E1579" s="2841">
        <f t="shared" si="125"/>
        <v>8712</v>
      </c>
      <c r="F1579" s="2841">
        <f t="shared" si="126"/>
        <v>12610</v>
      </c>
      <c r="G1579" s="2841">
        <f t="shared" si="127"/>
        <v>11219</v>
      </c>
    </row>
    <row r="1580" spans="1:7" ht="15.75">
      <c r="A1580" s="3022">
        <f t="shared" si="128"/>
        <v>75825</v>
      </c>
      <c r="B1580" s="2840">
        <v>75800</v>
      </c>
      <c r="C1580" s="2840">
        <v>75850</v>
      </c>
      <c r="D1580" s="2841">
        <f t="shared" si="124"/>
        <v>12621</v>
      </c>
      <c r="E1580" s="2841">
        <f t="shared" si="125"/>
        <v>8718</v>
      </c>
      <c r="F1580" s="2841">
        <f t="shared" si="126"/>
        <v>12621</v>
      </c>
      <c r="G1580" s="2841">
        <f t="shared" si="127"/>
        <v>11230</v>
      </c>
    </row>
    <row r="1581" spans="1:7" ht="15.75">
      <c r="A1581" s="3022">
        <f t="shared" si="128"/>
        <v>75875</v>
      </c>
      <c r="B1581" s="2840">
        <v>75850</v>
      </c>
      <c r="C1581" s="2840">
        <v>75900</v>
      </c>
      <c r="D1581" s="2841">
        <f t="shared" si="124"/>
        <v>12632</v>
      </c>
      <c r="E1581" s="2841">
        <f t="shared" si="125"/>
        <v>8724</v>
      </c>
      <c r="F1581" s="2841">
        <f t="shared" si="126"/>
        <v>12632</v>
      </c>
      <c r="G1581" s="2841">
        <f t="shared" si="127"/>
        <v>11241</v>
      </c>
    </row>
    <row r="1582" spans="1:7" ht="15.75">
      <c r="A1582" s="3022">
        <f t="shared" si="128"/>
        <v>75925</v>
      </c>
      <c r="B1582" s="2840">
        <v>75900</v>
      </c>
      <c r="C1582" s="2840">
        <v>75950</v>
      </c>
      <c r="D1582" s="2841">
        <f t="shared" si="124"/>
        <v>12643</v>
      </c>
      <c r="E1582" s="2841">
        <f t="shared" si="125"/>
        <v>8730</v>
      </c>
      <c r="F1582" s="2841">
        <f t="shared" si="126"/>
        <v>12643</v>
      </c>
      <c r="G1582" s="2841">
        <f t="shared" si="127"/>
        <v>11252</v>
      </c>
    </row>
    <row r="1583" spans="1:7" ht="15.75">
      <c r="A1583" s="3022">
        <f t="shared" si="128"/>
        <v>75975</v>
      </c>
      <c r="B1583" s="2840">
        <v>75950</v>
      </c>
      <c r="C1583" s="2840">
        <v>76000</v>
      </c>
      <c r="D1583" s="2841">
        <f t="shared" si="124"/>
        <v>12654</v>
      </c>
      <c r="E1583" s="2841">
        <f t="shared" si="125"/>
        <v>8736</v>
      </c>
      <c r="F1583" s="2841">
        <f t="shared" si="126"/>
        <v>12654</v>
      </c>
      <c r="G1583" s="2841">
        <f t="shared" si="127"/>
        <v>11263</v>
      </c>
    </row>
    <row r="1584" spans="1:7" ht="15.75">
      <c r="A1584" s="3022">
        <f t="shared" si="128"/>
        <v>76025</v>
      </c>
      <c r="B1584" s="2840">
        <v>76000</v>
      </c>
      <c r="C1584" s="2840">
        <v>76050</v>
      </c>
      <c r="D1584" s="2841">
        <f t="shared" si="124"/>
        <v>12665</v>
      </c>
      <c r="E1584" s="2841">
        <f t="shared" si="125"/>
        <v>8742</v>
      </c>
      <c r="F1584" s="2841">
        <f t="shared" si="126"/>
        <v>12665</v>
      </c>
      <c r="G1584" s="2841">
        <f t="shared" si="127"/>
        <v>11274</v>
      </c>
    </row>
    <row r="1585" spans="1:7" ht="15.75">
      <c r="A1585" s="3022">
        <f t="shared" si="128"/>
        <v>76075</v>
      </c>
      <c r="B1585" s="2840">
        <v>76050</v>
      </c>
      <c r="C1585" s="2840">
        <v>76100</v>
      </c>
      <c r="D1585" s="2841">
        <f t="shared" si="124"/>
        <v>12676</v>
      </c>
      <c r="E1585" s="2841">
        <f t="shared" si="125"/>
        <v>8748</v>
      </c>
      <c r="F1585" s="2841">
        <f t="shared" si="126"/>
        <v>12676</v>
      </c>
      <c r="G1585" s="2841">
        <f t="shared" si="127"/>
        <v>11285</v>
      </c>
    </row>
    <row r="1586" spans="1:7" ht="15.75">
      <c r="A1586" s="3022">
        <f t="shared" si="128"/>
        <v>76125</v>
      </c>
      <c r="B1586" s="2840">
        <v>76100</v>
      </c>
      <c r="C1586" s="2840">
        <v>76150</v>
      </c>
      <c r="D1586" s="2841">
        <f t="shared" si="124"/>
        <v>12687</v>
      </c>
      <c r="E1586" s="2841">
        <f t="shared" si="125"/>
        <v>8754</v>
      </c>
      <c r="F1586" s="2841">
        <f t="shared" si="126"/>
        <v>12687</v>
      </c>
      <c r="G1586" s="2841">
        <f t="shared" si="127"/>
        <v>11296</v>
      </c>
    </row>
    <row r="1587" spans="1:7" ht="15.75">
      <c r="A1587" s="3022">
        <f t="shared" si="128"/>
        <v>76175</v>
      </c>
      <c r="B1587" s="2840">
        <v>76150</v>
      </c>
      <c r="C1587" s="2840">
        <v>76200</v>
      </c>
      <c r="D1587" s="2841">
        <f t="shared" si="124"/>
        <v>12698</v>
      </c>
      <c r="E1587" s="2841">
        <f t="shared" si="125"/>
        <v>8760</v>
      </c>
      <c r="F1587" s="2841">
        <f t="shared" si="126"/>
        <v>12698</v>
      </c>
      <c r="G1587" s="2841">
        <f t="shared" si="127"/>
        <v>11307</v>
      </c>
    </row>
    <row r="1588" spans="1:7" ht="15.75">
      <c r="A1588" s="3022">
        <f t="shared" si="128"/>
        <v>76225</v>
      </c>
      <c r="B1588" s="2840">
        <v>76200</v>
      </c>
      <c r="C1588" s="2840">
        <v>76250</v>
      </c>
      <c r="D1588" s="2841">
        <f t="shared" si="124"/>
        <v>12709</v>
      </c>
      <c r="E1588" s="2841">
        <f t="shared" si="125"/>
        <v>8766</v>
      </c>
      <c r="F1588" s="2841">
        <f t="shared" si="126"/>
        <v>12709</v>
      </c>
      <c r="G1588" s="2841">
        <f t="shared" si="127"/>
        <v>11318</v>
      </c>
    </row>
    <row r="1589" spans="1:7" ht="15.75">
      <c r="A1589" s="3022">
        <f t="shared" si="128"/>
        <v>76275</v>
      </c>
      <c r="B1589" s="2840">
        <v>76250</v>
      </c>
      <c r="C1589" s="2840">
        <v>76300</v>
      </c>
      <c r="D1589" s="2841">
        <f t="shared" si="124"/>
        <v>12720</v>
      </c>
      <c r="E1589" s="2841">
        <f t="shared" si="125"/>
        <v>8772</v>
      </c>
      <c r="F1589" s="2841">
        <f t="shared" si="126"/>
        <v>12720</v>
      </c>
      <c r="G1589" s="2841">
        <f t="shared" si="127"/>
        <v>11329</v>
      </c>
    </row>
    <row r="1590" spans="1:7" ht="15.75">
      <c r="A1590" s="3022">
        <f t="shared" si="128"/>
        <v>76325</v>
      </c>
      <c r="B1590" s="2840">
        <v>76300</v>
      </c>
      <c r="C1590" s="2840">
        <v>76350</v>
      </c>
      <c r="D1590" s="2841">
        <f t="shared" si="124"/>
        <v>12731</v>
      </c>
      <c r="E1590" s="2841">
        <f t="shared" si="125"/>
        <v>8778</v>
      </c>
      <c r="F1590" s="2841">
        <f t="shared" si="126"/>
        <v>12731</v>
      </c>
      <c r="G1590" s="2841">
        <f t="shared" si="127"/>
        <v>11340</v>
      </c>
    </row>
    <row r="1591" spans="1:7" ht="15.75">
      <c r="A1591" s="3022">
        <f t="shared" si="128"/>
        <v>76375</v>
      </c>
      <c r="B1591" s="2840">
        <v>76350</v>
      </c>
      <c r="C1591" s="2840">
        <v>76400</v>
      </c>
      <c r="D1591" s="2841">
        <f t="shared" si="124"/>
        <v>12742</v>
      </c>
      <c r="E1591" s="2841">
        <f t="shared" si="125"/>
        <v>8784</v>
      </c>
      <c r="F1591" s="2841">
        <f t="shared" si="126"/>
        <v>12742</v>
      </c>
      <c r="G1591" s="2841">
        <f t="shared" si="127"/>
        <v>11351</v>
      </c>
    </row>
    <row r="1592" spans="1:7" ht="15.75">
      <c r="A1592" s="3022">
        <f t="shared" si="128"/>
        <v>76425</v>
      </c>
      <c r="B1592" s="2840">
        <v>76400</v>
      </c>
      <c r="C1592" s="2840">
        <v>76450</v>
      </c>
      <c r="D1592" s="2841">
        <f t="shared" si="124"/>
        <v>12753</v>
      </c>
      <c r="E1592" s="2841">
        <f t="shared" si="125"/>
        <v>8790</v>
      </c>
      <c r="F1592" s="2841">
        <f t="shared" si="126"/>
        <v>12753</v>
      </c>
      <c r="G1592" s="2841">
        <f t="shared" si="127"/>
        <v>11362</v>
      </c>
    </row>
    <row r="1593" spans="1:7" ht="15.75">
      <c r="A1593" s="3022">
        <f t="shared" si="128"/>
        <v>76475</v>
      </c>
      <c r="B1593" s="2840">
        <v>76450</v>
      </c>
      <c r="C1593" s="2840">
        <v>76500</v>
      </c>
      <c r="D1593" s="2841">
        <f t="shared" si="124"/>
        <v>12764</v>
      </c>
      <c r="E1593" s="2841">
        <f t="shared" si="125"/>
        <v>8796</v>
      </c>
      <c r="F1593" s="2841">
        <f t="shared" si="126"/>
        <v>12764</v>
      </c>
      <c r="G1593" s="2841">
        <f t="shared" si="127"/>
        <v>11373</v>
      </c>
    </row>
    <row r="1594" spans="1:7" ht="15.75">
      <c r="A1594" s="3022">
        <f t="shared" si="128"/>
        <v>76525</v>
      </c>
      <c r="B1594" s="2840">
        <v>76500</v>
      </c>
      <c r="C1594" s="2840">
        <v>76550</v>
      </c>
      <c r="D1594" s="2841">
        <f t="shared" si="124"/>
        <v>12775</v>
      </c>
      <c r="E1594" s="2841">
        <f t="shared" si="125"/>
        <v>8802</v>
      </c>
      <c r="F1594" s="2841">
        <f t="shared" si="126"/>
        <v>12775</v>
      </c>
      <c r="G1594" s="2841">
        <f t="shared" si="127"/>
        <v>11384</v>
      </c>
    </row>
    <row r="1595" spans="1:7" ht="15.75">
      <c r="A1595" s="3022">
        <f t="shared" si="128"/>
        <v>76575</v>
      </c>
      <c r="B1595" s="2840">
        <v>76550</v>
      </c>
      <c r="C1595" s="2840">
        <v>76600</v>
      </c>
      <c r="D1595" s="2841">
        <f t="shared" si="124"/>
        <v>12786</v>
      </c>
      <c r="E1595" s="2841">
        <f t="shared" si="125"/>
        <v>8808</v>
      </c>
      <c r="F1595" s="2841">
        <f t="shared" si="126"/>
        <v>12786</v>
      </c>
      <c r="G1595" s="2841">
        <f t="shared" si="127"/>
        <v>11395</v>
      </c>
    </row>
    <row r="1596" spans="1:7" ht="15.75">
      <c r="A1596" s="3022">
        <f t="shared" si="128"/>
        <v>76625</v>
      </c>
      <c r="B1596" s="2840">
        <v>76600</v>
      </c>
      <c r="C1596" s="2840">
        <v>76650</v>
      </c>
      <c r="D1596" s="2841">
        <f t="shared" si="124"/>
        <v>12797</v>
      </c>
      <c r="E1596" s="2841">
        <f t="shared" si="125"/>
        <v>8814</v>
      </c>
      <c r="F1596" s="2841">
        <f t="shared" si="126"/>
        <v>12797</v>
      </c>
      <c r="G1596" s="2841">
        <f t="shared" si="127"/>
        <v>11406</v>
      </c>
    </row>
    <row r="1597" spans="1:7" ht="15.75">
      <c r="A1597" s="3022">
        <f t="shared" si="128"/>
        <v>76675</v>
      </c>
      <c r="B1597" s="2840">
        <v>76650</v>
      </c>
      <c r="C1597" s="2840">
        <v>76700</v>
      </c>
      <c r="D1597" s="2841">
        <f t="shared" si="124"/>
        <v>12808</v>
      </c>
      <c r="E1597" s="2841">
        <f t="shared" si="125"/>
        <v>8820</v>
      </c>
      <c r="F1597" s="2841">
        <f t="shared" si="126"/>
        <v>12808</v>
      </c>
      <c r="G1597" s="2841">
        <f t="shared" si="127"/>
        <v>11417</v>
      </c>
    </row>
    <row r="1598" spans="1:7" ht="15.75">
      <c r="A1598" s="3022">
        <f t="shared" si="128"/>
        <v>76725</v>
      </c>
      <c r="B1598" s="2840">
        <v>76700</v>
      </c>
      <c r="C1598" s="2840">
        <v>76750</v>
      </c>
      <c r="D1598" s="2841">
        <f t="shared" si="124"/>
        <v>12819</v>
      </c>
      <c r="E1598" s="2841">
        <f t="shared" si="125"/>
        <v>8826</v>
      </c>
      <c r="F1598" s="2841">
        <f t="shared" si="126"/>
        <v>12819</v>
      </c>
      <c r="G1598" s="2841">
        <f t="shared" si="127"/>
        <v>11428</v>
      </c>
    </row>
    <row r="1599" spans="1:7" ht="15.75">
      <c r="A1599" s="3022">
        <f t="shared" si="128"/>
        <v>76775</v>
      </c>
      <c r="B1599" s="2840">
        <v>76750</v>
      </c>
      <c r="C1599" s="2840">
        <v>76800</v>
      </c>
      <c r="D1599" s="2841">
        <f t="shared" si="124"/>
        <v>12830</v>
      </c>
      <c r="E1599" s="2841">
        <f t="shared" si="125"/>
        <v>8832</v>
      </c>
      <c r="F1599" s="2841">
        <f t="shared" si="126"/>
        <v>12830</v>
      </c>
      <c r="G1599" s="2841">
        <f t="shared" si="127"/>
        <v>11439</v>
      </c>
    </row>
    <row r="1600" spans="1:7" ht="15.75">
      <c r="A1600" s="3022">
        <f t="shared" si="128"/>
        <v>76825</v>
      </c>
      <c r="B1600" s="2840">
        <v>76800</v>
      </c>
      <c r="C1600" s="2840">
        <v>76850</v>
      </c>
      <c r="D1600" s="2841">
        <f t="shared" si="124"/>
        <v>12841</v>
      </c>
      <c r="E1600" s="2841">
        <f t="shared" si="125"/>
        <v>8838</v>
      </c>
      <c r="F1600" s="2841">
        <f t="shared" si="126"/>
        <v>12841</v>
      </c>
      <c r="G1600" s="2841">
        <f t="shared" si="127"/>
        <v>11450</v>
      </c>
    </row>
    <row r="1601" spans="1:7" ht="15.75">
      <c r="A1601" s="3022">
        <f t="shared" si="128"/>
        <v>76875</v>
      </c>
      <c r="B1601" s="2840">
        <v>76850</v>
      </c>
      <c r="C1601" s="2840">
        <v>76900</v>
      </c>
      <c r="D1601" s="2841">
        <f t="shared" si="124"/>
        <v>12852</v>
      </c>
      <c r="E1601" s="2841">
        <f t="shared" si="125"/>
        <v>8844</v>
      </c>
      <c r="F1601" s="2841">
        <f t="shared" si="126"/>
        <v>12852</v>
      </c>
      <c r="G1601" s="2841">
        <f t="shared" si="127"/>
        <v>11461</v>
      </c>
    </row>
    <row r="1602" spans="1:7" ht="15.75">
      <c r="A1602" s="3022">
        <f t="shared" si="128"/>
        <v>76925</v>
      </c>
      <c r="B1602" s="2840">
        <v>76900</v>
      </c>
      <c r="C1602" s="2840">
        <v>76950</v>
      </c>
      <c r="D1602" s="2841">
        <f t="shared" ref="D1602:D1665" si="129">IF($A1602&gt;BOTT_A4,ROUND(BASE_A4+RATE_A4*($A1602-BOTT_A4),0),IF($A1602&gt;BOTT_A3,ROUND(BASE_A3+RATE_A3*($A1602-BOTT_A3),0),IF($A1602&gt;BOTT_A2,ROUND(BASE_A2+RATE_A2*($A1602-BOTT_A2),0),ROUND(RATE_A1*$A1602,0))))</f>
        <v>12863</v>
      </c>
      <c r="E1602" s="2841">
        <f t="shared" ref="E1602:E1665" si="130">IF($A1602&gt;BOTT_B4,ROUND(BASE_B4+RATE_B4*($A1602-BOTT_B4),0),IF($A1602&gt;BOTT_B3,ROUND(BASE_B3+RATE_B3*($A1602-BOTT_B3),0),IF($A1602&gt;BOTT_B2,ROUND(BASE_B2+RATE_B2*($A1602-BOTT_B2),0),ROUND(RATE_B1*$A1602,0))))</f>
        <v>8850</v>
      </c>
      <c r="F1602" s="2841">
        <f t="shared" ref="F1602:F1665" si="131">IF($A1602&gt;BOTT_C4,ROUND(BASE_C4+RATE_C4*($A1602-BOTT_C4),0),IF($A1602&gt;BOTT_C3,ROUND(BASE_C3+RATE_C3*($A1602-BOTT_C3),0),IF($A1602&gt;BOTT_C2,ROUND(BASE_C2+RATE_C2*($A1602-BOTT_C2),0),ROUND(RATE_C1*$A1602,0))))</f>
        <v>12863</v>
      </c>
      <c r="G1602" s="2841">
        <f t="shared" ref="G1602:G1665" si="132">IF($A1602&gt;BOTT_D4,ROUND(BASE_D4+RATE_D4*($A1602-BOTT_D4),0),IF($A1602&gt;BOTT_D3,ROUND(BASE_D3+RATE_D3*($A1602-BOTT_D3),0),IF($A1602&gt;BOTT_D2,ROUND(BASE_D2+RATE_D2*($A1602-BOTT_D2),0),ROUND(RATE_D1*$A1602,0))))</f>
        <v>11472</v>
      </c>
    </row>
    <row r="1603" spans="1:7" ht="15.75">
      <c r="A1603" s="3022">
        <f t="shared" ref="A1603:A1666" si="133">AVERAGE(B1603,C1603)</f>
        <v>76975</v>
      </c>
      <c r="B1603" s="2840">
        <v>76950</v>
      </c>
      <c r="C1603" s="2840">
        <v>77000</v>
      </c>
      <c r="D1603" s="2841">
        <f t="shared" si="129"/>
        <v>12874</v>
      </c>
      <c r="E1603" s="2841">
        <f t="shared" si="130"/>
        <v>8856</v>
      </c>
      <c r="F1603" s="2841">
        <f t="shared" si="131"/>
        <v>12874</v>
      </c>
      <c r="G1603" s="2841">
        <f t="shared" si="132"/>
        <v>11483</v>
      </c>
    </row>
    <row r="1604" spans="1:7" ht="15.75">
      <c r="A1604" s="3022">
        <f t="shared" si="133"/>
        <v>77025</v>
      </c>
      <c r="B1604" s="2840">
        <v>77000</v>
      </c>
      <c r="C1604" s="2840">
        <v>77050</v>
      </c>
      <c r="D1604" s="2841">
        <f t="shared" si="129"/>
        <v>12885</v>
      </c>
      <c r="E1604" s="2841">
        <f t="shared" si="130"/>
        <v>8862</v>
      </c>
      <c r="F1604" s="2841">
        <f t="shared" si="131"/>
        <v>12885</v>
      </c>
      <c r="G1604" s="2841">
        <f t="shared" si="132"/>
        <v>11494</v>
      </c>
    </row>
    <row r="1605" spans="1:7" ht="15.75">
      <c r="A1605" s="3022">
        <f t="shared" si="133"/>
        <v>77075</v>
      </c>
      <c r="B1605" s="2840">
        <v>77050</v>
      </c>
      <c r="C1605" s="2840">
        <v>77100</v>
      </c>
      <c r="D1605" s="2841">
        <f t="shared" si="129"/>
        <v>12896</v>
      </c>
      <c r="E1605" s="2841">
        <f t="shared" si="130"/>
        <v>8868</v>
      </c>
      <c r="F1605" s="2841">
        <f t="shared" si="131"/>
        <v>12896</v>
      </c>
      <c r="G1605" s="2841">
        <f t="shared" si="132"/>
        <v>11505</v>
      </c>
    </row>
    <row r="1606" spans="1:7" ht="15.75">
      <c r="A1606" s="3022">
        <f t="shared" si="133"/>
        <v>77125</v>
      </c>
      <c r="B1606" s="2840">
        <v>77100</v>
      </c>
      <c r="C1606" s="2840">
        <v>77150</v>
      </c>
      <c r="D1606" s="2841">
        <f t="shared" si="129"/>
        <v>12907</v>
      </c>
      <c r="E1606" s="2841">
        <f t="shared" si="130"/>
        <v>8874</v>
      </c>
      <c r="F1606" s="2841">
        <f t="shared" si="131"/>
        <v>12907</v>
      </c>
      <c r="G1606" s="2841">
        <f t="shared" si="132"/>
        <v>11516</v>
      </c>
    </row>
    <row r="1607" spans="1:7" ht="15.75">
      <c r="A1607" s="3022">
        <f t="shared" si="133"/>
        <v>77175</v>
      </c>
      <c r="B1607" s="2840">
        <v>77150</v>
      </c>
      <c r="C1607" s="2840">
        <v>77200</v>
      </c>
      <c r="D1607" s="2841">
        <f t="shared" si="129"/>
        <v>12918</v>
      </c>
      <c r="E1607" s="2841">
        <f t="shared" si="130"/>
        <v>8880</v>
      </c>
      <c r="F1607" s="2841">
        <f t="shared" si="131"/>
        <v>12918</v>
      </c>
      <c r="G1607" s="2841">
        <f t="shared" si="132"/>
        <v>11527</v>
      </c>
    </row>
    <row r="1608" spans="1:7" ht="15.75">
      <c r="A1608" s="3022">
        <f t="shared" si="133"/>
        <v>77225</v>
      </c>
      <c r="B1608" s="2840">
        <v>77200</v>
      </c>
      <c r="C1608" s="2840">
        <v>77250</v>
      </c>
      <c r="D1608" s="2841">
        <f t="shared" si="129"/>
        <v>12929</v>
      </c>
      <c r="E1608" s="2841">
        <f t="shared" si="130"/>
        <v>8886</v>
      </c>
      <c r="F1608" s="2841">
        <f t="shared" si="131"/>
        <v>12929</v>
      </c>
      <c r="G1608" s="2841">
        <f t="shared" si="132"/>
        <v>11538</v>
      </c>
    </row>
    <row r="1609" spans="1:7" ht="15.75">
      <c r="A1609" s="3022">
        <f t="shared" si="133"/>
        <v>77275</v>
      </c>
      <c r="B1609" s="2840">
        <v>77250</v>
      </c>
      <c r="C1609" s="2840">
        <v>77300</v>
      </c>
      <c r="D1609" s="2841">
        <f t="shared" si="129"/>
        <v>12940</v>
      </c>
      <c r="E1609" s="2841">
        <f t="shared" si="130"/>
        <v>8892</v>
      </c>
      <c r="F1609" s="2841">
        <f t="shared" si="131"/>
        <v>12940</v>
      </c>
      <c r="G1609" s="2841">
        <f t="shared" si="132"/>
        <v>11549</v>
      </c>
    </row>
    <row r="1610" spans="1:7" ht="15.75">
      <c r="A1610" s="3022">
        <f t="shared" si="133"/>
        <v>77325</v>
      </c>
      <c r="B1610" s="2840">
        <v>77300</v>
      </c>
      <c r="C1610" s="2840">
        <v>77350</v>
      </c>
      <c r="D1610" s="2841">
        <f t="shared" si="129"/>
        <v>12951</v>
      </c>
      <c r="E1610" s="2841">
        <f t="shared" si="130"/>
        <v>8898</v>
      </c>
      <c r="F1610" s="2841">
        <f t="shared" si="131"/>
        <v>12951</v>
      </c>
      <c r="G1610" s="2841">
        <f t="shared" si="132"/>
        <v>11560</v>
      </c>
    </row>
    <row r="1611" spans="1:7" ht="15.75">
      <c r="A1611" s="3022">
        <f t="shared" si="133"/>
        <v>77375</v>
      </c>
      <c r="B1611" s="2840">
        <v>77350</v>
      </c>
      <c r="C1611" s="2840">
        <v>77400</v>
      </c>
      <c r="D1611" s="2841">
        <f t="shared" si="129"/>
        <v>12962</v>
      </c>
      <c r="E1611" s="2841">
        <f t="shared" si="130"/>
        <v>8904</v>
      </c>
      <c r="F1611" s="2841">
        <f t="shared" si="131"/>
        <v>12962</v>
      </c>
      <c r="G1611" s="2841">
        <f t="shared" si="132"/>
        <v>11571</v>
      </c>
    </row>
    <row r="1612" spans="1:7" ht="15.75">
      <c r="A1612" s="3022">
        <f t="shared" si="133"/>
        <v>77425</v>
      </c>
      <c r="B1612" s="2840">
        <v>77400</v>
      </c>
      <c r="C1612" s="2840">
        <v>77450</v>
      </c>
      <c r="D1612" s="2841">
        <f t="shared" si="129"/>
        <v>12973</v>
      </c>
      <c r="E1612" s="2841">
        <f t="shared" si="130"/>
        <v>8913</v>
      </c>
      <c r="F1612" s="2841">
        <f t="shared" si="131"/>
        <v>12973</v>
      </c>
      <c r="G1612" s="2841">
        <f t="shared" si="132"/>
        <v>11582</v>
      </c>
    </row>
    <row r="1613" spans="1:7" ht="15.75">
      <c r="A1613" s="3022">
        <f t="shared" si="133"/>
        <v>77475</v>
      </c>
      <c r="B1613" s="2840">
        <v>77450</v>
      </c>
      <c r="C1613" s="2840">
        <v>77500</v>
      </c>
      <c r="D1613" s="2841">
        <f t="shared" si="129"/>
        <v>12984</v>
      </c>
      <c r="E1613" s="2841">
        <f t="shared" si="130"/>
        <v>8924</v>
      </c>
      <c r="F1613" s="2841">
        <f t="shared" si="131"/>
        <v>12984</v>
      </c>
      <c r="G1613" s="2841">
        <f t="shared" si="132"/>
        <v>11593</v>
      </c>
    </row>
    <row r="1614" spans="1:7" ht="15.75">
      <c r="A1614" s="3022">
        <f t="shared" si="133"/>
        <v>77525</v>
      </c>
      <c r="B1614" s="2840">
        <v>77500</v>
      </c>
      <c r="C1614" s="2840">
        <v>77550</v>
      </c>
      <c r="D1614" s="2841">
        <f t="shared" si="129"/>
        <v>12995</v>
      </c>
      <c r="E1614" s="2841">
        <f t="shared" si="130"/>
        <v>8935</v>
      </c>
      <c r="F1614" s="2841">
        <f t="shared" si="131"/>
        <v>12995</v>
      </c>
      <c r="G1614" s="2841">
        <f t="shared" si="132"/>
        <v>11604</v>
      </c>
    </row>
    <row r="1615" spans="1:7" ht="15.75">
      <c r="A1615" s="3022">
        <f t="shared" si="133"/>
        <v>77575</v>
      </c>
      <c r="B1615" s="2840">
        <v>77550</v>
      </c>
      <c r="C1615" s="2840">
        <v>77600</v>
      </c>
      <c r="D1615" s="2841">
        <f t="shared" si="129"/>
        <v>13006</v>
      </c>
      <c r="E1615" s="2841">
        <f t="shared" si="130"/>
        <v>8946</v>
      </c>
      <c r="F1615" s="2841">
        <f t="shared" si="131"/>
        <v>13006</v>
      </c>
      <c r="G1615" s="2841">
        <f t="shared" si="132"/>
        <v>11615</v>
      </c>
    </row>
    <row r="1616" spans="1:7" ht="15.75">
      <c r="A1616" s="3022">
        <f t="shared" si="133"/>
        <v>77625</v>
      </c>
      <c r="B1616" s="2840">
        <v>77600</v>
      </c>
      <c r="C1616" s="2840">
        <v>77650</v>
      </c>
      <c r="D1616" s="2841">
        <f t="shared" si="129"/>
        <v>13017</v>
      </c>
      <c r="E1616" s="2841">
        <f t="shared" si="130"/>
        <v>8957</v>
      </c>
      <c r="F1616" s="2841">
        <f t="shared" si="131"/>
        <v>13017</v>
      </c>
      <c r="G1616" s="2841">
        <f t="shared" si="132"/>
        <v>11626</v>
      </c>
    </row>
    <row r="1617" spans="1:7" ht="15.75">
      <c r="A1617" s="3022">
        <f t="shared" si="133"/>
        <v>77675</v>
      </c>
      <c r="B1617" s="2840">
        <v>77650</v>
      </c>
      <c r="C1617" s="2840">
        <v>77700</v>
      </c>
      <c r="D1617" s="2841">
        <f t="shared" si="129"/>
        <v>13028</v>
      </c>
      <c r="E1617" s="2841">
        <f t="shared" si="130"/>
        <v>8968</v>
      </c>
      <c r="F1617" s="2841">
        <f t="shared" si="131"/>
        <v>13028</v>
      </c>
      <c r="G1617" s="2841">
        <f t="shared" si="132"/>
        <v>11637</v>
      </c>
    </row>
    <row r="1618" spans="1:7" ht="15.75">
      <c r="A1618" s="3022">
        <f t="shared" si="133"/>
        <v>77725</v>
      </c>
      <c r="B1618" s="2840">
        <v>77700</v>
      </c>
      <c r="C1618" s="2840">
        <v>77750</v>
      </c>
      <c r="D1618" s="2841">
        <f t="shared" si="129"/>
        <v>13039</v>
      </c>
      <c r="E1618" s="2841">
        <f t="shared" si="130"/>
        <v>8979</v>
      </c>
      <c r="F1618" s="2841">
        <f t="shared" si="131"/>
        <v>13039</v>
      </c>
      <c r="G1618" s="2841">
        <f t="shared" si="132"/>
        <v>11648</v>
      </c>
    </row>
    <row r="1619" spans="1:7" ht="15.75">
      <c r="A1619" s="3022">
        <f t="shared" si="133"/>
        <v>77775</v>
      </c>
      <c r="B1619" s="2840">
        <v>77750</v>
      </c>
      <c r="C1619" s="2840">
        <v>77800</v>
      </c>
      <c r="D1619" s="2841">
        <f t="shared" si="129"/>
        <v>13050</v>
      </c>
      <c r="E1619" s="2841">
        <f t="shared" si="130"/>
        <v>8990</v>
      </c>
      <c r="F1619" s="2841">
        <f t="shared" si="131"/>
        <v>13050</v>
      </c>
      <c r="G1619" s="2841">
        <f t="shared" si="132"/>
        <v>11659</v>
      </c>
    </row>
    <row r="1620" spans="1:7" ht="15.75">
      <c r="A1620" s="3022">
        <f t="shared" si="133"/>
        <v>77825</v>
      </c>
      <c r="B1620" s="2840">
        <v>77800</v>
      </c>
      <c r="C1620" s="2840">
        <v>77850</v>
      </c>
      <c r="D1620" s="2841">
        <f t="shared" si="129"/>
        <v>13061</v>
      </c>
      <c r="E1620" s="2841">
        <f t="shared" si="130"/>
        <v>9001</v>
      </c>
      <c r="F1620" s="2841">
        <f t="shared" si="131"/>
        <v>13061</v>
      </c>
      <c r="G1620" s="2841">
        <f t="shared" si="132"/>
        <v>11670</v>
      </c>
    </row>
    <row r="1621" spans="1:7" ht="15.75">
      <c r="A1621" s="3022">
        <f t="shared" si="133"/>
        <v>77875</v>
      </c>
      <c r="B1621" s="2840">
        <v>77850</v>
      </c>
      <c r="C1621" s="2840">
        <v>77900</v>
      </c>
      <c r="D1621" s="2841">
        <f t="shared" si="129"/>
        <v>13072</v>
      </c>
      <c r="E1621" s="2841">
        <f t="shared" si="130"/>
        <v>9012</v>
      </c>
      <c r="F1621" s="2841">
        <f t="shared" si="131"/>
        <v>13072</v>
      </c>
      <c r="G1621" s="2841">
        <f t="shared" si="132"/>
        <v>11681</v>
      </c>
    </row>
    <row r="1622" spans="1:7" ht="15.75">
      <c r="A1622" s="3022">
        <f t="shared" si="133"/>
        <v>77925</v>
      </c>
      <c r="B1622" s="2840">
        <v>77900</v>
      </c>
      <c r="C1622" s="2840">
        <v>77950</v>
      </c>
      <c r="D1622" s="2841">
        <f t="shared" si="129"/>
        <v>13083</v>
      </c>
      <c r="E1622" s="2841">
        <f t="shared" si="130"/>
        <v>9023</v>
      </c>
      <c r="F1622" s="2841">
        <f t="shared" si="131"/>
        <v>13083</v>
      </c>
      <c r="G1622" s="2841">
        <f t="shared" si="132"/>
        <v>11692</v>
      </c>
    </row>
    <row r="1623" spans="1:7" ht="15.75">
      <c r="A1623" s="3022">
        <f t="shared" si="133"/>
        <v>77975</v>
      </c>
      <c r="B1623" s="2840">
        <v>77950</v>
      </c>
      <c r="C1623" s="2840">
        <v>78000</v>
      </c>
      <c r="D1623" s="2841">
        <f t="shared" si="129"/>
        <v>13094</v>
      </c>
      <c r="E1623" s="2841">
        <f t="shared" si="130"/>
        <v>9034</v>
      </c>
      <c r="F1623" s="2841">
        <f t="shared" si="131"/>
        <v>13094</v>
      </c>
      <c r="G1623" s="2841">
        <f t="shared" si="132"/>
        <v>11703</v>
      </c>
    </row>
    <row r="1624" spans="1:7" ht="15.75">
      <c r="A1624" s="3022">
        <f t="shared" si="133"/>
        <v>78025</v>
      </c>
      <c r="B1624" s="2840">
        <v>78000</v>
      </c>
      <c r="C1624" s="2840">
        <v>78050</v>
      </c>
      <c r="D1624" s="2841">
        <f t="shared" si="129"/>
        <v>13105</v>
      </c>
      <c r="E1624" s="2841">
        <f t="shared" si="130"/>
        <v>9045</v>
      </c>
      <c r="F1624" s="2841">
        <f t="shared" si="131"/>
        <v>13105</v>
      </c>
      <c r="G1624" s="2841">
        <f t="shared" si="132"/>
        <v>11714</v>
      </c>
    </row>
    <row r="1625" spans="1:7" ht="15.75">
      <c r="A1625" s="3022">
        <f t="shared" si="133"/>
        <v>78075</v>
      </c>
      <c r="B1625" s="2840">
        <v>78050</v>
      </c>
      <c r="C1625" s="2840">
        <v>78100</v>
      </c>
      <c r="D1625" s="2841">
        <f t="shared" si="129"/>
        <v>13116</v>
      </c>
      <c r="E1625" s="2841">
        <f t="shared" si="130"/>
        <v>9056</v>
      </c>
      <c r="F1625" s="2841">
        <f t="shared" si="131"/>
        <v>13116</v>
      </c>
      <c r="G1625" s="2841">
        <f t="shared" si="132"/>
        <v>11725</v>
      </c>
    </row>
    <row r="1626" spans="1:7" ht="15.75">
      <c r="A1626" s="3022">
        <f t="shared" si="133"/>
        <v>78125</v>
      </c>
      <c r="B1626" s="2840">
        <v>78100</v>
      </c>
      <c r="C1626" s="2840">
        <v>78150</v>
      </c>
      <c r="D1626" s="2841">
        <f t="shared" si="129"/>
        <v>13127</v>
      </c>
      <c r="E1626" s="2841">
        <f t="shared" si="130"/>
        <v>9067</v>
      </c>
      <c r="F1626" s="2841">
        <f t="shared" si="131"/>
        <v>13127</v>
      </c>
      <c r="G1626" s="2841">
        <f t="shared" si="132"/>
        <v>11736</v>
      </c>
    </row>
    <row r="1627" spans="1:7" ht="15.75">
      <c r="A1627" s="3022">
        <f t="shared" si="133"/>
        <v>78175</v>
      </c>
      <c r="B1627" s="2840">
        <v>78150</v>
      </c>
      <c r="C1627" s="2840">
        <v>78200</v>
      </c>
      <c r="D1627" s="2841">
        <f t="shared" si="129"/>
        <v>13138</v>
      </c>
      <c r="E1627" s="2841">
        <f t="shared" si="130"/>
        <v>9078</v>
      </c>
      <c r="F1627" s="2841">
        <f t="shared" si="131"/>
        <v>13138</v>
      </c>
      <c r="G1627" s="2841">
        <f t="shared" si="132"/>
        <v>11747</v>
      </c>
    </row>
    <row r="1628" spans="1:7" ht="15.75">
      <c r="A1628" s="3022">
        <f t="shared" si="133"/>
        <v>78225</v>
      </c>
      <c r="B1628" s="2840">
        <v>78200</v>
      </c>
      <c r="C1628" s="2840">
        <v>78250</v>
      </c>
      <c r="D1628" s="2841">
        <f t="shared" si="129"/>
        <v>13149</v>
      </c>
      <c r="E1628" s="2841">
        <f t="shared" si="130"/>
        <v>9089</v>
      </c>
      <c r="F1628" s="2841">
        <f t="shared" si="131"/>
        <v>13149</v>
      </c>
      <c r="G1628" s="2841">
        <f t="shared" si="132"/>
        <v>11758</v>
      </c>
    </row>
    <row r="1629" spans="1:7" ht="15.75">
      <c r="A1629" s="3022">
        <f t="shared" si="133"/>
        <v>78275</v>
      </c>
      <c r="B1629" s="2840">
        <v>78250</v>
      </c>
      <c r="C1629" s="2840">
        <v>78300</v>
      </c>
      <c r="D1629" s="2841">
        <f t="shared" si="129"/>
        <v>13160</v>
      </c>
      <c r="E1629" s="2841">
        <f t="shared" si="130"/>
        <v>9100</v>
      </c>
      <c r="F1629" s="2841">
        <f t="shared" si="131"/>
        <v>13160</v>
      </c>
      <c r="G1629" s="2841">
        <f t="shared" si="132"/>
        <v>11769</v>
      </c>
    </row>
    <row r="1630" spans="1:7" ht="15.75">
      <c r="A1630" s="3022">
        <f t="shared" si="133"/>
        <v>78325</v>
      </c>
      <c r="B1630" s="2840">
        <v>78300</v>
      </c>
      <c r="C1630" s="2840">
        <v>78350</v>
      </c>
      <c r="D1630" s="2841">
        <f t="shared" si="129"/>
        <v>13171</v>
      </c>
      <c r="E1630" s="2841">
        <f t="shared" si="130"/>
        <v>9111</v>
      </c>
      <c r="F1630" s="2841">
        <f t="shared" si="131"/>
        <v>13171</v>
      </c>
      <c r="G1630" s="2841">
        <f t="shared" si="132"/>
        <v>11780</v>
      </c>
    </row>
    <row r="1631" spans="1:7" ht="15.75">
      <c r="A1631" s="3022">
        <f t="shared" si="133"/>
        <v>78375</v>
      </c>
      <c r="B1631" s="2840">
        <v>78350</v>
      </c>
      <c r="C1631" s="2840">
        <v>78400</v>
      </c>
      <c r="D1631" s="2841">
        <f t="shared" si="129"/>
        <v>13182</v>
      </c>
      <c r="E1631" s="2841">
        <f t="shared" si="130"/>
        <v>9122</v>
      </c>
      <c r="F1631" s="2841">
        <f t="shared" si="131"/>
        <v>13182</v>
      </c>
      <c r="G1631" s="2841">
        <f t="shared" si="132"/>
        <v>11791</v>
      </c>
    </row>
    <row r="1632" spans="1:7" ht="15.75">
      <c r="A1632" s="3022">
        <f t="shared" si="133"/>
        <v>78425</v>
      </c>
      <c r="B1632" s="2840">
        <v>78400</v>
      </c>
      <c r="C1632" s="2840">
        <v>78450</v>
      </c>
      <c r="D1632" s="2841">
        <f t="shared" si="129"/>
        <v>13193</v>
      </c>
      <c r="E1632" s="2841">
        <f t="shared" si="130"/>
        <v>9133</v>
      </c>
      <c r="F1632" s="2841">
        <f t="shared" si="131"/>
        <v>13193</v>
      </c>
      <c r="G1632" s="2841">
        <f t="shared" si="132"/>
        <v>11802</v>
      </c>
    </row>
    <row r="1633" spans="1:7" ht="15.75">
      <c r="A1633" s="3022">
        <f t="shared" si="133"/>
        <v>78475</v>
      </c>
      <c r="B1633" s="2840">
        <v>78450</v>
      </c>
      <c r="C1633" s="2840">
        <v>78500</v>
      </c>
      <c r="D1633" s="2841">
        <f t="shared" si="129"/>
        <v>13204</v>
      </c>
      <c r="E1633" s="2841">
        <f t="shared" si="130"/>
        <v>9144</v>
      </c>
      <c r="F1633" s="2841">
        <f t="shared" si="131"/>
        <v>13204</v>
      </c>
      <c r="G1633" s="2841">
        <f t="shared" si="132"/>
        <v>11813</v>
      </c>
    </row>
    <row r="1634" spans="1:7" ht="15.75">
      <c r="A1634" s="3022">
        <f t="shared" si="133"/>
        <v>78525</v>
      </c>
      <c r="B1634" s="2840">
        <v>78500</v>
      </c>
      <c r="C1634" s="2840">
        <v>78550</v>
      </c>
      <c r="D1634" s="2841">
        <f t="shared" si="129"/>
        <v>13215</v>
      </c>
      <c r="E1634" s="2841">
        <f t="shared" si="130"/>
        <v>9155</v>
      </c>
      <c r="F1634" s="2841">
        <f t="shared" si="131"/>
        <v>13215</v>
      </c>
      <c r="G1634" s="2841">
        <f t="shared" si="132"/>
        <v>11824</v>
      </c>
    </row>
    <row r="1635" spans="1:7" ht="15.75">
      <c r="A1635" s="3022">
        <f t="shared" si="133"/>
        <v>78575</v>
      </c>
      <c r="B1635" s="2840">
        <v>78550</v>
      </c>
      <c r="C1635" s="2840">
        <v>78600</v>
      </c>
      <c r="D1635" s="2841">
        <f t="shared" si="129"/>
        <v>13226</v>
      </c>
      <c r="E1635" s="2841">
        <f t="shared" si="130"/>
        <v>9166</v>
      </c>
      <c r="F1635" s="2841">
        <f t="shared" si="131"/>
        <v>13226</v>
      </c>
      <c r="G1635" s="2841">
        <f t="shared" si="132"/>
        <v>11835</v>
      </c>
    </row>
    <row r="1636" spans="1:7" ht="15.75">
      <c r="A1636" s="3022">
        <f t="shared" si="133"/>
        <v>78625</v>
      </c>
      <c r="B1636" s="2840">
        <v>78600</v>
      </c>
      <c r="C1636" s="2840">
        <v>78650</v>
      </c>
      <c r="D1636" s="2841">
        <f t="shared" si="129"/>
        <v>13237</v>
      </c>
      <c r="E1636" s="2841">
        <f t="shared" si="130"/>
        <v>9177</v>
      </c>
      <c r="F1636" s="2841">
        <f t="shared" si="131"/>
        <v>13237</v>
      </c>
      <c r="G1636" s="2841">
        <f t="shared" si="132"/>
        <v>11846</v>
      </c>
    </row>
    <row r="1637" spans="1:7" ht="15.75">
      <c r="A1637" s="3022">
        <f t="shared" si="133"/>
        <v>78675</v>
      </c>
      <c r="B1637" s="2840">
        <v>78650</v>
      </c>
      <c r="C1637" s="2840">
        <v>78700</v>
      </c>
      <c r="D1637" s="2841">
        <f t="shared" si="129"/>
        <v>13248</v>
      </c>
      <c r="E1637" s="2841">
        <f t="shared" si="130"/>
        <v>9188</v>
      </c>
      <c r="F1637" s="2841">
        <f t="shared" si="131"/>
        <v>13248</v>
      </c>
      <c r="G1637" s="2841">
        <f t="shared" si="132"/>
        <v>11857</v>
      </c>
    </row>
    <row r="1638" spans="1:7" ht="15.75">
      <c r="A1638" s="3022">
        <f t="shared" si="133"/>
        <v>78725</v>
      </c>
      <c r="B1638" s="2840">
        <v>78700</v>
      </c>
      <c r="C1638" s="2840">
        <v>78750</v>
      </c>
      <c r="D1638" s="2841">
        <f t="shared" si="129"/>
        <v>13259</v>
      </c>
      <c r="E1638" s="2841">
        <f t="shared" si="130"/>
        <v>9199</v>
      </c>
      <c r="F1638" s="2841">
        <f t="shared" si="131"/>
        <v>13259</v>
      </c>
      <c r="G1638" s="2841">
        <f t="shared" si="132"/>
        <v>11868</v>
      </c>
    </row>
    <row r="1639" spans="1:7" ht="15.75">
      <c r="A1639" s="3022">
        <f t="shared" si="133"/>
        <v>78775</v>
      </c>
      <c r="B1639" s="2840">
        <v>78750</v>
      </c>
      <c r="C1639" s="2840">
        <v>78800</v>
      </c>
      <c r="D1639" s="2841">
        <f t="shared" si="129"/>
        <v>13270</v>
      </c>
      <c r="E1639" s="2841">
        <f t="shared" si="130"/>
        <v>9210</v>
      </c>
      <c r="F1639" s="2841">
        <f t="shared" si="131"/>
        <v>13270</v>
      </c>
      <c r="G1639" s="2841">
        <f t="shared" si="132"/>
        <v>11879</v>
      </c>
    </row>
    <row r="1640" spans="1:7" ht="15.75">
      <c r="A1640" s="3022">
        <f t="shared" si="133"/>
        <v>78825</v>
      </c>
      <c r="B1640" s="2840">
        <v>78800</v>
      </c>
      <c r="C1640" s="2840">
        <v>78850</v>
      </c>
      <c r="D1640" s="2841">
        <f t="shared" si="129"/>
        <v>13281</v>
      </c>
      <c r="E1640" s="2841">
        <f t="shared" si="130"/>
        <v>9221</v>
      </c>
      <c r="F1640" s="2841">
        <f t="shared" si="131"/>
        <v>13281</v>
      </c>
      <c r="G1640" s="2841">
        <f t="shared" si="132"/>
        <v>11890</v>
      </c>
    </row>
    <row r="1641" spans="1:7" ht="15.75">
      <c r="A1641" s="3022">
        <f t="shared" si="133"/>
        <v>78875</v>
      </c>
      <c r="B1641" s="2840">
        <v>78850</v>
      </c>
      <c r="C1641" s="2840">
        <v>78900</v>
      </c>
      <c r="D1641" s="2841">
        <f t="shared" si="129"/>
        <v>13292</v>
      </c>
      <c r="E1641" s="2841">
        <f t="shared" si="130"/>
        <v>9232</v>
      </c>
      <c r="F1641" s="2841">
        <f t="shared" si="131"/>
        <v>13292</v>
      </c>
      <c r="G1641" s="2841">
        <f t="shared" si="132"/>
        <v>11901</v>
      </c>
    </row>
    <row r="1642" spans="1:7" ht="15.75">
      <c r="A1642" s="3022">
        <f t="shared" si="133"/>
        <v>78925</v>
      </c>
      <c r="B1642" s="2840">
        <v>78900</v>
      </c>
      <c r="C1642" s="2840">
        <v>78950</v>
      </c>
      <c r="D1642" s="2841">
        <f t="shared" si="129"/>
        <v>13303</v>
      </c>
      <c r="E1642" s="2841">
        <f t="shared" si="130"/>
        <v>9243</v>
      </c>
      <c r="F1642" s="2841">
        <f t="shared" si="131"/>
        <v>13303</v>
      </c>
      <c r="G1642" s="2841">
        <f t="shared" si="132"/>
        <v>11912</v>
      </c>
    </row>
    <row r="1643" spans="1:7" ht="15.75">
      <c r="A1643" s="3022">
        <f t="shared" si="133"/>
        <v>78975</v>
      </c>
      <c r="B1643" s="2840">
        <v>78950</v>
      </c>
      <c r="C1643" s="2840">
        <v>79000</v>
      </c>
      <c r="D1643" s="2841">
        <f t="shared" si="129"/>
        <v>13314</v>
      </c>
      <c r="E1643" s="2841">
        <f t="shared" si="130"/>
        <v>9254</v>
      </c>
      <c r="F1643" s="2841">
        <f t="shared" si="131"/>
        <v>13314</v>
      </c>
      <c r="G1643" s="2841">
        <f t="shared" si="132"/>
        <v>11923</v>
      </c>
    </row>
    <row r="1644" spans="1:7" ht="15.75">
      <c r="A1644" s="3022">
        <f t="shared" si="133"/>
        <v>79025</v>
      </c>
      <c r="B1644" s="2840">
        <v>79000</v>
      </c>
      <c r="C1644" s="2840">
        <v>79050</v>
      </c>
      <c r="D1644" s="2841">
        <f t="shared" si="129"/>
        <v>13325</v>
      </c>
      <c r="E1644" s="2841">
        <f t="shared" si="130"/>
        <v>9265</v>
      </c>
      <c r="F1644" s="2841">
        <f t="shared" si="131"/>
        <v>13325</v>
      </c>
      <c r="G1644" s="2841">
        <f t="shared" si="132"/>
        <v>11934</v>
      </c>
    </row>
    <row r="1645" spans="1:7" ht="15.75">
      <c r="A1645" s="3022">
        <f t="shared" si="133"/>
        <v>79075</v>
      </c>
      <c r="B1645" s="2840">
        <v>79050</v>
      </c>
      <c r="C1645" s="2840">
        <v>79100</v>
      </c>
      <c r="D1645" s="2841">
        <f t="shared" si="129"/>
        <v>13336</v>
      </c>
      <c r="E1645" s="2841">
        <f t="shared" si="130"/>
        <v>9276</v>
      </c>
      <c r="F1645" s="2841">
        <f t="shared" si="131"/>
        <v>13336</v>
      </c>
      <c r="G1645" s="2841">
        <f t="shared" si="132"/>
        <v>11945</v>
      </c>
    </row>
    <row r="1646" spans="1:7" ht="15.75">
      <c r="A1646" s="3022">
        <f t="shared" si="133"/>
        <v>79125</v>
      </c>
      <c r="B1646" s="2840">
        <v>79100</v>
      </c>
      <c r="C1646" s="2840">
        <v>79150</v>
      </c>
      <c r="D1646" s="2841">
        <f t="shared" si="129"/>
        <v>13347</v>
      </c>
      <c r="E1646" s="2841">
        <f t="shared" si="130"/>
        <v>9287</v>
      </c>
      <c r="F1646" s="2841">
        <f t="shared" si="131"/>
        <v>13347</v>
      </c>
      <c r="G1646" s="2841">
        <f t="shared" si="132"/>
        <v>11956</v>
      </c>
    </row>
    <row r="1647" spans="1:7" ht="15.75">
      <c r="A1647" s="3022">
        <f t="shared" si="133"/>
        <v>79175</v>
      </c>
      <c r="B1647" s="2840">
        <v>79150</v>
      </c>
      <c r="C1647" s="2840">
        <v>79200</v>
      </c>
      <c r="D1647" s="2841">
        <f t="shared" si="129"/>
        <v>13358</v>
      </c>
      <c r="E1647" s="2841">
        <f t="shared" si="130"/>
        <v>9298</v>
      </c>
      <c r="F1647" s="2841">
        <f t="shared" si="131"/>
        <v>13358</v>
      </c>
      <c r="G1647" s="2841">
        <f t="shared" si="132"/>
        <v>11967</v>
      </c>
    </row>
    <row r="1648" spans="1:7" ht="15.75">
      <c r="A1648" s="3022">
        <f t="shared" si="133"/>
        <v>79225</v>
      </c>
      <c r="B1648" s="2840">
        <v>79200</v>
      </c>
      <c r="C1648" s="2840">
        <v>79250</v>
      </c>
      <c r="D1648" s="2841">
        <f t="shared" si="129"/>
        <v>13369</v>
      </c>
      <c r="E1648" s="2841">
        <f t="shared" si="130"/>
        <v>9309</v>
      </c>
      <c r="F1648" s="2841">
        <f t="shared" si="131"/>
        <v>13369</v>
      </c>
      <c r="G1648" s="2841">
        <f t="shared" si="132"/>
        <v>11978</v>
      </c>
    </row>
    <row r="1649" spans="1:7" ht="15.75">
      <c r="A1649" s="3022">
        <f t="shared" si="133"/>
        <v>79275</v>
      </c>
      <c r="B1649" s="2840">
        <v>79250</v>
      </c>
      <c r="C1649" s="2840">
        <v>79300</v>
      </c>
      <c r="D1649" s="2841">
        <f t="shared" si="129"/>
        <v>13380</v>
      </c>
      <c r="E1649" s="2841">
        <f t="shared" si="130"/>
        <v>9320</v>
      </c>
      <c r="F1649" s="2841">
        <f t="shared" si="131"/>
        <v>13380</v>
      </c>
      <c r="G1649" s="2841">
        <f t="shared" si="132"/>
        <v>11989</v>
      </c>
    </row>
    <row r="1650" spans="1:7" ht="15.75">
      <c r="A1650" s="3022">
        <f t="shared" si="133"/>
        <v>79325</v>
      </c>
      <c r="B1650" s="2840">
        <v>79300</v>
      </c>
      <c r="C1650" s="2840">
        <v>79350</v>
      </c>
      <c r="D1650" s="2841">
        <f t="shared" si="129"/>
        <v>13391</v>
      </c>
      <c r="E1650" s="2841">
        <f t="shared" si="130"/>
        <v>9331</v>
      </c>
      <c r="F1650" s="2841">
        <f t="shared" si="131"/>
        <v>13391</v>
      </c>
      <c r="G1650" s="2841">
        <f t="shared" si="132"/>
        <v>12000</v>
      </c>
    </row>
    <row r="1651" spans="1:7" ht="15.75">
      <c r="A1651" s="3022">
        <f t="shared" si="133"/>
        <v>79375</v>
      </c>
      <c r="B1651" s="2840">
        <v>79350</v>
      </c>
      <c r="C1651" s="2840">
        <v>79400</v>
      </c>
      <c r="D1651" s="2841">
        <f t="shared" si="129"/>
        <v>13402</v>
      </c>
      <c r="E1651" s="2841">
        <f t="shared" si="130"/>
        <v>9342</v>
      </c>
      <c r="F1651" s="2841">
        <f t="shared" si="131"/>
        <v>13402</v>
      </c>
      <c r="G1651" s="2841">
        <f t="shared" si="132"/>
        <v>12011</v>
      </c>
    </row>
    <row r="1652" spans="1:7" ht="15.75">
      <c r="A1652" s="3022">
        <f t="shared" si="133"/>
        <v>79425</v>
      </c>
      <c r="B1652" s="2840">
        <v>79400</v>
      </c>
      <c r="C1652" s="2840">
        <v>79450</v>
      </c>
      <c r="D1652" s="2841">
        <f t="shared" si="129"/>
        <v>13413</v>
      </c>
      <c r="E1652" s="2841">
        <f t="shared" si="130"/>
        <v>9353</v>
      </c>
      <c r="F1652" s="2841">
        <f t="shared" si="131"/>
        <v>13413</v>
      </c>
      <c r="G1652" s="2841">
        <f t="shared" si="132"/>
        <v>12022</v>
      </c>
    </row>
    <row r="1653" spans="1:7" ht="15.75">
      <c r="A1653" s="3022">
        <f t="shared" si="133"/>
        <v>79475</v>
      </c>
      <c r="B1653" s="2840">
        <v>79450</v>
      </c>
      <c r="C1653" s="2840">
        <v>79500</v>
      </c>
      <c r="D1653" s="2841">
        <f t="shared" si="129"/>
        <v>13424</v>
      </c>
      <c r="E1653" s="2841">
        <f t="shared" si="130"/>
        <v>9364</v>
      </c>
      <c r="F1653" s="2841">
        <f t="shared" si="131"/>
        <v>13424</v>
      </c>
      <c r="G1653" s="2841">
        <f t="shared" si="132"/>
        <v>12033</v>
      </c>
    </row>
    <row r="1654" spans="1:7" ht="15.75">
      <c r="A1654" s="3022">
        <f t="shared" si="133"/>
        <v>79525</v>
      </c>
      <c r="B1654" s="2840">
        <v>79500</v>
      </c>
      <c r="C1654" s="2840">
        <v>79550</v>
      </c>
      <c r="D1654" s="2841">
        <f t="shared" si="129"/>
        <v>13435</v>
      </c>
      <c r="E1654" s="2841">
        <f t="shared" si="130"/>
        <v>9375</v>
      </c>
      <c r="F1654" s="2841">
        <f t="shared" si="131"/>
        <v>13435</v>
      </c>
      <c r="G1654" s="2841">
        <f t="shared" si="132"/>
        <v>12044</v>
      </c>
    </row>
    <row r="1655" spans="1:7" ht="15.75">
      <c r="A1655" s="3022">
        <f t="shared" si="133"/>
        <v>79575</v>
      </c>
      <c r="B1655" s="2840">
        <v>79550</v>
      </c>
      <c r="C1655" s="2840">
        <v>79600</v>
      </c>
      <c r="D1655" s="2841">
        <f t="shared" si="129"/>
        <v>13446</v>
      </c>
      <c r="E1655" s="2841">
        <f t="shared" si="130"/>
        <v>9386</v>
      </c>
      <c r="F1655" s="2841">
        <f t="shared" si="131"/>
        <v>13446</v>
      </c>
      <c r="G1655" s="2841">
        <f t="shared" si="132"/>
        <v>12055</v>
      </c>
    </row>
    <row r="1656" spans="1:7" ht="15.75">
      <c r="A1656" s="3022">
        <f t="shared" si="133"/>
        <v>79625</v>
      </c>
      <c r="B1656" s="2840">
        <v>79600</v>
      </c>
      <c r="C1656" s="2840">
        <v>79650</v>
      </c>
      <c r="D1656" s="2841">
        <f t="shared" si="129"/>
        <v>13457</v>
      </c>
      <c r="E1656" s="2841">
        <f t="shared" si="130"/>
        <v>9397</v>
      </c>
      <c r="F1656" s="2841">
        <f t="shared" si="131"/>
        <v>13457</v>
      </c>
      <c r="G1656" s="2841">
        <f t="shared" si="132"/>
        <v>12066</v>
      </c>
    </row>
    <row r="1657" spans="1:7" ht="15.75">
      <c r="A1657" s="3022">
        <f t="shared" si="133"/>
        <v>79675</v>
      </c>
      <c r="B1657" s="2840">
        <v>79650</v>
      </c>
      <c r="C1657" s="2840">
        <v>79700</v>
      </c>
      <c r="D1657" s="2841">
        <f t="shared" si="129"/>
        <v>13468</v>
      </c>
      <c r="E1657" s="2841">
        <f t="shared" si="130"/>
        <v>9408</v>
      </c>
      <c r="F1657" s="2841">
        <f t="shared" si="131"/>
        <v>13468</v>
      </c>
      <c r="G1657" s="2841">
        <f t="shared" si="132"/>
        <v>12077</v>
      </c>
    </row>
    <row r="1658" spans="1:7" ht="15.75">
      <c r="A1658" s="3022">
        <f t="shared" si="133"/>
        <v>79725</v>
      </c>
      <c r="B1658" s="2840">
        <v>79700</v>
      </c>
      <c r="C1658" s="2840">
        <v>79750</v>
      </c>
      <c r="D1658" s="2841">
        <f t="shared" si="129"/>
        <v>13479</v>
      </c>
      <c r="E1658" s="2841">
        <f t="shared" si="130"/>
        <v>9419</v>
      </c>
      <c r="F1658" s="2841">
        <f t="shared" si="131"/>
        <v>13479</v>
      </c>
      <c r="G1658" s="2841">
        <f t="shared" si="132"/>
        <v>12088</v>
      </c>
    </row>
    <row r="1659" spans="1:7" ht="15.75">
      <c r="A1659" s="3022">
        <f t="shared" si="133"/>
        <v>79775</v>
      </c>
      <c r="B1659" s="2840">
        <v>79750</v>
      </c>
      <c r="C1659" s="2840">
        <v>79800</v>
      </c>
      <c r="D1659" s="2841">
        <f t="shared" si="129"/>
        <v>13490</v>
      </c>
      <c r="E1659" s="2841">
        <f t="shared" si="130"/>
        <v>9430</v>
      </c>
      <c r="F1659" s="2841">
        <f t="shared" si="131"/>
        <v>13490</v>
      </c>
      <c r="G1659" s="2841">
        <f t="shared" si="132"/>
        <v>12099</v>
      </c>
    </row>
    <row r="1660" spans="1:7" ht="15.75">
      <c r="A1660" s="3022">
        <f t="shared" si="133"/>
        <v>79825</v>
      </c>
      <c r="B1660" s="2840">
        <v>79800</v>
      </c>
      <c r="C1660" s="2840">
        <v>79850</v>
      </c>
      <c r="D1660" s="2841">
        <f t="shared" si="129"/>
        <v>13501</v>
      </c>
      <c r="E1660" s="2841">
        <f t="shared" si="130"/>
        <v>9441</v>
      </c>
      <c r="F1660" s="2841">
        <f t="shared" si="131"/>
        <v>13501</v>
      </c>
      <c r="G1660" s="2841">
        <f t="shared" si="132"/>
        <v>12110</v>
      </c>
    </row>
    <row r="1661" spans="1:7" ht="15.75">
      <c r="A1661" s="3022">
        <f t="shared" si="133"/>
        <v>79875</v>
      </c>
      <c r="B1661" s="2840">
        <v>79850</v>
      </c>
      <c r="C1661" s="2840">
        <v>79900</v>
      </c>
      <c r="D1661" s="2841">
        <f t="shared" si="129"/>
        <v>13512</v>
      </c>
      <c r="E1661" s="2841">
        <f t="shared" si="130"/>
        <v>9452</v>
      </c>
      <c r="F1661" s="2841">
        <f t="shared" si="131"/>
        <v>13512</v>
      </c>
      <c r="G1661" s="2841">
        <f t="shared" si="132"/>
        <v>12121</v>
      </c>
    </row>
    <row r="1662" spans="1:7" ht="15.75">
      <c r="A1662" s="3022">
        <f t="shared" si="133"/>
        <v>79925</v>
      </c>
      <c r="B1662" s="2840">
        <v>79900</v>
      </c>
      <c r="C1662" s="2840">
        <v>79950</v>
      </c>
      <c r="D1662" s="2841">
        <f t="shared" si="129"/>
        <v>13523</v>
      </c>
      <c r="E1662" s="2841">
        <f t="shared" si="130"/>
        <v>9463</v>
      </c>
      <c r="F1662" s="2841">
        <f t="shared" si="131"/>
        <v>13523</v>
      </c>
      <c r="G1662" s="2841">
        <f t="shared" si="132"/>
        <v>12132</v>
      </c>
    </row>
    <row r="1663" spans="1:7" ht="15.75">
      <c r="A1663" s="3022">
        <f t="shared" si="133"/>
        <v>79975</v>
      </c>
      <c r="B1663" s="2840">
        <v>79950</v>
      </c>
      <c r="C1663" s="2840">
        <v>80000</v>
      </c>
      <c r="D1663" s="2841">
        <f t="shared" si="129"/>
        <v>13534</v>
      </c>
      <c r="E1663" s="2841">
        <f t="shared" si="130"/>
        <v>9474</v>
      </c>
      <c r="F1663" s="2841">
        <f t="shared" si="131"/>
        <v>13534</v>
      </c>
      <c r="G1663" s="2841">
        <f t="shared" si="132"/>
        <v>12143</v>
      </c>
    </row>
    <row r="1664" spans="1:7" ht="15.75">
      <c r="A1664" s="3022">
        <f t="shared" si="133"/>
        <v>80025</v>
      </c>
      <c r="B1664" s="2840">
        <v>80000</v>
      </c>
      <c r="C1664" s="2840">
        <v>80050</v>
      </c>
      <c r="D1664" s="2841">
        <f t="shared" si="129"/>
        <v>13545</v>
      </c>
      <c r="E1664" s="2841">
        <f t="shared" si="130"/>
        <v>9485</v>
      </c>
      <c r="F1664" s="2841">
        <f t="shared" si="131"/>
        <v>13545</v>
      </c>
      <c r="G1664" s="2841">
        <f t="shared" si="132"/>
        <v>12154</v>
      </c>
    </row>
    <row r="1665" spans="1:7" ht="15.75">
      <c r="A1665" s="3022">
        <f t="shared" si="133"/>
        <v>80075</v>
      </c>
      <c r="B1665" s="2840">
        <v>80050</v>
      </c>
      <c r="C1665" s="2840">
        <v>80100</v>
      </c>
      <c r="D1665" s="2841">
        <f t="shared" si="129"/>
        <v>13556</v>
      </c>
      <c r="E1665" s="2841">
        <f t="shared" si="130"/>
        <v>9496</v>
      </c>
      <c r="F1665" s="2841">
        <f t="shared" si="131"/>
        <v>13556</v>
      </c>
      <c r="G1665" s="2841">
        <f t="shared" si="132"/>
        <v>12165</v>
      </c>
    </row>
    <row r="1666" spans="1:7" ht="15.75">
      <c r="A1666" s="3022">
        <f t="shared" si="133"/>
        <v>80125</v>
      </c>
      <c r="B1666" s="2840">
        <v>80100</v>
      </c>
      <c r="C1666" s="2840">
        <v>80150</v>
      </c>
      <c r="D1666" s="2841">
        <f t="shared" ref="D1666:D1729" si="134">IF($A1666&gt;BOTT_A4,ROUND(BASE_A4+RATE_A4*($A1666-BOTT_A4),0),IF($A1666&gt;BOTT_A3,ROUND(BASE_A3+RATE_A3*($A1666-BOTT_A3),0),IF($A1666&gt;BOTT_A2,ROUND(BASE_A2+RATE_A2*($A1666-BOTT_A2),0),ROUND(RATE_A1*$A1666,0))))</f>
        <v>13567</v>
      </c>
      <c r="E1666" s="2841">
        <f t="shared" ref="E1666:E1729" si="135">IF($A1666&gt;BOTT_B4,ROUND(BASE_B4+RATE_B4*($A1666-BOTT_B4),0),IF($A1666&gt;BOTT_B3,ROUND(BASE_B3+RATE_B3*($A1666-BOTT_B3),0),IF($A1666&gt;BOTT_B2,ROUND(BASE_B2+RATE_B2*($A1666-BOTT_B2),0),ROUND(RATE_B1*$A1666,0))))</f>
        <v>9507</v>
      </c>
      <c r="F1666" s="2841">
        <f t="shared" ref="F1666:F1729" si="136">IF($A1666&gt;BOTT_C4,ROUND(BASE_C4+RATE_C4*($A1666-BOTT_C4),0),IF($A1666&gt;BOTT_C3,ROUND(BASE_C3+RATE_C3*($A1666-BOTT_C3),0),IF($A1666&gt;BOTT_C2,ROUND(BASE_C2+RATE_C2*($A1666-BOTT_C2),0),ROUND(RATE_C1*$A1666,0))))</f>
        <v>13567</v>
      </c>
      <c r="G1666" s="2841">
        <f t="shared" ref="G1666:G1729" si="137">IF($A1666&gt;BOTT_D4,ROUND(BASE_D4+RATE_D4*($A1666-BOTT_D4),0),IF($A1666&gt;BOTT_D3,ROUND(BASE_D3+RATE_D3*($A1666-BOTT_D3),0),IF($A1666&gt;BOTT_D2,ROUND(BASE_D2+RATE_D2*($A1666-BOTT_D2),0),ROUND(RATE_D1*$A1666,0))))</f>
        <v>12176</v>
      </c>
    </row>
    <row r="1667" spans="1:7" ht="15.75">
      <c r="A1667" s="3022">
        <f t="shared" ref="A1667:A1730" si="138">AVERAGE(B1667,C1667)</f>
        <v>80175</v>
      </c>
      <c r="B1667" s="2840">
        <v>80150</v>
      </c>
      <c r="C1667" s="2840">
        <v>80200</v>
      </c>
      <c r="D1667" s="2841">
        <f t="shared" si="134"/>
        <v>13578</v>
      </c>
      <c r="E1667" s="2841">
        <f t="shared" si="135"/>
        <v>9518</v>
      </c>
      <c r="F1667" s="2841">
        <f t="shared" si="136"/>
        <v>13578</v>
      </c>
      <c r="G1667" s="2841">
        <f t="shared" si="137"/>
        <v>12187</v>
      </c>
    </row>
    <row r="1668" spans="1:7" ht="15.75">
      <c r="A1668" s="3022">
        <f t="shared" si="138"/>
        <v>80225</v>
      </c>
      <c r="B1668" s="2840">
        <v>80200</v>
      </c>
      <c r="C1668" s="2840">
        <v>80250</v>
      </c>
      <c r="D1668" s="2841">
        <f t="shared" si="134"/>
        <v>13589</v>
      </c>
      <c r="E1668" s="2841">
        <f t="shared" si="135"/>
        <v>9529</v>
      </c>
      <c r="F1668" s="2841">
        <f t="shared" si="136"/>
        <v>13589</v>
      </c>
      <c r="G1668" s="2841">
        <f t="shared" si="137"/>
        <v>12198</v>
      </c>
    </row>
    <row r="1669" spans="1:7" ht="15.75">
      <c r="A1669" s="3022">
        <f t="shared" si="138"/>
        <v>80275</v>
      </c>
      <c r="B1669" s="2840">
        <v>80250</v>
      </c>
      <c r="C1669" s="2840">
        <v>80300</v>
      </c>
      <c r="D1669" s="2841">
        <f t="shared" si="134"/>
        <v>13600</v>
      </c>
      <c r="E1669" s="2841">
        <f t="shared" si="135"/>
        <v>9540</v>
      </c>
      <c r="F1669" s="2841">
        <f t="shared" si="136"/>
        <v>13600</v>
      </c>
      <c r="G1669" s="2841">
        <f t="shared" si="137"/>
        <v>12209</v>
      </c>
    </row>
    <row r="1670" spans="1:7" ht="15.75">
      <c r="A1670" s="3022">
        <f t="shared" si="138"/>
        <v>80325</v>
      </c>
      <c r="B1670" s="2840">
        <v>80300</v>
      </c>
      <c r="C1670" s="2840">
        <v>80350</v>
      </c>
      <c r="D1670" s="2841">
        <f t="shared" si="134"/>
        <v>13611</v>
      </c>
      <c r="E1670" s="2841">
        <f t="shared" si="135"/>
        <v>9551</v>
      </c>
      <c r="F1670" s="2841">
        <f t="shared" si="136"/>
        <v>13611</v>
      </c>
      <c r="G1670" s="2841">
        <f t="shared" si="137"/>
        <v>12220</v>
      </c>
    </row>
    <row r="1671" spans="1:7" ht="15.75">
      <c r="A1671" s="3022">
        <f t="shared" si="138"/>
        <v>80375</v>
      </c>
      <c r="B1671" s="2840">
        <v>80350</v>
      </c>
      <c r="C1671" s="2840">
        <v>80400</v>
      </c>
      <c r="D1671" s="2841">
        <f t="shared" si="134"/>
        <v>13622</v>
      </c>
      <c r="E1671" s="2841">
        <f t="shared" si="135"/>
        <v>9562</v>
      </c>
      <c r="F1671" s="2841">
        <f t="shared" si="136"/>
        <v>13622</v>
      </c>
      <c r="G1671" s="2841">
        <f t="shared" si="137"/>
        <v>12231</v>
      </c>
    </row>
    <row r="1672" spans="1:7" ht="15.75">
      <c r="A1672" s="3022">
        <f t="shared" si="138"/>
        <v>80425</v>
      </c>
      <c r="B1672" s="2840">
        <v>80400</v>
      </c>
      <c r="C1672" s="2840">
        <v>80450</v>
      </c>
      <c r="D1672" s="2841">
        <f t="shared" si="134"/>
        <v>13633</v>
      </c>
      <c r="E1672" s="2841">
        <f t="shared" si="135"/>
        <v>9573</v>
      </c>
      <c r="F1672" s="2841">
        <f t="shared" si="136"/>
        <v>13633</v>
      </c>
      <c r="G1672" s="2841">
        <f t="shared" si="137"/>
        <v>12242</v>
      </c>
    </row>
    <row r="1673" spans="1:7" ht="15.75">
      <c r="A1673" s="3022">
        <f t="shared" si="138"/>
        <v>80475</v>
      </c>
      <c r="B1673" s="2840">
        <v>80450</v>
      </c>
      <c r="C1673" s="2840">
        <v>80500</v>
      </c>
      <c r="D1673" s="2841">
        <f t="shared" si="134"/>
        <v>13644</v>
      </c>
      <c r="E1673" s="2841">
        <f t="shared" si="135"/>
        <v>9584</v>
      </c>
      <c r="F1673" s="2841">
        <f t="shared" si="136"/>
        <v>13644</v>
      </c>
      <c r="G1673" s="2841">
        <f t="shared" si="137"/>
        <v>12253</v>
      </c>
    </row>
    <row r="1674" spans="1:7" ht="15.75">
      <c r="A1674" s="3022">
        <f t="shared" si="138"/>
        <v>80525</v>
      </c>
      <c r="B1674" s="2840">
        <v>80500</v>
      </c>
      <c r="C1674" s="2840">
        <v>80550</v>
      </c>
      <c r="D1674" s="2841">
        <f t="shared" si="134"/>
        <v>13655</v>
      </c>
      <c r="E1674" s="2841">
        <f t="shared" si="135"/>
        <v>9595</v>
      </c>
      <c r="F1674" s="2841">
        <f t="shared" si="136"/>
        <v>13655</v>
      </c>
      <c r="G1674" s="2841">
        <f t="shared" si="137"/>
        <v>12264</v>
      </c>
    </row>
    <row r="1675" spans="1:7" ht="15.75">
      <c r="A1675" s="3022">
        <f t="shared" si="138"/>
        <v>80575</v>
      </c>
      <c r="B1675" s="2840">
        <v>80550</v>
      </c>
      <c r="C1675" s="2840">
        <v>80600</v>
      </c>
      <c r="D1675" s="2841">
        <f t="shared" si="134"/>
        <v>13666</v>
      </c>
      <c r="E1675" s="2841">
        <f t="shared" si="135"/>
        <v>9606</v>
      </c>
      <c r="F1675" s="2841">
        <f t="shared" si="136"/>
        <v>13666</v>
      </c>
      <c r="G1675" s="2841">
        <f t="shared" si="137"/>
        <v>12275</v>
      </c>
    </row>
    <row r="1676" spans="1:7" ht="15.75">
      <c r="A1676" s="3022">
        <f t="shared" si="138"/>
        <v>80625</v>
      </c>
      <c r="B1676" s="2840">
        <v>80600</v>
      </c>
      <c r="C1676" s="2840">
        <v>80650</v>
      </c>
      <c r="D1676" s="2841">
        <f t="shared" si="134"/>
        <v>13677</v>
      </c>
      <c r="E1676" s="2841">
        <f t="shared" si="135"/>
        <v>9617</v>
      </c>
      <c r="F1676" s="2841">
        <f t="shared" si="136"/>
        <v>13677</v>
      </c>
      <c r="G1676" s="2841">
        <f t="shared" si="137"/>
        <v>12286</v>
      </c>
    </row>
    <row r="1677" spans="1:7" ht="15.75">
      <c r="A1677" s="3022">
        <f t="shared" si="138"/>
        <v>80675</v>
      </c>
      <c r="B1677" s="2840">
        <v>80650</v>
      </c>
      <c r="C1677" s="2840">
        <v>80700</v>
      </c>
      <c r="D1677" s="2841">
        <f t="shared" si="134"/>
        <v>13688</v>
      </c>
      <c r="E1677" s="2841">
        <f t="shared" si="135"/>
        <v>9628</v>
      </c>
      <c r="F1677" s="2841">
        <f t="shared" si="136"/>
        <v>13688</v>
      </c>
      <c r="G1677" s="2841">
        <f t="shared" si="137"/>
        <v>12297</v>
      </c>
    </row>
    <row r="1678" spans="1:7" ht="15.75">
      <c r="A1678" s="3022">
        <f t="shared" si="138"/>
        <v>80725</v>
      </c>
      <c r="B1678" s="2840">
        <v>80700</v>
      </c>
      <c r="C1678" s="2840">
        <v>80750</v>
      </c>
      <c r="D1678" s="2841">
        <f t="shared" si="134"/>
        <v>13699</v>
      </c>
      <c r="E1678" s="2841">
        <f t="shared" si="135"/>
        <v>9639</v>
      </c>
      <c r="F1678" s="2841">
        <f t="shared" si="136"/>
        <v>13699</v>
      </c>
      <c r="G1678" s="2841">
        <f t="shared" si="137"/>
        <v>12308</v>
      </c>
    </row>
    <row r="1679" spans="1:7" ht="15.75">
      <c r="A1679" s="3022">
        <f t="shared" si="138"/>
        <v>80775</v>
      </c>
      <c r="B1679" s="2840">
        <v>80750</v>
      </c>
      <c r="C1679" s="2840">
        <v>80800</v>
      </c>
      <c r="D1679" s="2841">
        <f t="shared" si="134"/>
        <v>13710</v>
      </c>
      <c r="E1679" s="2841">
        <f t="shared" si="135"/>
        <v>9650</v>
      </c>
      <c r="F1679" s="2841">
        <f t="shared" si="136"/>
        <v>13710</v>
      </c>
      <c r="G1679" s="2841">
        <f t="shared" si="137"/>
        <v>12319</v>
      </c>
    </row>
    <row r="1680" spans="1:7" ht="15.75">
      <c r="A1680" s="3022">
        <f t="shared" si="138"/>
        <v>80825</v>
      </c>
      <c r="B1680" s="2840">
        <v>80800</v>
      </c>
      <c r="C1680" s="2840">
        <v>80850</v>
      </c>
      <c r="D1680" s="2841">
        <f t="shared" si="134"/>
        <v>13721</v>
      </c>
      <c r="E1680" s="2841">
        <f t="shared" si="135"/>
        <v>9661</v>
      </c>
      <c r="F1680" s="2841">
        <f t="shared" si="136"/>
        <v>13721</v>
      </c>
      <c r="G1680" s="2841">
        <f t="shared" si="137"/>
        <v>12330</v>
      </c>
    </row>
    <row r="1681" spans="1:7" ht="15.75">
      <c r="A1681" s="3022">
        <f t="shared" si="138"/>
        <v>80875</v>
      </c>
      <c r="B1681" s="2840">
        <v>80850</v>
      </c>
      <c r="C1681" s="2840">
        <v>80900</v>
      </c>
      <c r="D1681" s="2841">
        <f t="shared" si="134"/>
        <v>13732</v>
      </c>
      <c r="E1681" s="2841">
        <f t="shared" si="135"/>
        <v>9672</v>
      </c>
      <c r="F1681" s="2841">
        <f t="shared" si="136"/>
        <v>13732</v>
      </c>
      <c r="G1681" s="2841">
        <f t="shared" si="137"/>
        <v>12341</v>
      </c>
    </row>
    <row r="1682" spans="1:7" ht="15.75">
      <c r="A1682" s="3022">
        <f t="shared" si="138"/>
        <v>80925</v>
      </c>
      <c r="B1682" s="2840">
        <v>80900</v>
      </c>
      <c r="C1682" s="2840">
        <v>80950</v>
      </c>
      <c r="D1682" s="2841">
        <f t="shared" si="134"/>
        <v>13743</v>
      </c>
      <c r="E1682" s="2841">
        <f t="shared" si="135"/>
        <v>9683</v>
      </c>
      <c r="F1682" s="2841">
        <f t="shared" si="136"/>
        <v>13743</v>
      </c>
      <c r="G1682" s="2841">
        <f t="shared" si="137"/>
        <v>12352</v>
      </c>
    </row>
    <row r="1683" spans="1:7" ht="15.75">
      <c r="A1683" s="3022">
        <f t="shared" si="138"/>
        <v>80975</v>
      </c>
      <c r="B1683" s="2840">
        <v>80950</v>
      </c>
      <c r="C1683" s="2840">
        <v>81000</v>
      </c>
      <c r="D1683" s="2841">
        <f t="shared" si="134"/>
        <v>13754</v>
      </c>
      <c r="E1683" s="2841">
        <f t="shared" si="135"/>
        <v>9694</v>
      </c>
      <c r="F1683" s="2841">
        <f t="shared" si="136"/>
        <v>13754</v>
      </c>
      <c r="G1683" s="2841">
        <f t="shared" si="137"/>
        <v>12363</v>
      </c>
    </row>
    <row r="1684" spans="1:7" ht="15.75">
      <c r="A1684" s="3022">
        <f t="shared" si="138"/>
        <v>81025</v>
      </c>
      <c r="B1684" s="2840">
        <v>81000</v>
      </c>
      <c r="C1684" s="2840">
        <v>81050</v>
      </c>
      <c r="D1684" s="2841">
        <f t="shared" si="134"/>
        <v>13765</v>
      </c>
      <c r="E1684" s="2841">
        <f t="shared" si="135"/>
        <v>9705</v>
      </c>
      <c r="F1684" s="2841">
        <f t="shared" si="136"/>
        <v>13765</v>
      </c>
      <c r="G1684" s="2841">
        <f t="shared" si="137"/>
        <v>12374</v>
      </c>
    </row>
    <row r="1685" spans="1:7" ht="15.75">
      <c r="A1685" s="3022">
        <f t="shared" si="138"/>
        <v>81075</v>
      </c>
      <c r="B1685" s="2840">
        <v>81050</v>
      </c>
      <c r="C1685" s="2840">
        <v>81100</v>
      </c>
      <c r="D1685" s="2841">
        <f t="shared" si="134"/>
        <v>13776</v>
      </c>
      <c r="E1685" s="2841">
        <f t="shared" si="135"/>
        <v>9716</v>
      </c>
      <c r="F1685" s="2841">
        <f t="shared" si="136"/>
        <v>13776</v>
      </c>
      <c r="G1685" s="2841">
        <f t="shared" si="137"/>
        <v>12385</v>
      </c>
    </row>
    <row r="1686" spans="1:7" ht="15.75">
      <c r="A1686" s="3022">
        <f t="shared" si="138"/>
        <v>81125</v>
      </c>
      <c r="B1686" s="2840">
        <v>81100</v>
      </c>
      <c r="C1686" s="2840">
        <v>81150</v>
      </c>
      <c r="D1686" s="2841">
        <f t="shared" si="134"/>
        <v>13787</v>
      </c>
      <c r="E1686" s="2841">
        <f t="shared" si="135"/>
        <v>9727</v>
      </c>
      <c r="F1686" s="2841">
        <f t="shared" si="136"/>
        <v>13787</v>
      </c>
      <c r="G1686" s="2841">
        <f t="shared" si="137"/>
        <v>12396</v>
      </c>
    </row>
    <row r="1687" spans="1:7" ht="15.75">
      <c r="A1687" s="3022">
        <f t="shared" si="138"/>
        <v>81175</v>
      </c>
      <c r="B1687" s="2840">
        <v>81150</v>
      </c>
      <c r="C1687" s="2840">
        <v>81200</v>
      </c>
      <c r="D1687" s="2841">
        <f t="shared" si="134"/>
        <v>13798</v>
      </c>
      <c r="E1687" s="2841">
        <f t="shared" si="135"/>
        <v>9738</v>
      </c>
      <c r="F1687" s="2841">
        <f t="shared" si="136"/>
        <v>13798</v>
      </c>
      <c r="G1687" s="2841">
        <f t="shared" si="137"/>
        <v>12407</v>
      </c>
    </row>
    <row r="1688" spans="1:7" ht="15.75">
      <c r="A1688" s="3022">
        <f t="shared" si="138"/>
        <v>81225</v>
      </c>
      <c r="B1688" s="2840">
        <v>81200</v>
      </c>
      <c r="C1688" s="2840">
        <v>81250</v>
      </c>
      <c r="D1688" s="2841">
        <f t="shared" si="134"/>
        <v>13809</v>
      </c>
      <c r="E1688" s="2841">
        <f t="shared" si="135"/>
        <v>9749</v>
      </c>
      <c r="F1688" s="2841">
        <f t="shared" si="136"/>
        <v>13809</v>
      </c>
      <c r="G1688" s="2841">
        <f t="shared" si="137"/>
        <v>12418</v>
      </c>
    </row>
    <row r="1689" spans="1:7" ht="15.75">
      <c r="A1689" s="3022">
        <f t="shared" si="138"/>
        <v>81275</v>
      </c>
      <c r="B1689" s="2840">
        <v>81250</v>
      </c>
      <c r="C1689" s="2840">
        <v>81300</v>
      </c>
      <c r="D1689" s="2841">
        <f t="shared" si="134"/>
        <v>13820</v>
      </c>
      <c r="E1689" s="2841">
        <f t="shared" si="135"/>
        <v>9760</v>
      </c>
      <c r="F1689" s="2841">
        <f t="shared" si="136"/>
        <v>13820</v>
      </c>
      <c r="G1689" s="2841">
        <f t="shared" si="137"/>
        <v>12429</v>
      </c>
    </row>
    <row r="1690" spans="1:7" ht="15.75">
      <c r="A1690" s="3022">
        <f t="shared" si="138"/>
        <v>81325</v>
      </c>
      <c r="B1690" s="2840">
        <v>81300</v>
      </c>
      <c r="C1690" s="2840">
        <v>81350</v>
      </c>
      <c r="D1690" s="2841">
        <f t="shared" si="134"/>
        <v>13831</v>
      </c>
      <c r="E1690" s="2841">
        <f t="shared" si="135"/>
        <v>9771</v>
      </c>
      <c r="F1690" s="2841">
        <f t="shared" si="136"/>
        <v>13831</v>
      </c>
      <c r="G1690" s="2841">
        <f t="shared" si="137"/>
        <v>12440</v>
      </c>
    </row>
    <row r="1691" spans="1:7" ht="15.75">
      <c r="A1691" s="3022">
        <f t="shared" si="138"/>
        <v>81375</v>
      </c>
      <c r="B1691" s="2840">
        <v>81350</v>
      </c>
      <c r="C1691" s="2840">
        <v>81400</v>
      </c>
      <c r="D1691" s="2841">
        <f t="shared" si="134"/>
        <v>13842</v>
      </c>
      <c r="E1691" s="2841">
        <f t="shared" si="135"/>
        <v>9782</v>
      </c>
      <c r="F1691" s="2841">
        <f t="shared" si="136"/>
        <v>13842</v>
      </c>
      <c r="G1691" s="2841">
        <f t="shared" si="137"/>
        <v>12451</v>
      </c>
    </row>
    <row r="1692" spans="1:7" ht="15.75">
      <c r="A1692" s="3022">
        <f t="shared" si="138"/>
        <v>81425</v>
      </c>
      <c r="B1692" s="2840">
        <v>81400</v>
      </c>
      <c r="C1692" s="2840">
        <v>81450</v>
      </c>
      <c r="D1692" s="2841">
        <f t="shared" si="134"/>
        <v>13853</v>
      </c>
      <c r="E1692" s="2841">
        <f t="shared" si="135"/>
        <v>9793</v>
      </c>
      <c r="F1692" s="2841">
        <f t="shared" si="136"/>
        <v>13853</v>
      </c>
      <c r="G1692" s="2841">
        <f t="shared" si="137"/>
        <v>12462</v>
      </c>
    </row>
    <row r="1693" spans="1:7" ht="15.75">
      <c r="A1693" s="3022">
        <f t="shared" si="138"/>
        <v>81475</v>
      </c>
      <c r="B1693" s="2840">
        <v>81450</v>
      </c>
      <c r="C1693" s="2840">
        <v>81500</v>
      </c>
      <c r="D1693" s="2841">
        <f t="shared" si="134"/>
        <v>13864</v>
      </c>
      <c r="E1693" s="2841">
        <f t="shared" si="135"/>
        <v>9804</v>
      </c>
      <c r="F1693" s="2841">
        <f t="shared" si="136"/>
        <v>13864</v>
      </c>
      <c r="G1693" s="2841">
        <f t="shared" si="137"/>
        <v>12473</v>
      </c>
    </row>
    <row r="1694" spans="1:7" ht="15.75">
      <c r="A1694" s="3022">
        <f t="shared" si="138"/>
        <v>81525</v>
      </c>
      <c r="B1694" s="2840">
        <v>81500</v>
      </c>
      <c r="C1694" s="2840">
        <v>81550</v>
      </c>
      <c r="D1694" s="2841">
        <f t="shared" si="134"/>
        <v>13875</v>
      </c>
      <c r="E1694" s="2841">
        <f t="shared" si="135"/>
        <v>9815</v>
      </c>
      <c r="F1694" s="2841">
        <f t="shared" si="136"/>
        <v>13875</v>
      </c>
      <c r="G1694" s="2841">
        <f t="shared" si="137"/>
        <v>12484</v>
      </c>
    </row>
    <row r="1695" spans="1:7" ht="15.75">
      <c r="A1695" s="3022">
        <f t="shared" si="138"/>
        <v>81575</v>
      </c>
      <c r="B1695" s="2840">
        <v>81550</v>
      </c>
      <c r="C1695" s="2840">
        <v>81600</v>
      </c>
      <c r="D1695" s="2841">
        <f t="shared" si="134"/>
        <v>13886</v>
      </c>
      <c r="E1695" s="2841">
        <f t="shared" si="135"/>
        <v>9826</v>
      </c>
      <c r="F1695" s="2841">
        <f t="shared" si="136"/>
        <v>13886</v>
      </c>
      <c r="G1695" s="2841">
        <f t="shared" si="137"/>
        <v>12495</v>
      </c>
    </row>
    <row r="1696" spans="1:7" ht="15.75">
      <c r="A1696" s="3022">
        <f t="shared" si="138"/>
        <v>81625</v>
      </c>
      <c r="B1696" s="2840">
        <v>81600</v>
      </c>
      <c r="C1696" s="2840">
        <v>81650</v>
      </c>
      <c r="D1696" s="2841">
        <f t="shared" si="134"/>
        <v>13897</v>
      </c>
      <c r="E1696" s="2841">
        <f t="shared" si="135"/>
        <v>9837</v>
      </c>
      <c r="F1696" s="2841">
        <f t="shared" si="136"/>
        <v>13897</v>
      </c>
      <c r="G1696" s="2841">
        <f t="shared" si="137"/>
        <v>12506</v>
      </c>
    </row>
    <row r="1697" spans="1:7" ht="15.75">
      <c r="A1697" s="3022">
        <f t="shared" si="138"/>
        <v>81675</v>
      </c>
      <c r="B1697" s="2840">
        <v>81650</v>
      </c>
      <c r="C1697" s="2840">
        <v>81700</v>
      </c>
      <c r="D1697" s="2841">
        <f t="shared" si="134"/>
        <v>13908</v>
      </c>
      <c r="E1697" s="2841">
        <f t="shared" si="135"/>
        <v>9848</v>
      </c>
      <c r="F1697" s="2841">
        <f t="shared" si="136"/>
        <v>13908</v>
      </c>
      <c r="G1697" s="2841">
        <f t="shared" si="137"/>
        <v>12517</v>
      </c>
    </row>
    <row r="1698" spans="1:7" ht="15.75">
      <c r="A1698" s="3022">
        <f t="shared" si="138"/>
        <v>81725</v>
      </c>
      <c r="B1698" s="2840">
        <v>81700</v>
      </c>
      <c r="C1698" s="2840">
        <v>81750</v>
      </c>
      <c r="D1698" s="2841">
        <f t="shared" si="134"/>
        <v>13919</v>
      </c>
      <c r="E1698" s="2841">
        <f t="shared" si="135"/>
        <v>9859</v>
      </c>
      <c r="F1698" s="2841">
        <f t="shared" si="136"/>
        <v>13919</v>
      </c>
      <c r="G1698" s="2841">
        <f t="shared" si="137"/>
        <v>12528</v>
      </c>
    </row>
    <row r="1699" spans="1:7" ht="15.75">
      <c r="A1699" s="3022">
        <f t="shared" si="138"/>
        <v>81775</v>
      </c>
      <c r="B1699" s="2840">
        <v>81750</v>
      </c>
      <c r="C1699" s="2840">
        <v>81800</v>
      </c>
      <c r="D1699" s="2841">
        <f t="shared" si="134"/>
        <v>13930</v>
      </c>
      <c r="E1699" s="2841">
        <f t="shared" si="135"/>
        <v>9870</v>
      </c>
      <c r="F1699" s="2841">
        <f t="shared" si="136"/>
        <v>13930</v>
      </c>
      <c r="G1699" s="2841">
        <f t="shared" si="137"/>
        <v>12539</v>
      </c>
    </row>
    <row r="1700" spans="1:7" ht="15.75">
      <c r="A1700" s="3022">
        <f t="shared" si="138"/>
        <v>81825</v>
      </c>
      <c r="B1700" s="2840">
        <v>81800</v>
      </c>
      <c r="C1700" s="2840">
        <v>81850</v>
      </c>
      <c r="D1700" s="2841">
        <f t="shared" si="134"/>
        <v>13941</v>
      </c>
      <c r="E1700" s="2841">
        <f t="shared" si="135"/>
        <v>9881</v>
      </c>
      <c r="F1700" s="2841">
        <f t="shared" si="136"/>
        <v>13941</v>
      </c>
      <c r="G1700" s="2841">
        <f t="shared" si="137"/>
        <v>12550</v>
      </c>
    </row>
    <row r="1701" spans="1:7" ht="15.75">
      <c r="A1701" s="3022">
        <f t="shared" si="138"/>
        <v>81875</v>
      </c>
      <c r="B1701" s="2840">
        <v>81850</v>
      </c>
      <c r="C1701" s="2840">
        <v>81900</v>
      </c>
      <c r="D1701" s="2841">
        <f t="shared" si="134"/>
        <v>13952</v>
      </c>
      <c r="E1701" s="2841">
        <f t="shared" si="135"/>
        <v>9892</v>
      </c>
      <c r="F1701" s="2841">
        <f t="shared" si="136"/>
        <v>13952</v>
      </c>
      <c r="G1701" s="2841">
        <f t="shared" si="137"/>
        <v>12561</v>
      </c>
    </row>
    <row r="1702" spans="1:7" ht="15.75">
      <c r="A1702" s="3022">
        <f t="shared" si="138"/>
        <v>81925</v>
      </c>
      <c r="B1702" s="2840">
        <v>81900</v>
      </c>
      <c r="C1702" s="2840">
        <v>81950</v>
      </c>
      <c r="D1702" s="2841">
        <f t="shared" si="134"/>
        <v>13963</v>
      </c>
      <c r="E1702" s="2841">
        <f t="shared" si="135"/>
        <v>9903</v>
      </c>
      <c r="F1702" s="2841">
        <f t="shared" si="136"/>
        <v>13963</v>
      </c>
      <c r="G1702" s="2841">
        <f t="shared" si="137"/>
        <v>12572</v>
      </c>
    </row>
    <row r="1703" spans="1:7" ht="15.75">
      <c r="A1703" s="3022">
        <f t="shared" si="138"/>
        <v>81975</v>
      </c>
      <c r="B1703" s="2840">
        <v>81950</v>
      </c>
      <c r="C1703" s="2840">
        <v>82000</v>
      </c>
      <c r="D1703" s="2841">
        <f t="shared" si="134"/>
        <v>13974</v>
      </c>
      <c r="E1703" s="2841">
        <f t="shared" si="135"/>
        <v>9914</v>
      </c>
      <c r="F1703" s="2841">
        <f t="shared" si="136"/>
        <v>13974</v>
      </c>
      <c r="G1703" s="2841">
        <f t="shared" si="137"/>
        <v>12583</v>
      </c>
    </row>
    <row r="1704" spans="1:7" ht="15.75">
      <c r="A1704" s="3022">
        <f t="shared" si="138"/>
        <v>82025</v>
      </c>
      <c r="B1704" s="2840">
        <v>82000</v>
      </c>
      <c r="C1704" s="2840">
        <v>82050</v>
      </c>
      <c r="D1704" s="2841">
        <f t="shared" si="134"/>
        <v>13985</v>
      </c>
      <c r="E1704" s="2841">
        <f t="shared" si="135"/>
        <v>9925</v>
      </c>
      <c r="F1704" s="2841">
        <f t="shared" si="136"/>
        <v>13985</v>
      </c>
      <c r="G1704" s="2841">
        <f t="shared" si="137"/>
        <v>12594</v>
      </c>
    </row>
    <row r="1705" spans="1:7" ht="15.75">
      <c r="A1705" s="3022">
        <f t="shared" si="138"/>
        <v>82075</v>
      </c>
      <c r="B1705" s="2840">
        <v>82050</v>
      </c>
      <c r="C1705" s="2840">
        <v>82100</v>
      </c>
      <c r="D1705" s="2841">
        <f t="shared" si="134"/>
        <v>13996</v>
      </c>
      <c r="E1705" s="2841">
        <f t="shared" si="135"/>
        <v>9936</v>
      </c>
      <c r="F1705" s="2841">
        <f t="shared" si="136"/>
        <v>13996</v>
      </c>
      <c r="G1705" s="2841">
        <f t="shared" si="137"/>
        <v>12605</v>
      </c>
    </row>
    <row r="1706" spans="1:7" ht="15.75">
      <c r="A1706" s="3022">
        <f t="shared" si="138"/>
        <v>82125</v>
      </c>
      <c r="B1706" s="2840">
        <v>82100</v>
      </c>
      <c r="C1706" s="2840">
        <v>82150</v>
      </c>
      <c r="D1706" s="2841">
        <f t="shared" si="134"/>
        <v>14007</v>
      </c>
      <c r="E1706" s="2841">
        <f t="shared" si="135"/>
        <v>9947</v>
      </c>
      <c r="F1706" s="2841">
        <f t="shared" si="136"/>
        <v>14007</v>
      </c>
      <c r="G1706" s="2841">
        <f t="shared" si="137"/>
        <v>12616</v>
      </c>
    </row>
    <row r="1707" spans="1:7" ht="15.75">
      <c r="A1707" s="3022">
        <f t="shared" si="138"/>
        <v>82175</v>
      </c>
      <c r="B1707" s="2840">
        <v>82150</v>
      </c>
      <c r="C1707" s="2840">
        <v>82200</v>
      </c>
      <c r="D1707" s="2841">
        <f t="shared" si="134"/>
        <v>14018</v>
      </c>
      <c r="E1707" s="2841">
        <f t="shared" si="135"/>
        <v>9958</v>
      </c>
      <c r="F1707" s="2841">
        <f t="shared" si="136"/>
        <v>14018</v>
      </c>
      <c r="G1707" s="2841">
        <f t="shared" si="137"/>
        <v>12627</v>
      </c>
    </row>
    <row r="1708" spans="1:7" ht="15.75">
      <c r="A1708" s="3022">
        <f t="shared" si="138"/>
        <v>82225</v>
      </c>
      <c r="B1708" s="2840">
        <v>82200</v>
      </c>
      <c r="C1708" s="2840">
        <v>82250</v>
      </c>
      <c r="D1708" s="2841">
        <f t="shared" si="134"/>
        <v>14029</v>
      </c>
      <c r="E1708" s="2841">
        <f t="shared" si="135"/>
        <v>9969</v>
      </c>
      <c r="F1708" s="2841">
        <f t="shared" si="136"/>
        <v>14029</v>
      </c>
      <c r="G1708" s="2841">
        <f t="shared" si="137"/>
        <v>12638</v>
      </c>
    </row>
    <row r="1709" spans="1:7" ht="15.75">
      <c r="A1709" s="3022">
        <f t="shared" si="138"/>
        <v>82275</v>
      </c>
      <c r="B1709" s="2840">
        <v>82250</v>
      </c>
      <c r="C1709" s="2840">
        <v>82300</v>
      </c>
      <c r="D1709" s="2841">
        <f t="shared" si="134"/>
        <v>14040</v>
      </c>
      <c r="E1709" s="2841">
        <f t="shared" si="135"/>
        <v>9980</v>
      </c>
      <c r="F1709" s="2841">
        <f t="shared" si="136"/>
        <v>14040</v>
      </c>
      <c r="G1709" s="2841">
        <f t="shared" si="137"/>
        <v>12649</v>
      </c>
    </row>
    <row r="1710" spans="1:7" ht="15.75">
      <c r="A1710" s="3022">
        <f t="shared" si="138"/>
        <v>82325</v>
      </c>
      <c r="B1710" s="2840">
        <v>82300</v>
      </c>
      <c r="C1710" s="2840">
        <v>82350</v>
      </c>
      <c r="D1710" s="2841">
        <f t="shared" si="134"/>
        <v>14051</v>
      </c>
      <c r="E1710" s="2841">
        <f t="shared" si="135"/>
        <v>9991</v>
      </c>
      <c r="F1710" s="2841">
        <f t="shared" si="136"/>
        <v>14051</v>
      </c>
      <c r="G1710" s="2841">
        <f t="shared" si="137"/>
        <v>12660</v>
      </c>
    </row>
    <row r="1711" spans="1:7" ht="15.75">
      <c r="A1711" s="3022">
        <f t="shared" si="138"/>
        <v>82375</v>
      </c>
      <c r="B1711" s="2840">
        <v>82350</v>
      </c>
      <c r="C1711" s="2840">
        <v>82400</v>
      </c>
      <c r="D1711" s="2841">
        <f t="shared" si="134"/>
        <v>14062</v>
      </c>
      <c r="E1711" s="2841">
        <f t="shared" si="135"/>
        <v>10002</v>
      </c>
      <c r="F1711" s="2841">
        <f t="shared" si="136"/>
        <v>14062</v>
      </c>
      <c r="G1711" s="2841">
        <f t="shared" si="137"/>
        <v>12671</v>
      </c>
    </row>
    <row r="1712" spans="1:7" ht="15.75">
      <c r="A1712" s="3022">
        <f t="shared" si="138"/>
        <v>82425</v>
      </c>
      <c r="B1712" s="2840">
        <v>82400</v>
      </c>
      <c r="C1712" s="2840">
        <v>82450</v>
      </c>
      <c r="D1712" s="2841">
        <f t="shared" si="134"/>
        <v>14073</v>
      </c>
      <c r="E1712" s="2841">
        <f t="shared" si="135"/>
        <v>10013</v>
      </c>
      <c r="F1712" s="2841">
        <f t="shared" si="136"/>
        <v>14073</v>
      </c>
      <c r="G1712" s="2841">
        <f t="shared" si="137"/>
        <v>12682</v>
      </c>
    </row>
    <row r="1713" spans="1:7" ht="15.75">
      <c r="A1713" s="3022">
        <f t="shared" si="138"/>
        <v>82475</v>
      </c>
      <c r="B1713" s="2840">
        <v>82450</v>
      </c>
      <c r="C1713" s="2840">
        <v>82500</v>
      </c>
      <c r="D1713" s="2841">
        <f t="shared" si="134"/>
        <v>14084</v>
      </c>
      <c r="E1713" s="2841">
        <f t="shared" si="135"/>
        <v>10024</v>
      </c>
      <c r="F1713" s="2841">
        <f t="shared" si="136"/>
        <v>14084</v>
      </c>
      <c r="G1713" s="2841">
        <f t="shared" si="137"/>
        <v>12693</v>
      </c>
    </row>
    <row r="1714" spans="1:7" ht="15.75">
      <c r="A1714" s="3022">
        <f t="shared" si="138"/>
        <v>82525</v>
      </c>
      <c r="B1714" s="2840">
        <v>82500</v>
      </c>
      <c r="C1714" s="2840">
        <v>82550</v>
      </c>
      <c r="D1714" s="2841">
        <f t="shared" si="134"/>
        <v>14096</v>
      </c>
      <c r="E1714" s="2841">
        <f t="shared" si="135"/>
        <v>10035</v>
      </c>
      <c r="F1714" s="2841">
        <f t="shared" si="136"/>
        <v>14096</v>
      </c>
      <c r="G1714" s="2841">
        <f t="shared" si="137"/>
        <v>12704</v>
      </c>
    </row>
    <row r="1715" spans="1:7" ht="15.75">
      <c r="A1715" s="3022">
        <f t="shared" si="138"/>
        <v>82575</v>
      </c>
      <c r="B1715" s="2840">
        <v>82550</v>
      </c>
      <c r="C1715" s="2840">
        <v>82600</v>
      </c>
      <c r="D1715" s="2841">
        <f t="shared" si="134"/>
        <v>14108</v>
      </c>
      <c r="E1715" s="2841">
        <f t="shared" si="135"/>
        <v>10046</v>
      </c>
      <c r="F1715" s="2841">
        <f t="shared" si="136"/>
        <v>14108</v>
      </c>
      <c r="G1715" s="2841">
        <f t="shared" si="137"/>
        <v>12716</v>
      </c>
    </row>
    <row r="1716" spans="1:7" ht="15.75">
      <c r="A1716" s="3022">
        <f t="shared" si="138"/>
        <v>82625</v>
      </c>
      <c r="B1716" s="2840">
        <v>82600</v>
      </c>
      <c r="C1716" s="2840">
        <v>82650</v>
      </c>
      <c r="D1716" s="2841">
        <f t="shared" si="134"/>
        <v>14120</v>
      </c>
      <c r="E1716" s="2841">
        <f t="shared" si="135"/>
        <v>10057</v>
      </c>
      <c r="F1716" s="2841">
        <f t="shared" si="136"/>
        <v>14120</v>
      </c>
      <c r="G1716" s="2841">
        <f t="shared" si="137"/>
        <v>12728</v>
      </c>
    </row>
    <row r="1717" spans="1:7" ht="15.75">
      <c r="A1717" s="3022">
        <f t="shared" si="138"/>
        <v>82675</v>
      </c>
      <c r="B1717" s="2840">
        <v>82650</v>
      </c>
      <c r="C1717" s="2840">
        <v>82700</v>
      </c>
      <c r="D1717" s="2841">
        <f t="shared" si="134"/>
        <v>14132</v>
      </c>
      <c r="E1717" s="2841">
        <f t="shared" si="135"/>
        <v>10068</v>
      </c>
      <c r="F1717" s="2841">
        <f t="shared" si="136"/>
        <v>14132</v>
      </c>
      <c r="G1717" s="2841">
        <f t="shared" si="137"/>
        <v>12740</v>
      </c>
    </row>
    <row r="1718" spans="1:7" ht="15.75">
      <c r="A1718" s="3022">
        <f t="shared" si="138"/>
        <v>82725</v>
      </c>
      <c r="B1718" s="2840">
        <v>82700</v>
      </c>
      <c r="C1718" s="2840">
        <v>82750</v>
      </c>
      <c r="D1718" s="2841">
        <f t="shared" si="134"/>
        <v>14144</v>
      </c>
      <c r="E1718" s="2841">
        <f t="shared" si="135"/>
        <v>10079</v>
      </c>
      <c r="F1718" s="2841">
        <f t="shared" si="136"/>
        <v>14144</v>
      </c>
      <c r="G1718" s="2841">
        <f t="shared" si="137"/>
        <v>12752</v>
      </c>
    </row>
    <row r="1719" spans="1:7" ht="15.75">
      <c r="A1719" s="3022">
        <f t="shared" si="138"/>
        <v>82775</v>
      </c>
      <c r="B1719" s="2840">
        <v>82750</v>
      </c>
      <c r="C1719" s="2840">
        <v>82800</v>
      </c>
      <c r="D1719" s="2841">
        <f t="shared" si="134"/>
        <v>14156</v>
      </c>
      <c r="E1719" s="2841">
        <f t="shared" si="135"/>
        <v>10090</v>
      </c>
      <c r="F1719" s="2841">
        <f t="shared" si="136"/>
        <v>14156</v>
      </c>
      <c r="G1719" s="2841">
        <f t="shared" si="137"/>
        <v>12764</v>
      </c>
    </row>
    <row r="1720" spans="1:7" ht="15.75">
      <c r="A1720" s="3022">
        <f t="shared" si="138"/>
        <v>82825</v>
      </c>
      <c r="B1720" s="2840">
        <v>82800</v>
      </c>
      <c r="C1720" s="2840">
        <v>82850</v>
      </c>
      <c r="D1720" s="2841">
        <f t="shared" si="134"/>
        <v>14168</v>
      </c>
      <c r="E1720" s="2841">
        <f t="shared" si="135"/>
        <v>10101</v>
      </c>
      <c r="F1720" s="2841">
        <f t="shared" si="136"/>
        <v>14168</v>
      </c>
      <c r="G1720" s="2841">
        <f t="shared" si="137"/>
        <v>12776</v>
      </c>
    </row>
    <row r="1721" spans="1:7" ht="15.75">
      <c r="A1721" s="3022">
        <f t="shared" si="138"/>
        <v>82875</v>
      </c>
      <c r="B1721" s="2840">
        <v>82850</v>
      </c>
      <c r="C1721" s="2840">
        <v>82900</v>
      </c>
      <c r="D1721" s="2841">
        <f t="shared" si="134"/>
        <v>14180</v>
      </c>
      <c r="E1721" s="2841">
        <f t="shared" si="135"/>
        <v>10112</v>
      </c>
      <c r="F1721" s="2841">
        <f t="shared" si="136"/>
        <v>14180</v>
      </c>
      <c r="G1721" s="2841">
        <f t="shared" si="137"/>
        <v>12788</v>
      </c>
    </row>
    <row r="1722" spans="1:7" ht="15.75">
      <c r="A1722" s="3022">
        <f t="shared" si="138"/>
        <v>82925</v>
      </c>
      <c r="B1722" s="2840">
        <v>82900</v>
      </c>
      <c r="C1722" s="2840">
        <v>82950</v>
      </c>
      <c r="D1722" s="2841">
        <f t="shared" si="134"/>
        <v>14192</v>
      </c>
      <c r="E1722" s="2841">
        <f t="shared" si="135"/>
        <v>10123</v>
      </c>
      <c r="F1722" s="2841">
        <f t="shared" si="136"/>
        <v>14192</v>
      </c>
      <c r="G1722" s="2841">
        <f t="shared" si="137"/>
        <v>12800</v>
      </c>
    </row>
    <row r="1723" spans="1:7" ht="15.75">
      <c r="A1723" s="3022">
        <f t="shared" si="138"/>
        <v>82975</v>
      </c>
      <c r="B1723" s="2840">
        <v>82950</v>
      </c>
      <c r="C1723" s="2840">
        <v>83000</v>
      </c>
      <c r="D1723" s="2841">
        <f t="shared" si="134"/>
        <v>14204</v>
      </c>
      <c r="E1723" s="2841">
        <f t="shared" si="135"/>
        <v>10134</v>
      </c>
      <c r="F1723" s="2841">
        <f t="shared" si="136"/>
        <v>14204</v>
      </c>
      <c r="G1723" s="2841">
        <f t="shared" si="137"/>
        <v>12812</v>
      </c>
    </row>
    <row r="1724" spans="1:7" ht="15.75">
      <c r="A1724" s="3022">
        <f t="shared" si="138"/>
        <v>83025</v>
      </c>
      <c r="B1724" s="2840">
        <v>83000</v>
      </c>
      <c r="C1724" s="2840">
        <v>83050</v>
      </c>
      <c r="D1724" s="2841">
        <f t="shared" si="134"/>
        <v>14216</v>
      </c>
      <c r="E1724" s="2841">
        <f t="shared" si="135"/>
        <v>10145</v>
      </c>
      <c r="F1724" s="2841">
        <f t="shared" si="136"/>
        <v>14216</v>
      </c>
      <c r="G1724" s="2841">
        <f t="shared" si="137"/>
        <v>12824</v>
      </c>
    </row>
    <row r="1725" spans="1:7" ht="15.75">
      <c r="A1725" s="3022">
        <f t="shared" si="138"/>
        <v>83075</v>
      </c>
      <c r="B1725" s="2840">
        <v>83050</v>
      </c>
      <c r="C1725" s="2840">
        <v>83100</v>
      </c>
      <c r="D1725" s="2841">
        <f t="shared" si="134"/>
        <v>14228</v>
      </c>
      <c r="E1725" s="2841">
        <f t="shared" si="135"/>
        <v>10156</v>
      </c>
      <c r="F1725" s="2841">
        <f t="shared" si="136"/>
        <v>14228</v>
      </c>
      <c r="G1725" s="2841">
        <f t="shared" si="137"/>
        <v>12836</v>
      </c>
    </row>
    <row r="1726" spans="1:7" ht="15.75">
      <c r="A1726" s="3022">
        <f t="shared" si="138"/>
        <v>83125</v>
      </c>
      <c r="B1726" s="2840">
        <v>83100</v>
      </c>
      <c r="C1726" s="2840">
        <v>83150</v>
      </c>
      <c r="D1726" s="2841">
        <f t="shared" si="134"/>
        <v>14240</v>
      </c>
      <c r="E1726" s="2841">
        <f t="shared" si="135"/>
        <v>10167</v>
      </c>
      <c r="F1726" s="2841">
        <f t="shared" si="136"/>
        <v>14240</v>
      </c>
      <c r="G1726" s="2841">
        <f t="shared" si="137"/>
        <v>12848</v>
      </c>
    </row>
    <row r="1727" spans="1:7" ht="15.75">
      <c r="A1727" s="3022">
        <f t="shared" si="138"/>
        <v>83175</v>
      </c>
      <c r="B1727" s="2840">
        <v>83150</v>
      </c>
      <c r="C1727" s="2840">
        <v>83200</v>
      </c>
      <c r="D1727" s="2841">
        <f t="shared" si="134"/>
        <v>14252</v>
      </c>
      <c r="E1727" s="2841">
        <f t="shared" si="135"/>
        <v>10178</v>
      </c>
      <c r="F1727" s="2841">
        <f t="shared" si="136"/>
        <v>14252</v>
      </c>
      <c r="G1727" s="2841">
        <f t="shared" si="137"/>
        <v>12860</v>
      </c>
    </row>
    <row r="1728" spans="1:7" ht="15.75">
      <c r="A1728" s="3022">
        <f t="shared" si="138"/>
        <v>83225</v>
      </c>
      <c r="B1728" s="2840">
        <v>83200</v>
      </c>
      <c r="C1728" s="2840">
        <v>83250</v>
      </c>
      <c r="D1728" s="2841">
        <f t="shared" si="134"/>
        <v>14264</v>
      </c>
      <c r="E1728" s="2841">
        <f t="shared" si="135"/>
        <v>10189</v>
      </c>
      <c r="F1728" s="2841">
        <f t="shared" si="136"/>
        <v>14264</v>
      </c>
      <c r="G1728" s="2841">
        <f t="shared" si="137"/>
        <v>12872</v>
      </c>
    </row>
    <row r="1729" spans="1:7" ht="15.75">
      <c r="A1729" s="3022">
        <f t="shared" si="138"/>
        <v>83275</v>
      </c>
      <c r="B1729" s="2840">
        <v>83250</v>
      </c>
      <c r="C1729" s="2840">
        <v>83300</v>
      </c>
      <c r="D1729" s="2841">
        <f t="shared" si="134"/>
        <v>14276</v>
      </c>
      <c r="E1729" s="2841">
        <f t="shared" si="135"/>
        <v>10200</v>
      </c>
      <c r="F1729" s="2841">
        <f t="shared" si="136"/>
        <v>14276</v>
      </c>
      <c r="G1729" s="2841">
        <f t="shared" si="137"/>
        <v>12884</v>
      </c>
    </row>
    <row r="1730" spans="1:7" ht="15.75">
      <c r="A1730" s="3022">
        <f t="shared" si="138"/>
        <v>83325</v>
      </c>
      <c r="B1730" s="2840">
        <v>83300</v>
      </c>
      <c r="C1730" s="2840">
        <v>83350</v>
      </c>
      <c r="D1730" s="2841">
        <f t="shared" ref="D1730:D1793" si="139">IF($A1730&gt;BOTT_A4,ROUND(BASE_A4+RATE_A4*($A1730-BOTT_A4),0),IF($A1730&gt;BOTT_A3,ROUND(BASE_A3+RATE_A3*($A1730-BOTT_A3),0),IF($A1730&gt;BOTT_A2,ROUND(BASE_A2+RATE_A2*($A1730-BOTT_A2),0),ROUND(RATE_A1*$A1730,0))))</f>
        <v>14288</v>
      </c>
      <c r="E1730" s="2841">
        <f t="shared" ref="E1730:E1793" si="140">IF($A1730&gt;BOTT_B4,ROUND(BASE_B4+RATE_B4*($A1730-BOTT_B4),0),IF($A1730&gt;BOTT_B3,ROUND(BASE_B3+RATE_B3*($A1730-BOTT_B3),0),IF($A1730&gt;BOTT_B2,ROUND(BASE_B2+RATE_B2*($A1730-BOTT_B2),0),ROUND(RATE_B1*$A1730,0))))</f>
        <v>10211</v>
      </c>
      <c r="F1730" s="2841">
        <f t="shared" ref="F1730:F1793" si="141">IF($A1730&gt;BOTT_C4,ROUND(BASE_C4+RATE_C4*($A1730-BOTT_C4),0),IF($A1730&gt;BOTT_C3,ROUND(BASE_C3+RATE_C3*($A1730-BOTT_C3),0),IF($A1730&gt;BOTT_C2,ROUND(BASE_C2+RATE_C2*($A1730-BOTT_C2),0),ROUND(RATE_C1*$A1730,0))))</f>
        <v>14288</v>
      </c>
      <c r="G1730" s="2841">
        <f t="shared" ref="G1730:G1793" si="142">IF($A1730&gt;BOTT_D4,ROUND(BASE_D4+RATE_D4*($A1730-BOTT_D4),0),IF($A1730&gt;BOTT_D3,ROUND(BASE_D3+RATE_D3*($A1730-BOTT_D3),0),IF($A1730&gt;BOTT_D2,ROUND(BASE_D2+RATE_D2*($A1730-BOTT_D2),0),ROUND(RATE_D1*$A1730,0))))</f>
        <v>12896</v>
      </c>
    </row>
    <row r="1731" spans="1:7" ht="15.75">
      <c r="A1731" s="3022">
        <f t="shared" ref="A1731:A1794" si="143">AVERAGE(B1731,C1731)</f>
        <v>83375</v>
      </c>
      <c r="B1731" s="2840">
        <v>83350</v>
      </c>
      <c r="C1731" s="2840">
        <v>83400</v>
      </c>
      <c r="D1731" s="2841">
        <f t="shared" si="139"/>
        <v>14300</v>
      </c>
      <c r="E1731" s="2841">
        <f t="shared" si="140"/>
        <v>10222</v>
      </c>
      <c r="F1731" s="2841">
        <f t="shared" si="141"/>
        <v>14300</v>
      </c>
      <c r="G1731" s="2841">
        <f t="shared" si="142"/>
        <v>12908</v>
      </c>
    </row>
    <row r="1732" spans="1:7" ht="15.75">
      <c r="A1732" s="3022">
        <f t="shared" si="143"/>
        <v>83425</v>
      </c>
      <c r="B1732" s="2840">
        <v>83400</v>
      </c>
      <c r="C1732" s="2840">
        <v>83450</v>
      </c>
      <c r="D1732" s="2841">
        <f t="shared" si="139"/>
        <v>14312</v>
      </c>
      <c r="E1732" s="2841">
        <f t="shared" si="140"/>
        <v>10233</v>
      </c>
      <c r="F1732" s="2841">
        <f t="shared" si="141"/>
        <v>14312</v>
      </c>
      <c r="G1732" s="2841">
        <f t="shared" si="142"/>
        <v>12920</v>
      </c>
    </row>
    <row r="1733" spans="1:7" ht="15.75">
      <c r="A1733" s="3022">
        <f t="shared" si="143"/>
        <v>83475</v>
      </c>
      <c r="B1733" s="2840">
        <v>83450</v>
      </c>
      <c r="C1733" s="2840">
        <v>83500</v>
      </c>
      <c r="D1733" s="2841">
        <f t="shared" si="139"/>
        <v>14324</v>
      </c>
      <c r="E1733" s="2841">
        <f t="shared" si="140"/>
        <v>10244</v>
      </c>
      <c r="F1733" s="2841">
        <f t="shared" si="141"/>
        <v>14324</v>
      </c>
      <c r="G1733" s="2841">
        <f t="shared" si="142"/>
        <v>12932</v>
      </c>
    </row>
    <row r="1734" spans="1:7" ht="15.75">
      <c r="A1734" s="3022">
        <f t="shared" si="143"/>
        <v>83525</v>
      </c>
      <c r="B1734" s="2840">
        <v>83500</v>
      </c>
      <c r="C1734" s="2840">
        <v>83550</v>
      </c>
      <c r="D1734" s="2841">
        <f t="shared" si="139"/>
        <v>14336</v>
      </c>
      <c r="E1734" s="2841">
        <f t="shared" si="140"/>
        <v>10255</v>
      </c>
      <c r="F1734" s="2841">
        <f t="shared" si="141"/>
        <v>14336</v>
      </c>
      <c r="G1734" s="2841">
        <f t="shared" si="142"/>
        <v>12944</v>
      </c>
    </row>
    <row r="1735" spans="1:7" ht="15.75">
      <c r="A1735" s="3022">
        <f t="shared" si="143"/>
        <v>83575</v>
      </c>
      <c r="B1735" s="2840">
        <v>83550</v>
      </c>
      <c r="C1735" s="2840">
        <v>83600</v>
      </c>
      <c r="D1735" s="2841">
        <f t="shared" si="139"/>
        <v>14348</v>
      </c>
      <c r="E1735" s="2841">
        <f t="shared" si="140"/>
        <v>10266</v>
      </c>
      <c r="F1735" s="2841">
        <f t="shared" si="141"/>
        <v>14348</v>
      </c>
      <c r="G1735" s="2841">
        <f t="shared" si="142"/>
        <v>12956</v>
      </c>
    </row>
    <row r="1736" spans="1:7" ht="15.75">
      <c r="A1736" s="3022">
        <f t="shared" si="143"/>
        <v>83625</v>
      </c>
      <c r="B1736" s="2840">
        <v>83600</v>
      </c>
      <c r="C1736" s="2840">
        <v>83650</v>
      </c>
      <c r="D1736" s="2841">
        <f t="shared" si="139"/>
        <v>14360</v>
      </c>
      <c r="E1736" s="2841">
        <f t="shared" si="140"/>
        <v>10277</v>
      </c>
      <c r="F1736" s="2841">
        <f t="shared" si="141"/>
        <v>14360</v>
      </c>
      <c r="G1736" s="2841">
        <f t="shared" si="142"/>
        <v>12968</v>
      </c>
    </row>
    <row r="1737" spans="1:7" ht="15.75">
      <c r="A1737" s="3022">
        <f t="shared" si="143"/>
        <v>83675</v>
      </c>
      <c r="B1737" s="2840">
        <v>83650</v>
      </c>
      <c r="C1737" s="2840">
        <v>83700</v>
      </c>
      <c r="D1737" s="2841">
        <f t="shared" si="139"/>
        <v>14372</v>
      </c>
      <c r="E1737" s="2841">
        <f t="shared" si="140"/>
        <v>10288</v>
      </c>
      <c r="F1737" s="2841">
        <f t="shared" si="141"/>
        <v>14372</v>
      </c>
      <c r="G1737" s="2841">
        <f t="shared" si="142"/>
        <v>12980</v>
      </c>
    </row>
    <row r="1738" spans="1:7" ht="15.75">
      <c r="A1738" s="3022">
        <f t="shared" si="143"/>
        <v>83725</v>
      </c>
      <c r="B1738" s="2840">
        <v>83700</v>
      </c>
      <c r="C1738" s="2840">
        <v>83750</v>
      </c>
      <c r="D1738" s="2841">
        <f t="shared" si="139"/>
        <v>14384</v>
      </c>
      <c r="E1738" s="2841">
        <f t="shared" si="140"/>
        <v>10299</v>
      </c>
      <c r="F1738" s="2841">
        <f t="shared" si="141"/>
        <v>14384</v>
      </c>
      <c r="G1738" s="2841">
        <f t="shared" si="142"/>
        <v>12992</v>
      </c>
    </row>
    <row r="1739" spans="1:7" ht="15.75">
      <c r="A1739" s="3022">
        <f t="shared" si="143"/>
        <v>83775</v>
      </c>
      <c r="B1739" s="2840">
        <v>83750</v>
      </c>
      <c r="C1739" s="2840">
        <v>83800</v>
      </c>
      <c r="D1739" s="2841">
        <f t="shared" si="139"/>
        <v>14396</v>
      </c>
      <c r="E1739" s="2841">
        <f t="shared" si="140"/>
        <v>10310</v>
      </c>
      <c r="F1739" s="2841">
        <f t="shared" si="141"/>
        <v>14396</v>
      </c>
      <c r="G1739" s="2841">
        <f t="shared" si="142"/>
        <v>13004</v>
      </c>
    </row>
    <row r="1740" spans="1:7" ht="15.75">
      <c r="A1740" s="3022">
        <f t="shared" si="143"/>
        <v>83825</v>
      </c>
      <c r="B1740" s="2840">
        <v>83800</v>
      </c>
      <c r="C1740" s="2840">
        <v>83850</v>
      </c>
      <c r="D1740" s="2841">
        <f t="shared" si="139"/>
        <v>14408</v>
      </c>
      <c r="E1740" s="2841">
        <f t="shared" si="140"/>
        <v>10321</v>
      </c>
      <c r="F1740" s="2841">
        <f t="shared" si="141"/>
        <v>14408</v>
      </c>
      <c r="G1740" s="2841">
        <f t="shared" si="142"/>
        <v>13016</v>
      </c>
    </row>
    <row r="1741" spans="1:7" ht="15.75">
      <c r="A1741" s="3022">
        <f t="shared" si="143"/>
        <v>83875</v>
      </c>
      <c r="B1741" s="2840">
        <v>83850</v>
      </c>
      <c r="C1741" s="2840">
        <v>83900</v>
      </c>
      <c r="D1741" s="2841">
        <f t="shared" si="139"/>
        <v>14420</v>
      </c>
      <c r="E1741" s="2841">
        <f t="shared" si="140"/>
        <v>10332</v>
      </c>
      <c r="F1741" s="2841">
        <f t="shared" si="141"/>
        <v>14420</v>
      </c>
      <c r="G1741" s="2841">
        <f t="shared" si="142"/>
        <v>13028</v>
      </c>
    </row>
    <row r="1742" spans="1:7" ht="15.75">
      <c r="A1742" s="3022">
        <f t="shared" si="143"/>
        <v>83925</v>
      </c>
      <c r="B1742" s="2840">
        <v>83900</v>
      </c>
      <c r="C1742" s="2840">
        <v>83950</v>
      </c>
      <c r="D1742" s="2841">
        <f t="shared" si="139"/>
        <v>14432</v>
      </c>
      <c r="E1742" s="2841">
        <f t="shared" si="140"/>
        <v>10343</v>
      </c>
      <c r="F1742" s="2841">
        <f t="shared" si="141"/>
        <v>14432</v>
      </c>
      <c r="G1742" s="2841">
        <f t="shared" si="142"/>
        <v>13040</v>
      </c>
    </row>
    <row r="1743" spans="1:7" ht="15.75">
      <c r="A1743" s="3022">
        <f t="shared" si="143"/>
        <v>83975</v>
      </c>
      <c r="B1743" s="2840">
        <v>83950</v>
      </c>
      <c r="C1743" s="2840">
        <v>84000</v>
      </c>
      <c r="D1743" s="2841">
        <f t="shared" si="139"/>
        <v>14444</v>
      </c>
      <c r="E1743" s="2841">
        <f t="shared" si="140"/>
        <v>10354</v>
      </c>
      <c r="F1743" s="2841">
        <f t="shared" si="141"/>
        <v>14444</v>
      </c>
      <c r="G1743" s="2841">
        <f t="shared" si="142"/>
        <v>13052</v>
      </c>
    </row>
    <row r="1744" spans="1:7" ht="15.75">
      <c r="A1744" s="3022">
        <f t="shared" si="143"/>
        <v>84025</v>
      </c>
      <c r="B1744" s="2840">
        <v>84000</v>
      </c>
      <c r="C1744" s="2840">
        <v>84050</v>
      </c>
      <c r="D1744" s="2841">
        <f t="shared" si="139"/>
        <v>14456</v>
      </c>
      <c r="E1744" s="2841">
        <f t="shared" si="140"/>
        <v>10365</v>
      </c>
      <c r="F1744" s="2841">
        <f t="shared" si="141"/>
        <v>14456</v>
      </c>
      <c r="G1744" s="2841">
        <f t="shared" si="142"/>
        <v>13064</v>
      </c>
    </row>
    <row r="1745" spans="1:7" ht="15.75">
      <c r="A1745" s="3022">
        <f t="shared" si="143"/>
        <v>84075</v>
      </c>
      <c r="B1745" s="2840">
        <v>84050</v>
      </c>
      <c r="C1745" s="2840">
        <v>84100</v>
      </c>
      <c r="D1745" s="2841">
        <f t="shared" si="139"/>
        <v>14468</v>
      </c>
      <c r="E1745" s="2841">
        <f t="shared" si="140"/>
        <v>10376</v>
      </c>
      <c r="F1745" s="2841">
        <f t="shared" si="141"/>
        <v>14468</v>
      </c>
      <c r="G1745" s="2841">
        <f t="shared" si="142"/>
        <v>13076</v>
      </c>
    </row>
    <row r="1746" spans="1:7" ht="15.75">
      <c r="A1746" s="3022">
        <f t="shared" si="143"/>
        <v>84125</v>
      </c>
      <c r="B1746" s="2840">
        <v>84100</v>
      </c>
      <c r="C1746" s="2840">
        <v>84150</v>
      </c>
      <c r="D1746" s="2841">
        <f t="shared" si="139"/>
        <v>14480</v>
      </c>
      <c r="E1746" s="2841">
        <f t="shared" si="140"/>
        <v>10387</v>
      </c>
      <c r="F1746" s="2841">
        <f t="shared" si="141"/>
        <v>14480</v>
      </c>
      <c r="G1746" s="2841">
        <f t="shared" si="142"/>
        <v>13088</v>
      </c>
    </row>
    <row r="1747" spans="1:7" ht="15.75">
      <c r="A1747" s="3022">
        <f t="shared" si="143"/>
        <v>84175</v>
      </c>
      <c r="B1747" s="2840">
        <v>84150</v>
      </c>
      <c r="C1747" s="2840">
        <v>84200</v>
      </c>
      <c r="D1747" s="2841">
        <f t="shared" si="139"/>
        <v>14492</v>
      </c>
      <c r="E1747" s="2841">
        <f t="shared" si="140"/>
        <v>10398</v>
      </c>
      <c r="F1747" s="2841">
        <f t="shared" si="141"/>
        <v>14492</v>
      </c>
      <c r="G1747" s="2841">
        <f t="shared" si="142"/>
        <v>13100</v>
      </c>
    </row>
    <row r="1748" spans="1:7" ht="15.75">
      <c r="A1748" s="3022">
        <f t="shared" si="143"/>
        <v>84225</v>
      </c>
      <c r="B1748" s="2840">
        <v>84200</v>
      </c>
      <c r="C1748" s="2840">
        <v>84250</v>
      </c>
      <c r="D1748" s="2841">
        <f t="shared" si="139"/>
        <v>14504</v>
      </c>
      <c r="E1748" s="2841">
        <f t="shared" si="140"/>
        <v>10409</v>
      </c>
      <c r="F1748" s="2841">
        <f t="shared" si="141"/>
        <v>14504</v>
      </c>
      <c r="G1748" s="2841">
        <f t="shared" si="142"/>
        <v>13112</v>
      </c>
    </row>
    <row r="1749" spans="1:7" ht="15.75">
      <c r="A1749" s="3022">
        <f t="shared" si="143"/>
        <v>84275</v>
      </c>
      <c r="B1749" s="2840">
        <v>84250</v>
      </c>
      <c r="C1749" s="2840">
        <v>84300</v>
      </c>
      <c r="D1749" s="2841">
        <f t="shared" si="139"/>
        <v>14516</v>
      </c>
      <c r="E1749" s="2841">
        <f t="shared" si="140"/>
        <v>10420</v>
      </c>
      <c r="F1749" s="2841">
        <f t="shared" si="141"/>
        <v>14516</v>
      </c>
      <c r="G1749" s="2841">
        <f t="shared" si="142"/>
        <v>13124</v>
      </c>
    </row>
    <row r="1750" spans="1:7" ht="15.75">
      <c r="A1750" s="3022">
        <f t="shared" si="143"/>
        <v>84325</v>
      </c>
      <c r="B1750" s="2840">
        <v>84300</v>
      </c>
      <c r="C1750" s="2840">
        <v>84350</v>
      </c>
      <c r="D1750" s="2841">
        <f t="shared" si="139"/>
        <v>14528</v>
      </c>
      <c r="E1750" s="2841">
        <f t="shared" si="140"/>
        <v>10431</v>
      </c>
      <c r="F1750" s="2841">
        <f t="shared" si="141"/>
        <v>14528</v>
      </c>
      <c r="G1750" s="2841">
        <f t="shared" si="142"/>
        <v>13136</v>
      </c>
    </row>
    <row r="1751" spans="1:7" ht="15.75">
      <c r="A1751" s="3022">
        <f t="shared" si="143"/>
        <v>84375</v>
      </c>
      <c r="B1751" s="2840">
        <v>84350</v>
      </c>
      <c r="C1751" s="2840">
        <v>84400</v>
      </c>
      <c r="D1751" s="2841">
        <f t="shared" si="139"/>
        <v>14540</v>
      </c>
      <c r="E1751" s="2841">
        <f t="shared" si="140"/>
        <v>10442</v>
      </c>
      <c r="F1751" s="2841">
        <f t="shared" si="141"/>
        <v>14540</v>
      </c>
      <c r="G1751" s="2841">
        <f t="shared" si="142"/>
        <v>13148</v>
      </c>
    </row>
    <row r="1752" spans="1:7" ht="15.75">
      <c r="A1752" s="3022">
        <f t="shared" si="143"/>
        <v>84425</v>
      </c>
      <c r="B1752" s="2840">
        <v>84400</v>
      </c>
      <c r="C1752" s="2840">
        <v>84450</v>
      </c>
      <c r="D1752" s="2841">
        <f t="shared" si="139"/>
        <v>14552</v>
      </c>
      <c r="E1752" s="2841">
        <f t="shared" si="140"/>
        <v>10453</v>
      </c>
      <c r="F1752" s="2841">
        <f t="shared" si="141"/>
        <v>14552</v>
      </c>
      <c r="G1752" s="2841">
        <f t="shared" si="142"/>
        <v>13160</v>
      </c>
    </row>
    <row r="1753" spans="1:7" ht="15.75">
      <c r="A1753" s="3022">
        <f t="shared" si="143"/>
        <v>84475</v>
      </c>
      <c r="B1753" s="2840">
        <v>84450</v>
      </c>
      <c r="C1753" s="2840">
        <v>84500</v>
      </c>
      <c r="D1753" s="2841">
        <f t="shared" si="139"/>
        <v>14564</v>
      </c>
      <c r="E1753" s="2841">
        <f t="shared" si="140"/>
        <v>10464</v>
      </c>
      <c r="F1753" s="2841">
        <f t="shared" si="141"/>
        <v>14564</v>
      </c>
      <c r="G1753" s="2841">
        <f t="shared" si="142"/>
        <v>13172</v>
      </c>
    </row>
    <row r="1754" spans="1:7" ht="15.75">
      <c r="A1754" s="3022">
        <f t="shared" si="143"/>
        <v>84525</v>
      </c>
      <c r="B1754" s="2840">
        <v>84500</v>
      </c>
      <c r="C1754" s="2840">
        <v>84550</v>
      </c>
      <c r="D1754" s="2841">
        <f t="shared" si="139"/>
        <v>14576</v>
      </c>
      <c r="E1754" s="2841">
        <f t="shared" si="140"/>
        <v>10475</v>
      </c>
      <c r="F1754" s="2841">
        <f t="shared" si="141"/>
        <v>14576</v>
      </c>
      <c r="G1754" s="2841">
        <f t="shared" si="142"/>
        <v>13184</v>
      </c>
    </row>
    <row r="1755" spans="1:7" ht="15.75">
      <c r="A1755" s="3022">
        <f t="shared" si="143"/>
        <v>84575</v>
      </c>
      <c r="B1755" s="2840">
        <v>84550</v>
      </c>
      <c r="C1755" s="2840">
        <v>84600</v>
      </c>
      <c r="D1755" s="2841">
        <f t="shared" si="139"/>
        <v>14588</v>
      </c>
      <c r="E1755" s="2841">
        <f t="shared" si="140"/>
        <v>10486</v>
      </c>
      <c r="F1755" s="2841">
        <f t="shared" si="141"/>
        <v>14588</v>
      </c>
      <c r="G1755" s="2841">
        <f t="shared" si="142"/>
        <v>13196</v>
      </c>
    </row>
    <row r="1756" spans="1:7" ht="15.75">
      <c r="A1756" s="3022">
        <f t="shared" si="143"/>
        <v>84625</v>
      </c>
      <c r="B1756" s="2840">
        <v>84600</v>
      </c>
      <c r="C1756" s="2840">
        <v>84650</v>
      </c>
      <c r="D1756" s="2841">
        <f t="shared" si="139"/>
        <v>14600</v>
      </c>
      <c r="E1756" s="2841">
        <f t="shared" si="140"/>
        <v>10497</v>
      </c>
      <c r="F1756" s="2841">
        <f t="shared" si="141"/>
        <v>14600</v>
      </c>
      <c r="G1756" s="2841">
        <f t="shared" si="142"/>
        <v>13208</v>
      </c>
    </row>
    <row r="1757" spans="1:7" ht="15.75">
      <c r="A1757" s="3022">
        <f t="shared" si="143"/>
        <v>84675</v>
      </c>
      <c r="B1757" s="2840">
        <v>84650</v>
      </c>
      <c r="C1757" s="2840">
        <v>84700</v>
      </c>
      <c r="D1757" s="2841">
        <f t="shared" si="139"/>
        <v>14612</v>
      </c>
      <c r="E1757" s="2841">
        <f t="shared" si="140"/>
        <v>10508</v>
      </c>
      <c r="F1757" s="2841">
        <f t="shared" si="141"/>
        <v>14612</v>
      </c>
      <c r="G1757" s="2841">
        <f t="shared" si="142"/>
        <v>13220</v>
      </c>
    </row>
    <row r="1758" spans="1:7" ht="15.75">
      <c r="A1758" s="3022">
        <f t="shared" si="143"/>
        <v>84725</v>
      </c>
      <c r="B1758" s="2840">
        <v>84700</v>
      </c>
      <c r="C1758" s="2840">
        <v>84750</v>
      </c>
      <c r="D1758" s="2841">
        <f t="shared" si="139"/>
        <v>14624</v>
      </c>
      <c r="E1758" s="2841">
        <f t="shared" si="140"/>
        <v>10519</v>
      </c>
      <c r="F1758" s="2841">
        <f t="shared" si="141"/>
        <v>14624</v>
      </c>
      <c r="G1758" s="2841">
        <f t="shared" si="142"/>
        <v>13232</v>
      </c>
    </row>
    <row r="1759" spans="1:7" ht="15.75">
      <c r="A1759" s="3022">
        <f t="shared" si="143"/>
        <v>84775</v>
      </c>
      <c r="B1759" s="2840">
        <v>84750</v>
      </c>
      <c r="C1759" s="2840">
        <v>84800</v>
      </c>
      <c r="D1759" s="2841">
        <f t="shared" si="139"/>
        <v>14636</v>
      </c>
      <c r="E1759" s="2841">
        <f t="shared" si="140"/>
        <v>10530</v>
      </c>
      <c r="F1759" s="2841">
        <f t="shared" si="141"/>
        <v>14636</v>
      </c>
      <c r="G1759" s="2841">
        <f t="shared" si="142"/>
        <v>13244</v>
      </c>
    </row>
    <row r="1760" spans="1:7" ht="15.75">
      <c r="A1760" s="3022">
        <f t="shared" si="143"/>
        <v>84825</v>
      </c>
      <c r="B1760" s="2840">
        <v>84800</v>
      </c>
      <c r="C1760" s="2840">
        <v>84850</v>
      </c>
      <c r="D1760" s="2841">
        <f t="shared" si="139"/>
        <v>14648</v>
      </c>
      <c r="E1760" s="2841">
        <f t="shared" si="140"/>
        <v>10541</v>
      </c>
      <c r="F1760" s="2841">
        <f t="shared" si="141"/>
        <v>14648</v>
      </c>
      <c r="G1760" s="2841">
        <f t="shared" si="142"/>
        <v>13256</v>
      </c>
    </row>
    <row r="1761" spans="1:7" ht="15.75">
      <c r="A1761" s="3022">
        <f t="shared" si="143"/>
        <v>84875</v>
      </c>
      <c r="B1761" s="2840">
        <v>84850</v>
      </c>
      <c r="C1761" s="2840">
        <v>84900</v>
      </c>
      <c r="D1761" s="2841">
        <f t="shared" si="139"/>
        <v>14660</v>
      </c>
      <c r="E1761" s="2841">
        <f t="shared" si="140"/>
        <v>10552</v>
      </c>
      <c r="F1761" s="2841">
        <f t="shared" si="141"/>
        <v>14660</v>
      </c>
      <c r="G1761" s="2841">
        <f t="shared" si="142"/>
        <v>13268</v>
      </c>
    </row>
    <row r="1762" spans="1:7" ht="15.75">
      <c r="A1762" s="3022">
        <f t="shared" si="143"/>
        <v>84925</v>
      </c>
      <c r="B1762" s="2840">
        <v>84900</v>
      </c>
      <c r="C1762" s="2840">
        <v>84950</v>
      </c>
      <c r="D1762" s="2841">
        <f t="shared" si="139"/>
        <v>14672</v>
      </c>
      <c r="E1762" s="2841">
        <f t="shared" si="140"/>
        <v>10563</v>
      </c>
      <c r="F1762" s="2841">
        <f t="shared" si="141"/>
        <v>14672</v>
      </c>
      <c r="G1762" s="2841">
        <f t="shared" si="142"/>
        <v>13280</v>
      </c>
    </row>
    <row r="1763" spans="1:7" ht="15.75">
      <c r="A1763" s="3022">
        <f t="shared" si="143"/>
        <v>84975</v>
      </c>
      <c r="B1763" s="2840">
        <v>84950</v>
      </c>
      <c r="C1763" s="2840">
        <v>85000</v>
      </c>
      <c r="D1763" s="2841">
        <f t="shared" si="139"/>
        <v>14684</v>
      </c>
      <c r="E1763" s="2841">
        <f t="shared" si="140"/>
        <v>10574</v>
      </c>
      <c r="F1763" s="2841">
        <f t="shared" si="141"/>
        <v>14684</v>
      </c>
      <c r="G1763" s="2841">
        <f t="shared" si="142"/>
        <v>13292</v>
      </c>
    </row>
    <row r="1764" spans="1:7" ht="15.75">
      <c r="A1764" s="3022">
        <f t="shared" si="143"/>
        <v>85025</v>
      </c>
      <c r="B1764" s="2840">
        <v>85000</v>
      </c>
      <c r="C1764" s="2840">
        <v>85050</v>
      </c>
      <c r="D1764" s="2841">
        <f t="shared" si="139"/>
        <v>14696</v>
      </c>
      <c r="E1764" s="2841">
        <f t="shared" si="140"/>
        <v>10585</v>
      </c>
      <c r="F1764" s="2841">
        <f t="shared" si="141"/>
        <v>14696</v>
      </c>
      <c r="G1764" s="2841">
        <f t="shared" si="142"/>
        <v>13304</v>
      </c>
    </row>
    <row r="1765" spans="1:7" ht="15.75">
      <c r="A1765" s="3022">
        <f t="shared" si="143"/>
        <v>85075</v>
      </c>
      <c r="B1765" s="2840">
        <v>85050</v>
      </c>
      <c r="C1765" s="2840">
        <v>85100</v>
      </c>
      <c r="D1765" s="2841">
        <f t="shared" si="139"/>
        <v>14708</v>
      </c>
      <c r="E1765" s="2841">
        <f t="shared" si="140"/>
        <v>10596</v>
      </c>
      <c r="F1765" s="2841">
        <f t="shared" si="141"/>
        <v>14708</v>
      </c>
      <c r="G1765" s="2841">
        <f t="shared" si="142"/>
        <v>13316</v>
      </c>
    </row>
    <row r="1766" spans="1:7" ht="15.75">
      <c r="A1766" s="3022">
        <f t="shared" si="143"/>
        <v>85125</v>
      </c>
      <c r="B1766" s="2840">
        <v>85100</v>
      </c>
      <c r="C1766" s="2840">
        <v>85150</v>
      </c>
      <c r="D1766" s="2841">
        <f t="shared" si="139"/>
        <v>14720</v>
      </c>
      <c r="E1766" s="2841">
        <f t="shared" si="140"/>
        <v>10607</v>
      </c>
      <c r="F1766" s="2841">
        <f t="shared" si="141"/>
        <v>14720</v>
      </c>
      <c r="G1766" s="2841">
        <f t="shared" si="142"/>
        <v>13328</v>
      </c>
    </row>
    <row r="1767" spans="1:7" ht="15.75">
      <c r="A1767" s="3022">
        <f t="shared" si="143"/>
        <v>85175</v>
      </c>
      <c r="B1767" s="2840">
        <v>85150</v>
      </c>
      <c r="C1767" s="2840">
        <v>85200</v>
      </c>
      <c r="D1767" s="2841">
        <f t="shared" si="139"/>
        <v>14732</v>
      </c>
      <c r="E1767" s="2841">
        <f t="shared" si="140"/>
        <v>10618</v>
      </c>
      <c r="F1767" s="2841">
        <f t="shared" si="141"/>
        <v>14732</v>
      </c>
      <c r="G1767" s="2841">
        <f t="shared" si="142"/>
        <v>13340</v>
      </c>
    </row>
    <row r="1768" spans="1:7" ht="15.75">
      <c r="A1768" s="3022">
        <f t="shared" si="143"/>
        <v>85225</v>
      </c>
      <c r="B1768" s="2840">
        <v>85200</v>
      </c>
      <c r="C1768" s="2840">
        <v>85250</v>
      </c>
      <c r="D1768" s="2841">
        <f t="shared" si="139"/>
        <v>14744</v>
      </c>
      <c r="E1768" s="2841">
        <f t="shared" si="140"/>
        <v>10629</v>
      </c>
      <c r="F1768" s="2841">
        <f t="shared" si="141"/>
        <v>14744</v>
      </c>
      <c r="G1768" s="2841">
        <f t="shared" si="142"/>
        <v>13352</v>
      </c>
    </row>
    <row r="1769" spans="1:7" ht="15.75">
      <c r="A1769" s="3022">
        <f t="shared" si="143"/>
        <v>85275</v>
      </c>
      <c r="B1769" s="2840">
        <v>85250</v>
      </c>
      <c r="C1769" s="2840">
        <v>85300</v>
      </c>
      <c r="D1769" s="2841">
        <f t="shared" si="139"/>
        <v>14756</v>
      </c>
      <c r="E1769" s="2841">
        <f t="shared" si="140"/>
        <v>10640</v>
      </c>
      <c r="F1769" s="2841">
        <f t="shared" si="141"/>
        <v>14756</v>
      </c>
      <c r="G1769" s="2841">
        <f t="shared" si="142"/>
        <v>13364</v>
      </c>
    </row>
    <row r="1770" spans="1:7" ht="15.75">
      <c r="A1770" s="3022">
        <f t="shared" si="143"/>
        <v>85325</v>
      </c>
      <c r="B1770" s="2840">
        <v>85300</v>
      </c>
      <c r="C1770" s="2840">
        <v>85350</v>
      </c>
      <c r="D1770" s="2841">
        <f t="shared" si="139"/>
        <v>14768</v>
      </c>
      <c r="E1770" s="2841">
        <f t="shared" si="140"/>
        <v>10651</v>
      </c>
      <c r="F1770" s="2841">
        <f t="shared" si="141"/>
        <v>14768</v>
      </c>
      <c r="G1770" s="2841">
        <f t="shared" si="142"/>
        <v>13376</v>
      </c>
    </row>
    <row r="1771" spans="1:7" ht="15.75">
      <c r="A1771" s="3022">
        <f t="shared" si="143"/>
        <v>85375</v>
      </c>
      <c r="B1771" s="2840">
        <v>85350</v>
      </c>
      <c r="C1771" s="2840">
        <v>85400</v>
      </c>
      <c r="D1771" s="2841">
        <f t="shared" si="139"/>
        <v>14780</v>
      </c>
      <c r="E1771" s="2841">
        <f t="shared" si="140"/>
        <v>10662</v>
      </c>
      <c r="F1771" s="2841">
        <f t="shared" si="141"/>
        <v>14780</v>
      </c>
      <c r="G1771" s="2841">
        <f t="shared" si="142"/>
        <v>13388</v>
      </c>
    </row>
    <row r="1772" spans="1:7" ht="15.75">
      <c r="A1772" s="3022">
        <f t="shared" si="143"/>
        <v>85425</v>
      </c>
      <c r="B1772" s="2840">
        <v>85400</v>
      </c>
      <c r="C1772" s="2840">
        <v>85450</v>
      </c>
      <c r="D1772" s="2841">
        <f t="shared" si="139"/>
        <v>14792</v>
      </c>
      <c r="E1772" s="2841">
        <f t="shared" si="140"/>
        <v>10673</v>
      </c>
      <c r="F1772" s="2841">
        <f t="shared" si="141"/>
        <v>14792</v>
      </c>
      <c r="G1772" s="2841">
        <f t="shared" si="142"/>
        <v>13400</v>
      </c>
    </row>
    <row r="1773" spans="1:7" ht="15.75">
      <c r="A1773" s="3022">
        <f t="shared" si="143"/>
        <v>85475</v>
      </c>
      <c r="B1773" s="2840">
        <v>85450</v>
      </c>
      <c r="C1773" s="2840">
        <v>85500</v>
      </c>
      <c r="D1773" s="2841">
        <f t="shared" si="139"/>
        <v>14804</v>
      </c>
      <c r="E1773" s="2841">
        <f t="shared" si="140"/>
        <v>10684</v>
      </c>
      <c r="F1773" s="2841">
        <f t="shared" si="141"/>
        <v>14804</v>
      </c>
      <c r="G1773" s="2841">
        <f t="shared" si="142"/>
        <v>13412</v>
      </c>
    </row>
    <row r="1774" spans="1:7" ht="15.75">
      <c r="A1774" s="3022">
        <f t="shared" si="143"/>
        <v>85525</v>
      </c>
      <c r="B1774" s="2840">
        <v>85500</v>
      </c>
      <c r="C1774" s="2840">
        <v>85550</v>
      </c>
      <c r="D1774" s="2841">
        <f t="shared" si="139"/>
        <v>14816</v>
      </c>
      <c r="E1774" s="2841">
        <f t="shared" si="140"/>
        <v>10695</v>
      </c>
      <c r="F1774" s="2841">
        <f t="shared" si="141"/>
        <v>14816</v>
      </c>
      <c r="G1774" s="2841">
        <f t="shared" si="142"/>
        <v>13424</v>
      </c>
    </row>
    <row r="1775" spans="1:7" ht="15.75">
      <c r="A1775" s="3022">
        <f t="shared" si="143"/>
        <v>85575</v>
      </c>
      <c r="B1775" s="2840">
        <v>85550</v>
      </c>
      <c r="C1775" s="2840">
        <v>85600</v>
      </c>
      <c r="D1775" s="2841">
        <f t="shared" si="139"/>
        <v>14828</v>
      </c>
      <c r="E1775" s="2841">
        <f t="shared" si="140"/>
        <v>10706</v>
      </c>
      <c r="F1775" s="2841">
        <f t="shared" si="141"/>
        <v>14828</v>
      </c>
      <c r="G1775" s="2841">
        <f t="shared" si="142"/>
        <v>13436</v>
      </c>
    </row>
    <row r="1776" spans="1:7" ht="15.75">
      <c r="A1776" s="3022">
        <f t="shared" si="143"/>
        <v>85625</v>
      </c>
      <c r="B1776" s="2840">
        <v>85600</v>
      </c>
      <c r="C1776" s="2840">
        <v>85650</v>
      </c>
      <c r="D1776" s="2841">
        <f t="shared" si="139"/>
        <v>14840</v>
      </c>
      <c r="E1776" s="2841">
        <f t="shared" si="140"/>
        <v>10717</v>
      </c>
      <c r="F1776" s="2841">
        <f t="shared" si="141"/>
        <v>14840</v>
      </c>
      <c r="G1776" s="2841">
        <f t="shared" si="142"/>
        <v>13448</v>
      </c>
    </row>
    <row r="1777" spans="1:7" ht="15.75">
      <c r="A1777" s="3022">
        <f t="shared" si="143"/>
        <v>85675</v>
      </c>
      <c r="B1777" s="2840">
        <v>85650</v>
      </c>
      <c r="C1777" s="2840">
        <v>85700</v>
      </c>
      <c r="D1777" s="2841">
        <f t="shared" si="139"/>
        <v>14852</v>
      </c>
      <c r="E1777" s="2841">
        <f t="shared" si="140"/>
        <v>10728</v>
      </c>
      <c r="F1777" s="2841">
        <f t="shared" si="141"/>
        <v>14852</v>
      </c>
      <c r="G1777" s="2841">
        <f t="shared" si="142"/>
        <v>13460</v>
      </c>
    </row>
    <row r="1778" spans="1:7" ht="15.75">
      <c r="A1778" s="3022">
        <f t="shared" si="143"/>
        <v>85725</v>
      </c>
      <c r="B1778" s="2840">
        <v>85700</v>
      </c>
      <c r="C1778" s="2840">
        <v>85750</v>
      </c>
      <c r="D1778" s="2841">
        <f t="shared" si="139"/>
        <v>14864</v>
      </c>
      <c r="E1778" s="2841">
        <f t="shared" si="140"/>
        <v>10739</v>
      </c>
      <c r="F1778" s="2841">
        <f t="shared" si="141"/>
        <v>14864</v>
      </c>
      <c r="G1778" s="2841">
        <f t="shared" si="142"/>
        <v>13472</v>
      </c>
    </row>
    <row r="1779" spans="1:7" ht="15.75">
      <c r="A1779" s="3022">
        <f t="shared" si="143"/>
        <v>85775</v>
      </c>
      <c r="B1779" s="2840">
        <v>85750</v>
      </c>
      <c r="C1779" s="2840">
        <v>85800</v>
      </c>
      <c r="D1779" s="2841">
        <f t="shared" si="139"/>
        <v>14876</v>
      </c>
      <c r="E1779" s="2841">
        <f t="shared" si="140"/>
        <v>10750</v>
      </c>
      <c r="F1779" s="2841">
        <f t="shared" si="141"/>
        <v>14876</v>
      </c>
      <c r="G1779" s="2841">
        <f t="shared" si="142"/>
        <v>13484</v>
      </c>
    </row>
    <row r="1780" spans="1:7" ht="15.75">
      <c r="A1780" s="3022">
        <f t="shared" si="143"/>
        <v>85825</v>
      </c>
      <c r="B1780" s="2840">
        <v>85800</v>
      </c>
      <c r="C1780" s="2840">
        <v>85850</v>
      </c>
      <c r="D1780" s="2841">
        <f t="shared" si="139"/>
        <v>14888</v>
      </c>
      <c r="E1780" s="2841">
        <f t="shared" si="140"/>
        <v>10761</v>
      </c>
      <c r="F1780" s="2841">
        <f t="shared" si="141"/>
        <v>14888</v>
      </c>
      <c r="G1780" s="2841">
        <f t="shared" si="142"/>
        <v>13496</v>
      </c>
    </row>
    <row r="1781" spans="1:7" ht="15.75">
      <c r="A1781" s="3022">
        <f t="shared" si="143"/>
        <v>85875</v>
      </c>
      <c r="B1781" s="2840">
        <v>85850</v>
      </c>
      <c r="C1781" s="2840">
        <v>85900</v>
      </c>
      <c r="D1781" s="2841">
        <f t="shared" si="139"/>
        <v>14900</v>
      </c>
      <c r="E1781" s="2841">
        <f t="shared" si="140"/>
        <v>10772</v>
      </c>
      <c r="F1781" s="2841">
        <f t="shared" si="141"/>
        <v>14900</v>
      </c>
      <c r="G1781" s="2841">
        <f t="shared" si="142"/>
        <v>13508</v>
      </c>
    </row>
    <row r="1782" spans="1:7" ht="15.75">
      <c r="A1782" s="3022">
        <f t="shared" si="143"/>
        <v>85925</v>
      </c>
      <c r="B1782" s="2840">
        <v>85900</v>
      </c>
      <c r="C1782" s="2840">
        <v>85950</v>
      </c>
      <c r="D1782" s="2841">
        <f t="shared" si="139"/>
        <v>14912</v>
      </c>
      <c r="E1782" s="2841">
        <f t="shared" si="140"/>
        <v>10783</v>
      </c>
      <c r="F1782" s="2841">
        <f t="shared" si="141"/>
        <v>14912</v>
      </c>
      <c r="G1782" s="2841">
        <f t="shared" si="142"/>
        <v>13520</v>
      </c>
    </row>
    <row r="1783" spans="1:7" ht="15.75">
      <c r="A1783" s="3022">
        <f t="shared" si="143"/>
        <v>85975</v>
      </c>
      <c r="B1783" s="2840">
        <v>85950</v>
      </c>
      <c r="C1783" s="2840">
        <v>86000</v>
      </c>
      <c r="D1783" s="2841">
        <f t="shared" si="139"/>
        <v>14924</v>
      </c>
      <c r="E1783" s="2841">
        <f t="shared" si="140"/>
        <v>10794</v>
      </c>
      <c r="F1783" s="2841">
        <f t="shared" si="141"/>
        <v>14924</v>
      </c>
      <c r="G1783" s="2841">
        <f t="shared" si="142"/>
        <v>13532</v>
      </c>
    </row>
    <row r="1784" spans="1:7" ht="15.75">
      <c r="A1784" s="3022">
        <f t="shared" si="143"/>
        <v>86025</v>
      </c>
      <c r="B1784" s="2840">
        <v>86000</v>
      </c>
      <c r="C1784" s="2840">
        <v>86050</v>
      </c>
      <c r="D1784" s="2841">
        <f t="shared" si="139"/>
        <v>14936</v>
      </c>
      <c r="E1784" s="2841">
        <f t="shared" si="140"/>
        <v>10805</v>
      </c>
      <c r="F1784" s="2841">
        <f t="shared" si="141"/>
        <v>14936</v>
      </c>
      <c r="G1784" s="2841">
        <f t="shared" si="142"/>
        <v>13544</v>
      </c>
    </row>
    <row r="1785" spans="1:7" ht="15.75">
      <c r="A1785" s="3022">
        <f t="shared" si="143"/>
        <v>86075</v>
      </c>
      <c r="B1785" s="2840">
        <v>86050</v>
      </c>
      <c r="C1785" s="2840">
        <v>86100</v>
      </c>
      <c r="D1785" s="2841">
        <f t="shared" si="139"/>
        <v>14948</v>
      </c>
      <c r="E1785" s="2841">
        <f t="shared" si="140"/>
        <v>10816</v>
      </c>
      <c r="F1785" s="2841">
        <f t="shared" si="141"/>
        <v>14948</v>
      </c>
      <c r="G1785" s="2841">
        <f t="shared" si="142"/>
        <v>13556</v>
      </c>
    </row>
    <row r="1786" spans="1:7" ht="15.75">
      <c r="A1786" s="3022">
        <f t="shared" si="143"/>
        <v>86125</v>
      </c>
      <c r="B1786" s="2840">
        <v>86100</v>
      </c>
      <c r="C1786" s="2840">
        <v>86150</v>
      </c>
      <c r="D1786" s="2841">
        <f t="shared" si="139"/>
        <v>14960</v>
      </c>
      <c r="E1786" s="2841">
        <f t="shared" si="140"/>
        <v>10827</v>
      </c>
      <c r="F1786" s="2841">
        <f t="shared" si="141"/>
        <v>14960</v>
      </c>
      <c r="G1786" s="2841">
        <f t="shared" si="142"/>
        <v>13568</v>
      </c>
    </row>
    <row r="1787" spans="1:7" ht="15.75">
      <c r="A1787" s="3022">
        <f t="shared" si="143"/>
        <v>86175</v>
      </c>
      <c r="B1787" s="2840">
        <v>86150</v>
      </c>
      <c r="C1787" s="2840">
        <v>86200</v>
      </c>
      <c r="D1787" s="2841">
        <f t="shared" si="139"/>
        <v>14972</v>
      </c>
      <c r="E1787" s="2841">
        <f t="shared" si="140"/>
        <v>10838</v>
      </c>
      <c r="F1787" s="2841">
        <f t="shared" si="141"/>
        <v>14972</v>
      </c>
      <c r="G1787" s="2841">
        <f t="shared" si="142"/>
        <v>13580</v>
      </c>
    </row>
    <row r="1788" spans="1:7" ht="15.75">
      <c r="A1788" s="3022">
        <f t="shared" si="143"/>
        <v>86225</v>
      </c>
      <c r="B1788" s="2840">
        <v>86200</v>
      </c>
      <c r="C1788" s="2840">
        <v>86250</v>
      </c>
      <c r="D1788" s="2841">
        <f t="shared" si="139"/>
        <v>14984</v>
      </c>
      <c r="E1788" s="2841">
        <f t="shared" si="140"/>
        <v>10849</v>
      </c>
      <c r="F1788" s="2841">
        <f t="shared" si="141"/>
        <v>14984</v>
      </c>
      <c r="G1788" s="2841">
        <f t="shared" si="142"/>
        <v>13592</v>
      </c>
    </row>
    <row r="1789" spans="1:7" ht="15.75">
      <c r="A1789" s="3022">
        <f t="shared" si="143"/>
        <v>86275</v>
      </c>
      <c r="B1789" s="2840">
        <v>86250</v>
      </c>
      <c r="C1789" s="2840">
        <v>86300</v>
      </c>
      <c r="D1789" s="2841">
        <f t="shared" si="139"/>
        <v>14996</v>
      </c>
      <c r="E1789" s="2841">
        <f t="shared" si="140"/>
        <v>10860</v>
      </c>
      <c r="F1789" s="2841">
        <f t="shared" si="141"/>
        <v>14996</v>
      </c>
      <c r="G1789" s="2841">
        <f t="shared" si="142"/>
        <v>13604</v>
      </c>
    </row>
    <row r="1790" spans="1:7" ht="15.75">
      <c r="A1790" s="3022">
        <f t="shared" si="143"/>
        <v>86325</v>
      </c>
      <c r="B1790" s="2840">
        <v>86300</v>
      </c>
      <c r="C1790" s="2840">
        <v>86350</v>
      </c>
      <c r="D1790" s="2841">
        <f t="shared" si="139"/>
        <v>15008</v>
      </c>
      <c r="E1790" s="2841">
        <f t="shared" si="140"/>
        <v>10871</v>
      </c>
      <c r="F1790" s="2841">
        <f t="shared" si="141"/>
        <v>15008</v>
      </c>
      <c r="G1790" s="2841">
        <f t="shared" si="142"/>
        <v>13616</v>
      </c>
    </row>
    <row r="1791" spans="1:7" ht="15.75">
      <c r="A1791" s="3022">
        <f t="shared" si="143"/>
        <v>86375</v>
      </c>
      <c r="B1791" s="2840">
        <v>86350</v>
      </c>
      <c r="C1791" s="2840">
        <v>86400</v>
      </c>
      <c r="D1791" s="2841">
        <f t="shared" si="139"/>
        <v>15020</v>
      </c>
      <c r="E1791" s="2841">
        <f t="shared" si="140"/>
        <v>10882</v>
      </c>
      <c r="F1791" s="2841">
        <f t="shared" si="141"/>
        <v>15020</v>
      </c>
      <c r="G1791" s="2841">
        <f t="shared" si="142"/>
        <v>13628</v>
      </c>
    </row>
    <row r="1792" spans="1:7" ht="15.75">
      <c r="A1792" s="3022">
        <f t="shared" si="143"/>
        <v>86425</v>
      </c>
      <c r="B1792" s="2840">
        <v>86400</v>
      </c>
      <c r="C1792" s="2840">
        <v>86450</v>
      </c>
      <c r="D1792" s="2841">
        <f t="shared" si="139"/>
        <v>15032</v>
      </c>
      <c r="E1792" s="2841">
        <f t="shared" si="140"/>
        <v>10893</v>
      </c>
      <c r="F1792" s="2841">
        <f t="shared" si="141"/>
        <v>15032</v>
      </c>
      <c r="G1792" s="2841">
        <f t="shared" si="142"/>
        <v>13640</v>
      </c>
    </row>
    <row r="1793" spans="1:7" ht="15.75">
      <c r="A1793" s="3022">
        <f t="shared" si="143"/>
        <v>86475</v>
      </c>
      <c r="B1793" s="2840">
        <v>86450</v>
      </c>
      <c r="C1793" s="2840">
        <v>86500</v>
      </c>
      <c r="D1793" s="2841">
        <f t="shared" si="139"/>
        <v>15044</v>
      </c>
      <c r="E1793" s="2841">
        <f t="shared" si="140"/>
        <v>10904</v>
      </c>
      <c r="F1793" s="2841">
        <f t="shared" si="141"/>
        <v>15044</v>
      </c>
      <c r="G1793" s="2841">
        <f t="shared" si="142"/>
        <v>13652</v>
      </c>
    </row>
    <row r="1794" spans="1:7" ht="15.75">
      <c r="A1794" s="3022">
        <f t="shared" si="143"/>
        <v>86525</v>
      </c>
      <c r="B1794" s="2840">
        <v>86500</v>
      </c>
      <c r="C1794" s="2840">
        <v>86550</v>
      </c>
      <c r="D1794" s="2841">
        <f t="shared" ref="D1794:D1857" si="144">IF($A1794&gt;BOTT_A4,ROUND(BASE_A4+RATE_A4*($A1794-BOTT_A4),0),IF($A1794&gt;BOTT_A3,ROUND(BASE_A3+RATE_A3*($A1794-BOTT_A3),0),IF($A1794&gt;BOTT_A2,ROUND(BASE_A2+RATE_A2*($A1794-BOTT_A2),0),ROUND(RATE_A1*$A1794,0))))</f>
        <v>15056</v>
      </c>
      <c r="E1794" s="2841">
        <f t="shared" ref="E1794:E1857" si="145">IF($A1794&gt;BOTT_B4,ROUND(BASE_B4+RATE_B4*($A1794-BOTT_B4),0),IF($A1794&gt;BOTT_B3,ROUND(BASE_B3+RATE_B3*($A1794-BOTT_B3),0),IF($A1794&gt;BOTT_B2,ROUND(BASE_B2+RATE_B2*($A1794-BOTT_B2),0),ROUND(RATE_B1*$A1794,0))))</f>
        <v>10915</v>
      </c>
      <c r="F1794" s="2841">
        <f t="shared" ref="F1794:F1857" si="146">IF($A1794&gt;BOTT_C4,ROUND(BASE_C4+RATE_C4*($A1794-BOTT_C4),0),IF($A1794&gt;BOTT_C3,ROUND(BASE_C3+RATE_C3*($A1794-BOTT_C3),0),IF($A1794&gt;BOTT_C2,ROUND(BASE_C2+RATE_C2*($A1794-BOTT_C2),0),ROUND(RATE_C1*$A1794,0))))</f>
        <v>15056</v>
      </c>
      <c r="G1794" s="2841">
        <f t="shared" ref="G1794:G1857" si="147">IF($A1794&gt;BOTT_D4,ROUND(BASE_D4+RATE_D4*($A1794-BOTT_D4),0),IF($A1794&gt;BOTT_D3,ROUND(BASE_D3+RATE_D3*($A1794-BOTT_D3),0),IF($A1794&gt;BOTT_D2,ROUND(BASE_D2+RATE_D2*($A1794-BOTT_D2),0),ROUND(RATE_D1*$A1794,0))))</f>
        <v>13664</v>
      </c>
    </row>
    <row r="1795" spans="1:7" ht="15.75">
      <c r="A1795" s="3022">
        <f t="shared" ref="A1795:A1858" si="148">AVERAGE(B1795,C1795)</f>
        <v>86575</v>
      </c>
      <c r="B1795" s="2840">
        <v>86550</v>
      </c>
      <c r="C1795" s="2840">
        <v>86600</v>
      </c>
      <c r="D1795" s="2841">
        <f t="shared" si="144"/>
        <v>15068</v>
      </c>
      <c r="E1795" s="2841">
        <f t="shared" si="145"/>
        <v>10926</v>
      </c>
      <c r="F1795" s="2841">
        <f t="shared" si="146"/>
        <v>15068</v>
      </c>
      <c r="G1795" s="2841">
        <f t="shared" si="147"/>
        <v>13676</v>
      </c>
    </row>
    <row r="1796" spans="1:7" ht="15.75">
      <c r="A1796" s="3022">
        <f t="shared" si="148"/>
        <v>86625</v>
      </c>
      <c r="B1796" s="2840">
        <v>86600</v>
      </c>
      <c r="C1796" s="2840">
        <v>86650</v>
      </c>
      <c r="D1796" s="2841">
        <f t="shared" si="144"/>
        <v>15080</v>
      </c>
      <c r="E1796" s="2841">
        <f t="shared" si="145"/>
        <v>10937</v>
      </c>
      <c r="F1796" s="2841">
        <f t="shared" si="146"/>
        <v>15080</v>
      </c>
      <c r="G1796" s="2841">
        <f t="shared" si="147"/>
        <v>13688</v>
      </c>
    </row>
    <row r="1797" spans="1:7" ht="15.75">
      <c r="A1797" s="3022">
        <f t="shared" si="148"/>
        <v>86675</v>
      </c>
      <c r="B1797" s="2840">
        <v>86650</v>
      </c>
      <c r="C1797" s="2840">
        <v>86700</v>
      </c>
      <c r="D1797" s="2841">
        <f t="shared" si="144"/>
        <v>15092</v>
      </c>
      <c r="E1797" s="2841">
        <f t="shared" si="145"/>
        <v>10948</v>
      </c>
      <c r="F1797" s="2841">
        <f t="shared" si="146"/>
        <v>15092</v>
      </c>
      <c r="G1797" s="2841">
        <f t="shared" si="147"/>
        <v>13700</v>
      </c>
    </row>
    <row r="1798" spans="1:7" ht="15.75">
      <c r="A1798" s="3022">
        <f t="shared" si="148"/>
        <v>86725</v>
      </c>
      <c r="B1798" s="2840">
        <v>86700</v>
      </c>
      <c r="C1798" s="2840">
        <v>86750</v>
      </c>
      <c r="D1798" s="2841">
        <f t="shared" si="144"/>
        <v>15104</v>
      </c>
      <c r="E1798" s="2841">
        <f t="shared" si="145"/>
        <v>10959</v>
      </c>
      <c r="F1798" s="2841">
        <f t="shared" si="146"/>
        <v>15104</v>
      </c>
      <c r="G1798" s="2841">
        <f t="shared" si="147"/>
        <v>13712</v>
      </c>
    </row>
    <row r="1799" spans="1:7" ht="15.75">
      <c r="A1799" s="3022">
        <f t="shared" si="148"/>
        <v>86775</v>
      </c>
      <c r="B1799" s="2840">
        <v>86750</v>
      </c>
      <c r="C1799" s="2840">
        <v>86800</v>
      </c>
      <c r="D1799" s="2841">
        <f t="shared" si="144"/>
        <v>15116</v>
      </c>
      <c r="E1799" s="2841">
        <f t="shared" si="145"/>
        <v>10970</v>
      </c>
      <c r="F1799" s="2841">
        <f t="shared" si="146"/>
        <v>15116</v>
      </c>
      <c r="G1799" s="2841">
        <f t="shared" si="147"/>
        <v>13724</v>
      </c>
    </row>
    <row r="1800" spans="1:7" ht="15.75">
      <c r="A1800" s="3022">
        <f t="shared" si="148"/>
        <v>86825</v>
      </c>
      <c r="B1800" s="2840">
        <v>86800</v>
      </c>
      <c r="C1800" s="2840">
        <v>86850</v>
      </c>
      <c r="D1800" s="2841">
        <f t="shared" si="144"/>
        <v>15128</v>
      </c>
      <c r="E1800" s="2841">
        <f t="shared" si="145"/>
        <v>10981</v>
      </c>
      <c r="F1800" s="2841">
        <f t="shared" si="146"/>
        <v>15128</v>
      </c>
      <c r="G1800" s="2841">
        <f t="shared" si="147"/>
        <v>13736</v>
      </c>
    </row>
    <row r="1801" spans="1:7" ht="15.75">
      <c r="A1801" s="3022">
        <f t="shared" si="148"/>
        <v>86875</v>
      </c>
      <c r="B1801" s="2840">
        <v>86850</v>
      </c>
      <c r="C1801" s="2840">
        <v>86900</v>
      </c>
      <c r="D1801" s="2841">
        <f t="shared" si="144"/>
        <v>15140</v>
      </c>
      <c r="E1801" s="2841">
        <f t="shared" si="145"/>
        <v>10992</v>
      </c>
      <c r="F1801" s="2841">
        <f t="shared" si="146"/>
        <v>15140</v>
      </c>
      <c r="G1801" s="2841">
        <f t="shared" si="147"/>
        <v>13748</v>
      </c>
    </row>
    <row r="1802" spans="1:7" ht="15.75">
      <c r="A1802" s="3022">
        <f t="shared" si="148"/>
        <v>86925</v>
      </c>
      <c r="B1802" s="2840">
        <v>86900</v>
      </c>
      <c r="C1802" s="2840">
        <v>86950</v>
      </c>
      <c r="D1802" s="2841">
        <f t="shared" si="144"/>
        <v>15152</v>
      </c>
      <c r="E1802" s="2841">
        <f t="shared" si="145"/>
        <v>11003</v>
      </c>
      <c r="F1802" s="2841">
        <f t="shared" si="146"/>
        <v>15152</v>
      </c>
      <c r="G1802" s="2841">
        <f t="shared" si="147"/>
        <v>13760</v>
      </c>
    </row>
    <row r="1803" spans="1:7" ht="15.75">
      <c r="A1803" s="3022">
        <f t="shared" si="148"/>
        <v>86975</v>
      </c>
      <c r="B1803" s="2840">
        <v>86950</v>
      </c>
      <c r="C1803" s="2840">
        <v>87000</v>
      </c>
      <c r="D1803" s="2841">
        <f t="shared" si="144"/>
        <v>15164</v>
      </c>
      <c r="E1803" s="2841">
        <f t="shared" si="145"/>
        <v>11014</v>
      </c>
      <c r="F1803" s="2841">
        <f t="shared" si="146"/>
        <v>15164</v>
      </c>
      <c r="G1803" s="2841">
        <f t="shared" si="147"/>
        <v>13772</v>
      </c>
    </row>
    <row r="1804" spans="1:7" ht="15.75">
      <c r="A1804" s="3022">
        <f t="shared" si="148"/>
        <v>87025</v>
      </c>
      <c r="B1804" s="2840">
        <v>87000</v>
      </c>
      <c r="C1804" s="2840">
        <v>87050</v>
      </c>
      <c r="D1804" s="2841">
        <f t="shared" si="144"/>
        <v>15176</v>
      </c>
      <c r="E1804" s="2841">
        <f t="shared" si="145"/>
        <v>11025</v>
      </c>
      <c r="F1804" s="2841">
        <f t="shared" si="146"/>
        <v>15176</v>
      </c>
      <c r="G1804" s="2841">
        <f t="shared" si="147"/>
        <v>13784</v>
      </c>
    </row>
    <row r="1805" spans="1:7" ht="15.75">
      <c r="A1805" s="3022">
        <f t="shared" si="148"/>
        <v>87075</v>
      </c>
      <c r="B1805" s="2840">
        <v>87050</v>
      </c>
      <c r="C1805" s="2840">
        <v>87100</v>
      </c>
      <c r="D1805" s="2841">
        <f t="shared" si="144"/>
        <v>15188</v>
      </c>
      <c r="E1805" s="2841">
        <f t="shared" si="145"/>
        <v>11036</v>
      </c>
      <c r="F1805" s="2841">
        <f t="shared" si="146"/>
        <v>15188</v>
      </c>
      <c r="G1805" s="2841">
        <f t="shared" si="147"/>
        <v>13796</v>
      </c>
    </row>
    <row r="1806" spans="1:7" ht="15.75">
      <c r="A1806" s="3022">
        <f t="shared" si="148"/>
        <v>87125</v>
      </c>
      <c r="B1806" s="2840">
        <v>87100</v>
      </c>
      <c r="C1806" s="2840">
        <v>87150</v>
      </c>
      <c r="D1806" s="2841">
        <f t="shared" si="144"/>
        <v>15200</v>
      </c>
      <c r="E1806" s="2841">
        <f t="shared" si="145"/>
        <v>11047</v>
      </c>
      <c r="F1806" s="2841">
        <f t="shared" si="146"/>
        <v>15200</v>
      </c>
      <c r="G1806" s="2841">
        <f t="shared" si="147"/>
        <v>13808</v>
      </c>
    </row>
    <row r="1807" spans="1:7" ht="15.75">
      <c r="A1807" s="3022">
        <f t="shared" si="148"/>
        <v>87175</v>
      </c>
      <c r="B1807" s="2840">
        <v>87150</v>
      </c>
      <c r="C1807" s="2840">
        <v>87200</v>
      </c>
      <c r="D1807" s="2841">
        <f t="shared" si="144"/>
        <v>15212</v>
      </c>
      <c r="E1807" s="2841">
        <f t="shared" si="145"/>
        <v>11058</v>
      </c>
      <c r="F1807" s="2841">
        <f t="shared" si="146"/>
        <v>15212</v>
      </c>
      <c r="G1807" s="2841">
        <f t="shared" si="147"/>
        <v>13820</v>
      </c>
    </row>
    <row r="1808" spans="1:7" ht="15.75">
      <c r="A1808" s="3022">
        <f t="shared" si="148"/>
        <v>87225</v>
      </c>
      <c r="B1808" s="2840">
        <v>87200</v>
      </c>
      <c r="C1808" s="2840">
        <v>87250</v>
      </c>
      <c r="D1808" s="2841">
        <f t="shared" si="144"/>
        <v>15224</v>
      </c>
      <c r="E1808" s="2841">
        <f t="shared" si="145"/>
        <v>11069</v>
      </c>
      <c r="F1808" s="2841">
        <f t="shared" si="146"/>
        <v>15224</v>
      </c>
      <c r="G1808" s="2841">
        <f t="shared" si="147"/>
        <v>13832</v>
      </c>
    </row>
    <row r="1809" spans="1:7" ht="15.75">
      <c r="A1809" s="3022">
        <f t="shared" si="148"/>
        <v>87275</v>
      </c>
      <c r="B1809" s="2840">
        <v>87250</v>
      </c>
      <c r="C1809" s="2840">
        <v>87300</v>
      </c>
      <c r="D1809" s="2841">
        <f t="shared" si="144"/>
        <v>15236</v>
      </c>
      <c r="E1809" s="2841">
        <f t="shared" si="145"/>
        <v>11080</v>
      </c>
      <c r="F1809" s="2841">
        <f t="shared" si="146"/>
        <v>15236</v>
      </c>
      <c r="G1809" s="2841">
        <f t="shared" si="147"/>
        <v>13844</v>
      </c>
    </row>
    <row r="1810" spans="1:7" ht="15.75">
      <c r="A1810" s="3022">
        <f t="shared" si="148"/>
        <v>87325</v>
      </c>
      <c r="B1810" s="2840">
        <v>87300</v>
      </c>
      <c r="C1810" s="2840">
        <v>87350</v>
      </c>
      <c r="D1810" s="2841">
        <f t="shared" si="144"/>
        <v>15248</v>
      </c>
      <c r="E1810" s="2841">
        <f t="shared" si="145"/>
        <v>11091</v>
      </c>
      <c r="F1810" s="2841">
        <f t="shared" si="146"/>
        <v>15248</v>
      </c>
      <c r="G1810" s="2841">
        <f t="shared" si="147"/>
        <v>13856</v>
      </c>
    </row>
    <row r="1811" spans="1:7" ht="15.75">
      <c r="A1811" s="3022">
        <f t="shared" si="148"/>
        <v>87375</v>
      </c>
      <c r="B1811" s="2840">
        <v>87350</v>
      </c>
      <c r="C1811" s="2840">
        <v>87400</v>
      </c>
      <c r="D1811" s="2841">
        <f t="shared" si="144"/>
        <v>15260</v>
      </c>
      <c r="E1811" s="2841">
        <f t="shared" si="145"/>
        <v>11102</v>
      </c>
      <c r="F1811" s="2841">
        <f t="shared" si="146"/>
        <v>15260</v>
      </c>
      <c r="G1811" s="2841">
        <f t="shared" si="147"/>
        <v>13868</v>
      </c>
    </row>
    <row r="1812" spans="1:7" ht="15.75">
      <c r="A1812" s="3022">
        <f t="shared" si="148"/>
        <v>87425</v>
      </c>
      <c r="B1812" s="2840">
        <v>87400</v>
      </c>
      <c r="C1812" s="2840">
        <v>87450</v>
      </c>
      <c r="D1812" s="2841">
        <f t="shared" si="144"/>
        <v>15272</v>
      </c>
      <c r="E1812" s="2841">
        <f t="shared" si="145"/>
        <v>11113</v>
      </c>
      <c r="F1812" s="2841">
        <f t="shared" si="146"/>
        <v>15272</v>
      </c>
      <c r="G1812" s="2841">
        <f t="shared" si="147"/>
        <v>13880</v>
      </c>
    </row>
    <row r="1813" spans="1:7" ht="15.75">
      <c r="A1813" s="3022">
        <f t="shared" si="148"/>
        <v>87475</v>
      </c>
      <c r="B1813" s="2840">
        <v>87450</v>
      </c>
      <c r="C1813" s="2840">
        <v>87500</v>
      </c>
      <c r="D1813" s="2841">
        <f t="shared" si="144"/>
        <v>15284</v>
      </c>
      <c r="E1813" s="2841">
        <f t="shared" si="145"/>
        <v>11124</v>
      </c>
      <c r="F1813" s="2841">
        <f t="shared" si="146"/>
        <v>15284</v>
      </c>
      <c r="G1813" s="2841">
        <f t="shared" si="147"/>
        <v>13892</v>
      </c>
    </row>
    <row r="1814" spans="1:7" ht="15.75">
      <c r="A1814" s="3022">
        <f t="shared" si="148"/>
        <v>87525</v>
      </c>
      <c r="B1814" s="2840">
        <v>87500</v>
      </c>
      <c r="C1814" s="2840">
        <v>87550</v>
      </c>
      <c r="D1814" s="2841">
        <f t="shared" si="144"/>
        <v>15296</v>
      </c>
      <c r="E1814" s="2841">
        <f t="shared" si="145"/>
        <v>11135</v>
      </c>
      <c r="F1814" s="2841">
        <f t="shared" si="146"/>
        <v>15296</v>
      </c>
      <c r="G1814" s="2841">
        <f t="shared" si="147"/>
        <v>13904</v>
      </c>
    </row>
    <row r="1815" spans="1:7" ht="15.75">
      <c r="A1815" s="3022">
        <f t="shared" si="148"/>
        <v>87575</v>
      </c>
      <c r="B1815" s="2840">
        <v>87550</v>
      </c>
      <c r="C1815" s="2840">
        <v>87600</v>
      </c>
      <c r="D1815" s="2841">
        <f t="shared" si="144"/>
        <v>15308</v>
      </c>
      <c r="E1815" s="2841">
        <f t="shared" si="145"/>
        <v>11146</v>
      </c>
      <c r="F1815" s="2841">
        <f t="shared" si="146"/>
        <v>15308</v>
      </c>
      <c r="G1815" s="2841">
        <f t="shared" si="147"/>
        <v>13916</v>
      </c>
    </row>
    <row r="1816" spans="1:7" ht="15.75">
      <c r="A1816" s="3022">
        <f t="shared" si="148"/>
        <v>87625</v>
      </c>
      <c r="B1816" s="2840">
        <v>87600</v>
      </c>
      <c r="C1816" s="2840">
        <v>87650</v>
      </c>
      <c r="D1816" s="2841">
        <f t="shared" si="144"/>
        <v>15320</v>
      </c>
      <c r="E1816" s="2841">
        <f t="shared" si="145"/>
        <v>11157</v>
      </c>
      <c r="F1816" s="2841">
        <f t="shared" si="146"/>
        <v>15320</v>
      </c>
      <c r="G1816" s="2841">
        <f t="shared" si="147"/>
        <v>13928</v>
      </c>
    </row>
    <row r="1817" spans="1:7" ht="15.75">
      <c r="A1817" s="3022">
        <f t="shared" si="148"/>
        <v>87675</v>
      </c>
      <c r="B1817" s="2840">
        <v>87650</v>
      </c>
      <c r="C1817" s="2840">
        <v>87700</v>
      </c>
      <c r="D1817" s="2841">
        <f t="shared" si="144"/>
        <v>15332</v>
      </c>
      <c r="E1817" s="2841">
        <f t="shared" si="145"/>
        <v>11168</v>
      </c>
      <c r="F1817" s="2841">
        <f t="shared" si="146"/>
        <v>15332</v>
      </c>
      <c r="G1817" s="2841">
        <f t="shared" si="147"/>
        <v>13940</v>
      </c>
    </row>
    <row r="1818" spans="1:7" ht="15.75">
      <c r="A1818" s="3022">
        <f t="shared" si="148"/>
        <v>87725</v>
      </c>
      <c r="B1818" s="2840">
        <v>87700</v>
      </c>
      <c r="C1818" s="2840">
        <v>87750</v>
      </c>
      <c r="D1818" s="2841">
        <f t="shared" si="144"/>
        <v>15344</v>
      </c>
      <c r="E1818" s="2841">
        <f t="shared" si="145"/>
        <v>11179</v>
      </c>
      <c r="F1818" s="2841">
        <f t="shared" si="146"/>
        <v>15344</v>
      </c>
      <c r="G1818" s="2841">
        <f t="shared" si="147"/>
        <v>13952</v>
      </c>
    </row>
    <row r="1819" spans="1:7" ht="15.75">
      <c r="A1819" s="3022">
        <f t="shared" si="148"/>
        <v>87775</v>
      </c>
      <c r="B1819" s="2840">
        <v>87750</v>
      </c>
      <c r="C1819" s="2840">
        <v>87800</v>
      </c>
      <c r="D1819" s="2841">
        <f t="shared" si="144"/>
        <v>15356</v>
      </c>
      <c r="E1819" s="2841">
        <f t="shared" si="145"/>
        <v>11190</v>
      </c>
      <c r="F1819" s="2841">
        <f t="shared" si="146"/>
        <v>15356</v>
      </c>
      <c r="G1819" s="2841">
        <f t="shared" si="147"/>
        <v>13964</v>
      </c>
    </row>
    <row r="1820" spans="1:7" ht="15.75">
      <c r="A1820" s="3022">
        <f t="shared" si="148"/>
        <v>87825</v>
      </c>
      <c r="B1820" s="2840">
        <v>87800</v>
      </c>
      <c r="C1820" s="2840">
        <v>87850</v>
      </c>
      <c r="D1820" s="2841">
        <f t="shared" si="144"/>
        <v>15368</v>
      </c>
      <c r="E1820" s="2841">
        <f t="shared" si="145"/>
        <v>11201</v>
      </c>
      <c r="F1820" s="2841">
        <f t="shared" si="146"/>
        <v>15368</v>
      </c>
      <c r="G1820" s="2841">
        <f t="shared" si="147"/>
        <v>13976</v>
      </c>
    </row>
    <row r="1821" spans="1:7" ht="15.75">
      <c r="A1821" s="3022">
        <f t="shared" si="148"/>
        <v>87875</v>
      </c>
      <c r="B1821" s="2840">
        <v>87850</v>
      </c>
      <c r="C1821" s="2840">
        <v>87900</v>
      </c>
      <c r="D1821" s="2841">
        <f t="shared" si="144"/>
        <v>15380</v>
      </c>
      <c r="E1821" s="2841">
        <f t="shared" si="145"/>
        <v>11212</v>
      </c>
      <c r="F1821" s="2841">
        <f t="shared" si="146"/>
        <v>15380</v>
      </c>
      <c r="G1821" s="2841">
        <f t="shared" si="147"/>
        <v>13988</v>
      </c>
    </row>
    <row r="1822" spans="1:7" ht="15.75">
      <c r="A1822" s="3022">
        <f t="shared" si="148"/>
        <v>87925</v>
      </c>
      <c r="B1822" s="2840">
        <v>87900</v>
      </c>
      <c r="C1822" s="2840">
        <v>87950</v>
      </c>
      <c r="D1822" s="2841">
        <f t="shared" si="144"/>
        <v>15392</v>
      </c>
      <c r="E1822" s="2841">
        <f t="shared" si="145"/>
        <v>11223</v>
      </c>
      <c r="F1822" s="2841">
        <f t="shared" si="146"/>
        <v>15392</v>
      </c>
      <c r="G1822" s="2841">
        <f t="shared" si="147"/>
        <v>14000</v>
      </c>
    </row>
    <row r="1823" spans="1:7" ht="15.75">
      <c r="A1823" s="3022">
        <f t="shared" si="148"/>
        <v>87975</v>
      </c>
      <c r="B1823" s="2840">
        <v>87950</v>
      </c>
      <c r="C1823" s="2840">
        <v>88000</v>
      </c>
      <c r="D1823" s="2841">
        <f t="shared" si="144"/>
        <v>15404</v>
      </c>
      <c r="E1823" s="2841">
        <f t="shared" si="145"/>
        <v>11234</v>
      </c>
      <c r="F1823" s="2841">
        <f t="shared" si="146"/>
        <v>15404</v>
      </c>
      <c r="G1823" s="2841">
        <f t="shared" si="147"/>
        <v>14012</v>
      </c>
    </row>
    <row r="1824" spans="1:7" ht="15.75">
      <c r="A1824" s="3022">
        <f t="shared" si="148"/>
        <v>88025</v>
      </c>
      <c r="B1824" s="2840">
        <v>88000</v>
      </c>
      <c r="C1824" s="2840">
        <v>88050</v>
      </c>
      <c r="D1824" s="2841">
        <f t="shared" si="144"/>
        <v>15416</v>
      </c>
      <c r="E1824" s="2841">
        <f t="shared" si="145"/>
        <v>11245</v>
      </c>
      <c r="F1824" s="2841">
        <f t="shared" si="146"/>
        <v>15416</v>
      </c>
      <c r="G1824" s="2841">
        <f t="shared" si="147"/>
        <v>14024</v>
      </c>
    </row>
    <row r="1825" spans="1:7" ht="15.75">
      <c r="A1825" s="3022">
        <f t="shared" si="148"/>
        <v>88075</v>
      </c>
      <c r="B1825" s="2840">
        <v>88050</v>
      </c>
      <c r="C1825" s="2840">
        <v>88100</v>
      </c>
      <c r="D1825" s="2841">
        <f t="shared" si="144"/>
        <v>15428</v>
      </c>
      <c r="E1825" s="2841">
        <f t="shared" si="145"/>
        <v>11256</v>
      </c>
      <c r="F1825" s="2841">
        <f t="shared" si="146"/>
        <v>15428</v>
      </c>
      <c r="G1825" s="2841">
        <f t="shared" si="147"/>
        <v>14036</v>
      </c>
    </row>
    <row r="1826" spans="1:7" ht="15.75">
      <c r="A1826" s="3022">
        <f t="shared" si="148"/>
        <v>88125</v>
      </c>
      <c r="B1826" s="2840">
        <v>88100</v>
      </c>
      <c r="C1826" s="2840">
        <v>88150</v>
      </c>
      <c r="D1826" s="2841">
        <f t="shared" si="144"/>
        <v>15440</v>
      </c>
      <c r="E1826" s="2841">
        <f t="shared" si="145"/>
        <v>11267</v>
      </c>
      <c r="F1826" s="2841">
        <f t="shared" si="146"/>
        <v>15440</v>
      </c>
      <c r="G1826" s="2841">
        <f t="shared" si="147"/>
        <v>14048</v>
      </c>
    </row>
    <row r="1827" spans="1:7" ht="15.75">
      <c r="A1827" s="3022">
        <f t="shared" si="148"/>
        <v>88175</v>
      </c>
      <c r="B1827" s="2840">
        <v>88150</v>
      </c>
      <c r="C1827" s="2840">
        <v>88200</v>
      </c>
      <c r="D1827" s="2841">
        <f t="shared" si="144"/>
        <v>15452</v>
      </c>
      <c r="E1827" s="2841">
        <f t="shared" si="145"/>
        <v>11278</v>
      </c>
      <c r="F1827" s="2841">
        <f t="shared" si="146"/>
        <v>15452</v>
      </c>
      <c r="G1827" s="2841">
        <f t="shared" si="147"/>
        <v>14060</v>
      </c>
    </row>
    <row r="1828" spans="1:7" ht="15.75">
      <c r="A1828" s="3022">
        <f t="shared" si="148"/>
        <v>88225</v>
      </c>
      <c r="B1828" s="2840">
        <v>88200</v>
      </c>
      <c r="C1828" s="2840">
        <v>88250</v>
      </c>
      <c r="D1828" s="2841">
        <f t="shared" si="144"/>
        <v>15464</v>
      </c>
      <c r="E1828" s="2841">
        <f t="shared" si="145"/>
        <v>11289</v>
      </c>
      <c r="F1828" s="2841">
        <f t="shared" si="146"/>
        <v>15464</v>
      </c>
      <c r="G1828" s="2841">
        <f t="shared" si="147"/>
        <v>14072</v>
      </c>
    </row>
    <row r="1829" spans="1:7" ht="15.75">
      <c r="A1829" s="3022">
        <f t="shared" si="148"/>
        <v>88275</v>
      </c>
      <c r="B1829" s="2840">
        <v>88250</v>
      </c>
      <c r="C1829" s="2840">
        <v>88300</v>
      </c>
      <c r="D1829" s="2841">
        <f t="shared" si="144"/>
        <v>15476</v>
      </c>
      <c r="E1829" s="2841">
        <f t="shared" si="145"/>
        <v>11300</v>
      </c>
      <c r="F1829" s="2841">
        <f t="shared" si="146"/>
        <v>15476</v>
      </c>
      <c r="G1829" s="2841">
        <f t="shared" si="147"/>
        <v>14084</v>
      </c>
    </row>
    <row r="1830" spans="1:7" ht="15.75">
      <c r="A1830" s="3022">
        <f t="shared" si="148"/>
        <v>88325</v>
      </c>
      <c r="B1830" s="2840">
        <v>88300</v>
      </c>
      <c r="C1830" s="2840">
        <v>88350</v>
      </c>
      <c r="D1830" s="2841">
        <f t="shared" si="144"/>
        <v>15488</v>
      </c>
      <c r="E1830" s="2841">
        <f t="shared" si="145"/>
        <v>11311</v>
      </c>
      <c r="F1830" s="2841">
        <f t="shared" si="146"/>
        <v>15488</v>
      </c>
      <c r="G1830" s="2841">
        <f t="shared" si="147"/>
        <v>14096</v>
      </c>
    </row>
    <row r="1831" spans="1:7" ht="15.75">
      <c r="A1831" s="3022">
        <f t="shared" si="148"/>
        <v>88375</v>
      </c>
      <c r="B1831" s="2840">
        <v>88350</v>
      </c>
      <c r="C1831" s="2840">
        <v>88400</v>
      </c>
      <c r="D1831" s="2841">
        <f t="shared" si="144"/>
        <v>15500</v>
      </c>
      <c r="E1831" s="2841">
        <f t="shared" si="145"/>
        <v>11322</v>
      </c>
      <c r="F1831" s="2841">
        <f t="shared" si="146"/>
        <v>15500</v>
      </c>
      <c r="G1831" s="2841">
        <f t="shared" si="147"/>
        <v>14108</v>
      </c>
    </row>
    <row r="1832" spans="1:7" ht="15.75">
      <c r="A1832" s="3022">
        <f t="shared" si="148"/>
        <v>88425</v>
      </c>
      <c r="B1832" s="2840">
        <v>88400</v>
      </c>
      <c r="C1832" s="2840">
        <v>88450</v>
      </c>
      <c r="D1832" s="2841">
        <f t="shared" si="144"/>
        <v>15512</v>
      </c>
      <c r="E1832" s="2841">
        <f t="shared" si="145"/>
        <v>11333</v>
      </c>
      <c r="F1832" s="2841">
        <f t="shared" si="146"/>
        <v>15512</v>
      </c>
      <c r="G1832" s="2841">
        <f t="shared" si="147"/>
        <v>14120</v>
      </c>
    </row>
    <row r="1833" spans="1:7" ht="15.75">
      <c r="A1833" s="3022">
        <f t="shared" si="148"/>
        <v>88475</v>
      </c>
      <c r="B1833" s="2840">
        <v>88450</v>
      </c>
      <c r="C1833" s="2840">
        <v>88500</v>
      </c>
      <c r="D1833" s="2841">
        <f t="shared" si="144"/>
        <v>15524</v>
      </c>
      <c r="E1833" s="2841">
        <f t="shared" si="145"/>
        <v>11344</v>
      </c>
      <c r="F1833" s="2841">
        <f t="shared" si="146"/>
        <v>15524</v>
      </c>
      <c r="G1833" s="2841">
        <f t="shared" si="147"/>
        <v>14132</v>
      </c>
    </row>
    <row r="1834" spans="1:7" ht="15.75">
      <c r="A1834" s="3022">
        <f t="shared" si="148"/>
        <v>88525</v>
      </c>
      <c r="B1834" s="2840">
        <v>88500</v>
      </c>
      <c r="C1834" s="2840">
        <v>88550</v>
      </c>
      <c r="D1834" s="2841">
        <f t="shared" si="144"/>
        <v>15536</v>
      </c>
      <c r="E1834" s="2841">
        <f t="shared" si="145"/>
        <v>11355</v>
      </c>
      <c r="F1834" s="2841">
        <f t="shared" si="146"/>
        <v>15536</v>
      </c>
      <c r="G1834" s="2841">
        <f t="shared" si="147"/>
        <v>14144</v>
      </c>
    </row>
    <row r="1835" spans="1:7" ht="15.75">
      <c r="A1835" s="3022">
        <f t="shared" si="148"/>
        <v>88575</v>
      </c>
      <c r="B1835" s="2840">
        <v>88550</v>
      </c>
      <c r="C1835" s="2840">
        <v>88600</v>
      </c>
      <c r="D1835" s="2841">
        <f t="shared" si="144"/>
        <v>15548</v>
      </c>
      <c r="E1835" s="2841">
        <f t="shared" si="145"/>
        <v>11366</v>
      </c>
      <c r="F1835" s="2841">
        <f t="shared" si="146"/>
        <v>15548</v>
      </c>
      <c r="G1835" s="2841">
        <f t="shared" si="147"/>
        <v>14156</v>
      </c>
    </row>
    <row r="1836" spans="1:7" ht="15.75">
      <c r="A1836" s="3022">
        <f t="shared" si="148"/>
        <v>88625</v>
      </c>
      <c r="B1836" s="2840">
        <v>88600</v>
      </c>
      <c r="C1836" s="2840">
        <v>88650</v>
      </c>
      <c r="D1836" s="2841">
        <f t="shared" si="144"/>
        <v>15560</v>
      </c>
      <c r="E1836" s="2841">
        <f t="shared" si="145"/>
        <v>11377</v>
      </c>
      <c r="F1836" s="2841">
        <f t="shared" si="146"/>
        <v>15560</v>
      </c>
      <c r="G1836" s="2841">
        <f t="shared" si="147"/>
        <v>14168</v>
      </c>
    </row>
    <row r="1837" spans="1:7" ht="15.75">
      <c r="A1837" s="3022">
        <f t="shared" si="148"/>
        <v>88675</v>
      </c>
      <c r="B1837" s="2840">
        <v>88650</v>
      </c>
      <c r="C1837" s="2840">
        <v>88700</v>
      </c>
      <c r="D1837" s="2841">
        <f t="shared" si="144"/>
        <v>15572</v>
      </c>
      <c r="E1837" s="2841">
        <f t="shared" si="145"/>
        <v>11388</v>
      </c>
      <c r="F1837" s="2841">
        <f t="shared" si="146"/>
        <v>15572</v>
      </c>
      <c r="G1837" s="2841">
        <f t="shared" si="147"/>
        <v>14180</v>
      </c>
    </row>
    <row r="1838" spans="1:7" ht="15.75">
      <c r="A1838" s="3022">
        <f t="shared" si="148"/>
        <v>88725</v>
      </c>
      <c r="B1838" s="2840">
        <v>88700</v>
      </c>
      <c r="C1838" s="2840">
        <v>88750</v>
      </c>
      <c r="D1838" s="2841">
        <f t="shared" si="144"/>
        <v>15584</v>
      </c>
      <c r="E1838" s="2841">
        <f t="shared" si="145"/>
        <v>11399</v>
      </c>
      <c r="F1838" s="2841">
        <f t="shared" si="146"/>
        <v>15584</v>
      </c>
      <c r="G1838" s="2841">
        <f t="shared" si="147"/>
        <v>14192</v>
      </c>
    </row>
    <row r="1839" spans="1:7" ht="15.75">
      <c r="A1839" s="3022">
        <f t="shared" si="148"/>
        <v>88775</v>
      </c>
      <c r="B1839" s="2840">
        <v>88750</v>
      </c>
      <c r="C1839" s="2840">
        <v>88800</v>
      </c>
      <c r="D1839" s="2841">
        <f t="shared" si="144"/>
        <v>15596</v>
      </c>
      <c r="E1839" s="2841">
        <f t="shared" si="145"/>
        <v>11410</v>
      </c>
      <c r="F1839" s="2841">
        <f t="shared" si="146"/>
        <v>15596</v>
      </c>
      <c r="G1839" s="2841">
        <f t="shared" si="147"/>
        <v>14204</v>
      </c>
    </row>
    <row r="1840" spans="1:7" ht="15.75">
      <c r="A1840" s="3022">
        <f t="shared" si="148"/>
        <v>88825</v>
      </c>
      <c r="B1840" s="2840">
        <v>88800</v>
      </c>
      <c r="C1840" s="2840">
        <v>88850</v>
      </c>
      <c r="D1840" s="2841">
        <f t="shared" si="144"/>
        <v>15608</v>
      </c>
      <c r="E1840" s="2841">
        <f t="shared" si="145"/>
        <v>11421</v>
      </c>
      <c r="F1840" s="2841">
        <f t="shared" si="146"/>
        <v>15608</v>
      </c>
      <c r="G1840" s="2841">
        <f t="shared" si="147"/>
        <v>14216</v>
      </c>
    </row>
    <row r="1841" spans="1:7" ht="15.75">
      <c r="A1841" s="3022">
        <f t="shared" si="148"/>
        <v>88875</v>
      </c>
      <c r="B1841" s="2840">
        <v>88850</v>
      </c>
      <c r="C1841" s="2840">
        <v>88900</v>
      </c>
      <c r="D1841" s="2841">
        <f t="shared" si="144"/>
        <v>15620</v>
      </c>
      <c r="E1841" s="2841">
        <f t="shared" si="145"/>
        <v>11432</v>
      </c>
      <c r="F1841" s="2841">
        <f t="shared" si="146"/>
        <v>15620</v>
      </c>
      <c r="G1841" s="2841">
        <f t="shared" si="147"/>
        <v>14228</v>
      </c>
    </row>
    <row r="1842" spans="1:7" ht="15.75">
      <c r="A1842" s="3022">
        <f t="shared" si="148"/>
        <v>88925</v>
      </c>
      <c r="B1842" s="2840">
        <v>88900</v>
      </c>
      <c r="C1842" s="2840">
        <v>88950</v>
      </c>
      <c r="D1842" s="2841">
        <f t="shared" si="144"/>
        <v>15632</v>
      </c>
      <c r="E1842" s="2841">
        <f t="shared" si="145"/>
        <v>11443</v>
      </c>
      <c r="F1842" s="2841">
        <f t="shared" si="146"/>
        <v>15632</v>
      </c>
      <c r="G1842" s="2841">
        <f t="shared" si="147"/>
        <v>14240</v>
      </c>
    </row>
    <row r="1843" spans="1:7" ht="15.75">
      <c r="A1843" s="3022">
        <f t="shared" si="148"/>
        <v>88975</v>
      </c>
      <c r="B1843" s="2840">
        <v>88950</v>
      </c>
      <c r="C1843" s="2840">
        <v>89000</v>
      </c>
      <c r="D1843" s="2841">
        <f t="shared" si="144"/>
        <v>15644</v>
      </c>
      <c r="E1843" s="2841">
        <f t="shared" si="145"/>
        <v>11454</v>
      </c>
      <c r="F1843" s="2841">
        <f t="shared" si="146"/>
        <v>15644</v>
      </c>
      <c r="G1843" s="2841">
        <f t="shared" si="147"/>
        <v>14252</v>
      </c>
    </row>
    <row r="1844" spans="1:7" ht="15.75">
      <c r="A1844" s="3022">
        <f t="shared" si="148"/>
        <v>89025</v>
      </c>
      <c r="B1844" s="2840">
        <v>89000</v>
      </c>
      <c r="C1844" s="2840">
        <v>89050</v>
      </c>
      <c r="D1844" s="2841">
        <f t="shared" si="144"/>
        <v>15656</v>
      </c>
      <c r="E1844" s="2841">
        <f t="shared" si="145"/>
        <v>11465</v>
      </c>
      <c r="F1844" s="2841">
        <f t="shared" si="146"/>
        <v>15656</v>
      </c>
      <c r="G1844" s="2841">
        <f t="shared" si="147"/>
        <v>14264</v>
      </c>
    </row>
    <row r="1845" spans="1:7" ht="15.75">
      <c r="A1845" s="3022">
        <f t="shared" si="148"/>
        <v>89075</v>
      </c>
      <c r="B1845" s="2840">
        <v>89050</v>
      </c>
      <c r="C1845" s="2840">
        <v>89100</v>
      </c>
      <c r="D1845" s="2841">
        <f t="shared" si="144"/>
        <v>15668</v>
      </c>
      <c r="E1845" s="2841">
        <f t="shared" si="145"/>
        <v>11476</v>
      </c>
      <c r="F1845" s="2841">
        <f t="shared" si="146"/>
        <v>15668</v>
      </c>
      <c r="G1845" s="2841">
        <f t="shared" si="147"/>
        <v>14276</v>
      </c>
    </row>
    <row r="1846" spans="1:7" ht="15.75">
      <c r="A1846" s="3022">
        <f t="shared" si="148"/>
        <v>89125</v>
      </c>
      <c r="B1846" s="2840">
        <v>89100</v>
      </c>
      <c r="C1846" s="2840">
        <v>89150</v>
      </c>
      <c r="D1846" s="2841">
        <f t="shared" si="144"/>
        <v>15680</v>
      </c>
      <c r="E1846" s="2841">
        <f t="shared" si="145"/>
        <v>11487</v>
      </c>
      <c r="F1846" s="2841">
        <f t="shared" si="146"/>
        <v>15680</v>
      </c>
      <c r="G1846" s="2841">
        <f t="shared" si="147"/>
        <v>14288</v>
      </c>
    </row>
    <row r="1847" spans="1:7" ht="15.75">
      <c r="A1847" s="3022">
        <f t="shared" si="148"/>
        <v>89175</v>
      </c>
      <c r="B1847" s="2840">
        <v>89150</v>
      </c>
      <c r="C1847" s="2840">
        <v>89200</v>
      </c>
      <c r="D1847" s="2841">
        <f t="shared" si="144"/>
        <v>15692</v>
      </c>
      <c r="E1847" s="2841">
        <f t="shared" si="145"/>
        <v>11498</v>
      </c>
      <c r="F1847" s="2841">
        <f t="shared" si="146"/>
        <v>15692</v>
      </c>
      <c r="G1847" s="2841">
        <f t="shared" si="147"/>
        <v>14300</v>
      </c>
    </row>
    <row r="1848" spans="1:7" ht="15.75">
      <c r="A1848" s="3022">
        <f t="shared" si="148"/>
        <v>89225</v>
      </c>
      <c r="B1848" s="2840">
        <v>89200</v>
      </c>
      <c r="C1848" s="2840">
        <v>89250</v>
      </c>
      <c r="D1848" s="2841">
        <f t="shared" si="144"/>
        <v>15704</v>
      </c>
      <c r="E1848" s="2841">
        <f t="shared" si="145"/>
        <v>11509</v>
      </c>
      <c r="F1848" s="2841">
        <f t="shared" si="146"/>
        <v>15704</v>
      </c>
      <c r="G1848" s="2841">
        <f t="shared" si="147"/>
        <v>14312</v>
      </c>
    </row>
    <row r="1849" spans="1:7" ht="15.75">
      <c r="A1849" s="3022">
        <f t="shared" si="148"/>
        <v>89275</v>
      </c>
      <c r="B1849" s="2840">
        <v>89250</v>
      </c>
      <c r="C1849" s="2840">
        <v>89300</v>
      </c>
      <c r="D1849" s="2841">
        <f t="shared" si="144"/>
        <v>15716</v>
      </c>
      <c r="E1849" s="2841">
        <f t="shared" si="145"/>
        <v>11520</v>
      </c>
      <c r="F1849" s="2841">
        <f t="shared" si="146"/>
        <v>15716</v>
      </c>
      <c r="G1849" s="2841">
        <f t="shared" si="147"/>
        <v>14324</v>
      </c>
    </row>
    <row r="1850" spans="1:7" ht="15.75">
      <c r="A1850" s="3022">
        <f t="shared" si="148"/>
        <v>89325</v>
      </c>
      <c r="B1850" s="2840">
        <v>89300</v>
      </c>
      <c r="C1850" s="2840">
        <v>89350</v>
      </c>
      <c r="D1850" s="2841">
        <f t="shared" si="144"/>
        <v>15728</v>
      </c>
      <c r="E1850" s="2841">
        <f t="shared" si="145"/>
        <v>11531</v>
      </c>
      <c r="F1850" s="2841">
        <f t="shared" si="146"/>
        <v>15728</v>
      </c>
      <c r="G1850" s="2841">
        <f t="shared" si="147"/>
        <v>14336</v>
      </c>
    </row>
    <row r="1851" spans="1:7" ht="15.75">
      <c r="A1851" s="3022">
        <f t="shared" si="148"/>
        <v>89375</v>
      </c>
      <c r="B1851" s="2840">
        <v>89350</v>
      </c>
      <c r="C1851" s="2840">
        <v>89400</v>
      </c>
      <c r="D1851" s="2841">
        <f t="shared" si="144"/>
        <v>15740</v>
      </c>
      <c r="E1851" s="2841">
        <f t="shared" si="145"/>
        <v>11542</v>
      </c>
      <c r="F1851" s="2841">
        <f t="shared" si="146"/>
        <v>15740</v>
      </c>
      <c r="G1851" s="2841">
        <f t="shared" si="147"/>
        <v>14348</v>
      </c>
    </row>
    <row r="1852" spans="1:7" ht="15.75">
      <c r="A1852" s="3022">
        <f t="shared" si="148"/>
        <v>89425</v>
      </c>
      <c r="B1852" s="2840">
        <v>89400</v>
      </c>
      <c r="C1852" s="2840">
        <v>89450</v>
      </c>
      <c r="D1852" s="2841">
        <f t="shared" si="144"/>
        <v>15752</v>
      </c>
      <c r="E1852" s="2841">
        <f t="shared" si="145"/>
        <v>11553</v>
      </c>
      <c r="F1852" s="2841">
        <f t="shared" si="146"/>
        <v>15752</v>
      </c>
      <c r="G1852" s="2841">
        <f t="shared" si="147"/>
        <v>14360</v>
      </c>
    </row>
    <row r="1853" spans="1:7" ht="15.75">
      <c r="A1853" s="3022">
        <f t="shared" si="148"/>
        <v>89475</v>
      </c>
      <c r="B1853" s="2840">
        <v>89450</v>
      </c>
      <c r="C1853" s="2840">
        <v>89500</v>
      </c>
      <c r="D1853" s="2841">
        <f t="shared" si="144"/>
        <v>15764</v>
      </c>
      <c r="E1853" s="2841">
        <f t="shared" si="145"/>
        <v>11564</v>
      </c>
      <c r="F1853" s="2841">
        <f t="shared" si="146"/>
        <v>15764</v>
      </c>
      <c r="G1853" s="2841">
        <f t="shared" si="147"/>
        <v>14372</v>
      </c>
    </row>
    <row r="1854" spans="1:7" ht="15.75">
      <c r="A1854" s="3022">
        <f t="shared" si="148"/>
        <v>89525</v>
      </c>
      <c r="B1854" s="2840">
        <v>89500</v>
      </c>
      <c r="C1854" s="2840">
        <v>89550</v>
      </c>
      <c r="D1854" s="2841">
        <f t="shared" si="144"/>
        <v>15776</v>
      </c>
      <c r="E1854" s="2841">
        <f t="shared" si="145"/>
        <v>11575</v>
      </c>
      <c r="F1854" s="2841">
        <f t="shared" si="146"/>
        <v>15776</v>
      </c>
      <c r="G1854" s="2841">
        <f t="shared" si="147"/>
        <v>14384</v>
      </c>
    </row>
    <row r="1855" spans="1:7" ht="15.75">
      <c r="A1855" s="3022">
        <f t="shared" si="148"/>
        <v>89575</v>
      </c>
      <c r="B1855" s="2840">
        <v>89550</v>
      </c>
      <c r="C1855" s="2840">
        <v>89600</v>
      </c>
      <c r="D1855" s="2841">
        <f t="shared" si="144"/>
        <v>15788</v>
      </c>
      <c r="E1855" s="2841">
        <f t="shared" si="145"/>
        <v>11586</v>
      </c>
      <c r="F1855" s="2841">
        <f t="shared" si="146"/>
        <v>15788</v>
      </c>
      <c r="G1855" s="2841">
        <f t="shared" si="147"/>
        <v>14396</v>
      </c>
    </row>
    <row r="1856" spans="1:7" ht="15.75">
      <c r="A1856" s="3022">
        <f t="shared" si="148"/>
        <v>89625</v>
      </c>
      <c r="B1856" s="2840">
        <v>89600</v>
      </c>
      <c r="C1856" s="2840">
        <v>89650</v>
      </c>
      <c r="D1856" s="2841">
        <f t="shared" si="144"/>
        <v>15800</v>
      </c>
      <c r="E1856" s="2841">
        <f t="shared" si="145"/>
        <v>11597</v>
      </c>
      <c r="F1856" s="2841">
        <f t="shared" si="146"/>
        <v>15800</v>
      </c>
      <c r="G1856" s="2841">
        <f t="shared" si="147"/>
        <v>14408</v>
      </c>
    </row>
    <row r="1857" spans="1:7" ht="15.75">
      <c r="A1857" s="3022">
        <f t="shared" si="148"/>
        <v>89675</v>
      </c>
      <c r="B1857" s="2840">
        <v>89650</v>
      </c>
      <c r="C1857" s="2840">
        <v>89700</v>
      </c>
      <c r="D1857" s="2841">
        <f t="shared" si="144"/>
        <v>15812</v>
      </c>
      <c r="E1857" s="2841">
        <f t="shared" si="145"/>
        <v>11608</v>
      </c>
      <c r="F1857" s="2841">
        <f t="shared" si="146"/>
        <v>15812</v>
      </c>
      <c r="G1857" s="2841">
        <f t="shared" si="147"/>
        <v>14420</v>
      </c>
    </row>
    <row r="1858" spans="1:7" ht="15.75">
      <c r="A1858" s="3022">
        <f t="shared" si="148"/>
        <v>89725</v>
      </c>
      <c r="B1858" s="2840">
        <v>89700</v>
      </c>
      <c r="C1858" s="2840">
        <v>89750</v>
      </c>
      <c r="D1858" s="2841">
        <f t="shared" ref="D1858:D1921" si="149">IF($A1858&gt;BOTT_A4,ROUND(BASE_A4+RATE_A4*($A1858-BOTT_A4),0),IF($A1858&gt;BOTT_A3,ROUND(BASE_A3+RATE_A3*($A1858-BOTT_A3),0),IF($A1858&gt;BOTT_A2,ROUND(BASE_A2+RATE_A2*($A1858-BOTT_A2),0),ROUND(RATE_A1*$A1858,0))))</f>
        <v>15824</v>
      </c>
      <c r="E1858" s="2841">
        <f t="shared" ref="E1858:E1921" si="150">IF($A1858&gt;BOTT_B4,ROUND(BASE_B4+RATE_B4*($A1858-BOTT_B4),0),IF($A1858&gt;BOTT_B3,ROUND(BASE_B3+RATE_B3*($A1858-BOTT_B3),0),IF($A1858&gt;BOTT_B2,ROUND(BASE_B2+RATE_B2*($A1858-BOTT_B2),0),ROUND(RATE_B1*$A1858,0))))</f>
        <v>11619</v>
      </c>
      <c r="F1858" s="2841">
        <f t="shared" ref="F1858:F1921" si="151">IF($A1858&gt;BOTT_C4,ROUND(BASE_C4+RATE_C4*($A1858-BOTT_C4),0),IF($A1858&gt;BOTT_C3,ROUND(BASE_C3+RATE_C3*($A1858-BOTT_C3),0),IF($A1858&gt;BOTT_C2,ROUND(BASE_C2+RATE_C2*($A1858-BOTT_C2),0),ROUND(RATE_C1*$A1858,0))))</f>
        <v>15824</v>
      </c>
      <c r="G1858" s="2841">
        <f t="shared" ref="G1858:G1921" si="152">IF($A1858&gt;BOTT_D4,ROUND(BASE_D4+RATE_D4*($A1858-BOTT_D4),0),IF($A1858&gt;BOTT_D3,ROUND(BASE_D3+RATE_D3*($A1858-BOTT_D3),0),IF($A1858&gt;BOTT_D2,ROUND(BASE_D2+RATE_D2*($A1858-BOTT_D2),0),ROUND(RATE_D1*$A1858,0))))</f>
        <v>14432</v>
      </c>
    </row>
    <row r="1859" spans="1:7" ht="15.75">
      <c r="A1859" s="3022">
        <f t="shared" ref="A1859:A1922" si="153">AVERAGE(B1859,C1859)</f>
        <v>89775</v>
      </c>
      <c r="B1859" s="2840">
        <v>89750</v>
      </c>
      <c r="C1859" s="2840">
        <v>89800</v>
      </c>
      <c r="D1859" s="2841">
        <f t="shared" si="149"/>
        <v>15836</v>
      </c>
      <c r="E1859" s="2841">
        <f t="shared" si="150"/>
        <v>11630</v>
      </c>
      <c r="F1859" s="2841">
        <f t="shared" si="151"/>
        <v>15836</v>
      </c>
      <c r="G1859" s="2841">
        <f t="shared" si="152"/>
        <v>14444</v>
      </c>
    </row>
    <row r="1860" spans="1:7" ht="15.75">
      <c r="A1860" s="3022">
        <f t="shared" si="153"/>
        <v>89825</v>
      </c>
      <c r="B1860" s="2840">
        <v>89800</v>
      </c>
      <c r="C1860" s="2840">
        <v>89850</v>
      </c>
      <c r="D1860" s="2841">
        <f t="shared" si="149"/>
        <v>15848</v>
      </c>
      <c r="E1860" s="2841">
        <f t="shared" si="150"/>
        <v>11641</v>
      </c>
      <c r="F1860" s="2841">
        <f t="shared" si="151"/>
        <v>15848</v>
      </c>
      <c r="G1860" s="2841">
        <f t="shared" si="152"/>
        <v>14456</v>
      </c>
    </row>
    <row r="1861" spans="1:7" ht="15.75">
      <c r="A1861" s="3022">
        <f t="shared" si="153"/>
        <v>89875</v>
      </c>
      <c r="B1861" s="2840">
        <v>89850</v>
      </c>
      <c r="C1861" s="2840">
        <v>89900</v>
      </c>
      <c r="D1861" s="2841">
        <f t="shared" si="149"/>
        <v>15860</v>
      </c>
      <c r="E1861" s="2841">
        <f t="shared" si="150"/>
        <v>11652</v>
      </c>
      <c r="F1861" s="2841">
        <f t="shared" si="151"/>
        <v>15860</v>
      </c>
      <c r="G1861" s="2841">
        <f t="shared" si="152"/>
        <v>14468</v>
      </c>
    </row>
    <row r="1862" spans="1:7" ht="15.75">
      <c r="A1862" s="3022">
        <f t="shared" si="153"/>
        <v>89925</v>
      </c>
      <c r="B1862" s="2840">
        <v>89900</v>
      </c>
      <c r="C1862" s="2840">
        <v>89950</v>
      </c>
      <c r="D1862" s="2841">
        <f t="shared" si="149"/>
        <v>15872</v>
      </c>
      <c r="E1862" s="2841">
        <f t="shared" si="150"/>
        <v>11663</v>
      </c>
      <c r="F1862" s="2841">
        <f t="shared" si="151"/>
        <v>15872</v>
      </c>
      <c r="G1862" s="2841">
        <f t="shared" si="152"/>
        <v>14480</v>
      </c>
    </row>
    <row r="1863" spans="1:7" ht="15.75">
      <c r="A1863" s="3022">
        <f t="shared" si="153"/>
        <v>89975</v>
      </c>
      <c r="B1863" s="2840">
        <v>89950</v>
      </c>
      <c r="C1863" s="2840">
        <v>90000</v>
      </c>
      <c r="D1863" s="2841">
        <f t="shared" si="149"/>
        <v>15884</v>
      </c>
      <c r="E1863" s="2841">
        <f t="shared" si="150"/>
        <v>11674</v>
      </c>
      <c r="F1863" s="2841">
        <f t="shared" si="151"/>
        <v>15884</v>
      </c>
      <c r="G1863" s="2841">
        <f t="shared" si="152"/>
        <v>14492</v>
      </c>
    </row>
    <row r="1864" spans="1:7" ht="15.75">
      <c r="A1864" s="3022">
        <f t="shared" si="153"/>
        <v>90025</v>
      </c>
      <c r="B1864" s="2840">
        <v>90000</v>
      </c>
      <c r="C1864" s="2840">
        <v>90050</v>
      </c>
      <c r="D1864" s="2841">
        <f t="shared" si="149"/>
        <v>15896</v>
      </c>
      <c r="E1864" s="2841">
        <f t="shared" si="150"/>
        <v>11685</v>
      </c>
      <c r="F1864" s="2841">
        <f t="shared" si="151"/>
        <v>15896</v>
      </c>
      <c r="G1864" s="2841">
        <f t="shared" si="152"/>
        <v>14504</v>
      </c>
    </row>
    <row r="1865" spans="1:7" ht="15.75">
      <c r="A1865" s="3022">
        <f t="shared" si="153"/>
        <v>90075</v>
      </c>
      <c r="B1865" s="2840">
        <v>90050</v>
      </c>
      <c r="C1865" s="2840">
        <v>90100</v>
      </c>
      <c r="D1865" s="2841">
        <f t="shared" si="149"/>
        <v>15908</v>
      </c>
      <c r="E1865" s="2841">
        <f t="shared" si="150"/>
        <v>11696</v>
      </c>
      <c r="F1865" s="2841">
        <f t="shared" si="151"/>
        <v>15908</v>
      </c>
      <c r="G1865" s="2841">
        <f t="shared" si="152"/>
        <v>14516</v>
      </c>
    </row>
    <row r="1866" spans="1:7" ht="15.75">
      <c r="A1866" s="3022">
        <f t="shared" si="153"/>
        <v>90125</v>
      </c>
      <c r="B1866" s="2840">
        <v>90100</v>
      </c>
      <c r="C1866" s="2840">
        <v>90150</v>
      </c>
      <c r="D1866" s="2841">
        <f t="shared" si="149"/>
        <v>15920</v>
      </c>
      <c r="E1866" s="2841">
        <f t="shared" si="150"/>
        <v>11707</v>
      </c>
      <c r="F1866" s="2841">
        <f t="shared" si="151"/>
        <v>15920</v>
      </c>
      <c r="G1866" s="2841">
        <f t="shared" si="152"/>
        <v>14528</v>
      </c>
    </row>
    <row r="1867" spans="1:7" ht="15.75">
      <c r="A1867" s="3022">
        <f t="shared" si="153"/>
        <v>90175</v>
      </c>
      <c r="B1867" s="2840">
        <v>90150</v>
      </c>
      <c r="C1867" s="2840">
        <v>90200</v>
      </c>
      <c r="D1867" s="2841">
        <f t="shared" si="149"/>
        <v>15932</v>
      </c>
      <c r="E1867" s="2841">
        <f t="shared" si="150"/>
        <v>11718</v>
      </c>
      <c r="F1867" s="2841">
        <f t="shared" si="151"/>
        <v>15932</v>
      </c>
      <c r="G1867" s="2841">
        <f t="shared" si="152"/>
        <v>14540</v>
      </c>
    </row>
    <row r="1868" spans="1:7" ht="15.75">
      <c r="A1868" s="3022">
        <f t="shared" si="153"/>
        <v>90225</v>
      </c>
      <c r="B1868" s="2840">
        <v>90200</v>
      </c>
      <c r="C1868" s="2840">
        <v>90250</v>
      </c>
      <c r="D1868" s="2841">
        <f t="shared" si="149"/>
        <v>15944</v>
      </c>
      <c r="E1868" s="2841">
        <f t="shared" si="150"/>
        <v>11729</v>
      </c>
      <c r="F1868" s="2841">
        <f t="shared" si="151"/>
        <v>15944</v>
      </c>
      <c r="G1868" s="2841">
        <f t="shared" si="152"/>
        <v>14552</v>
      </c>
    </row>
    <row r="1869" spans="1:7" ht="15.75">
      <c r="A1869" s="3022">
        <f t="shared" si="153"/>
        <v>90275</v>
      </c>
      <c r="B1869" s="2840">
        <v>90250</v>
      </c>
      <c r="C1869" s="2840">
        <v>90300</v>
      </c>
      <c r="D1869" s="2841">
        <f t="shared" si="149"/>
        <v>15956</v>
      </c>
      <c r="E1869" s="2841">
        <f t="shared" si="150"/>
        <v>11740</v>
      </c>
      <c r="F1869" s="2841">
        <f t="shared" si="151"/>
        <v>15956</v>
      </c>
      <c r="G1869" s="2841">
        <f t="shared" si="152"/>
        <v>14564</v>
      </c>
    </row>
    <row r="1870" spans="1:7" ht="15.75">
      <c r="A1870" s="3022">
        <f t="shared" si="153"/>
        <v>90325</v>
      </c>
      <c r="B1870" s="2840">
        <v>90300</v>
      </c>
      <c r="C1870" s="2840">
        <v>90350</v>
      </c>
      <c r="D1870" s="2841">
        <f t="shared" si="149"/>
        <v>15968</v>
      </c>
      <c r="E1870" s="2841">
        <f t="shared" si="150"/>
        <v>11751</v>
      </c>
      <c r="F1870" s="2841">
        <f t="shared" si="151"/>
        <v>15968</v>
      </c>
      <c r="G1870" s="2841">
        <f t="shared" si="152"/>
        <v>14576</v>
      </c>
    </row>
    <row r="1871" spans="1:7" ht="15.75">
      <c r="A1871" s="3022">
        <f t="shared" si="153"/>
        <v>90375</v>
      </c>
      <c r="B1871" s="2840">
        <v>90350</v>
      </c>
      <c r="C1871" s="2840">
        <v>90400</v>
      </c>
      <c r="D1871" s="2841">
        <f t="shared" si="149"/>
        <v>15980</v>
      </c>
      <c r="E1871" s="2841">
        <f t="shared" si="150"/>
        <v>11762</v>
      </c>
      <c r="F1871" s="2841">
        <f t="shared" si="151"/>
        <v>15980</v>
      </c>
      <c r="G1871" s="2841">
        <f t="shared" si="152"/>
        <v>14588</v>
      </c>
    </row>
    <row r="1872" spans="1:7" ht="15.75">
      <c r="A1872" s="3022">
        <f t="shared" si="153"/>
        <v>90425</v>
      </c>
      <c r="B1872" s="2840">
        <v>90400</v>
      </c>
      <c r="C1872" s="2840">
        <v>90450</v>
      </c>
      <c r="D1872" s="2841">
        <f t="shared" si="149"/>
        <v>15992</v>
      </c>
      <c r="E1872" s="2841">
        <f t="shared" si="150"/>
        <v>11773</v>
      </c>
      <c r="F1872" s="2841">
        <f t="shared" si="151"/>
        <v>15992</v>
      </c>
      <c r="G1872" s="2841">
        <f t="shared" si="152"/>
        <v>14600</v>
      </c>
    </row>
    <row r="1873" spans="1:7" ht="15.75">
      <c r="A1873" s="3022">
        <f t="shared" si="153"/>
        <v>90475</v>
      </c>
      <c r="B1873" s="2840">
        <v>90450</v>
      </c>
      <c r="C1873" s="2840">
        <v>90500</v>
      </c>
      <c r="D1873" s="2841">
        <f t="shared" si="149"/>
        <v>16004</v>
      </c>
      <c r="E1873" s="2841">
        <f t="shared" si="150"/>
        <v>11784</v>
      </c>
      <c r="F1873" s="2841">
        <f t="shared" si="151"/>
        <v>16004</v>
      </c>
      <c r="G1873" s="2841">
        <f t="shared" si="152"/>
        <v>14612</v>
      </c>
    </row>
    <row r="1874" spans="1:7" ht="15.75">
      <c r="A1874" s="3022">
        <f t="shared" si="153"/>
        <v>90525</v>
      </c>
      <c r="B1874" s="2840">
        <v>90500</v>
      </c>
      <c r="C1874" s="2840">
        <v>90550</v>
      </c>
      <c r="D1874" s="2841">
        <f t="shared" si="149"/>
        <v>16016</v>
      </c>
      <c r="E1874" s="2841">
        <f t="shared" si="150"/>
        <v>11795</v>
      </c>
      <c r="F1874" s="2841">
        <f t="shared" si="151"/>
        <v>16016</v>
      </c>
      <c r="G1874" s="2841">
        <f t="shared" si="152"/>
        <v>14624</v>
      </c>
    </row>
    <row r="1875" spans="1:7" ht="15.75">
      <c r="A1875" s="3022">
        <f t="shared" si="153"/>
        <v>90575</v>
      </c>
      <c r="B1875" s="2840">
        <v>90550</v>
      </c>
      <c r="C1875" s="2840">
        <v>90600</v>
      </c>
      <c r="D1875" s="2841">
        <f t="shared" si="149"/>
        <v>16028</v>
      </c>
      <c r="E1875" s="2841">
        <f t="shared" si="150"/>
        <v>11806</v>
      </c>
      <c r="F1875" s="2841">
        <f t="shared" si="151"/>
        <v>16028</v>
      </c>
      <c r="G1875" s="2841">
        <f t="shared" si="152"/>
        <v>14636</v>
      </c>
    </row>
    <row r="1876" spans="1:7" ht="15.75">
      <c r="A1876" s="3022">
        <f t="shared" si="153"/>
        <v>90625</v>
      </c>
      <c r="B1876" s="2840">
        <v>90600</v>
      </c>
      <c r="C1876" s="2840">
        <v>90650</v>
      </c>
      <c r="D1876" s="2841">
        <f t="shared" si="149"/>
        <v>16040</v>
      </c>
      <c r="E1876" s="2841">
        <f t="shared" si="150"/>
        <v>11817</v>
      </c>
      <c r="F1876" s="2841">
        <f t="shared" si="151"/>
        <v>16040</v>
      </c>
      <c r="G1876" s="2841">
        <f t="shared" si="152"/>
        <v>14648</v>
      </c>
    </row>
    <row r="1877" spans="1:7" ht="15.75">
      <c r="A1877" s="3022">
        <f t="shared" si="153"/>
        <v>90675</v>
      </c>
      <c r="B1877" s="2840">
        <v>90650</v>
      </c>
      <c r="C1877" s="2840">
        <v>90700</v>
      </c>
      <c r="D1877" s="2841">
        <f t="shared" si="149"/>
        <v>16052</v>
      </c>
      <c r="E1877" s="2841">
        <f t="shared" si="150"/>
        <v>11828</v>
      </c>
      <c r="F1877" s="2841">
        <f t="shared" si="151"/>
        <v>16052</v>
      </c>
      <c r="G1877" s="2841">
        <f t="shared" si="152"/>
        <v>14660</v>
      </c>
    </row>
    <row r="1878" spans="1:7" ht="15.75">
      <c r="A1878" s="3022">
        <f t="shared" si="153"/>
        <v>90725</v>
      </c>
      <c r="B1878" s="2840">
        <v>90700</v>
      </c>
      <c r="C1878" s="2840">
        <v>90750</v>
      </c>
      <c r="D1878" s="2841">
        <f t="shared" si="149"/>
        <v>16064</v>
      </c>
      <c r="E1878" s="2841">
        <f t="shared" si="150"/>
        <v>11839</v>
      </c>
      <c r="F1878" s="2841">
        <f t="shared" si="151"/>
        <v>16064</v>
      </c>
      <c r="G1878" s="2841">
        <f t="shared" si="152"/>
        <v>14672</v>
      </c>
    </row>
    <row r="1879" spans="1:7" ht="15.75">
      <c r="A1879" s="3022">
        <f t="shared" si="153"/>
        <v>90775</v>
      </c>
      <c r="B1879" s="2840">
        <v>90750</v>
      </c>
      <c r="C1879" s="2840">
        <v>90800</v>
      </c>
      <c r="D1879" s="2841">
        <f t="shared" si="149"/>
        <v>16076</v>
      </c>
      <c r="E1879" s="2841">
        <f t="shared" si="150"/>
        <v>11850</v>
      </c>
      <c r="F1879" s="2841">
        <f t="shared" si="151"/>
        <v>16076</v>
      </c>
      <c r="G1879" s="2841">
        <f t="shared" si="152"/>
        <v>14684</v>
      </c>
    </row>
    <row r="1880" spans="1:7" ht="15.75">
      <c r="A1880" s="3022">
        <f t="shared" si="153"/>
        <v>90825</v>
      </c>
      <c r="B1880" s="2840">
        <v>90800</v>
      </c>
      <c r="C1880" s="2840">
        <v>90850</v>
      </c>
      <c r="D1880" s="2841">
        <f t="shared" si="149"/>
        <v>16088</v>
      </c>
      <c r="E1880" s="2841">
        <f t="shared" si="150"/>
        <v>11861</v>
      </c>
      <c r="F1880" s="2841">
        <f t="shared" si="151"/>
        <v>16088</v>
      </c>
      <c r="G1880" s="2841">
        <f t="shared" si="152"/>
        <v>14696</v>
      </c>
    </row>
    <row r="1881" spans="1:7" ht="15.75">
      <c r="A1881" s="3022">
        <f t="shared" si="153"/>
        <v>90875</v>
      </c>
      <c r="B1881" s="2840">
        <v>90850</v>
      </c>
      <c r="C1881" s="2840">
        <v>90900</v>
      </c>
      <c r="D1881" s="2841">
        <f t="shared" si="149"/>
        <v>16100</v>
      </c>
      <c r="E1881" s="2841">
        <f t="shared" si="150"/>
        <v>11872</v>
      </c>
      <c r="F1881" s="2841">
        <f t="shared" si="151"/>
        <v>16100</v>
      </c>
      <c r="G1881" s="2841">
        <f t="shared" si="152"/>
        <v>14708</v>
      </c>
    </row>
    <row r="1882" spans="1:7" ht="15.75">
      <c r="A1882" s="3022">
        <f t="shared" si="153"/>
        <v>90925</v>
      </c>
      <c r="B1882" s="2840">
        <v>90900</v>
      </c>
      <c r="C1882" s="2840">
        <v>90950</v>
      </c>
      <c r="D1882" s="2841">
        <f t="shared" si="149"/>
        <v>16112</v>
      </c>
      <c r="E1882" s="2841">
        <f t="shared" si="150"/>
        <v>11883</v>
      </c>
      <c r="F1882" s="2841">
        <f t="shared" si="151"/>
        <v>16112</v>
      </c>
      <c r="G1882" s="2841">
        <f t="shared" si="152"/>
        <v>14720</v>
      </c>
    </row>
    <row r="1883" spans="1:7" ht="15.75">
      <c r="A1883" s="3022">
        <f t="shared" si="153"/>
        <v>90975</v>
      </c>
      <c r="B1883" s="2840">
        <v>90950</v>
      </c>
      <c r="C1883" s="2840">
        <v>91000</v>
      </c>
      <c r="D1883" s="2841">
        <f t="shared" si="149"/>
        <v>16124</v>
      </c>
      <c r="E1883" s="2841">
        <f t="shared" si="150"/>
        <v>11894</v>
      </c>
      <c r="F1883" s="2841">
        <f t="shared" si="151"/>
        <v>16124</v>
      </c>
      <c r="G1883" s="2841">
        <f t="shared" si="152"/>
        <v>14732</v>
      </c>
    </row>
    <row r="1884" spans="1:7" ht="15.75">
      <c r="A1884" s="3022">
        <f t="shared" si="153"/>
        <v>91025</v>
      </c>
      <c r="B1884" s="2840">
        <v>91000</v>
      </c>
      <c r="C1884" s="2840">
        <v>91050</v>
      </c>
      <c r="D1884" s="2841">
        <f t="shared" si="149"/>
        <v>16136</v>
      </c>
      <c r="E1884" s="2841">
        <f t="shared" si="150"/>
        <v>11905</v>
      </c>
      <c r="F1884" s="2841">
        <f t="shared" si="151"/>
        <v>16136</v>
      </c>
      <c r="G1884" s="2841">
        <f t="shared" si="152"/>
        <v>14744</v>
      </c>
    </row>
    <row r="1885" spans="1:7" ht="15.75">
      <c r="A1885" s="3022">
        <f t="shared" si="153"/>
        <v>91075</v>
      </c>
      <c r="B1885" s="2840">
        <v>91050</v>
      </c>
      <c r="C1885" s="2840">
        <v>91100</v>
      </c>
      <c r="D1885" s="2841">
        <f t="shared" si="149"/>
        <v>16148</v>
      </c>
      <c r="E1885" s="2841">
        <f t="shared" si="150"/>
        <v>11916</v>
      </c>
      <c r="F1885" s="2841">
        <f t="shared" si="151"/>
        <v>16148</v>
      </c>
      <c r="G1885" s="2841">
        <f t="shared" si="152"/>
        <v>14756</v>
      </c>
    </row>
    <row r="1886" spans="1:7" ht="15.75">
      <c r="A1886" s="3022">
        <f t="shared" si="153"/>
        <v>91125</v>
      </c>
      <c r="B1886" s="2840">
        <v>91100</v>
      </c>
      <c r="C1886" s="2840">
        <v>91150</v>
      </c>
      <c r="D1886" s="2841">
        <f t="shared" si="149"/>
        <v>16160</v>
      </c>
      <c r="E1886" s="2841">
        <f t="shared" si="150"/>
        <v>11927</v>
      </c>
      <c r="F1886" s="2841">
        <f t="shared" si="151"/>
        <v>16160</v>
      </c>
      <c r="G1886" s="2841">
        <f t="shared" si="152"/>
        <v>14768</v>
      </c>
    </row>
    <row r="1887" spans="1:7" ht="15.75">
      <c r="A1887" s="3022">
        <f t="shared" si="153"/>
        <v>91175</v>
      </c>
      <c r="B1887" s="2840">
        <v>91150</v>
      </c>
      <c r="C1887" s="2840">
        <v>91200</v>
      </c>
      <c r="D1887" s="2841">
        <f t="shared" si="149"/>
        <v>16172</v>
      </c>
      <c r="E1887" s="2841">
        <f t="shared" si="150"/>
        <v>11938</v>
      </c>
      <c r="F1887" s="2841">
        <f t="shared" si="151"/>
        <v>16172</v>
      </c>
      <c r="G1887" s="2841">
        <f t="shared" si="152"/>
        <v>14780</v>
      </c>
    </row>
    <row r="1888" spans="1:7" ht="15.75">
      <c r="A1888" s="3022">
        <f t="shared" si="153"/>
        <v>91225</v>
      </c>
      <c r="B1888" s="2840">
        <v>91200</v>
      </c>
      <c r="C1888" s="2840">
        <v>91250</v>
      </c>
      <c r="D1888" s="2841">
        <f t="shared" si="149"/>
        <v>16184</v>
      </c>
      <c r="E1888" s="2841">
        <f t="shared" si="150"/>
        <v>11949</v>
      </c>
      <c r="F1888" s="2841">
        <f t="shared" si="151"/>
        <v>16184</v>
      </c>
      <c r="G1888" s="2841">
        <f t="shared" si="152"/>
        <v>14792</v>
      </c>
    </row>
    <row r="1889" spans="1:7" ht="15.75">
      <c r="A1889" s="3022">
        <f t="shared" si="153"/>
        <v>91275</v>
      </c>
      <c r="B1889" s="2840">
        <v>91250</v>
      </c>
      <c r="C1889" s="2840">
        <v>91300</v>
      </c>
      <c r="D1889" s="2841">
        <f t="shared" si="149"/>
        <v>16196</v>
      </c>
      <c r="E1889" s="2841">
        <f t="shared" si="150"/>
        <v>11960</v>
      </c>
      <c r="F1889" s="2841">
        <f t="shared" si="151"/>
        <v>16196</v>
      </c>
      <c r="G1889" s="2841">
        <f t="shared" si="152"/>
        <v>14804</v>
      </c>
    </row>
    <row r="1890" spans="1:7" ht="15.75">
      <c r="A1890" s="3022">
        <f t="shared" si="153"/>
        <v>91325</v>
      </c>
      <c r="B1890" s="2840">
        <v>91300</v>
      </c>
      <c r="C1890" s="2840">
        <v>91350</v>
      </c>
      <c r="D1890" s="2841">
        <f t="shared" si="149"/>
        <v>16208</v>
      </c>
      <c r="E1890" s="2841">
        <f t="shared" si="150"/>
        <v>11971</v>
      </c>
      <c r="F1890" s="2841">
        <f t="shared" si="151"/>
        <v>16208</v>
      </c>
      <c r="G1890" s="2841">
        <f t="shared" si="152"/>
        <v>14816</v>
      </c>
    </row>
    <row r="1891" spans="1:7" ht="15.75">
      <c r="A1891" s="3022">
        <f t="shared" si="153"/>
        <v>91375</v>
      </c>
      <c r="B1891" s="2840">
        <v>91350</v>
      </c>
      <c r="C1891" s="2840">
        <v>91400</v>
      </c>
      <c r="D1891" s="2841">
        <f t="shared" si="149"/>
        <v>16220</v>
      </c>
      <c r="E1891" s="2841">
        <f t="shared" si="150"/>
        <v>11982</v>
      </c>
      <c r="F1891" s="2841">
        <f t="shared" si="151"/>
        <v>16220</v>
      </c>
      <c r="G1891" s="2841">
        <f t="shared" si="152"/>
        <v>14828</v>
      </c>
    </row>
    <row r="1892" spans="1:7" ht="15.75">
      <c r="A1892" s="3022">
        <f t="shared" si="153"/>
        <v>91425</v>
      </c>
      <c r="B1892" s="2840">
        <v>91400</v>
      </c>
      <c r="C1892" s="2840">
        <v>91450</v>
      </c>
      <c r="D1892" s="2841">
        <f t="shared" si="149"/>
        <v>16232</v>
      </c>
      <c r="E1892" s="2841">
        <f t="shared" si="150"/>
        <v>11993</v>
      </c>
      <c r="F1892" s="2841">
        <f t="shared" si="151"/>
        <v>16232</v>
      </c>
      <c r="G1892" s="2841">
        <f t="shared" si="152"/>
        <v>14840</v>
      </c>
    </row>
    <row r="1893" spans="1:7" ht="15.75">
      <c r="A1893" s="3022">
        <f t="shared" si="153"/>
        <v>91475</v>
      </c>
      <c r="B1893" s="2840">
        <v>91450</v>
      </c>
      <c r="C1893" s="2840">
        <v>91500</v>
      </c>
      <c r="D1893" s="2841">
        <f t="shared" si="149"/>
        <v>16244</v>
      </c>
      <c r="E1893" s="2841">
        <f t="shared" si="150"/>
        <v>12004</v>
      </c>
      <c r="F1893" s="2841">
        <f t="shared" si="151"/>
        <v>16244</v>
      </c>
      <c r="G1893" s="2841">
        <f t="shared" si="152"/>
        <v>14852</v>
      </c>
    </row>
    <row r="1894" spans="1:7" ht="15.75">
      <c r="A1894" s="3022">
        <f t="shared" si="153"/>
        <v>91525</v>
      </c>
      <c r="B1894" s="2840">
        <v>91500</v>
      </c>
      <c r="C1894" s="2840">
        <v>91550</v>
      </c>
      <c r="D1894" s="2841">
        <f t="shared" si="149"/>
        <v>16256</v>
      </c>
      <c r="E1894" s="2841">
        <f t="shared" si="150"/>
        <v>12015</v>
      </c>
      <c r="F1894" s="2841">
        <f t="shared" si="151"/>
        <v>16256</v>
      </c>
      <c r="G1894" s="2841">
        <f t="shared" si="152"/>
        <v>14864</v>
      </c>
    </row>
    <row r="1895" spans="1:7" ht="15.75">
      <c r="A1895" s="3022">
        <f t="shared" si="153"/>
        <v>91575</v>
      </c>
      <c r="B1895" s="2840">
        <v>91550</v>
      </c>
      <c r="C1895" s="2840">
        <v>91600</v>
      </c>
      <c r="D1895" s="2841">
        <f t="shared" si="149"/>
        <v>16268</v>
      </c>
      <c r="E1895" s="2841">
        <f t="shared" si="150"/>
        <v>12026</v>
      </c>
      <c r="F1895" s="2841">
        <f t="shared" si="151"/>
        <v>16268</v>
      </c>
      <c r="G1895" s="2841">
        <f t="shared" si="152"/>
        <v>14876</v>
      </c>
    </row>
    <row r="1896" spans="1:7" ht="15.75">
      <c r="A1896" s="3022">
        <f t="shared" si="153"/>
        <v>91625</v>
      </c>
      <c r="B1896" s="2840">
        <v>91600</v>
      </c>
      <c r="C1896" s="2840">
        <v>91650</v>
      </c>
      <c r="D1896" s="2841">
        <f t="shared" si="149"/>
        <v>16280</v>
      </c>
      <c r="E1896" s="2841">
        <f t="shared" si="150"/>
        <v>12037</v>
      </c>
      <c r="F1896" s="2841">
        <f t="shared" si="151"/>
        <v>16280</v>
      </c>
      <c r="G1896" s="2841">
        <f t="shared" si="152"/>
        <v>14888</v>
      </c>
    </row>
    <row r="1897" spans="1:7" ht="15.75">
      <c r="A1897" s="3022">
        <f t="shared" si="153"/>
        <v>91675</v>
      </c>
      <c r="B1897" s="2840">
        <v>91650</v>
      </c>
      <c r="C1897" s="2840">
        <v>91700</v>
      </c>
      <c r="D1897" s="2841">
        <f t="shared" si="149"/>
        <v>16292</v>
      </c>
      <c r="E1897" s="2841">
        <f t="shared" si="150"/>
        <v>12048</v>
      </c>
      <c r="F1897" s="2841">
        <f t="shared" si="151"/>
        <v>16292</v>
      </c>
      <c r="G1897" s="2841">
        <f t="shared" si="152"/>
        <v>14900</v>
      </c>
    </row>
    <row r="1898" spans="1:7" ht="15.75">
      <c r="A1898" s="3022">
        <f t="shared" si="153"/>
        <v>91725</v>
      </c>
      <c r="B1898" s="2840">
        <v>91700</v>
      </c>
      <c r="C1898" s="2840">
        <v>91750</v>
      </c>
      <c r="D1898" s="2841">
        <f t="shared" si="149"/>
        <v>16304</v>
      </c>
      <c r="E1898" s="2841">
        <f t="shared" si="150"/>
        <v>12059</v>
      </c>
      <c r="F1898" s="2841">
        <f t="shared" si="151"/>
        <v>16304</v>
      </c>
      <c r="G1898" s="2841">
        <f t="shared" si="152"/>
        <v>14912</v>
      </c>
    </row>
    <row r="1899" spans="1:7" ht="15.75">
      <c r="A1899" s="3022">
        <f t="shared" si="153"/>
        <v>91775</v>
      </c>
      <c r="B1899" s="2840">
        <v>91750</v>
      </c>
      <c r="C1899" s="2840">
        <v>91800</v>
      </c>
      <c r="D1899" s="2841">
        <f t="shared" si="149"/>
        <v>16316</v>
      </c>
      <c r="E1899" s="2841">
        <f t="shared" si="150"/>
        <v>12070</v>
      </c>
      <c r="F1899" s="2841">
        <f t="shared" si="151"/>
        <v>16316</v>
      </c>
      <c r="G1899" s="2841">
        <f t="shared" si="152"/>
        <v>14924</v>
      </c>
    </row>
    <row r="1900" spans="1:7" ht="15.75">
      <c r="A1900" s="3022">
        <f t="shared" si="153"/>
        <v>91825</v>
      </c>
      <c r="B1900" s="2840">
        <v>91800</v>
      </c>
      <c r="C1900" s="2840">
        <v>91850</v>
      </c>
      <c r="D1900" s="2841">
        <f t="shared" si="149"/>
        <v>16328</v>
      </c>
      <c r="E1900" s="2841">
        <f t="shared" si="150"/>
        <v>12081</v>
      </c>
      <c r="F1900" s="2841">
        <f t="shared" si="151"/>
        <v>16328</v>
      </c>
      <c r="G1900" s="2841">
        <f t="shared" si="152"/>
        <v>14936</v>
      </c>
    </row>
    <row r="1901" spans="1:7" ht="15.75">
      <c r="A1901" s="3022">
        <f t="shared" si="153"/>
        <v>91875</v>
      </c>
      <c r="B1901" s="2840">
        <v>91850</v>
      </c>
      <c r="C1901" s="2840">
        <v>91900</v>
      </c>
      <c r="D1901" s="2841">
        <f t="shared" si="149"/>
        <v>16340</v>
      </c>
      <c r="E1901" s="2841">
        <f t="shared" si="150"/>
        <v>12092</v>
      </c>
      <c r="F1901" s="2841">
        <f t="shared" si="151"/>
        <v>16340</v>
      </c>
      <c r="G1901" s="2841">
        <f t="shared" si="152"/>
        <v>14948</v>
      </c>
    </row>
    <row r="1902" spans="1:7" ht="15.75">
      <c r="A1902" s="3022">
        <f t="shared" si="153"/>
        <v>91925</v>
      </c>
      <c r="B1902" s="2840">
        <v>91900</v>
      </c>
      <c r="C1902" s="2840">
        <v>91950</v>
      </c>
      <c r="D1902" s="2841">
        <f t="shared" si="149"/>
        <v>16352</v>
      </c>
      <c r="E1902" s="2841">
        <f t="shared" si="150"/>
        <v>12103</v>
      </c>
      <c r="F1902" s="2841">
        <f t="shared" si="151"/>
        <v>16352</v>
      </c>
      <c r="G1902" s="2841">
        <f t="shared" si="152"/>
        <v>14960</v>
      </c>
    </row>
    <row r="1903" spans="1:7" ht="15.75">
      <c r="A1903" s="3022">
        <f t="shared" si="153"/>
        <v>91975</v>
      </c>
      <c r="B1903" s="2840">
        <v>91950</v>
      </c>
      <c r="C1903" s="2840">
        <v>92000</v>
      </c>
      <c r="D1903" s="2841">
        <f t="shared" si="149"/>
        <v>16364</v>
      </c>
      <c r="E1903" s="2841">
        <f t="shared" si="150"/>
        <v>12114</v>
      </c>
      <c r="F1903" s="2841">
        <f t="shared" si="151"/>
        <v>16364</v>
      </c>
      <c r="G1903" s="2841">
        <f t="shared" si="152"/>
        <v>14972</v>
      </c>
    </row>
    <row r="1904" spans="1:7" ht="15.75">
      <c r="A1904" s="3022">
        <f t="shared" si="153"/>
        <v>92025</v>
      </c>
      <c r="B1904" s="2840">
        <v>92000</v>
      </c>
      <c r="C1904" s="2840">
        <v>92050</v>
      </c>
      <c r="D1904" s="2841">
        <f t="shared" si="149"/>
        <v>16376</v>
      </c>
      <c r="E1904" s="2841">
        <f t="shared" si="150"/>
        <v>12125</v>
      </c>
      <c r="F1904" s="2841">
        <f t="shared" si="151"/>
        <v>16376</v>
      </c>
      <c r="G1904" s="2841">
        <f t="shared" si="152"/>
        <v>14984</v>
      </c>
    </row>
    <row r="1905" spans="1:7" ht="15.75">
      <c r="A1905" s="3022">
        <f t="shared" si="153"/>
        <v>92075</v>
      </c>
      <c r="B1905" s="2840">
        <v>92050</v>
      </c>
      <c r="C1905" s="2840">
        <v>92100</v>
      </c>
      <c r="D1905" s="2841">
        <f t="shared" si="149"/>
        <v>16388</v>
      </c>
      <c r="E1905" s="2841">
        <f t="shared" si="150"/>
        <v>12136</v>
      </c>
      <c r="F1905" s="2841">
        <f t="shared" si="151"/>
        <v>16388</v>
      </c>
      <c r="G1905" s="2841">
        <f t="shared" si="152"/>
        <v>14996</v>
      </c>
    </row>
    <row r="1906" spans="1:7" ht="15.75">
      <c r="A1906" s="3022">
        <f t="shared" si="153"/>
        <v>92125</v>
      </c>
      <c r="B1906" s="2840">
        <v>92100</v>
      </c>
      <c r="C1906" s="2840">
        <v>92150</v>
      </c>
      <c r="D1906" s="2841">
        <f t="shared" si="149"/>
        <v>16400</v>
      </c>
      <c r="E1906" s="2841">
        <f t="shared" si="150"/>
        <v>12147</v>
      </c>
      <c r="F1906" s="2841">
        <f t="shared" si="151"/>
        <v>16400</v>
      </c>
      <c r="G1906" s="2841">
        <f t="shared" si="152"/>
        <v>15008</v>
      </c>
    </row>
    <row r="1907" spans="1:7" ht="15.75">
      <c r="A1907" s="3022">
        <f t="shared" si="153"/>
        <v>92175</v>
      </c>
      <c r="B1907" s="2840">
        <v>92150</v>
      </c>
      <c r="C1907" s="2840">
        <v>92200</v>
      </c>
      <c r="D1907" s="2841">
        <f t="shared" si="149"/>
        <v>16412</v>
      </c>
      <c r="E1907" s="2841">
        <f t="shared" si="150"/>
        <v>12158</v>
      </c>
      <c r="F1907" s="2841">
        <f t="shared" si="151"/>
        <v>16412</v>
      </c>
      <c r="G1907" s="2841">
        <f t="shared" si="152"/>
        <v>15020</v>
      </c>
    </row>
    <row r="1908" spans="1:7" ht="15.75">
      <c r="A1908" s="3022">
        <f t="shared" si="153"/>
        <v>92225</v>
      </c>
      <c r="B1908" s="2840">
        <v>92200</v>
      </c>
      <c r="C1908" s="2840">
        <v>92250</v>
      </c>
      <c r="D1908" s="2841">
        <f t="shared" si="149"/>
        <v>16424</v>
      </c>
      <c r="E1908" s="2841">
        <f t="shared" si="150"/>
        <v>12169</v>
      </c>
      <c r="F1908" s="2841">
        <f t="shared" si="151"/>
        <v>16424</v>
      </c>
      <c r="G1908" s="2841">
        <f t="shared" si="152"/>
        <v>15032</v>
      </c>
    </row>
    <row r="1909" spans="1:7" ht="15.75">
      <c r="A1909" s="3022">
        <f t="shared" si="153"/>
        <v>92275</v>
      </c>
      <c r="B1909" s="2840">
        <v>92250</v>
      </c>
      <c r="C1909" s="2840">
        <v>92300</v>
      </c>
      <c r="D1909" s="2841">
        <f t="shared" si="149"/>
        <v>16436</v>
      </c>
      <c r="E1909" s="2841">
        <f t="shared" si="150"/>
        <v>12180</v>
      </c>
      <c r="F1909" s="2841">
        <f t="shared" si="151"/>
        <v>16436</v>
      </c>
      <c r="G1909" s="2841">
        <f t="shared" si="152"/>
        <v>15044</v>
      </c>
    </row>
    <row r="1910" spans="1:7" ht="15.75">
      <c r="A1910" s="3022">
        <f t="shared" si="153"/>
        <v>92325</v>
      </c>
      <c r="B1910" s="2840">
        <v>92300</v>
      </c>
      <c r="C1910" s="2840">
        <v>92350</v>
      </c>
      <c r="D1910" s="2841">
        <f t="shared" si="149"/>
        <v>16448</v>
      </c>
      <c r="E1910" s="2841">
        <f t="shared" si="150"/>
        <v>12191</v>
      </c>
      <c r="F1910" s="2841">
        <f t="shared" si="151"/>
        <v>16448</v>
      </c>
      <c r="G1910" s="2841">
        <f t="shared" si="152"/>
        <v>15056</v>
      </c>
    </row>
    <row r="1911" spans="1:7" ht="15.75">
      <c r="A1911" s="3022">
        <f t="shared" si="153"/>
        <v>92375</v>
      </c>
      <c r="B1911" s="2840">
        <v>92350</v>
      </c>
      <c r="C1911" s="2840">
        <v>92400</v>
      </c>
      <c r="D1911" s="2841">
        <f t="shared" si="149"/>
        <v>16460</v>
      </c>
      <c r="E1911" s="2841">
        <f t="shared" si="150"/>
        <v>12202</v>
      </c>
      <c r="F1911" s="2841">
        <f t="shared" si="151"/>
        <v>16460</v>
      </c>
      <c r="G1911" s="2841">
        <f t="shared" si="152"/>
        <v>15068</v>
      </c>
    </row>
    <row r="1912" spans="1:7" ht="15.75">
      <c r="A1912" s="3022">
        <f t="shared" si="153"/>
        <v>92425</v>
      </c>
      <c r="B1912" s="2840">
        <v>92400</v>
      </c>
      <c r="C1912" s="2840">
        <v>92450</v>
      </c>
      <c r="D1912" s="2841">
        <f t="shared" si="149"/>
        <v>16472</v>
      </c>
      <c r="E1912" s="2841">
        <f t="shared" si="150"/>
        <v>12213</v>
      </c>
      <c r="F1912" s="2841">
        <f t="shared" si="151"/>
        <v>16472</v>
      </c>
      <c r="G1912" s="2841">
        <f t="shared" si="152"/>
        <v>15080</v>
      </c>
    </row>
    <row r="1913" spans="1:7" ht="15.75">
      <c r="A1913" s="3022">
        <f t="shared" si="153"/>
        <v>92475</v>
      </c>
      <c r="B1913" s="2840">
        <v>92450</v>
      </c>
      <c r="C1913" s="2840">
        <v>92500</v>
      </c>
      <c r="D1913" s="2841">
        <f t="shared" si="149"/>
        <v>16484</v>
      </c>
      <c r="E1913" s="2841">
        <f t="shared" si="150"/>
        <v>12224</v>
      </c>
      <c r="F1913" s="2841">
        <f t="shared" si="151"/>
        <v>16484</v>
      </c>
      <c r="G1913" s="2841">
        <f t="shared" si="152"/>
        <v>15092</v>
      </c>
    </row>
    <row r="1914" spans="1:7" ht="15.75">
      <c r="A1914" s="3022">
        <f t="shared" si="153"/>
        <v>92525</v>
      </c>
      <c r="B1914" s="2840">
        <v>92500</v>
      </c>
      <c r="C1914" s="2840">
        <v>92550</v>
      </c>
      <c r="D1914" s="2841">
        <f t="shared" si="149"/>
        <v>16496</v>
      </c>
      <c r="E1914" s="2841">
        <f t="shared" si="150"/>
        <v>12235</v>
      </c>
      <c r="F1914" s="2841">
        <f t="shared" si="151"/>
        <v>16496</v>
      </c>
      <c r="G1914" s="2841">
        <f t="shared" si="152"/>
        <v>15104</v>
      </c>
    </row>
    <row r="1915" spans="1:7" ht="15.75">
      <c r="A1915" s="3022">
        <f t="shared" si="153"/>
        <v>92575</v>
      </c>
      <c r="B1915" s="2840">
        <v>92550</v>
      </c>
      <c r="C1915" s="2840">
        <v>92600</v>
      </c>
      <c r="D1915" s="2841">
        <f t="shared" si="149"/>
        <v>16508</v>
      </c>
      <c r="E1915" s="2841">
        <f t="shared" si="150"/>
        <v>12246</v>
      </c>
      <c r="F1915" s="2841">
        <f t="shared" si="151"/>
        <v>16508</v>
      </c>
      <c r="G1915" s="2841">
        <f t="shared" si="152"/>
        <v>15116</v>
      </c>
    </row>
    <row r="1916" spans="1:7" ht="15.75">
      <c r="A1916" s="3022">
        <f t="shared" si="153"/>
        <v>92625</v>
      </c>
      <c r="B1916" s="2840">
        <v>92600</v>
      </c>
      <c r="C1916" s="2840">
        <v>92650</v>
      </c>
      <c r="D1916" s="2841">
        <f t="shared" si="149"/>
        <v>16520</v>
      </c>
      <c r="E1916" s="2841">
        <f t="shared" si="150"/>
        <v>12257</v>
      </c>
      <c r="F1916" s="2841">
        <f t="shared" si="151"/>
        <v>16520</v>
      </c>
      <c r="G1916" s="2841">
        <f t="shared" si="152"/>
        <v>15128</v>
      </c>
    </row>
    <row r="1917" spans="1:7" ht="15.75">
      <c r="A1917" s="3022">
        <f t="shared" si="153"/>
        <v>92675</v>
      </c>
      <c r="B1917" s="2840">
        <v>92650</v>
      </c>
      <c r="C1917" s="2840">
        <v>92700</v>
      </c>
      <c r="D1917" s="2841">
        <f t="shared" si="149"/>
        <v>16532</v>
      </c>
      <c r="E1917" s="2841">
        <f t="shared" si="150"/>
        <v>12268</v>
      </c>
      <c r="F1917" s="2841">
        <f t="shared" si="151"/>
        <v>16532</v>
      </c>
      <c r="G1917" s="2841">
        <f t="shared" si="152"/>
        <v>15140</v>
      </c>
    </row>
    <row r="1918" spans="1:7" ht="15.75">
      <c r="A1918" s="3022">
        <f t="shared" si="153"/>
        <v>92725</v>
      </c>
      <c r="B1918" s="2840">
        <v>92700</v>
      </c>
      <c r="C1918" s="2840">
        <v>92750</v>
      </c>
      <c r="D1918" s="2841">
        <f t="shared" si="149"/>
        <v>16544</v>
      </c>
      <c r="E1918" s="2841">
        <f t="shared" si="150"/>
        <v>12279</v>
      </c>
      <c r="F1918" s="2841">
        <f t="shared" si="151"/>
        <v>16544</v>
      </c>
      <c r="G1918" s="2841">
        <f t="shared" si="152"/>
        <v>15152</v>
      </c>
    </row>
    <row r="1919" spans="1:7" ht="15.75">
      <c r="A1919" s="3022">
        <f t="shared" si="153"/>
        <v>92775</v>
      </c>
      <c r="B1919" s="2840">
        <v>92750</v>
      </c>
      <c r="C1919" s="2840">
        <v>92800</v>
      </c>
      <c r="D1919" s="2841">
        <f t="shared" si="149"/>
        <v>16556</v>
      </c>
      <c r="E1919" s="2841">
        <f t="shared" si="150"/>
        <v>12290</v>
      </c>
      <c r="F1919" s="2841">
        <f t="shared" si="151"/>
        <v>16556</v>
      </c>
      <c r="G1919" s="2841">
        <f t="shared" si="152"/>
        <v>15164</v>
      </c>
    </row>
    <row r="1920" spans="1:7" ht="15.75">
      <c r="A1920" s="3022">
        <f t="shared" si="153"/>
        <v>92825</v>
      </c>
      <c r="B1920" s="2840">
        <v>92800</v>
      </c>
      <c r="C1920" s="2840">
        <v>92850</v>
      </c>
      <c r="D1920" s="2841">
        <f t="shared" si="149"/>
        <v>16568</v>
      </c>
      <c r="E1920" s="2841">
        <f t="shared" si="150"/>
        <v>12301</v>
      </c>
      <c r="F1920" s="2841">
        <f t="shared" si="151"/>
        <v>16568</v>
      </c>
      <c r="G1920" s="2841">
        <f t="shared" si="152"/>
        <v>15176</v>
      </c>
    </row>
    <row r="1921" spans="1:7" ht="15.75">
      <c r="A1921" s="3022">
        <f t="shared" si="153"/>
        <v>92875</v>
      </c>
      <c r="B1921" s="2840">
        <v>92850</v>
      </c>
      <c r="C1921" s="2840">
        <v>92900</v>
      </c>
      <c r="D1921" s="2841">
        <f t="shared" si="149"/>
        <v>16580</v>
      </c>
      <c r="E1921" s="2841">
        <f t="shared" si="150"/>
        <v>12312</v>
      </c>
      <c r="F1921" s="2841">
        <f t="shared" si="151"/>
        <v>16580</v>
      </c>
      <c r="G1921" s="2841">
        <f t="shared" si="152"/>
        <v>15188</v>
      </c>
    </row>
    <row r="1922" spans="1:7" ht="15.75">
      <c r="A1922" s="3022">
        <f t="shared" si="153"/>
        <v>92925</v>
      </c>
      <c r="B1922" s="2840">
        <v>92900</v>
      </c>
      <c r="C1922" s="2840">
        <v>92950</v>
      </c>
      <c r="D1922" s="2841">
        <f t="shared" ref="D1922:D1985" si="154">IF($A1922&gt;BOTT_A4,ROUND(BASE_A4+RATE_A4*($A1922-BOTT_A4),0),IF($A1922&gt;BOTT_A3,ROUND(BASE_A3+RATE_A3*($A1922-BOTT_A3),0),IF($A1922&gt;BOTT_A2,ROUND(BASE_A2+RATE_A2*($A1922-BOTT_A2),0),ROUND(RATE_A1*$A1922,0))))</f>
        <v>16592</v>
      </c>
      <c r="E1922" s="2841">
        <f t="shared" ref="E1922:E1985" si="155">IF($A1922&gt;BOTT_B4,ROUND(BASE_B4+RATE_B4*($A1922-BOTT_B4),0),IF($A1922&gt;BOTT_B3,ROUND(BASE_B3+RATE_B3*($A1922-BOTT_B3),0),IF($A1922&gt;BOTT_B2,ROUND(BASE_B2+RATE_B2*($A1922-BOTT_B2),0),ROUND(RATE_B1*$A1922,0))))</f>
        <v>12323</v>
      </c>
      <c r="F1922" s="2841">
        <f t="shared" ref="F1922:F1985" si="156">IF($A1922&gt;BOTT_C4,ROUND(BASE_C4+RATE_C4*($A1922-BOTT_C4),0),IF($A1922&gt;BOTT_C3,ROUND(BASE_C3+RATE_C3*($A1922-BOTT_C3),0),IF($A1922&gt;BOTT_C2,ROUND(BASE_C2+RATE_C2*($A1922-BOTT_C2),0),ROUND(RATE_C1*$A1922,0))))</f>
        <v>16592</v>
      </c>
      <c r="G1922" s="2841">
        <f t="shared" ref="G1922:G1985" si="157">IF($A1922&gt;BOTT_D4,ROUND(BASE_D4+RATE_D4*($A1922-BOTT_D4),0),IF($A1922&gt;BOTT_D3,ROUND(BASE_D3+RATE_D3*($A1922-BOTT_D3),0),IF($A1922&gt;BOTT_D2,ROUND(BASE_D2+RATE_D2*($A1922-BOTT_D2),0),ROUND(RATE_D1*$A1922,0))))</f>
        <v>15200</v>
      </c>
    </row>
    <row r="1923" spans="1:7" ht="15.75">
      <c r="A1923" s="3022">
        <f t="shared" ref="A1923:A1986" si="158">AVERAGE(B1923,C1923)</f>
        <v>92975</v>
      </c>
      <c r="B1923" s="2840">
        <v>92950</v>
      </c>
      <c r="C1923" s="2840">
        <v>93000</v>
      </c>
      <c r="D1923" s="2841">
        <f t="shared" si="154"/>
        <v>16604</v>
      </c>
      <c r="E1923" s="2841">
        <f t="shared" si="155"/>
        <v>12334</v>
      </c>
      <c r="F1923" s="2841">
        <f t="shared" si="156"/>
        <v>16604</v>
      </c>
      <c r="G1923" s="2841">
        <f t="shared" si="157"/>
        <v>15212</v>
      </c>
    </row>
    <row r="1924" spans="1:7" ht="15.75">
      <c r="A1924" s="3022">
        <f t="shared" si="158"/>
        <v>93025</v>
      </c>
      <c r="B1924" s="2840">
        <v>93000</v>
      </c>
      <c r="C1924" s="2840">
        <v>93050</v>
      </c>
      <c r="D1924" s="2841">
        <f t="shared" si="154"/>
        <v>16616</v>
      </c>
      <c r="E1924" s="2841">
        <f t="shared" si="155"/>
        <v>12345</v>
      </c>
      <c r="F1924" s="2841">
        <f t="shared" si="156"/>
        <v>16616</v>
      </c>
      <c r="G1924" s="2841">
        <f t="shared" si="157"/>
        <v>15224</v>
      </c>
    </row>
    <row r="1925" spans="1:7" ht="15.75">
      <c r="A1925" s="3022">
        <f t="shared" si="158"/>
        <v>93075</v>
      </c>
      <c r="B1925" s="2840">
        <v>93050</v>
      </c>
      <c r="C1925" s="2840">
        <v>93100</v>
      </c>
      <c r="D1925" s="2841">
        <f t="shared" si="154"/>
        <v>16628</v>
      </c>
      <c r="E1925" s="2841">
        <f t="shared" si="155"/>
        <v>12356</v>
      </c>
      <c r="F1925" s="2841">
        <f t="shared" si="156"/>
        <v>16628</v>
      </c>
      <c r="G1925" s="2841">
        <f t="shared" si="157"/>
        <v>15236</v>
      </c>
    </row>
    <row r="1926" spans="1:7" ht="15.75">
      <c r="A1926" s="3022">
        <f t="shared" si="158"/>
        <v>93125</v>
      </c>
      <c r="B1926" s="2840">
        <v>93100</v>
      </c>
      <c r="C1926" s="2840">
        <v>93150</v>
      </c>
      <c r="D1926" s="2841">
        <f t="shared" si="154"/>
        <v>16640</v>
      </c>
      <c r="E1926" s="2841">
        <f t="shared" si="155"/>
        <v>12367</v>
      </c>
      <c r="F1926" s="2841">
        <f t="shared" si="156"/>
        <v>16640</v>
      </c>
      <c r="G1926" s="2841">
        <f t="shared" si="157"/>
        <v>15248</v>
      </c>
    </row>
    <row r="1927" spans="1:7" ht="15.75">
      <c r="A1927" s="3022">
        <f t="shared" si="158"/>
        <v>93175</v>
      </c>
      <c r="B1927" s="2840">
        <v>93150</v>
      </c>
      <c r="C1927" s="2840">
        <v>93200</v>
      </c>
      <c r="D1927" s="2841">
        <f t="shared" si="154"/>
        <v>16652</v>
      </c>
      <c r="E1927" s="2841">
        <f t="shared" si="155"/>
        <v>12378</v>
      </c>
      <c r="F1927" s="2841">
        <f t="shared" si="156"/>
        <v>16652</v>
      </c>
      <c r="G1927" s="2841">
        <f t="shared" si="157"/>
        <v>15260</v>
      </c>
    </row>
    <row r="1928" spans="1:7" ht="15.75">
      <c r="A1928" s="3022">
        <f t="shared" si="158"/>
        <v>93225</v>
      </c>
      <c r="B1928" s="2840">
        <v>93200</v>
      </c>
      <c r="C1928" s="2840">
        <v>93250</v>
      </c>
      <c r="D1928" s="2841">
        <f t="shared" si="154"/>
        <v>16664</v>
      </c>
      <c r="E1928" s="2841">
        <f t="shared" si="155"/>
        <v>12389</v>
      </c>
      <c r="F1928" s="2841">
        <f t="shared" si="156"/>
        <v>16664</v>
      </c>
      <c r="G1928" s="2841">
        <f t="shared" si="157"/>
        <v>15272</v>
      </c>
    </row>
    <row r="1929" spans="1:7" ht="15.75">
      <c r="A1929" s="3022">
        <f t="shared" si="158"/>
        <v>93275</v>
      </c>
      <c r="B1929" s="2840">
        <v>93250</v>
      </c>
      <c r="C1929" s="2840">
        <v>93300</v>
      </c>
      <c r="D1929" s="2841">
        <f t="shared" si="154"/>
        <v>16676</v>
      </c>
      <c r="E1929" s="2841">
        <f t="shared" si="155"/>
        <v>12400</v>
      </c>
      <c r="F1929" s="2841">
        <f t="shared" si="156"/>
        <v>16676</v>
      </c>
      <c r="G1929" s="2841">
        <f t="shared" si="157"/>
        <v>15284</v>
      </c>
    </row>
    <row r="1930" spans="1:7" ht="15.75">
      <c r="A1930" s="3022">
        <f t="shared" si="158"/>
        <v>93325</v>
      </c>
      <c r="B1930" s="2840">
        <v>93300</v>
      </c>
      <c r="C1930" s="2840">
        <v>93350</v>
      </c>
      <c r="D1930" s="2841">
        <f t="shared" si="154"/>
        <v>16688</v>
      </c>
      <c r="E1930" s="2841">
        <f t="shared" si="155"/>
        <v>12411</v>
      </c>
      <c r="F1930" s="2841">
        <f t="shared" si="156"/>
        <v>16688</v>
      </c>
      <c r="G1930" s="2841">
        <f t="shared" si="157"/>
        <v>15296</v>
      </c>
    </row>
    <row r="1931" spans="1:7" ht="15.75">
      <c r="A1931" s="3022">
        <f t="shared" si="158"/>
        <v>93375</v>
      </c>
      <c r="B1931" s="2840">
        <v>93350</v>
      </c>
      <c r="C1931" s="2840">
        <v>93400</v>
      </c>
      <c r="D1931" s="2841">
        <f t="shared" si="154"/>
        <v>16700</v>
      </c>
      <c r="E1931" s="2841">
        <f t="shared" si="155"/>
        <v>12422</v>
      </c>
      <c r="F1931" s="2841">
        <f t="shared" si="156"/>
        <v>16700</v>
      </c>
      <c r="G1931" s="2841">
        <f t="shared" si="157"/>
        <v>15308</v>
      </c>
    </row>
    <row r="1932" spans="1:7" ht="15.75">
      <c r="A1932" s="3022">
        <f t="shared" si="158"/>
        <v>93425</v>
      </c>
      <c r="B1932" s="2840">
        <v>93400</v>
      </c>
      <c r="C1932" s="2840">
        <v>93450</v>
      </c>
      <c r="D1932" s="2841">
        <f t="shared" si="154"/>
        <v>16712</v>
      </c>
      <c r="E1932" s="2841">
        <f t="shared" si="155"/>
        <v>12433</v>
      </c>
      <c r="F1932" s="2841">
        <f t="shared" si="156"/>
        <v>16712</v>
      </c>
      <c r="G1932" s="2841">
        <f t="shared" si="157"/>
        <v>15320</v>
      </c>
    </row>
    <row r="1933" spans="1:7" ht="15.75">
      <c r="A1933" s="3022">
        <f t="shared" si="158"/>
        <v>93475</v>
      </c>
      <c r="B1933" s="2840">
        <v>93450</v>
      </c>
      <c r="C1933" s="2840">
        <v>93500</v>
      </c>
      <c r="D1933" s="2841">
        <f t="shared" si="154"/>
        <v>16724</v>
      </c>
      <c r="E1933" s="2841">
        <f t="shared" si="155"/>
        <v>12444</v>
      </c>
      <c r="F1933" s="2841">
        <f t="shared" si="156"/>
        <v>16724</v>
      </c>
      <c r="G1933" s="2841">
        <f t="shared" si="157"/>
        <v>15332</v>
      </c>
    </row>
    <row r="1934" spans="1:7" ht="15.75">
      <c r="A1934" s="3022">
        <f t="shared" si="158"/>
        <v>93525</v>
      </c>
      <c r="B1934" s="2840">
        <v>93500</v>
      </c>
      <c r="C1934" s="2840">
        <v>93550</v>
      </c>
      <c r="D1934" s="2841">
        <f t="shared" si="154"/>
        <v>16736</v>
      </c>
      <c r="E1934" s="2841">
        <f t="shared" si="155"/>
        <v>12455</v>
      </c>
      <c r="F1934" s="2841">
        <f t="shared" si="156"/>
        <v>16736</v>
      </c>
      <c r="G1934" s="2841">
        <f t="shared" si="157"/>
        <v>15344</v>
      </c>
    </row>
    <row r="1935" spans="1:7" ht="15.75">
      <c r="A1935" s="3022">
        <f t="shared" si="158"/>
        <v>93575</v>
      </c>
      <c r="B1935" s="2840">
        <v>93550</v>
      </c>
      <c r="C1935" s="2840">
        <v>93600</v>
      </c>
      <c r="D1935" s="2841">
        <f t="shared" si="154"/>
        <v>16748</v>
      </c>
      <c r="E1935" s="2841">
        <f t="shared" si="155"/>
        <v>12466</v>
      </c>
      <c r="F1935" s="2841">
        <f t="shared" si="156"/>
        <v>16748</v>
      </c>
      <c r="G1935" s="2841">
        <f t="shared" si="157"/>
        <v>15356</v>
      </c>
    </row>
    <row r="1936" spans="1:7" ht="15.75">
      <c r="A1936" s="3022">
        <f t="shared" si="158"/>
        <v>93625</v>
      </c>
      <c r="B1936" s="2840">
        <v>93600</v>
      </c>
      <c r="C1936" s="2840">
        <v>93650</v>
      </c>
      <c r="D1936" s="2841">
        <f t="shared" si="154"/>
        <v>16760</v>
      </c>
      <c r="E1936" s="2841">
        <f t="shared" si="155"/>
        <v>12477</v>
      </c>
      <c r="F1936" s="2841">
        <f t="shared" si="156"/>
        <v>16760</v>
      </c>
      <c r="G1936" s="2841">
        <f t="shared" si="157"/>
        <v>15368</v>
      </c>
    </row>
    <row r="1937" spans="1:7" ht="15.75">
      <c r="A1937" s="3022">
        <f t="shared" si="158"/>
        <v>93675</v>
      </c>
      <c r="B1937" s="2840">
        <v>93650</v>
      </c>
      <c r="C1937" s="2840">
        <v>93700</v>
      </c>
      <c r="D1937" s="2841">
        <f t="shared" si="154"/>
        <v>16772</v>
      </c>
      <c r="E1937" s="2841">
        <f t="shared" si="155"/>
        <v>12488</v>
      </c>
      <c r="F1937" s="2841">
        <f t="shared" si="156"/>
        <v>16772</v>
      </c>
      <c r="G1937" s="2841">
        <f t="shared" si="157"/>
        <v>15380</v>
      </c>
    </row>
    <row r="1938" spans="1:7" ht="15.75">
      <c r="A1938" s="3022">
        <f t="shared" si="158"/>
        <v>93725</v>
      </c>
      <c r="B1938" s="2840">
        <v>93700</v>
      </c>
      <c r="C1938" s="2840">
        <v>93750</v>
      </c>
      <c r="D1938" s="2841">
        <f t="shared" si="154"/>
        <v>16784</v>
      </c>
      <c r="E1938" s="2841">
        <f t="shared" si="155"/>
        <v>12499</v>
      </c>
      <c r="F1938" s="2841">
        <f t="shared" si="156"/>
        <v>16784</v>
      </c>
      <c r="G1938" s="2841">
        <f t="shared" si="157"/>
        <v>15392</v>
      </c>
    </row>
    <row r="1939" spans="1:7" ht="15.75">
      <c r="A1939" s="3022">
        <f t="shared" si="158"/>
        <v>93775</v>
      </c>
      <c r="B1939" s="2840">
        <v>93750</v>
      </c>
      <c r="C1939" s="2840">
        <v>93800</v>
      </c>
      <c r="D1939" s="2841">
        <f t="shared" si="154"/>
        <v>16796</v>
      </c>
      <c r="E1939" s="2841">
        <f t="shared" si="155"/>
        <v>12510</v>
      </c>
      <c r="F1939" s="2841">
        <f t="shared" si="156"/>
        <v>16796</v>
      </c>
      <c r="G1939" s="2841">
        <f t="shared" si="157"/>
        <v>15404</v>
      </c>
    </row>
    <row r="1940" spans="1:7" ht="15.75">
      <c r="A1940" s="3022">
        <f t="shared" si="158"/>
        <v>93825</v>
      </c>
      <c r="B1940" s="2840">
        <v>93800</v>
      </c>
      <c r="C1940" s="2840">
        <v>93850</v>
      </c>
      <c r="D1940" s="2841">
        <f t="shared" si="154"/>
        <v>16808</v>
      </c>
      <c r="E1940" s="2841">
        <f t="shared" si="155"/>
        <v>12521</v>
      </c>
      <c r="F1940" s="2841">
        <f t="shared" si="156"/>
        <v>16808</v>
      </c>
      <c r="G1940" s="2841">
        <f t="shared" si="157"/>
        <v>15416</v>
      </c>
    </row>
    <row r="1941" spans="1:7" ht="15.75">
      <c r="A1941" s="3022">
        <f t="shared" si="158"/>
        <v>93875</v>
      </c>
      <c r="B1941" s="2840">
        <v>93850</v>
      </c>
      <c r="C1941" s="2840">
        <v>93900</v>
      </c>
      <c r="D1941" s="2841">
        <f t="shared" si="154"/>
        <v>16820</v>
      </c>
      <c r="E1941" s="2841">
        <f t="shared" si="155"/>
        <v>12532</v>
      </c>
      <c r="F1941" s="2841">
        <f t="shared" si="156"/>
        <v>16820</v>
      </c>
      <c r="G1941" s="2841">
        <f t="shared" si="157"/>
        <v>15428</v>
      </c>
    </row>
    <row r="1942" spans="1:7" ht="15.75">
      <c r="A1942" s="3022">
        <f t="shared" si="158"/>
        <v>93925</v>
      </c>
      <c r="B1942" s="2840">
        <v>93900</v>
      </c>
      <c r="C1942" s="2840">
        <v>93950</v>
      </c>
      <c r="D1942" s="2841">
        <f t="shared" si="154"/>
        <v>16832</v>
      </c>
      <c r="E1942" s="2841">
        <f t="shared" si="155"/>
        <v>12543</v>
      </c>
      <c r="F1942" s="2841">
        <f t="shared" si="156"/>
        <v>16832</v>
      </c>
      <c r="G1942" s="2841">
        <f t="shared" si="157"/>
        <v>15440</v>
      </c>
    </row>
    <row r="1943" spans="1:7" ht="15.75">
      <c r="A1943" s="3022">
        <f t="shared" si="158"/>
        <v>93975</v>
      </c>
      <c r="B1943" s="2840">
        <v>93950</v>
      </c>
      <c r="C1943" s="2840">
        <v>94000</v>
      </c>
      <c r="D1943" s="2841">
        <f t="shared" si="154"/>
        <v>16844</v>
      </c>
      <c r="E1943" s="2841">
        <f t="shared" si="155"/>
        <v>12554</v>
      </c>
      <c r="F1943" s="2841">
        <f t="shared" si="156"/>
        <v>16844</v>
      </c>
      <c r="G1943" s="2841">
        <f t="shared" si="157"/>
        <v>15452</v>
      </c>
    </row>
    <row r="1944" spans="1:7" ht="15.75">
      <c r="A1944" s="3022">
        <f t="shared" si="158"/>
        <v>94025</v>
      </c>
      <c r="B1944" s="2840">
        <v>94000</v>
      </c>
      <c r="C1944" s="2840">
        <v>94050</v>
      </c>
      <c r="D1944" s="2841">
        <f t="shared" si="154"/>
        <v>16856</v>
      </c>
      <c r="E1944" s="2841">
        <f t="shared" si="155"/>
        <v>12565</v>
      </c>
      <c r="F1944" s="2841">
        <f t="shared" si="156"/>
        <v>16856</v>
      </c>
      <c r="G1944" s="2841">
        <f t="shared" si="157"/>
        <v>15464</v>
      </c>
    </row>
    <row r="1945" spans="1:7" ht="15.75">
      <c r="A1945" s="3022">
        <f t="shared" si="158"/>
        <v>94075</v>
      </c>
      <c r="B1945" s="2840">
        <v>94050</v>
      </c>
      <c r="C1945" s="2840">
        <v>94100</v>
      </c>
      <c r="D1945" s="2841">
        <f t="shared" si="154"/>
        <v>16868</v>
      </c>
      <c r="E1945" s="2841">
        <f t="shared" si="155"/>
        <v>12576</v>
      </c>
      <c r="F1945" s="2841">
        <f t="shared" si="156"/>
        <v>16868</v>
      </c>
      <c r="G1945" s="2841">
        <f t="shared" si="157"/>
        <v>15476</v>
      </c>
    </row>
    <row r="1946" spans="1:7" ht="15.75">
      <c r="A1946" s="3022">
        <f t="shared" si="158"/>
        <v>94125</v>
      </c>
      <c r="B1946" s="2840">
        <v>94100</v>
      </c>
      <c r="C1946" s="2840">
        <v>94150</v>
      </c>
      <c r="D1946" s="2841">
        <f t="shared" si="154"/>
        <v>16880</v>
      </c>
      <c r="E1946" s="2841">
        <f t="shared" si="155"/>
        <v>12587</v>
      </c>
      <c r="F1946" s="2841">
        <f t="shared" si="156"/>
        <v>16880</v>
      </c>
      <c r="G1946" s="2841">
        <f t="shared" si="157"/>
        <v>15488</v>
      </c>
    </row>
    <row r="1947" spans="1:7" ht="15.75">
      <c r="A1947" s="3022">
        <f t="shared" si="158"/>
        <v>94175</v>
      </c>
      <c r="B1947" s="2840">
        <v>94150</v>
      </c>
      <c r="C1947" s="2840">
        <v>94200</v>
      </c>
      <c r="D1947" s="2841">
        <f t="shared" si="154"/>
        <v>16892</v>
      </c>
      <c r="E1947" s="2841">
        <f t="shared" si="155"/>
        <v>12598</v>
      </c>
      <c r="F1947" s="2841">
        <f t="shared" si="156"/>
        <v>16892</v>
      </c>
      <c r="G1947" s="2841">
        <f t="shared" si="157"/>
        <v>15500</v>
      </c>
    </row>
    <row r="1948" spans="1:7" ht="15.75">
      <c r="A1948" s="3022">
        <f t="shared" si="158"/>
        <v>94225</v>
      </c>
      <c r="B1948" s="2840">
        <v>94200</v>
      </c>
      <c r="C1948" s="2840">
        <v>94250</v>
      </c>
      <c r="D1948" s="2841">
        <f t="shared" si="154"/>
        <v>16904</v>
      </c>
      <c r="E1948" s="2841">
        <f t="shared" si="155"/>
        <v>12609</v>
      </c>
      <c r="F1948" s="2841">
        <f t="shared" si="156"/>
        <v>16904</v>
      </c>
      <c r="G1948" s="2841">
        <f t="shared" si="157"/>
        <v>15512</v>
      </c>
    </row>
    <row r="1949" spans="1:7" ht="15.75">
      <c r="A1949" s="3022">
        <f t="shared" si="158"/>
        <v>94275</v>
      </c>
      <c r="B1949" s="2840">
        <v>94250</v>
      </c>
      <c r="C1949" s="2840">
        <v>94300</v>
      </c>
      <c r="D1949" s="2841">
        <f t="shared" si="154"/>
        <v>16916</v>
      </c>
      <c r="E1949" s="2841">
        <f t="shared" si="155"/>
        <v>12620</v>
      </c>
      <c r="F1949" s="2841">
        <f t="shared" si="156"/>
        <v>16916</v>
      </c>
      <c r="G1949" s="2841">
        <f t="shared" si="157"/>
        <v>15524</v>
      </c>
    </row>
    <row r="1950" spans="1:7" ht="15.75">
      <c r="A1950" s="3022">
        <f t="shared" si="158"/>
        <v>94325</v>
      </c>
      <c r="B1950" s="2840">
        <v>94300</v>
      </c>
      <c r="C1950" s="2840">
        <v>94350</v>
      </c>
      <c r="D1950" s="2841">
        <f t="shared" si="154"/>
        <v>16928</v>
      </c>
      <c r="E1950" s="2841">
        <f t="shared" si="155"/>
        <v>12631</v>
      </c>
      <c r="F1950" s="2841">
        <f t="shared" si="156"/>
        <v>16928</v>
      </c>
      <c r="G1950" s="2841">
        <f t="shared" si="157"/>
        <v>15536</v>
      </c>
    </row>
    <row r="1951" spans="1:7" ht="15.75">
      <c r="A1951" s="3022">
        <f t="shared" si="158"/>
        <v>94375</v>
      </c>
      <c r="B1951" s="2840">
        <v>94350</v>
      </c>
      <c r="C1951" s="2840">
        <v>94400</v>
      </c>
      <c r="D1951" s="2841">
        <f t="shared" si="154"/>
        <v>16940</v>
      </c>
      <c r="E1951" s="2841">
        <f t="shared" si="155"/>
        <v>12642</v>
      </c>
      <c r="F1951" s="2841">
        <f t="shared" si="156"/>
        <v>16940</v>
      </c>
      <c r="G1951" s="2841">
        <f t="shared" si="157"/>
        <v>15548</v>
      </c>
    </row>
    <row r="1952" spans="1:7" ht="15.75">
      <c r="A1952" s="3022">
        <f t="shared" si="158"/>
        <v>94425</v>
      </c>
      <c r="B1952" s="2840">
        <v>94400</v>
      </c>
      <c r="C1952" s="2840">
        <v>94450</v>
      </c>
      <c r="D1952" s="2841">
        <f t="shared" si="154"/>
        <v>16952</v>
      </c>
      <c r="E1952" s="2841">
        <f t="shared" si="155"/>
        <v>12653</v>
      </c>
      <c r="F1952" s="2841">
        <f t="shared" si="156"/>
        <v>16952</v>
      </c>
      <c r="G1952" s="2841">
        <f t="shared" si="157"/>
        <v>15560</v>
      </c>
    </row>
    <row r="1953" spans="1:7" ht="15.75">
      <c r="A1953" s="3022">
        <f t="shared" si="158"/>
        <v>94475</v>
      </c>
      <c r="B1953" s="2840">
        <v>94450</v>
      </c>
      <c r="C1953" s="2840">
        <v>94500</v>
      </c>
      <c r="D1953" s="2841">
        <f t="shared" si="154"/>
        <v>16964</v>
      </c>
      <c r="E1953" s="2841">
        <f t="shared" si="155"/>
        <v>12664</v>
      </c>
      <c r="F1953" s="2841">
        <f t="shared" si="156"/>
        <v>16964</v>
      </c>
      <c r="G1953" s="2841">
        <f t="shared" si="157"/>
        <v>15572</v>
      </c>
    </row>
    <row r="1954" spans="1:7" ht="15.75">
      <c r="A1954" s="3022">
        <f t="shared" si="158"/>
        <v>94525</v>
      </c>
      <c r="B1954" s="2840">
        <v>94500</v>
      </c>
      <c r="C1954" s="2840">
        <v>94550</v>
      </c>
      <c r="D1954" s="2841">
        <f t="shared" si="154"/>
        <v>16976</v>
      </c>
      <c r="E1954" s="2841">
        <f t="shared" si="155"/>
        <v>12675</v>
      </c>
      <c r="F1954" s="2841">
        <f t="shared" si="156"/>
        <v>16976</v>
      </c>
      <c r="G1954" s="2841">
        <f t="shared" si="157"/>
        <v>15584</v>
      </c>
    </row>
    <row r="1955" spans="1:7" ht="15.75">
      <c r="A1955" s="3022">
        <f t="shared" si="158"/>
        <v>94575</v>
      </c>
      <c r="B1955" s="2840">
        <v>94550</v>
      </c>
      <c r="C1955" s="2840">
        <v>94600</v>
      </c>
      <c r="D1955" s="2841">
        <f t="shared" si="154"/>
        <v>16988</v>
      </c>
      <c r="E1955" s="2841">
        <f t="shared" si="155"/>
        <v>12686</v>
      </c>
      <c r="F1955" s="2841">
        <f t="shared" si="156"/>
        <v>16988</v>
      </c>
      <c r="G1955" s="2841">
        <f t="shared" si="157"/>
        <v>15596</v>
      </c>
    </row>
    <row r="1956" spans="1:7" ht="15.75">
      <c r="A1956" s="3022">
        <f t="shared" si="158"/>
        <v>94625</v>
      </c>
      <c r="B1956" s="2840">
        <v>94600</v>
      </c>
      <c r="C1956" s="2840">
        <v>94650</v>
      </c>
      <c r="D1956" s="2841">
        <f t="shared" si="154"/>
        <v>17000</v>
      </c>
      <c r="E1956" s="2841">
        <f t="shared" si="155"/>
        <v>12697</v>
      </c>
      <c r="F1956" s="2841">
        <f t="shared" si="156"/>
        <v>17000</v>
      </c>
      <c r="G1956" s="2841">
        <f t="shared" si="157"/>
        <v>15608</v>
      </c>
    </row>
    <row r="1957" spans="1:7" ht="15.75">
      <c r="A1957" s="3022">
        <f t="shared" si="158"/>
        <v>94675</v>
      </c>
      <c r="B1957" s="2840">
        <v>94650</v>
      </c>
      <c r="C1957" s="2840">
        <v>94700</v>
      </c>
      <c r="D1957" s="2841">
        <f t="shared" si="154"/>
        <v>17012</v>
      </c>
      <c r="E1957" s="2841">
        <f t="shared" si="155"/>
        <v>12708</v>
      </c>
      <c r="F1957" s="2841">
        <f t="shared" si="156"/>
        <v>17012</v>
      </c>
      <c r="G1957" s="2841">
        <f t="shared" si="157"/>
        <v>15620</v>
      </c>
    </row>
    <row r="1958" spans="1:7" ht="15.75">
      <c r="A1958" s="3022">
        <f t="shared" si="158"/>
        <v>94725</v>
      </c>
      <c r="B1958" s="2840">
        <v>94700</v>
      </c>
      <c r="C1958" s="2840">
        <v>94750</v>
      </c>
      <c r="D1958" s="2841">
        <f t="shared" si="154"/>
        <v>17024</v>
      </c>
      <c r="E1958" s="2841">
        <f t="shared" si="155"/>
        <v>12719</v>
      </c>
      <c r="F1958" s="2841">
        <f t="shared" si="156"/>
        <v>17024</v>
      </c>
      <c r="G1958" s="2841">
        <f t="shared" si="157"/>
        <v>15632</v>
      </c>
    </row>
    <row r="1959" spans="1:7" ht="15.75">
      <c r="A1959" s="3022">
        <f t="shared" si="158"/>
        <v>94775</v>
      </c>
      <c r="B1959" s="2840">
        <v>94750</v>
      </c>
      <c r="C1959" s="2840">
        <v>94800</v>
      </c>
      <c r="D1959" s="2841">
        <f t="shared" si="154"/>
        <v>17036</v>
      </c>
      <c r="E1959" s="2841">
        <f t="shared" si="155"/>
        <v>12730</v>
      </c>
      <c r="F1959" s="2841">
        <f t="shared" si="156"/>
        <v>17036</v>
      </c>
      <c r="G1959" s="2841">
        <f t="shared" si="157"/>
        <v>15644</v>
      </c>
    </row>
    <row r="1960" spans="1:7" ht="15.75">
      <c r="A1960" s="3022">
        <f t="shared" si="158"/>
        <v>94825</v>
      </c>
      <c r="B1960" s="2840">
        <v>94800</v>
      </c>
      <c r="C1960" s="2840">
        <v>94850</v>
      </c>
      <c r="D1960" s="2841">
        <f t="shared" si="154"/>
        <v>17048</v>
      </c>
      <c r="E1960" s="2841">
        <f t="shared" si="155"/>
        <v>12741</v>
      </c>
      <c r="F1960" s="2841">
        <f t="shared" si="156"/>
        <v>17048</v>
      </c>
      <c r="G1960" s="2841">
        <f t="shared" si="157"/>
        <v>15656</v>
      </c>
    </row>
    <row r="1961" spans="1:7" ht="15.75">
      <c r="A1961" s="3022">
        <f t="shared" si="158"/>
        <v>94875</v>
      </c>
      <c r="B1961" s="2840">
        <v>94850</v>
      </c>
      <c r="C1961" s="2840">
        <v>94900</v>
      </c>
      <c r="D1961" s="2841">
        <f t="shared" si="154"/>
        <v>17060</v>
      </c>
      <c r="E1961" s="2841">
        <f t="shared" si="155"/>
        <v>12752</v>
      </c>
      <c r="F1961" s="2841">
        <f t="shared" si="156"/>
        <v>17060</v>
      </c>
      <c r="G1961" s="2841">
        <f t="shared" si="157"/>
        <v>15668</v>
      </c>
    </row>
    <row r="1962" spans="1:7" ht="15.75">
      <c r="A1962" s="3022">
        <f t="shared" si="158"/>
        <v>94925</v>
      </c>
      <c r="B1962" s="2840">
        <v>94900</v>
      </c>
      <c r="C1962" s="2840">
        <v>94950</v>
      </c>
      <c r="D1962" s="2841">
        <f t="shared" si="154"/>
        <v>17072</v>
      </c>
      <c r="E1962" s="2841">
        <f t="shared" si="155"/>
        <v>12763</v>
      </c>
      <c r="F1962" s="2841">
        <f t="shared" si="156"/>
        <v>17072</v>
      </c>
      <c r="G1962" s="2841">
        <f t="shared" si="157"/>
        <v>15680</v>
      </c>
    </row>
    <row r="1963" spans="1:7" ht="15.75">
      <c r="A1963" s="3022">
        <f t="shared" si="158"/>
        <v>94975</v>
      </c>
      <c r="B1963" s="2840">
        <v>94950</v>
      </c>
      <c r="C1963" s="2840">
        <v>95000</v>
      </c>
      <c r="D1963" s="2841">
        <f t="shared" si="154"/>
        <v>17084</v>
      </c>
      <c r="E1963" s="2841">
        <f t="shared" si="155"/>
        <v>12774</v>
      </c>
      <c r="F1963" s="2841">
        <f t="shared" si="156"/>
        <v>17084</v>
      </c>
      <c r="G1963" s="2841">
        <f t="shared" si="157"/>
        <v>15692</v>
      </c>
    </row>
    <row r="1964" spans="1:7" ht="15.75">
      <c r="A1964" s="3022">
        <f t="shared" si="158"/>
        <v>95025</v>
      </c>
      <c r="B1964" s="2840">
        <v>95000</v>
      </c>
      <c r="C1964" s="2840">
        <v>95050</v>
      </c>
      <c r="D1964" s="2841">
        <f t="shared" si="154"/>
        <v>17096</v>
      </c>
      <c r="E1964" s="2841">
        <f t="shared" si="155"/>
        <v>12785</v>
      </c>
      <c r="F1964" s="2841">
        <f t="shared" si="156"/>
        <v>17096</v>
      </c>
      <c r="G1964" s="2841">
        <f t="shared" si="157"/>
        <v>15704</v>
      </c>
    </row>
    <row r="1965" spans="1:7" ht="15.75">
      <c r="A1965" s="3022">
        <f t="shared" si="158"/>
        <v>95075</v>
      </c>
      <c r="B1965" s="2840">
        <v>95050</v>
      </c>
      <c r="C1965" s="2840">
        <v>95100</v>
      </c>
      <c r="D1965" s="2841">
        <f t="shared" si="154"/>
        <v>17108</v>
      </c>
      <c r="E1965" s="2841">
        <f t="shared" si="155"/>
        <v>12796</v>
      </c>
      <c r="F1965" s="2841">
        <f t="shared" si="156"/>
        <v>17108</v>
      </c>
      <c r="G1965" s="2841">
        <f t="shared" si="157"/>
        <v>15716</v>
      </c>
    </row>
    <row r="1966" spans="1:7" ht="15.75">
      <c r="A1966" s="3022">
        <f t="shared" si="158"/>
        <v>95125</v>
      </c>
      <c r="B1966" s="2840">
        <v>95100</v>
      </c>
      <c r="C1966" s="2840">
        <v>95150</v>
      </c>
      <c r="D1966" s="2841">
        <f t="shared" si="154"/>
        <v>17120</v>
      </c>
      <c r="E1966" s="2841">
        <f t="shared" si="155"/>
        <v>12807</v>
      </c>
      <c r="F1966" s="2841">
        <f t="shared" si="156"/>
        <v>17120</v>
      </c>
      <c r="G1966" s="2841">
        <f t="shared" si="157"/>
        <v>15728</v>
      </c>
    </row>
    <row r="1967" spans="1:7" ht="15.75">
      <c r="A1967" s="3022">
        <f t="shared" si="158"/>
        <v>95175</v>
      </c>
      <c r="B1967" s="2840">
        <v>95150</v>
      </c>
      <c r="C1967" s="2840">
        <v>95200</v>
      </c>
      <c r="D1967" s="2841">
        <f t="shared" si="154"/>
        <v>17132</v>
      </c>
      <c r="E1967" s="2841">
        <f t="shared" si="155"/>
        <v>12818</v>
      </c>
      <c r="F1967" s="2841">
        <f t="shared" si="156"/>
        <v>17132</v>
      </c>
      <c r="G1967" s="2841">
        <f t="shared" si="157"/>
        <v>15740</v>
      </c>
    </row>
    <row r="1968" spans="1:7" ht="15.75">
      <c r="A1968" s="3022">
        <f t="shared" si="158"/>
        <v>95225</v>
      </c>
      <c r="B1968" s="2840">
        <v>95200</v>
      </c>
      <c r="C1968" s="2840">
        <v>95250</v>
      </c>
      <c r="D1968" s="2841">
        <f t="shared" si="154"/>
        <v>17144</v>
      </c>
      <c r="E1968" s="2841">
        <f t="shared" si="155"/>
        <v>12829</v>
      </c>
      <c r="F1968" s="2841">
        <f t="shared" si="156"/>
        <v>17144</v>
      </c>
      <c r="G1968" s="2841">
        <f t="shared" si="157"/>
        <v>15752</v>
      </c>
    </row>
    <row r="1969" spans="1:7" ht="15.75">
      <c r="A1969" s="3022">
        <f t="shared" si="158"/>
        <v>95275</v>
      </c>
      <c r="B1969" s="2840">
        <v>95250</v>
      </c>
      <c r="C1969" s="2840">
        <v>95300</v>
      </c>
      <c r="D1969" s="2841">
        <f t="shared" si="154"/>
        <v>17156</v>
      </c>
      <c r="E1969" s="2841">
        <f t="shared" si="155"/>
        <v>12840</v>
      </c>
      <c r="F1969" s="2841">
        <f t="shared" si="156"/>
        <v>17156</v>
      </c>
      <c r="G1969" s="2841">
        <f t="shared" si="157"/>
        <v>15764</v>
      </c>
    </row>
    <row r="1970" spans="1:7" ht="15.75">
      <c r="A1970" s="3022">
        <f t="shared" si="158"/>
        <v>95325</v>
      </c>
      <c r="B1970" s="2840">
        <v>95300</v>
      </c>
      <c r="C1970" s="2840">
        <v>95350</v>
      </c>
      <c r="D1970" s="2841">
        <f t="shared" si="154"/>
        <v>17168</v>
      </c>
      <c r="E1970" s="2841">
        <f t="shared" si="155"/>
        <v>12851</v>
      </c>
      <c r="F1970" s="2841">
        <f t="shared" si="156"/>
        <v>17168</v>
      </c>
      <c r="G1970" s="2841">
        <f t="shared" si="157"/>
        <v>15776</v>
      </c>
    </row>
    <row r="1971" spans="1:7" ht="15.75">
      <c r="A1971" s="3022">
        <f t="shared" si="158"/>
        <v>95375</v>
      </c>
      <c r="B1971" s="2840">
        <v>95350</v>
      </c>
      <c r="C1971" s="2840">
        <v>95400</v>
      </c>
      <c r="D1971" s="2841">
        <f t="shared" si="154"/>
        <v>17180</v>
      </c>
      <c r="E1971" s="2841">
        <f t="shared" si="155"/>
        <v>12862</v>
      </c>
      <c r="F1971" s="2841">
        <f t="shared" si="156"/>
        <v>17180</v>
      </c>
      <c r="G1971" s="2841">
        <f t="shared" si="157"/>
        <v>15788</v>
      </c>
    </row>
    <row r="1972" spans="1:7" ht="15.75">
      <c r="A1972" s="3022">
        <f t="shared" si="158"/>
        <v>95425</v>
      </c>
      <c r="B1972" s="2840">
        <v>95400</v>
      </c>
      <c r="C1972" s="2840">
        <v>95450</v>
      </c>
      <c r="D1972" s="2841">
        <f t="shared" si="154"/>
        <v>17192</v>
      </c>
      <c r="E1972" s="2841">
        <f t="shared" si="155"/>
        <v>12873</v>
      </c>
      <c r="F1972" s="2841">
        <f t="shared" si="156"/>
        <v>17192</v>
      </c>
      <c r="G1972" s="2841">
        <f t="shared" si="157"/>
        <v>15800</v>
      </c>
    </row>
    <row r="1973" spans="1:7" ht="15.75">
      <c r="A1973" s="3022">
        <f t="shared" si="158"/>
        <v>95475</v>
      </c>
      <c r="B1973" s="2840">
        <v>95450</v>
      </c>
      <c r="C1973" s="2840">
        <v>95500</v>
      </c>
      <c r="D1973" s="2841">
        <f t="shared" si="154"/>
        <v>17204</v>
      </c>
      <c r="E1973" s="2841">
        <f t="shared" si="155"/>
        <v>12884</v>
      </c>
      <c r="F1973" s="2841">
        <f t="shared" si="156"/>
        <v>17204</v>
      </c>
      <c r="G1973" s="2841">
        <f t="shared" si="157"/>
        <v>15812</v>
      </c>
    </row>
    <row r="1974" spans="1:7" ht="15.75">
      <c r="A1974" s="3022">
        <f t="shared" si="158"/>
        <v>95525</v>
      </c>
      <c r="B1974" s="2840">
        <v>95500</v>
      </c>
      <c r="C1974" s="2840">
        <v>95550</v>
      </c>
      <c r="D1974" s="2841">
        <f t="shared" si="154"/>
        <v>17216</v>
      </c>
      <c r="E1974" s="2841">
        <f t="shared" si="155"/>
        <v>12895</v>
      </c>
      <c r="F1974" s="2841">
        <f t="shared" si="156"/>
        <v>17216</v>
      </c>
      <c r="G1974" s="2841">
        <f t="shared" si="157"/>
        <v>15824</v>
      </c>
    </row>
    <row r="1975" spans="1:7" ht="15.75">
      <c r="A1975" s="3022">
        <f t="shared" si="158"/>
        <v>95575</v>
      </c>
      <c r="B1975" s="2840">
        <v>95550</v>
      </c>
      <c r="C1975" s="2840">
        <v>95600</v>
      </c>
      <c r="D1975" s="2841">
        <f t="shared" si="154"/>
        <v>17228</v>
      </c>
      <c r="E1975" s="2841">
        <f t="shared" si="155"/>
        <v>12906</v>
      </c>
      <c r="F1975" s="2841">
        <f t="shared" si="156"/>
        <v>17228</v>
      </c>
      <c r="G1975" s="2841">
        <f t="shared" si="157"/>
        <v>15836</v>
      </c>
    </row>
    <row r="1976" spans="1:7" ht="15.75">
      <c r="A1976" s="3022">
        <f t="shared" si="158"/>
        <v>95625</v>
      </c>
      <c r="B1976" s="2840">
        <v>95600</v>
      </c>
      <c r="C1976" s="2840">
        <v>95650</v>
      </c>
      <c r="D1976" s="2841">
        <f t="shared" si="154"/>
        <v>17240</v>
      </c>
      <c r="E1976" s="2841">
        <f t="shared" si="155"/>
        <v>12917</v>
      </c>
      <c r="F1976" s="2841">
        <f t="shared" si="156"/>
        <v>17240</v>
      </c>
      <c r="G1976" s="2841">
        <f t="shared" si="157"/>
        <v>15848</v>
      </c>
    </row>
    <row r="1977" spans="1:7" ht="15.75">
      <c r="A1977" s="3022">
        <f t="shared" si="158"/>
        <v>95675</v>
      </c>
      <c r="B1977" s="2840">
        <v>95650</v>
      </c>
      <c r="C1977" s="2840">
        <v>95700</v>
      </c>
      <c r="D1977" s="2841">
        <f t="shared" si="154"/>
        <v>17252</v>
      </c>
      <c r="E1977" s="2841">
        <f t="shared" si="155"/>
        <v>12928</v>
      </c>
      <c r="F1977" s="2841">
        <f t="shared" si="156"/>
        <v>17252</v>
      </c>
      <c r="G1977" s="2841">
        <f t="shared" si="157"/>
        <v>15860</v>
      </c>
    </row>
    <row r="1978" spans="1:7" ht="15.75">
      <c r="A1978" s="3022">
        <f t="shared" si="158"/>
        <v>95725</v>
      </c>
      <c r="B1978" s="2840">
        <v>95700</v>
      </c>
      <c r="C1978" s="2840">
        <v>95750</v>
      </c>
      <c r="D1978" s="2841">
        <f t="shared" si="154"/>
        <v>17264</v>
      </c>
      <c r="E1978" s="2841">
        <f t="shared" si="155"/>
        <v>12939</v>
      </c>
      <c r="F1978" s="2841">
        <f t="shared" si="156"/>
        <v>17264</v>
      </c>
      <c r="G1978" s="2841">
        <f t="shared" si="157"/>
        <v>15872</v>
      </c>
    </row>
    <row r="1979" spans="1:7" ht="15.75">
      <c r="A1979" s="3022">
        <f t="shared" si="158"/>
        <v>95775</v>
      </c>
      <c r="B1979" s="2840">
        <v>95750</v>
      </c>
      <c r="C1979" s="2840">
        <v>95800</v>
      </c>
      <c r="D1979" s="2841">
        <f t="shared" si="154"/>
        <v>17276</v>
      </c>
      <c r="E1979" s="2841">
        <f t="shared" si="155"/>
        <v>12950</v>
      </c>
      <c r="F1979" s="2841">
        <f t="shared" si="156"/>
        <v>17276</v>
      </c>
      <c r="G1979" s="2841">
        <f t="shared" si="157"/>
        <v>15884</v>
      </c>
    </row>
    <row r="1980" spans="1:7" ht="15.75">
      <c r="A1980" s="3022">
        <f t="shared" si="158"/>
        <v>95825</v>
      </c>
      <c r="B1980" s="2840">
        <v>95800</v>
      </c>
      <c r="C1980" s="2840">
        <v>95850</v>
      </c>
      <c r="D1980" s="2841">
        <f t="shared" si="154"/>
        <v>17288</v>
      </c>
      <c r="E1980" s="2841">
        <f t="shared" si="155"/>
        <v>12961</v>
      </c>
      <c r="F1980" s="2841">
        <f t="shared" si="156"/>
        <v>17288</v>
      </c>
      <c r="G1980" s="2841">
        <f t="shared" si="157"/>
        <v>15896</v>
      </c>
    </row>
    <row r="1981" spans="1:7" ht="15.75">
      <c r="A1981" s="3022">
        <f t="shared" si="158"/>
        <v>95875</v>
      </c>
      <c r="B1981" s="2840">
        <v>95850</v>
      </c>
      <c r="C1981" s="2840">
        <v>95900</v>
      </c>
      <c r="D1981" s="2841">
        <f t="shared" si="154"/>
        <v>17300</v>
      </c>
      <c r="E1981" s="2841">
        <f t="shared" si="155"/>
        <v>12972</v>
      </c>
      <c r="F1981" s="2841">
        <f t="shared" si="156"/>
        <v>17300</v>
      </c>
      <c r="G1981" s="2841">
        <f t="shared" si="157"/>
        <v>15908</v>
      </c>
    </row>
    <row r="1982" spans="1:7" ht="15.75">
      <c r="A1982" s="3022">
        <f t="shared" si="158"/>
        <v>95925</v>
      </c>
      <c r="B1982" s="2840">
        <v>95900</v>
      </c>
      <c r="C1982" s="2840">
        <v>95950</v>
      </c>
      <c r="D1982" s="2841">
        <f t="shared" si="154"/>
        <v>17312</v>
      </c>
      <c r="E1982" s="2841">
        <f t="shared" si="155"/>
        <v>12983</v>
      </c>
      <c r="F1982" s="2841">
        <f t="shared" si="156"/>
        <v>17312</v>
      </c>
      <c r="G1982" s="2841">
        <f t="shared" si="157"/>
        <v>15920</v>
      </c>
    </row>
    <row r="1983" spans="1:7" ht="15.75">
      <c r="A1983" s="3022">
        <f t="shared" si="158"/>
        <v>95975</v>
      </c>
      <c r="B1983" s="2840">
        <v>95950</v>
      </c>
      <c r="C1983" s="2840">
        <v>96000</v>
      </c>
      <c r="D1983" s="2841">
        <f t="shared" si="154"/>
        <v>17324</v>
      </c>
      <c r="E1983" s="2841">
        <f t="shared" si="155"/>
        <v>12994</v>
      </c>
      <c r="F1983" s="2841">
        <f t="shared" si="156"/>
        <v>17324</v>
      </c>
      <c r="G1983" s="2841">
        <f t="shared" si="157"/>
        <v>15932</v>
      </c>
    </row>
    <row r="1984" spans="1:7" ht="15.75">
      <c r="A1984" s="3022">
        <f t="shared" si="158"/>
        <v>96025</v>
      </c>
      <c r="B1984" s="2840">
        <v>96000</v>
      </c>
      <c r="C1984" s="2840">
        <v>96050</v>
      </c>
      <c r="D1984" s="2841">
        <f t="shared" si="154"/>
        <v>17336</v>
      </c>
      <c r="E1984" s="2841">
        <f t="shared" si="155"/>
        <v>13005</v>
      </c>
      <c r="F1984" s="2841">
        <f t="shared" si="156"/>
        <v>17336</v>
      </c>
      <c r="G1984" s="2841">
        <f t="shared" si="157"/>
        <v>15944</v>
      </c>
    </row>
    <row r="1985" spans="1:7" ht="15.75">
      <c r="A1985" s="3022">
        <f t="shared" si="158"/>
        <v>96075</v>
      </c>
      <c r="B1985" s="2840">
        <v>96050</v>
      </c>
      <c r="C1985" s="2840">
        <v>96100</v>
      </c>
      <c r="D1985" s="2841">
        <f t="shared" si="154"/>
        <v>17348</v>
      </c>
      <c r="E1985" s="2841">
        <f t="shared" si="155"/>
        <v>13016</v>
      </c>
      <c r="F1985" s="2841">
        <f t="shared" si="156"/>
        <v>17348</v>
      </c>
      <c r="G1985" s="2841">
        <f t="shared" si="157"/>
        <v>15956</v>
      </c>
    </row>
    <row r="1986" spans="1:7" ht="15.75">
      <c r="A1986" s="3022">
        <f t="shared" si="158"/>
        <v>96125</v>
      </c>
      <c r="B1986" s="2840">
        <v>96100</v>
      </c>
      <c r="C1986" s="2840">
        <v>96150</v>
      </c>
      <c r="D1986" s="2841">
        <f t="shared" ref="D1986:D2049" si="159">IF($A1986&gt;BOTT_A4,ROUND(BASE_A4+RATE_A4*($A1986-BOTT_A4),0),IF($A1986&gt;BOTT_A3,ROUND(BASE_A3+RATE_A3*($A1986-BOTT_A3),0),IF($A1986&gt;BOTT_A2,ROUND(BASE_A2+RATE_A2*($A1986-BOTT_A2),0),ROUND(RATE_A1*$A1986,0))))</f>
        <v>17360</v>
      </c>
      <c r="E1986" s="2841">
        <f t="shared" ref="E1986:E2049" si="160">IF($A1986&gt;BOTT_B4,ROUND(BASE_B4+RATE_B4*($A1986-BOTT_B4),0),IF($A1986&gt;BOTT_B3,ROUND(BASE_B3+RATE_B3*($A1986-BOTT_B3),0),IF($A1986&gt;BOTT_B2,ROUND(BASE_B2+RATE_B2*($A1986-BOTT_B2),0),ROUND(RATE_B1*$A1986,0))))</f>
        <v>13027</v>
      </c>
      <c r="F1986" s="2841">
        <f t="shared" ref="F1986:F2049" si="161">IF($A1986&gt;BOTT_C4,ROUND(BASE_C4+RATE_C4*($A1986-BOTT_C4),0),IF($A1986&gt;BOTT_C3,ROUND(BASE_C3+RATE_C3*($A1986-BOTT_C3),0),IF($A1986&gt;BOTT_C2,ROUND(BASE_C2+RATE_C2*($A1986-BOTT_C2),0),ROUND(RATE_C1*$A1986,0))))</f>
        <v>17360</v>
      </c>
      <c r="G1986" s="2841">
        <f t="shared" ref="G1986:G2049" si="162">IF($A1986&gt;BOTT_D4,ROUND(BASE_D4+RATE_D4*($A1986-BOTT_D4),0),IF($A1986&gt;BOTT_D3,ROUND(BASE_D3+RATE_D3*($A1986-BOTT_D3),0),IF($A1986&gt;BOTT_D2,ROUND(BASE_D2+RATE_D2*($A1986-BOTT_D2),0),ROUND(RATE_D1*$A1986,0))))</f>
        <v>15968</v>
      </c>
    </row>
    <row r="1987" spans="1:7" ht="15.75">
      <c r="A1987" s="3022">
        <f t="shared" ref="A1987:A2050" si="163">AVERAGE(B1987,C1987)</f>
        <v>96175</v>
      </c>
      <c r="B1987" s="2840">
        <v>96150</v>
      </c>
      <c r="C1987" s="2840">
        <v>96200</v>
      </c>
      <c r="D1987" s="2841">
        <f t="shared" si="159"/>
        <v>17372</v>
      </c>
      <c r="E1987" s="2841">
        <f t="shared" si="160"/>
        <v>13038</v>
      </c>
      <c r="F1987" s="2841">
        <f t="shared" si="161"/>
        <v>17372</v>
      </c>
      <c r="G1987" s="2841">
        <f t="shared" si="162"/>
        <v>15980</v>
      </c>
    </row>
    <row r="1988" spans="1:7" ht="15.75">
      <c r="A1988" s="3022">
        <f t="shared" si="163"/>
        <v>96225</v>
      </c>
      <c r="B1988" s="2840">
        <v>96200</v>
      </c>
      <c r="C1988" s="2840">
        <v>96250</v>
      </c>
      <c r="D1988" s="2841">
        <f t="shared" si="159"/>
        <v>17384</v>
      </c>
      <c r="E1988" s="2841">
        <f t="shared" si="160"/>
        <v>13049</v>
      </c>
      <c r="F1988" s="2841">
        <f t="shared" si="161"/>
        <v>17384</v>
      </c>
      <c r="G1988" s="2841">
        <f t="shared" si="162"/>
        <v>15992</v>
      </c>
    </row>
    <row r="1989" spans="1:7" ht="15.75">
      <c r="A1989" s="3022">
        <f t="shared" si="163"/>
        <v>96275</v>
      </c>
      <c r="B1989" s="2840">
        <v>96250</v>
      </c>
      <c r="C1989" s="2840">
        <v>96300</v>
      </c>
      <c r="D1989" s="2841">
        <f t="shared" si="159"/>
        <v>17396</v>
      </c>
      <c r="E1989" s="2841">
        <f t="shared" si="160"/>
        <v>13060</v>
      </c>
      <c r="F1989" s="2841">
        <f t="shared" si="161"/>
        <v>17396</v>
      </c>
      <c r="G1989" s="2841">
        <f t="shared" si="162"/>
        <v>16004</v>
      </c>
    </row>
    <row r="1990" spans="1:7" ht="15.75">
      <c r="A1990" s="3022">
        <f t="shared" si="163"/>
        <v>96325</v>
      </c>
      <c r="B1990" s="2840">
        <v>96300</v>
      </c>
      <c r="C1990" s="2840">
        <v>96350</v>
      </c>
      <c r="D1990" s="2841">
        <f t="shared" si="159"/>
        <v>17408</v>
      </c>
      <c r="E1990" s="2841">
        <f t="shared" si="160"/>
        <v>13071</v>
      </c>
      <c r="F1990" s="2841">
        <f t="shared" si="161"/>
        <v>17408</v>
      </c>
      <c r="G1990" s="2841">
        <f t="shared" si="162"/>
        <v>16016</v>
      </c>
    </row>
    <row r="1991" spans="1:7" ht="15.75">
      <c r="A1991" s="3022">
        <f t="shared" si="163"/>
        <v>96375</v>
      </c>
      <c r="B1991" s="2840">
        <v>96350</v>
      </c>
      <c r="C1991" s="2840">
        <v>96400</v>
      </c>
      <c r="D1991" s="2841">
        <f t="shared" si="159"/>
        <v>17420</v>
      </c>
      <c r="E1991" s="2841">
        <f t="shared" si="160"/>
        <v>13082</v>
      </c>
      <c r="F1991" s="2841">
        <f t="shared" si="161"/>
        <v>17420</v>
      </c>
      <c r="G1991" s="2841">
        <f t="shared" si="162"/>
        <v>16028</v>
      </c>
    </row>
    <row r="1992" spans="1:7" ht="15.75">
      <c r="A1992" s="3022">
        <f t="shared" si="163"/>
        <v>96425</v>
      </c>
      <c r="B1992" s="2840">
        <v>96400</v>
      </c>
      <c r="C1992" s="2840">
        <v>96450</v>
      </c>
      <c r="D1992" s="2841">
        <f t="shared" si="159"/>
        <v>17432</v>
      </c>
      <c r="E1992" s="2841">
        <f t="shared" si="160"/>
        <v>13093</v>
      </c>
      <c r="F1992" s="2841">
        <f t="shared" si="161"/>
        <v>17432</v>
      </c>
      <c r="G1992" s="2841">
        <f t="shared" si="162"/>
        <v>16040</v>
      </c>
    </row>
    <row r="1993" spans="1:7" ht="15.75">
      <c r="A1993" s="3022">
        <f t="shared" si="163"/>
        <v>96475</v>
      </c>
      <c r="B1993" s="2840">
        <v>96450</v>
      </c>
      <c r="C1993" s="2840">
        <v>96500</v>
      </c>
      <c r="D1993" s="2841">
        <f t="shared" si="159"/>
        <v>17444</v>
      </c>
      <c r="E1993" s="2841">
        <f t="shared" si="160"/>
        <v>13104</v>
      </c>
      <c r="F1993" s="2841">
        <f t="shared" si="161"/>
        <v>17444</v>
      </c>
      <c r="G1993" s="2841">
        <f t="shared" si="162"/>
        <v>16052</v>
      </c>
    </row>
    <row r="1994" spans="1:7" ht="15.75">
      <c r="A1994" s="3022">
        <f t="shared" si="163"/>
        <v>96525</v>
      </c>
      <c r="B1994" s="2840">
        <v>96500</v>
      </c>
      <c r="C1994" s="2840">
        <v>96550</v>
      </c>
      <c r="D1994" s="2841">
        <f t="shared" si="159"/>
        <v>17456</v>
      </c>
      <c r="E1994" s="2841">
        <f t="shared" si="160"/>
        <v>13115</v>
      </c>
      <c r="F1994" s="2841">
        <f t="shared" si="161"/>
        <v>17456</v>
      </c>
      <c r="G1994" s="2841">
        <f t="shared" si="162"/>
        <v>16064</v>
      </c>
    </row>
    <row r="1995" spans="1:7" ht="15.75">
      <c r="A1995" s="3022">
        <f t="shared" si="163"/>
        <v>96575</v>
      </c>
      <c r="B1995" s="2840">
        <v>96550</v>
      </c>
      <c r="C1995" s="2840">
        <v>96600</v>
      </c>
      <c r="D1995" s="2841">
        <f t="shared" si="159"/>
        <v>17468</v>
      </c>
      <c r="E1995" s="2841">
        <f t="shared" si="160"/>
        <v>13126</v>
      </c>
      <c r="F1995" s="2841">
        <f t="shared" si="161"/>
        <v>17468</v>
      </c>
      <c r="G1995" s="2841">
        <f t="shared" si="162"/>
        <v>16076</v>
      </c>
    </row>
    <row r="1996" spans="1:7" ht="15.75">
      <c r="A1996" s="3022">
        <f t="shared" si="163"/>
        <v>96625</v>
      </c>
      <c r="B1996" s="2840">
        <v>96600</v>
      </c>
      <c r="C1996" s="2840">
        <v>96650</v>
      </c>
      <c r="D1996" s="2841">
        <f t="shared" si="159"/>
        <v>17480</v>
      </c>
      <c r="E1996" s="2841">
        <f t="shared" si="160"/>
        <v>13137</v>
      </c>
      <c r="F1996" s="2841">
        <f t="shared" si="161"/>
        <v>17480</v>
      </c>
      <c r="G1996" s="2841">
        <f t="shared" si="162"/>
        <v>16088</v>
      </c>
    </row>
    <row r="1997" spans="1:7" ht="15.75">
      <c r="A1997" s="3022">
        <f t="shared" si="163"/>
        <v>96675</v>
      </c>
      <c r="B1997" s="2840">
        <v>96650</v>
      </c>
      <c r="C1997" s="2840">
        <v>96700</v>
      </c>
      <c r="D1997" s="2841">
        <f t="shared" si="159"/>
        <v>17492</v>
      </c>
      <c r="E1997" s="2841">
        <f t="shared" si="160"/>
        <v>13148</v>
      </c>
      <c r="F1997" s="2841">
        <f t="shared" si="161"/>
        <v>17492</v>
      </c>
      <c r="G1997" s="2841">
        <f t="shared" si="162"/>
        <v>16100</v>
      </c>
    </row>
    <row r="1998" spans="1:7" ht="15.75">
      <c r="A1998" s="3022">
        <f t="shared" si="163"/>
        <v>96725</v>
      </c>
      <c r="B1998" s="2840">
        <v>96700</v>
      </c>
      <c r="C1998" s="2840">
        <v>96750</v>
      </c>
      <c r="D1998" s="2841">
        <f t="shared" si="159"/>
        <v>17504</v>
      </c>
      <c r="E1998" s="2841">
        <f t="shared" si="160"/>
        <v>13159</v>
      </c>
      <c r="F1998" s="2841">
        <f t="shared" si="161"/>
        <v>17504</v>
      </c>
      <c r="G1998" s="2841">
        <f t="shared" si="162"/>
        <v>16112</v>
      </c>
    </row>
    <row r="1999" spans="1:7" ht="15.75">
      <c r="A1999" s="3022">
        <f t="shared" si="163"/>
        <v>96775</v>
      </c>
      <c r="B1999" s="2840">
        <v>96750</v>
      </c>
      <c r="C1999" s="2840">
        <v>96800</v>
      </c>
      <c r="D1999" s="2841">
        <f t="shared" si="159"/>
        <v>17516</v>
      </c>
      <c r="E1999" s="2841">
        <f t="shared" si="160"/>
        <v>13170</v>
      </c>
      <c r="F1999" s="2841">
        <f t="shared" si="161"/>
        <v>17516</v>
      </c>
      <c r="G1999" s="2841">
        <f t="shared" si="162"/>
        <v>16124</v>
      </c>
    </row>
    <row r="2000" spans="1:7" ht="15.75">
      <c r="A2000" s="3022">
        <f t="shared" si="163"/>
        <v>96825</v>
      </c>
      <c r="B2000" s="2840">
        <v>96800</v>
      </c>
      <c r="C2000" s="2840">
        <v>96850</v>
      </c>
      <c r="D2000" s="2841">
        <f t="shared" si="159"/>
        <v>17528</v>
      </c>
      <c r="E2000" s="2841">
        <f t="shared" si="160"/>
        <v>13181</v>
      </c>
      <c r="F2000" s="2841">
        <f t="shared" si="161"/>
        <v>17528</v>
      </c>
      <c r="G2000" s="2841">
        <f t="shared" si="162"/>
        <v>16136</v>
      </c>
    </row>
    <row r="2001" spans="1:7" ht="15.75">
      <c r="A2001" s="3022">
        <f t="shared" si="163"/>
        <v>96875</v>
      </c>
      <c r="B2001" s="2840">
        <v>96850</v>
      </c>
      <c r="C2001" s="2840">
        <v>96900</v>
      </c>
      <c r="D2001" s="2841">
        <f t="shared" si="159"/>
        <v>17540</v>
      </c>
      <c r="E2001" s="2841">
        <f t="shared" si="160"/>
        <v>13192</v>
      </c>
      <c r="F2001" s="2841">
        <f t="shared" si="161"/>
        <v>17540</v>
      </c>
      <c r="G2001" s="2841">
        <f t="shared" si="162"/>
        <v>16148</v>
      </c>
    </row>
    <row r="2002" spans="1:7" ht="15.75">
      <c r="A2002" s="3022">
        <f t="shared" si="163"/>
        <v>96925</v>
      </c>
      <c r="B2002" s="2840">
        <v>96900</v>
      </c>
      <c r="C2002" s="2840">
        <v>96950</v>
      </c>
      <c r="D2002" s="2841">
        <f t="shared" si="159"/>
        <v>17552</v>
      </c>
      <c r="E2002" s="2841">
        <f t="shared" si="160"/>
        <v>13203</v>
      </c>
      <c r="F2002" s="2841">
        <f t="shared" si="161"/>
        <v>17552</v>
      </c>
      <c r="G2002" s="2841">
        <f t="shared" si="162"/>
        <v>16160</v>
      </c>
    </row>
    <row r="2003" spans="1:7" ht="15.75">
      <c r="A2003" s="3022">
        <f t="shared" si="163"/>
        <v>96975</v>
      </c>
      <c r="B2003" s="2840">
        <v>96950</v>
      </c>
      <c r="C2003" s="2840">
        <v>97000</v>
      </c>
      <c r="D2003" s="2841">
        <f t="shared" si="159"/>
        <v>17564</v>
      </c>
      <c r="E2003" s="2841">
        <f t="shared" si="160"/>
        <v>13214</v>
      </c>
      <c r="F2003" s="2841">
        <f t="shared" si="161"/>
        <v>17564</v>
      </c>
      <c r="G2003" s="2841">
        <f t="shared" si="162"/>
        <v>16172</v>
      </c>
    </row>
    <row r="2004" spans="1:7" ht="15.75">
      <c r="A2004" s="3022">
        <f t="shared" si="163"/>
        <v>97025</v>
      </c>
      <c r="B2004" s="2840">
        <v>97000</v>
      </c>
      <c r="C2004" s="2840">
        <v>97050</v>
      </c>
      <c r="D2004" s="2841">
        <f t="shared" si="159"/>
        <v>17576</v>
      </c>
      <c r="E2004" s="2841">
        <f t="shared" si="160"/>
        <v>13225</v>
      </c>
      <c r="F2004" s="2841">
        <f t="shared" si="161"/>
        <v>17576</v>
      </c>
      <c r="G2004" s="2841">
        <f t="shared" si="162"/>
        <v>16184</v>
      </c>
    </row>
    <row r="2005" spans="1:7" ht="15.75">
      <c r="A2005" s="3022">
        <f t="shared" si="163"/>
        <v>97075</v>
      </c>
      <c r="B2005" s="2840">
        <v>97050</v>
      </c>
      <c r="C2005" s="2840">
        <v>97100</v>
      </c>
      <c r="D2005" s="2841">
        <f t="shared" si="159"/>
        <v>17588</v>
      </c>
      <c r="E2005" s="2841">
        <f t="shared" si="160"/>
        <v>13236</v>
      </c>
      <c r="F2005" s="2841">
        <f t="shared" si="161"/>
        <v>17588</v>
      </c>
      <c r="G2005" s="2841">
        <f t="shared" si="162"/>
        <v>16196</v>
      </c>
    </row>
    <row r="2006" spans="1:7" ht="15.75">
      <c r="A2006" s="3022">
        <f t="shared" si="163"/>
        <v>97125</v>
      </c>
      <c r="B2006" s="2840">
        <v>97100</v>
      </c>
      <c r="C2006" s="2840">
        <v>97150</v>
      </c>
      <c r="D2006" s="2841">
        <f t="shared" si="159"/>
        <v>17600</v>
      </c>
      <c r="E2006" s="2841">
        <f t="shared" si="160"/>
        <v>13247</v>
      </c>
      <c r="F2006" s="2841">
        <f t="shared" si="161"/>
        <v>17600</v>
      </c>
      <c r="G2006" s="2841">
        <f t="shared" si="162"/>
        <v>16208</v>
      </c>
    </row>
    <row r="2007" spans="1:7" ht="15.75">
      <c r="A2007" s="3022">
        <f t="shared" si="163"/>
        <v>97175</v>
      </c>
      <c r="B2007" s="2840">
        <v>97150</v>
      </c>
      <c r="C2007" s="2840">
        <v>97200</v>
      </c>
      <c r="D2007" s="2841">
        <f t="shared" si="159"/>
        <v>17612</v>
      </c>
      <c r="E2007" s="2841">
        <f t="shared" si="160"/>
        <v>13258</v>
      </c>
      <c r="F2007" s="2841">
        <f t="shared" si="161"/>
        <v>17612</v>
      </c>
      <c r="G2007" s="2841">
        <f t="shared" si="162"/>
        <v>16220</v>
      </c>
    </row>
    <row r="2008" spans="1:7" ht="15.75">
      <c r="A2008" s="3022">
        <f t="shared" si="163"/>
        <v>97225</v>
      </c>
      <c r="B2008" s="2840">
        <v>97200</v>
      </c>
      <c r="C2008" s="2840">
        <v>97250</v>
      </c>
      <c r="D2008" s="2841">
        <f t="shared" si="159"/>
        <v>17624</v>
      </c>
      <c r="E2008" s="2841">
        <f t="shared" si="160"/>
        <v>13269</v>
      </c>
      <c r="F2008" s="2841">
        <f t="shared" si="161"/>
        <v>17624</v>
      </c>
      <c r="G2008" s="2841">
        <f t="shared" si="162"/>
        <v>16232</v>
      </c>
    </row>
    <row r="2009" spans="1:7" ht="15.75">
      <c r="A2009" s="3022">
        <f t="shared" si="163"/>
        <v>97275</v>
      </c>
      <c r="B2009" s="2840">
        <v>97250</v>
      </c>
      <c r="C2009" s="2840">
        <v>97300</v>
      </c>
      <c r="D2009" s="2841">
        <f t="shared" si="159"/>
        <v>17636</v>
      </c>
      <c r="E2009" s="2841">
        <f t="shared" si="160"/>
        <v>13280</v>
      </c>
      <c r="F2009" s="2841">
        <f t="shared" si="161"/>
        <v>17636</v>
      </c>
      <c r="G2009" s="2841">
        <f t="shared" si="162"/>
        <v>16244</v>
      </c>
    </row>
    <row r="2010" spans="1:7" ht="15.75">
      <c r="A2010" s="3022">
        <f t="shared" si="163"/>
        <v>97325</v>
      </c>
      <c r="B2010" s="2840">
        <v>97300</v>
      </c>
      <c r="C2010" s="2840">
        <v>97350</v>
      </c>
      <c r="D2010" s="2841">
        <f t="shared" si="159"/>
        <v>17648</v>
      </c>
      <c r="E2010" s="2841">
        <f t="shared" si="160"/>
        <v>13291</v>
      </c>
      <c r="F2010" s="2841">
        <f t="shared" si="161"/>
        <v>17648</v>
      </c>
      <c r="G2010" s="2841">
        <f t="shared" si="162"/>
        <v>16256</v>
      </c>
    </row>
    <row r="2011" spans="1:7" ht="15.75">
      <c r="A2011" s="3022">
        <f t="shared" si="163"/>
        <v>97375</v>
      </c>
      <c r="B2011" s="2840">
        <v>97350</v>
      </c>
      <c r="C2011" s="2840">
        <v>97400</v>
      </c>
      <c r="D2011" s="2841">
        <f t="shared" si="159"/>
        <v>17660</v>
      </c>
      <c r="E2011" s="2841">
        <f t="shared" si="160"/>
        <v>13302</v>
      </c>
      <c r="F2011" s="2841">
        <f t="shared" si="161"/>
        <v>17660</v>
      </c>
      <c r="G2011" s="2841">
        <f t="shared" si="162"/>
        <v>16268</v>
      </c>
    </row>
    <row r="2012" spans="1:7" ht="15.75">
      <c r="A2012" s="3022">
        <f t="shared" si="163"/>
        <v>97425</v>
      </c>
      <c r="B2012" s="2840">
        <v>97400</v>
      </c>
      <c r="C2012" s="2840">
        <v>97450</v>
      </c>
      <c r="D2012" s="2841">
        <f t="shared" si="159"/>
        <v>17672</v>
      </c>
      <c r="E2012" s="2841">
        <f t="shared" si="160"/>
        <v>13313</v>
      </c>
      <c r="F2012" s="2841">
        <f t="shared" si="161"/>
        <v>17672</v>
      </c>
      <c r="G2012" s="2841">
        <f t="shared" si="162"/>
        <v>16280</v>
      </c>
    </row>
    <row r="2013" spans="1:7" ht="15.75">
      <c r="A2013" s="3022">
        <f t="shared" si="163"/>
        <v>97475</v>
      </c>
      <c r="B2013" s="2840">
        <v>97450</v>
      </c>
      <c r="C2013" s="2840">
        <v>97500</v>
      </c>
      <c r="D2013" s="2841">
        <f t="shared" si="159"/>
        <v>17684</v>
      </c>
      <c r="E2013" s="2841">
        <f t="shared" si="160"/>
        <v>13324</v>
      </c>
      <c r="F2013" s="2841">
        <f t="shared" si="161"/>
        <v>17684</v>
      </c>
      <c r="G2013" s="2841">
        <f t="shared" si="162"/>
        <v>16292</v>
      </c>
    </row>
    <row r="2014" spans="1:7" ht="15.75">
      <c r="A2014" s="3022">
        <f t="shared" si="163"/>
        <v>97525</v>
      </c>
      <c r="B2014" s="2840">
        <v>97500</v>
      </c>
      <c r="C2014" s="2840">
        <v>97550</v>
      </c>
      <c r="D2014" s="2841">
        <f t="shared" si="159"/>
        <v>17696</v>
      </c>
      <c r="E2014" s="2841">
        <f t="shared" si="160"/>
        <v>13335</v>
      </c>
      <c r="F2014" s="2841">
        <f t="shared" si="161"/>
        <v>17696</v>
      </c>
      <c r="G2014" s="2841">
        <f t="shared" si="162"/>
        <v>16304</v>
      </c>
    </row>
    <row r="2015" spans="1:7" ht="15.75">
      <c r="A2015" s="3022">
        <f t="shared" si="163"/>
        <v>97575</v>
      </c>
      <c r="B2015" s="2840">
        <v>97550</v>
      </c>
      <c r="C2015" s="2840">
        <v>97600</v>
      </c>
      <c r="D2015" s="2841">
        <f t="shared" si="159"/>
        <v>17708</v>
      </c>
      <c r="E2015" s="2841">
        <f t="shared" si="160"/>
        <v>13346</v>
      </c>
      <c r="F2015" s="2841">
        <f t="shared" si="161"/>
        <v>17708</v>
      </c>
      <c r="G2015" s="2841">
        <f t="shared" si="162"/>
        <v>16316</v>
      </c>
    </row>
    <row r="2016" spans="1:7" ht="15.75">
      <c r="A2016" s="3022">
        <f t="shared" si="163"/>
        <v>97625</v>
      </c>
      <c r="B2016" s="2840">
        <v>97600</v>
      </c>
      <c r="C2016" s="2840">
        <v>97650</v>
      </c>
      <c r="D2016" s="2841">
        <f t="shared" si="159"/>
        <v>17720</v>
      </c>
      <c r="E2016" s="2841">
        <f t="shared" si="160"/>
        <v>13357</v>
      </c>
      <c r="F2016" s="2841">
        <f t="shared" si="161"/>
        <v>17720</v>
      </c>
      <c r="G2016" s="2841">
        <f t="shared" si="162"/>
        <v>16328</v>
      </c>
    </row>
    <row r="2017" spans="1:7" ht="15.75">
      <c r="A2017" s="3022">
        <f t="shared" si="163"/>
        <v>97675</v>
      </c>
      <c r="B2017" s="2840">
        <v>97650</v>
      </c>
      <c r="C2017" s="2840">
        <v>97700</v>
      </c>
      <c r="D2017" s="2841">
        <f t="shared" si="159"/>
        <v>17732</v>
      </c>
      <c r="E2017" s="2841">
        <f t="shared" si="160"/>
        <v>13368</v>
      </c>
      <c r="F2017" s="2841">
        <f t="shared" si="161"/>
        <v>17732</v>
      </c>
      <c r="G2017" s="2841">
        <f t="shared" si="162"/>
        <v>16340</v>
      </c>
    </row>
    <row r="2018" spans="1:7" ht="15.75">
      <c r="A2018" s="3022">
        <f t="shared" si="163"/>
        <v>97725</v>
      </c>
      <c r="B2018" s="2840">
        <v>97700</v>
      </c>
      <c r="C2018" s="2840">
        <v>97750</v>
      </c>
      <c r="D2018" s="2841">
        <f t="shared" si="159"/>
        <v>17744</v>
      </c>
      <c r="E2018" s="2841">
        <f t="shared" si="160"/>
        <v>13379</v>
      </c>
      <c r="F2018" s="2841">
        <f t="shared" si="161"/>
        <v>17744</v>
      </c>
      <c r="G2018" s="2841">
        <f t="shared" si="162"/>
        <v>16352</v>
      </c>
    </row>
    <row r="2019" spans="1:7" ht="15.75">
      <c r="A2019" s="3022">
        <f t="shared" si="163"/>
        <v>97775</v>
      </c>
      <c r="B2019" s="2840">
        <v>97750</v>
      </c>
      <c r="C2019" s="2840">
        <v>97800</v>
      </c>
      <c r="D2019" s="2841">
        <f t="shared" si="159"/>
        <v>17756</v>
      </c>
      <c r="E2019" s="2841">
        <f t="shared" si="160"/>
        <v>13390</v>
      </c>
      <c r="F2019" s="2841">
        <f t="shared" si="161"/>
        <v>17756</v>
      </c>
      <c r="G2019" s="2841">
        <f t="shared" si="162"/>
        <v>16364</v>
      </c>
    </row>
    <row r="2020" spans="1:7" ht="15.75">
      <c r="A2020" s="3022">
        <f t="shared" si="163"/>
        <v>97825</v>
      </c>
      <c r="B2020" s="2840">
        <v>97800</v>
      </c>
      <c r="C2020" s="2840">
        <v>97850</v>
      </c>
      <c r="D2020" s="2841">
        <f t="shared" si="159"/>
        <v>17768</v>
      </c>
      <c r="E2020" s="2841">
        <f t="shared" si="160"/>
        <v>13401</v>
      </c>
      <c r="F2020" s="2841">
        <f t="shared" si="161"/>
        <v>17768</v>
      </c>
      <c r="G2020" s="2841">
        <f t="shared" si="162"/>
        <v>16376</v>
      </c>
    </row>
    <row r="2021" spans="1:7" ht="15.75">
      <c r="A2021" s="3022">
        <f t="shared" si="163"/>
        <v>97875</v>
      </c>
      <c r="B2021" s="2840">
        <v>97850</v>
      </c>
      <c r="C2021" s="2840">
        <v>97900</v>
      </c>
      <c r="D2021" s="2841">
        <f t="shared" si="159"/>
        <v>17780</v>
      </c>
      <c r="E2021" s="2841">
        <f t="shared" si="160"/>
        <v>13412</v>
      </c>
      <c r="F2021" s="2841">
        <f t="shared" si="161"/>
        <v>17780</v>
      </c>
      <c r="G2021" s="2841">
        <f t="shared" si="162"/>
        <v>16388</v>
      </c>
    </row>
    <row r="2022" spans="1:7" ht="15.75">
      <c r="A2022" s="3022">
        <f t="shared" si="163"/>
        <v>97925</v>
      </c>
      <c r="B2022" s="2840">
        <v>97900</v>
      </c>
      <c r="C2022" s="2840">
        <v>97950</v>
      </c>
      <c r="D2022" s="2841">
        <f t="shared" si="159"/>
        <v>17792</v>
      </c>
      <c r="E2022" s="2841">
        <f t="shared" si="160"/>
        <v>13423</v>
      </c>
      <c r="F2022" s="2841">
        <f t="shared" si="161"/>
        <v>17792</v>
      </c>
      <c r="G2022" s="2841">
        <f t="shared" si="162"/>
        <v>16400</v>
      </c>
    </row>
    <row r="2023" spans="1:7" ht="15.75">
      <c r="A2023" s="3022">
        <f t="shared" si="163"/>
        <v>97975</v>
      </c>
      <c r="B2023" s="2840">
        <v>97950</v>
      </c>
      <c r="C2023" s="2840">
        <v>98000</v>
      </c>
      <c r="D2023" s="2841">
        <f t="shared" si="159"/>
        <v>17804</v>
      </c>
      <c r="E2023" s="2841">
        <f t="shared" si="160"/>
        <v>13434</v>
      </c>
      <c r="F2023" s="2841">
        <f t="shared" si="161"/>
        <v>17804</v>
      </c>
      <c r="G2023" s="2841">
        <f t="shared" si="162"/>
        <v>16412</v>
      </c>
    </row>
    <row r="2024" spans="1:7" ht="15.75">
      <c r="A2024" s="3022">
        <f t="shared" si="163"/>
        <v>98025</v>
      </c>
      <c r="B2024" s="2840">
        <v>98000</v>
      </c>
      <c r="C2024" s="2840">
        <v>98050</v>
      </c>
      <c r="D2024" s="2841">
        <f t="shared" si="159"/>
        <v>17816</v>
      </c>
      <c r="E2024" s="2841">
        <f t="shared" si="160"/>
        <v>13445</v>
      </c>
      <c r="F2024" s="2841">
        <f t="shared" si="161"/>
        <v>17816</v>
      </c>
      <c r="G2024" s="2841">
        <f t="shared" si="162"/>
        <v>16424</v>
      </c>
    </row>
    <row r="2025" spans="1:7" ht="15.75">
      <c r="A2025" s="3022">
        <f t="shared" si="163"/>
        <v>98075</v>
      </c>
      <c r="B2025" s="2840">
        <v>98050</v>
      </c>
      <c r="C2025" s="2840">
        <v>98100</v>
      </c>
      <c r="D2025" s="2841">
        <f t="shared" si="159"/>
        <v>17828</v>
      </c>
      <c r="E2025" s="2841">
        <f t="shared" si="160"/>
        <v>13456</v>
      </c>
      <c r="F2025" s="2841">
        <f t="shared" si="161"/>
        <v>17828</v>
      </c>
      <c r="G2025" s="2841">
        <f t="shared" si="162"/>
        <v>16436</v>
      </c>
    </row>
    <row r="2026" spans="1:7" ht="15.75">
      <c r="A2026" s="3022">
        <f t="shared" si="163"/>
        <v>98125</v>
      </c>
      <c r="B2026" s="2840">
        <v>98100</v>
      </c>
      <c r="C2026" s="2840">
        <v>98150</v>
      </c>
      <c r="D2026" s="2841">
        <f t="shared" si="159"/>
        <v>17840</v>
      </c>
      <c r="E2026" s="2841">
        <f t="shared" si="160"/>
        <v>13467</v>
      </c>
      <c r="F2026" s="2841">
        <f t="shared" si="161"/>
        <v>17840</v>
      </c>
      <c r="G2026" s="2841">
        <f t="shared" si="162"/>
        <v>16448</v>
      </c>
    </row>
    <row r="2027" spans="1:7" ht="15.75">
      <c r="A2027" s="3022">
        <f t="shared" si="163"/>
        <v>98175</v>
      </c>
      <c r="B2027" s="2840">
        <v>98150</v>
      </c>
      <c r="C2027" s="2840">
        <v>98200</v>
      </c>
      <c r="D2027" s="2841">
        <f t="shared" si="159"/>
        <v>17852</v>
      </c>
      <c r="E2027" s="2841">
        <f t="shared" si="160"/>
        <v>13478</v>
      </c>
      <c r="F2027" s="2841">
        <f t="shared" si="161"/>
        <v>17852</v>
      </c>
      <c r="G2027" s="2841">
        <f t="shared" si="162"/>
        <v>16460</v>
      </c>
    </row>
    <row r="2028" spans="1:7" ht="15.75">
      <c r="A2028" s="3022">
        <f t="shared" si="163"/>
        <v>98225</v>
      </c>
      <c r="B2028" s="2840">
        <v>98200</v>
      </c>
      <c r="C2028" s="2840">
        <v>98250</v>
      </c>
      <c r="D2028" s="2841">
        <f t="shared" si="159"/>
        <v>17864</v>
      </c>
      <c r="E2028" s="2841">
        <f t="shared" si="160"/>
        <v>13489</v>
      </c>
      <c r="F2028" s="2841">
        <f t="shared" si="161"/>
        <v>17864</v>
      </c>
      <c r="G2028" s="2841">
        <f t="shared" si="162"/>
        <v>16472</v>
      </c>
    </row>
    <row r="2029" spans="1:7" ht="15.75">
      <c r="A2029" s="3022">
        <f t="shared" si="163"/>
        <v>98275</v>
      </c>
      <c r="B2029" s="2840">
        <v>98250</v>
      </c>
      <c r="C2029" s="2840">
        <v>98300</v>
      </c>
      <c r="D2029" s="2841">
        <f t="shared" si="159"/>
        <v>17876</v>
      </c>
      <c r="E2029" s="2841">
        <f t="shared" si="160"/>
        <v>13500</v>
      </c>
      <c r="F2029" s="2841">
        <f t="shared" si="161"/>
        <v>17876</v>
      </c>
      <c r="G2029" s="2841">
        <f t="shared" si="162"/>
        <v>16484</v>
      </c>
    </row>
    <row r="2030" spans="1:7" ht="15.75">
      <c r="A2030" s="3022">
        <f t="shared" si="163"/>
        <v>98325</v>
      </c>
      <c r="B2030" s="2840">
        <v>98300</v>
      </c>
      <c r="C2030" s="2840">
        <v>98350</v>
      </c>
      <c r="D2030" s="2841">
        <f t="shared" si="159"/>
        <v>17888</v>
      </c>
      <c r="E2030" s="2841">
        <f t="shared" si="160"/>
        <v>13511</v>
      </c>
      <c r="F2030" s="2841">
        <f t="shared" si="161"/>
        <v>17888</v>
      </c>
      <c r="G2030" s="2841">
        <f t="shared" si="162"/>
        <v>16496</v>
      </c>
    </row>
    <row r="2031" spans="1:7" ht="15.75">
      <c r="A2031" s="3022">
        <f t="shared" si="163"/>
        <v>98375</v>
      </c>
      <c r="B2031" s="2840">
        <v>98350</v>
      </c>
      <c r="C2031" s="2840">
        <v>98400</v>
      </c>
      <c r="D2031" s="2841">
        <f t="shared" si="159"/>
        <v>17900</v>
      </c>
      <c r="E2031" s="2841">
        <f t="shared" si="160"/>
        <v>13522</v>
      </c>
      <c r="F2031" s="2841">
        <f t="shared" si="161"/>
        <v>17900</v>
      </c>
      <c r="G2031" s="2841">
        <f t="shared" si="162"/>
        <v>16508</v>
      </c>
    </row>
    <row r="2032" spans="1:7" ht="15.75">
      <c r="A2032" s="3022">
        <f t="shared" si="163"/>
        <v>98425</v>
      </c>
      <c r="B2032" s="2840">
        <v>98400</v>
      </c>
      <c r="C2032" s="2840">
        <v>98450</v>
      </c>
      <c r="D2032" s="2841">
        <f t="shared" si="159"/>
        <v>17912</v>
      </c>
      <c r="E2032" s="2841">
        <f t="shared" si="160"/>
        <v>13533</v>
      </c>
      <c r="F2032" s="2841">
        <f t="shared" si="161"/>
        <v>17912</v>
      </c>
      <c r="G2032" s="2841">
        <f t="shared" si="162"/>
        <v>16520</v>
      </c>
    </row>
    <row r="2033" spans="1:7" ht="15.75">
      <c r="A2033" s="3022">
        <f t="shared" si="163"/>
        <v>98475</v>
      </c>
      <c r="B2033" s="2840">
        <v>98450</v>
      </c>
      <c r="C2033" s="2840">
        <v>98500</v>
      </c>
      <c r="D2033" s="2841">
        <f t="shared" si="159"/>
        <v>17924</v>
      </c>
      <c r="E2033" s="2841">
        <f t="shared" si="160"/>
        <v>13544</v>
      </c>
      <c r="F2033" s="2841">
        <f t="shared" si="161"/>
        <v>17924</v>
      </c>
      <c r="G2033" s="2841">
        <f t="shared" si="162"/>
        <v>16532</v>
      </c>
    </row>
    <row r="2034" spans="1:7" ht="15.75">
      <c r="A2034" s="3022">
        <f t="shared" si="163"/>
        <v>98525</v>
      </c>
      <c r="B2034" s="2840">
        <v>98500</v>
      </c>
      <c r="C2034" s="2840">
        <v>98550</v>
      </c>
      <c r="D2034" s="2841">
        <f t="shared" si="159"/>
        <v>17936</v>
      </c>
      <c r="E2034" s="2841">
        <f t="shared" si="160"/>
        <v>13555</v>
      </c>
      <c r="F2034" s="2841">
        <f t="shared" si="161"/>
        <v>17936</v>
      </c>
      <c r="G2034" s="2841">
        <f t="shared" si="162"/>
        <v>16544</v>
      </c>
    </row>
    <row r="2035" spans="1:7" ht="15.75">
      <c r="A2035" s="3022">
        <f t="shared" si="163"/>
        <v>98575</v>
      </c>
      <c r="B2035" s="2840">
        <v>98550</v>
      </c>
      <c r="C2035" s="2840">
        <v>98600</v>
      </c>
      <c r="D2035" s="2841">
        <f t="shared" si="159"/>
        <v>17948</v>
      </c>
      <c r="E2035" s="2841">
        <f t="shared" si="160"/>
        <v>13566</v>
      </c>
      <c r="F2035" s="2841">
        <f t="shared" si="161"/>
        <v>17948</v>
      </c>
      <c r="G2035" s="2841">
        <f t="shared" si="162"/>
        <v>16556</v>
      </c>
    </row>
    <row r="2036" spans="1:7" ht="15.75">
      <c r="A2036" s="3022">
        <f t="shared" si="163"/>
        <v>98625</v>
      </c>
      <c r="B2036" s="2840">
        <v>98600</v>
      </c>
      <c r="C2036" s="2840">
        <v>98650</v>
      </c>
      <c r="D2036" s="2841">
        <f t="shared" si="159"/>
        <v>17960</v>
      </c>
      <c r="E2036" s="2841">
        <f t="shared" si="160"/>
        <v>13577</v>
      </c>
      <c r="F2036" s="2841">
        <f t="shared" si="161"/>
        <v>17960</v>
      </c>
      <c r="G2036" s="2841">
        <f t="shared" si="162"/>
        <v>16568</v>
      </c>
    </row>
    <row r="2037" spans="1:7" ht="15.75">
      <c r="A2037" s="3022">
        <f t="shared" si="163"/>
        <v>98675</v>
      </c>
      <c r="B2037" s="2840">
        <v>98650</v>
      </c>
      <c r="C2037" s="2840">
        <v>98700</v>
      </c>
      <c r="D2037" s="2841">
        <f t="shared" si="159"/>
        <v>17972</v>
      </c>
      <c r="E2037" s="2841">
        <f t="shared" si="160"/>
        <v>13588</v>
      </c>
      <c r="F2037" s="2841">
        <f t="shared" si="161"/>
        <v>17972</v>
      </c>
      <c r="G2037" s="2841">
        <f t="shared" si="162"/>
        <v>16580</v>
      </c>
    </row>
    <row r="2038" spans="1:7" ht="15.75">
      <c r="A2038" s="3022">
        <f t="shared" si="163"/>
        <v>98725</v>
      </c>
      <c r="B2038" s="2840">
        <v>98700</v>
      </c>
      <c r="C2038" s="2840">
        <v>98750</v>
      </c>
      <c r="D2038" s="2841">
        <f t="shared" si="159"/>
        <v>17984</v>
      </c>
      <c r="E2038" s="2841">
        <f t="shared" si="160"/>
        <v>13599</v>
      </c>
      <c r="F2038" s="2841">
        <f t="shared" si="161"/>
        <v>17984</v>
      </c>
      <c r="G2038" s="2841">
        <f t="shared" si="162"/>
        <v>16592</v>
      </c>
    </row>
    <row r="2039" spans="1:7" ht="15.75">
      <c r="A2039" s="3022">
        <f t="shared" si="163"/>
        <v>98775</v>
      </c>
      <c r="B2039" s="2840">
        <v>98750</v>
      </c>
      <c r="C2039" s="2840">
        <v>98800</v>
      </c>
      <c r="D2039" s="2841">
        <f t="shared" si="159"/>
        <v>17996</v>
      </c>
      <c r="E2039" s="2841">
        <f t="shared" si="160"/>
        <v>13610</v>
      </c>
      <c r="F2039" s="2841">
        <f t="shared" si="161"/>
        <v>17996</v>
      </c>
      <c r="G2039" s="2841">
        <f t="shared" si="162"/>
        <v>16604</v>
      </c>
    </row>
    <row r="2040" spans="1:7" ht="15.75">
      <c r="A2040" s="3022">
        <f t="shared" si="163"/>
        <v>98825</v>
      </c>
      <c r="B2040" s="2840">
        <v>98800</v>
      </c>
      <c r="C2040" s="2840">
        <v>98850</v>
      </c>
      <c r="D2040" s="2841">
        <f t="shared" si="159"/>
        <v>18008</v>
      </c>
      <c r="E2040" s="2841">
        <f t="shared" si="160"/>
        <v>13621</v>
      </c>
      <c r="F2040" s="2841">
        <f t="shared" si="161"/>
        <v>18008</v>
      </c>
      <c r="G2040" s="2841">
        <f t="shared" si="162"/>
        <v>16616</v>
      </c>
    </row>
    <row r="2041" spans="1:7" ht="15.75">
      <c r="A2041" s="3022">
        <f t="shared" si="163"/>
        <v>98875</v>
      </c>
      <c r="B2041" s="2840">
        <v>98850</v>
      </c>
      <c r="C2041" s="2840">
        <v>98900</v>
      </c>
      <c r="D2041" s="2841">
        <f t="shared" si="159"/>
        <v>18020</v>
      </c>
      <c r="E2041" s="2841">
        <f t="shared" si="160"/>
        <v>13632</v>
      </c>
      <c r="F2041" s="2841">
        <f t="shared" si="161"/>
        <v>18020</v>
      </c>
      <c r="G2041" s="2841">
        <f t="shared" si="162"/>
        <v>16628</v>
      </c>
    </row>
    <row r="2042" spans="1:7" ht="15.75">
      <c r="A2042" s="3022">
        <f t="shared" si="163"/>
        <v>98925</v>
      </c>
      <c r="B2042" s="2840">
        <v>98900</v>
      </c>
      <c r="C2042" s="2840">
        <v>98950</v>
      </c>
      <c r="D2042" s="2841">
        <f t="shared" si="159"/>
        <v>18032</v>
      </c>
      <c r="E2042" s="2841">
        <f t="shared" si="160"/>
        <v>13643</v>
      </c>
      <c r="F2042" s="2841">
        <f t="shared" si="161"/>
        <v>18032</v>
      </c>
      <c r="G2042" s="2841">
        <f t="shared" si="162"/>
        <v>16640</v>
      </c>
    </row>
    <row r="2043" spans="1:7" ht="15.75">
      <c r="A2043" s="3022">
        <f t="shared" si="163"/>
        <v>98975</v>
      </c>
      <c r="B2043" s="2840">
        <v>98950</v>
      </c>
      <c r="C2043" s="2840">
        <v>99000</v>
      </c>
      <c r="D2043" s="2841">
        <f t="shared" si="159"/>
        <v>18044</v>
      </c>
      <c r="E2043" s="2841">
        <f t="shared" si="160"/>
        <v>13654</v>
      </c>
      <c r="F2043" s="2841">
        <f t="shared" si="161"/>
        <v>18044</v>
      </c>
      <c r="G2043" s="2841">
        <f t="shared" si="162"/>
        <v>16652</v>
      </c>
    </row>
    <row r="2044" spans="1:7" ht="15.75">
      <c r="A2044" s="3022">
        <f t="shared" si="163"/>
        <v>99025</v>
      </c>
      <c r="B2044" s="2840">
        <v>99000</v>
      </c>
      <c r="C2044" s="2840">
        <v>99050</v>
      </c>
      <c r="D2044" s="2841">
        <f t="shared" si="159"/>
        <v>18056</v>
      </c>
      <c r="E2044" s="2841">
        <f t="shared" si="160"/>
        <v>13665</v>
      </c>
      <c r="F2044" s="2841">
        <f t="shared" si="161"/>
        <v>18056</v>
      </c>
      <c r="G2044" s="2841">
        <f t="shared" si="162"/>
        <v>16664</v>
      </c>
    </row>
    <row r="2045" spans="1:7" ht="15.75">
      <c r="A2045" s="3022">
        <f t="shared" si="163"/>
        <v>99075</v>
      </c>
      <c r="B2045" s="2840">
        <v>99050</v>
      </c>
      <c r="C2045" s="2840">
        <v>99100</v>
      </c>
      <c r="D2045" s="2841">
        <f t="shared" si="159"/>
        <v>18068</v>
      </c>
      <c r="E2045" s="2841">
        <f t="shared" si="160"/>
        <v>13676</v>
      </c>
      <c r="F2045" s="2841">
        <f t="shared" si="161"/>
        <v>18068</v>
      </c>
      <c r="G2045" s="2841">
        <f t="shared" si="162"/>
        <v>16676</v>
      </c>
    </row>
    <row r="2046" spans="1:7" ht="15.75">
      <c r="A2046" s="3022">
        <f t="shared" si="163"/>
        <v>99125</v>
      </c>
      <c r="B2046" s="2840">
        <v>99100</v>
      </c>
      <c r="C2046" s="2840">
        <v>99150</v>
      </c>
      <c r="D2046" s="2841">
        <f t="shared" si="159"/>
        <v>18080</v>
      </c>
      <c r="E2046" s="2841">
        <f t="shared" si="160"/>
        <v>13687</v>
      </c>
      <c r="F2046" s="2841">
        <f t="shared" si="161"/>
        <v>18080</v>
      </c>
      <c r="G2046" s="2841">
        <f t="shared" si="162"/>
        <v>16688</v>
      </c>
    </row>
    <row r="2047" spans="1:7" ht="15.75">
      <c r="A2047" s="3022">
        <f t="shared" si="163"/>
        <v>99175</v>
      </c>
      <c r="B2047" s="2840">
        <v>99150</v>
      </c>
      <c r="C2047" s="2840">
        <v>99200</v>
      </c>
      <c r="D2047" s="2841">
        <f t="shared" si="159"/>
        <v>18092</v>
      </c>
      <c r="E2047" s="2841">
        <f t="shared" si="160"/>
        <v>13698</v>
      </c>
      <c r="F2047" s="2841">
        <f t="shared" si="161"/>
        <v>18092</v>
      </c>
      <c r="G2047" s="2841">
        <f t="shared" si="162"/>
        <v>16700</v>
      </c>
    </row>
    <row r="2048" spans="1:7" ht="15.75">
      <c r="A2048" s="3022">
        <f t="shared" si="163"/>
        <v>99225</v>
      </c>
      <c r="B2048" s="2840">
        <v>99200</v>
      </c>
      <c r="C2048" s="2840">
        <v>99250</v>
      </c>
      <c r="D2048" s="2841">
        <f t="shared" si="159"/>
        <v>18104</v>
      </c>
      <c r="E2048" s="2841">
        <f t="shared" si="160"/>
        <v>13709</v>
      </c>
      <c r="F2048" s="2841">
        <f t="shared" si="161"/>
        <v>18104</v>
      </c>
      <c r="G2048" s="2841">
        <f t="shared" si="162"/>
        <v>16712</v>
      </c>
    </row>
    <row r="2049" spans="1:7" ht="15.75">
      <c r="A2049" s="3022">
        <f t="shared" si="163"/>
        <v>99275</v>
      </c>
      <c r="B2049" s="2840">
        <v>99250</v>
      </c>
      <c r="C2049" s="2840">
        <v>99300</v>
      </c>
      <c r="D2049" s="2841">
        <f t="shared" si="159"/>
        <v>18116</v>
      </c>
      <c r="E2049" s="2841">
        <f t="shared" si="160"/>
        <v>13720</v>
      </c>
      <c r="F2049" s="2841">
        <f t="shared" si="161"/>
        <v>18116</v>
      </c>
      <c r="G2049" s="2841">
        <f t="shared" si="162"/>
        <v>16724</v>
      </c>
    </row>
    <row r="2050" spans="1:7" ht="15.75">
      <c r="A2050" s="3022">
        <f t="shared" si="163"/>
        <v>99325</v>
      </c>
      <c r="B2050" s="2840">
        <v>99300</v>
      </c>
      <c r="C2050" s="2840">
        <v>99350</v>
      </c>
      <c r="D2050" s="2841">
        <f t="shared" ref="D2050:D2063" si="164">IF($A2050&gt;BOTT_A4,ROUND(BASE_A4+RATE_A4*($A2050-BOTT_A4),0),IF($A2050&gt;BOTT_A3,ROUND(BASE_A3+RATE_A3*($A2050-BOTT_A3),0),IF($A2050&gt;BOTT_A2,ROUND(BASE_A2+RATE_A2*($A2050-BOTT_A2),0),ROUND(RATE_A1*$A2050,0))))</f>
        <v>18128</v>
      </c>
      <c r="E2050" s="2841">
        <f t="shared" ref="E2050:E2063" si="165">IF($A2050&gt;BOTT_B4,ROUND(BASE_B4+RATE_B4*($A2050-BOTT_B4),0),IF($A2050&gt;BOTT_B3,ROUND(BASE_B3+RATE_B3*($A2050-BOTT_B3),0),IF($A2050&gt;BOTT_B2,ROUND(BASE_B2+RATE_B2*($A2050-BOTT_B2),0),ROUND(RATE_B1*$A2050,0))))</f>
        <v>13731</v>
      </c>
      <c r="F2050" s="2841">
        <f t="shared" ref="F2050:F2063" si="166">IF($A2050&gt;BOTT_C4,ROUND(BASE_C4+RATE_C4*($A2050-BOTT_C4),0),IF($A2050&gt;BOTT_C3,ROUND(BASE_C3+RATE_C3*($A2050-BOTT_C3),0),IF($A2050&gt;BOTT_C2,ROUND(BASE_C2+RATE_C2*($A2050-BOTT_C2),0),ROUND(RATE_C1*$A2050,0))))</f>
        <v>18128</v>
      </c>
      <c r="G2050" s="2841">
        <f t="shared" ref="G2050:G2063" si="167">IF($A2050&gt;BOTT_D4,ROUND(BASE_D4+RATE_D4*($A2050-BOTT_D4),0),IF($A2050&gt;BOTT_D3,ROUND(BASE_D3+RATE_D3*($A2050-BOTT_D3),0),IF($A2050&gt;BOTT_D2,ROUND(BASE_D2+RATE_D2*($A2050-BOTT_D2),0),ROUND(RATE_D1*$A2050,0))))</f>
        <v>16736</v>
      </c>
    </row>
    <row r="2051" spans="1:7" ht="15.75">
      <c r="A2051" s="3022">
        <f t="shared" ref="A2051:A2063" si="168">AVERAGE(B2051,C2051)</f>
        <v>99375</v>
      </c>
      <c r="B2051" s="2840">
        <v>99350</v>
      </c>
      <c r="C2051" s="2840">
        <v>99400</v>
      </c>
      <c r="D2051" s="2841">
        <f t="shared" si="164"/>
        <v>18140</v>
      </c>
      <c r="E2051" s="2841">
        <f t="shared" si="165"/>
        <v>13742</v>
      </c>
      <c r="F2051" s="2841">
        <f t="shared" si="166"/>
        <v>18140</v>
      </c>
      <c r="G2051" s="2841">
        <f t="shared" si="167"/>
        <v>16748</v>
      </c>
    </row>
    <row r="2052" spans="1:7" ht="15.75">
      <c r="A2052" s="3022">
        <f t="shared" si="168"/>
        <v>99425</v>
      </c>
      <c r="B2052" s="2840">
        <v>99400</v>
      </c>
      <c r="C2052" s="2840">
        <v>99450</v>
      </c>
      <c r="D2052" s="2841">
        <f t="shared" si="164"/>
        <v>18152</v>
      </c>
      <c r="E2052" s="2841">
        <f t="shared" si="165"/>
        <v>13753</v>
      </c>
      <c r="F2052" s="2841">
        <f t="shared" si="166"/>
        <v>18152</v>
      </c>
      <c r="G2052" s="2841">
        <f t="shared" si="167"/>
        <v>16760</v>
      </c>
    </row>
    <row r="2053" spans="1:7" ht="15.75">
      <c r="A2053" s="3022">
        <f t="shared" si="168"/>
        <v>99475</v>
      </c>
      <c r="B2053" s="2840">
        <v>99450</v>
      </c>
      <c r="C2053" s="2840">
        <v>99500</v>
      </c>
      <c r="D2053" s="2841">
        <f t="shared" si="164"/>
        <v>18164</v>
      </c>
      <c r="E2053" s="2841">
        <f t="shared" si="165"/>
        <v>13764</v>
      </c>
      <c r="F2053" s="2841">
        <f t="shared" si="166"/>
        <v>18164</v>
      </c>
      <c r="G2053" s="2841">
        <f t="shared" si="167"/>
        <v>16772</v>
      </c>
    </row>
    <row r="2054" spans="1:7" ht="15.75">
      <c r="A2054" s="3022">
        <f t="shared" si="168"/>
        <v>99525</v>
      </c>
      <c r="B2054" s="2840">
        <v>99500</v>
      </c>
      <c r="C2054" s="2840">
        <v>99550</v>
      </c>
      <c r="D2054" s="2841">
        <f t="shared" si="164"/>
        <v>18176</v>
      </c>
      <c r="E2054" s="2841">
        <f t="shared" si="165"/>
        <v>13775</v>
      </c>
      <c r="F2054" s="2841">
        <f t="shared" si="166"/>
        <v>18176</v>
      </c>
      <c r="G2054" s="2841">
        <f t="shared" si="167"/>
        <v>16784</v>
      </c>
    </row>
    <row r="2055" spans="1:7" ht="15.75">
      <c r="A2055" s="3022">
        <f t="shared" si="168"/>
        <v>99575</v>
      </c>
      <c r="B2055" s="2840">
        <v>99550</v>
      </c>
      <c r="C2055" s="2840">
        <v>99600</v>
      </c>
      <c r="D2055" s="2841">
        <f t="shared" si="164"/>
        <v>18188</v>
      </c>
      <c r="E2055" s="2841">
        <f t="shared" si="165"/>
        <v>13786</v>
      </c>
      <c r="F2055" s="2841">
        <f t="shared" si="166"/>
        <v>18188</v>
      </c>
      <c r="G2055" s="2841">
        <f t="shared" si="167"/>
        <v>16796</v>
      </c>
    </row>
    <row r="2056" spans="1:7" ht="15.75">
      <c r="A2056" s="3022">
        <f t="shared" si="168"/>
        <v>99625</v>
      </c>
      <c r="B2056" s="2840">
        <v>99600</v>
      </c>
      <c r="C2056" s="2840">
        <v>99650</v>
      </c>
      <c r="D2056" s="2841">
        <f t="shared" si="164"/>
        <v>18200</v>
      </c>
      <c r="E2056" s="2841">
        <f t="shared" si="165"/>
        <v>13797</v>
      </c>
      <c r="F2056" s="2841">
        <f t="shared" si="166"/>
        <v>18200</v>
      </c>
      <c r="G2056" s="2841">
        <f t="shared" si="167"/>
        <v>16808</v>
      </c>
    </row>
    <row r="2057" spans="1:7" ht="15.75">
      <c r="A2057" s="3022">
        <f t="shared" si="168"/>
        <v>99675</v>
      </c>
      <c r="B2057" s="2840">
        <v>99650</v>
      </c>
      <c r="C2057" s="2840">
        <v>99700</v>
      </c>
      <c r="D2057" s="2841">
        <f t="shared" si="164"/>
        <v>18212</v>
      </c>
      <c r="E2057" s="2841">
        <f t="shared" si="165"/>
        <v>13808</v>
      </c>
      <c r="F2057" s="2841">
        <f t="shared" si="166"/>
        <v>18212</v>
      </c>
      <c r="G2057" s="2841">
        <f t="shared" si="167"/>
        <v>16820</v>
      </c>
    </row>
    <row r="2058" spans="1:7" ht="15.75">
      <c r="A2058" s="3022">
        <f t="shared" si="168"/>
        <v>99725</v>
      </c>
      <c r="B2058" s="2840">
        <v>99700</v>
      </c>
      <c r="C2058" s="2840">
        <v>99750</v>
      </c>
      <c r="D2058" s="2841">
        <f t="shared" si="164"/>
        <v>18224</v>
      </c>
      <c r="E2058" s="2841">
        <f t="shared" si="165"/>
        <v>13819</v>
      </c>
      <c r="F2058" s="2841">
        <f t="shared" si="166"/>
        <v>18224</v>
      </c>
      <c r="G2058" s="2841">
        <f t="shared" si="167"/>
        <v>16832</v>
      </c>
    </row>
    <row r="2059" spans="1:7" ht="15.75">
      <c r="A2059" s="3022">
        <f t="shared" si="168"/>
        <v>99775</v>
      </c>
      <c r="B2059" s="2840">
        <v>99750</v>
      </c>
      <c r="C2059" s="2840">
        <v>99800</v>
      </c>
      <c r="D2059" s="2841">
        <f t="shared" si="164"/>
        <v>18236</v>
      </c>
      <c r="E2059" s="2841">
        <f t="shared" si="165"/>
        <v>13830</v>
      </c>
      <c r="F2059" s="2841">
        <f t="shared" si="166"/>
        <v>18236</v>
      </c>
      <c r="G2059" s="2841">
        <f t="shared" si="167"/>
        <v>16844</v>
      </c>
    </row>
    <row r="2060" spans="1:7" ht="15.75">
      <c r="A2060" s="3022">
        <f t="shared" si="168"/>
        <v>99825</v>
      </c>
      <c r="B2060" s="2840">
        <v>99800</v>
      </c>
      <c r="C2060" s="2840">
        <v>99850</v>
      </c>
      <c r="D2060" s="2841">
        <f t="shared" si="164"/>
        <v>18248</v>
      </c>
      <c r="E2060" s="2841">
        <f t="shared" si="165"/>
        <v>13841</v>
      </c>
      <c r="F2060" s="2841">
        <f t="shared" si="166"/>
        <v>18248</v>
      </c>
      <c r="G2060" s="2841">
        <f t="shared" si="167"/>
        <v>16856</v>
      </c>
    </row>
    <row r="2061" spans="1:7" ht="15.75">
      <c r="A2061" s="3022">
        <f t="shared" si="168"/>
        <v>99875</v>
      </c>
      <c r="B2061" s="2840">
        <v>99850</v>
      </c>
      <c r="C2061" s="2840">
        <v>99900</v>
      </c>
      <c r="D2061" s="2841">
        <f t="shared" si="164"/>
        <v>18260</v>
      </c>
      <c r="E2061" s="2841">
        <f t="shared" si="165"/>
        <v>13852</v>
      </c>
      <c r="F2061" s="2841">
        <f t="shared" si="166"/>
        <v>18260</v>
      </c>
      <c r="G2061" s="2841">
        <f t="shared" si="167"/>
        <v>16868</v>
      </c>
    </row>
    <row r="2062" spans="1:7" ht="15.75">
      <c r="A2062" s="3022">
        <f t="shared" si="168"/>
        <v>99925</v>
      </c>
      <c r="B2062" s="2840">
        <v>99900</v>
      </c>
      <c r="C2062" s="2840">
        <v>99950</v>
      </c>
      <c r="D2062" s="2841">
        <f t="shared" si="164"/>
        <v>18272</v>
      </c>
      <c r="E2062" s="2841">
        <f t="shared" si="165"/>
        <v>13863</v>
      </c>
      <c r="F2062" s="2841">
        <f t="shared" si="166"/>
        <v>18272</v>
      </c>
      <c r="G2062" s="2841">
        <f t="shared" si="167"/>
        <v>16880</v>
      </c>
    </row>
    <row r="2063" spans="1:7" ht="15.75">
      <c r="A2063" s="3022">
        <f t="shared" si="168"/>
        <v>99975</v>
      </c>
      <c r="B2063" s="2840">
        <v>99950</v>
      </c>
      <c r="C2063" s="2840">
        <v>100000</v>
      </c>
      <c r="D2063" s="2841">
        <f t="shared" si="164"/>
        <v>18284</v>
      </c>
      <c r="E2063" s="2841">
        <f t="shared" si="165"/>
        <v>13874</v>
      </c>
      <c r="F2063" s="2841">
        <f t="shared" si="166"/>
        <v>18284</v>
      </c>
      <c r="G2063" s="2841">
        <f t="shared" si="167"/>
        <v>16892</v>
      </c>
    </row>
    <row r="2064" spans="1:7">
      <c r="B2064" s="2839"/>
      <c r="C2064" s="2842"/>
      <c r="E2064" s="2283"/>
      <c r="F2064" s="2283"/>
      <c r="G2064" s="2283"/>
    </row>
  </sheetData>
  <sheetProtection password="F07E" sheet="1" objects="1" scenarios="1"/>
  <phoneticPr fontId="12" type="noConversion"/>
  <pageMargins left="0.75" right="0.75" top="0.43" bottom="0.57999999999999996" header="0.37" footer="0.5"/>
  <pageSetup scale="10" orientation="landscape" r:id="rId1"/>
  <headerFooter alignWithMargins="0"/>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pane ySplit="1" topLeftCell="A62" activePane="bottomLeft" state="frozen"/>
      <selection activeCell="O28" sqref="O28"/>
      <selection pane="bottomLeft" activeCell="A93" sqref="A93"/>
    </sheetView>
  </sheetViews>
  <sheetFormatPr defaultColWidth="9.140625" defaultRowHeight="12.75"/>
  <cols>
    <col min="1" max="1" width="24.28515625" style="2328" customWidth="1"/>
    <col min="2" max="2" width="20.140625" style="1797" customWidth="1"/>
    <col min="3" max="3" width="87.28515625" style="1796" customWidth="1"/>
    <col min="4" max="4" width="32.42578125" style="1796" customWidth="1"/>
    <col min="5" max="5" width="9.140625" style="1796"/>
    <col min="6" max="6" width="21.5703125" style="1796" customWidth="1"/>
    <col min="7" max="16384" width="9.140625" style="1796"/>
  </cols>
  <sheetData>
    <row r="1" spans="1:7" s="1926" customFormat="1" ht="15" customHeight="1" thickBot="1">
      <c r="A1" s="2327" t="s">
        <v>2029</v>
      </c>
      <c r="B1" s="1798" t="s">
        <v>218</v>
      </c>
      <c r="C1" s="1799" t="s">
        <v>219</v>
      </c>
      <c r="D1" s="1800" t="s">
        <v>259</v>
      </c>
      <c r="F1" s="5275">
        <f>MAX(A:A)</f>
        <v>43926.614583333336</v>
      </c>
      <c r="G1" s="5274" t="s">
        <v>5097</v>
      </c>
    </row>
    <row r="2" spans="1:7">
      <c r="A2" s="2328">
        <v>43451.291666666664</v>
      </c>
      <c r="B2" s="1864" t="s">
        <v>2738</v>
      </c>
      <c r="C2" s="1865" t="s">
        <v>4530</v>
      </c>
    </row>
    <row r="3" spans="1:7">
      <c r="B3" s="1864"/>
      <c r="C3" s="1865"/>
      <c r="D3" s="5253"/>
    </row>
    <row r="4" spans="1:7">
      <c r="B4" s="1864"/>
      <c r="C4" s="1865"/>
      <c r="D4" s="5253"/>
    </row>
    <row r="5" spans="1:7" ht="13.5" thickBot="1">
      <c r="A5" s="3381" t="s">
        <v>2739</v>
      </c>
      <c r="B5" s="3382"/>
      <c r="C5" s="3383"/>
    </row>
    <row r="6" spans="1:7">
      <c r="A6" s="2328">
        <v>43454.569444444445</v>
      </c>
      <c r="B6" s="1797">
        <v>1116</v>
      </c>
      <c r="C6" s="1865" t="s">
        <v>4554</v>
      </c>
    </row>
    <row r="7" spans="1:7">
      <c r="A7" s="2328">
        <v>43454.625</v>
      </c>
      <c r="B7" s="1797">
        <v>2441</v>
      </c>
      <c r="C7" s="1865" t="s">
        <v>4554</v>
      </c>
    </row>
    <row r="8" spans="1:7">
      <c r="A8" s="2328">
        <v>43455.298611111109</v>
      </c>
      <c r="B8" s="1864" t="s">
        <v>4586</v>
      </c>
      <c r="C8" s="1865" t="s">
        <v>4587</v>
      </c>
    </row>
    <row r="9" spans="1:7">
      <c r="A9" s="2328">
        <v>43456.65625</v>
      </c>
      <c r="B9" s="1797" t="s">
        <v>4593</v>
      </c>
      <c r="C9" s="1796" t="s">
        <v>4594</v>
      </c>
    </row>
    <row r="10" spans="1:7">
      <c r="A10" s="2328">
        <v>43459.881944444445</v>
      </c>
      <c r="B10" s="1797">
        <v>2210</v>
      </c>
      <c r="C10" s="1865" t="s">
        <v>4614</v>
      </c>
    </row>
    <row r="11" spans="1:7">
      <c r="A11" s="2328">
        <v>43460.15625</v>
      </c>
      <c r="B11" s="1864" t="s">
        <v>3872</v>
      </c>
      <c r="C11" s="1865" t="s">
        <v>4554</v>
      </c>
    </row>
    <row r="12" spans="1:7">
      <c r="A12" s="2328">
        <v>43466.6875</v>
      </c>
      <c r="B12" s="1797">
        <v>2210</v>
      </c>
      <c r="C12" s="1865" t="s">
        <v>4625</v>
      </c>
    </row>
    <row r="13" spans="1:7">
      <c r="A13" s="2328">
        <v>43467.5625</v>
      </c>
      <c r="B13" s="1864" t="s">
        <v>4626</v>
      </c>
      <c r="C13" s="1865" t="s">
        <v>4627</v>
      </c>
    </row>
    <row r="14" spans="1:7" ht="25.5">
      <c r="A14" s="2328">
        <v>43467.5625</v>
      </c>
      <c r="B14" s="1864" t="s">
        <v>4628</v>
      </c>
      <c r="C14" s="1865" t="s">
        <v>4629</v>
      </c>
    </row>
    <row r="15" spans="1:7">
      <c r="A15" s="2328">
        <v>43467.5625</v>
      </c>
      <c r="B15" s="1864">
        <v>1040</v>
      </c>
      <c r="C15" s="1865" t="s">
        <v>4630</v>
      </c>
    </row>
    <row r="16" spans="1:7">
      <c r="A16" s="2328">
        <v>43470.520833333336</v>
      </c>
      <c r="B16" s="1797">
        <v>2210</v>
      </c>
      <c r="C16" s="1865" t="s">
        <v>4631</v>
      </c>
    </row>
    <row r="17" spans="1:3" ht="25.5">
      <c r="A17" s="2328">
        <v>43472.395833333336</v>
      </c>
      <c r="B17" s="1864" t="s">
        <v>4628</v>
      </c>
      <c r="C17" s="1865" t="s">
        <v>4638</v>
      </c>
    </row>
    <row r="18" spans="1:3" ht="25.5">
      <c r="A18" s="2328">
        <v>43472.395833333336</v>
      </c>
      <c r="B18" s="1864">
        <v>8960</v>
      </c>
      <c r="C18" s="1865" t="s">
        <v>4639</v>
      </c>
    </row>
    <row r="19" spans="1:3" ht="25.5">
      <c r="A19" s="2328">
        <v>43474.75</v>
      </c>
      <c r="B19" s="1797">
        <v>8960</v>
      </c>
      <c r="C19" s="1865" t="s">
        <v>4648</v>
      </c>
    </row>
    <row r="20" spans="1:3" ht="25.5">
      <c r="A20" s="2328">
        <v>43474.75</v>
      </c>
      <c r="B20" s="1797">
        <v>1040</v>
      </c>
      <c r="C20" s="1865" t="s">
        <v>4647</v>
      </c>
    </row>
    <row r="21" spans="1:3" ht="25.5">
      <c r="A21" s="2328">
        <v>43476.569444444445</v>
      </c>
      <c r="B21" s="1797">
        <v>8889</v>
      </c>
      <c r="C21" s="1865" t="s">
        <v>4652</v>
      </c>
    </row>
    <row r="22" spans="1:3">
      <c r="A22" s="2328">
        <v>43478.666666666664</v>
      </c>
      <c r="B22" s="1864" t="s">
        <v>4531</v>
      </c>
      <c r="C22" s="1865" t="s">
        <v>4725</v>
      </c>
    </row>
    <row r="23" spans="1:3" ht="25.5">
      <c r="A23" s="2328">
        <v>43479.388888888891</v>
      </c>
      <c r="B23" s="1797">
        <v>1040</v>
      </c>
      <c r="C23" s="1865" t="s">
        <v>4727</v>
      </c>
    </row>
    <row r="24" spans="1:3">
      <c r="A24" s="2328">
        <v>43480.666666666664</v>
      </c>
      <c r="B24" s="1797">
        <v>6251</v>
      </c>
      <c r="C24" s="1865" t="s">
        <v>4729</v>
      </c>
    </row>
    <row r="25" spans="1:3" ht="25.5">
      <c r="A25" s="2328">
        <v>43482.395833333336</v>
      </c>
      <c r="B25" s="1797">
        <v>1116</v>
      </c>
      <c r="C25" s="1865" t="s">
        <v>4737</v>
      </c>
    </row>
    <row r="26" spans="1:3" ht="25.5">
      <c r="A26" s="2328">
        <v>43482.583333333336</v>
      </c>
      <c r="B26" s="1797">
        <v>2210</v>
      </c>
      <c r="C26" s="1865" t="s">
        <v>4738</v>
      </c>
    </row>
    <row r="27" spans="1:3">
      <c r="A27" s="2328">
        <v>43484.447916666664</v>
      </c>
      <c r="B27" s="1864" t="s">
        <v>3885</v>
      </c>
      <c r="C27" s="1865" t="s">
        <v>4780</v>
      </c>
    </row>
    <row r="28" spans="1:3">
      <c r="A28" s="2328">
        <v>43484.447916666664</v>
      </c>
      <c r="B28" s="1864" t="s">
        <v>4778</v>
      </c>
      <c r="C28" s="1865" t="s">
        <v>4779</v>
      </c>
    </row>
    <row r="29" spans="1:3" ht="25.5">
      <c r="A29" s="2328">
        <v>43484.517361111109</v>
      </c>
      <c r="B29" s="1864" t="s">
        <v>3885</v>
      </c>
      <c r="C29" s="1865" t="s">
        <v>4781</v>
      </c>
    </row>
    <row r="30" spans="1:3" ht="25.5">
      <c r="A30" s="2328">
        <v>43488.423611111109</v>
      </c>
      <c r="B30" s="1797">
        <v>2210</v>
      </c>
      <c r="C30" s="1865" t="s">
        <v>4799</v>
      </c>
    </row>
    <row r="31" spans="1:3" ht="25.5">
      <c r="A31" s="2328">
        <v>43488.489583333336</v>
      </c>
      <c r="B31" s="1864" t="s">
        <v>3885</v>
      </c>
      <c r="C31" s="1865" t="s">
        <v>4798</v>
      </c>
    </row>
    <row r="32" spans="1:3" ht="25.5">
      <c r="A32" s="2328">
        <v>43488.791666666664</v>
      </c>
      <c r="B32" s="1797">
        <v>2210</v>
      </c>
      <c r="C32" s="1865" t="s">
        <v>4800</v>
      </c>
    </row>
    <row r="33" spans="1:3" ht="28.5" customHeight="1">
      <c r="A33" s="2328">
        <v>43490</v>
      </c>
      <c r="B33" s="1864" t="s">
        <v>3423</v>
      </c>
      <c r="C33" s="1865" t="s">
        <v>4808</v>
      </c>
    </row>
    <row r="34" spans="1:3" ht="25.5">
      <c r="A34" s="2328">
        <v>43491.8125</v>
      </c>
      <c r="B34" s="1797">
        <v>8960</v>
      </c>
      <c r="C34" s="1865" t="s">
        <v>4827</v>
      </c>
    </row>
    <row r="35" spans="1:3" ht="25.5">
      <c r="A35" s="2328">
        <v>43497.458333333336</v>
      </c>
      <c r="B35" s="1797">
        <v>8889</v>
      </c>
      <c r="C35" s="1865" t="s">
        <v>4830</v>
      </c>
    </row>
    <row r="36" spans="1:3" ht="25.5">
      <c r="A36" s="2328">
        <v>43498.125</v>
      </c>
      <c r="B36" s="1797">
        <v>1116</v>
      </c>
      <c r="C36" s="1865" t="s">
        <v>4835</v>
      </c>
    </row>
    <row r="37" spans="1:3">
      <c r="A37" s="2328">
        <v>43501.833333333336</v>
      </c>
      <c r="B37" s="1797">
        <v>2441</v>
      </c>
      <c r="C37" s="1865" t="s">
        <v>4846</v>
      </c>
    </row>
    <row r="38" spans="1:3" ht="51">
      <c r="A38" s="2328">
        <v>43505.541666666664</v>
      </c>
      <c r="B38" s="1864" t="s">
        <v>4850</v>
      </c>
      <c r="C38" s="1865" t="s">
        <v>4851</v>
      </c>
    </row>
    <row r="39" spans="1:3" ht="25.5">
      <c r="A39" s="2328">
        <v>43505.694444444445</v>
      </c>
      <c r="B39" s="1864" t="s">
        <v>3885</v>
      </c>
      <c r="C39" s="1865" t="s">
        <v>4852</v>
      </c>
    </row>
    <row r="40" spans="1:3" ht="25.5">
      <c r="A40" s="2328">
        <v>43512.791666666664</v>
      </c>
      <c r="B40" s="1797">
        <v>8812</v>
      </c>
      <c r="C40" s="1796" t="s">
        <v>4857</v>
      </c>
    </row>
    <row r="41" spans="1:3" ht="25.5">
      <c r="A41" s="2328">
        <v>43512.791666666664</v>
      </c>
      <c r="B41" s="1864" t="s">
        <v>3406</v>
      </c>
      <c r="C41" s="1865" t="s">
        <v>4858</v>
      </c>
    </row>
    <row r="42" spans="1:3" ht="38.25">
      <c r="A42" s="2328">
        <v>43512.791666666664</v>
      </c>
      <c r="B42" s="1797">
        <v>8889</v>
      </c>
      <c r="C42" s="1865" t="s">
        <v>4859</v>
      </c>
    </row>
    <row r="43" spans="1:3" ht="25.5">
      <c r="A43" s="2328">
        <v>43513.65625</v>
      </c>
      <c r="B43" s="1797">
        <v>1116</v>
      </c>
      <c r="C43" s="1865" t="s">
        <v>4862</v>
      </c>
    </row>
    <row r="44" spans="1:3" ht="25.5">
      <c r="A44" s="2328">
        <v>43513.65625</v>
      </c>
      <c r="B44" s="1864" t="s">
        <v>3406</v>
      </c>
      <c r="C44" s="1865" t="s">
        <v>4861</v>
      </c>
    </row>
    <row r="45" spans="1:3" ht="38.25">
      <c r="A45" s="2328">
        <v>43513.944444444445</v>
      </c>
      <c r="B45" s="1864" t="s">
        <v>4868</v>
      </c>
      <c r="C45" s="1865" t="s">
        <v>4869</v>
      </c>
    </row>
    <row r="46" spans="1:3" ht="25.5">
      <c r="A46" s="2328">
        <v>43514.354166666664</v>
      </c>
      <c r="B46" s="1864" t="s">
        <v>4868</v>
      </c>
      <c r="C46" s="1865" t="s">
        <v>4871</v>
      </c>
    </row>
    <row r="47" spans="1:3" ht="25.5">
      <c r="A47" s="2328">
        <v>43515.777777777781</v>
      </c>
      <c r="B47" s="1864" t="s">
        <v>4895</v>
      </c>
      <c r="C47" s="1865" t="s">
        <v>4896</v>
      </c>
    </row>
    <row r="48" spans="1:3">
      <c r="A48" s="2328">
        <v>43518.364583333336</v>
      </c>
      <c r="B48" s="1797" t="s">
        <v>4900</v>
      </c>
      <c r="C48" s="1796" t="s">
        <v>4899</v>
      </c>
    </row>
    <row r="49" spans="1:3" ht="25.5">
      <c r="A49" s="2328">
        <v>43518.472222222219</v>
      </c>
      <c r="B49" s="1797">
        <v>8960</v>
      </c>
      <c r="C49" s="1865" t="s">
        <v>4912</v>
      </c>
    </row>
    <row r="50" spans="1:3" ht="25.5">
      <c r="A50" s="2328">
        <v>43518.510416666664</v>
      </c>
      <c r="B50" s="1864" t="s">
        <v>4900</v>
      </c>
      <c r="C50" s="1865" t="s">
        <v>4913</v>
      </c>
    </row>
    <row r="51" spans="1:3" ht="25.5">
      <c r="A51" s="2328">
        <v>43519.59097222222</v>
      </c>
      <c r="B51" s="1797">
        <v>8962</v>
      </c>
      <c r="C51" s="1865" t="s">
        <v>4914</v>
      </c>
    </row>
    <row r="52" spans="1:3" ht="25.5">
      <c r="A52" s="2328">
        <v>43522.371527777781</v>
      </c>
      <c r="B52" s="1864" t="s">
        <v>3423</v>
      </c>
      <c r="C52" s="1865" t="s">
        <v>4918</v>
      </c>
    </row>
    <row r="53" spans="1:3" ht="25.5">
      <c r="A53" s="2328">
        <v>43523.333333333336</v>
      </c>
      <c r="B53" s="1864" t="s">
        <v>3885</v>
      </c>
      <c r="C53" s="1865" t="s">
        <v>4920</v>
      </c>
    </row>
    <row r="54" spans="1:3">
      <c r="A54" s="2328">
        <v>43524.770833333336</v>
      </c>
      <c r="B54" s="1864" t="s">
        <v>4922</v>
      </c>
      <c r="C54" s="1865" t="s">
        <v>4923</v>
      </c>
    </row>
    <row r="55" spans="1:3">
      <c r="A55" s="2328">
        <v>43524.770833333336</v>
      </c>
      <c r="B55" s="1864" t="s">
        <v>3406</v>
      </c>
      <c r="C55" s="1865" t="s">
        <v>4924</v>
      </c>
    </row>
    <row r="56" spans="1:3" ht="25.5">
      <c r="A56" s="2328">
        <v>43526.680555555555</v>
      </c>
      <c r="B56" s="1797">
        <v>8959</v>
      </c>
      <c r="C56" s="1865" t="s">
        <v>4925</v>
      </c>
    </row>
    <row r="57" spans="1:3">
      <c r="A57" s="2328">
        <v>43527.75</v>
      </c>
      <c r="B57" s="1864" t="s">
        <v>4932</v>
      </c>
      <c r="C57" s="1865" t="s">
        <v>4933</v>
      </c>
    </row>
    <row r="58" spans="1:3" ht="25.5">
      <c r="A58" s="2328">
        <v>43528.069444444445</v>
      </c>
      <c r="B58" s="1797">
        <v>1116</v>
      </c>
      <c r="C58" s="1865" t="s">
        <v>4934</v>
      </c>
    </row>
    <row r="59" spans="1:3" ht="25.5">
      <c r="A59" s="2328">
        <v>43531.371527777781</v>
      </c>
      <c r="B59" s="1797">
        <v>2555</v>
      </c>
      <c r="C59" s="1865" t="s">
        <v>4935</v>
      </c>
    </row>
    <row r="60" spans="1:3">
      <c r="A60" s="2328">
        <v>43531.597222222219</v>
      </c>
      <c r="B60" s="1797">
        <v>2210</v>
      </c>
      <c r="C60" s="1865" t="s">
        <v>4940</v>
      </c>
    </row>
    <row r="61" spans="1:3">
      <c r="A61" s="2328">
        <v>43535.25</v>
      </c>
      <c r="B61" s="1864" t="s">
        <v>4778</v>
      </c>
      <c r="C61" s="1865" t="s">
        <v>4941</v>
      </c>
    </row>
    <row r="62" spans="1:3">
      <c r="A62" s="2328">
        <v>43535.8125</v>
      </c>
      <c r="B62" s="1797">
        <v>2210</v>
      </c>
      <c r="C62" s="1865" t="s">
        <v>4944</v>
      </c>
    </row>
    <row r="63" spans="1:3" ht="25.5">
      <c r="A63" s="2328">
        <v>43535.8125</v>
      </c>
      <c r="B63" s="1797">
        <v>2210</v>
      </c>
      <c r="C63" s="1865" t="s">
        <v>4943</v>
      </c>
    </row>
    <row r="64" spans="1:3">
      <c r="A64" s="2328">
        <v>43535.909722222219</v>
      </c>
      <c r="B64" s="1797">
        <v>2210</v>
      </c>
      <c r="C64" s="1865" t="s">
        <v>4956</v>
      </c>
    </row>
    <row r="65" spans="1:3" ht="25.5">
      <c r="A65" s="2328">
        <v>43541.253472222219</v>
      </c>
      <c r="B65" s="1864">
        <v>2210</v>
      </c>
      <c r="C65" s="1865" t="s">
        <v>4962</v>
      </c>
    </row>
    <row r="66" spans="1:3">
      <c r="A66" s="2328">
        <v>43541.28125</v>
      </c>
      <c r="B66" s="1864" t="s">
        <v>4960</v>
      </c>
      <c r="C66" s="1865" t="s">
        <v>4961</v>
      </c>
    </row>
    <row r="67" spans="1:3">
      <c r="A67" s="2328">
        <v>43542.243055555555</v>
      </c>
      <c r="B67" s="1797">
        <v>1040</v>
      </c>
      <c r="C67" s="1865" t="s">
        <v>4963</v>
      </c>
    </row>
    <row r="68" spans="1:3">
      <c r="A68" s="2328">
        <v>43542.243055555555</v>
      </c>
      <c r="B68" s="1864" t="s">
        <v>4531</v>
      </c>
      <c r="C68" s="1865" t="s">
        <v>4964</v>
      </c>
    </row>
    <row r="69" spans="1:3" ht="25.5">
      <c r="A69" s="2328">
        <v>43542.243055555555</v>
      </c>
      <c r="B69" s="1797">
        <v>8812</v>
      </c>
      <c r="C69" s="1865" t="s">
        <v>4965</v>
      </c>
    </row>
    <row r="70" spans="1:3">
      <c r="A70" s="2328">
        <v>43546.09375</v>
      </c>
      <c r="B70" s="1864" t="s">
        <v>4778</v>
      </c>
      <c r="C70" s="1865" t="s">
        <v>4966</v>
      </c>
    </row>
    <row r="71" spans="1:3">
      <c r="A71" s="5211">
        <v>43546.465277777781</v>
      </c>
      <c r="B71" s="1864" t="s">
        <v>4531</v>
      </c>
      <c r="C71" s="1865" t="s">
        <v>4967</v>
      </c>
    </row>
    <row r="72" spans="1:3" ht="25.5">
      <c r="A72" s="2328">
        <v>43547.833333333336</v>
      </c>
      <c r="B72" s="1797">
        <v>8959</v>
      </c>
      <c r="C72" s="1865" t="s">
        <v>4968</v>
      </c>
    </row>
    <row r="73" spans="1:3" ht="25.5">
      <c r="A73" s="2328">
        <v>43547.84375</v>
      </c>
      <c r="B73" s="1797">
        <v>8960</v>
      </c>
      <c r="C73" s="1865" t="s">
        <v>4971</v>
      </c>
    </row>
    <row r="74" spans="1:3" ht="25.5">
      <c r="A74" s="2328">
        <v>43548.722222222219</v>
      </c>
      <c r="B74" s="1864" t="s">
        <v>3885</v>
      </c>
      <c r="C74" s="1865" t="s">
        <v>4972</v>
      </c>
    </row>
    <row r="75" spans="1:3">
      <c r="A75" s="2328">
        <v>43553.4375</v>
      </c>
      <c r="B75" s="1797">
        <v>8959</v>
      </c>
      <c r="C75" s="1796" t="s">
        <v>4974</v>
      </c>
    </row>
    <row r="76" spans="1:3">
      <c r="A76" s="2328">
        <v>43553.527777777781</v>
      </c>
      <c r="B76" s="1864" t="s">
        <v>5009</v>
      </c>
      <c r="C76" s="1865" t="s">
        <v>5066</v>
      </c>
    </row>
    <row r="77" spans="1:3" ht="25.5">
      <c r="A77" s="2328">
        <v>43553.676388888889</v>
      </c>
      <c r="B77" s="1864" t="s">
        <v>4778</v>
      </c>
      <c r="C77" s="1865" t="s">
        <v>5069</v>
      </c>
    </row>
    <row r="78" spans="1:3" ht="25.5">
      <c r="A78" s="2328">
        <v>43555.479166666664</v>
      </c>
      <c r="B78" s="1864" t="s">
        <v>4900</v>
      </c>
      <c r="C78" s="1865" t="s">
        <v>5072</v>
      </c>
    </row>
    <row r="79" spans="1:3" ht="25.5">
      <c r="A79" s="2328">
        <v>43556.020833333336</v>
      </c>
      <c r="B79" s="1864" t="s">
        <v>5074</v>
      </c>
      <c r="C79" s="1865" t="s">
        <v>5075</v>
      </c>
    </row>
    <row r="80" spans="1:3">
      <c r="A80" s="2328">
        <v>43556.0625</v>
      </c>
      <c r="B80" s="1864" t="s">
        <v>3884</v>
      </c>
      <c r="C80" s="1865" t="s">
        <v>5076</v>
      </c>
    </row>
    <row r="81" spans="1:3">
      <c r="A81" s="2328">
        <v>43556.0625</v>
      </c>
      <c r="B81" s="1797">
        <v>2441</v>
      </c>
      <c r="C81" s="1865" t="s">
        <v>5077</v>
      </c>
    </row>
    <row r="82" spans="1:3">
      <c r="A82" s="2328">
        <v>43556.263888888891</v>
      </c>
      <c r="B82" s="1797">
        <v>2210</v>
      </c>
      <c r="C82" s="1865" t="s">
        <v>5082</v>
      </c>
    </row>
    <row r="83" spans="1:3">
      <c r="A83" s="2328">
        <v>43561.458333333336</v>
      </c>
      <c r="B83" s="1864" t="s">
        <v>3885</v>
      </c>
      <c r="C83" s="1865" t="s">
        <v>5083</v>
      </c>
    </row>
    <row r="84" spans="1:3">
      <c r="A84" s="2328">
        <v>43562.347222222219</v>
      </c>
      <c r="B84" s="1797" t="s">
        <v>4975</v>
      </c>
      <c r="C84" s="1796" t="s">
        <v>5084</v>
      </c>
    </row>
    <row r="85" spans="1:3">
      <c r="A85" s="2328">
        <v>43562.347222222219</v>
      </c>
      <c r="B85" s="1797">
        <v>1040</v>
      </c>
      <c r="C85" s="1796" t="s">
        <v>5085</v>
      </c>
    </row>
    <row r="86" spans="1:3" ht="25.5">
      <c r="A86" s="2328">
        <v>43563.850694444445</v>
      </c>
      <c r="B86" s="5254" t="s">
        <v>4975</v>
      </c>
      <c r="C86" s="5253" t="s">
        <v>5095</v>
      </c>
    </row>
    <row r="87" spans="1:3">
      <c r="A87" s="2328">
        <v>43564.166666666664</v>
      </c>
      <c r="B87" s="5254" t="s">
        <v>3423</v>
      </c>
      <c r="C87" s="5253" t="s">
        <v>5096</v>
      </c>
    </row>
    <row r="88" spans="1:3">
      <c r="A88" s="2328">
        <v>43564.166666666664</v>
      </c>
      <c r="B88" s="5254" t="s">
        <v>5008</v>
      </c>
      <c r="C88" s="5253" t="s">
        <v>5098</v>
      </c>
    </row>
    <row r="89" spans="1:3" ht="25.5">
      <c r="A89" s="2328">
        <v>43568.416666666664</v>
      </c>
      <c r="B89" s="1797">
        <v>1116</v>
      </c>
      <c r="C89" s="5277" t="s">
        <v>5100</v>
      </c>
    </row>
    <row r="90" spans="1:3">
      <c r="A90" s="2328">
        <v>43578.885416666664</v>
      </c>
      <c r="B90" s="5285" t="s">
        <v>4778</v>
      </c>
      <c r="C90" s="5284" t="s">
        <v>5103</v>
      </c>
    </row>
    <row r="91" spans="1:3" ht="25.5">
      <c r="A91" s="2328">
        <v>43585.270833333336</v>
      </c>
      <c r="B91" s="5287" t="s">
        <v>4977</v>
      </c>
      <c r="C91" s="5286" t="s">
        <v>5106</v>
      </c>
    </row>
    <row r="92" spans="1:3">
      <c r="A92" s="2328">
        <v>43926.614583333336</v>
      </c>
      <c r="B92" s="5290" t="s">
        <v>4778</v>
      </c>
      <c r="C92" s="5289" t="s">
        <v>5108</v>
      </c>
    </row>
  </sheetData>
  <sheetProtection password="F07E" sheet="1" objects="1" scenarios="1"/>
  <hyperlinks>
    <hyperlink ref="D1" r:id="rId1"/>
  </hyperlinks>
  <pageMargins left="0.7" right="0.7" top="0.75" bottom="0.75" header="0.3" footer="0.3"/>
  <pageSetup orientation="landscape" horizontalDpi="4294967293" verticalDpi="4294967293"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626</vt:i4>
      </vt:variant>
    </vt:vector>
  </HeadingPairs>
  <TitlesOfParts>
    <vt:vector size="682" baseType="lpstr">
      <vt:lpstr>Disclaimer</vt:lpstr>
      <vt:lpstr>Table of Contents</vt:lpstr>
      <vt:lpstr>Instructions</vt:lpstr>
      <vt:lpstr>W-2s</vt:lpstr>
      <vt:lpstr>1099-INT</vt:lpstr>
      <vt:lpstr>1099-DIV</vt:lpstr>
      <vt:lpstr>1099-G</vt:lpstr>
      <vt:lpstr>1099-MISC</vt:lpstr>
      <vt:lpstr>1099-R</vt:lpstr>
      <vt:lpstr>SSA-1099</vt:lpstr>
      <vt:lpstr>1040</vt:lpstr>
      <vt:lpstr>Sch. 1</vt:lpstr>
      <vt:lpstr>Sch. 2</vt:lpstr>
      <vt:lpstr>Sch. 3</vt:lpstr>
      <vt:lpstr>Sch. 4</vt:lpstr>
      <vt:lpstr>Sch. 5</vt:lpstr>
      <vt:lpstr>Sch. 6</vt:lpstr>
      <vt:lpstr>Line 4 (Annuity)</vt:lpstr>
      <vt:lpstr>Line 5 (SS Bene)</vt:lpstr>
      <vt:lpstr>Line 8 (SD Depnts)</vt:lpstr>
      <vt:lpstr>Earned Inc Calc</vt:lpstr>
      <vt:lpstr>Line 9 (QBID)</vt:lpstr>
      <vt:lpstr>QBID (Unofficial)</vt:lpstr>
      <vt:lpstr>Sch 1, Line 10 (SALT)</vt:lpstr>
      <vt:lpstr>Line 11a (QDCG Tax)</vt:lpstr>
      <vt:lpstr>Line 12a (CTC)</vt:lpstr>
      <vt:lpstr>Line 17a (EIC)</vt:lpstr>
      <vt:lpstr>Sch. 1, Line 32 (IRA)</vt:lpstr>
      <vt:lpstr>Line 33 (Stu Loan)</vt:lpstr>
      <vt:lpstr>Sch. A</vt:lpstr>
      <vt:lpstr>Sch. B</vt:lpstr>
      <vt:lpstr>Sch. C</vt:lpstr>
      <vt:lpstr>Sch. D</vt:lpstr>
      <vt:lpstr>Sch. D WS</vt:lpstr>
      <vt:lpstr>Sch. E</vt:lpstr>
      <vt:lpstr>Sch. F</vt:lpstr>
      <vt:lpstr>Sch. R</vt:lpstr>
      <vt:lpstr>Sch. SE</vt:lpstr>
      <vt:lpstr>1116</vt:lpstr>
      <vt:lpstr>2210</vt:lpstr>
      <vt:lpstr>2441</vt:lpstr>
      <vt:lpstr>2555</vt:lpstr>
      <vt:lpstr>6251</vt:lpstr>
      <vt:lpstr>8283</vt:lpstr>
      <vt:lpstr>8812</vt:lpstr>
      <vt:lpstr>8889</vt:lpstr>
      <vt:lpstr>8949A</vt:lpstr>
      <vt:lpstr>8949B</vt:lpstr>
      <vt:lpstr>8949C</vt:lpstr>
      <vt:lpstr>8949D</vt:lpstr>
      <vt:lpstr>8959</vt:lpstr>
      <vt:lpstr>8960</vt:lpstr>
      <vt:lpstr>8962</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Apt_No.</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Cap_Gain</vt:lpstr>
      <vt:lpstr>CapitalGains</vt:lpstr>
      <vt:lpstr>Care_Expenses</vt:lpstr>
      <vt:lpstr>CertainBusinessExp</vt:lpstr>
      <vt:lpstr>CGTW</vt:lpstr>
      <vt:lpstr>CGTW_Line1</vt:lpstr>
      <vt:lpstr>CGTW_Line15_HOH</vt:lpstr>
      <vt:lpstr>CGTW_Line15_MFJQW</vt:lpstr>
      <vt:lpstr>CGTW_Line15_MFS</vt:lpstr>
      <vt:lpstr>CGTW_Line15_Single</vt:lpstr>
      <vt:lpstr>CGTW_Line20_PCT</vt:lpstr>
      <vt:lpstr>CGTW_Line23_PCT</vt:lpstr>
      <vt:lpstr>CGTW_Line5</vt:lpstr>
      <vt:lpstr>CGTW_Line7</vt:lpstr>
      <vt:lpstr>CGTW_Line8_HOH</vt:lpstr>
      <vt:lpstr>CGTW_Line8_MFJQW</vt:lpstr>
      <vt:lpstr>CGTW_Line8_SMFS</vt:lpstr>
      <vt:lpstr>CGTW_Tax</vt:lpstr>
      <vt:lpstr>Child_Tax_Credit</vt:lpstr>
      <vt:lpstr>ChildCareCredit</vt:lpstr>
      <vt:lpstr>ChildUnder24</vt:lpstr>
      <vt:lpstr>City_State_Zip</vt:lpstr>
      <vt:lpstr>CTC_WS_Line12</vt:lpstr>
      <vt:lpstr>CTC_WS_Line8</vt:lpstr>
      <vt:lpstr>CTWC_NotQualified</vt:lpstr>
      <vt:lpstr>DaysInTaxYear</vt:lpstr>
      <vt:lpstr>Deduction</vt:lpstr>
      <vt:lpstr>Deductions</vt:lpstr>
      <vt:lpstr>Dependent_Care</vt:lpstr>
      <vt:lpstr>DependentCount</vt:lpstr>
      <vt:lpstr>DependentSPOUSE</vt:lpstr>
      <vt:lpstr>DependentYOU</vt:lpstr>
      <vt:lpstr>DependQualNumber</vt:lpstr>
      <vt:lpstr>DFC</vt:lpstr>
      <vt:lpstr>Dividend_Inc</vt:lpstr>
      <vt:lpstr>Dotted_Line36</vt:lpstr>
      <vt:lpstr>DPAD</vt:lpstr>
      <vt:lpstr>Draft</vt:lpstr>
      <vt:lpstr>Dual_Status_Alien</vt:lpstr>
      <vt:lpstr>Earned_Income</vt:lpstr>
      <vt:lpstr>EarnedIncomeCredit</vt:lpstr>
      <vt:lpstr>EarnedIncomeWSB</vt:lpstr>
      <vt:lpstr>Education</vt:lpstr>
      <vt:lpstr>EducatorExpenses</vt:lpstr>
      <vt:lpstr>EIC</vt:lpstr>
      <vt:lpstr>EIC_Check</vt:lpstr>
      <vt:lpstr>EIC_EarnedIncome</vt:lpstr>
      <vt:lpstr>EIC_Line2_No</vt:lpstr>
      <vt:lpstr>EIC_No</vt:lpstr>
      <vt:lpstr>EIC_Step3_Line3_Yes</vt:lpstr>
      <vt:lpstr>EIC_Step4_Line3_No</vt:lpstr>
      <vt:lpstr>EIC_Step4_Line5_Yes</vt:lpstr>
      <vt:lpstr>EIC_WSA_Part3</vt:lpstr>
      <vt:lpstr>EIC_WSB_Part7</vt:lpstr>
      <vt:lpstr>EICNumQualChild</vt:lpstr>
      <vt:lpstr>EmployerCountSpouse</vt:lpstr>
      <vt:lpstr>EmployerCountYou</vt:lpstr>
      <vt:lpstr>EndOfTaxYear</vt:lpstr>
      <vt:lpstr>EstimatedTaxPayments</vt:lpstr>
      <vt:lpstr>ExcessSSTax</vt:lpstr>
      <vt:lpstr>Exempt_Interest_DIV</vt:lpstr>
      <vt:lpstr>F1040_Line10</vt:lpstr>
      <vt:lpstr>F1099G_FedTaxWH</vt:lpstr>
      <vt:lpstr>F1099G_MktGain</vt:lpstr>
      <vt:lpstr>F1099G_StateTaxWH</vt:lpstr>
      <vt:lpstr>F1099G_TaxGrants</vt:lpstr>
      <vt:lpstr>F1099R_CodeDTaxes</vt:lpstr>
      <vt:lpstr>F2555_Line45</vt:lpstr>
      <vt:lpstr>F6251_Needed</vt:lpstr>
      <vt:lpstr>F6251_PIII</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F8959_Tax</vt:lpstr>
      <vt:lpstr>F8959_WH</vt:lpstr>
      <vt:lpstr>F8960_Applicable</vt:lpstr>
      <vt:lpstr>F8960_Tax</vt:lpstr>
      <vt:lpstr>FarmIncomeLoss</vt:lpstr>
      <vt:lpstr>FarmProfitNet</vt:lpstr>
      <vt:lpstr>FedFuelTaxCredit</vt:lpstr>
      <vt:lpstr>FedTaxWithheld</vt:lpstr>
      <vt:lpstr>FEI_Tax_Worksheet</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FirstTimeHBRepay</vt:lpstr>
      <vt:lpstr>Foreign_Tax_Credit</vt:lpstr>
      <vt:lpstr>ForeignEarnedIncome</vt:lpstr>
      <vt:lpstr>ForeignHousingDeduction</vt:lpstr>
      <vt:lpstr>ForeignHousingExclusion</vt:lpstr>
      <vt:lpstr>ForeignIncExclusion</vt:lpstr>
      <vt:lpstr>ForeignTaxCredit_1</vt:lpstr>
      <vt:lpstr>ForeignTaxCredit_2</vt:lpstr>
      <vt:lpstr>ForeignTaxCredit_3</vt:lpstr>
      <vt:lpstr>ForeignTaxPaid</vt:lpstr>
      <vt:lpstr>'1099-G'!ForeignTaxPaid_DIV</vt:lpstr>
      <vt:lpstr>ForeignTaxPaid_DIV</vt:lpstr>
      <vt:lpstr>ForeignTaxPaid_INT</vt:lpstr>
      <vt:lpstr>'1099-G'!ForeignTaxPaid_INT_DIV</vt:lpstr>
      <vt:lpstr>ForeignTaxPaid_INT_DIV</vt:lpstr>
      <vt:lpstr>ForeignTaxThreshold</vt:lpstr>
      <vt:lpstr>Form1116_Not_Reqd</vt:lpstr>
      <vt:lpstr>Form1116_Required</vt:lpstr>
      <vt:lpstr>Form2555_Used</vt:lpstr>
      <vt:lpstr>Form4952_Line4e</vt:lpstr>
      <vt:lpstr>Form4952_Line4g</vt:lpstr>
      <vt:lpstr>Form8863</vt:lpstr>
      <vt:lpstr>Form8960_Threshhold</vt:lpstr>
      <vt:lpstr>Gambling_Loss</vt:lpstr>
      <vt:lpstr>Hawaii</vt:lpstr>
      <vt:lpstr>HouseholdEmpTaxes</vt:lpstr>
      <vt:lpstr>HSA_Deduct</vt:lpstr>
      <vt:lpstr>IncomeLimit</vt:lpstr>
      <vt:lpstr>Interest_Inc</vt:lpstr>
      <vt:lpstr>'1099-G'!InvExpDIV</vt:lpstr>
      <vt:lpstr>InvExpDIV</vt:lpstr>
      <vt:lpstr>InvExpINT</vt:lpstr>
      <vt:lpstr>IRA_Deduction</vt:lpstr>
      <vt:lpstr>IRA_Fed_Tax_WH</vt:lpstr>
      <vt:lpstr>IRA_Gross</vt:lpstr>
      <vt:lpstr>IRA_Pension_Taxable</vt:lpstr>
      <vt:lpstr>IRA_Taxable</vt:lpstr>
      <vt:lpstr>IRA_Taxable_Spouse</vt:lpstr>
      <vt:lpstr>IRA_Taxable_You</vt:lpstr>
      <vt:lpstr>IRADeduct</vt:lpstr>
      <vt:lpstr>IRAs_Pension_Annuit</vt:lpstr>
      <vt:lpstr>Item_Deduct_Wks_L9</vt:lpstr>
      <vt:lpstr>ItemizeAnyway</vt:lpstr>
      <vt:lpstr>ItemizedDeduct</vt:lpstr>
      <vt:lpstr>LeapYear</vt:lpstr>
      <vt:lpstr>Line33_NOT</vt:lpstr>
      <vt:lpstr>LivedApart</vt:lpstr>
      <vt:lpstr>LivedApartAnswered</vt:lpstr>
      <vt:lpstr>LocalTaxIRA</vt:lpstr>
      <vt:lpstr>LocalTaxPA</vt:lpstr>
      <vt:lpstr>LocalTaxW2</vt:lpstr>
      <vt:lpstr>MarketDiscount</vt:lpstr>
      <vt:lpstr>MaxSSTax</vt:lpstr>
      <vt:lpstr>MaxSSTaxEarnings</vt:lpstr>
      <vt:lpstr>MedCare_Tax_Withheld</vt:lpstr>
      <vt:lpstr>MedCare_wages</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NoColor</vt:lpstr>
      <vt:lpstr>NoEICredit</vt:lpstr>
      <vt:lpstr>NonQualAnnuity</vt:lpstr>
      <vt:lpstr>NoOnLine66a</vt:lpstr>
      <vt:lpstr>NoSSN</vt:lpstr>
      <vt:lpstr>NOT_MFJ</vt:lpstr>
      <vt:lpstr>NoTaxCombatPay</vt:lpstr>
      <vt:lpstr>NumFileStatusBoxes</vt:lpstr>
      <vt:lpstr>OrdinaryDividends</vt:lpstr>
      <vt:lpstr>OtherGainsLosses</vt:lpstr>
      <vt:lpstr>OtherIncome</vt:lpstr>
      <vt:lpstr>Over_65_or_Blind</vt:lpstr>
      <vt:lpstr>Overpaid</vt:lpstr>
      <vt:lpstr>PA_Fed_Tax_WH</vt:lpstr>
      <vt:lpstr>PA_Gross</vt:lpstr>
      <vt:lpstr>PA_Taxable</vt:lpstr>
      <vt:lpstr>PA_Taxable_Spouse</vt:lpstr>
      <vt:lpstr>PA_Taxable_You</vt:lpstr>
      <vt:lpstr>Penalty4EW</vt:lpstr>
      <vt:lpstr>PenaltyEarlyWithdraw</vt:lpstr>
      <vt:lpstr>Pension_taxable</vt:lpstr>
      <vt:lpstr>Pension_total</vt:lpstr>
      <vt:lpstr>PhaseOut_PCT</vt:lpstr>
      <vt:lpstr>PhaseOutThreshold</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'6251'!Print_Area</vt:lpstr>
      <vt:lpstr>'8283'!Print_Area</vt:lpstr>
      <vt:lpstr>'8812'!Print_Area</vt:lpstr>
      <vt:lpstr>'8889'!Print_Area</vt:lpstr>
      <vt:lpstr>'8949A'!Print_Area</vt:lpstr>
      <vt:lpstr>'8949B'!Print_Area</vt:lpstr>
      <vt:lpstr>'8949C'!Print_Area</vt:lpstr>
      <vt:lpstr>'8949D'!Print_Area</vt:lpstr>
      <vt:lpstr>'8959'!Print_Area</vt:lpstr>
      <vt:lpstr>'8960'!Print_Area</vt:lpstr>
      <vt:lpstr>'8962'!Print_Area</vt:lpstr>
      <vt:lpstr>Disclaimer!Print_Area</vt:lpstr>
      <vt:lpstr>'Earned Inc Calc'!Print_Area</vt:lpstr>
      <vt:lpstr>Instructions!Print_Area</vt:lpstr>
      <vt:lpstr>'Line 11a (QDCG Tax)'!Print_Area</vt:lpstr>
      <vt:lpstr>'Line 12a (CTC)'!Print_Area</vt:lpstr>
      <vt:lpstr>'Line 17a (EIC)'!Print_Area</vt:lpstr>
      <vt:lpstr>'Line 33 (Stu Loan)'!Print_Area</vt:lpstr>
      <vt:lpstr>'Line 4 (Annuity)'!Print_Area</vt:lpstr>
      <vt:lpstr>'Line 5 (SS Bene)'!Print_Area</vt:lpstr>
      <vt:lpstr>'Line 8 (SD Depnts)'!Print_Area</vt:lpstr>
      <vt:lpstr>'Line 9 (QBID)'!Print_Area</vt:lpstr>
      <vt:lpstr>'QBID (Unofficial)'!Print_Area</vt:lpstr>
      <vt:lpstr>'Sch 1, Line 10 (SALT)'!Print_Area</vt:lpstr>
      <vt:lpstr>'Sch. 1'!Print_Area</vt:lpstr>
      <vt:lpstr>'Sch. 1, Line 32 (IRA)'!Print_Area</vt:lpstr>
      <vt:lpstr>'Sch. 2'!Print_Area</vt:lpstr>
      <vt:lpstr>'Sch. 3'!Print_Area</vt:lpstr>
      <vt:lpstr>'Sch. 4'!Print_Area</vt:lpstr>
      <vt:lpstr>'Sch. 5'!Print_Area</vt:lpstr>
      <vt:lpstr>'Sch. 6'!Print_Area</vt:lpstr>
      <vt:lpstr>'Sch. A'!Print_Area</vt:lpstr>
      <vt:lpstr>'Sch. B'!Print_Area</vt:lpstr>
      <vt:lpstr>'Sch. C'!Print_Area</vt:lpstr>
      <vt:lpstr>'Sch. D'!Print_Area</vt:lpstr>
      <vt:lpstr>'Sch. D WS'!Print_Area</vt:lpstr>
      <vt:lpstr>'Sch. E'!Print_Area</vt:lpstr>
      <vt:lpstr>'Sch. F'!Print_Area</vt:lpstr>
      <vt:lpstr>'Sch. R'!Print_Area</vt:lpstr>
      <vt:lpstr>'Sch. SE'!Print_Area</vt:lpstr>
      <vt:lpstr>'SSA-1099'!Print_Area</vt:lpstr>
      <vt:lpstr>'Table of Contents'!Print_Area</vt:lpstr>
      <vt:lpstr>'Tax Table'!Print_Area</vt:lpstr>
      <vt:lpstr>'W-2s'!Print_Area</vt:lpstr>
      <vt:lpstr>'Tax Table'!Print_Titles</vt:lpstr>
      <vt:lpstr>PTC_Excess</vt:lpstr>
      <vt:lpstr>PTC_ExcessAdv</vt:lpstr>
      <vt:lpstr>PTC_Net</vt:lpstr>
      <vt:lpstr>PTCNet</vt:lpstr>
      <vt:lpstr>Pub_972</vt:lpstr>
      <vt:lpstr>QBI</vt:lpstr>
      <vt:lpstr>QBI_Deduction</vt:lpstr>
      <vt:lpstr>QBI_PCT</vt:lpstr>
      <vt:lpstr>QBI_SimpleWS</vt:lpstr>
      <vt:lpstr>QBID_Simplified</vt:lpstr>
      <vt:lpstr>Qual_Child_Count</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Retirement_Savings</vt:lpstr>
      <vt:lpstr>RevDateTime</vt:lpstr>
      <vt:lpstr>RRTA_Compensation</vt:lpstr>
      <vt:lpstr>RRTA_TaxWH</vt:lpstr>
      <vt:lpstr>RTAApayments</vt:lpstr>
      <vt:lpstr>SALT_Refund</vt:lpstr>
      <vt:lpstr>SchA_Filed</vt:lpstr>
      <vt:lpstr>SchC_ProfitLoss1</vt:lpstr>
      <vt:lpstr>SchC_ProfitLoss2</vt:lpstr>
      <vt:lpstr>SchC_Sp_StatEmp_Inc</vt:lpstr>
      <vt:lpstr>SchC_StatutoryEmp_1</vt:lpstr>
      <vt:lpstr>SchC_StatutoryEmp_2</vt:lpstr>
      <vt:lpstr>SchD_Line1516_Gains</vt:lpstr>
      <vt:lpstr>SchD_NotReqd</vt:lpstr>
      <vt:lpstr>SchDLine15</vt:lpstr>
      <vt:lpstr>SchDLine16</vt:lpstr>
      <vt:lpstr>SchDLine18</vt:lpstr>
      <vt:lpstr>SchDLine19</vt:lpstr>
      <vt:lpstr>SchDTW_Line1</vt:lpstr>
      <vt:lpstr>SchDTW_Line15</vt:lpstr>
      <vt:lpstr>SchDTW_Line19</vt:lpstr>
      <vt:lpstr>SchDTW_Line24</vt:lpstr>
      <vt:lpstr>SchDTW_Line29Rate</vt:lpstr>
      <vt:lpstr>SchDTW_Line32Rate</vt:lpstr>
      <vt:lpstr>SchDTW_Line38Rate</vt:lpstr>
      <vt:lpstr>SchDTW_Line41Rate</vt:lpstr>
      <vt:lpstr>SchDTW_Line45</vt:lpstr>
      <vt:lpstr>SchDTW_Used</vt:lpstr>
      <vt:lpstr>SchE_IncomeLoss</vt:lpstr>
      <vt:lpstr>SchE1_Line26</vt:lpstr>
      <vt:lpstr>SchE2_Completed</vt:lpstr>
      <vt:lpstr>SchE2_Line32</vt:lpstr>
      <vt:lpstr>SchE2_Line37</vt:lpstr>
      <vt:lpstr>SchE2_Line39</vt:lpstr>
      <vt:lpstr>SchE2_Line40</vt:lpstr>
      <vt:lpstr>SchE2_Line41</vt:lpstr>
      <vt:lpstr>Schedule2</vt:lpstr>
      <vt:lpstr>Schedule3</vt:lpstr>
      <vt:lpstr>Schedule4</vt:lpstr>
      <vt:lpstr>Schedule5</vt:lpstr>
      <vt:lpstr>ScheduleE1</vt:lpstr>
      <vt:lpstr>ScheduleE2</vt:lpstr>
      <vt:lpstr>ScheduleF_PartIII</vt:lpstr>
      <vt:lpstr>SchF_SchSE_1</vt:lpstr>
      <vt:lpstr>SchF_SchSE_2</vt:lpstr>
      <vt:lpstr>SchR_Line22</vt:lpstr>
      <vt:lpstr>SchRQualify</vt:lpstr>
      <vt:lpstr>SD_Head</vt:lpstr>
      <vt:lpstr>SD_Inc_Married</vt:lpstr>
      <vt:lpstr>SD_Inc_Single</vt:lpstr>
      <vt:lpstr>SD_MFJW</vt:lpstr>
      <vt:lpstr>SD_Single</vt:lpstr>
      <vt:lpstr>SE_Deduct</vt:lpstr>
      <vt:lpstr>SE_Deduction1</vt:lpstr>
      <vt:lpstr>SE_Deduction2</vt:lpstr>
      <vt:lpstr>SE_Tax1</vt:lpstr>
      <vt:lpstr>SE_Tax2</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ShortMethod</vt:lpstr>
      <vt:lpstr>Skip2141</vt:lpstr>
      <vt:lpstr>Skip3141</vt:lpstr>
      <vt:lpstr>Skip3338</vt:lpstr>
      <vt:lpstr>Skip3941</vt:lpstr>
      <vt:lpstr>SocSecBenefits</vt:lpstr>
      <vt:lpstr>SocSecBenefits_Taxable</vt:lpstr>
      <vt:lpstr>sp_blind</vt:lpstr>
      <vt:lpstr>sp_over_64</vt:lpstr>
      <vt:lpstr>SpaceUsed_8949A</vt:lpstr>
      <vt:lpstr>SpaceUsed_8949A_LT</vt:lpstr>
      <vt:lpstr>SpaceUsed_8949A_ST</vt:lpstr>
      <vt:lpstr>SpaceUsed_8949B_LT</vt:lpstr>
      <vt:lpstr>SpaceUsed_8949B_ST</vt:lpstr>
      <vt:lpstr>'8949D'!SpaceUsed_8949C_LT</vt:lpstr>
      <vt:lpstr>SpaceUsed_8949C_LT</vt:lpstr>
      <vt:lpstr>'8949D'!SpaceUsed_8949C_ST</vt:lpstr>
      <vt:lpstr>SpaceUsed_8949C_ST</vt:lpstr>
      <vt:lpstr>Spouse</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SS_Spouse</vt:lpstr>
      <vt:lpstr>SS_Yours</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Tax</vt:lpstr>
      <vt:lpstr>Tax_FEI_TW</vt:lpstr>
      <vt:lpstr>Tax_SS_Benefits</vt:lpstr>
      <vt:lpstr>Tax1040_Line11a</vt:lpstr>
      <vt:lpstr>Taxable_Inc</vt:lpstr>
      <vt:lpstr>TaxableInterest</vt:lpstr>
      <vt:lpstr>TaxDay</vt:lpstr>
      <vt:lpstr>TaxExemptInt</vt:lpstr>
      <vt:lpstr>TaxExemptInterest</vt:lpstr>
      <vt:lpstr>TaxFamilySize</vt:lpstr>
      <vt:lpstr>TaxPenalty</vt:lpstr>
      <vt:lpstr>TaxYear</vt:lpstr>
      <vt:lpstr>TaxYear2</vt:lpstr>
      <vt:lpstr>Tot_Exemptions</vt:lpstr>
      <vt:lpstr>Tot_Item_Deduct</vt:lpstr>
      <vt:lpstr>Tot_Payments</vt:lpstr>
      <vt:lpstr>Tot_Tax</vt:lpstr>
      <vt:lpstr>Total_Income</vt:lpstr>
      <vt:lpstr>TotalSocSecBenefits</vt:lpstr>
      <vt:lpstr>UnemployComp</vt:lpstr>
      <vt:lpstr>UnEmploymentComp</vt:lpstr>
      <vt:lpstr>W2_Other</vt:lpstr>
      <vt:lpstr>W2_SS_Tax_Excess</vt:lpstr>
      <vt:lpstr>W2_SS_Tax_Withheld</vt:lpstr>
      <vt:lpstr>W2_SS_Wages</vt:lpstr>
      <vt:lpstr>W2_Tax_Withheld</vt:lpstr>
      <vt:lpstr>W2_Wages</vt:lpstr>
      <vt:lpstr>W2_Wages_Spouse</vt:lpstr>
      <vt:lpstr>W2_Wages_You</vt:lpstr>
      <vt:lpstr>WageCapitalComponent</vt:lpstr>
      <vt:lpstr>Wages</vt:lpstr>
      <vt:lpstr>you_blind</vt:lpstr>
      <vt:lpstr>you_over_64</vt:lpstr>
      <vt:lpstr>You_Owe</vt:lpstr>
      <vt:lpstr>YouR65</vt:lpstr>
      <vt:lpstr>YouR70Half</vt:lpstr>
      <vt:lpstr>YourAge</vt:lpstr>
      <vt:lpstr>YourAgeDecimal</vt:lpstr>
      <vt:lpstr>YourBirthDate</vt:lpstr>
      <vt:lpstr>YourBirthDay</vt:lpstr>
      <vt:lpstr>YourBirthMonth</vt:lpstr>
      <vt:lpstr>YourBirthYear</vt:lpstr>
      <vt:lpstr>Yourself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Federal Income Tax Spreadsheet (www.excel1040.com)</dc:title>
  <dc:creator>(c) Glenn Reeves;2019</dc:creator>
  <cp:lastModifiedBy>Glenn W. Reeves</cp:lastModifiedBy>
  <cp:lastPrinted>2019-04-13T11:29:28Z</cp:lastPrinted>
  <dcterms:created xsi:type="dcterms:W3CDTF">1997-11-09T08:01:41Z</dcterms:created>
  <dcterms:modified xsi:type="dcterms:W3CDTF">2020-04-22T05:00:22Z</dcterms:modified>
</cp:coreProperties>
</file>